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155" yWindow="1155" windowWidth="15375" windowHeight="4905"/>
  </bookViews>
  <sheets>
    <sheet name="Notes" sheetId="29" r:id="rId1"/>
    <sheet name="Pace of change parameters" sheetId="4" r:id="rId2"/>
    <sheet name="2016-17" sheetId="3" r:id="rId3"/>
    <sheet name="2016-17 disagg" sheetId="10" r:id="rId4"/>
    <sheet name="2017-18" sheetId="6" r:id="rId5"/>
    <sheet name="2017-18 disagg" sheetId="11" r:id="rId6"/>
    <sheet name="2018-19" sheetId="7" r:id="rId7"/>
    <sheet name="2018-19 disagg" sheetId="12" r:id="rId8"/>
    <sheet name="2019-20" sheetId="8" r:id="rId9"/>
    <sheet name="2019-20 disagg" sheetId="13" r:id="rId10"/>
    <sheet name="2020-21" sheetId="9" r:id="rId11"/>
    <sheet name="2020-21 disagg" sheetId="14" r:id="rId12"/>
    <sheet name="DfT summary" sheetId="30" r:id="rId13"/>
    <sheet name="Paper table 5" sheetId="31" r:id="rId14"/>
    <sheet name="Paper tables A2 and A3" sheetId="32" r:id="rId15"/>
    <sheet name="Primary care other" sheetId="33" r:id="rId16"/>
  </sheets>
  <definedNames>
    <definedName name="_xlnm.Print_Area" localSheetId="0">Notes!$A$1:$D$126</definedName>
    <definedName name="_xlnm.Print_Titles" localSheetId="3">'2016-17 disagg'!$A:$C,'2016-17 disagg'!$4:$10</definedName>
  </definedNames>
  <calcPr calcId="145621"/>
</workbook>
</file>

<file path=xl/calcChain.xml><?xml version="1.0" encoding="utf-8"?>
<calcChain xmlns="http://schemas.openxmlformats.org/spreadsheetml/2006/main">
  <c r="P38" i="32" l="1"/>
  <c r="Q38" i="32"/>
  <c r="R38" i="32"/>
  <c r="S38" i="32"/>
  <c r="T38" i="32"/>
  <c r="U38" i="32"/>
  <c r="V38" i="32"/>
  <c r="W38" i="32"/>
  <c r="X38" i="32"/>
  <c r="Y38" i="32"/>
  <c r="P39" i="32"/>
  <c r="Q39" i="32"/>
  <c r="R39" i="32"/>
  <c r="S39" i="32"/>
  <c r="T39" i="32"/>
  <c r="U39" i="32"/>
  <c r="V39" i="32"/>
  <c r="W39" i="32"/>
  <c r="X39" i="32"/>
  <c r="Y39" i="32"/>
  <c r="P40" i="32"/>
  <c r="Q40" i="32"/>
  <c r="R40" i="32"/>
  <c r="S40" i="32"/>
  <c r="T40" i="32"/>
  <c r="U40" i="32"/>
  <c r="V40" i="32"/>
  <c r="W40" i="32"/>
  <c r="X40" i="32"/>
  <c r="Y40" i="32"/>
  <c r="P41" i="32"/>
  <c r="Q41" i="32"/>
  <c r="R41" i="32"/>
  <c r="S41" i="32"/>
  <c r="T41" i="32"/>
  <c r="U41" i="32"/>
  <c r="V41" i="32"/>
  <c r="W41" i="32"/>
  <c r="X41" i="32"/>
  <c r="Y41" i="32"/>
  <c r="P42" i="32"/>
  <c r="Q42" i="32"/>
  <c r="R42" i="32"/>
  <c r="S42" i="32"/>
  <c r="T42" i="32"/>
  <c r="U42" i="32"/>
  <c r="V42" i="32"/>
  <c r="W42" i="32"/>
  <c r="X42" i="32"/>
  <c r="Y42" i="32"/>
  <c r="P43" i="32"/>
  <c r="Q43" i="32"/>
  <c r="R43" i="32"/>
  <c r="S43" i="32"/>
  <c r="T43" i="32"/>
  <c r="U43" i="32"/>
  <c r="V43" i="32"/>
  <c r="W43" i="32"/>
  <c r="X43" i="32"/>
  <c r="Y43" i="32"/>
  <c r="P44" i="32"/>
  <c r="Q44" i="32"/>
  <c r="R44" i="32"/>
  <c r="S44" i="32"/>
  <c r="T44" i="32"/>
  <c r="U44" i="32"/>
  <c r="V44" i="32"/>
  <c r="W44" i="32"/>
  <c r="X44" i="32"/>
  <c r="Y44" i="32"/>
  <c r="P45" i="32"/>
  <c r="Q45" i="32"/>
  <c r="R45" i="32"/>
  <c r="S45" i="32"/>
  <c r="T45" i="32"/>
  <c r="U45" i="32"/>
  <c r="V45" i="32"/>
  <c r="W45" i="32"/>
  <c r="X45" i="32"/>
  <c r="Y45" i="32"/>
  <c r="P46" i="32"/>
  <c r="Q46" i="32"/>
  <c r="R46" i="32"/>
  <c r="S46" i="32"/>
  <c r="T46" i="32"/>
  <c r="U46" i="32"/>
  <c r="V46" i="32"/>
  <c r="W46" i="32"/>
  <c r="X46" i="32"/>
  <c r="Y46" i="32"/>
  <c r="P47" i="32"/>
  <c r="Q47" i="32"/>
  <c r="R47" i="32"/>
  <c r="S47" i="32"/>
  <c r="T47" i="32"/>
  <c r="U47" i="32"/>
  <c r="V47" i="32"/>
  <c r="W47" i="32"/>
  <c r="X47" i="32"/>
  <c r="Y47" i="32"/>
  <c r="G74" i="32" l="1"/>
  <c r="J24" i="33" l="1"/>
  <c r="J23" i="33"/>
  <c r="J22" i="33"/>
  <c r="J18" i="33"/>
  <c r="J14" i="33"/>
  <c r="L14" i="33" l="1"/>
  <c r="M14" i="33"/>
  <c r="L18" i="33"/>
  <c r="M18" i="33"/>
  <c r="D26" i="33"/>
  <c r="D29" i="33"/>
  <c r="D32" i="33"/>
  <c r="L22" i="33"/>
  <c r="M22" i="33"/>
  <c r="D30" i="33"/>
  <c r="J17" i="33"/>
  <c r="J21" i="33"/>
  <c r="J16" i="33"/>
  <c r="J20" i="33"/>
  <c r="L24" i="33"/>
  <c r="M24" i="33"/>
  <c r="D31" i="33"/>
  <c r="J13" i="33"/>
  <c r="J15" i="33"/>
  <c r="J19" i="33"/>
  <c r="L23" i="33"/>
  <c r="M23" i="33"/>
  <c r="L15" i="33" l="1"/>
  <c r="M15" i="33"/>
  <c r="L16" i="33"/>
  <c r="J30" i="33"/>
  <c r="M16" i="33"/>
  <c r="L13" i="33"/>
  <c r="M13" i="33"/>
  <c r="L21" i="33"/>
  <c r="J32" i="33"/>
  <c r="M21" i="33"/>
  <c r="I26" i="33"/>
  <c r="J12" i="33"/>
  <c r="L17" i="33"/>
  <c r="M17" i="33"/>
  <c r="L19" i="33"/>
  <c r="M19" i="33"/>
  <c r="J31" i="33"/>
  <c r="L20" i="33"/>
  <c r="M20" i="33"/>
  <c r="E8" i="33"/>
  <c r="D8" i="33"/>
  <c r="M31" i="33" l="1"/>
  <c r="L31" i="33"/>
  <c r="L32" i="33"/>
  <c r="M32" i="33"/>
  <c r="L30" i="33"/>
  <c r="M30" i="33"/>
  <c r="I8" i="33"/>
  <c r="G26" i="33"/>
  <c r="J29" i="33"/>
  <c r="L12" i="33"/>
  <c r="J26" i="33"/>
  <c r="M12" i="33"/>
  <c r="L26" i="33" l="1"/>
  <c r="L8" i="33" s="1"/>
  <c r="J8" i="33"/>
  <c r="M29" i="33"/>
  <c r="L29" i="33"/>
  <c r="M26" i="33" l="1"/>
  <c r="M8" i="33" s="1"/>
  <c r="K8" i="33"/>
  <c r="L23" i="32" l="1"/>
  <c r="C25" i="32" l="1"/>
  <c r="D23" i="32"/>
  <c r="L32" i="32"/>
  <c r="H32" i="32"/>
  <c r="D32" i="32"/>
  <c r="I31" i="32"/>
  <c r="E31" i="32"/>
  <c r="J30" i="32"/>
  <c r="F30" i="32"/>
  <c r="K29" i="32"/>
  <c r="G29" i="32"/>
  <c r="L28" i="32"/>
  <c r="H28" i="32"/>
  <c r="D28" i="32"/>
  <c r="I27" i="32"/>
  <c r="E27" i="32"/>
  <c r="J26" i="32"/>
  <c r="F26" i="32"/>
  <c r="K25" i="32"/>
  <c r="G25" i="32"/>
  <c r="L24" i="32"/>
  <c r="H24" i="32"/>
  <c r="D24" i="32"/>
  <c r="I23" i="32"/>
  <c r="E23" i="32"/>
  <c r="C30" i="32"/>
  <c r="C26" i="32"/>
  <c r="J32" i="32"/>
  <c r="F32" i="32"/>
  <c r="K31" i="32"/>
  <c r="G31" i="32"/>
  <c r="L30" i="32"/>
  <c r="H30" i="32"/>
  <c r="D30" i="32"/>
  <c r="I29" i="32"/>
  <c r="E29" i="32"/>
  <c r="J28" i="32"/>
  <c r="F28" i="32"/>
  <c r="K27" i="32"/>
  <c r="G27" i="32"/>
  <c r="L26" i="32"/>
  <c r="H26" i="32"/>
  <c r="D26" i="32"/>
  <c r="I25" i="32"/>
  <c r="E25" i="32"/>
  <c r="J24" i="32"/>
  <c r="F24" i="32"/>
  <c r="K23" i="32"/>
  <c r="G23" i="32"/>
  <c r="C32" i="32"/>
  <c r="C28" i="32"/>
  <c r="C24" i="32"/>
  <c r="C29" i="32"/>
  <c r="H23" i="32"/>
  <c r="G24" i="32"/>
  <c r="F25" i="32"/>
  <c r="E26" i="32"/>
  <c r="D27" i="32"/>
  <c r="L27" i="32"/>
  <c r="K28" i="32"/>
  <c r="J29" i="32"/>
  <c r="I30" i="32"/>
  <c r="H31" i="32"/>
  <c r="G32" i="32"/>
  <c r="C23" i="32"/>
  <c r="C31" i="32"/>
  <c r="J23" i="32"/>
  <c r="I24" i="32"/>
  <c r="H25" i="32"/>
  <c r="G26" i="32"/>
  <c r="F27" i="32"/>
  <c r="E28" i="32"/>
  <c r="D29" i="32"/>
  <c r="L29" i="32"/>
  <c r="K30" i="32"/>
  <c r="J31" i="32"/>
  <c r="I32" i="32"/>
  <c r="K24" i="32"/>
  <c r="J25" i="32"/>
  <c r="I26" i="32"/>
  <c r="H27" i="32"/>
  <c r="G28" i="32"/>
  <c r="F29" i="32"/>
  <c r="E30" i="32"/>
  <c r="D31" i="32"/>
  <c r="L31" i="32"/>
  <c r="K32" i="32"/>
  <c r="C27" i="32"/>
  <c r="F23" i="32"/>
  <c r="E24" i="32"/>
  <c r="D25" i="32"/>
  <c r="L25" i="32"/>
  <c r="K26" i="32"/>
  <c r="J27" i="32"/>
  <c r="I28" i="32"/>
  <c r="H29" i="32"/>
  <c r="G30" i="32"/>
  <c r="F31" i="32"/>
  <c r="E32" i="32"/>
  <c r="Z27" i="32" l="1"/>
  <c r="Z23" i="32" l="1"/>
  <c r="Z24" i="32"/>
  <c r="Z26" i="32"/>
  <c r="T33" i="32"/>
  <c r="Z31" i="32"/>
  <c r="Q33" i="32"/>
  <c r="X33" i="32"/>
  <c r="S33" i="32"/>
  <c r="U33" i="32"/>
  <c r="Z28" i="32"/>
  <c r="R33" i="32"/>
  <c r="Z32" i="32"/>
  <c r="Z30" i="32"/>
  <c r="W33" i="32"/>
  <c r="Y33" i="32"/>
  <c r="P33" i="32"/>
  <c r="Z25" i="32"/>
  <c r="V33" i="32"/>
  <c r="Z29" i="32"/>
  <c r="Z33" i="32" l="1"/>
  <c r="L47" i="32" l="1"/>
  <c r="K47" i="32"/>
  <c r="C47" i="32"/>
  <c r="L46" i="32"/>
  <c r="J46" i="32"/>
  <c r="I46" i="32"/>
  <c r="L44" i="32"/>
  <c r="J44" i="32"/>
  <c r="L43" i="32"/>
  <c r="E43" i="32"/>
  <c r="F42" i="32"/>
  <c r="F41" i="32"/>
  <c r="G40" i="32"/>
  <c r="E40" i="32"/>
  <c r="D39" i="32"/>
  <c r="G38" i="32"/>
  <c r="E38" i="32"/>
  <c r="D38" i="32"/>
  <c r="C38" i="32"/>
  <c r="P47" i="30"/>
  <c r="I47" i="30"/>
  <c r="B47" i="30"/>
  <c r="P46" i="30"/>
  <c r="I46" i="30"/>
  <c r="B46" i="30"/>
  <c r="P45" i="30"/>
  <c r="I45" i="30"/>
  <c r="B45" i="30"/>
  <c r="P44" i="30"/>
  <c r="I44" i="30"/>
  <c r="B44" i="30"/>
  <c r="P43" i="30"/>
  <c r="I43" i="30"/>
  <c r="B43" i="30"/>
  <c r="P42" i="30"/>
  <c r="I42" i="30"/>
  <c r="B42" i="30"/>
  <c r="P41" i="30"/>
  <c r="I41" i="30"/>
  <c r="B41" i="30"/>
  <c r="P40" i="30"/>
  <c r="I40" i="30"/>
  <c r="B40" i="30"/>
  <c r="P39" i="30"/>
  <c r="I39" i="30"/>
  <c r="B39" i="30"/>
  <c r="P38" i="30"/>
  <c r="I38" i="30"/>
  <c r="B38" i="30"/>
  <c r="P37" i="30"/>
  <c r="I37" i="30"/>
  <c r="B37" i="30"/>
  <c r="P36" i="30"/>
  <c r="I36" i="30"/>
  <c r="B36" i="30"/>
  <c r="P35" i="30"/>
  <c r="I35" i="30"/>
  <c r="B35" i="30"/>
  <c r="P34" i="30"/>
  <c r="I34" i="30"/>
  <c r="B34" i="30"/>
  <c r="P33" i="30"/>
  <c r="I33" i="30"/>
  <c r="B33" i="30"/>
  <c r="P21" i="30"/>
  <c r="I21" i="30"/>
  <c r="B21" i="30"/>
  <c r="P20" i="30"/>
  <c r="I20" i="30"/>
  <c r="B20" i="30"/>
  <c r="P19" i="30"/>
  <c r="I19" i="30"/>
  <c r="B19" i="30"/>
  <c r="P18" i="30"/>
  <c r="I18" i="30"/>
  <c r="B18" i="30"/>
  <c r="P17" i="30"/>
  <c r="I17" i="30"/>
  <c r="B17" i="30"/>
  <c r="P16" i="30"/>
  <c r="I16" i="30"/>
  <c r="B16" i="30"/>
  <c r="P15" i="30"/>
  <c r="I15" i="30"/>
  <c r="B15" i="30"/>
  <c r="P14" i="30"/>
  <c r="I14" i="30"/>
  <c r="B14" i="30"/>
  <c r="P13" i="30"/>
  <c r="I13" i="30"/>
  <c r="B13" i="30"/>
  <c r="P12" i="30"/>
  <c r="I12" i="30"/>
  <c r="B12" i="30"/>
  <c r="P11" i="30"/>
  <c r="I11" i="30"/>
  <c r="B11" i="30"/>
  <c r="P10" i="30"/>
  <c r="I10" i="30"/>
  <c r="B10" i="30"/>
  <c r="P9" i="30"/>
  <c r="I9" i="30"/>
  <c r="B9" i="30"/>
  <c r="P8" i="30"/>
  <c r="I8" i="30"/>
  <c r="B8" i="30"/>
  <c r="P7" i="30"/>
  <c r="I7" i="30"/>
  <c r="B7" i="30"/>
  <c r="D72" i="32" l="1"/>
  <c r="D55" i="32"/>
  <c r="D76" i="32"/>
  <c r="D59" i="32"/>
  <c r="D80" i="32"/>
  <c r="E72" i="32"/>
  <c r="E76" i="32"/>
  <c r="E80" i="32"/>
  <c r="F72" i="32"/>
  <c r="F76" i="32"/>
  <c r="F59" i="32"/>
  <c r="F80" i="32"/>
  <c r="G72" i="32"/>
  <c r="G76" i="32"/>
  <c r="G80" i="32"/>
  <c r="H72" i="32"/>
  <c r="H76" i="32"/>
  <c r="H80" i="32"/>
  <c r="I72" i="32"/>
  <c r="I76" i="32"/>
  <c r="I80" i="32"/>
  <c r="J72" i="32"/>
  <c r="J76" i="32"/>
  <c r="J80" i="32"/>
  <c r="K72" i="32"/>
  <c r="K76" i="32"/>
  <c r="K80" i="32"/>
  <c r="L72" i="32"/>
  <c r="L76" i="32"/>
  <c r="L80" i="32"/>
  <c r="M72" i="32"/>
  <c r="M55" i="32"/>
  <c r="M76" i="32"/>
  <c r="M80" i="32"/>
  <c r="M63" i="32"/>
  <c r="D74" i="32"/>
  <c r="D57" i="32"/>
  <c r="D78" i="32"/>
  <c r="E74" i="32"/>
  <c r="E78" i="32"/>
  <c r="F74" i="32"/>
  <c r="F57" i="32"/>
  <c r="F78" i="32"/>
  <c r="G78" i="32"/>
  <c r="H74" i="32"/>
  <c r="H78" i="32"/>
  <c r="I74" i="32"/>
  <c r="I57" i="32"/>
  <c r="I78" i="32"/>
  <c r="J74" i="32"/>
  <c r="J78" i="32"/>
  <c r="K74" i="32"/>
  <c r="K78" i="32"/>
  <c r="L74" i="32"/>
  <c r="L78" i="32"/>
  <c r="L61" i="32"/>
  <c r="M74" i="32"/>
  <c r="M78" i="32"/>
  <c r="D75" i="32"/>
  <c r="D79" i="32"/>
  <c r="E75" i="32"/>
  <c r="E79" i="32"/>
  <c r="F75" i="32"/>
  <c r="F79" i="32"/>
  <c r="G75" i="32"/>
  <c r="G58" i="32"/>
  <c r="G79" i="32"/>
  <c r="H75" i="32"/>
  <c r="H58" i="32"/>
  <c r="H79" i="32"/>
  <c r="I75" i="32"/>
  <c r="I79" i="32"/>
  <c r="J75" i="32"/>
  <c r="J79" i="32"/>
  <c r="J62" i="32"/>
  <c r="K75" i="32"/>
  <c r="K79" i="32"/>
  <c r="L75" i="32"/>
  <c r="L79" i="32"/>
  <c r="L62" i="32"/>
  <c r="M75" i="32"/>
  <c r="M79" i="32"/>
  <c r="D73" i="32"/>
  <c r="D56" i="32"/>
  <c r="D77" i="32"/>
  <c r="D81" i="32"/>
  <c r="E73" i="32"/>
  <c r="E56" i="32"/>
  <c r="E77" i="32"/>
  <c r="E81" i="32"/>
  <c r="F73" i="32"/>
  <c r="F77" i="32"/>
  <c r="F81" i="32"/>
  <c r="G73" i="32"/>
  <c r="G77" i="32"/>
  <c r="G81" i="32"/>
  <c r="H73" i="32"/>
  <c r="H77" i="32"/>
  <c r="H81" i="32"/>
  <c r="I73" i="32"/>
  <c r="I77" i="32"/>
  <c r="I81" i="32"/>
  <c r="I64" i="32"/>
  <c r="J73" i="32"/>
  <c r="J77" i="32"/>
  <c r="J81" i="32"/>
  <c r="J64" i="32"/>
  <c r="K73" i="32"/>
  <c r="K77" i="32"/>
  <c r="K81" i="32"/>
  <c r="L73" i="32"/>
  <c r="L77" i="32"/>
  <c r="L81" i="32"/>
  <c r="L64" i="32"/>
  <c r="M73" i="32"/>
  <c r="M77" i="32"/>
  <c r="M81" i="32"/>
  <c r="M64" i="32"/>
  <c r="M6" i="32"/>
  <c r="D16" i="32"/>
  <c r="H16" i="32"/>
  <c r="Z13" i="32"/>
  <c r="Z11" i="32"/>
  <c r="Z8" i="32"/>
  <c r="Z9" i="32"/>
  <c r="M10" i="32"/>
  <c r="L16" i="32"/>
  <c r="Z12" i="32"/>
  <c r="M14" i="32"/>
  <c r="Z10" i="32"/>
  <c r="M12" i="32"/>
  <c r="R16" i="32"/>
  <c r="V16" i="32"/>
  <c r="Z6" i="32"/>
  <c r="Z7" i="32"/>
  <c r="M8" i="32"/>
  <c r="Z14" i="32"/>
  <c r="I16" i="32"/>
  <c r="W16" i="32"/>
  <c r="Z15" i="32"/>
  <c r="F16" i="32"/>
  <c r="J16" i="32"/>
  <c r="P16" i="32"/>
  <c r="T16" i="32"/>
  <c r="X16" i="32"/>
  <c r="E16" i="32"/>
  <c r="S16" i="32"/>
  <c r="M7" i="32"/>
  <c r="M9" i="32"/>
  <c r="M11" i="32"/>
  <c r="M13" i="32"/>
  <c r="M15" i="32"/>
  <c r="C16" i="32"/>
  <c r="G16" i="32"/>
  <c r="K16" i="32"/>
  <c r="Q16" i="32"/>
  <c r="U16" i="32"/>
  <c r="Y16" i="32"/>
  <c r="P48" i="32" l="1"/>
  <c r="N72" i="32" s="1"/>
  <c r="Z39" i="32"/>
  <c r="E82" i="32" s="1"/>
  <c r="Z38" i="32"/>
  <c r="D82" i="32" s="1"/>
  <c r="Z45" i="32"/>
  <c r="K82" i="32" s="1"/>
  <c r="X48" i="32"/>
  <c r="N80" i="32" s="1"/>
  <c r="Z41" i="32"/>
  <c r="G82" i="32" s="1"/>
  <c r="S48" i="32"/>
  <c r="N75" i="32" s="1"/>
  <c r="W48" i="32"/>
  <c r="N79" i="32" s="1"/>
  <c r="Z43" i="32"/>
  <c r="I82" i="32" s="1"/>
  <c r="Y48" i="32"/>
  <c r="N81" i="32" s="1"/>
  <c r="Z42" i="32"/>
  <c r="H82" i="32" s="1"/>
  <c r="U48" i="32"/>
  <c r="N77" i="32" s="1"/>
  <c r="Z46" i="32"/>
  <c r="L82" i="32" s="1"/>
  <c r="V48" i="32"/>
  <c r="N78" i="32" s="1"/>
  <c r="Q48" i="32"/>
  <c r="N73" i="32" s="1"/>
  <c r="T48" i="32"/>
  <c r="N76" i="32" s="1"/>
  <c r="Z47" i="32"/>
  <c r="M82" i="32" s="1"/>
  <c r="R48" i="32"/>
  <c r="N74" i="32" s="1"/>
  <c r="Z44" i="32"/>
  <c r="J82" i="32" s="1"/>
  <c r="Z40" i="32"/>
  <c r="F82" i="32" s="1"/>
  <c r="Z16" i="32"/>
  <c r="M16" i="32"/>
  <c r="Z48" i="32" l="1"/>
  <c r="N82" i="32" s="1"/>
  <c r="F10" i="31" l="1"/>
  <c r="F11" i="31" l="1"/>
  <c r="F9" i="31"/>
  <c r="F27" i="30"/>
  <c r="F26" i="30"/>
  <c r="F23" i="30" l="1"/>
  <c r="F8" i="31"/>
  <c r="E27" i="30" l="1"/>
  <c r="F25" i="30"/>
  <c r="F7" i="31"/>
  <c r="E26" i="30" l="1"/>
  <c r="E23" i="30" l="1"/>
  <c r="F6" i="31" l="1"/>
  <c r="E25" i="30"/>
  <c r="H33" i="4" l="1"/>
  <c r="F22" i="4" l="1"/>
  <c r="G22" i="4"/>
  <c r="H22" i="4"/>
  <c r="E22" i="4"/>
  <c r="AB276" i="12" l="1"/>
  <c r="AB325" i="12"/>
  <c r="AE276" i="12"/>
  <c r="AB232" i="14"/>
  <c r="AE262" i="12"/>
  <c r="AB276" i="11"/>
  <c r="AB232" i="12"/>
  <c r="AE325" i="12"/>
  <c r="AE232" i="13"/>
  <c r="AB276" i="13"/>
  <c r="AE262" i="10"/>
  <c r="AE325" i="13"/>
  <c r="AE232" i="10"/>
  <c r="AE262" i="11"/>
  <c r="AE232" i="12"/>
  <c r="AB276" i="14"/>
  <c r="AB290" i="14"/>
  <c r="AE307" i="14"/>
  <c r="AB232" i="10"/>
  <c r="AE276" i="10"/>
  <c r="AB232" i="11"/>
  <c r="AB325" i="11"/>
  <c r="AB307" i="14"/>
  <c r="AB290" i="11"/>
  <c r="AE307" i="11"/>
  <c r="AB262" i="14"/>
  <c r="AB290" i="10"/>
  <c r="AE290" i="10"/>
  <c r="AE307" i="10"/>
  <c r="AE325" i="10"/>
  <c r="AB262" i="11"/>
  <c r="AB307" i="11"/>
  <c r="AE325" i="11"/>
  <c r="AB262" i="12"/>
  <c r="AE262" i="13"/>
  <c r="AE232" i="14"/>
  <c r="AE262" i="14"/>
  <c r="AB262" i="10"/>
  <c r="AB276" i="10"/>
  <c r="AB307" i="10"/>
  <c r="AB325" i="10"/>
  <c r="AE276" i="11"/>
  <c r="AB232" i="13"/>
  <c r="AE290" i="13"/>
  <c r="AE276" i="14"/>
  <c r="AE290" i="14"/>
  <c r="AE325" i="14"/>
  <c r="AB325" i="14"/>
  <c r="AE276" i="13"/>
  <c r="AB262" i="13"/>
  <c r="AB307" i="13"/>
  <c r="AB325" i="13"/>
  <c r="AB290" i="13"/>
  <c r="AE307" i="13"/>
  <c r="AB290" i="12"/>
  <c r="AE290" i="12"/>
  <c r="AE307" i="12"/>
  <c r="AB307" i="12"/>
  <c r="AE232" i="11"/>
  <c r="AE290" i="11"/>
  <c r="G8" i="14"/>
  <c r="F8" i="14"/>
  <c r="G8" i="13"/>
  <c r="F8" i="13"/>
  <c r="G8" i="12" l="1"/>
  <c r="F8" i="12"/>
  <c r="G8" i="11" l="1"/>
  <c r="F8" i="11"/>
  <c r="F8" i="10" l="1"/>
  <c r="G8" i="10" l="1"/>
  <c r="E12" i="4"/>
  <c r="E20" i="4" l="1"/>
  <c r="N222" i="6"/>
  <c r="N217" i="3"/>
  <c r="N213" i="3"/>
  <c r="N209" i="3"/>
  <c r="N205" i="3"/>
  <c r="N201" i="3"/>
  <c r="N197" i="3"/>
  <c r="N193" i="3"/>
  <c r="N189" i="3"/>
  <c r="N185" i="3"/>
  <c r="N181" i="3"/>
  <c r="N177" i="3"/>
  <c r="N173" i="3"/>
  <c r="N169" i="3"/>
  <c r="N165" i="3"/>
  <c r="N161" i="3"/>
  <c r="N157" i="3"/>
  <c r="N153" i="3"/>
  <c r="N149" i="3"/>
  <c r="N145" i="3"/>
  <c r="N141" i="3"/>
  <c r="N137" i="3"/>
  <c r="N133" i="3"/>
  <c r="N129" i="3"/>
  <c r="N125" i="3"/>
  <c r="N121" i="3"/>
  <c r="N117" i="3"/>
  <c r="N113" i="3"/>
  <c r="N109" i="3"/>
  <c r="N105" i="3"/>
  <c r="N101" i="3"/>
  <c r="N97" i="3"/>
  <c r="N93" i="3"/>
  <c r="N89" i="3"/>
  <c r="N85" i="3"/>
  <c r="N81" i="3"/>
  <c r="N77" i="3"/>
  <c r="N73" i="3"/>
  <c r="N69" i="3"/>
  <c r="N62" i="3"/>
  <c r="N58" i="3"/>
  <c r="N54" i="3"/>
  <c r="N50" i="3"/>
  <c r="N46" i="3"/>
  <c r="N42" i="3"/>
  <c r="N38" i="3"/>
  <c r="N34" i="3"/>
  <c r="N30" i="3"/>
  <c r="N26" i="3"/>
  <c r="N22" i="3"/>
  <c r="N18" i="3"/>
  <c r="N14" i="3"/>
  <c r="N211" i="3"/>
  <c r="N191" i="3"/>
  <c r="N183" i="3"/>
  <c r="N175" i="3"/>
  <c r="N163" i="3"/>
  <c r="N155" i="3"/>
  <c r="N147" i="3"/>
  <c r="N139" i="3"/>
  <c r="N131" i="3"/>
  <c r="N127" i="3"/>
  <c r="N119" i="3"/>
  <c r="N107" i="3"/>
  <c r="N99" i="3"/>
  <c r="N91" i="3"/>
  <c r="N83" i="3"/>
  <c r="N75" i="3"/>
  <c r="N67" i="3"/>
  <c r="N60" i="3"/>
  <c r="N52" i="3"/>
  <c r="N40" i="3"/>
  <c r="N32" i="3"/>
  <c r="N24" i="3"/>
  <c r="N16" i="3"/>
  <c r="N214" i="3"/>
  <c r="N206" i="3"/>
  <c r="N198" i="3"/>
  <c r="N190" i="3"/>
  <c r="N182" i="3"/>
  <c r="N174" i="3"/>
  <c r="N166" i="3"/>
  <c r="N158" i="3"/>
  <c r="N150" i="3"/>
  <c r="N142" i="3"/>
  <c r="N134" i="3"/>
  <c r="N126" i="3"/>
  <c r="N118" i="3"/>
  <c r="N110" i="3"/>
  <c r="N102" i="3"/>
  <c r="N94" i="3"/>
  <c r="N86" i="3"/>
  <c r="N78" i="3"/>
  <c r="N66" i="3"/>
  <c r="N59" i="3"/>
  <c r="N51" i="3"/>
  <c r="N43" i="3"/>
  <c r="N35" i="3"/>
  <c r="N27" i="3"/>
  <c r="N19" i="3"/>
  <c r="N220" i="3"/>
  <c r="N216" i="3"/>
  <c r="N212" i="3"/>
  <c r="N208" i="3"/>
  <c r="N204" i="3"/>
  <c r="N200" i="3"/>
  <c r="N196" i="3"/>
  <c r="N192" i="3"/>
  <c r="N188" i="3"/>
  <c r="N184" i="3"/>
  <c r="N180" i="3"/>
  <c r="N176" i="3"/>
  <c r="N172" i="3"/>
  <c r="N168" i="3"/>
  <c r="N164" i="3"/>
  <c r="N160" i="3"/>
  <c r="N156" i="3"/>
  <c r="N152" i="3"/>
  <c r="N148" i="3"/>
  <c r="N144" i="3"/>
  <c r="N140" i="3"/>
  <c r="N136" i="3"/>
  <c r="N132" i="3"/>
  <c r="N128" i="3"/>
  <c r="N124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5" i="3"/>
  <c r="N61" i="3"/>
  <c r="N57" i="3"/>
  <c r="N53" i="3"/>
  <c r="N49" i="3"/>
  <c r="N45" i="3"/>
  <c r="N41" i="3"/>
  <c r="N37" i="3"/>
  <c r="N33" i="3"/>
  <c r="N29" i="3"/>
  <c r="N25" i="3"/>
  <c r="N21" i="3"/>
  <c r="N17" i="3"/>
  <c r="N13" i="3"/>
  <c r="N219" i="3"/>
  <c r="N215" i="3"/>
  <c r="N207" i="3"/>
  <c r="N203" i="3"/>
  <c r="N199" i="3"/>
  <c r="N195" i="3"/>
  <c r="N187" i="3"/>
  <c r="N179" i="3"/>
  <c r="N171" i="3"/>
  <c r="N167" i="3"/>
  <c r="N159" i="3"/>
  <c r="N151" i="3"/>
  <c r="N143" i="3"/>
  <c r="N135" i="3"/>
  <c r="N123" i="3"/>
  <c r="N115" i="3"/>
  <c r="N111" i="3"/>
  <c r="N103" i="3"/>
  <c r="N95" i="3"/>
  <c r="N87" i="3"/>
  <c r="N79" i="3"/>
  <c r="N71" i="3"/>
  <c r="N64" i="3"/>
  <c r="N56" i="3"/>
  <c r="N48" i="3"/>
  <c r="N44" i="3"/>
  <c r="N36" i="3"/>
  <c r="N28" i="3"/>
  <c r="N20" i="3"/>
  <c r="N218" i="3"/>
  <c r="N210" i="3"/>
  <c r="N202" i="3"/>
  <c r="N194" i="3"/>
  <c r="N186" i="3"/>
  <c r="N178" i="3"/>
  <c r="N170" i="3"/>
  <c r="N162" i="3"/>
  <c r="N154" i="3"/>
  <c r="N146" i="3"/>
  <c r="N138" i="3"/>
  <c r="N130" i="3"/>
  <c r="N122" i="3"/>
  <c r="N114" i="3"/>
  <c r="N106" i="3"/>
  <c r="N98" i="3"/>
  <c r="N90" i="3"/>
  <c r="N82" i="3"/>
  <c r="N74" i="3"/>
  <c r="N70" i="3"/>
  <c r="N63" i="3"/>
  <c r="N55" i="3"/>
  <c r="N47" i="3"/>
  <c r="N39" i="3"/>
  <c r="N31" i="3"/>
  <c r="N23" i="3"/>
  <c r="N15" i="3"/>
  <c r="N12" i="3"/>
  <c r="I7" i="4"/>
  <c r="N222" i="7" l="1"/>
  <c r="N300" i="7" s="1"/>
  <c r="N222" i="9"/>
  <c r="N314" i="9" s="1"/>
  <c r="N222" i="8"/>
  <c r="N283" i="8" s="1"/>
  <c r="N322" i="6"/>
  <c r="N314" i="6"/>
  <c r="N298" i="6"/>
  <c r="N278" i="6"/>
  <c r="N256" i="6"/>
  <c r="N240" i="6"/>
  <c r="N301" i="6"/>
  <c r="N281" i="6"/>
  <c r="N259" i="6"/>
  <c r="N243" i="6"/>
  <c r="N319" i="6"/>
  <c r="N311" i="6"/>
  <c r="N289" i="6"/>
  <c r="N269" i="6"/>
  <c r="N250" i="6"/>
  <c r="N303" i="6"/>
  <c r="N229" i="6"/>
  <c r="N228" i="6"/>
  <c r="N231" i="6"/>
  <c r="N253" i="6"/>
  <c r="N293" i="6"/>
  <c r="N316" i="6"/>
  <c r="N285" i="6"/>
  <c r="N321" i="6"/>
  <c r="N296" i="6"/>
  <c r="N254" i="6"/>
  <c r="N241" i="6"/>
  <c r="N295" i="6"/>
  <c r="N320" i="6"/>
  <c r="N312" i="6"/>
  <c r="N294" i="6"/>
  <c r="N271" i="6"/>
  <c r="N252" i="6"/>
  <c r="N236" i="6"/>
  <c r="N297" i="6"/>
  <c r="N275" i="6"/>
  <c r="N255" i="6"/>
  <c r="N239" i="6"/>
  <c r="N317" i="6"/>
  <c r="N304" i="6"/>
  <c r="N284" i="6"/>
  <c r="N265" i="6"/>
  <c r="N246" i="6"/>
  <c r="N283" i="6"/>
  <c r="N299" i="6"/>
  <c r="N272" i="6"/>
  <c r="N226" i="6"/>
  <c r="N268" i="6"/>
  <c r="N318" i="6"/>
  <c r="N310" i="6"/>
  <c r="N286" i="6"/>
  <c r="N267" i="6"/>
  <c r="N248" i="6"/>
  <c r="N324" i="6"/>
  <c r="N270" i="6"/>
  <c r="N251" i="6"/>
  <c r="N235" i="6"/>
  <c r="N315" i="6"/>
  <c r="N300" i="6"/>
  <c r="N280" i="6"/>
  <c r="N258" i="6"/>
  <c r="N242" i="6"/>
  <c r="N264" i="6"/>
  <c r="N257" i="6"/>
  <c r="N237" i="6"/>
  <c r="N279" i="6"/>
  <c r="N227" i="6"/>
  <c r="N302" i="6"/>
  <c r="N282" i="6"/>
  <c r="N261" i="6"/>
  <c r="N244" i="6"/>
  <c r="N306" i="6"/>
  <c r="N266" i="6"/>
  <c r="N247" i="6"/>
  <c r="N313" i="6"/>
  <c r="N273" i="6"/>
  <c r="N238" i="6"/>
  <c r="N245" i="6"/>
  <c r="N287" i="6"/>
  <c r="N249" i="6"/>
  <c r="N250" i="7"/>
  <c r="N239" i="7"/>
  <c r="I12" i="4"/>
  <c r="G7" i="4"/>
  <c r="N240" i="7" l="1"/>
  <c r="N282" i="7"/>
  <c r="N304" i="7"/>
  <c r="N251" i="7"/>
  <c r="N311" i="7"/>
  <c r="N322" i="9"/>
  <c r="N287" i="9"/>
  <c r="N244" i="7"/>
  <c r="N275" i="7"/>
  <c r="N257" i="7"/>
  <c r="N283" i="7"/>
  <c r="N296" i="9"/>
  <c r="N243" i="7"/>
  <c r="N237" i="7"/>
  <c r="N321" i="7"/>
  <c r="N299" i="9"/>
  <c r="N257" i="9"/>
  <c r="N302" i="9"/>
  <c r="N282" i="9"/>
  <c r="N318" i="9"/>
  <c r="N252" i="9"/>
  <c r="N259" i="9"/>
  <c r="N269" i="9"/>
  <c r="N311" i="9"/>
  <c r="N279" i="9"/>
  <c r="N320" i="9"/>
  <c r="N256" i="9"/>
  <c r="N303" i="9"/>
  <c r="N317" i="9"/>
  <c r="N251" i="9"/>
  <c r="N255" i="9"/>
  <c r="N300" i="9"/>
  <c r="N295" i="9"/>
  <c r="N228" i="9"/>
  <c r="N285" i="9"/>
  <c r="N267" i="9"/>
  <c r="N248" i="9"/>
  <c r="N254" i="9"/>
  <c r="N297" i="9"/>
  <c r="N253" i="9"/>
  <c r="N324" i="9"/>
  <c r="N298" i="9"/>
  <c r="N226" i="9"/>
  <c r="N306" i="9"/>
  <c r="N246" i="9"/>
  <c r="N229" i="9"/>
  <c r="N289" i="9"/>
  <c r="N237" i="9"/>
  <c r="N321" i="9"/>
  <c r="N294" i="9"/>
  <c r="N258" i="9"/>
  <c r="N301" i="9"/>
  <c r="N310" i="8"/>
  <c r="N275" i="8"/>
  <c r="N287" i="7"/>
  <c r="N265" i="7"/>
  <c r="N267" i="7"/>
  <c r="N285" i="7"/>
  <c r="N254" i="7"/>
  <c r="N281" i="7"/>
  <c r="N280" i="7"/>
  <c r="N268" i="7"/>
  <c r="N229" i="7"/>
  <c r="N246" i="7"/>
  <c r="N295" i="7"/>
  <c r="N294" i="7"/>
  <c r="N248" i="7"/>
  <c r="N314" i="7"/>
  <c r="N227" i="8"/>
  <c r="N242" i="8"/>
  <c r="N301" i="7"/>
  <c r="N284" i="7"/>
  <c r="N226" i="7"/>
  <c r="N306" i="7"/>
  <c r="N317" i="7"/>
  <c r="N310" i="7"/>
  <c r="N231" i="7"/>
  <c r="N247" i="7"/>
  <c r="N320" i="7"/>
  <c r="N296" i="7"/>
  <c r="N318" i="7"/>
  <c r="N266" i="7"/>
  <c r="N245" i="7"/>
  <c r="N315" i="7"/>
  <c r="N280" i="8"/>
  <c r="N293" i="7"/>
  <c r="N316" i="7"/>
  <c r="N261" i="7"/>
  <c r="N302" i="7"/>
  <c r="N249" i="7"/>
  <c r="N228" i="7"/>
  <c r="N272" i="7"/>
  <c r="N259" i="7"/>
  <c r="N252" i="7"/>
  <c r="N299" i="7"/>
  <c r="N227" i="7"/>
  <c r="N289" i="7"/>
  <c r="N278" i="7"/>
  <c r="N242" i="7"/>
  <c r="N304" i="9"/>
  <c r="N261" i="9"/>
  <c r="N265" i="9"/>
  <c r="N235" i="9"/>
  <c r="N241" i="9"/>
  <c r="N247" i="9"/>
  <c r="N316" i="9"/>
  <c r="N270" i="9"/>
  <c r="N250" i="9"/>
  <c r="N293" i="9"/>
  <c r="N249" i="9"/>
  <c r="N238" i="9"/>
  <c r="N313" i="9"/>
  <c r="N275" i="9"/>
  <c r="N271" i="9"/>
  <c r="N268" i="9"/>
  <c r="N242" i="9"/>
  <c r="N315" i="9"/>
  <c r="N281" i="9"/>
  <c r="N278" i="9"/>
  <c r="N266" i="9"/>
  <c r="N227" i="9"/>
  <c r="N245" i="9"/>
  <c r="N310" i="9"/>
  <c r="N284" i="9"/>
  <c r="N244" i="9"/>
  <c r="N231" i="9"/>
  <c r="N283" i="9"/>
  <c r="N319" i="9"/>
  <c r="N286" i="9"/>
  <c r="N264" i="9"/>
  <c r="N273" i="9"/>
  <c r="N239" i="9"/>
  <c r="N236" i="9"/>
  <c r="N312" i="9"/>
  <c r="N272" i="9"/>
  <c r="N280" i="9"/>
  <c r="N243" i="9"/>
  <c r="N240" i="9"/>
  <c r="N235" i="8"/>
  <c r="N287" i="8"/>
  <c r="N311" i="8"/>
  <c r="N250" i="8"/>
  <c r="N245" i="8"/>
  <c r="N254" i="8"/>
  <c r="N246" i="8"/>
  <c r="N286" i="8"/>
  <c r="N271" i="8"/>
  <c r="N281" i="8"/>
  <c r="N306" i="8"/>
  <c r="N244" i="8"/>
  <c r="N231" i="8"/>
  <c r="N241" i="8"/>
  <c r="N278" i="8"/>
  <c r="N266" i="8"/>
  <c r="N229" i="8"/>
  <c r="N226" i="8"/>
  <c r="N296" i="8"/>
  <c r="N267" i="8"/>
  <c r="N269" i="8"/>
  <c r="N285" i="8"/>
  <c r="N249" i="8"/>
  <c r="N304" i="8"/>
  <c r="N248" i="8"/>
  <c r="N295" i="8"/>
  <c r="N315" i="8"/>
  <c r="N255" i="8"/>
  <c r="N252" i="8"/>
  <c r="N320" i="8"/>
  <c r="N299" i="8"/>
  <c r="N238" i="8"/>
  <c r="N259" i="8"/>
  <c r="N256" i="8"/>
  <c r="N322" i="8"/>
  <c r="N303" i="8"/>
  <c r="N271" i="7"/>
  <c r="N241" i="7"/>
  <c r="N238" i="7"/>
  <c r="N313" i="7"/>
  <c r="N235" i="7"/>
  <c r="N253" i="7"/>
  <c r="N319" i="7"/>
  <c r="N270" i="7"/>
  <c r="N298" i="7"/>
  <c r="N264" i="7"/>
  <c r="N258" i="7"/>
  <c r="N324" i="7"/>
  <c r="N265" i="8"/>
  <c r="N261" i="8"/>
  <c r="N268" i="8"/>
  <c r="N270" i="8"/>
  <c r="N237" i="8"/>
  <c r="N258" i="8"/>
  <c r="N282" i="8"/>
  <c r="N284" i="8"/>
  <c r="N251" i="8"/>
  <c r="N318" i="8"/>
  <c r="N313" i="8"/>
  <c r="N300" i="8"/>
  <c r="N297" i="8"/>
  <c r="N294" i="8"/>
  <c r="N257" i="8"/>
  <c r="N321" i="8"/>
  <c r="N317" i="8"/>
  <c r="N301" i="8"/>
  <c r="N298" i="8"/>
  <c r="N264" i="8"/>
  <c r="N236" i="7"/>
  <c r="N312" i="7"/>
  <c r="N279" i="7"/>
  <c r="N273" i="7"/>
  <c r="N297" i="7"/>
  <c r="N286" i="7"/>
  <c r="N269" i="7"/>
  <c r="N255" i="7"/>
  <c r="N256" i="7"/>
  <c r="N322" i="7"/>
  <c r="N303" i="7"/>
  <c r="N302" i="8"/>
  <c r="N324" i="8"/>
  <c r="N228" i="8"/>
  <c r="N272" i="8"/>
  <c r="N247" i="8"/>
  <c r="N316" i="8"/>
  <c r="N289" i="8"/>
  <c r="N293" i="8"/>
  <c r="N253" i="8"/>
  <c r="N273" i="8"/>
  <c r="N239" i="8"/>
  <c r="N236" i="8"/>
  <c r="N312" i="8"/>
  <c r="N279" i="8"/>
  <c r="N319" i="8"/>
  <c r="N243" i="8"/>
  <c r="N240" i="8"/>
  <c r="N314" i="8"/>
  <c r="N220" i="9"/>
  <c r="N218" i="9"/>
  <c r="N216" i="9"/>
  <c r="N214" i="9"/>
  <c r="N212" i="9"/>
  <c r="N210" i="9"/>
  <c r="N208" i="9"/>
  <c r="N206" i="9"/>
  <c r="N204" i="9"/>
  <c r="N202" i="9"/>
  <c r="N200" i="9"/>
  <c r="N198" i="9"/>
  <c r="N196" i="9"/>
  <c r="N194" i="9"/>
  <c r="N192" i="9"/>
  <c r="N190" i="9"/>
  <c r="N188" i="9"/>
  <c r="N186" i="9"/>
  <c r="N184" i="9"/>
  <c r="N182" i="9"/>
  <c r="N180" i="9"/>
  <c r="N178" i="9"/>
  <c r="N176" i="9"/>
  <c r="N174" i="9"/>
  <c r="N172" i="9"/>
  <c r="N170" i="9"/>
  <c r="N168" i="9"/>
  <c r="N166" i="9"/>
  <c r="N164" i="9"/>
  <c r="N162" i="9"/>
  <c r="N160" i="9"/>
  <c r="N158" i="9"/>
  <c r="N156" i="9"/>
  <c r="N154" i="9"/>
  <c r="N152" i="9"/>
  <c r="N150" i="9"/>
  <c r="N148" i="9"/>
  <c r="N146" i="9"/>
  <c r="N144" i="9"/>
  <c r="N142" i="9"/>
  <c r="N140" i="9"/>
  <c r="N138" i="9"/>
  <c r="N136" i="9"/>
  <c r="N134" i="9"/>
  <c r="N132" i="9"/>
  <c r="N130" i="9"/>
  <c r="N128" i="9"/>
  <c r="N126" i="9"/>
  <c r="N124" i="9"/>
  <c r="N122" i="9"/>
  <c r="N120" i="9"/>
  <c r="N118" i="9"/>
  <c r="N116" i="9"/>
  <c r="N114" i="9"/>
  <c r="N112" i="9"/>
  <c r="N110" i="9"/>
  <c r="N108" i="9"/>
  <c r="N106" i="9"/>
  <c r="N104" i="9"/>
  <c r="N102" i="9"/>
  <c r="N100" i="9"/>
  <c r="N98" i="9"/>
  <c r="N96" i="9"/>
  <c r="N94" i="9"/>
  <c r="N92" i="9"/>
  <c r="N90" i="9"/>
  <c r="N88" i="9"/>
  <c r="N86" i="9"/>
  <c r="N84" i="9"/>
  <c r="N82" i="9"/>
  <c r="N80" i="9"/>
  <c r="N78" i="9"/>
  <c r="N76" i="9"/>
  <c r="N74" i="9"/>
  <c r="N72" i="9"/>
  <c r="N70" i="9"/>
  <c r="N68" i="9"/>
  <c r="N66" i="9"/>
  <c r="N64" i="9"/>
  <c r="N62" i="9"/>
  <c r="N60" i="9"/>
  <c r="N58" i="9"/>
  <c r="N56" i="9"/>
  <c r="N54" i="9"/>
  <c r="N52" i="9"/>
  <c r="N219" i="9"/>
  <c r="N215" i="9"/>
  <c r="N207" i="9"/>
  <c r="N199" i="9"/>
  <c r="N191" i="9"/>
  <c r="N183" i="9"/>
  <c r="N175" i="9"/>
  <c r="N167" i="9"/>
  <c r="N159" i="9"/>
  <c r="N151" i="9"/>
  <c r="N143" i="9"/>
  <c r="N135" i="9"/>
  <c r="N127" i="9"/>
  <c r="N119" i="9"/>
  <c r="N111" i="9"/>
  <c r="N103" i="9"/>
  <c r="N95" i="9"/>
  <c r="N87" i="9"/>
  <c r="N79" i="9"/>
  <c r="N71" i="9"/>
  <c r="N63" i="9"/>
  <c r="N55" i="9"/>
  <c r="N50" i="9"/>
  <c r="N48" i="9"/>
  <c r="N46" i="9"/>
  <c r="N44" i="9"/>
  <c r="N42" i="9"/>
  <c r="N40" i="9"/>
  <c r="N38" i="9"/>
  <c r="N36" i="9"/>
  <c r="N34" i="9"/>
  <c r="N32" i="9"/>
  <c r="N30" i="9"/>
  <c r="N28" i="9"/>
  <c r="N26" i="9"/>
  <c r="N24" i="9"/>
  <c r="N22" i="9"/>
  <c r="N20" i="9"/>
  <c r="N18" i="9"/>
  <c r="N16" i="9"/>
  <c r="N14" i="9"/>
  <c r="N12" i="9"/>
  <c r="N217" i="9"/>
  <c r="N211" i="9"/>
  <c r="N203" i="9"/>
  <c r="N195" i="9"/>
  <c r="N187" i="9"/>
  <c r="N179" i="9"/>
  <c r="N171" i="9"/>
  <c r="N163" i="9"/>
  <c r="N155" i="9"/>
  <c r="N147" i="9"/>
  <c r="N139" i="9"/>
  <c r="N131" i="9"/>
  <c r="N123" i="9"/>
  <c r="N115" i="9"/>
  <c r="N107" i="9"/>
  <c r="N99" i="9"/>
  <c r="N91" i="9"/>
  <c r="N83" i="9"/>
  <c r="N75" i="9"/>
  <c r="N67" i="9"/>
  <c r="N59" i="9"/>
  <c r="N51" i="9"/>
  <c r="N49" i="9"/>
  <c r="N47" i="9"/>
  <c r="N45" i="9"/>
  <c r="N43" i="9"/>
  <c r="N41" i="9"/>
  <c r="N39" i="9"/>
  <c r="N37" i="9"/>
  <c r="N35" i="9"/>
  <c r="N33" i="9"/>
  <c r="N31" i="9"/>
  <c r="N29" i="9"/>
  <c r="N27" i="9"/>
  <c r="N25" i="9"/>
  <c r="N23" i="9"/>
  <c r="N21" i="9"/>
  <c r="N19" i="9"/>
  <c r="N17" i="9"/>
  <c r="N15" i="9"/>
  <c r="N13" i="9"/>
  <c r="N201" i="9"/>
  <c r="N185" i="9"/>
  <c r="N169" i="9"/>
  <c r="N153" i="9"/>
  <c r="N137" i="9"/>
  <c r="N121" i="9"/>
  <c r="N105" i="9"/>
  <c r="N89" i="9"/>
  <c r="N73" i="9"/>
  <c r="N57" i="9"/>
  <c r="N205" i="9"/>
  <c r="N189" i="9"/>
  <c r="N173" i="9"/>
  <c r="N157" i="9"/>
  <c r="N141" i="9"/>
  <c r="N125" i="9"/>
  <c r="N109" i="9"/>
  <c r="N209" i="9"/>
  <c r="N193" i="9"/>
  <c r="N177" i="9"/>
  <c r="N161" i="9"/>
  <c r="N145" i="9"/>
  <c r="N129" i="9"/>
  <c r="N113" i="9"/>
  <c r="N97" i="9"/>
  <c r="N81" i="9"/>
  <c r="N65" i="9"/>
  <c r="N213" i="9"/>
  <c r="N197" i="9"/>
  <c r="N181" i="9"/>
  <c r="N165" i="9"/>
  <c r="N149" i="9"/>
  <c r="N133" i="9"/>
  <c r="N117" i="9"/>
  <c r="N101" i="9"/>
  <c r="N85" i="9"/>
  <c r="N61" i="9"/>
  <c r="N69" i="9"/>
  <c r="N77" i="9"/>
  <c r="N93" i="9"/>
  <c r="N53" i="9"/>
  <c r="I20" i="4"/>
  <c r="I21" i="4"/>
  <c r="G12" i="4"/>
  <c r="N219" i="7" l="1"/>
  <c r="N217" i="7"/>
  <c r="N215" i="7"/>
  <c r="N213" i="7"/>
  <c r="N211" i="7"/>
  <c r="N209" i="7"/>
  <c r="N207" i="7"/>
  <c r="N205" i="7"/>
  <c r="N203" i="7"/>
  <c r="N201" i="7"/>
  <c r="N199" i="7"/>
  <c r="N197" i="7"/>
  <c r="N195" i="7"/>
  <c r="N193" i="7"/>
  <c r="N191" i="7"/>
  <c r="N189" i="7"/>
  <c r="N187" i="7"/>
  <c r="N185" i="7"/>
  <c r="N183" i="7"/>
  <c r="N181" i="7"/>
  <c r="N179" i="7"/>
  <c r="N177" i="7"/>
  <c r="N175" i="7"/>
  <c r="N173" i="7"/>
  <c r="N171" i="7"/>
  <c r="N169" i="7"/>
  <c r="N167" i="7"/>
  <c r="N165" i="7"/>
  <c r="N163" i="7"/>
  <c r="N161" i="7"/>
  <c r="N159" i="7"/>
  <c r="N157" i="7"/>
  <c r="N155" i="7"/>
  <c r="N153" i="7"/>
  <c r="N151" i="7"/>
  <c r="N149" i="7"/>
  <c r="N147" i="7"/>
  <c r="N145" i="7"/>
  <c r="N143" i="7"/>
  <c r="N141" i="7"/>
  <c r="N139" i="7"/>
  <c r="N137" i="7"/>
  <c r="N135" i="7"/>
  <c r="N133" i="7"/>
  <c r="N131" i="7"/>
  <c r="N210" i="7"/>
  <c r="N202" i="7"/>
  <c r="N194" i="7"/>
  <c r="N186" i="7"/>
  <c r="N178" i="7"/>
  <c r="N170" i="7"/>
  <c r="N162" i="7"/>
  <c r="N154" i="7"/>
  <c r="N146" i="7"/>
  <c r="N138" i="7"/>
  <c r="N130" i="7"/>
  <c r="N128" i="7"/>
  <c r="N126" i="7"/>
  <c r="N124" i="7"/>
  <c r="N122" i="7"/>
  <c r="N120" i="7"/>
  <c r="N118" i="7"/>
  <c r="N116" i="7"/>
  <c r="N114" i="7"/>
  <c r="N112" i="7"/>
  <c r="N110" i="7"/>
  <c r="N108" i="7"/>
  <c r="N106" i="7"/>
  <c r="N104" i="7"/>
  <c r="N102" i="7"/>
  <c r="N100" i="7"/>
  <c r="N98" i="7"/>
  <c r="N96" i="7"/>
  <c r="N94" i="7"/>
  <c r="N92" i="7"/>
  <c r="N90" i="7"/>
  <c r="N88" i="7"/>
  <c r="N86" i="7"/>
  <c r="N84" i="7"/>
  <c r="N82" i="7"/>
  <c r="N80" i="7"/>
  <c r="N78" i="7"/>
  <c r="N76" i="7"/>
  <c r="N74" i="7"/>
  <c r="N72" i="7"/>
  <c r="N70" i="7"/>
  <c r="N68" i="7"/>
  <c r="N66" i="7"/>
  <c r="N64" i="7"/>
  <c r="N62" i="7"/>
  <c r="N60" i="7"/>
  <c r="N58" i="7"/>
  <c r="N56" i="7"/>
  <c r="N54" i="7"/>
  <c r="N52" i="7"/>
  <c r="N50" i="7"/>
  <c r="N48" i="7"/>
  <c r="N46" i="7"/>
  <c r="N44" i="7"/>
  <c r="N42" i="7"/>
  <c r="N40" i="7"/>
  <c r="N38" i="7"/>
  <c r="N36" i="7"/>
  <c r="N34" i="7"/>
  <c r="N32" i="7"/>
  <c r="N30" i="7"/>
  <c r="N28" i="7"/>
  <c r="N26" i="7"/>
  <c r="N24" i="7"/>
  <c r="N22" i="7"/>
  <c r="N20" i="7"/>
  <c r="N18" i="7"/>
  <c r="N16" i="7"/>
  <c r="N14" i="7"/>
  <c r="N12" i="7"/>
  <c r="N166" i="7"/>
  <c r="N158" i="7"/>
  <c r="N150" i="7"/>
  <c r="N142" i="7"/>
  <c r="N134" i="7"/>
  <c r="N127" i="7"/>
  <c r="N123" i="7"/>
  <c r="N119" i="7"/>
  <c r="N115" i="7"/>
  <c r="N111" i="7"/>
  <c r="N109" i="7"/>
  <c r="N105" i="7"/>
  <c r="N101" i="7"/>
  <c r="N97" i="7"/>
  <c r="N218" i="7"/>
  <c r="N212" i="7"/>
  <c r="N204" i="7"/>
  <c r="N196" i="7"/>
  <c r="N188" i="7"/>
  <c r="N180" i="7"/>
  <c r="N172" i="7"/>
  <c r="N164" i="7"/>
  <c r="N156" i="7"/>
  <c r="N148" i="7"/>
  <c r="N140" i="7"/>
  <c r="N132" i="7"/>
  <c r="N214" i="7"/>
  <c r="N206" i="7"/>
  <c r="N198" i="7"/>
  <c r="N190" i="7"/>
  <c r="N182" i="7"/>
  <c r="N174" i="7"/>
  <c r="N129" i="7"/>
  <c r="N125" i="7"/>
  <c r="N121" i="7"/>
  <c r="N117" i="7"/>
  <c r="N113" i="7"/>
  <c r="N107" i="7"/>
  <c r="N103" i="7"/>
  <c r="N99" i="7"/>
  <c r="N95" i="7"/>
  <c r="N192" i="7"/>
  <c r="N160" i="7"/>
  <c r="N91" i="7"/>
  <c r="N87" i="7"/>
  <c r="N83" i="7"/>
  <c r="N79" i="7"/>
  <c r="N75" i="7"/>
  <c r="N71" i="7"/>
  <c r="N67" i="7"/>
  <c r="N63" i="7"/>
  <c r="N59" i="7"/>
  <c r="N55" i="7"/>
  <c r="N51" i="7"/>
  <c r="N47" i="7"/>
  <c r="N43" i="7"/>
  <c r="N39" i="7"/>
  <c r="N35" i="7"/>
  <c r="N31" i="7"/>
  <c r="N27" i="7"/>
  <c r="N23" i="7"/>
  <c r="N19" i="7"/>
  <c r="N15" i="7"/>
  <c r="N220" i="7"/>
  <c r="N144" i="7"/>
  <c r="N93" i="7"/>
  <c r="N89" i="7"/>
  <c r="N85" i="7"/>
  <c r="N81" i="7"/>
  <c r="N77" i="7"/>
  <c r="N73" i="7"/>
  <c r="N69" i="7"/>
  <c r="N65" i="7"/>
  <c r="N61" i="7"/>
  <c r="N57" i="7"/>
  <c r="N53" i="7"/>
  <c r="N49" i="7"/>
  <c r="N45" i="7"/>
  <c r="N41" i="7"/>
  <c r="N37" i="7"/>
  <c r="N33" i="7"/>
  <c r="N29" i="7"/>
  <c r="N25" i="7"/>
  <c r="N21" i="7"/>
  <c r="N17" i="7"/>
  <c r="N13" i="7"/>
  <c r="N152" i="7"/>
  <c r="N200" i="7"/>
  <c r="N168" i="7"/>
  <c r="N136" i="7"/>
  <c r="N208" i="7"/>
  <c r="N176" i="7"/>
  <c r="N216" i="7"/>
  <c r="N184" i="7"/>
  <c r="G20" i="4"/>
  <c r="G21" i="4"/>
  <c r="N222" i="3"/>
  <c r="E21" i="4"/>
  <c r="H7" i="4"/>
  <c r="F7" i="4"/>
  <c r="E7" i="4"/>
  <c r="N324" i="3" l="1"/>
  <c r="N321" i="3"/>
  <c r="N320" i="3"/>
  <c r="N319" i="3"/>
  <c r="N318" i="3"/>
  <c r="N311" i="3"/>
  <c r="N304" i="3"/>
  <c r="N322" i="3"/>
  <c r="N315" i="3"/>
  <c r="N314" i="3"/>
  <c r="N312" i="3"/>
  <c r="N302" i="3"/>
  <c r="N296" i="3"/>
  <c r="N295" i="3"/>
  <c r="N317" i="3"/>
  <c r="N298" i="3"/>
  <c r="N293" i="3"/>
  <c r="N289" i="3"/>
  <c r="N280" i="3"/>
  <c r="N316" i="3"/>
  <c r="N306" i="3"/>
  <c r="N301" i="3"/>
  <c r="N300" i="3"/>
  <c r="N297" i="3"/>
  <c r="N287" i="3"/>
  <c r="N310" i="3"/>
  <c r="N303" i="3"/>
  <c r="N299" i="3"/>
  <c r="N286" i="3"/>
  <c r="N278" i="3"/>
  <c r="N273" i="3"/>
  <c r="N268" i="3"/>
  <c r="N267" i="3"/>
  <c r="N261" i="3"/>
  <c r="N255" i="3"/>
  <c r="N252" i="3"/>
  <c r="N294" i="3"/>
  <c r="N285" i="3"/>
  <c r="N282" i="3"/>
  <c r="N257" i="3"/>
  <c r="N249" i="3"/>
  <c r="N245" i="3"/>
  <c r="N242" i="3"/>
  <c r="N241" i="3"/>
  <c r="N237" i="3"/>
  <c r="N236" i="3"/>
  <c r="N235" i="3"/>
  <c r="N228" i="3"/>
  <c r="N226" i="3"/>
  <c r="N283" i="3"/>
  <c r="N281" i="3"/>
  <c r="N275" i="3"/>
  <c r="N270" i="3"/>
  <c r="N269" i="3"/>
  <c r="N259" i="3"/>
  <c r="N256" i="3"/>
  <c r="N253" i="3"/>
  <c r="N279" i="3"/>
  <c r="N272" i="3"/>
  <c r="N266" i="3"/>
  <c r="N265" i="3"/>
  <c r="N264" i="3"/>
  <c r="N284" i="3"/>
  <c r="N244" i="3"/>
  <c r="N313" i="3"/>
  <c r="N251" i="3"/>
  <c r="N250" i="3"/>
  <c r="N247" i="3"/>
  <c r="N246" i="3"/>
  <c r="N239" i="3"/>
  <c r="N238" i="3"/>
  <c r="N229" i="3"/>
  <c r="N271" i="3"/>
  <c r="N258" i="3"/>
  <c r="N254" i="3"/>
  <c r="N248" i="3"/>
  <c r="N243" i="3"/>
  <c r="N240" i="3"/>
  <c r="N231" i="3"/>
  <c r="N227" i="3"/>
  <c r="H12" i="4"/>
  <c r="F12" i="4"/>
  <c r="N218" i="6" l="1"/>
  <c r="N214" i="6"/>
  <c r="N210" i="6"/>
  <c r="N206" i="6"/>
  <c r="N202" i="6"/>
  <c r="N198" i="6"/>
  <c r="N194" i="6"/>
  <c r="N190" i="6"/>
  <c r="N186" i="6"/>
  <c r="N182" i="6"/>
  <c r="N178" i="6"/>
  <c r="N174" i="6"/>
  <c r="N170" i="6"/>
  <c r="N166" i="6"/>
  <c r="N162" i="6"/>
  <c r="N158" i="6"/>
  <c r="N154" i="6"/>
  <c r="N150" i="6"/>
  <c r="N146" i="6"/>
  <c r="N142" i="6"/>
  <c r="N138" i="6"/>
  <c r="N134" i="6"/>
  <c r="N130" i="6"/>
  <c r="N126" i="6"/>
  <c r="N122" i="6"/>
  <c r="N118" i="6"/>
  <c r="N114" i="6"/>
  <c r="N110" i="6"/>
  <c r="N106" i="6"/>
  <c r="N102" i="6"/>
  <c r="N98" i="6"/>
  <c r="N94" i="6"/>
  <c r="N90" i="6"/>
  <c r="N86" i="6"/>
  <c r="N82" i="6"/>
  <c r="N78" i="6"/>
  <c r="N74" i="6"/>
  <c r="N70" i="6"/>
  <c r="N66" i="6"/>
  <c r="N62" i="6"/>
  <c r="N58" i="6"/>
  <c r="N54" i="6"/>
  <c r="N50" i="6"/>
  <c r="N46" i="6"/>
  <c r="N42" i="6"/>
  <c r="N38" i="6"/>
  <c r="N34" i="6"/>
  <c r="N30" i="6"/>
  <c r="N26" i="6"/>
  <c r="N22" i="6"/>
  <c r="N18" i="6"/>
  <c r="N14" i="6"/>
  <c r="N209" i="6"/>
  <c r="N201" i="6"/>
  <c r="N193" i="6"/>
  <c r="N185" i="6"/>
  <c r="N177" i="6"/>
  <c r="N169" i="6"/>
  <c r="N161" i="6"/>
  <c r="N153" i="6"/>
  <c r="N145" i="6"/>
  <c r="N141" i="6"/>
  <c r="N133" i="6"/>
  <c r="N125" i="6"/>
  <c r="N117" i="6"/>
  <c r="N109" i="6"/>
  <c r="N101" i="6"/>
  <c r="N97" i="6"/>
  <c r="N89" i="6"/>
  <c r="N81" i="6"/>
  <c r="N73" i="6"/>
  <c r="N65" i="6"/>
  <c r="N61" i="6"/>
  <c r="N53" i="6"/>
  <c r="N45" i="6"/>
  <c r="N37" i="6"/>
  <c r="N29" i="6"/>
  <c r="N25" i="6"/>
  <c r="N17" i="6"/>
  <c r="N217" i="6"/>
  <c r="N213" i="6"/>
  <c r="N205" i="6"/>
  <c r="N197" i="6"/>
  <c r="N189" i="6"/>
  <c r="N181" i="6"/>
  <c r="N173" i="6"/>
  <c r="N165" i="6"/>
  <c r="N157" i="6"/>
  <c r="N149" i="6"/>
  <c r="N137" i="6"/>
  <c r="N129" i="6"/>
  <c r="N121" i="6"/>
  <c r="N113" i="6"/>
  <c r="N105" i="6"/>
  <c r="N93" i="6"/>
  <c r="N85" i="6"/>
  <c r="N77" i="6"/>
  <c r="N69" i="6"/>
  <c r="N57" i="6"/>
  <c r="N49" i="6"/>
  <c r="N41" i="6"/>
  <c r="N33" i="6"/>
  <c r="N21" i="6"/>
  <c r="N13" i="6"/>
  <c r="N220" i="6"/>
  <c r="N212" i="6"/>
  <c r="N204" i="6"/>
  <c r="N196" i="6"/>
  <c r="N188" i="6"/>
  <c r="N180" i="6"/>
  <c r="N172" i="6"/>
  <c r="N164" i="6"/>
  <c r="N156" i="6"/>
  <c r="N148" i="6"/>
  <c r="N140" i="6"/>
  <c r="N132" i="6"/>
  <c r="N124" i="6"/>
  <c r="N116" i="6"/>
  <c r="N108" i="6"/>
  <c r="N100" i="6"/>
  <c r="N92" i="6"/>
  <c r="N84" i="6"/>
  <c r="N76" i="6"/>
  <c r="N68" i="6"/>
  <c r="N60" i="6"/>
  <c r="N52" i="6"/>
  <c r="N44" i="6"/>
  <c r="N36" i="6"/>
  <c r="N28" i="6"/>
  <c r="N20" i="6"/>
  <c r="N12" i="6"/>
  <c r="N192" i="6"/>
  <c r="N176" i="6"/>
  <c r="N160" i="6"/>
  <c r="N144" i="6"/>
  <c r="N128" i="6"/>
  <c r="N112" i="6"/>
  <c r="N96" i="6"/>
  <c r="N80" i="6"/>
  <c r="N64" i="6"/>
  <c r="N48" i="6"/>
  <c r="N24" i="6"/>
  <c r="N215" i="6"/>
  <c r="N199" i="6"/>
  <c r="N183" i="6"/>
  <c r="N167" i="6"/>
  <c r="N151" i="6"/>
  <c r="N135" i="6"/>
  <c r="N119" i="6"/>
  <c r="N103" i="6"/>
  <c r="N87" i="6"/>
  <c r="N71" i="6"/>
  <c r="N55" i="6"/>
  <c r="N39" i="6"/>
  <c r="N23" i="6"/>
  <c r="N219" i="6"/>
  <c r="N211" i="6"/>
  <c r="N203" i="6"/>
  <c r="N195" i="6"/>
  <c r="N187" i="6"/>
  <c r="N179" i="6"/>
  <c r="N171" i="6"/>
  <c r="N163" i="6"/>
  <c r="N155" i="6"/>
  <c r="N147" i="6"/>
  <c r="N139" i="6"/>
  <c r="N131" i="6"/>
  <c r="N123" i="6"/>
  <c r="N115" i="6"/>
  <c r="N107" i="6"/>
  <c r="N99" i="6"/>
  <c r="N91" i="6"/>
  <c r="N83" i="6"/>
  <c r="N75" i="6"/>
  <c r="N67" i="6"/>
  <c r="N59" i="6"/>
  <c r="N51" i="6"/>
  <c r="N43" i="6"/>
  <c r="N35" i="6"/>
  <c r="N27" i="6"/>
  <c r="N19" i="6"/>
  <c r="N216" i="6"/>
  <c r="N208" i="6"/>
  <c r="N200" i="6"/>
  <c r="N184" i="6"/>
  <c r="N168" i="6"/>
  <c r="N152" i="6"/>
  <c r="N136" i="6"/>
  <c r="N120" i="6"/>
  <c r="N104" i="6"/>
  <c r="N88" i="6"/>
  <c r="N72" i="6"/>
  <c r="N56" i="6"/>
  <c r="N40" i="6"/>
  <c r="N32" i="6"/>
  <c r="N16" i="6"/>
  <c r="N207" i="6"/>
  <c r="N191" i="6"/>
  <c r="N175" i="6"/>
  <c r="N159" i="6"/>
  <c r="N143" i="6"/>
  <c r="N127" i="6"/>
  <c r="N111" i="6"/>
  <c r="N95" i="6"/>
  <c r="N79" i="6"/>
  <c r="N63" i="6"/>
  <c r="N47" i="6"/>
  <c r="N31" i="6"/>
  <c r="N15" i="6"/>
  <c r="F20" i="4"/>
  <c r="F21" i="4"/>
  <c r="N219" i="8"/>
  <c r="N215" i="8"/>
  <c r="N212" i="8"/>
  <c r="N210" i="8"/>
  <c r="N208" i="8"/>
  <c r="N206" i="8"/>
  <c r="N204" i="8"/>
  <c r="N202" i="8"/>
  <c r="N200" i="8"/>
  <c r="N198" i="8"/>
  <c r="N196" i="8"/>
  <c r="N194" i="8"/>
  <c r="N192" i="8"/>
  <c r="N190" i="8"/>
  <c r="N188" i="8"/>
  <c r="N186" i="8"/>
  <c r="N184" i="8"/>
  <c r="N182" i="8"/>
  <c r="N180" i="8"/>
  <c r="N178" i="8"/>
  <c r="N176" i="8"/>
  <c r="N174" i="8"/>
  <c r="N172" i="8"/>
  <c r="N170" i="8"/>
  <c r="N168" i="8"/>
  <c r="N166" i="8"/>
  <c r="N164" i="8"/>
  <c r="N162" i="8"/>
  <c r="N160" i="8"/>
  <c r="N158" i="8"/>
  <c r="N156" i="8"/>
  <c r="N154" i="8"/>
  <c r="N152" i="8"/>
  <c r="N150" i="8"/>
  <c r="N148" i="8"/>
  <c r="N146" i="8"/>
  <c r="N144" i="8"/>
  <c r="N142" i="8"/>
  <c r="N140" i="8"/>
  <c r="N138" i="8"/>
  <c r="N136" i="8"/>
  <c r="N134" i="8"/>
  <c r="N132" i="8"/>
  <c r="N130" i="8"/>
  <c r="N128" i="8"/>
  <c r="N126" i="8"/>
  <c r="N124" i="8"/>
  <c r="N122" i="8"/>
  <c r="N120" i="8"/>
  <c r="N118" i="8"/>
  <c r="N116" i="8"/>
  <c r="N114" i="8"/>
  <c r="N112" i="8"/>
  <c r="N110" i="8"/>
  <c r="N108" i="8"/>
  <c r="N106" i="8"/>
  <c r="N104" i="8"/>
  <c r="N102" i="8"/>
  <c r="N100" i="8"/>
  <c r="N98" i="8"/>
  <c r="N96" i="8"/>
  <c r="N94" i="8"/>
  <c r="N92" i="8"/>
  <c r="N90" i="8"/>
  <c r="N88" i="8"/>
  <c r="N86" i="8"/>
  <c r="N84" i="8"/>
  <c r="N82" i="8"/>
  <c r="N80" i="8"/>
  <c r="N78" i="8"/>
  <c r="N76" i="8"/>
  <c r="N74" i="8"/>
  <c r="N72" i="8"/>
  <c r="N70" i="8"/>
  <c r="N68" i="8"/>
  <c r="N66" i="8"/>
  <c r="N64" i="8"/>
  <c r="N62" i="8"/>
  <c r="N60" i="8"/>
  <c r="N58" i="8"/>
  <c r="N56" i="8"/>
  <c r="N54" i="8"/>
  <c r="N52" i="8"/>
  <c r="N50" i="8"/>
  <c r="N48" i="8"/>
  <c r="N46" i="8"/>
  <c r="N44" i="8"/>
  <c r="N42" i="8"/>
  <c r="N40" i="8"/>
  <c r="N38" i="8"/>
  <c r="N36" i="8"/>
  <c r="N34" i="8"/>
  <c r="N32" i="8"/>
  <c r="N30" i="8"/>
  <c r="N28" i="8"/>
  <c r="N26" i="8"/>
  <c r="N24" i="8"/>
  <c r="N22" i="8"/>
  <c r="N20" i="8"/>
  <c r="N18" i="8"/>
  <c r="N16" i="8"/>
  <c r="N14" i="8"/>
  <c r="N12" i="8"/>
  <c r="N217" i="8"/>
  <c r="N211" i="8"/>
  <c r="N209" i="8"/>
  <c r="N207" i="8"/>
  <c r="N205" i="8"/>
  <c r="N203" i="8"/>
  <c r="N201" i="8"/>
  <c r="N199" i="8"/>
  <c r="N197" i="8"/>
  <c r="N195" i="8"/>
  <c r="N193" i="8"/>
  <c r="N191" i="8"/>
  <c r="N189" i="8"/>
  <c r="N187" i="8"/>
  <c r="N185" i="8"/>
  <c r="N183" i="8"/>
  <c r="N181" i="8"/>
  <c r="N179" i="8"/>
  <c r="N177" i="8"/>
  <c r="N175" i="8"/>
  <c r="N173" i="8"/>
  <c r="N171" i="8"/>
  <c r="N169" i="8"/>
  <c r="N167" i="8"/>
  <c r="N165" i="8"/>
  <c r="N163" i="8"/>
  <c r="N161" i="8"/>
  <c r="N159" i="8"/>
  <c r="N157" i="8"/>
  <c r="N155" i="8"/>
  <c r="N153" i="8"/>
  <c r="N151" i="8"/>
  <c r="N149" i="8"/>
  <c r="N147" i="8"/>
  <c r="N145" i="8"/>
  <c r="N143" i="8"/>
  <c r="N141" i="8"/>
  <c r="N139" i="8"/>
  <c r="N137" i="8"/>
  <c r="N135" i="8"/>
  <c r="N133" i="8"/>
  <c r="N131" i="8"/>
  <c r="N129" i="8"/>
  <c r="N127" i="8"/>
  <c r="N125" i="8"/>
  <c r="N123" i="8"/>
  <c r="N121" i="8"/>
  <c r="N119" i="8"/>
  <c r="N117" i="8"/>
  <c r="N115" i="8"/>
  <c r="N113" i="8"/>
  <c r="N111" i="8"/>
  <c r="N109" i="8"/>
  <c r="N107" i="8"/>
  <c r="N105" i="8"/>
  <c r="N103" i="8"/>
  <c r="N101" i="8"/>
  <c r="N99" i="8"/>
  <c r="N97" i="8"/>
  <c r="N95" i="8"/>
  <c r="N93" i="8"/>
  <c r="N91" i="8"/>
  <c r="N89" i="8"/>
  <c r="N87" i="8"/>
  <c r="N85" i="8"/>
  <c r="N83" i="8"/>
  <c r="N81" i="8"/>
  <c r="N79" i="8"/>
  <c r="N77" i="8"/>
  <c r="N75" i="8"/>
  <c r="N73" i="8"/>
  <c r="N71" i="8"/>
  <c r="N69" i="8"/>
  <c r="N67" i="8"/>
  <c r="N65" i="8"/>
  <c r="N63" i="8"/>
  <c r="N61" i="8"/>
  <c r="N59" i="8"/>
  <c r="N57" i="8"/>
  <c r="N55" i="8"/>
  <c r="N53" i="8"/>
  <c r="N51" i="8"/>
  <c r="N49" i="8"/>
  <c r="N47" i="8"/>
  <c r="N45" i="8"/>
  <c r="N43" i="8"/>
  <c r="N41" i="8"/>
  <c r="N39" i="8"/>
  <c r="N37" i="8"/>
  <c r="N35" i="8"/>
  <c r="N33" i="8"/>
  <c r="N31" i="8"/>
  <c r="N29" i="8"/>
  <c r="N27" i="8"/>
  <c r="N25" i="8"/>
  <c r="N23" i="8"/>
  <c r="N21" i="8"/>
  <c r="N19" i="8"/>
  <c r="N17" i="8"/>
  <c r="N15" i="8"/>
  <c r="N13" i="8"/>
  <c r="N216" i="8"/>
  <c r="N214" i="8"/>
  <c r="N220" i="8"/>
  <c r="N213" i="8"/>
  <c r="N218" i="8"/>
  <c r="H20" i="4"/>
  <c r="H21" i="4"/>
  <c r="AK222" i="3" l="1"/>
  <c r="AL8" i="3" s="1"/>
  <c r="I222" i="10"/>
  <c r="I8" i="10" s="1"/>
  <c r="I222" i="11"/>
  <c r="G222" i="6"/>
  <c r="AK222" i="6"/>
  <c r="AK306" i="6" l="1"/>
  <c r="AK289" i="6"/>
  <c r="AK261" i="6"/>
  <c r="AK275" i="6"/>
  <c r="AK324" i="6"/>
  <c r="AK231" i="6"/>
  <c r="I307" i="11"/>
  <c r="I290" i="11"/>
  <c r="I276" i="11"/>
  <c r="I276" i="10"/>
  <c r="I290" i="10"/>
  <c r="AK8" i="3"/>
  <c r="G222" i="7"/>
  <c r="G8" i="7" s="1"/>
  <c r="I307" i="10"/>
  <c r="I222" i="12"/>
  <c r="J8" i="12" s="1"/>
  <c r="AK222" i="7"/>
  <c r="AK8" i="7" s="1"/>
  <c r="I232" i="10"/>
  <c r="I232" i="11"/>
  <c r="I325" i="12"/>
  <c r="I307" i="12"/>
  <c r="I290" i="12"/>
  <c r="I276" i="12"/>
  <c r="J8" i="10"/>
  <c r="AK261" i="3"/>
  <c r="I325" i="10"/>
  <c r="AK306" i="3"/>
  <c r="I262" i="11"/>
  <c r="AK324" i="3"/>
  <c r="I325" i="11"/>
  <c r="I262" i="10"/>
  <c r="AK231" i="3"/>
  <c r="G231" i="6"/>
  <c r="G306" i="6"/>
  <c r="G275" i="6"/>
  <c r="J8" i="11"/>
  <c r="I8" i="11"/>
  <c r="G324" i="6"/>
  <c r="AK289" i="3"/>
  <c r="AL8" i="6"/>
  <c r="AK8" i="6"/>
  <c r="G289" i="6"/>
  <c r="G261" i="6"/>
  <c r="AK275" i="3"/>
  <c r="G8" i="6"/>
  <c r="H8" i="6"/>
  <c r="AK275" i="7" l="1"/>
  <c r="AK289" i="7"/>
  <c r="AK261" i="7"/>
  <c r="AK324" i="7"/>
  <c r="AK306" i="7"/>
  <c r="AK231" i="7"/>
  <c r="E14" i="4"/>
  <c r="H8" i="7"/>
  <c r="G289" i="7"/>
  <c r="G261" i="7"/>
  <c r="I8" i="12"/>
  <c r="AL8" i="7"/>
  <c r="G324" i="7"/>
  <c r="I232" i="12"/>
  <c r="G231" i="7"/>
  <c r="I262" i="12"/>
  <c r="G275" i="7"/>
  <c r="G306" i="7"/>
  <c r="F14" i="4"/>
  <c r="I222" i="13"/>
  <c r="AK222" i="8"/>
  <c r="G222" i="8"/>
  <c r="G14" i="4"/>
  <c r="AK324" i="8" l="1"/>
  <c r="AK275" i="8"/>
  <c r="AK231" i="8"/>
  <c r="AK306" i="8"/>
  <c r="AK289" i="8"/>
  <c r="AK261" i="8"/>
  <c r="F15" i="4"/>
  <c r="I232" i="13"/>
  <c r="G15" i="4"/>
  <c r="I307" i="13"/>
  <c r="I290" i="13"/>
  <c r="I276" i="13"/>
  <c r="I262" i="13"/>
  <c r="I325" i="13"/>
  <c r="G222" i="9"/>
  <c r="G275" i="8"/>
  <c r="G306" i="8"/>
  <c r="AL8" i="8"/>
  <c r="AK8" i="8"/>
  <c r="AK222" i="9"/>
  <c r="I276" i="14"/>
  <c r="H8" i="8"/>
  <c r="G8" i="8"/>
  <c r="G324" i="8"/>
  <c r="I222" i="14"/>
  <c r="I8" i="13"/>
  <c r="J8" i="13"/>
  <c r="I290" i="14"/>
  <c r="I307" i="14"/>
  <c r="G289" i="8"/>
  <c r="G261" i="8"/>
  <c r="G231" i="8"/>
  <c r="AK306" i="9" l="1"/>
  <c r="AK231" i="9"/>
  <c r="AK324" i="9"/>
  <c r="AK275" i="9"/>
  <c r="AK261" i="9"/>
  <c r="AK289" i="9"/>
  <c r="I325" i="14"/>
  <c r="I232" i="14"/>
  <c r="I262" i="14"/>
  <c r="G289" i="9"/>
  <c r="AK8" i="9"/>
  <c r="AL8" i="9"/>
  <c r="G231" i="9"/>
  <c r="G324" i="9"/>
  <c r="G306" i="9"/>
  <c r="G275" i="9"/>
  <c r="G261" i="9"/>
  <c r="I8" i="14"/>
  <c r="J8" i="14"/>
  <c r="H14" i="4"/>
  <c r="H15" i="4" s="1"/>
  <c r="H8" i="9"/>
  <c r="G8" i="9"/>
  <c r="I14" i="4" l="1"/>
  <c r="I15" i="4" s="1"/>
  <c r="R118" i="10" l="1"/>
  <c r="R138" i="10"/>
  <c r="R169" i="10"/>
  <c r="R187" i="10"/>
  <c r="R154" i="10"/>
  <c r="R148" i="10"/>
  <c r="R195" i="10"/>
  <c r="R190" i="10"/>
  <c r="R130" i="10" l="1"/>
  <c r="R152" i="10"/>
  <c r="R161" i="10"/>
  <c r="R103" i="10"/>
  <c r="R85" i="10"/>
  <c r="R112" i="10"/>
  <c r="R67" i="10"/>
  <c r="R37" i="10"/>
  <c r="R84" i="10"/>
  <c r="R114" i="10"/>
  <c r="R72" i="10"/>
  <c r="R149" i="10"/>
  <c r="R129" i="10"/>
  <c r="R134" i="10"/>
  <c r="R218" i="10"/>
  <c r="R159" i="10"/>
  <c r="R66" i="10"/>
  <c r="AO66" i="10" s="1"/>
  <c r="R83" i="10"/>
  <c r="R141" i="10"/>
  <c r="R198" i="10"/>
  <c r="R58" i="10"/>
  <c r="R25" i="10"/>
  <c r="R219" i="10"/>
  <c r="R48" i="10"/>
  <c r="R94" i="10"/>
  <c r="R155" i="10"/>
  <c r="R97" i="10"/>
  <c r="R44" i="10"/>
  <c r="R82" i="10"/>
  <c r="R126" i="10"/>
  <c r="R98" i="10"/>
  <c r="R157" i="10"/>
  <c r="R43" i="10"/>
  <c r="R63" i="10"/>
  <c r="R79" i="10"/>
  <c r="R212" i="10"/>
  <c r="R167" i="10"/>
  <c r="R47" i="10"/>
  <c r="R69" i="10"/>
  <c r="R20" i="10"/>
  <c r="R109" i="10"/>
  <c r="R68" i="10"/>
  <c r="R46" i="10"/>
  <c r="R106" i="10"/>
  <c r="R34" i="10"/>
  <c r="R39" i="10"/>
  <c r="R110" i="10"/>
  <c r="R105" i="10"/>
  <c r="R93" i="10"/>
  <c r="R49" i="10"/>
  <c r="AO187" i="10"/>
  <c r="AO169" i="10"/>
  <c r="AO190" i="10"/>
  <c r="AO154" i="10"/>
  <c r="AO25" i="10"/>
  <c r="R54" i="10"/>
  <c r="R135" i="10"/>
  <c r="R91" i="10"/>
  <c r="AO195" i="10"/>
  <c r="AO148" i="10"/>
  <c r="AO138" i="10"/>
  <c r="AO118" i="10"/>
  <c r="AO67" i="10"/>
  <c r="R163" i="10"/>
  <c r="R116" i="10"/>
  <c r="R153" i="10"/>
  <c r="R177" i="10"/>
  <c r="R183" i="10"/>
  <c r="R196" i="10"/>
  <c r="R165" i="10"/>
  <c r="R175" i="10"/>
  <c r="R216" i="10"/>
  <c r="R217" i="10"/>
  <c r="R193" i="10"/>
  <c r="R76" i="10"/>
  <c r="R64" i="10"/>
  <c r="R73" i="10"/>
  <c r="R45" i="10"/>
  <c r="R57" i="10"/>
  <c r="R53" i="10"/>
  <c r="R32" i="10"/>
  <c r="R146" i="10"/>
  <c r="R113" i="10"/>
  <c r="R50" i="10"/>
  <c r="R208" i="10"/>
  <c r="R203" i="10"/>
  <c r="R181" i="10"/>
  <c r="R179" i="10"/>
  <c r="R185" i="10"/>
  <c r="R173" i="10"/>
  <c r="R205" i="10"/>
  <c r="R140" i="10"/>
  <c r="R88" i="10"/>
  <c r="R119" i="10"/>
  <c r="R59" i="10"/>
  <c r="R52" i="10"/>
  <c r="R40" i="10"/>
  <c r="R211" i="10"/>
  <c r="R191" i="10"/>
  <c r="R192" i="10"/>
  <c r="R199" i="10"/>
  <c r="R188" i="10"/>
  <c r="R214" i="10"/>
  <c r="R204" i="10"/>
  <c r="R166" i="10"/>
  <c r="R202" i="10"/>
  <c r="R51" i="10"/>
  <c r="R28" i="10"/>
  <c r="R147" i="10"/>
  <c r="R87" i="10"/>
  <c r="R90" i="10"/>
  <c r="R186" i="10"/>
  <c r="R201" i="10"/>
  <c r="R170" i="10"/>
  <c r="R176" i="10"/>
  <c r="R197" i="10"/>
  <c r="R200" i="10"/>
  <c r="R206" i="10"/>
  <c r="R184" i="10"/>
  <c r="R36" i="10" l="1"/>
  <c r="R35" i="10"/>
  <c r="R71" i="10"/>
  <c r="R42" i="10"/>
  <c r="AO42" i="10" s="1"/>
  <c r="R60" i="10"/>
  <c r="AO60" i="10" s="1"/>
  <c r="R111" i="10"/>
  <c r="R16" i="10"/>
  <c r="AO16" i="10" s="1"/>
  <c r="R14" i="10"/>
  <c r="AO14" i="10" s="1"/>
  <c r="R78" i="10"/>
  <c r="AO78" i="10" s="1"/>
  <c r="R182" i="10"/>
  <c r="AO182" i="10" s="1"/>
  <c r="R136" i="10"/>
  <c r="R77" i="10"/>
  <c r="AO77" i="10" s="1"/>
  <c r="R156" i="10"/>
  <c r="R220" i="10"/>
  <c r="AO220" i="10" s="1"/>
  <c r="R150" i="10"/>
  <c r="AO150" i="10" s="1"/>
  <c r="R124" i="10"/>
  <c r="AO124" i="10" s="1"/>
  <c r="R132" i="10"/>
  <c r="AO132" i="10" s="1"/>
  <c r="R158" i="10"/>
  <c r="R96" i="10"/>
  <c r="AO96" i="10" s="1"/>
  <c r="R121" i="10"/>
  <c r="AO121" i="10" s="1"/>
  <c r="R75" i="10"/>
  <c r="R13" i="10"/>
  <c r="AO13" i="10" s="1"/>
  <c r="R99" i="10"/>
  <c r="AO99" i="10" s="1"/>
  <c r="R160" i="10"/>
  <c r="AO160" i="10" s="1"/>
  <c r="R107" i="10"/>
  <c r="AO107" i="10" s="1"/>
  <c r="R131" i="10"/>
  <c r="R120" i="10"/>
  <c r="AO120" i="10" s="1"/>
  <c r="R162" i="10"/>
  <c r="AO162" i="10" s="1"/>
  <c r="R127" i="10"/>
  <c r="AO127" i="10" s="1"/>
  <c r="R137" i="10"/>
  <c r="AO137" i="10" s="1"/>
  <c r="R38" i="10"/>
  <c r="AO38" i="10" s="1"/>
  <c r="R108" i="10"/>
  <c r="AO108" i="10" s="1"/>
  <c r="R123" i="10"/>
  <c r="AO123" i="10" s="1"/>
  <c r="R117" i="10"/>
  <c r="AO117" i="10" s="1"/>
  <c r="R89" i="10"/>
  <c r="AO89" i="10" s="1"/>
  <c r="R125" i="10"/>
  <c r="R122" i="10"/>
  <c r="AO122" i="10" s="1"/>
  <c r="R115" i="10"/>
  <c r="R95" i="10"/>
  <c r="AO206" i="10"/>
  <c r="AO170" i="10"/>
  <c r="AO112" i="10"/>
  <c r="AO35" i="10"/>
  <c r="AO94" i="10"/>
  <c r="AO54" i="10"/>
  <c r="AO197" i="10"/>
  <c r="AO186" i="10"/>
  <c r="AO159" i="10"/>
  <c r="AO173" i="10"/>
  <c r="AO179" i="10"/>
  <c r="AO203" i="10"/>
  <c r="AO82" i="10"/>
  <c r="AO79" i="10"/>
  <c r="AO50" i="10"/>
  <c r="AO152" i="10"/>
  <c r="AO193" i="10"/>
  <c r="AO167" i="10"/>
  <c r="AO175" i="10"/>
  <c r="AO196" i="10"/>
  <c r="AO177" i="10"/>
  <c r="AO111" i="10"/>
  <c r="AO153" i="10"/>
  <c r="AO136" i="10"/>
  <c r="AO163" i="10"/>
  <c r="AO156" i="10"/>
  <c r="AO98" i="10"/>
  <c r="AO28" i="10"/>
  <c r="AO83" i="10"/>
  <c r="AO129" i="10"/>
  <c r="AO135" i="10"/>
  <c r="R92" i="10"/>
  <c r="R74" i="10"/>
  <c r="R151" i="10"/>
  <c r="R86" i="10"/>
  <c r="AO202" i="10"/>
  <c r="AO218" i="10"/>
  <c r="AO219" i="10"/>
  <c r="AO188" i="10"/>
  <c r="AO192" i="10"/>
  <c r="AO211" i="10"/>
  <c r="AO40" i="10"/>
  <c r="AO93" i="10"/>
  <c r="AO140" i="10"/>
  <c r="AO58" i="10"/>
  <c r="AO130" i="10"/>
  <c r="AO71" i="10"/>
  <c r="AO110" i="10"/>
  <c r="AO97" i="10"/>
  <c r="AO91" i="10"/>
  <c r="AO146" i="10"/>
  <c r="AO32" i="10"/>
  <c r="AO37" i="10"/>
  <c r="AO57" i="10"/>
  <c r="AO47" i="10"/>
  <c r="AO73" i="10"/>
  <c r="AO76" i="10"/>
  <c r="AO68" i="10"/>
  <c r="AO126" i="10"/>
  <c r="AO198" i="10"/>
  <c r="AO166" i="10"/>
  <c r="AO204" i="10"/>
  <c r="AO214" i="10"/>
  <c r="AO199" i="10"/>
  <c r="AO191" i="10"/>
  <c r="AO52" i="10"/>
  <c r="AO59" i="10"/>
  <c r="AO119" i="10"/>
  <c r="AO88" i="10"/>
  <c r="AO157" i="10"/>
  <c r="AO161" i="10"/>
  <c r="AO84" i="10"/>
  <c r="AO149" i="10"/>
  <c r="AO155" i="10"/>
  <c r="AO105" i="10"/>
  <c r="AO39" i="10"/>
  <c r="AO34" i="10"/>
  <c r="AO113" i="10"/>
  <c r="AO106" i="10"/>
  <c r="AO53" i="10"/>
  <c r="AO45" i="10"/>
  <c r="AO72" i="10"/>
  <c r="AO64" i="10"/>
  <c r="AO46" i="10"/>
  <c r="AO20" i="10"/>
  <c r="AO184" i="10"/>
  <c r="AO200" i="10"/>
  <c r="AO176" i="10"/>
  <c r="AO201" i="10"/>
  <c r="AO141" i="10"/>
  <c r="AO90" i="10"/>
  <c r="AO87" i="10"/>
  <c r="AO43" i="10"/>
  <c r="AO147" i="10"/>
  <c r="AO63" i="10"/>
  <c r="AO51" i="10"/>
  <c r="AO48" i="10"/>
  <c r="AO109" i="10"/>
  <c r="AO49" i="10"/>
  <c r="AO205" i="10"/>
  <c r="AO185" i="10"/>
  <c r="AO181" i="10"/>
  <c r="AO208" i="10"/>
  <c r="AO44" i="10"/>
  <c r="AO103" i="10"/>
  <c r="AO134" i="10"/>
  <c r="AO69" i="10"/>
  <c r="AO217" i="10"/>
  <c r="AO216" i="10"/>
  <c r="AO165" i="10"/>
  <c r="AO183" i="10"/>
  <c r="AO212" i="10"/>
  <c r="AO116" i="10"/>
  <c r="AO85" i="10"/>
  <c r="AO36" i="10"/>
  <c r="AO114" i="10"/>
  <c r="R189" i="10"/>
  <c r="R104" i="10"/>
  <c r="R172" i="10"/>
  <c r="AO172" i="10" s="1"/>
  <c r="R55" i="10"/>
  <c r="AO55" i="10" s="1"/>
  <c r="R144" i="10"/>
  <c r="AO144" i="10" s="1"/>
  <c r="R27" i="10" l="1"/>
  <c r="AO27" i="10" s="1"/>
  <c r="R210" i="10"/>
  <c r="AO210" i="10" s="1"/>
  <c r="R62" i="10"/>
  <c r="AO62" i="10" s="1"/>
  <c r="R143" i="10"/>
  <c r="AO143" i="10" s="1"/>
  <c r="R128" i="10"/>
  <c r="AO128" i="10" s="1"/>
  <c r="R213" i="10"/>
  <c r="AO213" i="10" s="1"/>
  <c r="R171" i="10"/>
  <c r="AO171" i="10" s="1"/>
  <c r="R209" i="10"/>
  <c r="AO209" i="10" s="1"/>
  <c r="R23" i="10"/>
  <c r="AO23" i="10" s="1"/>
  <c r="R174" i="10"/>
  <c r="AO174" i="10" s="1"/>
  <c r="R61" i="10"/>
  <c r="AO61" i="10" s="1"/>
  <c r="R18" i="10"/>
  <c r="AO18" i="10" s="1"/>
  <c r="R100" i="10"/>
  <c r="AO100" i="10" s="1"/>
  <c r="R19" i="10"/>
  <c r="AO19" i="10" s="1"/>
  <c r="R24" i="10"/>
  <c r="AO24" i="10" s="1"/>
  <c r="R17" i="10"/>
  <c r="AO17" i="10" s="1"/>
  <c r="R56" i="10"/>
  <c r="AO56" i="10" s="1"/>
  <c r="R21" i="10"/>
  <c r="AO21" i="10" s="1"/>
  <c r="R30" i="10"/>
  <c r="AO30" i="10" s="1"/>
  <c r="R80" i="10"/>
  <c r="AO80" i="10" s="1"/>
  <c r="R31" i="10"/>
  <c r="AO31" i="10" s="1"/>
  <c r="R22" i="10"/>
  <c r="AO22" i="10" s="1"/>
  <c r="R194" i="10"/>
  <c r="AO194" i="10" s="1"/>
  <c r="R26" i="10"/>
  <c r="AO26" i="10" s="1"/>
  <c r="R81" i="10"/>
  <c r="AO81" i="10" s="1"/>
  <c r="R142" i="10"/>
  <c r="AO142" i="10" s="1"/>
  <c r="R15" i="10"/>
  <c r="AO15" i="10" s="1"/>
  <c r="R145" i="10"/>
  <c r="R65" i="10"/>
  <c r="AO65" i="10" s="1"/>
  <c r="R139" i="10"/>
  <c r="AO139" i="10" s="1"/>
  <c r="R133" i="10"/>
  <c r="AO133" i="10" s="1"/>
  <c r="R41" i="10"/>
  <c r="AO41" i="10" s="1"/>
  <c r="R180" i="10"/>
  <c r="AO86" i="10"/>
  <c r="AO75" i="10"/>
  <c r="R168" i="10"/>
  <c r="AO74" i="10"/>
  <c r="AO125" i="10"/>
  <c r="R29" i="10"/>
  <c r="AO189" i="10"/>
  <c r="AO115" i="10"/>
  <c r="AO131" i="10"/>
  <c r="AO104" i="10"/>
  <c r="R178" i="10"/>
  <c r="R207" i="10"/>
  <c r="AO151" i="10"/>
  <c r="AO158" i="10"/>
  <c r="R215" i="10"/>
  <c r="AO92" i="10"/>
  <c r="AO95" i="10"/>
  <c r="R70" i="10"/>
  <c r="R164" i="10"/>
  <c r="R12" i="10"/>
  <c r="R33" i="10" l="1"/>
  <c r="AO145" i="10"/>
  <c r="R101" i="10"/>
  <c r="P222" i="10"/>
  <c r="AO164" i="10"/>
  <c r="AO215" i="10"/>
  <c r="AO207" i="10"/>
  <c r="AO29" i="10"/>
  <c r="R102" i="10"/>
  <c r="AO178" i="10"/>
  <c r="AO70" i="10"/>
  <c r="AO168" i="10"/>
  <c r="AO180" i="10"/>
  <c r="P232" i="10"/>
  <c r="AO12" i="10"/>
  <c r="AO33" i="10" l="1"/>
  <c r="P290" i="10"/>
  <c r="P276" i="10"/>
  <c r="P8" i="10"/>
  <c r="P325" i="10"/>
  <c r="P307" i="10"/>
  <c r="R222" i="10"/>
  <c r="R8" i="10" s="1"/>
  <c r="P262" i="10"/>
  <c r="AO101" i="10"/>
  <c r="AO102" i="10"/>
  <c r="R325" i="10"/>
  <c r="R276" i="10"/>
  <c r="AO222" i="10" l="1"/>
  <c r="R262" i="10"/>
  <c r="R232" i="10"/>
  <c r="R290" i="10"/>
  <c r="R307" i="10"/>
  <c r="AO232" i="10"/>
  <c r="AO276" i="10"/>
  <c r="AO9" i="10"/>
  <c r="BG9" i="10" l="1"/>
  <c r="M21" i="30"/>
  <c r="M6" i="30"/>
  <c r="BA5" i="10"/>
  <c r="AO307" i="10"/>
  <c r="BA4" i="10"/>
  <c r="AO290" i="10"/>
  <c r="AO262" i="10"/>
  <c r="AO325" i="10"/>
  <c r="BA9" i="10"/>
  <c r="AU9" i="10"/>
  <c r="M7" i="30" l="1"/>
  <c r="BL9" i="10"/>
  <c r="M8" i="30" l="1"/>
  <c r="M9" i="30" l="1"/>
  <c r="M10" i="30" l="1"/>
  <c r="M11" i="30" s="1"/>
  <c r="M12" i="30" s="1"/>
  <c r="M13" i="30" l="1"/>
  <c r="M14" i="30" l="1"/>
  <c r="M15" i="30" s="1"/>
  <c r="M16" i="30" s="1"/>
  <c r="R169" i="11"/>
  <c r="AO169" i="11" s="1"/>
  <c r="R164" i="11"/>
  <c r="AO164" i="11" s="1"/>
  <c r="R67" i="11"/>
  <c r="AO67" i="11" s="1"/>
  <c r="R207" i="11"/>
  <c r="AO207" i="11" s="1"/>
  <c r="R49" i="11"/>
  <c r="AO49" i="11" s="1"/>
  <c r="R195" i="11"/>
  <c r="AO195" i="11" s="1"/>
  <c r="R89" i="11"/>
  <c r="AO89" i="11" s="1"/>
  <c r="R189" i="11"/>
  <c r="AO189" i="11" s="1"/>
  <c r="R118" i="11"/>
  <c r="AO118" i="11" s="1"/>
  <c r="R148" i="11"/>
  <c r="AO148" i="11" s="1"/>
  <c r="R138" i="11"/>
  <c r="AO138" i="11" s="1"/>
  <c r="R190" i="11"/>
  <c r="AO190" i="11" s="1"/>
  <c r="R187" i="11"/>
  <c r="AO187" i="11" s="1"/>
  <c r="R66" i="11"/>
  <c r="AO66" i="11" s="1"/>
  <c r="BG169" i="11"/>
  <c r="M26" i="30" l="1"/>
  <c r="BG67" i="11"/>
  <c r="M27" i="30"/>
  <c r="BL169" i="11"/>
  <c r="M17" i="30"/>
  <c r="M18" i="30" s="1"/>
  <c r="M19" i="30" s="1"/>
  <c r="M20" i="30" s="1"/>
  <c r="M23" i="30" s="1"/>
  <c r="BG138" i="11"/>
  <c r="BG89" i="11"/>
  <c r="BG49" i="11"/>
  <c r="BG118" i="11"/>
  <c r="BL89" i="11"/>
  <c r="BG66" i="11"/>
  <c r="BG189" i="11"/>
  <c r="BG207" i="11"/>
  <c r="BL195" i="11"/>
  <c r="BG187" i="11"/>
  <c r="BL189" i="11"/>
  <c r="BG164" i="11"/>
  <c r="BG190" i="11"/>
  <c r="BG195" i="11"/>
  <c r="BL207" i="11"/>
  <c r="BL187" i="11"/>
  <c r="BG148" i="11"/>
  <c r="R106" i="11"/>
  <c r="AO106" i="11" s="1"/>
  <c r="R217" i="11"/>
  <c r="AO217" i="11" s="1"/>
  <c r="R44" i="11"/>
  <c r="AO44" i="11" s="1"/>
  <c r="R197" i="11"/>
  <c r="AO197" i="11" s="1"/>
  <c r="R180" i="11"/>
  <c r="AO180" i="11" s="1"/>
  <c r="R29" i="11"/>
  <c r="AO29" i="11" s="1"/>
  <c r="R146" i="11"/>
  <c r="AO146" i="11" s="1"/>
  <c r="R205" i="11"/>
  <c r="AO205" i="11" s="1"/>
  <c r="R204" i="11"/>
  <c r="AO204" i="11" s="1"/>
  <c r="R96" i="11"/>
  <c r="AO96" i="11" s="1"/>
  <c r="R124" i="11"/>
  <c r="AO124" i="11" s="1"/>
  <c r="R83" i="11"/>
  <c r="AO83" i="11" s="1"/>
  <c r="R53" i="11"/>
  <c r="AO53" i="11" s="1"/>
  <c r="R77" i="11"/>
  <c r="AO77" i="11" s="1"/>
  <c r="R208" i="11"/>
  <c r="AO208" i="11" s="1"/>
  <c r="R94" i="11"/>
  <c r="AO94" i="11" s="1"/>
  <c r="R203" i="11"/>
  <c r="AO203" i="11" s="1"/>
  <c r="R57" i="11"/>
  <c r="AO57" i="11" s="1"/>
  <c r="R202" i="11"/>
  <c r="AO202" i="11" s="1"/>
  <c r="R130" i="11"/>
  <c r="AO130" i="11" s="1"/>
  <c r="R198" i="11"/>
  <c r="AO198" i="11" s="1"/>
  <c r="R149" i="11"/>
  <c r="AO149" i="11" s="1"/>
  <c r="R37" i="11"/>
  <c r="AO37" i="11" s="1"/>
  <c r="BL138" i="11"/>
  <c r="R140" i="11"/>
  <c r="AO140" i="11" s="1"/>
  <c r="R123" i="11"/>
  <c r="AO123" i="11" s="1"/>
  <c r="R39" i="11"/>
  <c r="AO39" i="11" s="1"/>
  <c r="R115" i="11"/>
  <c r="AO115" i="11" s="1"/>
  <c r="R98" i="11"/>
  <c r="AO98" i="11" s="1"/>
  <c r="R43" i="11"/>
  <c r="AO43" i="11" s="1"/>
  <c r="R152" i="11"/>
  <c r="AO152" i="11" s="1"/>
  <c r="R50" i="11"/>
  <c r="AO50" i="11" s="1"/>
  <c r="R46" i="11"/>
  <c r="AO46" i="11" s="1"/>
  <c r="R45" i="11"/>
  <c r="AO45" i="11" s="1"/>
  <c r="R113" i="11"/>
  <c r="AO113" i="11" s="1"/>
  <c r="R191" i="11"/>
  <c r="AO191" i="11" s="1"/>
  <c r="R181" i="11"/>
  <c r="AO181" i="11" s="1"/>
  <c r="R155" i="11"/>
  <c r="AO155" i="11" s="1"/>
  <c r="R211" i="11"/>
  <c r="AO211" i="11" s="1"/>
  <c r="R91" i="11"/>
  <c r="AO91" i="11" s="1"/>
  <c r="R159" i="11"/>
  <c r="AO159" i="11" s="1"/>
  <c r="R34" i="11"/>
  <c r="AO34" i="11" s="1"/>
  <c r="R133" i="11"/>
  <c r="AO133" i="11" s="1"/>
  <c r="R63" i="11"/>
  <c r="AO63" i="11" s="1"/>
  <c r="R47" i="11"/>
  <c r="AO47" i="11" s="1"/>
  <c r="R216" i="11"/>
  <c r="AO216" i="11" s="1"/>
  <c r="R193" i="11"/>
  <c r="AO193" i="11" s="1"/>
  <c r="R116" i="11"/>
  <c r="AO116" i="11" s="1"/>
  <c r="R42" i="11"/>
  <c r="AO42" i="11" s="1"/>
  <c r="R141" i="11"/>
  <c r="AO141" i="11" s="1"/>
  <c r="R52" i="11"/>
  <c r="AO52" i="11" s="1"/>
  <c r="R69" i="11"/>
  <c r="AO69" i="11" s="1"/>
  <c r="R185" i="11"/>
  <c r="AO185" i="11" s="1"/>
  <c r="R59" i="11"/>
  <c r="AO59" i="11" s="1"/>
  <c r="R86" i="11"/>
  <c r="AO86" i="11" s="1"/>
  <c r="R103" i="11"/>
  <c r="AO103" i="11" s="1"/>
  <c r="R173" i="11"/>
  <c r="AO173" i="11" s="1"/>
  <c r="R196" i="11"/>
  <c r="AO196" i="11" s="1"/>
  <c r="R107" i="11"/>
  <c r="AO107" i="11" s="1"/>
  <c r="R117" i="11"/>
  <c r="AO117" i="11" s="1"/>
  <c r="R79" i="11"/>
  <c r="AO79" i="11" s="1"/>
  <c r="R199" i="11"/>
  <c r="AO199" i="11" s="1"/>
  <c r="R111" i="11"/>
  <c r="AO111" i="11" s="1"/>
  <c r="R75" i="11"/>
  <c r="AO75" i="11" s="1"/>
  <c r="R112" i="11"/>
  <c r="AO112" i="11" s="1"/>
  <c r="R105" i="11"/>
  <c r="AO105" i="11" s="1"/>
  <c r="R61" i="11"/>
  <c r="AO61" i="11" s="1"/>
  <c r="R218" i="11"/>
  <c r="AO218" i="11" s="1"/>
  <c r="R76" i="11"/>
  <c r="AO76" i="11" s="1"/>
  <c r="R215" i="11"/>
  <c r="AO215" i="11" s="1"/>
  <c r="R176" i="11"/>
  <c r="AO176" i="11" s="1"/>
  <c r="R153" i="11"/>
  <c r="AO153" i="11" s="1"/>
  <c r="R194" i="11"/>
  <c r="AO194" i="11" s="1"/>
  <c r="R126" i="11"/>
  <c r="AO126" i="11" s="1"/>
  <c r="R88" i="11"/>
  <c r="AO88" i="11" s="1"/>
  <c r="R177" i="11"/>
  <c r="AO177" i="11" s="1"/>
  <c r="R121" i="11"/>
  <c r="AO121" i="11" s="1"/>
  <c r="R183" i="11"/>
  <c r="AO183" i="11" s="1"/>
  <c r="R73" i="11"/>
  <c r="AO73" i="11" s="1"/>
  <c r="R20" i="11"/>
  <c r="AO20" i="11" s="1"/>
  <c r="R51" i="11"/>
  <c r="AO51" i="11" s="1"/>
  <c r="R84" i="11"/>
  <c r="AO84" i="11" s="1"/>
  <c r="R72" i="11"/>
  <c r="AO72" i="11" s="1"/>
  <c r="R188" i="11"/>
  <c r="AO188" i="11" s="1"/>
  <c r="R219" i="11"/>
  <c r="AO219" i="11" s="1"/>
  <c r="R162" i="11"/>
  <c r="AO162" i="11" s="1"/>
  <c r="R132" i="11"/>
  <c r="AO132" i="11" s="1"/>
  <c r="R157" i="11"/>
  <c r="AO157" i="11" s="1"/>
  <c r="R58" i="11"/>
  <c r="AO58" i="11" s="1"/>
  <c r="R220" i="11"/>
  <c r="AO220" i="11" s="1"/>
  <c r="R163" i="11"/>
  <c r="AO163" i="11" s="1"/>
  <c r="R137" i="11"/>
  <c r="AO137" i="11" s="1"/>
  <c r="R71" i="11"/>
  <c r="AO71" i="11" s="1"/>
  <c r="R32" i="11"/>
  <c r="AO32" i="11" s="1"/>
  <c r="BL118" i="11"/>
  <c r="M25" i="30" l="1"/>
  <c r="BL67" i="11"/>
  <c r="BL49" i="11"/>
  <c r="BL164" i="11"/>
  <c r="R156" i="11"/>
  <c r="AO156" i="11" s="1"/>
  <c r="R114" i="11"/>
  <c r="AO114" i="11" s="1"/>
  <c r="BL66" i="11"/>
  <c r="R200" i="11"/>
  <c r="AO200" i="11" s="1"/>
  <c r="R54" i="11"/>
  <c r="AO54" i="11" s="1"/>
  <c r="R125" i="11"/>
  <c r="AO125" i="11" s="1"/>
  <c r="BL106" i="11"/>
  <c r="R154" i="11"/>
  <c r="AO154" i="11" s="1"/>
  <c r="R161" i="11"/>
  <c r="AO161" i="11" s="1"/>
  <c r="R214" i="11"/>
  <c r="AO214" i="11" s="1"/>
  <c r="R35" i="11"/>
  <c r="AO35" i="11" s="1"/>
  <c r="R99" i="11"/>
  <c r="AO99" i="11" s="1"/>
  <c r="R151" i="11"/>
  <c r="AO151" i="11" s="1"/>
  <c r="R186" i="11"/>
  <c r="AO186" i="11" s="1"/>
  <c r="R129" i="11"/>
  <c r="AO129" i="11" s="1"/>
  <c r="R127" i="11"/>
  <c r="AO127" i="11" s="1"/>
  <c r="R145" i="11"/>
  <c r="AO145" i="11" s="1"/>
  <c r="R109" i="11"/>
  <c r="AO109" i="11" s="1"/>
  <c r="R119" i="11"/>
  <c r="AO119" i="11" s="1"/>
  <c r="R90" i="11"/>
  <c r="AO90" i="11" s="1"/>
  <c r="R175" i="11"/>
  <c r="AO175" i="11" s="1"/>
  <c r="BG45" i="11"/>
  <c r="BL180" i="11"/>
  <c r="R25" i="11"/>
  <c r="AO25" i="11" s="1"/>
  <c r="BL42" i="11"/>
  <c r="BL75" i="11"/>
  <c r="R135" i="11"/>
  <c r="AO135" i="11" s="1"/>
  <c r="R212" i="11"/>
  <c r="AO212" i="11" s="1"/>
  <c r="BL181" i="11"/>
  <c r="BL159" i="11"/>
  <c r="BG217" i="11"/>
  <c r="R192" i="11"/>
  <c r="AO192" i="11" s="1"/>
  <c r="R110" i="11"/>
  <c r="AO110" i="11" s="1"/>
  <c r="BG155" i="11"/>
  <c r="BG116" i="11"/>
  <c r="BL190" i="11"/>
  <c r="R70" i="11"/>
  <c r="AO70" i="11" s="1"/>
  <c r="BG183" i="11"/>
  <c r="BL220" i="11"/>
  <c r="BG199" i="11"/>
  <c r="BG133" i="11"/>
  <c r="BG84" i="11"/>
  <c r="BL46" i="11"/>
  <c r="BL47" i="11"/>
  <c r="BG211" i="11"/>
  <c r="BG98" i="11"/>
  <c r="BG130" i="11"/>
  <c r="BL124" i="11"/>
  <c r="BL177" i="11"/>
  <c r="BL111" i="11"/>
  <c r="BL133" i="11"/>
  <c r="BG157" i="11"/>
  <c r="BG61" i="11"/>
  <c r="BG181" i="11"/>
  <c r="BG152" i="11"/>
  <c r="BG37" i="11"/>
  <c r="BG146" i="11"/>
  <c r="BL20" i="11"/>
  <c r="BL105" i="11"/>
  <c r="BG188" i="11"/>
  <c r="BL39" i="11"/>
  <c r="BG77" i="11"/>
  <c r="BG124" i="11"/>
  <c r="BL215" i="11"/>
  <c r="BG75" i="11"/>
  <c r="BG117" i="11"/>
  <c r="BL149" i="11"/>
  <c r="BL83" i="11"/>
  <c r="BL140" i="11"/>
  <c r="BG121" i="11"/>
  <c r="BG105" i="11"/>
  <c r="BG137" i="11"/>
  <c r="BL162" i="11"/>
  <c r="BG20" i="11"/>
  <c r="BL72" i="11"/>
  <c r="BL71" i="11"/>
  <c r="BL219" i="11"/>
  <c r="BG159" i="11"/>
  <c r="BL98" i="11"/>
  <c r="BG39" i="11"/>
  <c r="BG149" i="11"/>
  <c r="BG57" i="11"/>
  <c r="BG94" i="11"/>
  <c r="BL77" i="11"/>
  <c r="BG204" i="11"/>
  <c r="BG177" i="11"/>
  <c r="BG126" i="11"/>
  <c r="BG140" i="11"/>
  <c r="BG32" i="11"/>
  <c r="BG220" i="11"/>
  <c r="BL157" i="11"/>
  <c r="BG162" i="11"/>
  <c r="BL188" i="11"/>
  <c r="BL84" i="11"/>
  <c r="BG180" i="11"/>
  <c r="BG153" i="11"/>
  <c r="BG215" i="11"/>
  <c r="BG218" i="11"/>
  <c r="BG196" i="11"/>
  <c r="BG103" i="11"/>
  <c r="BG141" i="11"/>
  <c r="BL116" i="11"/>
  <c r="BG113" i="11"/>
  <c r="BG46" i="11"/>
  <c r="BL152" i="11"/>
  <c r="BG216" i="11"/>
  <c r="BL94" i="11"/>
  <c r="BG83" i="11"/>
  <c r="BL146" i="11"/>
  <c r="BG44" i="11"/>
  <c r="BG106" i="11"/>
  <c r="BL117" i="11"/>
  <c r="BL103" i="11"/>
  <c r="BG59" i="11"/>
  <c r="BG69" i="11"/>
  <c r="BG63" i="11"/>
  <c r="BG91" i="11"/>
  <c r="BL155" i="11"/>
  <c r="BL115" i="11"/>
  <c r="BG193" i="11"/>
  <c r="BL202" i="11"/>
  <c r="BG203" i="11"/>
  <c r="BL208" i="11"/>
  <c r="BL53" i="11"/>
  <c r="BG96" i="11"/>
  <c r="BG71" i="11"/>
  <c r="BG163" i="11"/>
  <c r="BG72" i="11"/>
  <c r="BG194" i="11"/>
  <c r="BL61" i="11"/>
  <c r="BG107" i="11"/>
  <c r="BG86" i="11"/>
  <c r="BL185" i="11"/>
  <c r="BG42" i="11"/>
  <c r="BG34" i="11"/>
  <c r="BG191" i="11"/>
  <c r="BL50" i="11"/>
  <c r="BG43" i="11"/>
  <c r="BG115" i="11"/>
  <c r="BL163" i="11"/>
  <c r="BG58" i="11"/>
  <c r="BG73" i="11"/>
  <c r="BL121" i="11"/>
  <c r="BL112" i="11"/>
  <c r="BG111" i="11"/>
  <c r="BG79" i="11"/>
  <c r="BL107" i="11"/>
  <c r="BG185" i="11"/>
  <c r="BG123" i="11"/>
  <c r="BG47" i="11"/>
  <c r="BL63" i="11"/>
  <c r="BL91" i="11"/>
  <c r="BG50" i="11"/>
  <c r="BL43" i="11"/>
  <c r="BL193" i="11"/>
  <c r="BG88" i="11"/>
  <c r="BL58" i="11"/>
  <c r="BG132" i="11"/>
  <c r="BG219" i="11"/>
  <c r="BG51" i="11"/>
  <c r="BG176" i="11"/>
  <c r="BG76" i="11"/>
  <c r="BG112" i="11"/>
  <c r="BL79" i="11"/>
  <c r="BG173" i="11"/>
  <c r="BG52" i="11"/>
  <c r="BL123" i="11"/>
  <c r="BG198" i="11"/>
  <c r="BL203" i="11"/>
  <c r="BG205" i="11"/>
  <c r="BG29" i="11"/>
  <c r="BL37" i="11"/>
  <c r="BG202" i="11"/>
  <c r="BG208" i="11"/>
  <c r="BG53" i="11"/>
  <c r="BL96" i="11"/>
  <c r="BL29" i="11"/>
  <c r="BG197" i="11"/>
  <c r="BL148" i="11"/>
  <c r="BG127" i="11" l="1"/>
  <c r="BG70" i="11"/>
  <c r="BL129" i="11"/>
  <c r="BG114" i="11"/>
  <c r="BG99" i="11"/>
  <c r="R167" i="11"/>
  <c r="AO167" i="11" s="1"/>
  <c r="R97" i="11"/>
  <c r="AO97" i="11" s="1"/>
  <c r="R201" i="11"/>
  <c r="AO201" i="11" s="1"/>
  <c r="BG129" i="11"/>
  <c r="BL99" i="11"/>
  <c r="BG154" i="11"/>
  <c r="R131" i="11"/>
  <c r="AO131" i="11" s="1"/>
  <c r="R40" i="11"/>
  <c r="AO40" i="11" s="1"/>
  <c r="R184" i="11"/>
  <c r="AO184" i="11" s="1"/>
  <c r="BG35" i="11"/>
  <c r="R93" i="11"/>
  <c r="AO93" i="11" s="1"/>
  <c r="R147" i="11"/>
  <c r="AO147" i="11" s="1"/>
  <c r="BL35" i="11"/>
  <c r="R74" i="11"/>
  <c r="AO74" i="11" s="1"/>
  <c r="BG186" i="11"/>
  <c r="R134" i="11"/>
  <c r="AO134" i="11" s="1"/>
  <c r="BL44" i="11"/>
  <c r="BG161" i="11"/>
  <c r="R87" i="11"/>
  <c r="AO87" i="11" s="1"/>
  <c r="BL196" i="11"/>
  <c r="BG151" i="11"/>
  <c r="BL151" i="11"/>
  <c r="BG25" i="11"/>
  <c r="BL153" i="11"/>
  <c r="R68" i="11"/>
  <c r="AO68" i="11" s="1"/>
  <c r="BL113" i="11"/>
  <c r="BL204" i="11"/>
  <c r="BL183" i="11"/>
  <c r="R82" i="11"/>
  <c r="AO82" i="11" s="1"/>
  <c r="R178" i="11"/>
  <c r="AO178" i="11" s="1"/>
  <c r="R28" i="11"/>
  <c r="AO28" i="11" s="1"/>
  <c r="BL216" i="11"/>
  <c r="BL176" i="11"/>
  <c r="BL69" i="11"/>
  <c r="R92" i="11"/>
  <c r="AO92" i="11" s="1"/>
  <c r="BL141" i="11"/>
  <c r="BG145" i="11"/>
  <c r="BL59" i="11"/>
  <c r="BL126" i="11"/>
  <c r="R170" i="11"/>
  <c r="AO170" i="11" s="1"/>
  <c r="R95" i="11"/>
  <c r="AO95" i="11" s="1"/>
  <c r="BG214" i="11"/>
  <c r="BL218" i="11"/>
  <c r="BL137" i="11"/>
  <c r="R104" i="11"/>
  <c r="AO104" i="11" s="1"/>
  <c r="R179" i="11"/>
  <c r="AO179" i="11" s="1"/>
  <c r="R85" i="11"/>
  <c r="AO85" i="11" s="1"/>
  <c r="R150" i="11"/>
  <c r="AO150" i="11" s="1"/>
  <c r="R36" i="11"/>
  <c r="AO36" i="11" s="1"/>
  <c r="R60" i="11"/>
  <c r="AO60" i="11" s="1"/>
  <c r="BL217" i="11"/>
  <c r="R64" i="11"/>
  <c r="AO64" i="11" s="1"/>
  <c r="BL76" i="11"/>
  <c r="BL32" i="11"/>
  <c r="BL211" i="11"/>
  <c r="BL214" i="11"/>
  <c r="R206" i="11"/>
  <c r="AO206" i="11" s="1"/>
  <c r="R166" i="11"/>
  <c r="AO166" i="11" s="1"/>
  <c r="R136" i="11"/>
  <c r="AO136" i="11" s="1"/>
  <c r="R158" i="11"/>
  <c r="AO158" i="11" s="1"/>
  <c r="R48" i="11"/>
  <c r="AO48" i="11" s="1"/>
  <c r="R168" i="11"/>
  <c r="AO168" i="11" s="1"/>
  <c r="R165" i="11"/>
  <c r="AO165" i="11" s="1"/>
  <c r="R160" i="11"/>
  <c r="AO160" i="11" s="1"/>
  <c r="BL130" i="11"/>
  <c r="BL34" i="11"/>
  <c r="BL45" i="11"/>
  <c r="BL51" i="11"/>
  <c r="BL88" i="11"/>
  <c r="BL198" i="11"/>
  <c r="BL57" i="11"/>
  <c r="BL194" i="11"/>
  <c r="BL205" i="11"/>
  <c r="BL135" i="11"/>
  <c r="BL199" i="11"/>
  <c r="BL52" i="11"/>
  <c r="BL86" i="11"/>
  <c r="BL73" i="11"/>
  <c r="BL173" i="11"/>
  <c r="BL132" i="11"/>
  <c r="BL197" i="11"/>
  <c r="BL212" i="11"/>
  <c r="BG212" i="11"/>
  <c r="BG175" i="11"/>
  <c r="BG125" i="11"/>
  <c r="BG54" i="11"/>
  <c r="BL125" i="11"/>
  <c r="BL191" i="11"/>
  <c r="BG192" i="11"/>
  <c r="BL114" i="11"/>
  <c r="BG135" i="11"/>
  <c r="BL200" i="11"/>
  <c r="BG90" i="11"/>
  <c r="BG109" i="11"/>
  <c r="BL110" i="11"/>
  <c r="BG200" i="11"/>
  <c r="BG110" i="11"/>
  <c r="BG119" i="11"/>
  <c r="BG156" i="11"/>
  <c r="BL175" i="11"/>
  <c r="BL192" i="11"/>
  <c r="BL156" i="11"/>
  <c r="BL119" i="11"/>
  <c r="BL97" i="11" l="1"/>
  <c r="BG184" i="11"/>
  <c r="BG201" i="11"/>
  <c r="BG167" i="11"/>
  <c r="BG93" i="11"/>
  <c r="BL131" i="11"/>
  <c r="BG97" i="11"/>
  <c r="BL154" i="11"/>
  <c r="BG68" i="11"/>
  <c r="BL92" i="11"/>
  <c r="BG131" i="11"/>
  <c r="BL184" i="11"/>
  <c r="BL167" i="11"/>
  <c r="BG87" i="11"/>
  <c r="BL40" i="11"/>
  <c r="BG40" i="11"/>
  <c r="BL93" i="11"/>
  <c r="BG74" i="11"/>
  <c r="BG147" i="11"/>
  <c r="BL147" i="11"/>
  <c r="BG134" i="11"/>
  <c r="BL161" i="11"/>
  <c r="BL186" i="11"/>
  <c r="BL74" i="11"/>
  <c r="BL25" i="11"/>
  <c r="BL178" i="11"/>
  <c r="BG178" i="11"/>
  <c r="BG82" i="11"/>
  <c r="BG92" i="11"/>
  <c r="BL95" i="11"/>
  <c r="BG95" i="11"/>
  <c r="BG28" i="11"/>
  <c r="BG170" i="11"/>
  <c r="BG136" i="11"/>
  <c r="BG64" i="11"/>
  <c r="BG168" i="11"/>
  <c r="BG166" i="11"/>
  <c r="BG179" i="11"/>
  <c r="BG60" i="11"/>
  <c r="BG150" i="11"/>
  <c r="BL145" i="11"/>
  <c r="BL64" i="11"/>
  <c r="BG160" i="11"/>
  <c r="BG158" i="11"/>
  <c r="BG36" i="11"/>
  <c r="BG104" i="11"/>
  <c r="BG165" i="11"/>
  <c r="BG48" i="11"/>
  <c r="BG206" i="11"/>
  <c r="BG85" i="11"/>
  <c r="BL54" i="11"/>
  <c r="BL109" i="11"/>
  <c r="BL90" i="11"/>
  <c r="BL127" i="11"/>
  <c r="BL70" i="11"/>
  <c r="R14" i="11"/>
  <c r="R122" i="11"/>
  <c r="R120" i="11"/>
  <c r="R13" i="11"/>
  <c r="BL87" i="11" l="1"/>
  <c r="BL68" i="11"/>
  <c r="BL201" i="11"/>
  <c r="BL134" i="11"/>
  <c r="BL82" i="11"/>
  <c r="BL28" i="11"/>
  <c r="BL170" i="11"/>
  <c r="BL150" i="11"/>
  <c r="BL160" i="11"/>
  <c r="BL60" i="11"/>
  <c r="BL179" i="11"/>
  <c r="BL136" i="11"/>
  <c r="BL104" i="11"/>
  <c r="BL36" i="11"/>
  <c r="BL206" i="11"/>
  <c r="BL48" i="11"/>
  <c r="BL166" i="11"/>
  <c r="BL85" i="11"/>
  <c r="BL165" i="11"/>
  <c r="BL158" i="11"/>
  <c r="BL168" i="11"/>
  <c r="R182" i="11"/>
  <c r="R144" i="11"/>
  <c r="R15" i="11"/>
  <c r="R55" i="11"/>
  <c r="R143" i="11"/>
  <c r="R128" i="11"/>
  <c r="R22" i="11"/>
  <c r="R108" i="11"/>
  <c r="R31" i="11"/>
  <c r="R27" i="11"/>
  <c r="R18" i="11"/>
  <c r="R80" i="11"/>
  <c r="R101" i="11"/>
  <c r="R213" i="11"/>
  <c r="R65" i="11"/>
  <c r="R21" i="11"/>
  <c r="AO21" i="11" s="1"/>
  <c r="AO13" i="11"/>
  <c r="AO122" i="11"/>
  <c r="R26" i="11"/>
  <c r="R174" i="11"/>
  <c r="R78" i="11"/>
  <c r="R56" i="11"/>
  <c r="R17" i="11"/>
  <c r="R16" i="11"/>
  <c r="R38" i="11"/>
  <c r="AO38" i="11" s="1"/>
  <c r="R139" i="11"/>
  <c r="R19" i="11"/>
  <c r="R142" i="11"/>
  <c r="R33" i="11"/>
  <c r="R209" i="11"/>
  <c r="R62" i="11"/>
  <c r="AO120" i="11"/>
  <c r="AO14" i="11"/>
  <c r="R172" i="11" l="1"/>
  <c r="AO19" i="11"/>
  <c r="AO80" i="11"/>
  <c r="AO128" i="11"/>
  <c r="AO182" i="11"/>
  <c r="BG120" i="11"/>
  <c r="AO174" i="11"/>
  <c r="BG13" i="11"/>
  <c r="AO65" i="11"/>
  <c r="AO101" i="11"/>
  <c r="AO27" i="11"/>
  <c r="AO108" i="11"/>
  <c r="AO15" i="11"/>
  <c r="AO209" i="11"/>
  <c r="AO142" i="11"/>
  <c r="AO139" i="11"/>
  <c r="BG38" i="11"/>
  <c r="AO17" i="11"/>
  <c r="BG122" i="11"/>
  <c r="AO31" i="11"/>
  <c r="AO22" i="11"/>
  <c r="AO143" i="11"/>
  <c r="AO55" i="11"/>
  <c r="BG14" i="11"/>
  <c r="AO62" i="11"/>
  <c r="AO33" i="11"/>
  <c r="AO16" i="11"/>
  <c r="AO56" i="11"/>
  <c r="AO78" i="11"/>
  <c r="AO26" i="11"/>
  <c r="BG21" i="11"/>
  <c r="AO213" i="11"/>
  <c r="AO18" i="11"/>
  <c r="AO144" i="11"/>
  <c r="R100" i="11" l="1"/>
  <c r="R81" i="11"/>
  <c r="AO81" i="11" s="1"/>
  <c r="R41" i="11"/>
  <c r="R24" i="11"/>
  <c r="AO24" i="11" s="1"/>
  <c r="R102" i="11"/>
  <c r="R23" i="11"/>
  <c r="R210" i="11"/>
  <c r="AO172" i="11"/>
  <c r="R171" i="11"/>
  <c r="R30" i="11"/>
  <c r="BL38" i="11"/>
  <c r="BL122" i="11"/>
  <c r="BL13" i="11"/>
  <c r="BL120" i="11"/>
  <c r="BL21" i="11"/>
  <c r="BL14" i="11"/>
  <c r="BG144" i="11"/>
  <c r="BG213" i="11"/>
  <c r="BG26" i="11"/>
  <c r="BG56" i="11"/>
  <c r="BG143" i="11"/>
  <c r="BG31" i="11"/>
  <c r="BG108" i="11"/>
  <c r="BG65" i="11"/>
  <c r="BG318" i="11"/>
  <c r="BG128" i="11"/>
  <c r="BG19" i="11"/>
  <c r="BG33" i="11"/>
  <c r="BG55" i="11"/>
  <c r="BG252" i="11"/>
  <c r="BL252" i="11"/>
  <c r="BG142" i="11"/>
  <c r="BG15" i="11"/>
  <c r="BG251" i="11"/>
  <c r="BL251" i="11"/>
  <c r="BG182" i="11"/>
  <c r="BG18" i="11"/>
  <c r="BG78" i="11"/>
  <c r="BG16" i="11"/>
  <c r="BG22" i="11"/>
  <c r="BG101" i="11"/>
  <c r="P222" i="11"/>
  <c r="R12" i="11"/>
  <c r="BG62" i="11"/>
  <c r="BG17" i="11"/>
  <c r="BG139" i="11"/>
  <c r="BG209" i="11"/>
  <c r="BG27" i="11"/>
  <c r="BG174" i="11"/>
  <c r="BG80" i="11"/>
  <c r="AO100" i="11" l="1"/>
  <c r="AO41" i="11"/>
  <c r="BL172" i="11"/>
  <c r="BG172" i="11"/>
  <c r="BL255" i="11"/>
  <c r="AO102" i="11"/>
  <c r="P307" i="11"/>
  <c r="AO23" i="11"/>
  <c r="AO210" i="11"/>
  <c r="AO171" i="11"/>
  <c r="P232" i="11"/>
  <c r="P325" i="11"/>
  <c r="P262" i="11"/>
  <c r="AO30" i="11"/>
  <c r="BL27" i="11"/>
  <c r="P276" i="11"/>
  <c r="BL65" i="11"/>
  <c r="BL80" i="11"/>
  <c r="BL101" i="11"/>
  <c r="BL78" i="11"/>
  <c r="BL18" i="11"/>
  <c r="BL33" i="11"/>
  <c r="BL143" i="11"/>
  <c r="BL26" i="11"/>
  <c r="BL213" i="11"/>
  <c r="BL142" i="11"/>
  <c r="BL31" i="11"/>
  <c r="BL139" i="11"/>
  <c r="BL17" i="11"/>
  <c r="BL62" i="11"/>
  <c r="P8" i="11"/>
  <c r="P290" i="11"/>
  <c r="BL16" i="11"/>
  <c r="BL182" i="11"/>
  <c r="BL55" i="11"/>
  <c r="BL108" i="11"/>
  <c r="BL22" i="11"/>
  <c r="BL15" i="11"/>
  <c r="BL174" i="11"/>
  <c r="BL209" i="11"/>
  <c r="BL19" i="11"/>
  <c r="BL128" i="11"/>
  <c r="BL56" i="11"/>
  <c r="BL144" i="11"/>
  <c r="BL237" i="11"/>
  <c r="BG237" i="11"/>
  <c r="BG246" i="11"/>
  <c r="BL246" i="11"/>
  <c r="BL258" i="11"/>
  <c r="BG258" i="11"/>
  <c r="BG319" i="11"/>
  <c r="BL319" i="11"/>
  <c r="R222" i="11"/>
  <c r="R8" i="11" s="1"/>
  <c r="AO12" i="11"/>
  <c r="BG81" i="11"/>
  <c r="BL249" i="11"/>
  <c r="BG249" i="11"/>
  <c r="BG269" i="11"/>
  <c r="BG245" i="11"/>
  <c r="BL245" i="11"/>
  <c r="BG302" i="11"/>
  <c r="BL302" i="11"/>
  <c r="BL253" i="11"/>
  <c r="BG253" i="11"/>
  <c r="BG257" i="11"/>
  <c r="BG314" i="11"/>
  <c r="BL318" i="11"/>
  <c r="BG300" i="11"/>
  <c r="BL300" i="11"/>
  <c r="BG288" i="11"/>
  <c r="BG229" i="11"/>
  <c r="BL244" i="11"/>
  <c r="BG244" i="11"/>
  <c r="BL322" i="11"/>
  <c r="BG322" i="11"/>
  <c r="BG303" i="11"/>
  <c r="BL303" i="11"/>
  <c r="BL242" i="11"/>
  <c r="BG242" i="11"/>
  <c r="BG24" i="11"/>
  <c r="BG279" i="11"/>
  <c r="BG260" i="11"/>
  <c r="BL260" i="11"/>
  <c r="BG256" i="11"/>
  <c r="BL256" i="11"/>
  <c r="BG273" i="11"/>
  <c r="BG241" i="11"/>
  <c r="BL241" i="11"/>
  <c r="BG304" i="11"/>
  <c r="BL304" i="11"/>
  <c r="BL243" i="11"/>
  <c r="BG243" i="11"/>
  <c r="BG305" i="11"/>
  <c r="BL305" i="11"/>
  <c r="BG281" i="11" l="1"/>
  <c r="BG100" i="11"/>
  <c r="BG321" i="11"/>
  <c r="BG41" i="11"/>
  <c r="BL102" i="11"/>
  <c r="BG301" i="11"/>
  <c r="BL296" i="11"/>
  <c r="BG102" i="11"/>
  <c r="BG283" i="11"/>
  <c r="BL301" i="11"/>
  <c r="BG255" i="11"/>
  <c r="R325" i="11"/>
  <c r="BG265" i="11"/>
  <c r="BG23" i="11"/>
  <c r="BG210" i="11"/>
  <c r="R262" i="11"/>
  <c r="BG299" i="11"/>
  <c r="BG259" i="11"/>
  <c r="BL295" i="11"/>
  <c r="BL171" i="11"/>
  <c r="BG320" i="11"/>
  <c r="R232" i="11"/>
  <c r="BL254" i="11"/>
  <c r="BG297" i="11"/>
  <c r="BG171" i="11"/>
  <c r="R290" i="11"/>
  <c r="R307" i="11"/>
  <c r="BG30" i="11"/>
  <c r="R276" i="11"/>
  <c r="BL24" i="11"/>
  <c r="BL41" i="11"/>
  <c r="BL81" i="11"/>
  <c r="BL100" i="11"/>
  <c r="BL273" i="11"/>
  <c r="BG282" i="11"/>
  <c r="BL257" i="11"/>
  <c r="BG247" i="11"/>
  <c r="BL247" i="11"/>
  <c r="BG315" i="11"/>
  <c r="BL279" i="11"/>
  <c r="BG267" i="11"/>
  <c r="BL314" i="11"/>
  <c r="BG12" i="11"/>
  <c r="AO222" i="11"/>
  <c r="BG298" i="11"/>
  <c r="BL298" i="11"/>
  <c r="BL288" i="11"/>
  <c r="BG239" i="11"/>
  <c r="BG317" i="11"/>
  <c r="BL229" i="11"/>
  <c r="BL321" i="11"/>
  <c r="BL269" i="11"/>
  <c r="BG313" i="11" l="1"/>
  <c r="T6" i="30"/>
  <c r="T21" i="30"/>
  <c r="BG248" i="11"/>
  <c r="BL248" i="11"/>
  <c r="BG228" i="11"/>
  <c r="BG270" i="11"/>
  <c r="BG286" i="11"/>
  <c r="BG316" i="11"/>
  <c r="BG296" i="11"/>
  <c r="BL283" i="11"/>
  <c r="BL265" i="11"/>
  <c r="BG250" i="11"/>
  <c r="BL250" i="11"/>
  <c r="BL238" i="11"/>
  <c r="BG238" i="11"/>
  <c r="BG284" i="11"/>
  <c r="BG312" i="11"/>
  <c r="BG323" i="11"/>
  <c r="BL210" i="11"/>
  <c r="BG295" i="11"/>
  <c r="BL299" i="11"/>
  <c r="BL23" i="11"/>
  <c r="BG268" i="11"/>
  <c r="BG254" i="11"/>
  <c r="BG272" i="11"/>
  <c r="BG274" i="11"/>
  <c r="BL274" i="11"/>
  <c r="BG280" i="11"/>
  <c r="BL297" i="11"/>
  <c r="BL259" i="11"/>
  <c r="BG230" i="11"/>
  <c r="BL30" i="11"/>
  <c r="BG266" i="11"/>
  <c r="BG287" i="11"/>
  <c r="BL240" i="11"/>
  <c r="BG240" i="11"/>
  <c r="BL239" i="11"/>
  <c r="BL12" i="11"/>
  <c r="BL317" i="11"/>
  <c r="BG271" i="11"/>
  <c r="AO232" i="11"/>
  <c r="BG227" i="11"/>
  <c r="BL267" i="11"/>
  <c r="BL228" i="11"/>
  <c r="BG294" i="11"/>
  <c r="BL294" i="11"/>
  <c r="AO307" i="11"/>
  <c r="BL282" i="11"/>
  <c r="BG222" i="11"/>
  <c r="BG9" i="11" s="1"/>
  <c r="AO9" i="11"/>
  <c r="AO325" i="11"/>
  <c r="BG311" i="11"/>
  <c r="BL236" i="11"/>
  <c r="BG236" i="11"/>
  <c r="AO262" i="11"/>
  <c r="BL281" i="11"/>
  <c r="BG285" i="11"/>
  <c r="AO290" i="11"/>
  <c r="BA4" i="11"/>
  <c r="BA5" i="11"/>
  <c r="BL315" i="11"/>
  <c r="AO276" i="11"/>
  <c r="T7" i="30" l="1"/>
  <c r="T8" i="30" s="1"/>
  <c r="T9" i="30" s="1"/>
  <c r="BL313" i="11"/>
  <c r="BL270" i="11"/>
  <c r="BL316" i="11"/>
  <c r="BL284" i="11"/>
  <c r="BL312" i="11"/>
  <c r="BL320" i="11"/>
  <c r="BL286" i="11"/>
  <c r="BL230" i="11"/>
  <c r="BL323" i="11"/>
  <c r="BL272" i="11"/>
  <c r="BL280" i="11"/>
  <c r="BL268" i="11"/>
  <c r="BL266" i="11"/>
  <c r="BL287" i="11"/>
  <c r="BA9" i="11"/>
  <c r="BL285" i="11"/>
  <c r="BG325" i="11"/>
  <c r="BL325" i="11"/>
  <c r="BL290" i="11"/>
  <c r="BG290" i="11"/>
  <c r="BL311" i="11"/>
  <c r="BG232" i="11"/>
  <c r="AU9" i="11"/>
  <c r="BL222" i="11"/>
  <c r="BL307" i="11"/>
  <c r="BG307" i="11"/>
  <c r="BL227" i="11"/>
  <c r="BL271" i="11"/>
  <c r="BL276" i="11"/>
  <c r="BG276" i="11"/>
  <c r="BL262" i="11"/>
  <c r="BG262" i="11"/>
  <c r="T10" i="30" l="1"/>
  <c r="T11" i="30" s="1"/>
  <c r="T12" i="30" s="1"/>
  <c r="T13" i="30" s="1"/>
  <c r="BL9" i="11"/>
  <c r="BL232" i="11"/>
  <c r="T14" i="30" l="1"/>
  <c r="T27" i="30" s="1"/>
  <c r="R190" i="12"/>
  <c r="AO190" i="12" s="1"/>
  <c r="R89" i="12"/>
  <c r="AO89" i="12" s="1"/>
  <c r="R189" i="12"/>
  <c r="AO189" i="12" s="1"/>
  <c r="R148" i="12"/>
  <c r="AO148" i="12" s="1"/>
  <c r="R118" i="12"/>
  <c r="AO118" i="12" s="1"/>
  <c r="R169" i="12"/>
  <c r="AO169" i="12" s="1"/>
  <c r="R207" i="12"/>
  <c r="AO207" i="12" s="1"/>
  <c r="R154" i="12"/>
  <c r="AO154" i="12" s="1"/>
  <c r="R164" i="12"/>
  <c r="AO164" i="12" s="1"/>
  <c r="R66" i="12"/>
  <c r="AO66" i="12" s="1"/>
  <c r="R187" i="12"/>
  <c r="AO187" i="12" s="1"/>
  <c r="R49" i="12"/>
  <c r="AO49" i="12" s="1"/>
  <c r="R25" i="12"/>
  <c r="AO25" i="12" s="1"/>
  <c r="T15" i="30" l="1"/>
  <c r="T26" i="30" s="1"/>
  <c r="R195" i="12"/>
  <c r="AO195" i="12" s="1"/>
  <c r="R67" i="12"/>
  <c r="AO67" i="12" s="1"/>
  <c r="BL190" i="12"/>
  <c r="BL164" i="12"/>
  <c r="BL118" i="12"/>
  <c r="BG189" i="12"/>
  <c r="BL189" i="12"/>
  <c r="BG207" i="12"/>
  <c r="BG164" i="12"/>
  <c r="BG190" i="12"/>
  <c r="BG49" i="12"/>
  <c r="BG66" i="12"/>
  <c r="BG118" i="12"/>
  <c r="BL89" i="12"/>
  <c r="BG187" i="12"/>
  <c r="BL66" i="12"/>
  <c r="BG148" i="12"/>
  <c r="BG89" i="12"/>
  <c r="BG154" i="12"/>
  <c r="BL148" i="12"/>
  <c r="BG169" i="12"/>
  <c r="BG25" i="12"/>
  <c r="R160" i="12"/>
  <c r="AO160" i="12" s="1"/>
  <c r="R29" i="12"/>
  <c r="AO29" i="12" s="1"/>
  <c r="R113" i="12"/>
  <c r="AO113" i="12" s="1"/>
  <c r="R94" i="12"/>
  <c r="AO94" i="12" s="1"/>
  <c r="R168" i="12"/>
  <c r="AO168" i="12" s="1"/>
  <c r="R37" i="12"/>
  <c r="AO37" i="12" s="1"/>
  <c r="R51" i="12"/>
  <c r="AO51" i="12" s="1"/>
  <c r="R32" i="12"/>
  <c r="AO32" i="12" s="1"/>
  <c r="R170" i="12"/>
  <c r="AO170" i="12" s="1"/>
  <c r="R110" i="12"/>
  <c r="AO110" i="12" s="1"/>
  <c r="R97" i="12"/>
  <c r="AO97" i="12" s="1"/>
  <c r="R167" i="12"/>
  <c r="AO167" i="12" s="1"/>
  <c r="R140" i="12"/>
  <c r="AO140" i="12" s="1"/>
  <c r="R104" i="12"/>
  <c r="AO104" i="12" s="1"/>
  <c r="R134" i="12"/>
  <c r="AO134" i="12" s="1"/>
  <c r="R193" i="12"/>
  <c r="AO193" i="12" s="1"/>
  <c r="R106" i="12"/>
  <c r="AO106" i="12" s="1"/>
  <c r="R141" i="12"/>
  <c r="AO141" i="12" s="1"/>
  <c r="R145" i="12"/>
  <c r="AO145" i="12" s="1"/>
  <c r="R115" i="12"/>
  <c r="AO115" i="12" s="1"/>
  <c r="R201" i="12"/>
  <c r="AO201" i="12" s="1"/>
  <c r="R166" i="12"/>
  <c r="AO166" i="12" s="1"/>
  <c r="R75" i="12"/>
  <c r="AO75" i="12" s="1"/>
  <c r="R199" i="12"/>
  <c r="AO199" i="12" s="1"/>
  <c r="R57" i="12"/>
  <c r="AO57" i="12" s="1"/>
  <c r="R152" i="12"/>
  <c r="AO152" i="12" s="1"/>
  <c r="R61" i="12"/>
  <c r="AO61" i="12" s="1"/>
  <c r="R84" i="12"/>
  <c r="AO84" i="12" s="1"/>
  <c r="R60" i="12"/>
  <c r="AO60" i="12" s="1"/>
  <c r="R82" i="12"/>
  <c r="AO82" i="12" s="1"/>
  <c r="R180" i="12"/>
  <c r="AO180" i="12" s="1"/>
  <c r="R116" i="12"/>
  <c r="AO116" i="12" s="1"/>
  <c r="R109" i="12"/>
  <c r="AO109" i="12" s="1"/>
  <c r="R146" i="12"/>
  <c r="AO146" i="12" s="1"/>
  <c r="R105" i="12"/>
  <c r="AO105" i="12" s="1"/>
  <c r="R173" i="12"/>
  <c r="AO173" i="12" s="1"/>
  <c r="R200" i="12"/>
  <c r="AO200" i="12" s="1"/>
  <c r="R185" i="12"/>
  <c r="AO185" i="12" s="1"/>
  <c r="R198" i="12"/>
  <c r="AO198" i="12" s="1"/>
  <c r="R162" i="12"/>
  <c r="AO162" i="12" s="1"/>
  <c r="R117" i="12"/>
  <c r="AO117" i="12" s="1"/>
  <c r="R184" i="12"/>
  <c r="AO184" i="12" s="1"/>
  <c r="R54" i="12"/>
  <c r="AO54" i="12" s="1"/>
  <c r="R161" i="12"/>
  <c r="AO161" i="12" s="1"/>
  <c r="R50" i="12"/>
  <c r="AO50" i="12" s="1"/>
  <c r="R175" i="12"/>
  <c r="AO175" i="12" s="1"/>
  <c r="R52" i="12"/>
  <c r="AO52" i="12" s="1"/>
  <c r="R20" i="12"/>
  <c r="AO20" i="12" s="1"/>
  <c r="R151" i="12"/>
  <c r="AO151" i="12" s="1"/>
  <c r="R74" i="12"/>
  <c r="AO74" i="12" s="1"/>
  <c r="R196" i="12"/>
  <c r="AO196" i="12" s="1"/>
  <c r="R150" i="12"/>
  <c r="AO150" i="12" s="1"/>
  <c r="R44" i="12"/>
  <c r="AO44" i="12" s="1"/>
  <c r="R156" i="12"/>
  <c r="AO156" i="12" s="1"/>
  <c r="R112" i="12"/>
  <c r="AO112" i="12" s="1"/>
  <c r="R123" i="12"/>
  <c r="AO123" i="12" s="1"/>
  <c r="R215" i="12"/>
  <c r="AO215" i="12" s="1"/>
  <c r="R86" i="12"/>
  <c r="AO86" i="12" s="1"/>
  <c r="R183" i="12"/>
  <c r="AO183" i="12" s="1"/>
  <c r="R91" i="12"/>
  <c r="AO91" i="12" s="1"/>
  <c r="R92" i="12"/>
  <c r="AO92" i="12" s="1"/>
  <c r="R197" i="12"/>
  <c r="AO197" i="12" s="1"/>
  <c r="R212" i="12"/>
  <c r="AO212" i="12" s="1"/>
  <c r="R186" i="12"/>
  <c r="AO186" i="12" s="1"/>
  <c r="R208" i="12"/>
  <c r="AO208" i="12" s="1"/>
  <c r="R217" i="12"/>
  <c r="AO217" i="12" s="1"/>
  <c r="R181" i="12"/>
  <c r="AO181" i="12" s="1"/>
  <c r="R79" i="12"/>
  <c r="AO79" i="12" s="1"/>
  <c r="R77" i="12"/>
  <c r="AO77" i="12" s="1"/>
  <c r="R202" i="12"/>
  <c r="AO202" i="12" s="1"/>
  <c r="R216" i="12"/>
  <c r="AO216" i="12" s="1"/>
  <c r="R99" i="12"/>
  <c r="AO99" i="12" s="1"/>
  <c r="R43" i="12"/>
  <c r="AO43" i="12" s="1"/>
  <c r="R135" i="12"/>
  <c r="AO135" i="12" s="1"/>
  <c r="R95" i="12"/>
  <c r="AO95" i="12" s="1"/>
  <c r="R219" i="12"/>
  <c r="AO219" i="12" s="1"/>
  <c r="R64" i="12"/>
  <c r="AO64" i="12" s="1"/>
  <c r="R179" i="12"/>
  <c r="AO179" i="12" s="1"/>
  <c r="R205" i="12"/>
  <c r="AO205" i="12" s="1"/>
  <c r="R121" i="12"/>
  <c r="AO121" i="12" s="1"/>
  <c r="R76" i="12"/>
  <c r="AO76" i="12" s="1"/>
  <c r="R220" i="12"/>
  <c r="AO220" i="12" s="1"/>
  <c r="R59" i="12"/>
  <c r="AO59" i="12" s="1"/>
  <c r="R87" i="12"/>
  <c r="AO87" i="12" s="1"/>
  <c r="R107" i="12"/>
  <c r="AO107" i="12" s="1"/>
  <c r="R88" i="12"/>
  <c r="AO88" i="12" s="1"/>
  <c r="R136" i="12"/>
  <c r="AO136" i="12" s="1"/>
  <c r="R58" i="12"/>
  <c r="AO58" i="12" s="1"/>
  <c r="R165" i="12"/>
  <c r="AO165" i="12" s="1"/>
  <c r="R68" i="12"/>
  <c r="AO68" i="12" s="1"/>
  <c r="R137" i="12"/>
  <c r="AO137" i="12" s="1"/>
  <c r="R90" i="12"/>
  <c r="AO90" i="12" s="1"/>
  <c r="R159" i="12"/>
  <c r="AO159" i="12" s="1"/>
  <c r="R191" i="12"/>
  <c r="AO191" i="12" s="1"/>
  <c r="R203" i="12"/>
  <c r="AO203" i="12" s="1"/>
  <c r="R119" i="12"/>
  <c r="AO119" i="12" s="1"/>
  <c r="R204" i="12"/>
  <c r="AO204" i="12" s="1"/>
  <c r="R69" i="12"/>
  <c r="AO69" i="12" s="1"/>
  <c r="R36" i="12"/>
  <c r="AO36" i="12" s="1"/>
  <c r="R111" i="12"/>
  <c r="AO111" i="12" s="1"/>
  <c r="R218" i="12"/>
  <c r="AO218" i="12" s="1"/>
  <c r="R147" i="12"/>
  <c r="AO147" i="12" s="1"/>
  <c r="R93" i="12"/>
  <c r="AO93" i="12" s="1"/>
  <c r="R46" i="12"/>
  <c r="AO46" i="12" s="1"/>
  <c r="R45" i="12"/>
  <c r="AO45" i="12" s="1"/>
  <c r="R178" i="12"/>
  <c r="AO178" i="12" s="1"/>
  <c r="R126" i="12"/>
  <c r="AO126" i="12" s="1"/>
  <c r="R153" i="12"/>
  <c r="AO153" i="12" s="1"/>
  <c r="R192" i="12"/>
  <c r="AO192" i="12" s="1"/>
  <c r="T16" i="30" l="1"/>
  <c r="T17" i="30" s="1"/>
  <c r="T18" i="30" s="1"/>
  <c r="T19" i="30" s="1"/>
  <c r="T20" i="30" s="1"/>
  <c r="T23" i="30" s="1"/>
  <c r="BL169" i="12"/>
  <c r="R138" i="12"/>
  <c r="AO138" i="12" s="1"/>
  <c r="R157" i="12"/>
  <c r="AO157" i="12" s="1"/>
  <c r="R129" i="12"/>
  <c r="AO129" i="12" s="1"/>
  <c r="R177" i="12"/>
  <c r="AO177" i="12" s="1"/>
  <c r="R125" i="12"/>
  <c r="AO125" i="12" s="1"/>
  <c r="R214" i="12"/>
  <c r="AO214" i="12" s="1"/>
  <c r="BG168" i="12"/>
  <c r="R85" i="12"/>
  <c r="AO85" i="12" s="1"/>
  <c r="R98" i="12"/>
  <c r="AO98" i="12" s="1"/>
  <c r="BG195" i="12"/>
  <c r="BL195" i="12"/>
  <c r="R206" i="12"/>
  <c r="AO206" i="12" s="1"/>
  <c r="BG145" i="12"/>
  <c r="R155" i="12"/>
  <c r="AO155" i="12" s="1"/>
  <c r="R103" i="12"/>
  <c r="AO103" i="12" s="1"/>
  <c r="R130" i="12"/>
  <c r="AO130" i="12" s="1"/>
  <c r="R34" i="12"/>
  <c r="AO34" i="12" s="1"/>
  <c r="R132" i="12"/>
  <c r="AO132" i="12" s="1"/>
  <c r="R127" i="12"/>
  <c r="AO127" i="12" s="1"/>
  <c r="BL94" i="12"/>
  <c r="BL49" i="12"/>
  <c r="R53" i="12"/>
  <c r="AO53" i="12" s="1"/>
  <c r="R194" i="12"/>
  <c r="AO194" i="12" s="1"/>
  <c r="R71" i="12"/>
  <c r="AO71" i="12" s="1"/>
  <c r="R73" i="12"/>
  <c r="AO73" i="12" s="1"/>
  <c r="R96" i="12"/>
  <c r="AO96" i="12" s="1"/>
  <c r="R39" i="12"/>
  <c r="AO39" i="12" s="1"/>
  <c r="BL184" i="12"/>
  <c r="BG95" i="12"/>
  <c r="BL69" i="12"/>
  <c r="BG91" i="12"/>
  <c r="BL154" i="12"/>
  <c r="BG162" i="12"/>
  <c r="BG123" i="12"/>
  <c r="BG110" i="12"/>
  <c r="BG161" i="12"/>
  <c r="BG79" i="12"/>
  <c r="BG99" i="12"/>
  <c r="BL25" i="12"/>
  <c r="BG135" i="12"/>
  <c r="BG181" i="12"/>
  <c r="BL105" i="12"/>
  <c r="BL61" i="12"/>
  <c r="BL187" i="12"/>
  <c r="BG109" i="12"/>
  <c r="BL75" i="12"/>
  <c r="BL140" i="12"/>
  <c r="BG97" i="12"/>
  <c r="BG94" i="12"/>
  <c r="BL173" i="12"/>
  <c r="BL161" i="12"/>
  <c r="BG68" i="12"/>
  <c r="BG32" i="12"/>
  <c r="BL185" i="12"/>
  <c r="BG29" i="12"/>
  <c r="BG173" i="12"/>
  <c r="BL111" i="12"/>
  <c r="BG88" i="12"/>
  <c r="BG202" i="12"/>
  <c r="BL217" i="12"/>
  <c r="BL86" i="12"/>
  <c r="BG156" i="12"/>
  <c r="BG175" i="12"/>
  <c r="BG167" i="12"/>
  <c r="BL207" i="12"/>
  <c r="BL37" i="12"/>
  <c r="BG185" i="12"/>
  <c r="BL90" i="12"/>
  <c r="BL197" i="12"/>
  <c r="BL20" i="12"/>
  <c r="BL146" i="12"/>
  <c r="BG152" i="12"/>
  <c r="BL115" i="12"/>
  <c r="BL104" i="12"/>
  <c r="BG184" i="12"/>
  <c r="BG37" i="12"/>
  <c r="BG147" i="12"/>
  <c r="BL156" i="12"/>
  <c r="BL150" i="12"/>
  <c r="BG199" i="12"/>
  <c r="BL160" i="12"/>
  <c r="BG87" i="12"/>
  <c r="BL202" i="12"/>
  <c r="BL79" i="12"/>
  <c r="BG186" i="12"/>
  <c r="BG170" i="12"/>
  <c r="BL113" i="12"/>
  <c r="BL179" i="12"/>
  <c r="BL168" i="12"/>
  <c r="BG160" i="12"/>
  <c r="BL99" i="12"/>
  <c r="BG90" i="12"/>
  <c r="BL58" i="12"/>
  <c r="BL88" i="12"/>
  <c r="BL121" i="12"/>
  <c r="BG217" i="12"/>
  <c r="BL186" i="12"/>
  <c r="BG197" i="12"/>
  <c r="BG86" i="12"/>
  <c r="BL123" i="12"/>
  <c r="BG150" i="12"/>
  <c r="BG74" i="12"/>
  <c r="BG20" i="12"/>
  <c r="BL175" i="12"/>
  <c r="BL116" i="12"/>
  <c r="BG84" i="12"/>
  <c r="BL199" i="12"/>
  <c r="BL166" i="12"/>
  <c r="BG193" i="12"/>
  <c r="BG179" i="12"/>
  <c r="BL219" i="12"/>
  <c r="BG46" i="12"/>
  <c r="BG69" i="12"/>
  <c r="BG191" i="12"/>
  <c r="BG58" i="12"/>
  <c r="BG67" i="12"/>
  <c r="BG146" i="12"/>
  <c r="BG116" i="12"/>
  <c r="BG82" i="12"/>
  <c r="BL84" i="12"/>
  <c r="BL141" i="12"/>
  <c r="BL193" i="12"/>
  <c r="BL167" i="12"/>
  <c r="BG51" i="12"/>
  <c r="BG219" i="12"/>
  <c r="BG113" i="12"/>
  <c r="BL153" i="12"/>
  <c r="BG178" i="12"/>
  <c r="BL46" i="12"/>
  <c r="BG111" i="12"/>
  <c r="BG119" i="12"/>
  <c r="BL68" i="12"/>
  <c r="BL87" i="12"/>
  <c r="BG121" i="12"/>
  <c r="BG44" i="12"/>
  <c r="BG52" i="12"/>
  <c r="BL67" i="12"/>
  <c r="BG166" i="12"/>
  <c r="BG115" i="12"/>
  <c r="BG141" i="12"/>
  <c r="BG104" i="12"/>
  <c r="BG64" i="12"/>
  <c r="BG93" i="12"/>
  <c r="BG153" i="12"/>
  <c r="BL92" i="12"/>
  <c r="BG183" i="12"/>
  <c r="BG215" i="12"/>
  <c r="BL112" i="12"/>
  <c r="BG192" i="12"/>
  <c r="BG54" i="12"/>
  <c r="BG200" i="12"/>
  <c r="BL126" i="12"/>
  <c r="BG36" i="12"/>
  <c r="BL203" i="12"/>
  <c r="BG137" i="12"/>
  <c r="BG198" i="12"/>
  <c r="BL95" i="12"/>
  <c r="BL200" i="12"/>
  <c r="BL107" i="12"/>
  <c r="BL93" i="12"/>
  <c r="BL36" i="12"/>
  <c r="BG203" i="12"/>
  <c r="BG159" i="12"/>
  <c r="BG165" i="12"/>
  <c r="BL77" i="12"/>
  <c r="BG208" i="12"/>
  <c r="BL44" i="12"/>
  <c r="BL151" i="12"/>
  <c r="BG76" i="12"/>
  <c r="BG50" i="12"/>
  <c r="BL54" i="12"/>
  <c r="BG105" i="12"/>
  <c r="BG180" i="12"/>
  <c r="BG61" i="12"/>
  <c r="BG57" i="12"/>
  <c r="BG201" i="12"/>
  <c r="BG106" i="12"/>
  <c r="BG134" i="12"/>
  <c r="BG220" i="12"/>
  <c r="BL198" i="12"/>
  <c r="BG43" i="12"/>
  <c r="BG216" i="12"/>
  <c r="BL59" i="12"/>
  <c r="BL45" i="12"/>
  <c r="BL218" i="12"/>
  <c r="BG204" i="12"/>
  <c r="BG136" i="12"/>
  <c r="BG77" i="12"/>
  <c r="BL212" i="12"/>
  <c r="BL50" i="12"/>
  <c r="BL109" i="12"/>
  <c r="BG60" i="12"/>
  <c r="BG75" i="12"/>
  <c r="BL145" i="12"/>
  <c r="BL134" i="12"/>
  <c r="BG117" i="12"/>
  <c r="BL216" i="12"/>
  <c r="BG107" i="12"/>
  <c r="BG59" i="12"/>
  <c r="BG126" i="12"/>
  <c r="BG45" i="12"/>
  <c r="BG218" i="12"/>
  <c r="BL165" i="12"/>
  <c r="BG205" i="12"/>
  <c r="BG212" i="12"/>
  <c r="BG92" i="12"/>
  <c r="BL183" i="12"/>
  <c r="BL215" i="12"/>
  <c r="BG112" i="12"/>
  <c r="BG196" i="12"/>
  <c r="BG151" i="12"/>
  <c r="BL76" i="12"/>
  <c r="BL180" i="12"/>
  <c r="BL57" i="12"/>
  <c r="BL106" i="12"/>
  <c r="BG140" i="12"/>
  <c r="BL220" i="12"/>
  <c r="R72" i="12"/>
  <c r="AO72" i="12" s="1"/>
  <c r="T25" i="30" l="1"/>
  <c r="BG72" i="12"/>
  <c r="R149" i="12"/>
  <c r="AO149" i="12" s="1"/>
  <c r="R133" i="12"/>
  <c r="AO133" i="12" s="1"/>
  <c r="BG125" i="12"/>
  <c r="R114" i="12"/>
  <c r="AO114" i="12" s="1"/>
  <c r="R48" i="12"/>
  <c r="AO48" i="12" s="1"/>
  <c r="BL32" i="12"/>
  <c r="BG138" i="12"/>
  <c r="BL177" i="12"/>
  <c r="BL170" i="12"/>
  <c r="BG177" i="12"/>
  <c r="BL214" i="12"/>
  <c r="R40" i="12"/>
  <c r="AO40" i="12" s="1"/>
  <c r="BL43" i="12"/>
  <c r="BL178" i="12"/>
  <c r="R176" i="12"/>
  <c r="AO176" i="12" s="1"/>
  <c r="R70" i="12"/>
  <c r="AO70" i="12" s="1"/>
  <c r="R163" i="12"/>
  <c r="AO163" i="12" s="1"/>
  <c r="R83" i="12"/>
  <c r="AO83" i="12" s="1"/>
  <c r="R63" i="12"/>
  <c r="AO63" i="12" s="1"/>
  <c r="BL91" i="12"/>
  <c r="R188" i="12"/>
  <c r="AO188" i="12" s="1"/>
  <c r="BL192" i="12"/>
  <c r="BL191" i="12"/>
  <c r="R131" i="12"/>
  <c r="AO131" i="12" s="1"/>
  <c r="R42" i="12"/>
  <c r="AO42" i="12" s="1"/>
  <c r="R28" i="12"/>
  <c r="AO28" i="12" s="1"/>
  <c r="R35" i="12"/>
  <c r="AO35" i="12" s="1"/>
  <c r="R158" i="12"/>
  <c r="AO158" i="12" s="1"/>
  <c r="R211" i="12"/>
  <c r="AO211" i="12" s="1"/>
  <c r="R124" i="12"/>
  <c r="AO124" i="12" s="1"/>
  <c r="R47" i="12"/>
  <c r="AO47" i="12" s="1"/>
  <c r="BL110" i="12"/>
  <c r="BL205" i="12"/>
  <c r="BL51" i="12"/>
  <c r="BL74" i="12"/>
  <c r="BL152" i="12"/>
  <c r="BL119" i="12"/>
  <c r="BL82" i="12"/>
  <c r="BL162" i="12"/>
  <c r="BL64" i="12"/>
  <c r="BG130" i="12"/>
  <c r="BL204" i="12"/>
  <c r="BL73" i="12"/>
  <c r="BL155" i="12"/>
  <c r="BL196" i="12"/>
  <c r="BG98" i="12"/>
  <c r="BG127" i="12"/>
  <c r="BG132" i="12"/>
  <c r="BL98" i="12"/>
  <c r="BG214" i="12"/>
  <c r="BL39" i="12"/>
  <c r="BL208" i="12"/>
  <c r="BL29" i="12"/>
  <c r="BL135" i="12"/>
  <c r="BL125" i="12"/>
  <c r="BL147" i="12"/>
  <c r="BL34" i="12"/>
  <c r="BG206" i="12"/>
  <c r="BL129" i="12"/>
  <c r="BL201" i="12"/>
  <c r="BL85" i="12"/>
  <c r="BL53" i="12"/>
  <c r="BL97" i="12"/>
  <c r="BG73" i="12"/>
  <c r="BL159" i="12"/>
  <c r="BL117" i="12"/>
  <c r="BL136" i="12"/>
  <c r="BL137" i="12"/>
  <c r="BL60" i="12"/>
  <c r="BG71" i="12"/>
  <c r="BL194" i="12"/>
  <c r="BL52" i="12"/>
  <c r="BL181" i="12"/>
  <c r="BG194" i="12"/>
  <c r="BG85" i="12"/>
  <c r="BG39" i="12"/>
  <c r="BG103" i="12"/>
  <c r="BG155" i="12"/>
  <c r="BG96" i="12"/>
  <c r="BG157" i="12"/>
  <c r="BG34" i="12"/>
  <c r="BG53" i="12"/>
  <c r="BG129" i="12"/>
  <c r="BG149" i="12" l="1"/>
  <c r="BL149" i="12"/>
  <c r="BL114" i="12"/>
  <c r="BG133" i="12"/>
  <c r="BL48" i="12"/>
  <c r="BG48" i="12"/>
  <c r="BL133" i="12"/>
  <c r="BG114" i="12"/>
  <c r="BL40" i="12"/>
  <c r="BG131" i="12"/>
  <c r="BG83" i="12"/>
  <c r="BL138" i="12"/>
  <c r="BL83" i="12"/>
  <c r="BG40" i="12"/>
  <c r="BL130" i="12"/>
  <c r="BG176" i="12"/>
  <c r="BG63" i="12"/>
  <c r="BG163" i="12"/>
  <c r="BG70" i="12"/>
  <c r="BG188" i="12"/>
  <c r="BG47" i="12"/>
  <c r="BG211" i="12"/>
  <c r="BG42" i="12"/>
  <c r="BG158" i="12"/>
  <c r="BG28" i="12"/>
  <c r="BG35" i="12"/>
  <c r="BG124" i="12"/>
  <c r="BL127" i="12"/>
  <c r="BL206" i="12"/>
  <c r="BL72" i="12"/>
  <c r="BL103" i="12"/>
  <c r="BL157" i="12"/>
  <c r="BL96" i="12"/>
  <c r="BL71" i="12"/>
  <c r="BL132" i="12"/>
  <c r="BL131" i="12" l="1"/>
  <c r="BL176" i="12"/>
  <c r="BL163" i="12"/>
  <c r="BL63" i="12"/>
  <c r="BL70" i="12"/>
  <c r="BL188" i="12"/>
  <c r="BL124" i="12"/>
  <c r="BL28" i="12"/>
  <c r="BL35" i="12"/>
  <c r="BL42" i="12"/>
  <c r="BL47" i="12"/>
  <c r="BL211" i="12"/>
  <c r="BL158" i="12"/>
  <c r="R120" i="12" l="1"/>
  <c r="R14" i="12"/>
  <c r="R122" i="12"/>
  <c r="R13" i="12"/>
  <c r="R213" i="12" l="1"/>
  <c r="R55" i="12"/>
  <c r="R142" i="12"/>
  <c r="R78" i="12"/>
  <c r="R65" i="12"/>
  <c r="R22" i="12"/>
  <c r="R80" i="12"/>
  <c r="R27" i="12"/>
  <c r="AO27" i="12" s="1"/>
  <c r="R16" i="12"/>
  <c r="R26" i="12"/>
  <c r="R33" i="12"/>
  <c r="R38" i="12"/>
  <c r="AO38" i="12" s="1"/>
  <c r="AO13" i="12"/>
  <c r="AO14" i="12"/>
  <c r="R81" i="12"/>
  <c r="R108" i="12"/>
  <c r="R15" i="12"/>
  <c r="R128" i="12"/>
  <c r="R139" i="12"/>
  <c r="R210" i="12"/>
  <c r="AO120" i="12"/>
  <c r="R19" i="12"/>
  <c r="R144" i="12"/>
  <c r="R209" i="12"/>
  <c r="R102" i="12"/>
  <c r="R24" i="12"/>
  <c r="R17" i="12"/>
  <c r="R31" i="12"/>
  <c r="R100" i="12"/>
  <c r="R23" i="12"/>
  <c r="R30" i="12"/>
  <c r="AO122" i="12"/>
  <c r="R174" i="12" l="1"/>
  <c r="AO30" i="12"/>
  <c r="AO17" i="12"/>
  <c r="AO102" i="12"/>
  <c r="AO210" i="12"/>
  <c r="BG14" i="12"/>
  <c r="AO80" i="12"/>
  <c r="R101" i="12"/>
  <c r="AO100" i="12"/>
  <c r="AO209" i="12"/>
  <c r="AO19" i="12"/>
  <c r="BG120" i="12"/>
  <c r="AO108" i="12"/>
  <c r="BG38" i="12"/>
  <c r="AO26" i="12"/>
  <c r="BG27" i="12"/>
  <c r="AO22" i="12"/>
  <c r="AO78" i="12"/>
  <c r="AO142" i="12"/>
  <c r="R171" i="12"/>
  <c r="R18" i="12"/>
  <c r="AO23" i="12"/>
  <c r="AO139" i="12"/>
  <c r="AO81" i="12"/>
  <c r="AO33" i="12"/>
  <c r="AO213" i="12"/>
  <c r="R21" i="12"/>
  <c r="R56" i="12"/>
  <c r="BG122" i="12"/>
  <c r="AO31" i="12"/>
  <c r="AO24" i="12"/>
  <c r="AO144" i="12"/>
  <c r="AO128" i="12"/>
  <c r="AO15" i="12"/>
  <c r="BG13" i="12"/>
  <c r="AO16" i="12"/>
  <c r="AO65" i="12"/>
  <c r="AO55" i="12"/>
  <c r="R182" i="12" l="1"/>
  <c r="R62" i="12"/>
  <c r="R41" i="12"/>
  <c r="R143" i="12"/>
  <c r="BL122" i="12"/>
  <c r="BL120" i="12"/>
  <c r="BL14" i="12"/>
  <c r="BL13" i="12"/>
  <c r="BL38" i="12"/>
  <c r="BL27" i="12"/>
  <c r="BG16" i="12"/>
  <c r="BG31" i="12"/>
  <c r="BG139" i="12"/>
  <c r="BG209" i="12"/>
  <c r="AO101" i="12"/>
  <c r="AO174" i="12"/>
  <c r="BL252" i="12"/>
  <c r="BG252" i="12"/>
  <c r="AO21" i="12"/>
  <c r="BG81" i="12"/>
  <c r="BG23" i="12"/>
  <c r="AO18" i="12"/>
  <c r="AO171" i="12"/>
  <c r="BG22" i="12"/>
  <c r="BG108" i="12"/>
  <c r="BG318" i="12"/>
  <c r="BG100" i="12"/>
  <c r="BG80" i="12"/>
  <c r="BG17" i="12"/>
  <c r="R172" i="12"/>
  <c r="BG65" i="12"/>
  <c r="BG15" i="12"/>
  <c r="BG24" i="12"/>
  <c r="AO56" i="12"/>
  <c r="BG213" i="12"/>
  <c r="BG251" i="12"/>
  <c r="BL251" i="12"/>
  <c r="BG19" i="12"/>
  <c r="BG210" i="12"/>
  <c r="BG55" i="12"/>
  <c r="BG128" i="12"/>
  <c r="BG144" i="12"/>
  <c r="BG33" i="12"/>
  <c r="BG142" i="12"/>
  <c r="BG78" i="12"/>
  <c r="BG26" i="12"/>
  <c r="BG102" i="12"/>
  <c r="BG30" i="12"/>
  <c r="AO62" i="12" l="1"/>
  <c r="AO182" i="12"/>
  <c r="AO143" i="12"/>
  <c r="AO41" i="12"/>
  <c r="BL142" i="12"/>
  <c r="BL144" i="12"/>
  <c r="BL55" i="12"/>
  <c r="BG296" i="12"/>
  <c r="BL65" i="12"/>
  <c r="BL100" i="12"/>
  <c r="BL209" i="12"/>
  <c r="BL128" i="12"/>
  <c r="BL210" i="12"/>
  <c r="BL24" i="12"/>
  <c r="BL17" i="12"/>
  <c r="BL22" i="12"/>
  <c r="BL81" i="12"/>
  <c r="BL139" i="12"/>
  <c r="BL16" i="12"/>
  <c r="BL102" i="12"/>
  <c r="BL26" i="12"/>
  <c r="BL78" i="12"/>
  <c r="BL19" i="12"/>
  <c r="BL80" i="12"/>
  <c r="BL108" i="12"/>
  <c r="BL23" i="12"/>
  <c r="BL30" i="12"/>
  <c r="BL33" i="12"/>
  <c r="BL213" i="12"/>
  <c r="BL15" i="12"/>
  <c r="BL31" i="12"/>
  <c r="BG314" i="12"/>
  <c r="BG250" i="12"/>
  <c r="BL250" i="12"/>
  <c r="BG272" i="12"/>
  <c r="BL245" i="12"/>
  <c r="BG245" i="12"/>
  <c r="BG323" i="12"/>
  <c r="BG274" i="12"/>
  <c r="BG316" i="12"/>
  <c r="BG312" i="12"/>
  <c r="BG171" i="12"/>
  <c r="BG18" i="12"/>
  <c r="BL247" i="12"/>
  <c r="BG247" i="12"/>
  <c r="BL303" i="12"/>
  <c r="BG303" i="12"/>
  <c r="BL305" i="12"/>
  <c r="BG305" i="12"/>
  <c r="BL302" i="12"/>
  <c r="BG302" i="12"/>
  <c r="BG239" i="12"/>
  <c r="AO172" i="12"/>
  <c r="BG300" i="12"/>
  <c r="BL300" i="12"/>
  <c r="BG281" i="12"/>
  <c r="BL299" i="12"/>
  <c r="BG299" i="12"/>
  <c r="BG101" i="12"/>
  <c r="BL258" i="12"/>
  <c r="BG258" i="12"/>
  <c r="P232" i="12"/>
  <c r="P262" i="12"/>
  <c r="R12" i="12"/>
  <c r="P307" i="12"/>
  <c r="P222" i="12"/>
  <c r="P325" i="12"/>
  <c r="BG315" i="12"/>
  <c r="BL259" i="12"/>
  <c r="BG259" i="12"/>
  <c r="BG56" i="12"/>
  <c r="BG246" i="12"/>
  <c r="BL246" i="12"/>
  <c r="BG298" i="12"/>
  <c r="BL298" i="12"/>
  <c r="BG21" i="12"/>
  <c r="BG174" i="12"/>
  <c r="BG279" i="12"/>
  <c r="BG228" i="12"/>
  <c r="BL241" i="12"/>
  <c r="BG241" i="12"/>
  <c r="BL242" i="12"/>
  <c r="BG242" i="12"/>
  <c r="BG282" i="12"/>
  <c r="BG260" i="12"/>
  <c r="BL260" i="12"/>
  <c r="BG270" i="12"/>
  <c r="BG248" i="12"/>
  <c r="BL248" i="12"/>
  <c r="BL318" i="12"/>
  <c r="BG238" i="12"/>
  <c r="BL238" i="12"/>
  <c r="BG62" i="12"/>
  <c r="BG182" i="12" l="1"/>
  <c r="BL182" i="12"/>
  <c r="BG41" i="12"/>
  <c r="BG143" i="12"/>
  <c r="BG317" i="12"/>
  <c r="BL296" i="12"/>
  <c r="BG268" i="12"/>
  <c r="BG288" i="12"/>
  <c r="P8" i="12"/>
  <c r="P276" i="12"/>
  <c r="BL101" i="12"/>
  <c r="BL239" i="12"/>
  <c r="BL171" i="12"/>
  <c r="P290" i="12"/>
  <c r="BL62" i="12"/>
  <c r="BL174" i="12"/>
  <c r="BL21" i="12"/>
  <c r="BL56" i="12"/>
  <c r="BL18" i="12"/>
  <c r="BG273" i="12"/>
  <c r="BL243" i="12"/>
  <c r="BG243" i="12"/>
  <c r="BL315" i="12"/>
  <c r="BL281" i="12"/>
  <c r="BG320" i="12"/>
  <c r="BL323" i="12"/>
  <c r="BL244" i="12"/>
  <c r="BG244" i="12"/>
  <c r="BL270" i="12"/>
  <c r="BL282" i="12"/>
  <c r="BL228" i="12"/>
  <c r="BL279" i="12"/>
  <c r="BG256" i="12"/>
  <c r="BL256" i="12"/>
  <c r="R232" i="12"/>
  <c r="R222" i="12"/>
  <c r="R8" i="12" s="1"/>
  <c r="R276" i="12"/>
  <c r="R290" i="12"/>
  <c r="R325" i="12"/>
  <c r="AO12" i="12"/>
  <c r="R307" i="12"/>
  <c r="R262" i="12"/>
  <c r="BG286" i="12"/>
  <c r="BG172" i="12"/>
  <c r="BL312" i="12"/>
  <c r="BL274" i="12"/>
  <c r="BG280" i="12"/>
  <c r="BG269" i="12"/>
  <c r="BL295" i="12"/>
  <c r="BG295" i="12"/>
  <c r="BG284" i="12"/>
  <c r="BG249" i="12"/>
  <c r="BL249" i="12"/>
  <c r="BL268" i="12"/>
  <c r="BG287" i="12"/>
  <c r="BG254" i="12"/>
  <c r="BL254" i="12"/>
  <c r="BL316" i="12"/>
  <c r="BL237" i="12"/>
  <c r="BG237" i="12"/>
  <c r="BL272" i="12"/>
  <c r="BG267" i="12" l="1"/>
  <c r="BG266" i="12"/>
  <c r="BG257" i="12"/>
  <c r="BG297" i="12"/>
  <c r="BL267" i="12"/>
  <c r="BL297" i="12"/>
  <c r="BL322" i="12"/>
  <c r="BG322" i="12"/>
  <c r="BL143" i="12"/>
  <c r="BL304" i="12"/>
  <c r="BG304" i="12"/>
  <c r="BG240" i="12"/>
  <c r="BL240" i="12"/>
  <c r="BL319" i="12"/>
  <c r="BG319" i="12"/>
  <c r="BG229" i="12"/>
  <c r="BG313" i="12"/>
  <c r="BG253" i="12"/>
  <c r="BL253" i="12"/>
  <c r="BL41" i="12"/>
  <c r="BL317" i="12"/>
  <c r="BL266" i="12"/>
  <c r="BL314" i="12"/>
  <c r="BL288" i="12"/>
  <c r="R66" i="13"/>
  <c r="AO66" i="13" s="1"/>
  <c r="R138" i="13"/>
  <c r="AO138" i="13" s="1"/>
  <c r="R49" i="13"/>
  <c r="AO49" i="13" s="1"/>
  <c r="R207" i="13"/>
  <c r="AO207" i="13" s="1"/>
  <c r="R189" i="13"/>
  <c r="AO189" i="13" s="1"/>
  <c r="R89" i="13"/>
  <c r="AO89" i="13" s="1"/>
  <c r="R195" i="13"/>
  <c r="AO195" i="13" s="1"/>
  <c r="R148" i="13"/>
  <c r="AO148" i="13" s="1"/>
  <c r="BL172" i="12"/>
  <c r="R154" i="13"/>
  <c r="AO154" i="13" s="1"/>
  <c r="R118" i="13"/>
  <c r="AO118" i="13" s="1"/>
  <c r="R187" i="13"/>
  <c r="AO187" i="13" s="1"/>
  <c r="R67" i="13"/>
  <c r="AO67" i="13" s="1"/>
  <c r="BL287" i="12"/>
  <c r="BG301" i="12"/>
  <c r="BL301" i="12"/>
  <c r="BL320" i="12"/>
  <c r="BG230" i="12"/>
  <c r="BL280" i="12"/>
  <c r="BG321" i="12"/>
  <c r="AO222" i="12"/>
  <c r="BG12" i="12"/>
  <c r="BL273" i="12"/>
  <c r="BL269" i="12"/>
  <c r="BG265" i="12"/>
  <c r="BL257" i="12"/>
  <c r="BL286" i="12"/>
  <c r="BL284" i="12"/>
  <c r="BG283" i="12"/>
  <c r="BL255" i="12"/>
  <c r="BG255" i="12"/>
  <c r="F32" i="30" l="1"/>
  <c r="F33" i="30" s="1"/>
  <c r="F34" i="30" s="1"/>
  <c r="F47" i="30"/>
  <c r="R190" i="13"/>
  <c r="AO190" i="13" s="1"/>
  <c r="R169" i="13"/>
  <c r="AO169" i="13" s="1"/>
  <c r="BL229" i="12"/>
  <c r="BL313" i="12"/>
  <c r="BL195" i="13"/>
  <c r="BG118" i="13"/>
  <c r="BL187" i="13"/>
  <c r="BG138" i="13"/>
  <c r="BG89" i="13"/>
  <c r="BG154" i="13"/>
  <c r="BG187" i="13"/>
  <c r="BL154" i="13"/>
  <c r="BG148" i="13"/>
  <c r="BL207" i="13"/>
  <c r="BG207" i="13"/>
  <c r="BG67" i="13"/>
  <c r="BL118" i="13"/>
  <c r="BG49" i="13"/>
  <c r="BG66" i="13"/>
  <c r="BG189" i="13"/>
  <c r="BL49" i="13"/>
  <c r="BG195" i="13"/>
  <c r="R181" i="13"/>
  <c r="AO181" i="13" s="1"/>
  <c r="R92" i="13"/>
  <c r="AO92" i="13" s="1"/>
  <c r="R116" i="13"/>
  <c r="AO116" i="13" s="1"/>
  <c r="R121" i="13"/>
  <c r="AO121" i="13" s="1"/>
  <c r="R94" i="13"/>
  <c r="AO94" i="13" s="1"/>
  <c r="R98" i="13"/>
  <c r="AO98" i="13" s="1"/>
  <c r="R47" i="13"/>
  <c r="AO47" i="13" s="1"/>
  <c r="R107" i="13"/>
  <c r="AO107" i="13" s="1"/>
  <c r="R203" i="13"/>
  <c r="AO203" i="13" s="1"/>
  <c r="R168" i="13"/>
  <c r="AO168" i="13" s="1"/>
  <c r="R211" i="13"/>
  <c r="AO211" i="13" s="1"/>
  <c r="R53" i="13"/>
  <c r="AO53" i="13" s="1"/>
  <c r="R46" i="13"/>
  <c r="AO46" i="13" s="1"/>
  <c r="R90" i="13"/>
  <c r="AO90" i="13" s="1"/>
  <c r="R125" i="13"/>
  <c r="AO125" i="13" s="1"/>
  <c r="R110" i="13"/>
  <c r="AO110" i="13" s="1"/>
  <c r="R136" i="13"/>
  <c r="AO136" i="13" s="1"/>
  <c r="R29" i="13"/>
  <c r="AO29" i="13" s="1"/>
  <c r="R50" i="13"/>
  <c r="AO50" i="13" s="1"/>
  <c r="R193" i="13"/>
  <c r="AO193" i="13" s="1"/>
  <c r="R175" i="13"/>
  <c r="AO175" i="13" s="1"/>
  <c r="R147" i="13"/>
  <c r="AO147" i="13" s="1"/>
  <c r="R83" i="13"/>
  <c r="AO83" i="13" s="1"/>
  <c r="R184" i="13"/>
  <c r="AO184" i="13" s="1"/>
  <c r="BL12" i="12"/>
  <c r="R91" i="13"/>
  <c r="AO91" i="13" s="1"/>
  <c r="R140" i="13"/>
  <c r="AO140" i="13" s="1"/>
  <c r="R167" i="13"/>
  <c r="AO167" i="13" s="1"/>
  <c r="R32" i="13"/>
  <c r="AO32" i="13" s="1"/>
  <c r="R141" i="13"/>
  <c r="AO141" i="13" s="1"/>
  <c r="R152" i="13"/>
  <c r="AO152" i="13" s="1"/>
  <c r="R200" i="13"/>
  <c r="AO200" i="13" s="1"/>
  <c r="R42" i="13"/>
  <c r="AO42" i="13" s="1"/>
  <c r="R95" i="13"/>
  <c r="AO95" i="13" s="1"/>
  <c r="R126" i="13"/>
  <c r="AO126" i="13" s="1"/>
  <c r="R146" i="13"/>
  <c r="AO146" i="13" s="1"/>
  <c r="R64" i="13"/>
  <c r="AO64" i="13" s="1"/>
  <c r="R166" i="13"/>
  <c r="AO166" i="13" s="1"/>
  <c r="R39" i="13"/>
  <c r="AO39" i="13" s="1"/>
  <c r="R86" i="13"/>
  <c r="AO86" i="13" s="1"/>
  <c r="R155" i="13"/>
  <c r="AO155" i="13" s="1"/>
  <c r="R84" i="13"/>
  <c r="AO84" i="13" s="1"/>
  <c r="R44" i="13"/>
  <c r="AO44" i="13" s="1"/>
  <c r="R129" i="13"/>
  <c r="AO129" i="13" s="1"/>
  <c r="R196" i="13"/>
  <c r="AO196" i="13" s="1"/>
  <c r="R28" i="13"/>
  <c r="AO28" i="13" s="1"/>
  <c r="R45" i="13"/>
  <c r="AO45" i="13" s="1"/>
  <c r="R111" i="13"/>
  <c r="AO111" i="13" s="1"/>
  <c r="R73" i="13"/>
  <c r="AO73" i="13" s="1"/>
  <c r="R130" i="13"/>
  <c r="AO130" i="13" s="1"/>
  <c r="AO276" i="12"/>
  <c r="BG276" i="12" s="1"/>
  <c r="AO290" i="12"/>
  <c r="BL290" i="12" s="1"/>
  <c r="R178" i="13"/>
  <c r="AO178" i="13" s="1"/>
  <c r="R204" i="13"/>
  <c r="AO204" i="13" s="1"/>
  <c r="R170" i="13"/>
  <c r="AO170" i="13" s="1"/>
  <c r="R43" i="13"/>
  <c r="AO43" i="13" s="1"/>
  <c r="R179" i="13"/>
  <c r="AO179" i="13" s="1"/>
  <c r="R119" i="13"/>
  <c r="AO119" i="13" s="1"/>
  <c r="R36" i="13"/>
  <c r="AO36" i="13" s="1"/>
  <c r="R34" i="13"/>
  <c r="AO34" i="13" s="1"/>
  <c r="R219" i="13"/>
  <c r="AO219" i="13" s="1"/>
  <c r="R220" i="13"/>
  <c r="AO220" i="13" s="1"/>
  <c r="R40" i="13"/>
  <c r="AO40" i="13" s="1"/>
  <c r="R214" i="13"/>
  <c r="AO214" i="13" s="1"/>
  <c r="R57" i="13"/>
  <c r="AO57" i="13" s="1"/>
  <c r="R162" i="13"/>
  <c r="AO162" i="13" s="1"/>
  <c r="R191" i="13"/>
  <c r="AO191" i="13" s="1"/>
  <c r="R183" i="13"/>
  <c r="AO183" i="13" s="1"/>
  <c r="R105" i="13"/>
  <c r="AO105" i="13" s="1"/>
  <c r="R77" i="13"/>
  <c r="AO77" i="13" s="1"/>
  <c r="R85" i="13"/>
  <c r="AO85" i="13" s="1"/>
  <c r="R88" i="13"/>
  <c r="AO88" i="13" s="1"/>
  <c r="R145" i="13"/>
  <c r="AO145" i="13" s="1"/>
  <c r="R192" i="13"/>
  <c r="AO192" i="13" s="1"/>
  <c r="R216" i="13"/>
  <c r="AO216" i="13" s="1"/>
  <c r="R96" i="13"/>
  <c r="AO96" i="13" s="1"/>
  <c r="R68" i="13"/>
  <c r="AO68" i="13" s="1"/>
  <c r="R131" i="13"/>
  <c r="AO131" i="13" s="1"/>
  <c r="R177" i="13"/>
  <c r="AO177" i="13" s="1"/>
  <c r="R51" i="13"/>
  <c r="AO51" i="13" s="1"/>
  <c r="R159" i="13"/>
  <c r="AO159" i="13" s="1"/>
  <c r="R173" i="13"/>
  <c r="AO173" i="13" s="1"/>
  <c r="R205" i="13"/>
  <c r="AO205" i="13" s="1"/>
  <c r="R150" i="13"/>
  <c r="AO150" i="13" s="1"/>
  <c r="R201" i="13"/>
  <c r="AO201" i="13" s="1"/>
  <c r="R124" i="13"/>
  <c r="AO124" i="13" s="1"/>
  <c r="R72" i="13"/>
  <c r="AO72" i="13" s="1"/>
  <c r="R158" i="13"/>
  <c r="AO158" i="13" s="1"/>
  <c r="R76" i="13"/>
  <c r="AO76" i="13" s="1"/>
  <c r="R176" i="13"/>
  <c r="AO176" i="13" s="1"/>
  <c r="R123" i="13"/>
  <c r="AO123" i="13" s="1"/>
  <c r="R113" i="13"/>
  <c r="AO113" i="13" s="1"/>
  <c r="R197" i="13"/>
  <c r="AO197" i="13" s="1"/>
  <c r="R58" i="13"/>
  <c r="AO58" i="13" s="1"/>
  <c r="R156" i="13"/>
  <c r="AO156" i="13" s="1"/>
  <c r="R63" i="13"/>
  <c r="AO63" i="13" s="1"/>
  <c r="R112" i="13"/>
  <c r="AO112" i="13" s="1"/>
  <c r="R99" i="13"/>
  <c r="AO99" i="13" s="1"/>
  <c r="R163" i="13"/>
  <c r="AO163" i="13" s="1"/>
  <c r="R206" i="13"/>
  <c r="AO206" i="13" s="1"/>
  <c r="R186" i="13"/>
  <c r="AO186" i="13" s="1"/>
  <c r="R93" i="13"/>
  <c r="AO93" i="13" s="1"/>
  <c r="R48" i="13"/>
  <c r="AO48" i="13" s="1"/>
  <c r="BG271" i="12"/>
  <c r="BG285" i="12"/>
  <c r="BG227" i="12"/>
  <c r="AO232" i="12"/>
  <c r="BL230" i="12"/>
  <c r="BL283" i="12"/>
  <c r="BL265" i="12"/>
  <c r="AO262" i="12"/>
  <c r="BL236" i="12"/>
  <c r="BG236" i="12"/>
  <c r="BG294" i="12"/>
  <c r="BL294" i="12"/>
  <c r="AO307" i="12"/>
  <c r="BA5" i="12"/>
  <c r="BA4" i="12"/>
  <c r="BG311" i="12"/>
  <c r="AO325" i="12"/>
  <c r="BL321" i="12"/>
  <c r="BG222" i="12"/>
  <c r="BG9" i="12" s="1"/>
  <c r="AO9" i="12"/>
  <c r="F35" i="30" l="1"/>
  <c r="F36" i="30" s="1"/>
  <c r="R202" i="13"/>
  <c r="AO202" i="13" s="1"/>
  <c r="R157" i="13"/>
  <c r="AO157" i="13" s="1"/>
  <c r="R199" i="13"/>
  <c r="AO199" i="13" s="1"/>
  <c r="R97" i="13"/>
  <c r="AO97" i="13" s="1"/>
  <c r="BL66" i="13"/>
  <c r="R104" i="13"/>
  <c r="AO104" i="13" s="1"/>
  <c r="R54" i="13"/>
  <c r="AO54" i="13" s="1"/>
  <c r="R160" i="13"/>
  <c r="AO160" i="13" s="1"/>
  <c r="R127" i="13"/>
  <c r="AO127" i="13" s="1"/>
  <c r="R75" i="13"/>
  <c r="AO75" i="13" s="1"/>
  <c r="R60" i="13"/>
  <c r="AO60" i="13" s="1"/>
  <c r="R117" i="13"/>
  <c r="AO117" i="13" s="1"/>
  <c r="R153" i="13"/>
  <c r="AO153" i="13" s="1"/>
  <c r="R165" i="13"/>
  <c r="AO165" i="13" s="1"/>
  <c r="R59" i="13"/>
  <c r="AO59" i="13" s="1"/>
  <c r="R137" i="13"/>
  <c r="AO137" i="13" s="1"/>
  <c r="BG179" i="13"/>
  <c r="BG53" i="13"/>
  <c r="BL178" i="13"/>
  <c r="R52" i="13"/>
  <c r="AO52" i="13" s="1"/>
  <c r="BL276" i="12"/>
  <c r="R164" i="13"/>
  <c r="AO164" i="13" s="1"/>
  <c r="R25" i="13"/>
  <c r="AO25" i="13" s="1"/>
  <c r="BL40" i="13"/>
  <c r="BG57" i="13"/>
  <c r="BL193" i="13"/>
  <c r="BL129" i="13"/>
  <c r="BG95" i="13"/>
  <c r="BG145" i="13"/>
  <c r="BL85" i="13"/>
  <c r="BG170" i="13"/>
  <c r="BG178" i="13"/>
  <c r="BG216" i="13"/>
  <c r="BL145" i="13"/>
  <c r="BG36" i="13"/>
  <c r="BL170" i="13"/>
  <c r="BG85" i="13"/>
  <c r="BG105" i="13"/>
  <c r="BG191" i="13"/>
  <c r="BG40" i="13"/>
  <c r="BG219" i="13"/>
  <c r="BL36" i="13"/>
  <c r="BL148" i="13"/>
  <c r="BL111" i="13"/>
  <c r="BL146" i="13"/>
  <c r="BG52" i="13"/>
  <c r="BL84" i="13"/>
  <c r="BL92" i="13"/>
  <c r="BG206" i="13"/>
  <c r="BL130" i="13"/>
  <c r="BL86" i="13"/>
  <c r="BG141" i="13"/>
  <c r="BG110" i="13"/>
  <c r="BG99" i="13"/>
  <c r="BG111" i="13"/>
  <c r="BG86" i="13"/>
  <c r="BG166" i="13"/>
  <c r="BL141" i="13"/>
  <c r="BL83" i="13"/>
  <c r="BL158" i="13"/>
  <c r="BG130" i="13"/>
  <c r="BL28" i="13"/>
  <c r="BG129" i="13"/>
  <c r="BG84" i="13"/>
  <c r="BG146" i="13"/>
  <c r="BL95" i="13"/>
  <c r="BG167" i="13"/>
  <c r="BG91" i="13"/>
  <c r="BG28" i="13"/>
  <c r="BG200" i="13"/>
  <c r="BL91" i="13"/>
  <c r="BL204" i="13"/>
  <c r="BL183" i="13"/>
  <c r="BG162" i="13"/>
  <c r="BG96" i="13"/>
  <c r="BG211" i="13"/>
  <c r="BG47" i="13"/>
  <c r="BL58" i="13"/>
  <c r="BL150" i="13"/>
  <c r="BL189" i="13"/>
  <c r="BL138" i="13"/>
  <c r="BG192" i="13"/>
  <c r="BG73" i="13"/>
  <c r="BG176" i="13"/>
  <c r="BL67" i="13"/>
  <c r="BG181" i="13"/>
  <c r="BG175" i="13"/>
  <c r="BG50" i="13"/>
  <c r="BG136" i="13"/>
  <c r="BG203" i="13"/>
  <c r="BG94" i="13"/>
  <c r="BG290" i="12"/>
  <c r="BG116" i="13"/>
  <c r="BG83" i="13"/>
  <c r="BL123" i="13"/>
  <c r="BL116" i="13"/>
  <c r="BG169" i="13"/>
  <c r="BG125" i="13"/>
  <c r="BG46" i="13"/>
  <c r="BL113" i="13"/>
  <c r="BL51" i="13"/>
  <c r="BG131" i="13"/>
  <c r="BG63" i="13"/>
  <c r="BG113" i="13"/>
  <c r="BL173" i="13"/>
  <c r="BG34" i="13"/>
  <c r="BG119" i="13"/>
  <c r="BG43" i="13"/>
  <c r="BL73" i="13"/>
  <c r="BL45" i="13"/>
  <c r="BL196" i="13"/>
  <c r="BG42" i="13"/>
  <c r="BG147" i="13"/>
  <c r="BG168" i="13"/>
  <c r="BL89" i="13"/>
  <c r="BL77" i="13"/>
  <c r="BG183" i="13"/>
  <c r="BG214" i="13"/>
  <c r="BG204" i="13"/>
  <c r="BG45" i="13"/>
  <c r="BL42" i="13"/>
  <c r="BG184" i="13"/>
  <c r="BG193" i="13"/>
  <c r="BG29" i="13"/>
  <c r="BG90" i="13"/>
  <c r="BL107" i="13"/>
  <c r="BG98" i="13"/>
  <c r="BG88" i="13"/>
  <c r="BG77" i="13"/>
  <c r="BG220" i="13"/>
  <c r="BL43" i="13"/>
  <c r="BG196" i="13"/>
  <c r="BG44" i="13"/>
  <c r="BG155" i="13"/>
  <c r="BG39" i="13"/>
  <c r="BG64" i="13"/>
  <c r="BG126" i="13"/>
  <c r="BG152" i="13"/>
  <c r="BG32" i="13"/>
  <c r="BG121" i="13"/>
  <c r="BL147" i="13"/>
  <c r="BG107" i="13"/>
  <c r="BG140" i="13"/>
  <c r="BG92" i="13"/>
  <c r="BG190" i="13"/>
  <c r="BG112" i="13"/>
  <c r="BG58" i="13"/>
  <c r="BG150" i="13"/>
  <c r="BG177" i="13"/>
  <c r="BG48" i="13"/>
  <c r="BG186" i="13"/>
  <c r="BL112" i="13"/>
  <c r="BL76" i="13"/>
  <c r="BG72" i="13"/>
  <c r="BG201" i="13"/>
  <c r="BL68" i="13"/>
  <c r="BG163" i="13"/>
  <c r="BG156" i="13"/>
  <c r="BG76" i="13"/>
  <c r="BL201" i="13"/>
  <c r="BG205" i="13"/>
  <c r="BG159" i="13"/>
  <c r="BL177" i="13"/>
  <c r="BL190" i="13"/>
  <c r="BL48" i="13"/>
  <c r="BG93" i="13"/>
  <c r="BL156" i="13"/>
  <c r="BG197" i="13"/>
  <c r="BG123" i="13"/>
  <c r="BG158" i="13"/>
  <c r="BL72" i="13"/>
  <c r="BG124" i="13"/>
  <c r="BL205" i="13"/>
  <c r="BG173" i="13"/>
  <c r="BG51" i="13"/>
  <c r="BG68" i="13"/>
  <c r="R109" i="13"/>
  <c r="AO109" i="13" s="1"/>
  <c r="R151" i="13"/>
  <c r="AO151" i="13" s="1"/>
  <c r="R133" i="13"/>
  <c r="AO133" i="13" s="1"/>
  <c r="BA9" i="12"/>
  <c r="BG325" i="12"/>
  <c r="BL325" i="12"/>
  <c r="BG262" i="12"/>
  <c r="BL262" i="12"/>
  <c r="BG232" i="12"/>
  <c r="BL311" i="12"/>
  <c r="BG307" i="12"/>
  <c r="BL307" i="12"/>
  <c r="BL285" i="12"/>
  <c r="BL222" i="12"/>
  <c r="AU9" i="12"/>
  <c r="BL271" i="12"/>
  <c r="BL227" i="12"/>
  <c r="F37" i="30" l="1"/>
  <c r="R70" i="13"/>
  <c r="AO70" i="13" s="1"/>
  <c r="R208" i="13"/>
  <c r="AO208" i="13" s="1"/>
  <c r="R135" i="13"/>
  <c r="AO135" i="13" s="1"/>
  <c r="R134" i="13"/>
  <c r="AO134" i="13" s="1"/>
  <c r="R103" i="13"/>
  <c r="AO103" i="13" s="1"/>
  <c r="R198" i="13"/>
  <c r="AO198" i="13" s="1"/>
  <c r="BL119" i="13"/>
  <c r="BG153" i="13"/>
  <c r="R161" i="13"/>
  <c r="AO161" i="13" s="1"/>
  <c r="BL52" i="13"/>
  <c r="R37" i="13"/>
  <c r="AO37" i="13" s="1"/>
  <c r="R217" i="13"/>
  <c r="AO217" i="13" s="1"/>
  <c r="BL121" i="13"/>
  <c r="R79" i="13"/>
  <c r="AO79" i="13" s="1"/>
  <c r="BL200" i="13"/>
  <c r="R188" i="13"/>
  <c r="AO188" i="13" s="1"/>
  <c r="R69" i="13"/>
  <c r="AO69" i="13" s="1"/>
  <c r="R185" i="13"/>
  <c r="AO185" i="13" s="1"/>
  <c r="BG164" i="13"/>
  <c r="R218" i="13"/>
  <c r="AO218" i="13" s="1"/>
  <c r="R61" i="13"/>
  <c r="AO61" i="13" s="1"/>
  <c r="R115" i="13"/>
  <c r="AO115" i="13" s="1"/>
  <c r="R71" i="13"/>
  <c r="AO71" i="13" s="1"/>
  <c r="R106" i="13"/>
  <c r="AO106" i="13" s="1"/>
  <c r="R149" i="13"/>
  <c r="AO149" i="13" s="1"/>
  <c r="BG25" i="13"/>
  <c r="R87" i="13"/>
  <c r="AO87" i="13" s="1"/>
  <c r="R20" i="13"/>
  <c r="AO20" i="13" s="1"/>
  <c r="R180" i="13"/>
  <c r="AO180" i="13" s="1"/>
  <c r="BL99" i="13"/>
  <c r="BL105" i="13"/>
  <c r="R35" i="13"/>
  <c r="AO35" i="13" s="1"/>
  <c r="R82" i="13"/>
  <c r="AO82" i="13" s="1"/>
  <c r="R215" i="13"/>
  <c r="AO215" i="13" s="1"/>
  <c r="R74" i="13"/>
  <c r="AO74" i="13" s="1"/>
  <c r="R194" i="13"/>
  <c r="AO194" i="13" s="1"/>
  <c r="R114" i="13"/>
  <c r="AO114" i="13" s="1"/>
  <c r="R132" i="13"/>
  <c r="AO132" i="13" s="1"/>
  <c r="R212" i="13"/>
  <c r="AO212" i="13" s="1"/>
  <c r="BL211" i="13"/>
  <c r="BL63" i="13"/>
  <c r="BL216" i="13"/>
  <c r="BL126" i="13"/>
  <c r="BL152" i="13"/>
  <c r="BL125" i="13"/>
  <c r="BL179" i="13"/>
  <c r="BL219" i="13"/>
  <c r="BL50" i="13"/>
  <c r="BL57" i="13"/>
  <c r="BL140" i="13"/>
  <c r="BL197" i="13"/>
  <c r="BL191" i="13"/>
  <c r="BL136" i="13"/>
  <c r="BL186" i="13"/>
  <c r="BL184" i="13"/>
  <c r="BL44" i="13"/>
  <c r="BL96" i="13"/>
  <c r="BL192" i="13"/>
  <c r="BL167" i="13"/>
  <c r="BL46" i="13"/>
  <c r="BL59" i="13"/>
  <c r="BG117" i="13"/>
  <c r="BL70" i="13"/>
  <c r="BL98" i="13"/>
  <c r="BL168" i="13"/>
  <c r="BL53" i="13"/>
  <c r="BL88" i="13"/>
  <c r="BL166" i="13"/>
  <c r="BL181" i="13"/>
  <c r="BL159" i="13"/>
  <c r="BL93" i="13"/>
  <c r="BL94" i="13"/>
  <c r="BL169" i="13"/>
  <c r="BL203" i="13"/>
  <c r="BL110" i="13"/>
  <c r="BG60" i="13"/>
  <c r="BG157" i="13"/>
  <c r="BL175" i="13"/>
  <c r="BL162" i="13"/>
  <c r="BL206" i="13"/>
  <c r="BL39" i="13"/>
  <c r="BL220" i="13"/>
  <c r="BL64" i="13"/>
  <c r="BL75" i="13"/>
  <c r="BG151" i="13"/>
  <c r="BL54" i="13"/>
  <c r="BL109" i="13"/>
  <c r="BG202" i="13"/>
  <c r="BL165" i="13"/>
  <c r="BL163" i="13"/>
  <c r="BL214" i="13"/>
  <c r="BL47" i="13"/>
  <c r="BL29" i="13"/>
  <c r="BL131" i="13"/>
  <c r="BL151" i="13"/>
  <c r="BG109" i="13"/>
  <c r="BG199" i="13"/>
  <c r="BL133" i="13"/>
  <c r="BG97" i="13"/>
  <c r="BL124" i="13"/>
  <c r="BG133" i="13"/>
  <c r="BG165" i="13"/>
  <c r="BL155" i="13"/>
  <c r="BL34" i="13"/>
  <c r="BL176" i="13"/>
  <c r="BL90" i="13"/>
  <c r="BL32" i="13"/>
  <c r="BG104" i="13"/>
  <c r="BL160" i="13"/>
  <c r="BG160" i="13"/>
  <c r="BG75" i="13"/>
  <c r="BG59" i="13"/>
  <c r="BG137" i="13"/>
  <c r="BG127" i="13"/>
  <c r="BL137" i="13"/>
  <c r="BG54" i="13"/>
  <c r="BL157" i="13"/>
  <c r="BL60" i="13"/>
  <c r="BL9" i="12"/>
  <c r="BL232" i="12"/>
  <c r="BG134" i="13" l="1"/>
  <c r="BG70" i="13"/>
  <c r="F38" i="30"/>
  <c r="BG37" i="13"/>
  <c r="BG103" i="13"/>
  <c r="BL208" i="13"/>
  <c r="BG208" i="13"/>
  <c r="BL134" i="13"/>
  <c r="BL135" i="13"/>
  <c r="BG135" i="13"/>
  <c r="BG198" i="13"/>
  <c r="BL198" i="13"/>
  <c r="BL153" i="13"/>
  <c r="BL103" i="13"/>
  <c r="BG217" i="13"/>
  <c r="BG188" i="13"/>
  <c r="BG161" i="13"/>
  <c r="BL149" i="13"/>
  <c r="BG149" i="13"/>
  <c r="BG79" i="13"/>
  <c r="BG218" i="13"/>
  <c r="BL164" i="13"/>
  <c r="BG106" i="13"/>
  <c r="BG61" i="13"/>
  <c r="BG71" i="13"/>
  <c r="BG115" i="13"/>
  <c r="BG185" i="13"/>
  <c r="BG69" i="13"/>
  <c r="BG212" i="13"/>
  <c r="BG114" i="13"/>
  <c r="BL25" i="13"/>
  <c r="BG20" i="13"/>
  <c r="BG132" i="13"/>
  <c r="BG215" i="13"/>
  <c r="BG35" i="13"/>
  <c r="BG180" i="13"/>
  <c r="BG87" i="13"/>
  <c r="BG74" i="13"/>
  <c r="BG82" i="13"/>
  <c r="BG194" i="13"/>
  <c r="BL97" i="13"/>
  <c r="BL117" i="13"/>
  <c r="BL199" i="13"/>
  <c r="BL104" i="13"/>
  <c r="BL202" i="13"/>
  <c r="BL127" i="13"/>
  <c r="F39" i="30" l="1"/>
  <c r="BL161" i="13"/>
  <c r="BL217" i="13"/>
  <c r="BL37" i="13"/>
  <c r="BL79" i="13"/>
  <c r="BL188" i="13"/>
  <c r="BL61" i="13"/>
  <c r="BL106" i="13"/>
  <c r="BL185" i="13"/>
  <c r="BL69" i="13"/>
  <c r="BL115" i="13"/>
  <c r="BL71" i="13"/>
  <c r="BL218" i="13"/>
  <c r="BL87" i="13"/>
  <c r="BL180" i="13"/>
  <c r="BL35" i="13"/>
  <c r="BL132" i="13"/>
  <c r="BL20" i="13"/>
  <c r="BL114" i="13"/>
  <c r="BL82" i="13"/>
  <c r="BL74" i="13"/>
  <c r="BL215" i="13"/>
  <c r="BL194" i="13"/>
  <c r="BL212" i="13"/>
  <c r="F40" i="30" l="1"/>
  <c r="F41" i="30" s="1"/>
  <c r="F42" i="30" s="1"/>
  <c r="R118" i="14"/>
  <c r="AO118" i="14" s="1"/>
  <c r="R148" i="14"/>
  <c r="AO148" i="14" s="1"/>
  <c r="R66" i="14"/>
  <c r="AO66" i="14" s="1"/>
  <c r="F52" i="30" l="1"/>
  <c r="F53" i="30"/>
  <c r="F43" i="30"/>
  <c r="F44" i="30" s="1"/>
  <c r="F45" i="30" s="1"/>
  <c r="F46" i="30" s="1"/>
  <c r="F49" i="30" s="1"/>
  <c r="R105" i="14"/>
  <c r="AO105" i="14" s="1"/>
  <c r="R52" i="14"/>
  <c r="AO52" i="14" s="1"/>
  <c r="R146" i="14"/>
  <c r="AO146" i="14" s="1"/>
  <c r="R67" i="14"/>
  <c r="AO67" i="14" s="1"/>
  <c r="R154" i="14"/>
  <c r="AO154" i="14" s="1"/>
  <c r="R28" i="14"/>
  <c r="AO28" i="14" s="1"/>
  <c r="R111" i="14"/>
  <c r="AO111" i="14" s="1"/>
  <c r="R42" i="14"/>
  <c r="AO42" i="14" s="1"/>
  <c r="R152" i="14"/>
  <c r="AO152" i="14" s="1"/>
  <c r="R119" i="14"/>
  <c r="AO119" i="14" s="1"/>
  <c r="BG118" i="14"/>
  <c r="BL66" i="14"/>
  <c r="BL148" i="14"/>
  <c r="BG66" i="14"/>
  <c r="BG148" i="14"/>
  <c r="R141" i="14"/>
  <c r="AO141" i="14" s="1"/>
  <c r="R43" i="14"/>
  <c r="AO43" i="14" s="1"/>
  <c r="R163" i="14"/>
  <c r="AO163" i="14" s="1"/>
  <c r="R130" i="14"/>
  <c r="AO130" i="14" s="1"/>
  <c r="R57" i="14"/>
  <c r="AO57" i="14" s="1"/>
  <c r="R50" i="14"/>
  <c r="AO50" i="14" s="1"/>
  <c r="R145" i="14"/>
  <c r="AO145" i="14" s="1"/>
  <c r="R93" i="14"/>
  <c r="AO93" i="14" s="1"/>
  <c r="R187" i="14"/>
  <c r="AO187" i="14" s="1"/>
  <c r="R207" i="14"/>
  <c r="AO207" i="14" s="1"/>
  <c r="R156" i="14"/>
  <c r="AO156" i="14" s="1"/>
  <c r="R36" i="14"/>
  <c r="AO36" i="14" s="1"/>
  <c r="R189" i="14"/>
  <c r="AO189" i="14" s="1"/>
  <c r="R140" i="14"/>
  <c r="AO140" i="14" s="1"/>
  <c r="R173" i="14"/>
  <c r="AO173" i="14" s="1"/>
  <c r="R195" i="14"/>
  <c r="AO195" i="14" s="1"/>
  <c r="R158" i="14"/>
  <c r="AO158" i="14" s="1"/>
  <c r="R44" i="14"/>
  <c r="AO44" i="14" s="1"/>
  <c r="R155" i="14"/>
  <c r="AO155" i="14" s="1"/>
  <c r="R138" i="14"/>
  <c r="AO138" i="14" s="1"/>
  <c r="R84" i="14"/>
  <c r="AO84" i="14" s="1"/>
  <c r="R116" i="14"/>
  <c r="AO116" i="14" s="1"/>
  <c r="R113" i="14"/>
  <c r="AO113" i="14" s="1"/>
  <c r="R63" i="14"/>
  <c r="AO63" i="14" s="1"/>
  <c r="R34" i="14"/>
  <c r="AO34" i="14" s="1"/>
  <c r="R32" i="14"/>
  <c r="AO32" i="14" s="1"/>
  <c r="R13" i="13"/>
  <c r="R120" i="13"/>
  <c r="R14" i="13"/>
  <c r="F51" i="30" l="1"/>
  <c r="R133" i="14"/>
  <c r="AO133" i="14" s="1"/>
  <c r="R151" i="14"/>
  <c r="AO151" i="14" s="1"/>
  <c r="BG154" i="14"/>
  <c r="R125" i="14"/>
  <c r="AO125" i="14" s="1"/>
  <c r="BG67" i="14"/>
  <c r="BL154" i="14"/>
  <c r="R90" i="14"/>
  <c r="AO90" i="14" s="1"/>
  <c r="R51" i="14"/>
  <c r="AO51" i="14" s="1"/>
  <c r="R49" i="14"/>
  <c r="AO49" i="14" s="1"/>
  <c r="R165" i="14"/>
  <c r="AO165" i="14" s="1"/>
  <c r="R48" i="14"/>
  <c r="AO48" i="14" s="1"/>
  <c r="R89" i="14"/>
  <c r="AO89" i="14" s="1"/>
  <c r="R54" i="14"/>
  <c r="AO54" i="14" s="1"/>
  <c r="R147" i="14"/>
  <c r="AO147" i="14" s="1"/>
  <c r="R88" i="14"/>
  <c r="AO88" i="14" s="1"/>
  <c r="R47" i="14"/>
  <c r="AO47" i="14" s="1"/>
  <c r="R77" i="14"/>
  <c r="AO77" i="14" s="1"/>
  <c r="BG152" i="14"/>
  <c r="BL163" i="14"/>
  <c r="BL145" i="14"/>
  <c r="BG105" i="14"/>
  <c r="BG146" i="14"/>
  <c r="BL141" i="14"/>
  <c r="BG42" i="14"/>
  <c r="BG207" i="14"/>
  <c r="BL152" i="14"/>
  <c r="BL57" i="14"/>
  <c r="BG163" i="14"/>
  <c r="BG141" i="14"/>
  <c r="BL118" i="14"/>
  <c r="BG145" i="14"/>
  <c r="BG57" i="14"/>
  <c r="BL146" i="14"/>
  <c r="BG119" i="14"/>
  <c r="BG43" i="14"/>
  <c r="BL119" i="14"/>
  <c r="BG173" i="14"/>
  <c r="BL189" i="14"/>
  <c r="BG156" i="14"/>
  <c r="BL130" i="14"/>
  <c r="BL52" i="14"/>
  <c r="BG44" i="14"/>
  <c r="BG189" i="14"/>
  <c r="BL156" i="14"/>
  <c r="BG50" i="14"/>
  <c r="BG133" i="14"/>
  <c r="BL116" i="14"/>
  <c r="BG155" i="14"/>
  <c r="BG93" i="14"/>
  <c r="BG130" i="14"/>
  <c r="BG52" i="14"/>
  <c r="BG195" i="14"/>
  <c r="BG36" i="14"/>
  <c r="BL158" i="14"/>
  <c r="BG84" i="14"/>
  <c r="BL195" i="14"/>
  <c r="BG140" i="14"/>
  <c r="BL207" i="14"/>
  <c r="BG32" i="14"/>
  <c r="BL187" i="14"/>
  <c r="BL63" i="14"/>
  <c r="BL42" i="14"/>
  <c r="BG158" i="14"/>
  <c r="BL111" i="14"/>
  <c r="BG151" i="14"/>
  <c r="BG113" i="14"/>
  <c r="BG187" i="14"/>
  <c r="BG111" i="14"/>
  <c r="BG63" i="14"/>
  <c r="BG116" i="14"/>
  <c r="BG138" i="14"/>
  <c r="R46" i="14"/>
  <c r="AO46" i="14" s="1"/>
  <c r="R124" i="14"/>
  <c r="AO124" i="14" s="1"/>
  <c r="R170" i="14"/>
  <c r="AO170" i="14" s="1"/>
  <c r="R191" i="14"/>
  <c r="AO191" i="14" s="1"/>
  <c r="R126" i="14"/>
  <c r="AO126" i="14" s="1"/>
  <c r="R39" i="14"/>
  <c r="AO39" i="14" s="1"/>
  <c r="R202" i="14"/>
  <c r="AO202" i="14" s="1"/>
  <c r="R176" i="14"/>
  <c r="AO176" i="14" s="1"/>
  <c r="R150" i="14"/>
  <c r="AO150" i="14" s="1"/>
  <c r="R72" i="14"/>
  <c r="AO72" i="14" s="1"/>
  <c r="R76" i="14"/>
  <c r="AO76" i="14" s="1"/>
  <c r="R68" i="14"/>
  <c r="AO68" i="14" s="1"/>
  <c r="R205" i="14"/>
  <c r="AO205" i="14" s="1"/>
  <c r="R175" i="14"/>
  <c r="AO175" i="14" s="1"/>
  <c r="R177" i="14"/>
  <c r="AO177" i="14" s="1"/>
  <c r="R201" i="14"/>
  <c r="AO201" i="14" s="1"/>
  <c r="BL173" i="14"/>
  <c r="R192" i="14"/>
  <c r="AO192" i="14" s="1"/>
  <c r="R40" i="14"/>
  <c r="AO40" i="14" s="1"/>
  <c r="R193" i="14"/>
  <c r="AO193" i="14" s="1"/>
  <c r="R184" i="14"/>
  <c r="AO184" i="14" s="1"/>
  <c r="R86" i="14"/>
  <c r="AO86" i="14" s="1"/>
  <c r="R186" i="14"/>
  <c r="AO186" i="14" s="1"/>
  <c r="R167" i="14"/>
  <c r="AO167" i="14" s="1"/>
  <c r="R112" i="14"/>
  <c r="AO112" i="14" s="1"/>
  <c r="BG34" i="14"/>
  <c r="BG28" i="14"/>
  <c r="R181" i="14"/>
  <c r="AO181" i="14" s="1"/>
  <c r="R29" i="14"/>
  <c r="AO29" i="14" s="1"/>
  <c r="R220" i="14"/>
  <c r="AO220" i="14" s="1"/>
  <c r="R168" i="14"/>
  <c r="AO168" i="14" s="1"/>
  <c r="R166" i="14"/>
  <c r="AO166" i="14" s="1"/>
  <c r="R200" i="14"/>
  <c r="AO200" i="14" s="1"/>
  <c r="R85" i="14"/>
  <c r="AO85" i="14" s="1"/>
  <c r="R22" i="13"/>
  <c r="R38" i="13"/>
  <c r="R56" i="13"/>
  <c r="R21" i="13"/>
  <c r="R78" i="13"/>
  <c r="R15" i="13"/>
  <c r="R30" i="13"/>
  <c r="R26" i="13"/>
  <c r="R27" i="13"/>
  <c r="R17" i="13"/>
  <c r="R65" i="13"/>
  <c r="R41" i="13"/>
  <c r="AO14" i="13"/>
  <c r="R18" i="13"/>
  <c r="R171" i="13"/>
  <c r="R102" i="13"/>
  <c r="AO13" i="13"/>
  <c r="R209" i="13"/>
  <c r="R16" i="13"/>
  <c r="R143" i="13"/>
  <c r="R31" i="13"/>
  <c r="R24" i="13"/>
  <c r="R128" i="13"/>
  <c r="R100" i="13"/>
  <c r="R19" i="13"/>
  <c r="R55" i="13"/>
  <c r="R142" i="13"/>
  <c r="R62" i="13"/>
  <c r="R144" i="13"/>
  <c r="AO120" i="13"/>
  <c r="R60" i="14" l="1"/>
  <c r="AO60" i="14" s="1"/>
  <c r="R160" i="14"/>
  <c r="AO160" i="14" s="1"/>
  <c r="BL125" i="14"/>
  <c r="BG125" i="14"/>
  <c r="BL67" i="14"/>
  <c r="R94" i="14"/>
  <c r="AO94" i="14" s="1"/>
  <c r="R64" i="14"/>
  <c r="AO64" i="14" s="1"/>
  <c r="R73" i="14"/>
  <c r="AO73" i="14" s="1"/>
  <c r="R199" i="14"/>
  <c r="AO199" i="14" s="1"/>
  <c r="BL90" i="14"/>
  <c r="R98" i="14"/>
  <c r="AO98" i="14" s="1"/>
  <c r="BG90" i="14"/>
  <c r="BG51" i="14"/>
  <c r="BG49" i="14"/>
  <c r="R127" i="14"/>
  <c r="AO127" i="14" s="1"/>
  <c r="BG89" i="14"/>
  <c r="R123" i="14"/>
  <c r="AO123" i="14" s="1"/>
  <c r="R122" i="13"/>
  <c r="BL88" i="14"/>
  <c r="BG54" i="14"/>
  <c r="R97" i="14"/>
  <c r="AO97" i="14" s="1"/>
  <c r="R108" i="13"/>
  <c r="BG88" i="14"/>
  <c r="R107" i="14"/>
  <c r="AO107" i="14" s="1"/>
  <c r="R92" i="14"/>
  <c r="AO92" i="14" s="1"/>
  <c r="R136" i="14"/>
  <c r="AO136" i="14" s="1"/>
  <c r="R190" i="14"/>
  <c r="AO190" i="14" s="1"/>
  <c r="R45" i="14"/>
  <c r="AO45" i="14" s="1"/>
  <c r="R219" i="14"/>
  <c r="AO219" i="14" s="1"/>
  <c r="R129" i="14"/>
  <c r="AO129" i="14" s="1"/>
  <c r="R110" i="14"/>
  <c r="AO110" i="14" s="1"/>
  <c r="R159" i="14"/>
  <c r="AO159" i="14" s="1"/>
  <c r="R99" i="14"/>
  <c r="AO99" i="14" s="1"/>
  <c r="R58" i="14"/>
  <c r="AO58" i="14" s="1"/>
  <c r="R131" i="14"/>
  <c r="AO131" i="14" s="1"/>
  <c r="R157" i="14"/>
  <c r="AO157" i="14" s="1"/>
  <c r="R153" i="14"/>
  <c r="AO153" i="14" s="1"/>
  <c r="R121" i="14"/>
  <c r="AO121" i="14" s="1"/>
  <c r="R109" i="14"/>
  <c r="AO109" i="14" s="1"/>
  <c r="BL151" i="14"/>
  <c r="R208" i="14"/>
  <c r="AO208" i="14" s="1"/>
  <c r="BL140" i="14"/>
  <c r="BL36" i="14"/>
  <c r="BL32" i="14"/>
  <c r="BL43" i="14"/>
  <c r="BG175" i="14"/>
  <c r="BG205" i="14"/>
  <c r="BL202" i="14"/>
  <c r="BL50" i="14"/>
  <c r="BG220" i="14"/>
  <c r="BG40" i="14"/>
  <c r="BL176" i="14"/>
  <c r="BG76" i="14"/>
  <c r="BG201" i="14"/>
  <c r="BL105" i="14"/>
  <c r="BG39" i="14"/>
  <c r="BG202" i="14"/>
  <c r="BG150" i="14"/>
  <c r="BG170" i="14"/>
  <c r="BG46" i="14"/>
  <c r="BL150" i="14"/>
  <c r="BL170" i="14"/>
  <c r="BL181" i="14"/>
  <c r="BG167" i="14"/>
  <c r="BG177" i="14"/>
  <c r="BG112" i="14"/>
  <c r="BL93" i="14"/>
  <c r="BL177" i="14"/>
  <c r="BG147" i="14"/>
  <c r="BG86" i="14"/>
  <c r="BL147" i="14"/>
  <c r="BG193" i="14"/>
  <c r="BG192" i="14"/>
  <c r="BL193" i="14"/>
  <c r="BL192" i="14"/>
  <c r="BL77" i="14"/>
  <c r="BL76" i="14"/>
  <c r="BG48" i="14"/>
  <c r="BL168" i="14"/>
  <c r="BL184" i="14"/>
  <c r="BL40" i="14"/>
  <c r="BG47" i="14"/>
  <c r="BG68" i="14"/>
  <c r="BG181" i="14"/>
  <c r="BL133" i="14"/>
  <c r="BG168" i="14"/>
  <c r="BG186" i="14"/>
  <c r="BG184" i="14"/>
  <c r="BG165" i="14"/>
  <c r="BL72" i="14"/>
  <c r="BG77" i="14"/>
  <c r="BG72" i="14"/>
  <c r="BL166" i="14"/>
  <c r="BL126" i="14"/>
  <c r="BL155" i="14"/>
  <c r="BG160" i="14"/>
  <c r="BG29" i="14"/>
  <c r="BG176" i="14"/>
  <c r="BG126" i="14"/>
  <c r="BG191" i="14"/>
  <c r="BL48" i="14"/>
  <c r="BG124" i="14"/>
  <c r="BG166" i="14"/>
  <c r="BL113" i="14"/>
  <c r="BL84" i="14"/>
  <c r="BG85" i="14"/>
  <c r="BL28" i="14"/>
  <c r="BL34" i="14"/>
  <c r="BG200" i="14"/>
  <c r="BL44" i="14"/>
  <c r="BL138" i="14"/>
  <c r="BG120" i="13"/>
  <c r="AO62" i="13"/>
  <c r="AO31" i="13"/>
  <c r="AO143" i="13"/>
  <c r="AO209" i="13"/>
  <c r="AO18" i="13"/>
  <c r="AO78" i="13"/>
  <c r="AO56" i="13"/>
  <c r="R174" i="13"/>
  <c r="AO55" i="13"/>
  <c r="AO100" i="13"/>
  <c r="AO128" i="13"/>
  <c r="AO24" i="13"/>
  <c r="AO171" i="13"/>
  <c r="BG14" i="13"/>
  <c r="AO65" i="13"/>
  <c r="AO15" i="13"/>
  <c r="AO21" i="13"/>
  <c r="AO144" i="13"/>
  <c r="AO142" i="13"/>
  <c r="AO16" i="13"/>
  <c r="AO17" i="13"/>
  <c r="AO27" i="13"/>
  <c r="AO30" i="13"/>
  <c r="R213" i="13"/>
  <c r="AO19" i="13"/>
  <c r="BG13" i="13"/>
  <c r="AO102" i="13"/>
  <c r="AO41" i="13"/>
  <c r="AO26" i="13"/>
  <c r="AO38" i="13"/>
  <c r="AO22" i="13"/>
  <c r="BL60" i="14" l="1"/>
  <c r="BG60" i="14"/>
  <c r="R70" i="14"/>
  <c r="AO70" i="14" s="1"/>
  <c r="BG94" i="14"/>
  <c r="BL64" i="14"/>
  <c r="BG64" i="14"/>
  <c r="BL94" i="14"/>
  <c r="BG98" i="14"/>
  <c r="R53" i="14"/>
  <c r="AO53" i="14" s="1"/>
  <c r="BG73" i="14"/>
  <c r="R182" i="13"/>
  <c r="AO122" i="13"/>
  <c r="R101" i="13"/>
  <c r="BL98" i="14"/>
  <c r="R80" i="13"/>
  <c r="R23" i="13"/>
  <c r="BG199" i="14"/>
  <c r="R139" i="13"/>
  <c r="BG219" i="14"/>
  <c r="R149" i="14"/>
  <c r="AO149" i="14" s="1"/>
  <c r="R183" i="14"/>
  <c r="AO183" i="14" s="1"/>
  <c r="BL45" i="14"/>
  <c r="BG127" i="14"/>
  <c r="BG45" i="14"/>
  <c r="R161" i="14"/>
  <c r="AO161" i="14" s="1"/>
  <c r="BL51" i="14"/>
  <c r="BL199" i="14"/>
  <c r="BL49" i="14"/>
  <c r="R95" i="14"/>
  <c r="AO95" i="14" s="1"/>
  <c r="R216" i="14"/>
  <c r="AO216" i="14" s="1"/>
  <c r="R33" i="13"/>
  <c r="BL89" i="14"/>
  <c r="BL208" i="14"/>
  <c r="BG208" i="14"/>
  <c r="BL54" i="14"/>
  <c r="R203" i="14"/>
  <c r="AO203" i="14" s="1"/>
  <c r="R96" i="14"/>
  <c r="AO96" i="14" s="1"/>
  <c r="BG97" i="14"/>
  <c r="R81" i="13"/>
  <c r="R83" i="14"/>
  <c r="AO83" i="14" s="1"/>
  <c r="R179" i="14"/>
  <c r="AO179" i="14" s="1"/>
  <c r="BG123" i="14"/>
  <c r="BG92" i="14"/>
  <c r="BG136" i="14"/>
  <c r="BG107" i="14"/>
  <c r="BG129" i="14"/>
  <c r="R162" i="14"/>
  <c r="AO162" i="14" s="1"/>
  <c r="BL129" i="14"/>
  <c r="BG190" i="14"/>
  <c r="R134" i="14"/>
  <c r="AO134" i="14" s="1"/>
  <c r="BG159" i="14"/>
  <c r="BG99" i="14"/>
  <c r="R178" i="14"/>
  <c r="AO178" i="14" s="1"/>
  <c r="R117" i="14"/>
  <c r="AO117" i="14" s="1"/>
  <c r="R135" i="14"/>
  <c r="AO135" i="14" s="1"/>
  <c r="R210" i="13"/>
  <c r="BG109" i="14"/>
  <c r="R91" i="14"/>
  <c r="AO91" i="14" s="1"/>
  <c r="R103" i="14"/>
  <c r="AO103" i="14" s="1"/>
  <c r="BG157" i="14"/>
  <c r="R59" i="14"/>
  <c r="AO59" i="14" s="1"/>
  <c r="R211" i="14"/>
  <c r="AO211" i="14" s="1"/>
  <c r="R206" i="14"/>
  <c r="AO206" i="14" s="1"/>
  <c r="R204" i="14"/>
  <c r="AO204" i="14" s="1"/>
  <c r="R169" i="14"/>
  <c r="AO169" i="14" s="1"/>
  <c r="BG153" i="14"/>
  <c r="BG131" i="14"/>
  <c r="BG58" i="14"/>
  <c r="R197" i="14"/>
  <c r="AO197" i="14" s="1"/>
  <c r="R104" i="14"/>
  <c r="AO104" i="14" s="1"/>
  <c r="R75" i="14"/>
  <c r="AO75" i="14" s="1"/>
  <c r="R196" i="14"/>
  <c r="AO196" i="14" s="1"/>
  <c r="R137" i="14"/>
  <c r="AO137" i="14" s="1"/>
  <c r="R214" i="14"/>
  <c r="AO214" i="14" s="1"/>
  <c r="BG121" i="14"/>
  <c r="BL39" i="14"/>
  <c r="BL186" i="14"/>
  <c r="BL205" i="14"/>
  <c r="BG110" i="14"/>
  <c r="BL220" i="14"/>
  <c r="BL175" i="14"/>
  <c r="BL165" i="14"/>
  <c r="BL201" i="14"/>
  <c r="BL46" i="14"/>
  <c r="BL167" i="14"/>
  <c r="BL86" i="14"/>
  <c r="BL110" i="14"/>
  <c r="BL160" i="14"/>
  <c r="BL191" i="14"/>
  <c r="BL68" i="14"/>
  <c r="BL47" i="14"/>
  <c r="BL29" i="14"/>
  <c r="BL124" i="14"/>
  <c r="BL112" i="14"/>
  <c r="BL200" i="14"/>
  <c r="BL13" i="13"/>
  <c r="BL120" i="13"/>
  <c r="BL14" i="13"/>
  <c r="BL85" i="14"/>
  <c r="BG38" i="13"/>
  <c r="BG26" i="13"/>
  <c r="BG102" i="13"/>
  <c r="AO108" i="13"/>
  <c r="BG128" i="13"/>
  <c r="BG31" i="13"/>
  <c r="BL251" i="13"/>
  <c r="BG251" i="13"/>
  <c r="BG22" i="13"/>
  <c r="BG30" i="13"/>
  <c r="BG17" i="13"/>
  <c r="BG142" i="13"/>
  <c r="BG65" i="13"/>
  <c r="BG24" i="13"/>
  <c r="BG55" i="13"/>
  <c r="BG56" i="13"/>
  <c r="BG143" i="13"/>
  <c r="BG41" i="13"/>
  <c r="AO213" i="13"/>
  <c r="BG16" i="13"/>
  <c r="BG171" i="13"/>
  <c r="BG100" i="13"/>
  <c r="AO174" i="13"/>
  <c r="BG18" i="13"/>
  <c r="R172" i="13"/>
  <c r="BG19" i="13"/>
  <c r="BG27" i="13"/>
  <c r="BG144" i="13"/>
  <c r="BG21" i="13"/>
  <c r="BG15" i="13"/>
  <c r="BG78" i="13"/>
  <c r="BG209" i="13"/>
  <c r="BG62" i="13"/>
  <c r="BG70" i="14" l="1"/>
  <c r="BL70" i="14"/>
  <c r="AO101" i="13"/>
  <c r="BL73" i="14"/>
  <c r="AO182" i="13"/>
  <c r="BG53" i="14"/>
  <c r="BG149" i="14"/>
  <c r="AO33" i="13"/>
  <c r="BG122" i="13"/>
  <c r="BL122" i="13"/>
  <c r="AO139" i="13"/>
  <c r="AO80" i="13"/>
  <c r="BG183" i="14"/>
  <c r="BL149" i="14"/>
  <c r="AO23" i="13"/>
  <c r="BL127" i="14"/>
  <c r="BG96" i="14"/>
  <c r="BL179" i="14"/>
  <c r="BG179" i="14"/>
  <c r="R37" i="14"/>
  <c r="AO37" i="14" s="1"/>
  <c r="BG95" i="14"/>
  <c r="BL216" i="14"/>
  <c r="BG216" i="14"/>
  <c r="BG161" i="14"/>
  <c r="R132" i="14"/>
  <c r="AO132" i="14" s="1"/>
  <c r="BL219" i="14"/>
  <c r="AO81" i="13"/>
  <c r="BG203" i="14"/>
  <c r="BG83" i="14"/>
  <c r="R188" i="14"/>
  <c r="AO188" i="14" s="1"/>
  <c r="BL97" i="14"/>
  <c r="BL123" i="14"/>
  <c r="BG162" i="14"/>
  <c r="BL107" i="14"/>
  <c r="BL136" i="14"/>
  <c r="BL92" i="14"/>
  <c r="BL190" i="14"/>
  <c r="BL159" i="14"/>
  <c r="BG134" i="14"/>
  <c r="R114" i="14"/>
  <c r="AO114" i="14" s="1"/>
  <c r="BG178" i="14"/>
  <c r="R164" i="14"/>
  <c r="AO164" i="14" s="1"/>
  <c r="BL99" i="14"/>
  <c r="AO210" i="13"/>
  <c r="R215" i="14"/>
  <c r="AO215" i="14" s="1"/>
  <c r="R194" i="14"/>
  <c r="AO194" i="14" s="1"/>
  <c r="BG135" i="14"/>
  <c r="BG117" i="14"/>
  <c r="BG75" i="14"/>
  <c r="BG204" i="14"/>
  <c r="BG103" i="14"/>
  <c r="R25" i="14"/>
  <c r="AO25" i="14" s="1"/>
  <c r="BG137" i="14"/>
  <c r="BG211" i="14"/>
  <c r="BL121" i="14"/>
  <c r="BG214" i="14"/>
  <c r="BL58" i="14"/>
  <c r="BL157" i="14"/>
  <c r="R198" i="14"/>
  <c r="AO198" i="14" s="1"/>
  <c r="BL198" i="14" s="1"/>
  <c r="BG196" i="14"/>
  <c r="BG104" i="14"/>
  <c r="BL153" i="14"/>
  <c r="BG169" i="14"/>
  <c r="BG91" i="14"/>
  <c r="BL109" i="14"/>
  <c r="BG197" i="14"/>
  <c r="BL131" i="14"/>
  <c r="BG206" i="14"/>
  <c r="BG59" i="14"/>
  <c r="BL55" i="13"/>
  <c r="BL209" i="13"/>
  <c r="BL21" i="13"/>
  <c r="BL171" i="13"/>
  <c r="BL24" i="13"/>
  <c r="BL65" i="13"/>
  <c r="BL142" i="13"/>
  <c r="BL38" i="13"/>
  <c r="BL15" i="13"/>
  <c r="BL16" i="13"/>
  <c r="BL144" i="13"/>
  <c r="BL27" i="13"/>
  <c r="BL143" i="13"/>
  <c r="BL17" i="13"/>
  <c r="BL31" i="13"/>
  <c r="BL30" i="13"/>
  <c r="BL62" i="13"/>
  <c r="BL128" i="13"/>
  <c r="BL78" i="13"/>
  <c r="BL19" i="13"/>
  <c r="BL18" i="13"/>
  <c r="BL100" i="13"/>
  <c r="BL41" i="13"/>
  <c r="BL56" i="13"/>
  <c r="BL22" i="13"/>
  <c r="BL102" i="13"/>
  <c r="BL26" i="13"/>
  <c r="BL248" i="13"/>
  <c r="BG174" i="13"/>
  <c r="BG254" i="13"/>
  <c r="BL254" i="13"/>
  <c r="BG213" i="13"/>
  <c r="BL237" i="13"/>
  <c r="BG237" i="13"/>
  <c r="BL303" i="13"/>
  <c r="BG303" i="13"/>
  <c r="BG270" i="13"/>
  <c r="BG302" i="13"/>
  <c r="BL302" i="13"/>
  <c r="BL244" i="13"/>
  <c r="BG244" i="13"/>
  <c r="BG305" i="13"/>
  <c r="BL305" i="13"/>
  <c r="BG304" i="13"/>
  <c r="BL304" i="13"/>
  <c r="BG243" i="13"/>
  <c r="BL243" i="13"/>
  <c r="BG108" i="13"/>
  <c r="BL250" i="13"/>
  <c r="BG250" i="13"/>
  <c r="BG258" i="13"/>
  <c r="BL258" i="13"/>
  <c r="BG284" i="13"/>
  <c r="BG242" i="13"/>
  <c r="BL242" i="13"/>
  <c r="BG314" i="13"/>
  <c r="BG239" i="13"/>
  <c r="BL245" i="13"/>
  <c r="BG245" i="13"/>
  <c r="AO172" i="13"/>
  <c r="BL240" i="13"/>
  <c r="BG240" i="13"/>
  <c r="BG81" i="13" l="1"/>
  <c r="BG312" i="13"/>
  <c r="BL296" i="13"/>
  <c r="BG182" i="13"/>
  <c r="BG101" i="13"/>
  <c r="BL249" i="13"/>
  <c r="BL322" i="13"/>
  <c r="BL297" i="13"/>
  <c r="BG318" i="13"/>
  <c r="BG252" i="13"/>
  <c r="BL252" i="13"/>
  <c r="BG267" i="13"/>
  <c r="BL95" i="14"/>
  <c r="BG139" i="13"/>
  <c r="BL53" i="14"/>
  <c r="BG319" i="13"/>
  <c r="BL139" i="13"/>
  <c r="BL238" i="13"/>
  <c r="BL299" i="13"/>
  <c r="BG33" i="13"/>
  <c r="BL96" i="14"/>
  <c r="BL253" i="13"/>
  <c r="BL246" i="13"/>
  <c r="BL183" i="14"/>
  <c r="BL80" i="13"/>
  <c r="BG80" i="13"/>
  <c r="R180" i="14"/>
  <c r="AO180" i="14" s="1"/>
  <c r="BL298" i="13"/>
  <c r="BG23" i="13"/>
  <c r="R185" i="14"/>
  <c r="AO185" i="14" s="1"/>
  <c r="BG185" i="14" s="1"/>
  <c r="R74" i="14"/>
  <c r="AO74" i="14" s="1"/>
  <c r="BG74" i="14" s="1"/>
  <c r="BL161" i="14"/>
  <c r="BL162" i="14"/>
  <c r="R106" i="14"/>
  <c r="AO106" i="14" s="1"/>
  <c r="BG247" i="13"/>
  <c r="BG210" i="13"/>
  <c r="BG37" i="14"/>
  <c r="BL83" i="14"/>
  <c r="R218" i="14"/>
  <c r="AO218" i="14" s="1"/>
  <c r="R217" i="14"/>
  <c r="AO217" i="14" s="1"/>
  <c r="BL203" i="14"/>
  <c r="BG188" i="14"/>
  <c r="R79" i="14"/>
  <c r="AO79" i="14" s="1"/>
  <c r="BG198" i="14"/>
  <c r="BL117" i="14"/>
  <c r="BG164" i="14"/>
  <c r="BL134" i="14"/>
  <c r="R71" i="14"/>
  <c r="AO71" i="14" s="1"/>
  <c r="R69" i="14"/>
  <c r="AO69" i="14" s="1"/>
  <c r="R212" i="14"/>
  <c r="AO212" i="14" s="1"/>
  <c r="R61" i="14"/>
  <c r="AO61" i="14" s="1"/>
  <c r="BL135" i="14"/>
  <c r="BL178" i="14"/>
  <c r="R115" i="14"/>
  <c r="AO115" i="14" s="1"/>
  <c r="BL206" i="14"/>
  <c r="R82" i="14"/>
  <c r="AO82" i="14" s="1"/>
  <c r="BL91" i="14"/>
  <c r="BL104" i="14"/>
  <c r="BG132" i="14"/>
  <c r="BG25" i="14"/>
  <c r="BL103" i="14"/>
  <c r="BL75" i="14"/>
  <c r="BL59" i="14"/>
  <c r="BL197" i="14"/>
  <c r="R35" i="14"/>
  <c r="AO35" i="14" s="1"/>
  <c r="BG114" i="14"/>
  <c r="BL214" i="14"/>
  <c r="BL211" i="14"/>
  <c r="BG215" i="14"/>
  <c r="R87" i="14"/>
  <c r="AO87" i="14" s="1"/>
  <c r="BG194" i="14"/>
  <c r="R20" i="14"/>
  <c r="AO20" i="14" s="1"/>
  <c r="BL169" i="14"/>
  <c r="BL196" i="14"/>
  <c r="BL137" i="14"/>
  <c r="BL204" i="14"/>
  <c r="BG268" i="13"/>
  <c r="BG320" i="13"/>
  <c r="BG296" i="13"/>
  <c r="BG266" i="13"/>
  <c r="BL239" i="13"/>
  <c r="BL182" i="13"/>
  <c r="BL174" i="13"/>
  <c r="BL108" i="13"/>
  <c r="BL101" i="13"/>
  <c r="BL213" i="13"/>
  <c r="BG317" i="13"/>
  <c r="BG297" i="13"/>
  <c r="BG248" i="13"/>
  <c r="P307" i="13"/>
  <c r="P222" i="13"/>
  <c r="R12" i="13"/>
  <c r="P325" i="13"/>
  <c r="P262" i="13"/>
  <c r="P232" i="13"/>
  <c r="BG288" i="13"/>
  <c r="BG229" i="13"/>
  <c r="BL317" i="13"/>
  <c r="BL256" i="13"/>
  <c r="BG256" i="13"/>
  <c r="BL320" i="13"/>
  <c r="BG287" i="13"/>
  <c r="BG172" i="13"/>
  <c r="BL314" i="13"/>
  <c r="BL284" i="13"/>
  <c r="BG300" i="13"/>
  <c r="BL300" i="13"/>
  <c r="BL270" i="13"/>
  <c r="BL260" i="13"/>
  <c r="BG260" i="13"/>
  <c r="BG322" i="13" l="1"/>
  <c r="BG249" i="13"/>
  <c r="BG257" i="13"/>
  <c r="BG316" i="13"/>
  <c r="BG286" i="13"/>
  <c r="BG241" i="13"/>
  <c r="BL319" i="13"/>
  <c r="BG313" i="13"/>
  <c r="BG238" i="13"/>
  <c r="BG273" i="13"/>
  <c r="BL318" i="13"/>
  <c r="BL33" i="13"/>
  <c r="BL267" i="13"/>
  <c r="BL180" i="14"/>
  <c r="BL241" i="13"/>
  <c r="BG274" i="13"/>
  <c r="BL274" i="13"/>
  <c r="BL210" i="13"/>
  <c r="BG299" i="13"/>
  <c r="BG282" i="13"/>
  <c r="BG253" i="13"/>
  <c r="BG246" i="13"/>
  <c r="BG180" i="14"/>
  <c r="BG279" i="13"/>
  <c r="BL23" i="13"/>
  <c r="BG298" i="13"/>
  <c r="BG269" i="13"/>
  <c r="BG259" i="13"/>
  <c r="BL81" i="13"/>
  <c r="BL74" i="14"/>
  <c r="BG218" i="14"/>
  <c r="BL315" i="13"/>
  <c r="BG228" i="13"/>
  <c r="BL218" i="14"/>
  <c r="BG315" i="13"/>
  <c r="BG281" i="13"/>
  <c r="BG106" i="14"/>
  <c r="BL106" i="14"/>
  <c r="BL212" i="14"/>
  <c r="BG280" i="13"/>
  <c r="BL295" i="13"/>
  <c r="BL259" i="13"/>
  <c r="BL247" i="13"/>
  <c r="BG212" i="14"/>
  <c r="BG295" i="13"/>
  <c r="BG272" i="13"/>
  <c r="BG323" i="13"/>
  <c r="BL37" i="14"/>
  <c r="BG217" i="14"/>
  <c r="BG79" i="14"/>
  <c r="BL188" i="14"/>
  <c r="BL164" i="14"/>
  <c r="BG115" i="14"/>
  <c r="BG61" i="14"/>
  <c r="BG69" i="14"/>
  <c r="BG71" i="14"/>
  <c r="BG20" i="14"/>
  <c r="BL215" i="14"/>
  <c r="BL114" i="14"/>
  <c r="BL25" i="14"/>
  <c r="BG82" i="14"/>
  <c r="BL194" i="14"/>
  <c r="BG35" i="14"/>
  <c r="BG87" i="14"/>
  <c r="BL132" i="14"/>
  <c r="BL268" i="13"/>
  <c r="BL312" i="13"/>
  <c r="BL266" i="13"/>
  <c r="P8" i="13"/>
  <c r="BL172" i="13"/>
  <c r="P276" i="13"/>
  <c r="P290" i="13"/>
  <c r="BG230" i="13"/>
  <c r="BL316" i="13"/>
  <c r="R232" i="13"/>
  <c r="AO12" i="13"/>
  <c r="R307" i="13"/>
  <c r="R290" i="13"/>
  <c r="R222" i="13"/>
  <c r="R8" i="13" s="1"/>
  <c r="R325" i="13"/>
  <c r="R276" i="13"/>
  <c r="R262" i="13"/>
  <c r="BL301" i="13"/>
  <c r="BG301" i="13"/>
  <c r="BG321" i="13"/>
  <c r="BL287" i="13"/>
  <c r="BL288" i="13"/>
  <c r="BG265" i="13"/>
  <c r="BG283" i="13"/>
  <c r="BG255" i="13"/>
  <c r="BL255" i="13"/>
  <c r="BL229" i="13"/>
  <c r="BL257" i="13"/>
  <c r="BL313" i="13" l="1"/>
  <c r="BL286" i="13"/>
  <c r="BL228" i="13"/>
  <c r="BL185" i="14"/>
  <c r="BL282" i="13"/>
  <c r="BL273" i="13"/>
  <c r="BL279" i="13"/>
  <c r="BL269" i="13"/>
  <c r="BL281" i="13"/>
  <c r="BL323" i="13"/>
  <c r="BL280" i="13"/>
  <c r="BL272" i="13"/>
  <c r="BL217" i="14"/>
  <c r="BL79" i="14"/>
  <c r="BL71" i="14"/>
  <c r="BL69" i="14"/>
  <c r="BL61" i="14"/>
  <c r="BL115" i="14"/>
  <c r="BL35" i="14"/>
  <c r="BL87" i="14"/>
  <c r="BL82" i="14"/>
  <c r="BL20" i="14"/>
  <c r="BL283" i="13"/>
  <c r="BL265" i="13"/>
  <c r="BG12" i="13"/>
  <c r="AO222" i="13"/>
  <c r="BL321" i="13"/>
  <c r="BL230" i="13"/>
  <c r="M32" i="30" l="1"/>
  <c r="M33" i="30" s="1"/>
  <c r="M47" i="30"/>
  <c r="BL12" i="13"/>
  <c r="BG271" i="13"/>
  <c r="AO276" i="13"/>
  <c r="AO325" i="13"/>
  <c r="BG311" i="13"/>
  <c r="BG285" i="13"/>
  <c r="AO290" i="13"/>
  <c r="BG227" i="13"/>
  <c r="AO232" i="13"/>
  <c r="AO9" i="13"/>
  <c r="BG222" i="13"/>
  <c r="BG9" i="13" s="1"/>
  <c r="BG236" i="13"/>
  <c r="BL236" i="13"/>
  <c r="AO262" i="13"/>
  <c r="BG294" i="13"/>
  <c r="AO307" i="13"/>
  <c r="BL294" i="13"/>
  <c r="BA4" i="13"/>
  <c r="BA5" i="13"/>
  <c r="M34" i="30" l="1"/>
  <c r="BA9" i="13"/>
  <c r="BG262" i="13"/>
  <c r="BL262" i="13"/>
  <c r="AU9" i="13"/>
  <c r="BL222" i="13"/>
  <c r="BG232" i="13"/>
  <c r="BG290" i="13"/>
  <c r="BL290" i="13"/>
  <c r="BL311" i="13"/>
  <c r="BG307" i="13"/>
  <c r="BL307" i="13"/>
  <c r="BL227" i="13"/>
  <c r="BL325" i="13"/>
  <c r="BG325" i="13"/>
  <c r="BL271" i="13"/>
  <c r="BL285" i="13"/>
  <c r="BL276" i="13"/>
  <c r="BG276" i="13"/>
  <c r="M35" i="30" l="1"/>
  <c r="BL9" i="13"/>
  <c r="R14" i="14"/>
  <c r="R13" i="14"/>
  <c r="BL232" i="13"/>
  <c r="R122" i="14"/>
  <c r="M36" i="30" l="1"/>
  <c r="R27" i="14"/>
  <c r="R174" i="14"/>
  <c r="R24" i="14"/>
  <c r="R56" i="14"/>
  <c r="R15" i="14"/>
  <c r="R78" i="14"/>
  <c r="R213" i="14"/>
  <c r="R41" i="14"/>
  <c r="R19" i="14"/>
  <c r="R55" i="14"/>
  <c r="R17" i="14"/>
  <c r="R38" i="14"/>
  <c r="R30" i="14"/>
  <c r="R142" i="14"/>
  <c r="R144" i="14"/>
  <c r="R26" i="14"/>
  <c r="R209" i="14"/>
  <c r="R16" i="14"/>
  <c r="R128" i="14"/>
  <c r="R102" i="14"/>
  <c r="AO122" i="14"/>
  <c r="AO13" i="14"/>
  <c r="R143" i="14"/>
  <c r="R210" i="14"/>
  <c r="R22" i="14"/>
  <c r="R65" i="14"/>
  <c r="R101" i="14"/>
  <c r="R171" i="14"/>
  <c r="R100" i="14"/>
  <c r="AO14" i="14"/>
  <c r="M37" i="30" l="1"/>
  <c r="M38" i="30" s="1"/>
  <c r="R23" i="14"/>
  <c r="AO23" i="14" s="1"/>
  <c r="R120" i="14"/>
  <c r="AO210" i="14"/>
  <c r="AO143" i="14"/>
  <c r="BG13" i="14"/>
  <c r="AO102" i="14"/>
  <c r="AO16" i="14"/>
  <c r="AO19" i="14"/>
  <c r="BG122" i="14"/>
  <c r="AO144" i="14"/>
  <c r="AO142" i="14"/>
  <c r="AO17" i="14"/>
  <c r="AO78" i="14"/>
  <c r="R21" i="14"/>
  <c r="BG14" i="14"/>
  <c r="AO100" i="14"/>
  <c r="AO171" i="14"/>
  <c r="AO65" i="14"/>
  <c r="AO22" i="14"/>
  <c r="AO128" i="14"/>
  <c r="AO209" i="14"/>
  <c r="AO41" i="14"/>
  <c r="AO56" i="14"/>
  <c r="AO27" i="14"/>
  <c r="R31" i="14"/>
  <c r="AO101" i="14"/>
  <c r="AO26" i="14"/>
  <c r="AO30" i="14"/>
  <c r="AO38" i="14"/>
  <c r="AO55" i="14"/>
  <c r="AO213" i="14"/>
  <c r="AO15" i="14"/>
  <c r="AO24" i="14"/>
  <c r="AO174" i="14"/>
  <c r="R182" i="14" l="1"/>
  <c r="R81" i="14"/>
  <c r="R80" i="14"/>
  <c r="M39" i="30"/>
  <c r="R139" i="14"/>
  <c r="BG23" i="14"/>
  <c r="BL23" i="14"/>
  <c r="R62" i="14"/>
  <c r="AO120" i="14"/>
  <c r="R18" i="14"/>
  <c r="R108" i="14"/>
  <c r="BL14" i="14"/>
  <c r="BL122" i="14"/>
  <c r="BL13" i="14"/>
  <c r="R172" i="14"/>
  <c r="BG24" i="14"/>
  <c r="BG30" i="14"/>
  <c r="BG56" i="14"/>
  <c r="BG78" i="14"/>
  <c r="BG142" i="14"/>
  <c r="BG143" i="14"/>
  <c r="R33" i="14"/>
  <c r="BG213" i="14"/>
  <c r="BG38" i="14"/>
  <c r="BG26" i="14"/>
  <c r="BG101" i="14"/>
  <c r="BG27" i="14"/>
  <c r="BG128" i="14"/>
  <c r="BG171" i="14"/>
  <c r="BG174" i="14"/>
  <c r="BG15" i="14"/>
  <c r="BG100" i="14"/>
  <c r="AO21" i="14"/>
  <c r="BG17" i="14"/>
  <c r="BG144" i="14"/>
  <c r="BG16" i="14"/>
  <c r="BG210" i="14"/>
  <c r="BG55" i="14"/>
  <c r="AO31" i="14"/>
  <c r="BG41" i="14"/>
  <c r="BG209" i="14"/>
  <c r="BG22" i="14"/>
  <c r="BG65" i="14"/>
  <c r="AO62" i="14"/>
  <c r="BL252" i="14"/>
  <c r="BG252" i="14"/>
  <c r="BG19" i="14"/>
  <c r="BG102" i="14"/>
  <c r="AO80" i="14" l="1"/>
  <c r="AO182" i="14"/>
  <c r="AO81" i="14"/>
  <c r="M40" i="30"/>
  <c r="M41" i="30" s="1"/>
  <c r="M42" i="30" s="1"/>
  <c r="AO139" i="14"/>
  <c r="BG120" i="14"/>
  <c r="AO18" i="14"/>
  <c r="AO108" i="14"/>
  <c r="BL19" i="14"/>
  <c r="BL209" i="14"/>
  <c r="BL55" i="14"/>
  <c r="BL17" i="14"/>
  <c r="BL128" i="14"/>
  <c r="BL24" i="14"/>
  <c r="BL65" i="14"/>
  <c r="BL41" i="14"/>
  <c r="BL16" i="14"/>
  <c r="BL15" i="14"/>
  <c r="BL174" i="14"/>
  <c r="BL171" i="14"/>
  <c r="BL27" i="14"/>
  <c r="BL101" i="14"/>
  <c r="BL38" i="14"/>
  <c r="BL143" i="14"/>
  <c r="BL142" i="14"/>
  <c r="BL30" i="14"/>
  <c r="BL22" i="14"/>
  <c r="BL210" i="14"/>
  <c r="BL26" i="14"/>
  <c r="BL213" i="14"/>
  <c r="BL56" i="14"/>
  <c r="BL102" i="14"/>
  <c r="BL144" i="14"/>
  <c r="BL100" i="14"/>
  <c r="BL78" i="14"/>
  <c r="BG286" i="14"/>
  <c r="BG272" i="14"/>
  <c r="BL250" i="14"/>
  <c r="BG250" i="14"/>
  <c r="BG295" i="14"/>
  <c r="BL295" i="14"/>
  <c r="BG31" i="14"/>
  <c r="BG259" i="14"/>
  <c r="BL259" i="14"/>
  <c r="BG256" i="14"/>
  <c r="BL256" i="14"/>
  <c r="BG320" i="14"/>
  <c r="BG302" i="14"/>
  <c r="BL302" i="14"/>
  <c r="BG62" i="14"/>
  <c r="BG258" i="14"/>
  <c r="BL258" i="14"/>
  <c r="BL242" i="14"/>
  <c r="BG242" i="14"/>
  <c r="BG323" i="14"/>
  <c r="BG21" i="14"/>
  <c r="BL254" i="14"/>
  <c r="BG254" i="14"/>
  <c r="BG249" i="14"/>
  <c r="BL249" i="14"/>
  <c r="BG243" i="14"/>
  <c r="BL243" i="14"/>
  <c r="AO172" i="14"/>
  <c r="BG270" i="14"/>
  <c r="BL260" i="14"/>
  <c r="BG260" i="14"/>
  <c r="BG304" i="14"/>
  <c r="BL304" i="14"/>
  <c r="BL245" i="14"/>
  <c r="BG245" i="14"/>
  <c r="BG305" i="14"/>
  <c r="BL305" i="14"/>
  <c r="AO33" i="14"/>
  <c r="BL303" i="14"/>
  <c r="BG303" i="14"/>
  <c r="BG240" i="14"/>
  <c r="BL240" i="14"/>
  <c r="BG239" i="14"/>
  <c r="BG139" i="14" l="1"/>
  <c r="BL139" i="14"/>
  <c r="BG81" i="14"/>
  <c r="BL81" i="14"/>
  <c r="BG182" i="14"/>
  <c r="BL182" i="14"/>
  <c r="BG80" i="14"/>
  <c r="BL80" i="14"/>
  <c r="M53" i="30"/>
  <c r="M52" i="30"/>
  <c r="M43" i="30"/>
  <c r="M44" i="30" s="1"/>
  <c r="M45" i="30" s="1"/>
  <c r="M46" i="30" s="1"/>
  <c r="M49" i="30" s="1"/>
  <c r="BG18" i="14"/>
  <c r="BG269" i="14"/>
  <c r="BL120" i="14"/>
  <c r="BG318" i="14"/>
  <c r="BG251" i="14"/>
  <c r="BL251" i="14"/>
  <c r="BG108" i="14"/>
  <c r="BG228" i="14"/>
  <c r="BG238" i="14"/>
  <c r="BL31" i="14"/>
  <c r="BL62" i="14"/>
  <c r="BL18" i="14"/>
  <c r="BL21" i="14"/>
  <c r="BL272" i="14"/>
  <c r="BL238" i="14"/>
  <c r="BL239" i="14"/>
  <c r="BL286" i="14"/>
  <c r="BG314" i="14"/>
  <c r="BG312" i="14"/>
  <c r="BL270" i="14"/>
  <c r="BG297" i="14"/>
  <c r="BL297" i="14"/>
  <c r="BG172" i="14"/>
  <c r="BG284" i="14"/>
  <c r="BG267" i="14"/>
  <c r="BL320" i="14"/>
  <c r="BG288" i="14"/>
  <c r="BG33" i="14"/>
  <c r="BG287" i="14"/>
  <c r="BL300" i="14"/>
  <c r="BG300" i="14"/>
  <c r="BG299" i="14"/>
  <c r="BL299" i="14"/>
  <c r="BG244" i="14"/>
  <c r="BL244" i="14"/>
  <c r="BL237" i="14"/>
  <c r="BG237" i="14"/>
  <c r="BL323" i="14"/>
  <c r="BG266" i="14" l="1"/>
  <c r="BG298" i="14"/>
  <c r="BL298" i="14"/>
  <c r="BG274" i="14"/>
  <c r="BG279" i="14"/>
  <c r="M51" i="30"/>
  <c r="BG246" i="14"/>
  <c r="BL246" i="14"/>
  <c r="BG322" i="14"/>
  <c r="BL322" i="14"/>
  <c r="BG281" i="14"/>
  <c r="BL247" i="14"/>
  <c r="BG247" i="14"/>
  <c r="BG229" i="14"/>
  <c r="BG315" i="14"/>
  <c r="BL319" i="14"/>
  <c r="BG319" i="14"/>
  <c r="BG316" i="14"/>
  <c r="BL296" i="14"/>
  <c r="BG296" i="14"/>
  <c r="BG257" i="14"/>
  <c r="BL253" i="14"/>
  <c r="BG253" i="14"/>
  <c r="BL269" i="14"/>
  <c r="BL318" i="14"/>
  <c r="BG268" i="14"/>
  <c r="BL317" i="14"/>
  <c r="BG280" i="14"/>
  <c r="BG317" i="14"/>
  <c r="BG248" i="14"/>
  <c r="BL248" i="14"/>
  <c r="BL108" i="14"/>
  <c r="BG273" i="14"/>
  <c r="BL33" i="14"/>
  <c r="BL172" i="14"/>
  <c r="BL268" i="14"/>
  <c r="BL287" i="14"/>
  <c r="BG313" i="14"/>
  <c r="BL288" i="14"/>
  <c r="BL284" i="14"/>
  <c r="BG283" i="14"/>
  <c r="BL255" i="14"/>
  <c r="BG255" i="14"/>
  <c r="BL241" i="14"/>
  <c r="BG241" i="14"/>
  <c r="BG265" i="14"/>
  <c r="BL312" i="14"/>
  <c r="BL301" i="14"/>
  <c r="BG301" i="14"/>
  <c r="BL314" i="14"/>
  <c r="P232" i="14"/>
  <c r="P262" i="14"/>
  <c r="P222" i="14"/>
  <c r="R12" i="14"/>
  <c r="P325" i="14"/>
  <c r="P307" i="14"/>
  <c r="BG282" i="14"/>
  <c r="BL267" i="14"/>
  <c r="BG230" i="14"/>
  <c r="BG321" i="14"/>
  <c r="BL257" i="14" l="1"/>
  <c r="BL315" i="14"/>
  <c r="BL281" i="14"/>
  <c r="BL229" i="14"/>
  <c r="BL316" i="14"/>
  <c r="BL279" i="14"/>
  <c r="BL274" i="14"/>
  <c r="BL266" i="14"/>
  <c r="BL280" i="14"/>
  <c r="BL228" i="14"/>
  <c r="BL273" i="14"/>
  <c r="P276" i="14"/>
  <c r="P8" i="14"/>
  <c r="P290" i="14"/>
  <c r="BL313" i="14"/>
  <c r="BL282" i="14"/>
  <c r="BL230" i="14"/>
  <c r="R222" i="14"/>
  <c r="R8" i="14" s="1"/>
  <c r="R325" i="14"/>
  <c r="R290" i="14"/>
  <c r="R232" i="14"/>
  <c r="AO12" i="14"/>
  <c r="R307" i="14"/>
  <c r="R276" i="14"/>
  <c r="R262" i="14"/>
  <c r="BL265" i="14"/>
  <c r="BL321" i="14"/>
  <c r="BL283" i="14"/>
  <c r="BG12" i="14" l="1"/>
  <c r="AO222" i="14"/>
  <c r="T32" i="30" l="1"/>
  <c r="T33" i="30" s="1"/>
  <c r="T34" i="30" s="1"/>
  <c r="T47" i="30"/>
  <c r="BL12" i="14"/>
  <c r="BG294" i="14"/>
  <c r="AO307" i="14"/>
  <c r="BL294" i="14"/>
  <c r="BG285" i="14"/>
  <c r="AO290" i="14"/>
  <c r="BG222" i="14"/>
  <c r="BG9" i="14" s="1"/>
  <c r="AO9" i="14"/>
  <c r="BG271" i="14"/>
  <c r="AO276" i="14"/>
  <c r="AO262" i="14"/>
  <c r="BG236" i="14"/>
  <c r="BL236" i="14"/>
  <c r="BG311" i="14"/>
  <c r="AO325" i="14"/>
  <c r="AO232" i="14"/>
  <c r="BG227" i="14"/>
  <c r="BA5" i="14"/>
  <c r="BA4" i="14"/>
  <c r="T35" i="30" l="1"/>
  <c r="T36" i="30" s="1"/>
  <c r="BA9" i="14"/>
  <c r="BG232" i="14"/>
  <c r="BG276" i="14"/>
  <c r="BL276" i="14"/>
  <c r="BL307" i="14"/>
  <c r="BG307" i="14"/>
  <c r="BL227" i="14"/>
  <c r="BL311" i="14"/>
  <c r="BL271" i="14"/>
  <c r="AU9" i="14"/>
  <c r="BL222" i="14"/>
  <c r="BL285" i="14"/>
  <c r="BL325" i="14"/>
  <c r="BG325" i="14"/>
  <c r="BL262" i="14"/>
  <c r="BG262" i="14"/>
  <c r="BL290" i="14"/>
  <c r="BG290" i="14"/>
  <c r="T37" i="30" l="1"/>
  <c r="T38" i="30" s="1"/>
  <c r="BL9" i="14"/>
  <c r="BL232" i="14"/>
  <c r="T39" i="30" l="1"/>
  <c r="T40" i="30" l="1"/>
  <c r="T41" i="30" s="1"/>
  <c r="T42" i="30" l="1"/>
  <c r="T52" i="30"/>
  <c r="T53" i="30"/>
  <c r="T43" i="30" l="1"/>
  <c r="T44" i="30" s="1"/>
  <c r="T45" i="30" s="1"/>
  <c r="T46" i="30" s="1"/>
  <c r="T49" i="30" s="1"/>
  <c r="T51" i="30" l="1"/>
  <c r="D222" i="3" l="1"/>
  <c r="D231" i="3" l="1"/>
  <c r="D324" i="3"/>
  <c r="D289" i="3"/>
  <c r="D261" i="3"/>
  <c r="D306" i="3"/>
  <c r="D8" i="3"/>
  <c r="D275" i="3"/>
  <c r="E8" i="3" l="1"/>
  <c r="AK7" i="3"/>
  <c r="E15" i="4"/>
  <c r="Y128" i="10" l="1"/>
  <c r="Y64" i="10"/>
  <c r="Y182" i="10"/>
  <c r="Y124" i="10"/>
  <c r="Y197" i="10"/>
  <c r="Y79" i="10"/>
  <c r="Y162" i="10"/>
  <c r="Y190" i="10"/>
  <c r="Y138" i="10"/>
  <c r="Y94" i="10"/>
  <c r="Y69" i="10"/>
  <c r="Y195" i="10"/>
  <c r="Y181" i="10"/>
  <c r="Y172" i="10"/>
  <c r="Y96" i="10"/>
  <c r="Y49" i="10"/>
  <c r="Y150" i="10"/>
  <c r="Y76" i="10"/>
  <c r="Y201" i="10"/>
  <c r="Y13" i="10"/>
  <c r="Y33" i="10"/>
  <c r="Y19" i="10"/>
  <c r="Y209" i="10"/>
  <c r="Y14" i="10"/>
  <c r="Y25" i="10"/>
  <c r="Y110" i="10"/>
  <c r="Y62" i="10"/>
  <c r="Y81" i="10"/>
  <c r="Y206" i="10"/>
  <c r="Y37" i="10"/>
  <c r="Y135" i="10"/>
  <c r="Y51" i="10"/>
  <c r="Y178" i="10"/>
  <c r="Y88" i="10"/>
  <c r="Y165" i="10"/>
  <c r="Y40" i="10"/>
  <c r="Y192" i="10"/>
  <c r="Y191" i="10"/>
  <c r="Y168" i="10"/>
  <c r="Y52" i="10"/>
  <c r="Y30" i="10"/>
  <c r="Y23" i="10"/>
  <c r="Y141" i="10"/>
  <c r="Y155" i="10"/>
  <c r="Y72" i="10"/>
  <c r="Y130" i="10"/>
  <c r="Y207" i="10"/>
  <c r="Y35" i="10"/>
  <c r="Y169" i="10"/>
  <c r="Y176" i="10"/>
  <c r="Y29" i="10"/>
  <c r="Y95" i="10"/>
  <c r="Y73" i="10"/>
  <c r="Y180" i="10"/>
  <c r="Y194" i="10"/>
  <c r="Y137" i="10"/>
  <c r="Y74" i="10"/>
  <c r="Y58" i="10"/>
  <c r="Y179" i="10"/>
  <c r="Y117" i="10"/>
  <c r="Y34" i="10"/>
  <c r="Y63" i="10"/>
  <c r="Y57" i="10"/>
  <c r="Y208" i="10"/>
  <c r="Y39" i="10"/>
  <c r="Y219" i="10"/>
  <c r="Y53" i="10"/>
  <c r="Y129" i="10"/>
  <c r="Y115" i="10"/>
  <c r="Y157" i="10"/>
  <c r="Y113" i="10"/>
  <c r="Y43" i="10"/>
  <c r="Y50" i="10" l="1"/>
  <c r="Y140" i="10"/>
  <c r="Y167" i="10"/>
  <c r="Y139" i="10"/>
  <c r="Y26" i="10"/>
  <c r="Y126" i="10"/>
  <c r="Y91" i="10"/>
  <c r="Y210" i="10"/>
  <c r="Y143" i="10"/>
  <c r="Y142" i="10"/>
  <c r="Y31" i="10"/>
  <c r="Y193" i="10"/>
  <c r="Y22" i="10"/>
  <c r="Y214" i="10"/>
  <c r="Y188" i="10"/>
  <c r="Y105" i="10"/>
  <c r="Y151" i="10"/>
  <c r="Y61" i="10"/>
  <c r="Y127" i="10"/>
  <c r="Y185" i="10"/>
  <c r="Y160" i="10"/>
  <c r="Y98" i="10"/>
  <c r="Y154" i="10"/>
  <c r="Y211" i="10"/>
  <c r="Y186" i="10"/>
  <c r="Y106" i="10"/>
  <c r="Y213" i="10"/>
  <c r="Y203" i="10"/>
  <c r="Y54" i="10"/>
  <c r="Y112" i="10"/>
  <c r="Y196" i="10"/>
  <c r="Y131" i="10"/>
  <c r="Y47" i="10"/>
  <c r="Y48" i="10"/>
  <c r="Y111" i="10"/>
  <c r="Y212" i="10"/>
  <c r="Y71" i="10"/>
  <c r="Y122" i="10"/>
  <c r="Y174" i="10"/>
  <c r="Y16" i="10"/>
  <c r="Y55" i="10"/>
  <c r="Y161" i="10"/>
  <c r="Y120" i="10"/>
  <c r="Y21" i="10"/>
  <c r="Y104" i="10"/>
  <c r="Y199" i="10"/>
  <c r="Y20" i="10"/>
  <c r="Y204" i="10"/>
  <c r="Y170" i="10"/>
  <c r="Y66" i="10"/>
  <c r="Y152" i="10"/>
  <c r="Y75" i="10"/>
  <c r="Y97" i="10"/>
  <c r="Y116" i="10"/>
  <c r="Y156" i="10"/>
  <c r="Y18" i="10"/>
  <c r="Y218" i="10"/>
  <c r="Y136" i="10"/>
  <c r="Y56" i="10"/>
  <c r="Y24" i="10"/>
  <c r="Y164" i="10"/>
  <c r="Y87" i="10"/>
  <c r="Y42" i="10"/>
  <c r="Y36" i="10"/>
  <c r="Y44" i="10"/>
  <c r="Y77" i="10"/>
  <c r="Y153" i="10"/>
  <c r="Y93" i="10"/>
  <c r="Y103" i="10"/>
  <c r="Y134" i="10"/>
  <c r="Y41" i="10"/>
  <c r="O222" i="10"/>
  <c r="O8" i="10" s="1"/>
  <c r="Y12" i="10"/>
  <c r="Y109" i="10"/>
  <c r="Y65" i="10"/>
  <c r="Y149" i="10"/>
  <c r="Y15" i="10"/>
  <c r="Y99" i="10"/>
  <c r="Y89" i="10"/>
  <c r="Y82" i="10"/>
  <c r="Y147" i="10"/>
  <c r="Y200" i="10"/>
  <c r="Y32" i="10"/>
  <c r="Y133" i="10"/>
  <c r="Y70" i="10"/>
  <c r="Y85" i="10"/>
  <c r="Y148" i="10"/>
  <c r="Y146" i="10"/>
  <c r="Y187" i="10"/>
  <c r="Y220" i="10"/>
  <c r="Y217" i="10"/>
  <c r="Y80" i="10"/>
  <c r="Y92" i="10"/>
  <c r="Y83" i="10"/>
  <c r="Y28" i="10"/>
  <c r="Y46" i="10"/>
  <c r="Y60" i="10"/>
  <c r="Y102" i="10"/>
  <c r="Y114" i="10"/>
  <c r="Y198" i="10"/>
  <c r="Y123" i="10"/>
  <c r="Y90" i="10"/>
  <c r="Y38" i="10"/>
  <c r="Y183" i="10"/>
  <c r="Y100" i="10"/>
  <c r="Y101" i="10"/>
  <c r="Y121" i="10"/>
  <c r="Y173" i="10"/>
  <c r="Y144" i="10"/>
  <c r="Y59" i="10"/>
  <c r="Y216" i="10"/>
  <c r="Y84" i="10"/>
  <c r="Y119" i="10"/>
  <c r="Y175" i="10"/>
  <c r="Y189" i="10"/>
  <c r="Y202" i="10"/>
  <c r="Y159" i="10"/>
  <c r="Y145" i="10"/>
  <c r="Y205" i="10"/>
  <c r="Y132" i="10"/>
  <c r="Y67" i="10"/>
  <c r="Y107" i="10"/>
  <c r="Y118" i="10"/>
  <c r="Y215" i="10"/>
  <c r="Y166" i="10"/>
  <c r="Y177" i="10"/>
  <c r="Y125" i="10"/>
  <c r="Y45" i="10"/>
  <c r="Y68" i="10"/>
  <c r="Y158" i="10"/>
  <c r="Y171" i="10"/>
  <c r="Y108" i="10"/>
  <c r="Y27" i="10"/>
  <c r="Y163" i="10"/>
  <c r="Y86" i="10"/>
  <c r="Y184" i="10"/>
  <c r="Y17" i="10"/>
  <c r="Y78" i="10"/>
  <c r="O307" i="10" l="1"/>
  <c r="V4" i="10"/>
  <c r="V5" i="10"/>
  <c r="O232" i="10"/>
  <c r="O262" i="10"/>
  <c r="O290" i="10"/>
  <c r="O276" i="10"/>
  <c r="O325" i="10"/>
  <c r="I44" i="32" l="1"/>
  <c r="G47" i="32"/>
  <c r="H47" i="32" l="1"/>
  <c r="L40" i="32"/>
  <c r="H41" i="32"/>
  <c r="L42" i="32"/>
  <c r="E44" i="32"/>
  <c r="J43" i="32"/>
  <c r="H42" i="32"/>
  <c r="G43" i="32"/>
  <c r="E46" i="32"/>
  <c r="AB101" i="3"/>
  <c r="F46" i="32"/>
  <c r="G45" i="32"/>
  <c r="AB87" i="3"/>
  <c r="I43" i="32"/>
  <c r="F43" i="32"/>
  <c r="D44" i="32"/>
  <c r="E45" i="32"/>
  <c r="H43" i="32"/>
  <c r="F44" i="32"/>
  <c r="D43" i="32"/>
  <c r="AB21" i="3"/>
  <c r="G41" i="32"/>
  <c r="F39" i="32"/>
  <c r="I42" i="32"/>
  <c r="I40" i="32"/>
  <c r="H39" i="32"/>
  <c r="J39" i="32"/>
  <c r="K41" i="32"/>
  <c r="D45" i="32"/>
  <c r="J42" i="32"/>
  <c r="K46" i="32"/>
  <c r="J41" i="32"/>
  <c r="C40" i="32"/>
  <c r="H40" i="32"/>
  <c r="E41" i="32"/>
  <c r="I41" i="32"/>
  <c r="I47" i="32"/>
  <c r="K43" i="32"/>
  <c r="J40" i="32"/>
  <c r="L39" i="32"/>
  <c r="L45" i="32"/>
  <c r="E42" i="32"/>
  <c r="AB12" i="3"/>
  <c r="J47" i="32"/>
  <c r="H46" i="32"/>
  <c r="H44" i="32"/>
  <c r="F45" i="32"/>
  <c r="G42" i="32"/>
  <c r="E47" i="32"/>
  <c r="D41" i="32"/>
  <c r="J45" i="32"/>
  <c r="K39" i="32"/>
  <c r="F47" i="32"/>
  <c r="D42" i="32"/>
  <c r="K45" i="32"/>
  <c r="F40" i="32"/>
  <c r="AB44" i="3"/>
  <c r="AB14" i="3"/>
  <c r="H45" i="32"/>
  <c r="K42" i="32"/>
  <c r="D46" i="32"/>
  <c r="AB159" i="3"/>
  <c r="AB71" i="3"/>
  <c r="G44" i="32"/>
  <c r="G46" i="32"/>
  <c r="I39" i="32"/>
  <c r="L41" i="32"/>
  <c r="K40" i="32"/>
  <c r="K44" i="32"/>
  <c r="I45" i="32"/>
  <c r="AB51" i="3" l="1"/>
  <c r="AB85" i="3"/>
  <c r="AB26" i="3"/>
  <c r="AB57" i="3"/>
  <c r="AB60" i="3"/>
  <c r="AB175" i="3"/>
  <c r="AB47" i="3"/>
  <c r="AB170" i="3"/>
  <c r="AB99" i="3"/>
  <c r="AB31" i="3"/>
  <c r="AB149" i="3"/>
  <c r="AB45" i="3"/>
  <c r="AB171" i="3"/>
  <c r="AB212" i="3"/>
  <c r="AB116" i="3"/>
  <c r="AB110" i="3"/>
  <c r="AB220" i="3"/>
  <c r="AB136" i="3"/>
  <c r="AB139" i="3"/>
  <c r="AB52" i="3"/>
  <c r="AB187" i="3"/>
  <c r="AB151" i="3"/>
  <c r="AB168" i="3"/>
  <c r="AB161" i="3"/>
  <c r="AB30" i="3"/>
  <c r="AB150" i="3"/>
  <c r="AB72" i="3"/>
  <c r="AB169" i="3"/>
  <c r="AB53" i="3"/>
  <c r="AB198" i="3"/>
  <c r="AB86" i="3"/>
  <c r="AB176" i="3"/>
  <c r="AB46" i="3"/>
  <c r="AB79" i="3"/>
  <c r="AB90" i="3"/>
  <c r="AB75" i="3"/>
  <c r="AB195" i="3"/>
  <c r="AB76" i="3"/>
  <c r="AB98" i="3"/>
  <c r="AB135" i="3"/>
  <c r="AB164" i="3"/>
  <c r="AB183" i="3"/>
  <c r="AB48" i="3"/>
  <c r="AB125" i="3"/>
  <c r="AB194" i="3"/>
  <c r="AB172" i="3"/>
  <c r="C43" i="32"/>
  <c r="M28" i="32"/>
  <c r="M29" i="32"/>
  <c r="C44" i="32"/>
  <c r="AB93" i="3"/>
  <c r="AB127" i="3"/>
  <c r="AB32" i="3"/>
  <c r="AB208" i="3"/>
  <c r="AB156" i="3"/>
  <c r="AB120" i="3"/>
  <c r="AB97" i="3"/>
  <c r="AB114" i="3"/>
  <c r="AB130" i="3"/>
  <c r="AB91" i="3"/>
  <c r="AB19" i="3"/>
  <c r="AB17" i="3"/>
  <c r="AB81" i="3"/>
  <c r="AB158" i="3"/>
  <c r="AB70" i="3"/>
  <c r="AB145" i="3"/>
  <c r="AB41" i="3"/>
  <c r="AB214" i="3"/>
  <c r="AB219" i="3"/>
  <c r="AB38" i="3"/>
  <c r="AB185" i="3"/>
  <c r="AB140" i="3"/>
  <c r="AB121" i="3"/>
  <c r="AB182" i="3"/>
  <c r="AB129" i="3"/>
  <c r="AB119" i="3"/>
  <c r="AB23" i="3"/>
  <c r="AB132" i="3"/>
  <c r="AB180" i="3"/>
  <c r="AB133" i="3"/>
  <c r="AB123" i="3"/>
  <c r="AB50" i="3"/>
  <c r="AB207" i="3"/>
  <c r="AB89" i="3"/>
  <c r="AB210" i="3"/>
  <c r="AB153" i="3"/>
  <c r="AB111" i="3"/>
  <c r="AB190" i="3"/>
  <c r="AB88" i="3"/>
  <c r="AB188" i="3"/>
  <c r="AB62" i="3"/>
  <c r="AB124" i="3"/>
  <c r="AB146" i="3"/>
  <c r="AB20" i="3"/>
  <c r="AB163" i="3"/>
  <c r="AB107" i="3"/>
  <c r="AB56" i="3"/>
  <c r="AB58" i="3"/>
  <c r="E39" i="32"/>
  <c r="E33" i="32"/>
  <c r="H38" i="32"/>
  <c r="H33" i="32"/>
  <c r="AB215" i="3"/>
  <c r="AB155" i="3"/>
  <c r="F33" i="32"/>
  <c r="F38" i="32"/>
  <c r="M23" i="32"/>
  <c r="AB36" i="3"/>
  <c r="C39" i="32"/>
  <c r="M24" i="32"/>
  <c r="C33" i="32"/>
  <c r="J33" i="32"/>
  <c r="J38" i="32"/>
  <c r="C45" i="32"/>
  <c r="M30" i="32"/>
  <c r="AB117" i="3"/>
  <c r="L38" i="32"/>
  <c r="L33" i="32"/>
  <c r="K38" i="32"/>
  <c r="K33" i="32"/>
  <c r="AB218" i="3"/>
  <c r="AB201" i="3"/>
  <c r="AB77" i="3"/>
  <c r="AB200" i="3"/>
  <c r="AB16" i="3"/>
  <c r="AB131" i="3"/>
  <c r="AB96" i="3"/>
  <c r="AB25" i="3"/>
  <c r="AB61" i="3"/>
  <c r="AB67" i="3"/>
  <c r="AB206" i="3"/>
  <c r="AB166" i="3"/>
  <c r="AB82" i="3"/>
  <c r="AB22" i="3"/>
  <c r="AB106" i="3"/>
  <c r="AB213" i="3"/>
  <c r="AB137" i="3"/>
  <c r="AB199" i="3"/>
  <c r="AB143" i="3"/>
  <c r="AB197" i="3"/>
  <c r="AB94" i="3"/>
  <c r="AB78" i="3"/>
  <c r="AB128" i="3"/>
  <c r="AB63" i="3"/>
  <c r="AB178" i="3"/>
  <c r="AB192" i="3"/>
  <c r="AB64" i="3"/>
  <c r="AB162" i="3"/>
  <c r="AB40" i="3"/>
  <c r="AB154" i="3"/>
  <c r="AB142" i="3"/>
  <c r="AB100" i="3"/>
  <c r="AB113" i="3"/>
  <c r="AB55" i="3"/>
  <c r="AB83" i="3"/>
  <c r="AB66" i="3"/>
  <c r="AB118" i="3"/>
  <c r="AB112" i="3"/>
  <c r="AB102" i="3"/>
  <c r="AB205" i="3"/>
  <c r="AB35" i="3"/>
  <c r="AB42" i="3"/>
  <c r="AB209" i="3"/>
  <c r="AB54" i="3"/>
  <c r="AB141" i="3"/>
  <c r="AB24" i="3"/>
  <c r="AB59" i="3"/>
  <c r="C41" i="32"/>
  <c r="M26" i="32"/>
  <c r="M25" i="32"/>
  <c r="D40" i="32"/>
  <c r="D33" i="32"/>
  <c r="G39" i="32"/>
  <c r="G33" i="32"/>
  <c r="AB65" i="3"/>
  <c r="AB165" i="3"/>
  <c r="AB186" i="3"/>
  <c r="AB108" i="3"/>
  <c r="AB144" i="3"/>
  <c r="AB138" i="3"/>
  <c r="AB196" i="3"/>
  <c r="AB126" i="3"/>
  <c r="AB204" i="3"/>
  <c r="AB105" i="3"/>
  <c r="AB29" i="3"/>
  <c r="AB80" i="3"/>
  <c r="AB84" i="3"/>
  <c r="AB73" i="3"/>
  <c r="AB37" i="3"/>
  <c r="AB13" i="3"/>
  <c r="AB115" i="3"/>
  <c r="AB27" i="3"/>
  <c r="AB122" i="3"/>
  <c r="AB92" i="3"/>
  <c r="AB134" i="3"/>
  <c r="AB33" i="3"/>
  <c r="AB68" i="3"/>
  <c r="AB49" i="3"/>
  <c r="AB203" i="3"/>
  <c r="AB34" i="3"/>
  <c r="AB18" i="3"/>
  <c r="AB15" i="3"/>
  <c r="AB148" i="3"/>
  <c r="AB69" i="3"/>
  <c r="AB28" i="3"/>
  <c r="AB43" i="3"/>
  <c r="AB202" i="3"/>
  <c r="AB193" i="3"/>
  <c r="AB191" i="3"/>
  <c r="AB152" i="3"/>
  <c r="AB167" i="3"/>
  <c r="AB181" i="3"/>
  <c r="AB160" i="3"/>
  <c r="AB211" i="3"/>
  <c r="AB217" i="3"/>
  <c r="AB147" i="3"/>
  <c r="AB173" i="3"/>
  <c r="AB174" i="3"/>
  <c r="AB177" i="3"/>
  <c r="AB184" i="3"/>
  <c r="AB39" i="3"/>
  <c r="AB179" i="3"/>
  <c r="AB189" i="3"/>
  <c r="AB216" i="3"/>
  <c r="AB95" i="3"/>
  <c r="AB109" i="3"/>
  <c r="AB103" i="3"/>
  <c r="AB104" i="3"/>
  <c r="AB74" i="3"/>
  <c r="AB157" i="3"/>
  <c r="D47" i="32"/>
  <c r="M32" i="32"/>
  <c r="M27" i="32"/>
  <c r="C42" i="32"/>
  <c r="M31" i="32"/>
  <c r="C46" i="32"/>
  <c r="I38" i="32"/>
  <c r="I33" i="32"/>
  <c r="F48" i="32" l="1"/>
  <c r="M43" i="32"/>
  <c r="I48" i="32"/>
  <c r="D48" i="32"/>
  <c r="K48" i="32"/>
  <c r="J48" i="32"/>
  <c r="G48" i="32"/>
  <c r="M45" i="32"/>
  <c r="C48" i="32"/>
  <c r="E48" i="32"/>
  <c r="M46" i="32"/>
  <c r="M41" i="32"/>
  <c r="M42" i="32"/>
  <c r="M47" i="32"/>
  <c r="M40" i="32"/>
  <c r="L48" i="32"/>
  <c r="M39" i="32"/>
  <c r="H48" i="32"/>
  <c r="M44" i="32"/>
  <c r="M38" i="32"/>
  <c r="M33" i="32"/>
  <c r="I65" i="32" s="1"/>
  <c r="K45" i="3"/>
  <c r="J45" i="3"/>
  <c r="W45" i="3" s="1"/>
  <c r="AB275" i="3"/>
  <c r="AB222" i="3"/>
  <c r="AB8" i="3" s="1"/>
  <c r="J65" i="32" l="1"/>
  <c r="E65" i="32"/>
  <c r="F65" i="32"/>
  <c r="H65" i="32"/>
  <c r="L65" i="32"/>
  <c r="D65" i="32"/>
  <c r="N62" i="32"/>
  <c r="N56" i="32"/>
  <c r="E55" i="32"/>
  <c r="E63" i="32"/>
  <c r="G55" i="32"/>
  <c r="G63" i="32"/>
  <c r="H59" i="32"/>
  <c r="I55" i="32"/>
  <c r="I63" i="32"/>
  <c r="J59" i="32"/>
  <c r="K55" i="32"/>
  <c r="K63" i="32"/>
  <c r="L59" i="32"/>
  <c r="D61" i="32"/>
  <c r="E61" i="32"/>
  <c r="F61" i="32"/>
  <c r="G61" i="32"/>
  <c r="H61" i="32"/>
  <c r="I61" i="32"/>
  <c r="J61" i="32"/>
  <c r="K61" i="32"/>
  <c r="M61" i="32"/>
  <c r="D62" i="32"/>
  <c r="E62" i="32"/>
  <c r="F62" i="32"/>
  <c r="G62" i="32"/>
  <c r="H62" i="32"/>
  <c r="I62" i="32"/>
  <c r="K62" i="32"/>
  <c r="M62" i="32"/>
  <c r="D60" i="32"/>
  <c r="E64" i="32"/>
  <c r="F60" i="32"/>
  <c r="G56" i="32"/>
  <c r="G64" i="32"/>
  <c r="H60" i="32"/>
  <c r="I56" i="32"/>
  <c r="J60" i="32"/>
  <c r="K56" i="32"/>
  <c r="K64" i="32"/>
  <c r="L60" i="32"/>
  <c r="M56" i="32"/>
  <c r="D63" i="32"/>
  <c r="E59" i="32"/>
  <c r="F55" i="32"/>
  <c r="F63" i="32"/>
  <c r="G59" i="32"/>
  <c r="H55" i="32"/>
  <c r="H63" i="32"/>
  <c r="I59" i="32"/>
  <c r="J55" i="32"/>
  <c r="J63" i="32"/>
  <c r="K59" i="32"/>
  <c r="L55" i="32"/>
  <c r="L63" i="32"/>
  <c r="M59" i="32"/>
  <c r="E57" i="32"/>
  <c r="G57" i="32"/>
  <c r="H57" i="32"/>
  <c r="J57" i="32"/>
  <c r="K57" i="32"/>
  <c r="L57" i="32"/>
  <c r="M57" i="32"/>
  <c r="D58" i="32"/>
  <c r="E58" i="32"/>
  <c r="F58" i="32"/>
  <c r="I58" i="32"/>
  <c r="J58" i="32"/>
  <c r="K58" i="32"/>
  <c r="L58" i="32"/>
  <c r="M58" i="32"/>
  <c r="D64" i="32"/>
  <c r="E60" i="32"/>
  <c r="F56" i="32"/>
  <c r="F64" i="32"/>
  <c r="G60" i="32"/>
  <c r="H56" i="32"/>
  <c r="H64" i="32"/>
  <c r="I60" i="32"/>
  <c r="J56" i="32"/>
  <c r="K60" i="32"/>
  <c r="L56" i="32"/>
  <c r="M60" i="32"/>
  <c r="N65" i="32"/>
  <c r="N55" i="32"/>
  <c r="N59" i="32"/>
  <c r="N60" i="32"/>
  <c r="N64" i="32"/>
  <c r="M65" i="32"/>
  <c r="G65" i="32"/>
  <c r="N57" i="32"/>
  <c r="N63" i="32"/>
  <c r="N61" i="32"/>
  <c r="N58" i="32"/>
  <c r="K65" i="32"/>
  <c r="M48" i="32"/>
  <c r="AB306" i="3"/>
  <c r="P45" i="3"/>
  <c r="K156" i="3"/>
  <c r="J156" i="3"/>
  <c r="W156" i="3" s="1"/>
  <c r="K199" i="3"/>
  <c r="J199" i="3"/>
  <c r="W199" i="3" s="1"/>
  <c r="K73" i="3"/>
  <c r="J73" i="3"/>
  <c r="W73" i="3" s="1"/>
  <c r="K219" i="3"/>
  <c r="J219" i="3"/>
  <c r="W219" i="3" s="1"/>
  <c r="K32" i="3"/>
  <c r="J32" i="3"/>
  <c r="W32" i="3" s="1"/>
  <c r="K152" i="3"/>
  <c r="J152" i="3"/>
  <c r="W152" i="3" s="1"/>
  <c r="K83" i="3"/>
  <c r="J83" i="3"/>
  <c r="W83" i="3" s="1"/>
  <c r="K71" i="3"/>
  <c r="J71" i="3"/>
  <c r="W71" i="3" s="1"/>
  <c r="K198" i="3"/>
  <c r="J198" i="3"/>
  <c r="W198" i="3" s="1"/>
  <c r="K181" i="3"/>
  <c r="J181" i="3"/>
  <c r="W181" i="3" s="1"/>
  <c r="K196" i="3"/>
  <c r="J196" i="3"/>
  <c r="W196" i="3" s="1"/>
  <c r="K206" i="3"/>
  <c r="J206" i="3"/>
  <c r="W206" i="3" s="1"/>
  <c r="K91" i="3"/>
  <c r="J91" i="3"/>
  <c r="W91" i="3" s="1"/>
  <c r="K158" i="3"/>
  <c r="J158" i="3"/>
  <c r="W158" i="3" s="1"/>
  <c r="K134" i="3"/>
  <c r="J134" i="3"/>
  <c r="W134" i="3" s="1"/>
  <c r="K209" i="3"/>
  <c r="J209" i="3"/>
  <c r="W209" i="3" s="1"/>
  <c r="K123" i="3"/>
  <c r="J123" i="3"/>
  <c r="W123" i="3" s="1"/>
  <c r="K180" i="3"/>
  <c r="J180" i="3"/>
  <c r="W180" i="3" s="1"/>
  <c r="K175" i="3"/>
  <c r="J175" i="3"/>
  <c r="W175" i="3" s="1"/>
  <c r="K168" i="3"/>
  <c r="J168" i="3"/>
  <c r="W168" i="3" s="1"/>
  <c r="K96" i="3"/>
  <c r="J96" i="3"/>
  <c r="W96" i="3" s="1"/>
  <c r="K203" i="3"/>
  <c r="J203" i="3"/>
  <c r="W203" i="3" s="1"/>
  <c r="K167" i="3"/>
  <c r="J167" i="3"/>
  <c r="W167" i="3" s="1"/>
  <c r="K24" i="3"/>
  <c r="J24" i="3"/>
  <c r="W24" i="3" s="1"/>
  <c r="K13" i="3"/>
  <c r="J13" i="3"/>
  <c r="W13" i="3" s="1"/>
  <c r="G11" i="31"/>
  <c r="G222" i="3"/>
  <c r="K12" i="3"/>
  <c r="J12" i="3"/>
  <c r="W12" i="3" s="1"/>
  <c r="K54" i="3"/>
  <c r="J54" i="3"/>
  <c r="W54" i="3" s="1"/>
  <c r="K97" i="3"/>
  <c r="J97" i="3"/>
  <c r="W97" i="3" s="1"/>
  <c r="K217" i="3"/>
  <c r="J217" i="3"/>
  <c r="W217" i="3" s="1"/>
  <c r="K151" i="3"/>
  <c r="J151" i="3"/>
  <c r="W151" i="3" s="1"/>
  <c r="K183" i="3"/>
  <c r="J183" i="3"/>
  <c r="W183" i="3" s="1"/>
  <c r="K70" i="3"/>
  <c r="J70" i="3"/>
  <c r="W70" i="3" s="1"/>
  <c r="K82" i="3"/>
  <c r="J82" i="3"/>
  <c r="W82" i="3" s="1"/>
  <c r="K220" i="3"/>
  <c r="J220" i="3"/>
  <c r="W220" i="3" s="1"/>
  <c r="K85" i="3"/>
  <c r="J85" i="3"/>
  <c r="W85" i="3" s="1"/>
  <c r="K165" i="3"/>
  <c r="J165" i="3"/>
  <c r="W165" i="3" s="1"/>
  <c r="K28" i="3"/>
  <c r="J28" i="3"/>
  <c r="W28" i="3" s="1"/>
  <c r="K212" i="3"/>
  <c r="J212" i="3"/>
  <c r="W212" i="3" s="1"/>
  <c r="K187" i="3"/>
  <c r="J187" i="3"/>
  <c r="W187" i="3" s="1"/>
  <c r="K145" i="3"/>
  <c r="J145" i="3"/>
  <c r="W145" i="3" s="1"/>
  <c r="K141" i="3"/>
  <c r="J141" i="3"/>
  <c r="W141" i="3" s="1"/>
  <c r="K38" i="3"/>
  <c r="J38" i="3"/>
  <c r="W38" i="3" s="1"/>
  <c r="K87" i="3"/>
  <c r="J87" i="3"/>
  <c r="W87" i="3" s="1"/>
  <c r="K33" i="3"/>
  <c r="J33" i="3"/>
  <c r="W33" i="3" s="1"/>
  <c r="K207" i="3"/>
  <c r="J207" i="3"/>
  <c r="W207" i="3" s="1"/>
  <c r="K144" i="3"/>
  <c r="J144" i="3"/>
  <c r="W144" i="3" s="1"/>
  <c r="K17" i="3"/>
  <c r="J17" i="3"/>
  <c r="W17" i="3" s="1"/>
  <c r="K75" i="3"/>
  <c r="J75" i="3"/>
  <c r="W75" i="3" s="1"/>
  <c r="K36" i="3"/>
  <c r="J36" i="3"/>
  <c r="W36" i="3" s="1"/>
  <c r="K120" i="3"/>
  <c r="J120" i="3"/>
  <c r="W120" i="3" s="1"/>
  <c r="K92" i="3"/>
  <c r="J92" i="3"/>
  <c r="W92" i="3" s="1"/>
  <c r="K121" i="3"/>
  <c r="J121" i="3"/>
  <c r="W121" i="3" s="1"/>
  <c r="K164" i="3"/>
  <c r="J164" i="3"/>
  <c r="W164" i="3" s="1"/>
  <c r="K179" i="3"/>
  <c r="J179" i="3"/>
  <c r="W179" i="3" s="1"/>
  <c r="K201" i="3"/>
  <c r="J201" i="3"/>
  <c r="W201" i="3" s="1"/>
  <c r="K135" i="3"/>
  <c r="J135" i="3"/>
  <c r="W135" i="3" s="1"/>
  <c r="K172" i="3"/>
  <c r="J172" i="3"/>
  <c r="W172" i="3" s="1"/>
  <c r="K26" i="3"/>
  <c r="J26" i="3"/>
  <c r="W26" i="3" s="1"/>
  <c r="K113" i="3"/>
  <c r="J113" i="3"/>
  <c r="W113" i="3" s="1"/>
  <c r="K25" i="3"/>
  <c r="J25" i="3"/>
  <c r="W25" i="3" s="1"/>
  <c r="K205" i="3"/>
  <c r="J205" i="3"/>
  <c r="W205" i="3" s="1"/>
  <c r="K55" i="3"/>
  <c r="J55" i="3"/>
  <c r="W55" i="3" s="1"/>
  <c r="K131" i="3"/>
  <c r="J131" i="3"/>
  <c r="W131" i="3" s="1"/>
  <c r="K15" i="3"/>
  <c r="J15" i="3"/>
  <c r="W15" i="3" s="1"/>
  <c r="K66" i="3"/>
  <c r="J66" i="3"/>
  <c r="W66" i="3" s="1"/>
  <c r="K51" i="3"/>
  <c r="J51" i="3"/>
  <c r="W51" i="3" s="1"/>
  <c r="K215" i="3"/>
  <c r="J215" i="3"/>
  <c r="W215" i="3" s="1"/>
  <c r="K184" i="3"/>
  <c r="J184" i="3"/>
  <c r="W184" i="3" s="1"/>
  <c r="K57" i="3"/>
  <c r="J57" i="3"/>
  <c r="W57" i="3" s="1"/>
  <c r="K95" i="3"/>
  <c r="J95" i="3"/>
  <c r="W95" i="3" s="1"/>
  <c r="K216" i="3"/>
  <c r="J216" i="3"/>
  <c r="W216" i="3" s="1"/>
  <c r="K100" i="3"/>
  <c r="J100" i="3"/>
  <c r="W100" i="3" s="1"/>
  <c r="K48" i="3"/>
  <c r="J48" i="3"/>
  <c r="W48" i="3" s="1"/>
  <c r="K14" i="3"/>
  <c r="J14" i="3"/>
  <c r="W14" i="3" s="1"/>
  <c r="K19" i="3"/>
  <c r="J19" i="3"/>
  <c r="W19" i="3" s="1"/>
  <c r="K50" i="3"/>
  <c r="J50" i="3"/>
  <c r="W50" i="3" s="1"/>
  <c r="K31" i="3"/>
  <c r="J31" i="3"/>
  <c r="W31" i="3" s="1"/>
  <c r="K107" i="3"/>
  <c r="J107" i="3"/>
  <c r="W107" i="3" s="1"/>
  <c r="K195" i="3"/>
  <c r="J195" i="3"/>
  <c r="W195" i="3" s="1"/>
  <c r="K108" i="3"/>
  <c r="J108" i="3"/>
  <c r="W108" i="3" s="1"/>
  <c r="K90" i="3"/>
  <c r="J90" i="3"/>
  <c r="W90" i="3" s="1"/>
  <c r="K191" i="3"/>
  <c r="J191" i="3"/>
  <c r="W191" i="3" s="1"/>
  <c r="K204" i="3"/>
  <c r="J204" i="3"/>
  <c r="W204" i="3" s="1"/>
  <c r="K63" i="3"/>
  <c r="J63" i="3"/>
  <c r="W63" i="3" s="1"/>
  <c r="K197" i="3"/>
  <c r="J197" i="3"/>
  <c r="W197" i="3" s="1"/>
  <c r="K65" i="3"/>
  <c r="J65" i="3"/>
  <c r="W65" i="3" s="1"/>
  <c r="K30" i="3"/>
  <c r="J30" i="3"/>
  <c r="W30" i="3" s="1"/>
  <c r="K213" i="3"/>
  <c r="J213" i="3"/>
  <c r="W213" i="3" s="1"/>
  <c r="K53" i="3"/>
  <c r="J53" i="3"/>
  <c r="W53" i="3" s="1"/>
  <c r="K211" i="3"/>
  <c r="J211" i="3"/>
  <c r="W211" i="3" s="1"/>
  <c r="K129" i="3"/>
  <c r="J129" i="3"/>
  <c r="W129" i="3" s="1"/>
  <c r="K84" i="3"/>
  <c r="J84" i="3"/>
  <c r="W84" i="3" s="1"/>
  <c r="K170" i="3"/>
  <c r="J170" i="3"/>
  <c r="W170" i="3" s="1"/>
  <c r="K98" i="3"/>
  <c r="J98" i="3"/>
  <c r="W98" i="3" s="1"/>
  <c r="K185" i="3"/>
  <c r="J185" i="3"/>
  <c r="W185" i="3" s="1"/>
  <c r="K189" i="3"/>
  <c r="J189" i="3"/>
  <c r="W189" i="3" s="1"/>
  <c r="K154" i="3"/>
  <c r="J154" i="3"/>
  <c r="W154" i="3" s="1"/>
  <c r="K148" i="3"/>
  <c r="J148" i="3"/>
  <c r="W148" i="3" s="1"/>
  <c r="K37" i="3"/>
  <c r="J37" i="3"/>
  <c r="W37" i="3" s="1"/>
  <c r="K128" i="3"/>
  <c r="J128" i="3"/>
  <c r="W128" i="3" s="1"/>
  <c r="K49" i="3"/>
  <c r="J49" i="3"/>
  <c r="W49" i="3" s="1"/>
  <c r="K69" i="3"/>
  <c r="J69" i="3"/>
  <c r="W69" i="3" s="1"/>
  <c r="K42" i="3"/>
  <c r="J42" i="3"/>
  <c r="W42" i="3" s="1"/>
  <c r="K56" i="3"/>
  <c r="J56" i="3"/>
  <c r="W56" i="3" s="1"/>
  <c r="K200" i="3"/>
  <c r="J200" i="3"/>
  <c r="W200" i="3" s="1"/>
  <c r="AB231" i="3"/>
  <c r="AB289" i="3"/>
  <c r="AB324" i="3"/>
  <c r="K20" i="3"/>
  <c r="J20" i="3"/>
  <c r="W20" i="3" s="1"/>
  <c r="K136" i="3"/>
  <c r="J136" i="3"/>
  <c r="W136" i="3" s="1"/>
  <c r="K147" i="3"/>
  <c r="J147" i="3"/>
  <c r="W147" i="3" s="1"/>
  <c r="K47" i="3"/>
  <c r="J47" i="3"/>
  <c r="W47" i="3" s="1"/>
  <c r="K133" i="3"/>
  <c r="J133" i="3"/>
  <c r="W133" i="3" s="1"/>
  <c r="K59" i="3"/>
  <c r="J59" i="3"/>
  <c r="W59" i="3" s="1"/>
  <c r="K102" i="3"/>
  <c r="J102" i="3"/>
  <c r="W102" i="3" s="1"/>
  <c r="K29" i="3"/>
  <c r="J29" i="3"/>
  <c r="W29" i="3" s="1"/>
  <c r="K109" i="3"/>
  <c r="J109" i="3"/>
  <c r="W109" i="3" s="1"/>
  <c r="K110" i="3"/>
  <c r="J110" i="3"/>
  <c r="W110" i="3" s="1"/>
  <c r="K202" i="3"/>
  <c r="J202" i="3"/>
  <c r="W202" i="3" s="1"/>
  <c r="K186" i="3"/>
  <c r="J186" i="3"/>
  <c r="W186" i="3" s="1"/>
  <c r="K105" i="3"/>
  <c r="J105" i="3"/>
  <c r="W105" i="3" s="1"/>
  <c r="K149" i="3"/>
  <c r="J149" i="3"/>
  <c r="W149" i="3" s="1"/>
  <c r="K116" i="3"/>
  <c r="J116" i="3"/>
  <c r="W116" i="3" s="1"/>
  <c r="K16" i="3"/>
  <c r="J16" i="3"/>
  <c r="W16" i="3" s="1"/>
  <c r="K142" i="3"/>
  <c r="J142" i="3"/>
  <c r="W142" i="3" s="1"/>
  <c r="K138" i="3"/>
  <c r="J138" i="3"/>
  <c r="W138" i="3" s="1"/>
  <c r="K61" i="3"/>
  <c r="J61" i="3"/>
  <c r="W61" i="3" s="1"/>
  <c r="K178" i="3"/>
  <c r="J178" i="3"/>
  <c r="W178" i="3" s="1"/>
  <c r="K112" i="3"/>
  <c r="J112" i="3"/>
  <c r="W112" i="3" s="1"/>
  <c r="K111" i="3"/>
  <c r="J111" i="3"/>
  <c r="W111" i="3" s="1"/>
  <c r="K122" i="3"/>
  <c r="J122" i="3"/>
  <c r="W122" i="3" s="1"/>
  <c r="K34" i="3"/>
  <c r="J34" i="3"/>
  <c r="W34" i="3" s="1"/>
  <c r="K77" i="3"/>
  <c r="J77" i="3"/>
  <c r="W77" i="3" s="1"/>
  <c r="K139" i="3"/>
  <c r="J139" i="3"/>
  <c r="W139" i="3" s="1"/>
  <c r="K74" i="3"/>
  <c r="J74" i="3"/>
  <c r="W74" i="3" s="1"/>
  <c r="K86" i="3"/>
  <c r="J86" i="3"/>
  <c r="W86" i="3" s="1"/>
  <c r="K60" i="3"/>
  <c r="J60" i="3"/>
  <c r="W60" i="3" s="1"/>
  <c r="K101" i="3"/>
  <c r="J101" i="3"/>
  <c r="W101" i="3" s="1"/>
  <c r="K44" i="3"/>
  <c r="J44" i="3"/>
  <c r="W44" i="3" s="1"/>
  <c r="K93" i="3"/>
  <c r="J93" i="3"/>
  <c r="W93" i="3" s="1"/>
  <c r="K127" i="3"/>
  <c r="J127" i="3"/>
  <c r="W127" i="3" s="1"/>
  <c r="K174" i="3"/>
  <c r="J174" i="3"/>
  <c r="W174" i="3" s="1"/>
  <c r="K130" i="3"/>
  <c r="J130" i="3"/>
  <c r="W130" i="3" s="1"/>
  <c r="K119" i="3"/>
  <c r="J119" i="3"/>
  <c r="W119" i="3" s="1"/>
  <c r="K188" i="3"/>
  <c r="J188" i="3"/>
  <c r="W188" i="3" s="1"/>
  <c r="K159" i="3"/>
  <c r="J159" i="3"/>
  <c r="W159" i="3" s="1"/>
  <c r="K193" i="3"/>
  <c r="J193" i="3"/>
  <c r="W193" i="3" s="1"/>
  <c r="K208" i="3"/>
  <c r="J208" i="3"/>
  <c r="W208" i="3" s="1"/>
  <c r="K79" i="3"/>
  <c r="J79" i="3"/>
  <c r="W79" i="3" s="1"/>
  <c r="K153" i="3"/>
  <c r="J153" i="3"/>
  <c r="W153" i="3" s="1"/>
  <c r="K22" i="3"/>
  <c r="J22" i="3"/>
  <c r="W22" i="3" s="1"/>
  <c r="K46" i="3"/>
  <c r="J46" i="3"/>
  <c r="W46" i="3" s="1"/>
  <c r="K39" i="3"/>
  <c r="J39" i="3"/>
  <c r="W39" i="3" s="1"/>
  <c r="K78" i="3"/>
  <c r="J78" i="3"/>
  <c r="W78" i="3" s="1"/>
  <c r="K41" i="3"/>
  <c r="J41" i="3"/>
  <c r="W41" i="3" s="1"/>
  <c r="K163" i="3"/>
  <c r="J163" i="3"/>
  <c r="W163" i="3" s="1"/>
  <c r="K35" i="3"/>
  <c r="J35" i="3"/>
  <c r="W35" i="3" s="1"/>
  <c r="K143" i="3"/>
  <c r="J143" i="3"/>
  <c r="W143" i="3" s="1"/>
  <c r="K23" i="3"/>
  <c r="J23" i="3"/>
  <c r="W23" i="3" s="1"/>
  <c r="K140" i="3"/>
  <c r="J140" i="3"/>
  <c r="W140" i="3" s="1"/>
  <c r="K117" i="3"/>
  <c r="J117" i="3"/>
  <c r="W117" i="3" s="1"/>
  <c r="K104" i="3"/>
  <c r="J104" i="3"/>
  <c r="W104" i="3" s="1"/>
  <c r="K160" i="3"/>
  <c r="J160" i="3"/>
  <c r="W160" i="3" s="1"/>
  <c r="K126" i="3"/>
  <c r="J126" i="3"/>
  <c r="W126" i="3" s="1"/>
  <c r="K177" i="3"/>
  <c r="J177" i="3"/>
  <c r="W177" i="3" s="1"/>
  <c r="K173" i="3"/>
  <c r="J173" i="3"/>
  <c r="W173" i="3" s="1"/>
  <c r="K137" i="3"/>
  <c r="J137" i="3"/>
  <c r="W137" i="3" s="1"/>
  <c r="K161" i="3"/>
  <c r="J161" i="3"/>
  <c r="W161" i="3" s="1"/>
  <c r="K214" i="3"/>
  <c r="J214" i="3"/>
  <c r="W214" i="3" s="1"/>
  <c r="K52" i="3"/>
  <c r="J52" i="3"/>
  <c r="W52" i="3" s="1"/>
  <c r="K171" i="3"/>
  <c r="J171" i="3"/>
  <c r="W171" i="3" s="1"/>
  <c r="K124" i="3"/>
  <c r="J124" i="3"/>
  <c r="W124" i="3" s="1"/>
  <c r="K18" i="3"/>
  <c r="J18" i="3"/>
  <c r="W18" i="3" s="1"/>
  <c r="K169" i="3"/>
  <c r="J169" i="3"/>
  <c r="W169" i="3" s="1"/>
  <c r="K157" i="3"/>
  <c r="J157" i="3"/>
  <c r="W157" i="3" s="1"/>
  <c r="K115" i="3"/>
  <c r="J115" i="3"/>
  <c r="W115" i="3" s="1"/>
  <c r="K210" i="3"/>
  <c r="J210" i="3"/>
  <c r="W210" i="3" s="1"/>
  <c r="K103" i="3"/>
  <c r="J103" i="3"/>
  <c r="W103" i="3" s="1"/>
  <c r="K99" i="3"/>
  <c r="J99" i="3"/>
  <c r="W99" i="3" s="1"/>
  <c r="AB261" i="3"/>
  <c r="K106" i="3"/>
  <c r="J106" i="3"/>
  <c r="W106" i="3" s="1"/>
  <c r="K72" i="3"/>
  <c r="J72" i="3"/>
  <c r="W72" i="3" s="1"/>
  <c r="K176" i="3"/>
  <c r="J176" i="3"/>
  <c r="W176" i="3" s="1"/>
  <c r="K64" i="3"/>
  <c r="J64" i="3"/>
  <c r="W64" i="3" s="1"/>
  <c r="K21" i="3"/>
  <c r="J21" i="3"/>
  <c r="W21" i="3" s="1"/>
  <c r="K43" i="3"/>
  <c r="J43" i="3"/>
  <c r="W43" i="3" s="1"/>
  <c r="K114" i="3"/>
  <c r="J114" i="3"/>
  <c r="W114" i="3" s="1"/>
  <c r="K40" i="3"/>
  <c r="J40" i="3"/>
  <c r="W40" i="3" s="1"/>
  <c r="K194" i="3"/>
  <c r="J194" i="3"/>
  <c r="W194" i="3" s="1"/>
  <c r="K94" i="3"/>
  <c r="J94" i="3"/>
  <c r="W94" i="3" s="1"/>
  <c r="K118" i="3"/>
  <c r="J118" i="3"/>
  <c r="W118" i="3" s="1"/>
  <c r="K58" i="3"/>
  <c r="J58" i="3"/>
  <c r="W58" i="3" s="1"/>
  <c r="K80" i="3"/>
  <c r="J80" i="3"/>
  <c r="W80" i="3" s="1"/>
  <c r="K27" i="3"/>
  <c r="J27" i="3"/>
  <c r="W27" i="3" s="1"/>
  <c r="K162" i="3"/>
  <c r="J162" i="3"/>
  <c r="W162" i="3" s="1"/>
  <c r="K132" i="3"/>
  <c r="J132" i="3"/>
  <c r="W132" i="3" s="1"/>
  <c r="K155" i="3"/>
  <c r="J155" i="3"/>
  <c r="W155" i="3" s="1"/>
  <c r="K150" i="3"/>
  <c r="J150" i="3"/>
  <c r="W150" i="3" s="1"/>
  <c r="K67" i="3"/>
  <c r="J67" i="3"/>
  <c r="W67" i="3" s="1"/>
  <c r="K88" i="3"/>
  <c r="J88" i="3"/>
  <c r="W88" i="3" s="1"/>
  <c r="K182" i="3"/>
  <c r="J182" i="3"/>
  <c r="W182" i="3" s="1"/>
  <c r="K218" i="3"/>
  <c r="J218" i="3"/>
  <c r="W218" i="3" s="1"/>
  <c r="K146" i="3"/>
  <c r="J146" i="3"/>
  <c r="W146" i="3" s="1"/>
  <c r="K166" i="3"/>
  <c r="J166" i="3"/>
  <c r="W166" i="3" s="1"/>
  <c r="K81" i="3"/>
  <c r="J81" i="3"/>
  <c r="W81" i="3" s="1"/>
  <c r="K68" i="3"/>
  <c r="J68" i="3"/>
  <c r="W68" i="3" s="1"/>
  <c r="K192" i="3"/>
  <c r="J192" i="3"/>
  <c r="W192" i="3" s="1"/>
  <c r="K89" i="3"/>
  <c r="J89" i="3"/>
  <c r="W89" i="3" s="1"/>
  <c r="K190" i="3"/>
  <c r="J190" i="3"/>
  <c r="W190" i="3" s="1"/>
  <c r="K125" i="3"/>
  <c r="J125" i="3"/>
  <c r="W125" i="3" s="1"/>
  <c r="K62" i="3"/>
  <c r="J62" i="3"/>
  <c r="W62" i="3" s="1"/>
  <c r="K76" i="3"/>
  <c r="J76" i="3"/>
  <c r="W76" i="3" s="1"/>
  <c r="P76" i="3" l="1"/>
  <c r="K246" i="3"/>
  <c r="J246" i="3"/>
  <c r="P146" i="3"/>
  <c r="K321" i="3"/>
  <c r="J321" i="3"/>
  <c r="P88" i="3"/>
  <c r="P150" i="3"/>
  <c r="P132" i="3"/>
  <c r="K267" i="3"/>
  <c r="J267" i="3"/>
  <c r="K245" i="3"/>
  <c r="J245" i="3"/>
  <c r="P64" i="3"/>
  <c r="P72" i="3"/>
  <c r="P103" i="3"/>
  <c r="K258" i="3"/>
  <c r="J258" i="3"/>
  <c r="P157" i="3"/>
  <c r="P18" i="3"/>
  <c r="P124" i="3"/>
  <c r="P171" i="3"/>
  <c r="P143" i="3"/>
  <c r="K227" i="3"/>
  <c r="J227" i="3"/>
  <c r="K280" i="3"/>
  <c r="J280" i="3"/>
  <c r="K255" i="3"/>
  <c r="J255" i="3"/>
  <c r="P93" i="3"/>
  <c r="K248" i="3"/>
  <c r="J248" i="3"/>
  <c r="K252" i="3"/>
  <c r="J252" i="3"/>
  <c r="P77" i="3"/>
  <c r="K300" i="3"/>
  <c r="J300" i="3"/>
  <c r="P111" i="3"/>
  <c r="P178" i="3"/>
  <c r="P138" i="3"/>
  <c r="P116" i="3"/>
  <c r="P105" i="3"/>
  <c r="P202" i="3"/>
  <c r="P109" i="3"/>
  <c r="K249" i="3"/>
  <c r="J249" i="3"/>
  <c r="P200" i="3"/>
  <c r="K301" i="3"/>
  <c r="J301" i="3"/>
  <c r="P148" i="3"/>
  <c r="P189" i="3"/>
  <c r="P98" i="3"/>
  <c r="P84" i="3"/>
  <c r="P211" i="3"/>
  <c r="K259" i="3"/>
  <c r="J259" i="3"/>
  <c r="K239" i="3"/>
  <c r="J239" i="3"/>
  <c r="G275" i="3"/>
  <c r="K264" i="3"/>
  <c r="J264" i="3"/>
  <c r="P195" i="3"/>
  <c r="K287" i="3"/>
  <c r="J287" i="3"/>
  <c r="K271" i="3"/>
  <c r="J271" i="3"/>
  <c r="K294" i="3"/>
  <c r="J294" i="3"/>
  <c r="K247" i="3"/>
  <c r="J247" i="3"/>
  <c r="P95" i="3"/>
  <c r="P184" i="3"/>
  <c r="P51" i="3"/>
  <c r="K282" i="3"/>
  <c r="J282" i="3"/>
  <c r="P131" i="3"/>
  <c r="P55" i="3"/>
  <c r="P25" i="3"/>
  <c r="P26" i="3"/>
  <c r="K320" i="3"/>
  <c r="J320" i="3"/>
  <c r="P120" i="3"/>
  <c r="K304" i="3"/>
  <c r="J304" i="3"/>
  <c r="P87" i="3"/>
  <c r="G8" i="3"/>
  <c r="J222" i="3"/>
  <c r="J8" i="3" s="1"/>
  <c r="K226" i="3"/>
  <c r="G231" i="3"/>
  <c r="J226" i="3"/>
  <c r="K285" i="3"/>
  <c r="J285" i="3"/>
  <c r="K257" i="3"/>
  <c r="J257" i="3"/>
  <c r="P158" i="3"/>
  <c r="P206" i="3"/>
  <c r="P181" i="3"/>
  <c r="P71" i="3"/>
  <c r="P152" i="3"/>
  <c r="P219" i="3"/>
  <c r="P199" i="3"/>
  <c r="T45" i="3"/>
  <c r="E11" i="31"/>
  <c r="P125" i="3"/>
  <c r="P89" i="3"/>
  <c r="P68" i="3"/>
  <c r="P182" i="3"/>
  <c r="P27" i="3"/>
  <c r="K315" i="3"/>
  <c r="J315" i="3"/>
  <c r="P118" i="3"/>
  <c r="P194" i="3"/>
  <c r="P114" i="3"/>
  <c r="P21" i="3"/>
  <c r="K286" i="3"/>
  <c r="J286" i="3"/>
  <c r="K253" i="3"/>
  <c r="J253" i="3"/>
  <c r="P214" i="3"/>
  <c r="P137" i="3"/>
  <c r="P177" i="3"/>
  <c r="P160" i="3"/>
  <c r="P117" i="3"/>
  <c r="P23" i="3"/>
  <c r="K303" i="3"/>
  <c r="J303" i="3"/>
  <c r="P41" i="3"/>
  <c r="P78" i="3"/>
  <c r="P39" i="3"/>
  <c r="K311" i="3"/>
  <c r="J311" i="3"/>
  <c r="K237" i="3"/>
  <c r="J237" i="3"/>
  <c r="P79" i="3"/>
  <c r="P193" i="3"/>
  <c r="P188" i="3"/>
  <c r="P130" i="3"/>
  <c r="P101" i="3"/>
  <c r="P86" i="3"/>
  <c r="K318" i="3"/>
  <c r="J318" i="3"/>
  <c r="K251" i="3"/>
  <c r="J251" i="3"/>
  <c r="P16" i="3"/>
  <c r="P102" i="3"/>
  <c r="P133" i="3"/>
  <c r="P147" i="3"/>
  <c r="P20" i="3"/>
  <c r="P42" i="3"/>
  <c r="P49" i="3"/>
  <c r="P213" i="3"/>
  <c r="K265" i="3"/>
  <c r="J265" i="3"/>
  <c r="P65" i="3"/>
  <c r="P63" i="3"/>
  <c r="P191" i="3"/>
  <c r="P108" i="3"/>
  <c r="P31" i="3"/>
  <c r="K273" i="3"/>
  <c r="J273" i="3"/>
  <c r="K281" i="3"/>
  <c r="J281" i="3"/>
  <c r="K295" i="3"/>
  <c r="J295" i="3"/>
  <c r="G289" i="3"/>
  <c r="K278" i="3"/>
  <c r="J278" i="3"/>
  <c r="P172" i="3"/>
  <c r="P201" i="3"/>
  <c r="P164" i="3"/>
  <c r="P92" i="3"/>
  <c r="K250" i="3"/>
  <c r="J250" i="3"/>
  <c r="K269" i="3"/>
  <c r="J269" i="3"/>
  <c r="P144" i="3"/>
  <c r="K240" i="3"/>
  <c r="J240" i="3"/>
  <c r="P141" i="3"/>
  <c r="P187" i="3"/>
  <c r="P28" i="3"/>
  <c r="P85" i="3"/>
  <c r="P82" i="3"/>
  <c r="P183" i="3"/>
  <c r="P217" i="3"/>
  <c r="P54" i="3"/>
  <c r="K270" i="3"/>
  <c r="J270" i="3"/>
  <c r="G306" i="3"/>
  <c r="K293" i="3"/>
  <c r="J293" i="3"/>
  <c r="P167" i="3"/>
  <c r="P96" i="3"/>
  <c r="P175" i="3"/>
  <c r="P123" i="3"/>
  <c r="P62" i="3"/>
  <c r="P166" i="3"/>
  <c r="P218" i="3"/>
  <c r="K256" i="3"/>
  <c r="J256" i="3"/>
  <c r="P67" i="3"/>
  <c r="P155" i="3"/>
  <c r="P162" i="3"/>
  <c r="K283" i="3"/>
  <c r="J283" i="3"/>
  <c r="P176" i="3"/>
  <c r="P106" i="3"/>
  <c r="P99" i="3"/>
  <c r="K322" i="3"/>
  <c r="J322" i="3"/>
  <c r="P115" i="3"/>
  <c r="P169" i="3"/>
  <c r="K296" i="3"/>
  <c r="J296" i="3"/>
  <c r="K229" i="3"/>
  <c r="J229" i="3"/>
  <c r="K298" i="3"/>
  <c r="J298" i="3"/>
  <c r="K266" i="3"/>
  <c r="J266" i="3"/>
  <c r="K244" i="3"/>
  <c r="J244" i="3"/>
  <c r="P22" i="3"/>
  <c r="P127" i="3"/>
  <c r="P44" i="3"/>
  <c r="P139" i="3"/>
  <c r="P34" i="3"/>
  <c r="P122" i="3"/>
  <c r="P112" i="3"/>
  <c r="P61" i="3"/>
  <c r="K302" i="3"/>
  <c r="J302" i="3"/>
  <c r="K268" i="3"/>
  <c r="J268" i="3"/>
  <c r="P149" i="3"/>
  <c r="P186" i="3"/>
  <c r="P110" i="3"/>
  <c r="P29" i="3"/>
  <c r="K242" i="3"/>
  <c r="J242" i="3"/>
  <c r="P37" i="3"/>
  <c r="P154" i="3"/>
  <c r="P185" i="3"/>
  <c r="P170" i="3"/>
  <c r="P129" i="3"/>
  <c r="P53" i="3"/>
  <c r="K312" i="3"/>
  <c r="J312" i="3"/>
  <c r="K299" i="3"/>
  <c r="J299" i="3"/>
  <c r="P107" i="3"/>
  <c r="P19" i="3"/>
  <c r="P14" i="3"/>
  <c r="P48" i="3"/>
  <c r="K316" i="3"/>
  <c r="J316" i="3"/>
  <c r="P216" i="3"/>
  <c r="P57" i="3"/>
  <c r="P215" i="3"/>
  <c r="P66" i="3"/>
  <c r="P15" i="3"/>
  <c r="K313" i="3"/>
  <c r="J313" i="3"/>
  <c r="P205" i="3"/>
  <c r="P113" i="3"/>
  <c r="P17" i="3"/>
  <c r="P33" i="3"/>
  <c r="K279" i="3"/>
  <c r="J279" i="3"/>
  <c r="K310" i="3"/>
  <c r="G324" i="3"/>
  <c r="J310" i="3"/>
  <c r="K284" i="3"/>
  <c r="J284" i="3"/>
  <c r="P13" i="3"/>
  <c r="P24" i="3"/>
  <c r="P134" i="3"/>
  <c r="P91" i="3"/>
  <c r="P196" i="3"/>
  <c r="P198" i="3"/>
  <c r="P83" i="3"/>
  <c r="P32" i="3"/>
  <c r="P73" i="3"/>
  <c r="P156" i="3"/>
  <c r="K243" i="3"/>
  <c r="J243" i="3"/>
  <c r="P190" i="3"/>
  <c r="P192" i="3"/>
  <c r="P81" i="3"/>
  <c r="P80" i="3"/>
  <c r="P58" i="3"/>
  <c r="P94" i="3"/>
  <c r="P40" i="3"/>
  <c r="P43" i="3"/>
  <c r="P210" i="3"/>
  <c r="K319" i="3"/>
  <c r="J319" i="3"/>
  <c r="P52" i="3"/>
  <c r="P161" i="3"/>
  <c r="P173" i="3"/>
  <c r="P126" i="3"/>
  <c r="P104" i="3"/>
  <c r="P140" i="3"/>
  <c r="P35" i="3"/>
  <c r="P163" i="3"/>
  <c r="K314" i="3"/>
  <c r="J314" i="3"/>
  <c r="P46" i="3"/>
  <c r="K297" i="3"/>
  <c r="J297" i="3"/>
  <c r="P153" i="3"/>
  <c r="P208" i="3"/>
  <c r="P159" i="3"/>
  <c r="P119" i="3"/>
  <c r="P174" i="3"/>
  <c r="P60" i="3"/>
  <c r="P74" i="3"/>
  <c r="K228" i="3"/>
  <c r="J228" i="3"/>
  <c r="P142" i="3"/>
  <c r="P59" i="3"/>
  <c r="P47" i="3"/>
  <c r="P136" i="3"/>
  <c r="P56" i="3"/>
  <c r="P69" i="3"/>
  <c r="P128" i="3"/>
  <c r="P30" i="3"/>
  <c r="P197" i="3"/>
  <c r="P204" i="3"/>
  <c r="P90" i="3"/>
  <c r="P50" i="3"/>
  <c r="K236" i="3"/>
  <c r="J236" i="3"/>
  <c r="P100" i="3"/>
  <c r="K241" i="3"/>
  <c r="J241" i="3"/>
  <c r="K254" i="3"/>
  <c r="J254" i="3"/>
  <c r="P135" i="3"/>
  <c r="P179" i="3"/>
  <c r="P121" i="3"/>
  <c r="K317" i="3"/>
  <c r="J317" i="3"/>
  <c r="P36" i="3"/>
  <c r="P75" i="3"/>
  <c r="P207" i="3"/>
  <c r="P38" i="3"/>
  <c r="P145" i="3"/>
  <c r="P212" i="3"/>
  <c r="P165" i="3"/>
  <c r="P220" i="3"/>
  <c r="P70" i="3"/>
  <c r="P151" i="3"/>
  <c r="P97" i="3"/>
  <c r="P12" i="3"/>
  <c r="K4" i="3"/>
  <c r="E35" i="4" s="1"/>
  <c r="K5" i="3"/>
  <c r="K235" i="3"/>
  <c r="G261" i="3"/>
  <c r="J235" i="3"/>
  <c r="K272" i="3"/>
  <c r="J272" i="3"/>
  <c r="K238" i="3"/>
  <c r="J238" i="3"/>
  <c r="P203" i="3"/>
  <c r="P168" i="3"/>
  <c r="P180" i="3"/>
  <c r="P209" i="3"/>
  <c r="T100" i="3" l="1"/>
  <c r="T212" i="3"/>
  <c r="T36" i="3"/>
  <c r="K261" i="3"/>
  <c r="J261" i="3"/>
  <c r="T97" i="3"/>
  <c r="T151" i="3"/>
  <c r="T220" i="3"/>
  <c r="T75" i="3"/>
  <c r="T179" i="3"/>
  <c r="T204" i="3"/>
  <c r="T74" i="3"/>
  <c r="T208" i="3"/>
  <c r="T46" i="3"/>
  <c r="T163" i="3"/>
  <c r="T35" i="3"/>
  <c r="T140" i="3"/>
  <c r="T126" i="3"/>
  <c r="T161" i="3"/>
  <c r="T40" i="3"/>
  <c r="T80" i="3"/>
  <c r="T91" i="3"/>
  <c r="T215" i="3"/>
  <c r="T53" i="3"/>
  <c r="T154" i="3"/>
  <c r="T127" i="3"/>
  <c r="T106" i="3"/>
  <c r="T176" i="3"/>
  <c r="T218" i="3"/>
  <c r="T96" i="3"/>
  <c r="T54" i="3"/>
  <c r="K289" i="3"/>
  <c r="J289" i="3"/>
  <c r="T108" i="3"/>
  <c r="T213" i="3"/>
  <c r="T20" i="3"/>
  <c r="T86" i="3"/>
  <c r="T101" i="3"/>
  <c r="T193" i="3"/>
  <c r="T79" i="3"/>
  <c r="T41" i="3"/>
  <c r="T23" i="3"/>
  <c r="T21" i="3"/>
  <c r="T182" i="3"/>
  <c r="T181" i="3"/>
  <c r="T211" i="3"/>
  <c r="T105" i="3"/>
  <c r="T138" i="3"/>
  <c r="T150" i="3"/>
  <c r="T146" i="3"/>
  <c r="T50" i="3"/>
  <c r="T69" i="3"/>
  <c r="T136" i="3"/>
  <c r="T60" i="3"/>
  <c r="T159" i="3"/>
  <c r="T173" i="3"/>
  <c r="T43" i="3"/>
  <c r="T58" i="3"/>
  <c r="T190" i="3"/>
  <c r="G10" i="31"/>
  <c r="T156" i="3"/>
  <c r="T198" i="3"/>
  <c r="T24" i="3"/>
  <c r="T13" i="3"/>
  <c r="K324" i="3"/>
  <c r="J324" i="3"/>
  <c r="T205" i="3"/>
  <c r="T15" i="3"/>
  <c r="T66" i="3"/>
  <c r="T14" i="3"/>
  <c r="T107" i="3"/>
  <c r="T170" i="3"/>
  <c r="T186" i="3"/>
  <c r="T149" i="3"/>
  <c r="T22" i="3"/>
  <c r="T162" i="3"/>
  <c r="T62" i="3"/>
  <c r="T175" i="3"/>
  <c r="T167" i="3"/>
  <c r="T28" i="3"/>
  <c r="T141" i="3"/>
  <c r="T144" i="3"/>
  <c r="T49" i="3"/>
  <c r="T42" i="3"/>
  <c r="T133" i="3"/>
  <c r="T102" i="3"/>
  <c r="T117" i="3"/>
  <c r="T177" i="3"/>
  <c r="T194" i="3"/>
  <c r="T118" i="3"/>
  <c r="T125" i="3"/>
  <c r="T158" i="3"/>
  <c r="T87" i="3"/>
  <c r="T120" i="3"/>
  <c r="T131" i="3"/>
  <c r="T51" i="3"/>
  <c r="T189" i="3"/>
  <c r="T109" i="3"/>
  <c r="T143" i="3"/>
  <c r="T171" i="3"/>
  <c r="T18" i="3"/>
  <c r="T157" i="3"/>
  <c r="T64" i="3"/>
  <c r="T168" i="3"/>
  <c r="T38" i="3"/>
  <c r="T128" i="3"/>
  <c r="T180" i="3"/>
  <c r="T12" i="3"/>
  <c r="T70" i="3"/>
  <c r="T145" i="3"/>
  <c r="T121" i="3"/>
  <c r="T135" i="3"/>
  <c r="T90" i="3"/>
  <c r="T56" i="3"/>
  <c r="E10" i="31"/>
  <c r="T142" i="3"/>
  <c r="T174" i="3"/>
  <c r="T119" i="3"/>
  <c r="T104" i="3"/>
  <c r="T52" i="3"/>
  <c r="T210" i="3"/>
  <c r="T81" i="3"/>
  <c r="T73" i="3"/>
  <c r="T196" i="3"/>
  <c r="T134" i="3"/>
  <c r="T17" i="3"/>
  <c r="T113" i="3"/>
  <c r="T216" i="3"/>
  <c r="T19" i="3"/>
  <c r="T29" i="3"/>
  <c r="T122" i="3"/>
  <c r="T169" i="3"/>
  <c r="T99" i="3"/>
  <c r="T155" i="3"/>
  <c r="T67" i="3"/>
  <c r="T217" i="3"/>
  <c r="T183" i="3"/>
  <c r="T85" i="3"/>
  <c r="T187" i="3"/>
  <c r="T164" i="3"/>
  <c r="T201" i="3"/>
  <c r="T31" i="3"/>
  <c r="T63" i="3"/>
  <c r="T147" i="3"/>
  <c r="T16" i="3"/>
  <c r="T130" i="3"/>
  <c r="T188" i="3"/>
  <c r="T78" i="3"/>
  <c r="T137" i="3"/>
  <c r="T114" i="3"/>
  <c r="T27" i="3"/>
  <c r="T89" i="3"/>
  <c r="X45" i="3"/>
  <c r="T199" i="3"/>
  <c r="T152" i="3"/>
  <c r="T206" i="3"/>
  <c r="K231" i="3"/>
  <c r="J231" i="3"/>
  <c r="H8" i="3"/>
  <c r="K222" i="3"/>
  <c r="K8" i="3" s="1"/>
  <c r="T26" i="3"/>
  <c r="T25" i="3"/>
  <c r="T55" i="3"/>
  <c r="T98" i="3"/>
  <c r="T148" i="3"/>
  <c r="T111" i="3"/>
  <c r="T124" i="3"/>
  <c r="T103" i="3"/>
  <c r="T72" i="3"/>
  <c r="T132" i="3"/>
  <c r="T88" i="3"/>
  <c r="T76" i="3"/>
  <c r="T209" i="3"/>
  <c r="T207" i="3"/>
  <c r="T30" i="3"/>
  <c r="T203" i="3"/>
  <c r="T165" i="3"/>
  <c r="T197" i="3"/>
  <c r="T47" i="3"/>
  <c r="T59" i="3"/>
  <c r="T153" i="3"/>
  <c r="T94" i="3"/>
  <c r="T192" i="3"/>
  <c r="T32" i="3"/>
  <c r="T83" i="3"/>
  <c r="T33" i="3"/>
  <c r="T57" i="3"/>
  <c r="T48" i="3"/>
  <c r="T129" i="3"/>
  <c r="T185" i="3"/>
  <c r="T37" i="3"/>
  <c r="T110" i="3"/>
  <c r="T61" i="3"/>
  <c r="T112" i="3"/>
  <c r="T34" i="3"/>
  <c r="T139" i="3"/>
  <c r="T44" i="3"/>
  <c r="T115" i="3"/>
  <c r="T166" i="3"/>
  <c r="T123" i="3"/>
  <c r="K306" i="3"/>
  <c r="J306" i="3"/>
  <c r="T82" i="3"/>
  <c r="T92" i="3"/>
  <c r="T172" i="3"/>
  <c r="T191" i="3"/>
  <c r="T65" i="3"/>
  <c r="T39" i="3"/>
  <c r="T160" i="3"/>
  <c r="T214" i="3"/>
  <c r="T68" i="3"/>
  <c r="T219" i="3"/>
  <c r="T71" i="3"/>
  <c r="T184" i="3"/>
  <c r="T95" i="3"/>
  <c r="T195" i="3"/>
  <c r="K275" i="3"/>
  <c r="J275" i="3"/>
  <c r="T84" i="3"/>
  <c r="T200" i="3"/>
  <c r="T202" i="3"/>
  <c r="T116" i="3"/>
  <c r="T178" i="3"/>
  <c r="T77" i="3"/>
  <c r="T93" i="3"/>
  <c r="D26" i="30" l="1"/>
  <c r="X93" i="3"/>
  <c r="X116" i="3"/>
  <c r="X202" i="3"/>
  <c r="X184" i="3"/>
  <c r="X71" i="3"/>
  <c r="X195" i="3"/>
  <c r="X172" i="3"/>
  <c r="X139" i="3"/>
  <c r="X61" i="3"/>
  <c r="X153" i="3"/>
  <c r="X197" i="3"/>
  <c r="X132" i="3"/>
  <c r="X124" i="3"/>
  <c r="X98" i="3"/>
  <c r="X55" i="3"/>
  <c r="X206" i="3"/>
  <c r="X27" i="3"/>
  <c r="X78" i="3"/>
  <c r="X188" i="3"/>
  <c r="X164" i="3"/>
  <c r="X155" i="3"/>
  <c r="X113" i="3"/>
  <c r="X196" i="3"/>
  <c r="X73" i="3"/>
  <c r="X81" i="3"/>
  <c r="X210" i="3"/>
  <c r="X56" i="3"/>
  <c r="X90" i="3"/>
  <c r="X135" i="3"/>
  <c r="X121" i="3"/>
  <c r="X12" i="3"/>
  <c r="X128" i="3"/>
  <c r="X143" i="3"/>
  <c r="X189" i="3"/>
  <c r="X51" i="3"/>
  <c r="E9" i="31"/>
  <c r="D27" i="30"/>
  <c r="X194" i="3"/>
  <c r="X177" i="3"/>
  <c r="X141" i="3"/>
  <c r="X149" i="3"/>
  <c r="X186" i="3"/>
  <c r="X170" i="3"/>
  <c r="X205" i="3"/>
  <c r="X13" i="3"/>
  <c r="X190" i="3"/>
  <c r="X159" i="3"/>
  <c r="X60" i="3"/>
  <c r="X105" i="3"/>
  <c r="X96" i="3"/>
  <c r="X176" i="3"/>
  <c r="X161" i="3"/>
  <c r="X46" i="3"/>
  <c r="X204" i="3"/>
  <c r="X220" i="3"/>
  <c r="X100" i="3"/>
  <c r="X214" i="3"/>
  <c r="X84" i="3"/>
  <c r="X178" i="3"/>
  <c r="X200" i="3"/>
  <c r="X95" i="3"/>
  <c r="X68" i="3"/>
  <c r="X39" i="3"/>
  <c r="X65" i="3"/>
  <c r="X191" i="3"/>
  <c r="X82" i="3"/>
  <c r="X123" i="3"/>
  <c r="X44" i="3"/>
  <c r="X185" i="3"/>
  <c r="X129" i="3"/>
  <c r="X33" i="3"/>
  <c r="X32" i="3"/>
  <c r="X192" i="3"/>
  <c r="X94" i="3"/>
  <c r="X165" i="3"/>
  <c r="X203" i="3"/>
  <c r="X209" i="3"/>
  <c r="X88" i="3"/>
  <c r="X103" i="3"/>
  <c r="X111" i="3"/>
  <c r="X26" i="3"/>
  <c r="X89" i="3"/>
  <c r="X137" i="3"/>
  <c r="X16" i="3"/>
  <c r="X147" i="3"/>
  <c r="X201" i="3"/>
  <c r="X183" i="3"/>
  <c r="X217" i="3"/>
  <c r="X67" i="3"/>
  <c r="X169" i="3"/>
  <c r="X122" i="3"/>
  <c r="X19" i="3"/>
  <c r="X216" i="3"/>
  <c r="X134" i="3"/>
  <c r="X119" i="3"/>
  <c r="X142" i="3"/>
  <c r="X70" i="3"/>
  <c r="X180" i="3"/>
  <c r="X168" i="3"/>
  <c r="X171" i="3"/>
  <c r="X120" i="3"/>
  <c r="X87" i="3"/>
  <c r="X118" i="3"/>
  <c r="X66" i="3"/>
  <c r="X15" i="3"/>
  <c r="X173" i="3"/>
  <c r="X69" i="3"/>
  <c r="X50" i="3"/>
  <c r="X138" i="3"/>
  <c r="X211" i="3"/>
  <c r="X181" i="3"/>
  <c r="X182" i="3"/>
  <c r="X21" i="3"/>
  <c r="X193" i="3"/>
  <c r="X108" i="3"/>
  <c r="X154" i="3"/>
  <c r="X91" i="3"/>
  <c r="X40" i="3"/>
  <c r="X35" i="3"/>
  <c r="X163" i="3"/>
  <c r="X75" i="3"/>
  <c r="X97" i="3"/>
  <c r="X36" i="3"/>
  <c r="X77" i="3"/>
  <c r="X219" i="3"/>
  <c r="X160" i="3"/>
  <c r="X92" i="3"/>
  <c r="X115" i="3"/>
  <c r="X112" i="3"/>
  <c r="X37" i="3"/>
  <c r="X57" i="3"/>
  <c r="X83" i="3"/>
  <c r="X59" i="3"/>
  <c r="X47" i="3"/>
  <c r="X207" i="3"/>
  <c r="X148" i="3"/>
  <c r="X199" i="3"/>
  <c r="X114" i="3"/>
  <c r="X99" i="3"/>
  <c r="X52" i="3"/>
  <c r="X104" i="3"/>
  <c r="X145" i="3"/>
  <c r="X38" i="3"/>
  <c r="X157" i="3"/>
  <c r="X18" i="3"/>
  <c r="E8" i="31"/>
  <c r="X117" i="3"/>
  <c r="X102" i="3"/>
  <c r="X133" i="3"/>
  <c r="X49" i="3"/>
  <c r="X144" i="3"/>
  <c r="X175" i="3"/>
  <c r="X22" i="3"/>
  <c r="X14" i="3"/>
  <c r="X156" i="3"/>
  <c r="G9" i="31"/>
  <c r="X43" i="3"/>
  <c r="X41" i="3"/>
  <c r="X79" i="3"/>
  <c r="X86" i="3"/>
  <c r="X20" i="3"/>
  <c r="X213" i="3"/>
  <c r="X54" i="3"/>
  <c r="X218" i="3"/>
  <c r="X215" i="3"/>
  <c r="X80" i="3"/>
  <c r="X74" i="3"/>
  <c r="X179" i="3"/>
  <c r="X151" i="3"/>
  <c r="X166" i="3"/>
  <c r="X34" i="3"/>
  <c r="X110" i="3"/>
  <c r="X48" i="3"/>
  <c r="X30" i="3"/>
  <c r="X76" i="3"/>
  <c r="X72" i="3"/>
  <c r="X25" i="3"/>
  <c r="X152" i="3"/>
  <c r="X130" i="3"/>
  <c r="X63" i="3"/>
  <c r="X31" i="3"/>
  <c r="X187" i="3"/>
  <c r="X85" i="3"/>
  <c r="X29" i="3"/>
  <c r="X17" i="3"/>
  <c r="X174" i="3"/>
  <c r="X64" i="3"/>
  <c r="X109" i="3"/>
  <c r="X131" i="3"/>
  <c r="X158" i="3"/>
  <c r="E7" i="31"/>
  <c r="X125" i="3"/>
  <c r="X42" i="3"/>
  <c r="X28" i="3"/>
  <c r="X167" i="3"/>
  <c r="X62" i="3"/>
  <c r="X162" i="3"/>
  <c r="X107" i="3"/>
  <c r="X24" i="3"/>
  <c r="X198" i="3"/>
  <c r="X58" i="3"/>
  <c r="X136" i="3"/>
  <c r="X146" i="3"/>
  <c r="X150" i="3"/>
  <c r="X23" i="3"/>
  <c r="X101" i="3"/>
  <c r="X106" i="3"/>
  <c r="X127" i="3"/>
  <c r="X53" i="3"/>
  <c r="X126" i="3"/>
  <c r="X140" i="3"/>
  <c r="X208" i="3"/>
  <c r="X212" i="3"/>
  <c r="G8" i="31" l="1"/>
  <c r="G26" i="30"/>
  <c r="G27" i="30"/>
  <c r="D23" i="30"/>
  <c r="E6" i="31" l="1"/>
  <c r="G7" i="31"/>
  <c r="D25" i="30"/>
  <c r="W45" i="10"/>
  <c r="W67" i="10" l="1"/>
  <c r="W197" i="10"/>
  <c r="X197" i="10"/>
  <c r="W176" i="10"/>
  <c r="W47" i="10"/>
  <c r="X47" i="10"/>
  <c r="W111" i="10"/>
  <c r="W153" i="10"/>
  <c r="W123" i="10"/>
  <c r="W42" i="10"/>
  <c r="X42" i="10"/>
  <c r="W207" i="10"/>
  <c r="W159" i="10"/>
  <c r="W50" i="10"/>
  <c r="X50" i="10"/>
  <c r="W113" i="10"/>
  <c r="W76" i="10"/>
  <c r="W117" i="10"/>
  <c r="X117" i="10"/>
  <c r="W61" i="10"/>
  <c r="W160" i="10"/>
  <c r="X160" i="10"/>
  <c r="W92" i="10"/>
  <c r="W105" i="10"/>
  <c r="W178" i="10"/>
  <c r="W59" i="10"/>
  <c r="X59" i="10"/>
  <c r="W163" i="10"/>
  <c r="W138" i="10"/>
  <c r="X138" i="10"/>
  <c r="W112" i="10"/>
  <c r="W96" i="10"/>
  <c r="X96" i="10"/>
  <c r="W20" i="10"/>
  <c r="W185" i="10"/>
  <c r="W157" i="10"/>
  <c r="X157" i="10"/>
  <c r="W40" i="10"/>
  <c r="X40" i="10"/>
  <c r="W77" i="10"/>
  <c r="W99" i="10"/>
  <c r="W83" i="10"/>
  <c r="X83" i="10"/>
  <c r="W131" i="10"/>
  <c r="W116" i="10"/>
  <c r="W201" i="10"/>
  <c r="W119" i="10"/>
  <c r="W151" i="10"/>
  <c r="W97" i="10"/>
  <c r="X97" i="10"/>
  <c r="W118" i="10"/>
  <c r="W104" i="10"/>
  <c r="W180" i="10"/>
  <c r="W156" i="10"/>
  <c r="X156" i="10"/>
  <c r="G23" i="30"/>
  <c r="W198" i="10"/>
  <c r="X198" i="10"/>
  <c r="W141" i="10"/>
  <c r="W158" i="10"/>
  <c r="X158" i="10"/>
  <c r="W205" i="10"/>
  <c r="X205" i="10"/>
  <c r="W60" i="10"/>
  <c r="W124" i="10"/>
  <c r="W177" i="10"/>
  <c r="W193" i="10"/>
  <c r="W148" i="10"/>
  <c r="W90" i="10"/>
  <c r="W150" i="10"/>
  <c r="W126" i="10"/>
  <c r="W54" i="10"/>
  <c r="X54" i="10"/>
  <c r="W202" i="10"/>
  <c r="X202" i="10"/>
  <c r="W52" i="10"/>
  <c r="X52" i="10"/>
  <c r="AF45" i="10"/>
  <c r="W72" i="10"/>
  <c r="X72" i="10"/>
  <c r="W70" i="10"/>
  <c r="W106" i="10"/>
  <c r="X106" i="10"/>
  <c r="W194" i="10"/>
  <c r="X194" i="10"/>
  <c r="W214" i="10"/>
  <c r="W93" i="10"/>
  <c r="X93" i="10"/>
  <c r="W71" i="10"/>
  <c r="X71" i="10"/>
  <c r="W192" i="10"/>
  <c r="W75" i="10"/>
  <c r="W169" i="10"/>
  <c r="W94" i="10"/>
  <c r="X94" i="10"/>
  <c r="W66" i="10"/>
  <c r="X66" i="10"/>
  <c r="W206" i="10"/>
  <c r="W195" i="10"/>
  <c r="X195" i="10"/>
  <c r="W98" i="10"/>
  <c r="W181" i="10"/>
  <c r="W132" i="10"/>
  <c r="X132" i="10"/>
  <c r="W73" i="10"/>
  <c r="W36" i="10"/>
  <c r="W29" i="10"/>
  <c r="X29" i="10"/>
  <c r="W140" i="10"/>
  <c r="X140" i="10"/>
  <c r="W86" i="10"/>
  <c r="W218" i="10"/>
  <c r="W175" i="10"/>
  <c r="W199" i="10"/>
  <c r="W170" i="10"/>
  <c r="W211" i="10"/>
  <c r="X211" i="10"/>
  <c r="W85" i="10"/>
  <c r="X85" i="10"/>
  <c r="W135" i="10"/>
  <c r="X135" i="10"/>
  <c r="W32" i="10"/>
  <c r="W137" i="10"/>
  <c r="X137" i="10"/>
  <c r="W121" i="10"/>
  <c r="X121" i="10"/>
  <c r="W53" i="10"/>
  <c r="W164" i="10"/>
  <c r="X164" i="10"/>
  <c r="W219" i="10"/>
  <c r="W189" i="10"/>
  <c r="W28" i="10"/>
  <c r="W44" i="10"/>
  <c r="X44" i="10"/>
  <c r="O45" i="3"/>
  <c r="S45" i="3"/>
  <c r="V45" i="3"/>
  <c r="Z45" i="3"/>
  <c r="AC45" i="3" s="1"/>
  <c r="W110" i="10"/>
  <c r="W190" i="10"/>
  <c r="W155" i="10"/>
  <c r="X155" i="10"/>
  <c r="W35" i="10"/>
  <c r="X35" i="10"/>
  <c r="W200" i="10"/>
  <c r="W34" i="10"/>
  <c r="X34" i="10"/>
  <c r="W146" i="10"/>
  <c r="W154" i="10"/>
  <c r="W107" i="10"/>
  <c r="W88" i="10"/>
  <c r="X88" i="10"/>
  <c r="W212" i="10"/>
  <c r="W187" i="10"/>
  <c r="X187" i="10"/>
  <c r="W91" i="10"/>
  <c r="W203" i="10"/>
  <c r="W79" i="10"/>
  <c r="X79" i="10"/>
  <c r="W68" i="10"/>
  <c r="W220" i="10"/>
  <c r="W84" i="10"/>
  <c r="W145" i="10"/>
  <c r="W37" i="10"/>
  <c r="W161" i="10"/>
  <c r="W204" i="10"/>
  <c r="W89" i="10"/>
  <c r="W173" i="10"/>
  <c r="W134" i="10"/>
  <c r="W74" i="10"/>
  <c r="W87" i="10"/>
  <c r="W165" i="10"/>
  <c r="X165" i="10"/>
  <c r="W152" i="10"/>
  <c r="W51" i="10"/>
  <c r="W39" i="10"/>
  <c r="W149" i="10"/>
  <c r="W82" i="10"/>
  <c r="X82" i="10"/>
  <c r="W103" i="10"/>
  <c r="W186" i="10"/>
  <c r="W127" i="10"/>
  <c r="W184" i="10"/>
  <c r="X184" i="10"/>
  <c r="W130" i="10"/>
  <c r="W125" i="10"/>
  <c r="W95" i="10"/>
  <c r="W167" i="10"/>
  <c r="X167" i="10"/>
  <c r="W183" i="10"/>
  <c r="W58" i="10"/>
  <c r="X45" i="10"/>
  <c r="W188" i="10"/>
  <c r="X188" i="10"/>
  <c r="W166" i="10"/>
  <c r="W136" i="10"/>
  <c r="W109" i="10"/>
  <c r="X109" i="10"/>
  <c r="W133" i="10"/>
  <c r="W129" i="10"/>
  <c r="W114" i="10"/>
  <c r="X114" i="10"/>
  <c r="W217" i="10"/>
  <c r="W162" i="10"/>
  <c r="X162" i="10"/>
  <c r="W46" i="10"/>
  <c r="W48" i="10"/>
  <c r="W63" i="10"/>
  <c r="X63" i="10"/>
  <c r="W49" i="10"/>
  <c r="X49" i="10"/>
  <c r="W64" i="10"/>
  <c r="X64" i="10"/>
  <c r="W57" i="10"/>
  <c r="X57" i="10"/>
  <c r="W147" i="10"/>
  <c r="W216" i="10"/>
  <c r="W196" i="10"/>
  <c r="W215" i="10"/>
  <c r="X215" i="10"/>
  <c r="W208" i="10"/>
  <c r="X208" i="10"/>
  <c r="W25" i="10"/>
  <c r="W43" i="10"/>
  <c r="W69" i="10"/>
  <c r="X69" i="10"/>
  <c r="W179" i="10"/>
  <c r="W168" i="10"/>
  <c r="W191" i="10"/>
  <c r="W115" i="10"/>
  <c r="X196" i="10" l="1"/>
  <c r="X168" i="10"/>
  <c r="X179" i="10"/>
  <c r="X25" i="10"/>
  <c r="X216" i="10"/>
  <c r="X217" i="10"/>
  <c r="X133" i="10"/>
  <c r="X166" i="10"/>
  <c r="X183" i="10"/>
  <c r="X103" i="10"/>
  <c r="X152" i="10"/>
  <c r="X84" i="10"/>
  <c r="X203" i="10"/>
  <c r="X146" i="10"/>
  <c r="X199" i="10"/>
  <c r="X86" i="10"/>
  <c r="X192" i="10"/>
  <c r="X214" i="10"/>
  <c r="X116" i="10"/>
  <c r="X163" i="10"/>
  <c r="X61" i="10"/>
  <c r="X67" i="10"/>
  <c r="X145" i="10"/>
  <c r="X90" i="10"/>
  <c r="X177" i="10"/>
  <c r="X124" i="10"/>
  <c r="X118" i="10"/>
  <c r="X112" i="10"/>
  <c r="X92" i="10"/>
  <c r="X159" i="10"/>
  <c r="X130" i="10"/>
  <c r="X134" i="10"/>
  <c r="X204" i="10"/>
  <c r="X68" i="10"/>
  <c r="X212" i="10"/>
  <c r="X28" i="10"/>
  <c r="X53" i="10"/>
  <c r="X201" i="10"/>
  <c r="O115" i="3"/>
  <c r="S115" i="3"/>
  <c r="V115" i="3"/>
  <c r="Z115" i="3"/>
  <c r="AC115" i="3" s="1"/>
  <c r="W65" i="10"/>
  <c r="W213" i="10"/>
  <c r="O208" i="3"/>
  <c r="S208" i="3"/>
  <c r="V208" i="3"/>
  <c r="Z208" i="3"/>
  <c r="AC208" i="3" s="1"/>
  <c r="AA215" i="10"/>
  <c r="AF215" i="10"/>
  <c r="O216" i="3"/>
  <c r="S216" i="3"/>
  <c r="V216" i="3"/>
  <c r="Z216" i="3"/>
  <c r="AC216" i="3" s="1"/>
  <c r="AF64" i="10"/>
  <c r="AA64" i="10"/>
  <c r="O46" i="3"/>
  <c r="S46" i="3"/>
  <c r="V46" i="3"/>
  <c r="Z46" i="3"/>
  <c r="AC46" i="3" s="1"/>
  <c r="AA46" i="10"/>
  <c r="AF46" i="10"/>
  <c r="O129" i="3"/>
  <c r="S129" i="3"/>
  <c r="V129" i="3"/>
  <c r="Z129" i="3"/>
  <c r="AC129" i="3" s="1"/>
  <c r="AF133" i="10"/>
  <c r="O136" i="3"/>
  <c r="S136" i="3"/>
  <c r="V136" i="3"/>
  <c r="Z136" i="3"/>
  <c r="AC136" i="3" s="1"/>
  <c r="O95" i="3"/>
  <c r="S95" i="3"/>
  <c r="V95" i="3"/>
  <c r="Z95" i="3"/>
  <c r="AC95" i="3" s="1"/>
  <c r="AF95" i="10"/>
  <c r="W16" i="10"/>
  <c r="AF125" i="10"/>
  <c r="AA125" i="10"/>
  <c r="O127" i="3"/>
  <c r="S127" i="3"/>
  <c r="V127" i="3"/>
  <c r="Z127" i="3"/>
  <c r="AC127" i="3" s="1"/>
  <c r="AF127" i="10"/>
  <c r="AF186" i="10"/>
  <c r="AA103" i="10"/>
  <c r="O149" i="3"/>
  <c r="S149" i="3"/>
  <c r="V149" i="3"/>
  <c r="Z149" i="3"/>
  <c r="AC149" i="3" s="1"/>
  <c r="AF39" i="10"/>
  <c r="AF51" i="10"/>
  <c r="O152" i="3"/>
  <c r="S152" i="3"/>
  <c r="V152" i="3"/>
  <c r="Z152" i="3"/>
  <c r="AC152" i="3" s="1"/>
  <c r="AF74" i="10"/>
  <c r="AA74" i="10"/>
  <c r="W24" i="10"/>
  <c r="W144" i="10"/>
  <c r="AF173" i="10"/>
  <c r="AA173" i="10"/>
  <c r="AF89" i="10"/>
  <c r="AA89" i="10"/>
  <c r="O204" i="3"/>
  <c r="S204" i="3"/>
  <c r="V204" i="3"/>
  <c r="Z204" i="3"/>
  <c r="AC204" i="3" s="1"/>
  <c r="O161" i="3"/>
  <c r="S161" i="3"/>
  <c r="V161" i="3"/>
  <c r="Z161" i="3"/>
  <c r="AC161" i="3" s="1"/>
  <c r="AF220" i="10"/>
  <c r="O79" i="3"/>
  <c r="S79" i="3"/>
  <c r="V79" i="3"/>
  <c r="Z79" i="3"/>
  <c r="AC79" i="3" s="1"/>
  <c r="O212" i="3"/>
  <c r="S212" i="3"/>
  <c r="V212" i="3"/>
  <c r="Z212" i="3"/>
  <c r="AC212" i="3" s="1"/>
  <c r="AF88" i="10"/>
  <c r="AF154" i="10"/>
  <c r="AA154" i="10"/>
  <c r="AF34" i="10"/>
  <c r="AA34" i="10"/>
  <c r="AF200" i="10"/>
  <c r="AA200" i="10"/>
  <c r="AA35" i="10"/>
  <c r="AF35" i="10"/>
  <c r="O155" i="3"/>
  <c r="S155" i="3"/>
  <c r="V155" i="3"/>
  <c r="Z155" i="3"/>
  <c r="AC155" i="3" s="1"/>
  <c r="O190" i="3"/>
  <c r="S190" i="3"/>
  <c r="V190" i="3"/>
  <c r="Z190" i="3"/>
  <c r="AC190" i="3" s="1"/>
  <c r="X110" i="10"/>
  <c r="AF45" i="3"/>
  <c r="AD45" i="3"/>
  <c r="O28" i="3"/>
  <c r="S28" i="3"/>
  <c r="V28" i="3"/>
  <c r="Z28" i="3"/>
  <c r="AC28" i="3" s="1"/>
  <c r="O189" i="3"/>
  <c r="S189" i="3"/>
  <c r="V189" i="3"/>
  <c r="Z189" i="3"/>
  <c r="AC189" i="3" s="1"/>
  <c r="AF189" i="10"/>
  <c r="W81" i="10"/>
  <c r="AF219" i="10"/>
  <c r="O53" i="3"/>
  <c r="S53" i="3"/>
  <c r="V53" i="3"/>
  <c r="Z53" i="3"/>
  <c r="AC53" i="3" s="1"/>
  <c r="O121" i="3"/>
  <c r="S121" i="3"/>
  <c r="V121" i="3"/>
  <c r="Z121" i="3"/>
  <c r="AC121" i="3" s="1"/>
  <c r="AF137" i="10"/>
  <c r="AA170" i="10"/>
  <c r="AF170" i="10"/>
  <c r="X175" i="10"/>
  <c r="O218" i="3"/>
  <c r="S218" i="3"/>
  <c r="V218" i="3"/>
  <c r="Z218" i="3"/>
  <c r="AC218" i="3" s="1"/>
  <c r="AF218" i="10"/>
  <c r="O29" i="3"/>
  <c r="S29" i="3"/>
  <c r="V29" i="3"/>
  <c r="Z29" i="3"/>
  <c r="AC29" i="3" s="1"/>
  <c r="X36" i="10"/>
  <c r="O73" i="3"/>
  <c r="S73" i="3"/>
  <c r="V73" i="3"/>
  <c r="Z73" i="3"/>
  <c r="AC73" i="3" s="1"/>
  <c r="AA73" i="10"/>
  <c r="AF73" i="10"/>
  <c r="O132" i="3"/>
  <c r="S132" i="3"/>
  <c r="V132" i="3"/>
  <c r="Z132" i="3"/>
  <c r="AC132" i="3" s="1"/>
  <c r="O181" i="3"/>
  <c r="S181" i="3"/>
  <c r="V181" i="3"/>
  <c r="Z181" i="3"/>
  <c r="AC181" i="3" s="1"/>
  <c r="AA98" i="10"/>
  <c r="AF98" i="10"/>
  <c r="AA195" i="10"/>
  <c r="X206" i="10"/>
  <c r="O94" i="3"/>
  <c r="S94" i="3"/>
  <c r="V94" i="3"/>
  <c r="Z94" i="3"/>
  <c r="AC94" i="3" s="1"/>
  <c r="X169" i="10"/>
  <c r="AF192" i="10"/>
  <c r="O71" i="3"/>
  <c r="S71" i="3"/>
  <c r="V71" i="3"/>
  <c r="Z71" i="3"/>
  <c r="AC71" i="3" s="1"/>
  <c r="AF93" i="10"/>
  <c r="AF214" i="10"/>
  <c r="O106" i="3"/>
  <c r="S106" i="3"/>
  <c r="V106" i="3"/>
  <c r="Z106" i="3"/>
  <c r="AC106" i="3" s="1"/>
  <c r="X70" i="10"/>
  <c r="W30" i="10"/>
  <c r="O54" i="3"/>
  <c r="S54" i="3"/>
  <c r="V54" i="3"/>
  <c r="Z54" i="3"/>
  <c r="AC54" i="3" s="1"/>
  <c r="O126" i="3"/>
  <c r="S126" i="3"/>
  <c r="V126" i="3"/>
  <c r="Z126" i="3"/>
  <c r="AC126" i="3" s="1"/>
  <c r="AA90" i="10"/>
  <c r="AF90" i="10"/>
  <c r="X148" i="10"/>
  <c r="O193" i="3"/>
  <c r="S193" i="3"/>
  <c r="V193" i="3"/>
  <c r="Z193" i="3"/>
  <c r="AC193" i="3" s="1"/>
  <c r="O124" i="3"/>
  <c r="S124" i="3"/>
  <c r="V124" i="3"/>
  <c r="Z124" i="3"/>
  <c r="AC124" i="3" s="1"/>
  <c r="O60" i="3"/>
  <c r="S60" i="3"/>
  <c r="V60" i="3"/>
  <c r="Z60" i="3"/>
  <c r="AC60" i="3" s="1"/>
  <c r="O158" i="3"/>
  <c r="S158" i="3"/>
  <c r="V158" i="3"/>
  <c r="Z158" i="3"/>
  <c r="AC158" i="3" s="1"/>
  <c r="O141" i="3"/>
  <c r="S141" i="3"/>
  <c r="V141" i="3"/>
  <c r="Z141" i="3"/>
  <c r="AC141" i="3" s="1"/>
  <c r="AF141" i="10"/>
  <c r="AA141" i="10"/>
  <c r="G25" i="30"/>
  <c r="X180" i="10"/>
  <c r="O104" i="3"/>
  <c r="S104" i="3"/>
  <c r="V104" i="3"/>
  <c r="Z104" i="3"/>
  <c r="AC104" i="3" s="1"/>
  <c r="AF104" i="10"/>
  <c r="AA104" i="10"/>
  <c r="X151" i="10"/>
  <c r="O119" i="3"/>
  <c r="S119" i="3"/>
  <c r="V119" i="3"/>
  <c r="Z119" i="3"/>
  <c r="AC119" i="3" s="1"/>
  <c r="O131" i="3"/>
  <c r="S131" i="3"/>
  <c r="V131" i="3"/>
  <c r="Z131" i="3"/>
  <c r="AC131" i="3" s="1"/>
  <c r="X99" i="10"/>
  <c r="X77" i="10"/>
  <c r="W41" i="10"/>
  <c r="AF40" i="10"/>
  <c r="AA40" i="10"/>
  <c r="X185" i="10"/>
  <c r="O20" i="3"/>
  <c r="S20" i="3"/>
  <c r="V20" i="3"/>
  <c r="Z20" i="3"/>
  <c r="AC20" i="3" s="1"/>
  <c r="AF96" i="10"/>
  <c r="AA96" i="10"/>
  <c r="W22" i="10"/>
  <c r="AF59" i="10"/>
  <c r="X105" i="10"/>
  <c r="AA160" i="10"/>
  <c r="X76" i="10"/>
  <c r="O113" i="3"/>
  <c r="S113" i="3"/>
  <c r="V113" i="3"/>
  <c r="Z113" i="3"/>
  <c r="AC113" i="3" s="1"/>
  <c r="AF50" i="10"/>
  <c r="AA50" i="10"/>
  <c r="X207" i="10"/>
  <c r="AA42" i="10"/>
  <c r="O123" i="3"/>
  <c r="S123" i="3"/>
  <c r="V123" i="3"/>
  <c r="Z123" i="3"/>
  <c r="AC123" i="3" s="1"/>
  <c r="X111" i="10"/>
  <c r="O47" i="3"/>
  <c r="S47" i="3"/>
  <c r="V47" i="3"/>
  <c r="Z47" i="3"/>
  <c r="AC47" i="3" s="1"/>
  <c r="AA47" i="10"/>
  <c r="AF47" i="10"/>
  <c r="AA208" i="10"/>
  <c r="O179" i="3"/>
  <c r="S179" i="3"/>
  <c r="V179" i="3"/>
  <c r="Z179" i="3"/>
  <c r="AC179" i="3" s="1"/>
  <c r="AA43" i="10"/>
  <c r="X147" i="10"/>
  <c r="X48" i="10"/>
  <c r="AA217" i="10"/>
  <c r="O109" i="3"/>
  <c r="S109" i="3"/>
  <c r="V109" i="3"/>
  <c r="Z109" i="3"/>
  <c r="AC109" i="3" s="1"/>
  <c r="AA136" i="10"/>
  <c r="AF136" i="10"/>
  <c r="X115" i="10"/>
  <c r="O191" i="3"/>
  <c r="S191" i="3"/>
  <c r="V191" i="3"/>
  <c r="Z191" i="3"/>
  <c r="AC191" i="3" s="1"/>
  <c r="AF168" i="10"/>
  <c r="AA168" i="10"/>
  <c r="O69" i="3"/>
  <c r="S69" i="3"/>
  <c r="V69" i="3"/>
  <c r="Z69" i="3"/>
  <c r="AC69" i="3" s="1"/>
  <c r="O43" i="3"/>
  <c r="S43" i="3"/>
  <c r="V43" i="3"/>
  <c r="Z43" i="3"/>
  <c r="AC43" i="3" s="1"/>
  <c r="O215" i="3"/>
  <c r="S215" i="3"/>
  <c r="V215" i="3"/>
  <c r="Z215" i="3"/>
  <c r="AC215" i="3" s="1"/>
  <c r="O196" i="3"/>
  <c r="S196" i="3"/>
  <c r="V196" i="3"/>
  <c r="Z196" i="3"/>
  <c r="AC196" i="3" s="1"/>
  <c r="AF196" i="10"/>
  <c r="AA196" i="10"/>
  <c r="O147" i="3"/>
  <c r="S147" i="3"/>
  <c r="V147" i="3"/>
  <c r="Z147" i="3"/>
  <c r="AC147" i="3" s="1"/>
  <c r="O64" i="3"/>
  <c r="S64" i="3"/>
  <c r="V64" i="3"/>
  <c r="Z64" i="3"/>
  <c r="AC64" i="3" s="1"/>
  <c r="AF49" i="10"/>
  <c r="AA49" i="10"/>
  <c r="AF63" i="10"/>
  <c r="AA63" i="10"/>
  <c r="X46" i="10"/>
  <c r="AA162" i="10"/>
  <c r="X129" i="10"/>
  <c r="W55" i="10"/>
  <c r="X136" i="10"/>
  <c r="W15" i="10"/>
  <c r="AF166" i="10"/>
  <c r="AF188" i="10"/>
  <c r="AA188" i="10"/>
  <c r="O58" i="3"/>
  <c r="S58" i="3"/>
  <c r="V58" i="3"/>
  <c r="Z58" i="3"/>
  <c r="AC58" i="3" s="1"/>
  <c r="AA183" i="10"/>
  <c r="AF183" i="10"/>
  <c r="X95" i="10"/>
  <c r="X125" i="10"/>
  <c r="AF130" i="10"/>
  <c r="AA184" i="10"/>
  <c r="AF184" i="10"/>
  <c r="X127" i="10"/>
  <c r="O186" i="3"/>
  <c r="S186" i="3"/>
  <c r="V186" i="3"/>
  <c r="Z186" i="3"/>
  <c r="AC186" i="3" s="1"/>
  <c r="W62" i="10"/>
  <c r="AA82" i="10"/>
  <c r="AF82" i="10"/>
  <c r="X149" i="10"/>
  <c r="X39" i="10"/>
  <c r="AA152" i="10"/>
  <c r="AF152" i="10"/>
  <c r="O165" i="3"/>
  <c r="S165" i="3"/>
  <c r="V165" i="3"/>
  <c r="Z165" i="3"/>
  <c r="AC165" i="3" s="1"/>
  <c r="X87" i="10"/>
  <c r="O74" i="3"/>
  <c r="S74" i="3"/>
  <c r="V74" i="3"/>
  <c r="Z74" i="3"/>
  <c r="AC74" i="3" s="1"/>
  <c r="AA134" i="10"/>
  <c r="AF134" i="10"/>
  <c r="O173" i="3"/>
  <c r="S173" i="3"/>
  <c r="V173" i="3"/>
  <c r="Z173" i="3"/>
  <c r="AC173" i="3" s="1"/>
  <c r="AA204" i="10"/>
  <c r="X161" i="10"/>
  <c r="O37" i="3"/>
  <c r="S37" i="3"/>
  <c r="V37" i="3"/>
  <c r="Z37" i="3"/>
  <c r="AC37" i="3" s="1"/>
  <c r="AA145" i="10"/>
  <c r="O84" i="3"/>
  <c r="S84" i="3"/>
  <c r="V84" i="3"/>
  <c r="Z84" i="3"/>
  <c r="AC84" i="3" s="1"/>
  <c r="X220" i="10"/>
  <c r="AF68" i="10"/>
  <c r="AA68" i="10"/>
  <c r="O203" i="3"/>
  <c r="S203" i="3"/>
  <c r="V203" i="3"/>
  <c r="Z203" i="3"/>
  <c r="AC203" i="3" s="1"/>
  <c r="X91" i="10"/>
  <c r="AF212" i="10"/>
  <c r="O88" i="3"/>
  <c r="S88" i="3"/>
  <c r="V88" i="3"/>
  <c r="Z88" i="3"/>
  <c r="AC88" i="3" s="1"/>
  <c r="X107" i="10"/>
  <c r="AA146" i="10"/>
  <c r="O34" i="3"/>
  <c r="S34" i="3"/>
  <c r="V34" i="3"/>
  <c r="Z34" i="3"/>
  <c r="AC34" i="3" s="1"/>
  <c r="X200" i="10"/>
  <c r="W38" i="10"/>
  <c r="X190" i="10"/>
  <c r="AF28" i="10"/>
  <c r="AA28" i="10"/>
  <c r="X189" i="10"/>
  <c r="X219" i="10"/>
  <c r="AF53" i="10"/>
  <c r="O137" i="3"/>
  <c r="S137" i="3"/>
  <c r="V137" i="3"/>
  <c r="Z137" i="3"/>
  <c r="AC137" i="3" s="1"/>
  <c r="X32" i="10"/>
  <c r="O211" i="3"/>
  <c r="S211" i="3"/>
  <c r="V211" i="3"/>
  <c r="Z211" i="3"/>
  <c r="AC211" i="3" s="1"/>
  <c r="X170" i="10"/>
  <c r="W209" i="10"/>
  <c r="AF199" i="10"/>
  <c r="X218" i="10"/>
  <c r="O86" i="3"/>
  <c r="S86" i="3"/>
  <c r="V86" i="3"/>
  <c r="Z86" i="3"/>
  <c r="AC86" i="3" s="1"/>
  <c r="AF86" i="10"/>
  <c r="AA140" i="10"/>
  <c r="AF140" i="10"/>
  <c r="X73" i="10"/>
  <c r="X181" i="10"/>
  <c r="X98" i="10"/>
  <c r="W78" i="10"/>
  <c r="AA94" i="10"/>
  <c r="AF94" i="10"/>
  <c r="O169" i="3"/>
  <c r="S169" i="3"/>
  <c r="V169" i="3"/>
  <c r="Z169" i="3"/>
  <c r="AC169" i="3" s="1"/>
  <c r="X75" i="10"/>
  <c r="O93" i="3"/>
  <c r="S93" i="3"/>
  <c r="V93" i="3"/>
  <c r="Z93" i="3"/>
  <c r="AC93" i="3" s="1"/>
  <c r="O214" i="3"/>
  <c r="S214" i="3"/>
  <c r="V214" i="3"/>
  <c r="Z214" i="3"/>
  <c r="AC214" i="3" s="1"/>
  <c r="W31" i="10"/>
  <c r="AF194" i="10"/>
  <c r="O70" i="3"/>
  <c r="S70" i="3"/>
  <c r="V70" i="3"/>
  <c r="Z70" i="3"/>
  <c r="AC70" i="3" s="1"/>
  <c r="W120" i="10"/>
  <c r="AA72" i="10"/>
  <c r="AA52" i="10"/>
  <c r="AA202" i="10"/>
  <c r="AF202" i="10"/>
  <c r="AF54" i="10"/>
  <c r="X126" i="10"/>
  <c r="X150" i="10"/>
  <c r="X193" i="10"/>
  <c r="W80" i="10"/>
  <c r="X60" i="10"/>
  <c r="W210" i="10"/>
  <c r="X141" i="10"/>
  <c r="G6" i="31"/>
  <c r="X104" i="10"/>
  <c r="O118" i="3"/>
  <c r="S118" i="3"/>
  <c r="V118" i="3"/>
  <c r="Z118" i="3"/>
  <c r="AC118" i="3" s="1"/>
  <c r="AF118" i="10"/>
  <c r="X119" i="10"/>
  <c r="W13" i="10"/>
  <c r="AF201" i="10"/>
  <c r="AA201" i="10"/>
  <c r="AF116" i="10"/>
  <c r="X131" i="10"/>
  <c r="O77" i="3"/>
  <c r="S77" i="3"/>
  <c r="V77" i="3"/>
  <c r="Z77" i="3"/>
  <c r="AC77" i="3" s="1"/>
  <c r="O40" i="3"/>
  <c r="S40" i="3"/>
  <c r="V40" i="3"/>
  <c r="Z40" i="3"/>
  <c r="AC40" i="3" s="1"/>
  <c r="X20" i="10"/>
  <c r="O96" i="3"/>
  <c r="S96" i="3"/>
  <c r="V96" i="3"/>
  <c r="Z96" i="3"/>
  <c r="AC96" i="3" s="1"/>
  <c r="O112" i="3"/>
  <c r="S112" i="3"/>
  <c r="V112" i="3"/>
  <c r="Z112" i="3"/>
  <c r="AC112" i="3" s="1"/>
  <c r="AF112" i="10"/>
  <c r="AA112" i="10"/>
  <c r="AF163" i="10"/>
  <c r="AA163" i="10"/>
  <c r="O59" i="3"/>
  <c r="S59" i="3"/>
  <c r="V59" i="3"/>
  <c r="Z59" i="3"/>
  <c r="AC59" i="3" s="1"/>
  <c r="O178" i="3"/>
  <c r="S178" i="3"/>
  <c r="V178" i="3"/>
  <c r="Z178" i="3"/>
  <c r="AC178" i="3" s="1"/>
  <c r="O105" i="3"/>
  <c r="S105" i="3"/>
  <c r="V105" i="3"/>
  <c r="Z105" i="3"/>
  <c r="AC105" i="3" s="1"/>
  <c r="O92" i="3"/>
  <c r="S92" i="3"/>
  <c r="V92" i="3"/>
  <c r="Z92" i="3"/>
  <c r="AC92" i="3" s="1"/>
  <c r="AF92" i="10"/>
  <c r="AA61" i="10"/>
  <c r="AF61" i="10"/>
  <c r="X113" i="10"/>
  <c r="O50" i="3"/>
  <c r="S50" i="3"/>
  <c r="V50" i="3"/>
  <c r="Z50" i="3"/>
  <c r="AC50" i="3" s="1"/>
  <c r="AA159" i="10"/>
  <c r="AF159" i="10"/>
  <c r="W171" i="10"/>
  <c r="X123" i="10"/>
  <c r="W100" i="10"/>
  <c r="AA153" i="10"/>
  <c r="AF153" i="10"/>
  <c r="O176" i="3"/>
  <c r="S176" i="3"/>
  <c r="V176" i="3"/>
  <c r="Z176" i="3"/>
  <c r="AC176" i="3" s="1"/>
  <c r="AA147" i="10"/>
  <c r="AF147" i="10"/>
  <c r="W19" i="10"/>
  <c r="AF115" i="10"/>
  <c r="X191" i="10"/>
  <c r="O168" i="3"/>
  <c r="S168" i="3"/>
  <c r="V168" i="3"/>
  <c r="Z168" i="3"/>
  <c r="AC168" i="3" s="1"/>
  <c r="AF179" i="10"/>
  <c r="AA179" i="10"/>
  <c r="AA69" i="10"/>
  <c r="X43" i="10"/>
  <c r="O25" i="3"/>
  <c r="S25" i="3"/>
  <c r="V25" i="3"/>
  <c r="Z25" i="3"/>
  <c r="AC25" i="3" s="1"/>
  <c r="AF25" i="10"/>
  <c r="W172" i="10"/>
  <c r="AF216" i="10"/>
  <c r="W139" i="10"/>
  <c r="AF57" i="10"/>
  <c r="AA57" i="10"/>
  <c r="O49" i="3"/>
  <c r="S49" i="3"/>
  <c r="V49" i="3"/>
  <c r="Z49" i="3"/>
  <c r="AC49" i="3" s="1"/>
  <c r="W56" i="10"/>
  <c r="O162" i="3"/>
  <c r="S162" i="3"/>
  <c r="V162" i="3"/>
  <c r="Z162" i="3"/>
  <c r="AC162" i="3" s="1"/>
  <c r="O217" i="3"/>
  <c r="S217" i="3"/>
  <c r="V217" i="3"/>
  <c r="Z217" i="3"/>
  <c r="AC217" i="3" s="1"/>
  <c r="W27" i="10"/>
  <c r="AF114" i="10"/>
  <c r="AA114" i="10"/>
  <c r="AF129" i="10"/>
  <c r="O133" i="3"/>
  <c r="S133" i="3"/>
  <c r="V133" i="3"/>
  <c r="Z133" i="3"/>
  <c r="AC133" i="3" s="1"/>
  <c r="O166" i="3"/>
  <c r="S166" i="3"/>
  <c r="V166" i="3"/>
  <c r="Z166" i="3"/>
  <c r="AC166" i="3" s="1"/>
  <c r="X58" i="10"/>
  <c r="O183" i="3"/>
  <c r="S183" i="3"/>
  <c r="V183" i="3"/>
  <c r="Z183" i="3"/>
  <c r="AC183" i="3" s="1"/>
  <c r="AA167" i="10"/>
  <c r="O125" i="3"/>
  <c r="S125" i="3"/>
  <c r="V125" i="3"/>
  <c r="Z125" i="3"/>
  <c r="AC125" i="3" s="1"/>
  <c r="X186" i="10"/>
  <c r="O103" i="3"/>
  <c r="S103" i="3"/>
  <c r="V103" i="3"/>
  <c r="Z103" i="3"/>
  <c r="AC103" i="3" s="1"/>
  <c r="O39" i="3"/>
  <c r="S39" i="3"/>
  <c r="V39" i="3"/>
  <c r="Z39" i="3"/>
  <c r="AC39" i="3" s="1"/>
  <c r="X51" i="10"/>
  <c r="AA165" i="10"/>
  <c r="O87" i="3"/>
  <c r="S87" i="3"/>
  <c r="V87" i="3"/>
  <c r="Z87" i="3"/>
  <c r="AC87" i="3" s="1"/>
  <c r="X74" i="10"/>
  <c r="O134" i="3"/>
  <c r="S134" i="3"/>
  <c r="V134" i="3"/>
  <c r="Z134" i="3"/>
  <c r="AC134" i="3" s="1"/>
  <c r="X173" i="10"/>
  <c r="X89" i="10"/>
  <c r="W143" i="10"/>
  <c r="X37" i="10"/>
  <c r="AA84" i="10"/>
  <c r="AF84" i="10"/>
  <c r="O220" i="3"/>
  <c r="S220" i="3"/>
  <c r="V220" i="3"/>
  <c r="Z220" i="3"/>
  <c r="AC220" i="3" s="1"/>
  <c r="O68" i="3"/>
  <c r="S68" i="3"/>
  <c r="V68" i="3"/>
  <c r="Z68" i="3"/>
  <c r="AC68" i="3" s="1"/>
  <c r="AF203" i="10"/>
  <c r="O91" i="3"/>
  <c r="S91" i="3"/>
  <c r="V91" i="3"/>
  <c r="Z91" i="3"/>
  <c r="AC91" i="3" s="1"/>
  <c r="O187" i="3"/>
  <c r="S187" i="3"/>
  <c r="V187" i="3"/>
  <c r="Z187" i="3"/>
  <c r="AC187" i="3" s="1"/>
  <c r="AA187" i="10"/>
  <c r="AF187" i="10"/>
  <c r="O107" i="3"/>
  <c r="S107" i="3"/>
  <c r="V107" i="3"/>
  <c r="Z107" i="3"/>
  <c r="AC107" i="3" s="1"/>
  <c r="X154" i="10"/>
  <c r="O200" i="3"/>
  <c r="S200" i="3"/>
  <c r="V200" i="3"/>
  <c r="Z200" i="3"/>
  <c r="AC200" i="3" s="1"/>
  <c r="O35" i="3"/>
  <c r="S35" i="3"/>
  <c r="V35" i="3"/>
  <c r="Z35" i="3"/>
  <c r="AC35" i="3" s="1"/>
  <c r="AF155" i="10"/>
  <c r="AA155" i="10"/>
  <c r="AF190" i="10"/>
  <c r="AA44" i="10"/>
  <c r="O219" i="3"/>
  <c r="S219" i="3"/>
  <c r="V219" i="3"/>
  <c r="Z219" i="3"/>
  <c r="AC219" i="3" s="1"/>
  <c r="O164" i="3"/>
  <c r="S164" i="3"/>
  <c r="V164" i="3"/>
  <c r="Z164" i="3"/>
  <c r="AC164" i="3" s="1"/>
  <c r="AA164" i="10"/>
  <c r="O32" i="3"/>
  <c r="S32" i="3"/>
  <c r="V32" i="3"/>
  <c r="Z32" i="3"/>
  <c r="AC32" i="3" s="1"/>
  <c r="O135" i="3"/>
  <c r="S135" i="3"/>
  <c r="V135" i="3"/>
  <c r="Z135" i="3"/>
  <c r="AC135" i="3" s="1"/>
  <c r="AF135" i="10"/>
  <c r="AA135" i="10"/>
  <c r="AA85" i="10"/>
  <c r="AF85" i="10"/>
  <c r="AF211" i="10"/>
  <c r="O170" i="3"/>
  <c r="S170" i="3"/>
  <c r="V170" i="3"/>
  <c r="Z170" i="3"/>
  <c r="AC170" i="3" s="1"/>
  <c r="O140" i="3"/>
  <c r="S140" i="3"/>
  <c r="V140" i="3"/>
  <c r="Z140" i="3"/>
  <c r="AC140" i="3" s="1"/>
  <c r="AA29" i="10"/>
  <c r="AF29" i="10"/>
  <c r="W14" i="10"/>
  <c r="AA36" i="10"/>
  <c r="W122" i="10"/>
  <c r="O98" i="3"/>
  <c r="S98" i="3"/>
  <c r="V98" i="3"/>
  <c r="Z98" i="3"/>
  <c r="AC98" i="3" s="1"/>
  <c r="O195" i="3"/>
  <c r="S195" i="3"/>
  <c r="V195" i="3"/>
  <c r="Z195" i="3"/>
  <c r="AC195" i="3" s="1"/>
  <c r="AF206" i="10"/>
  <c r="AA66" i="10"/>
  <c r="AF66" i="10"/>
  <c r="AA169" i="10"/>
  <c r="O75" i="3"/>
  <c r="S75" i="3"/>
  <c r="V75" i="3"/>
  <c r="Z75" i="3"/>
  <c r="AC75" i="3" s="1"/>
  <c r="W23" i="10"/>
  <c r="O194" i="3"/>
  <c r="S194" i="3"/>
  <c r="V194" i="3"/>
  <c r="Z194" i="3"/>
  <c r="AC194" i="3" s="1"/>
  <c r="AF70" i="10"/>
  <c r="AA70" i="10"/>
  <c r="O72" i="3"/>
  <c r="S72" i="3"/>
  <c r="V72" i="3"/>
  <c r="Z72" i="3"/>
  <c r="AC72" i="3" s="1"/>
  <c r="O202" i="3"/>
  <c r="S202" i="3"/>
  <c r="V202" i="3"/>
  <c r="Z202" i="3"/>
  <c r="AC202" i="3" s="1"/>
  <c r="O150" i="3"/>
  <c r="S150" i="3"/>
  <c r="V150" i="3"/>
  <c r="Z150" i="3"/>
  <c r="AC150" i="3" s="1"/>
  <c r="O90" i="3"/>
  <c r="S90" i="3"/>
  <c r="V90" i="3"/>
  <c r="Z90" i="3"/>
  <c r="AC90" i="3" s="1"/>
  <c r="W21" i="10"/>
  <c r="AF148" i="10"/>
  <c r="AA148" i="10"/>
  <c r="AF193" i="10"/>
  <c r="AA193" i="10"/>
  <c r="O177" i="3"/>
  <c r="S177" i="3"/>
  <c r="V177" i="3"/>
  <c r="Z177" i="3"/>
  <c r="AC177" i="3" s="1"/>
  <c r="AF177" i="10"/>
  <c r="AA177" i="10"/>
  <c r="AF124" i="10"/>
  <c r="AA124" i="10"/>
  <c r="AF60" i="10"/>
  <c r="AA60" i="10"/>
  <c r="AF205" i="10"/>
  <c r="AA198" i="10"/>
  <c r="O156" i="3"/>
  <c r="S156" i="3"/>
  <c r="V156" i="3"/>
  <c r="Z156" i="3"/>
  <c r="AC156" i="3" s="1"/>
  <c r="AA156" i="10"/>
  <c r="AF156" i="10"/>
  <c r="AF97" i="10"/>
  <c r="AA97" i="10"/>
  <c r="AF119" i="10"/>
  <c r="O201" i="3"/>
  <c r="S201" i="3"/>
  <c r="V201" i="3"/>
  <c r="Z201" i="3"/>
  <c r="AC201" i="3" s="1"/>
  <c r="AF83" i="10"/>
  <c r="AF99" i="10"/>
  <c r="AA157" i="10"/>
  <c r="AA20" i="10"/>
  <c r="O138" i="3"/>
  <c r="S138" i="3"/>
  <c r="V138" i="3"/>
  <c r="Z138" i="3"/>
  <c r="AC138" i="3" s="1"/>
  <c r="AF138" i="10"/>
  <c r="X178" i="10"/>
  <c r="O160" i="3"/>
  <c r="S160" i="3"/>
  <c r="V160" i="3"/>
  <c r="Z160" i="3"/>
  <c r="AC160" i="3" s="1"/>
  <c r="O117" i="3"/>
  <c r="S117" i="3"/>
  <c r="V117" i="3"/>
  <c r="Z117" i="3"/>
  <c r="AC117" i="3" s="1"/>
  <c r="AA117" i="10"/>
  <c r="AF117" i="10"/>
  <c r="AA76" i="10"/>
  <c r="AA207" i="10"/>
  <c r="AF207" i="10"/>
  <c r="O42" i="3"/>
  <c r="S42" i="3"/>
  <c r="V42" i="3"/>
  <c r="Z42" i="3"/>
  <c r="AC42" i="3" s="1"/>
  <c r="X153" i="10"/>
  <c r="AF111" i="10"/>
  <c r="AA111" i="10"/>
  <c r="X176" i="10"/>
  <c r="AA197" i="10"/>
  <c r="AF197" i="10"/>
  <c r="AA67" i="10"/>
  <c r="AF191" i="10"/>
  <c r="AA191" i="10"/>
  <c r="O57" i="3"/>
  <c r="S57" i="3"/>
  <c r="V57" i="3"/>
  <c r="Z57" i="3"/>
  <c r="AC57" i="3" s="1"/>
  <c r="O63" i="3"/>
  <c r="S63" i="3"/>
  <c r="V63" i="3"/>
  <c r="Z63" i="3"/>
  <c r="AC63" i="3" s="1"/>
  <c r="O48" i="3"/>
  <c r="S48" i="3"/>
  <c r="V48" i="3"/>
  <c r="Z48" i="3"/>
  <c r="AC48" i="3" s="1"/>
  <c r="AF48" i="10"/>
  <c r="O114" i="3"/>
  <c r="S114" i="3"/>
  <c r="V114" i="3"/>
  <c r="Z114" i="3"/>
  <c r="AC114" i="3" s="1"/>
  <c r="AF109" i="10"/>
  <c r="AA109" i="10"/>
  <c r="O188" i="3"/>
  <c r="S188" i="3"/>
  <c r="V188" i="3"/>
  <c r="Z188" i="3"/>
  <c r="AC188" i="3" s="1"/>
  <c r="W142" i="10"/>
  <c r="AF58" i="10"/>
  <c r="O167" i="3"/>
  <c r="S167" i="3"/>
  <c r="V167" i="3"/>
  <c r="Z167" i="3"/>
  <c r="AC167" i="3" s="1"/>
  <c r="O130" i="3"/>
  <c r="S130" i="3"/>
  <c r="V130" i="3"/>
  <c r="Z130" i="3"/>
  <c r="AC130" i="3" s="1"/>
  <c r="O184" i="3"/>
  <c r="S184" i="3"/>
  <c r="V184" i="3"/>
  <c r="Z184" i="3"/>
  <c r="AC184" i="3" s="1"/>
  <c r="O82" i="3"/>
  <c r="S82" i="3"/>
  <c r="V82" i="3"/>
  <c r="Z82" i="3"/>
  <c r="AC82" i="3" s="1"/>
  <c r="W33" i="10"/>
  <c r="AF149" i="10"/>
  <c r="AA149" i="10"/>
  <c r="O51" i="3"/>
  <c r="S51" i="3"/>
  <c r="V51" i="3"/>
  <c r="Z51" i="3"/>
  <c r="AC51" i="3" s="1"/>
  <c r="AF87" i="10"/>
  <c r="AA87" i="10"/>
  <c r="O89" i="3"/>
  <c r="S89" i="3"/>
  <c r="V89" i="3"/>
  <c r="Z89" i="3"/>
  <c r="AC89" i="3" s="1"/>
  <c r="AF161" i="10"/>
  <c r="AA161" i="10"/>
  <c r="AA37" i="10"/>
  <c r="O145" i="3"/>
  <c r="S145" i="3"/>
  <c r="V145" i="3"/>
  <c r="Z145" i="3"/>
  <c r="AC145" i="3" s="1"/>
  <c r="W182" i="10"/>
  <c r="AF79" i="10"/>
  <c r="AF91" i="10"/>
  <c r="AF107" i="10"/>
  <c r="O154" i="3"/>
  <c r="S154" i="3"/>
  <c r="V154" i="3"/>
  <c r="Z154" i="3"/>
  <c r="AC154" i="3" s="1"/>
  <c r="O146" i="3"/>
  <c r="S146" i="3"/>
  <c r="V146" i="3"/>
  <c r="Z146" i="3"/>
  <c r="AC146" i="3" s="1"/>
  <c r="W102" i="10"/>
  <c r="O110" i="3"/>
  <c r="S110" i="3"/>
  <c r="V110" i="3"/>
  <c r="Z110" i="3"/>
  <c r="AC110" i="3" s="1"/>
  <c r="AF110" i="10"/>
  <c r="O44" i="3"/>
  <c r="S44" i="3"/>
  <c r="V44" i="3"/>
  <c r="Z44" i="3"/>
  <c r="AC44" i="3" s="1"/>
  <c r="AF121" i="10"/>
  <c r="AA32" i="10"/>
  <c r="AF32" i="10"/>
  <c r="O85" i="3"/>
  <c r="S85" i="3"/>
  <c r="V85" i="3"/>
  <c r="Z85" i="3"/>
  <c r="AC85" i="3" s="1"/>
  <c r="O199" i="3"/>
  <c r="S199" i="3"/>
  <c r="V199" i="3"/>
  <c r="Z199" i="3"/>
  <c r="AC199" i="3" s="1"/>
  <c r="O175" i="3"/>
  <c r="S175" i="3"/>
  <c r="V175" i="3"/>
  <c r="Z175" i="3"/>
  <c r="AC175" i="3" s="1"/>
  <c r="AA175" i="10"/>
  <c r="O36" i="3"/>
  <c r="S36" i="3"/>
  <c r="V36" i="3"/>
  <c r="Z36" i="3"/>
  <c r="AC36" i="3" s="1"/>
  <c r="AF132" i="10"/>
  <c r="AF181" i="10"/>
  <c r="AA181" i="10"/>
  <c r="O206" i="3"/>
  <c r="S206" i="3"/>
  <c r="V206" i="3"/>
  <c r="Z206" i="3"/>
  <c r="AC206" i="3" s="1"/>
  <c r="O66" i="3"/>
  <c r="S66" i="3"/>
  <c r="V66" i="3"/>
  <c r="Z66" i="3"/>
  <c r="AC66" i="3" s="1"/>
  <c r="AF75" i="10"/>
  <c r="AA75" i="10"/>
  <c r="O192" i="3"/>
  <c r="S192" i="3"/>
  <c r="V192" i="3"/>
  <c r="Z192" i="3"/>
  <c r="AC192" i="3" s="1"/>
  <c r="AA71" i="10"/>
  <c r="AF71" i="10"/>
  <c r="AF106" i="10"/>
  <c r="AA106" i="10"/>
  <c r="W17" i="10"/>
  <c r="O52" i="3"/>
  <c r="S52" i="3"/>
  <c r="V52" i="3"/>
  <c r="Z52" i="3"/>
  <c r="AC52" i="3" s="1"/>
  <c r="W101" i="10"/>
  <c r="W128" i="10"/>
  <c r="W26" i="10"/>
  <c r="AF126" i="10"/>
  <c r="AA126" i="10"/>
  <c r="AA150" i="10"/>
  <c r="AF150" i="10"/>
  <c r="O148" i="3"/>
  <c r="S148" i="3"/>
  <c r="V148" i="3"/>
  <c r="Z148" i="3"/>
  <c r="AC148" i="3" s="1"/>
  <c r="W174" i="10"/>
  <c r="O205" i="3"/>
  <c r="S205" i="3"/>
  <c r="V205" i="3"/>
  <c r="Z205" i="3"/>
  <c r="AC205" i="3" s="1"/>
  <c r="AF158" i="10"/>
  <c r="O198" i="3"/>
  <c r="S198" i="3"/>
  <c r="V198" i="3"/>
  <c r="Z198" i="3"/>
  <c r="AC198" i="3" s="1"/>
  <c r="O180" i="3"/>
  <c r="S180" i="3"/>
  <c r="V180" i="3"/>
  <c r="Z180" i="3"/>
  <c r="AC180" i="3" s="1"/>
  <c r="AA180" i="10"/>
  <c r="AF180" i="10"/>
  <c r="O97" i="3"/>
  <c r="S97" i="3"/>
  <c r="V97" i="3"/>
  <c r="Z97" i="3"/>
  <c r="AC97" i="3" s="1"/>
  <c r="O151" i="3"/>
  <c r="S151" i="3"/>
  <c r="V151" i="3"/>
  <c r="Z151" i="3"/>
  <c r="AC151" i="3" s="1"/>
  <c r="AA151" i="10"/>
  <c r="O116" i="3"/>
  <c r="S116" i="3"/>
  <c r="V116" i="3"/>
  <c r="Z116" i="3"/>
  <c r="AC116" i="3" s="1"/>
  <c r="AF131" i="10"/>
  <c r="AA131" i="10"/>
  <c r="O83" i="3"/>
  <c r="S83" i="3"/>
  <c r="V83" i="3"/>
  <c r="Z83" i="3"/>
  <c r="AC83" i="3" s="1"/>
  <c r="O99" i="3"/>
  <c r="S99" i="3"/>
  <c r="V99" i="3"/>
  <c r="Z99" i="3"/>
  <c r="AC99" i="3" s="1"/>
  <c r="AF77" i="10"/>
  <c r="AA77" i="10"/>
  <c r="O157" i="3"/>
  <c r="S157" i="3"/>
  <c r="V157" i="3"/>
  <c r="Z157" i="3"/>
  <c r="AC157" i="3" s="1"/>
  <c r="O185" i="3"/>
  <c r="S185" i="3"/>
  <c r="V185" i="3"/>
  <c r="Z185" i="3"/>
  <c r="AC185" i="3" s="1"/>
  <c r="AF185" i="10"/>
  <c r="O163" i="3"/>
  <c r="S163" i="3"/>
  <c r="V163" i="3"/>
  <c r="Z163" i="3"/>
  <c r="AC163" i="3" s="1"/>
  <c r="AA178" i="10"/>
  <c r="AF178" i="10"/>
  <c r="AF105" i="10"/>
  <c r="O61" i="3"/>
  <c r="S61" i="3"/>
  <c r="V61" i="3"/>
  <c r="Z61" i="3"/>
  <c r="AC61" i="3" s="1"/>
  <c r="O76" i="3"/>
  <c r="S76" i="3"/>
  <c r="V76" i="3"/>
  <c r="Z76" i="3"/>
  <c r="AC76" i="3" s="1"/>
  <c r="AF113" i="10"/>
  <c r="O159" i="3"/>
  <c r="S159" i="3"/>
  <c r="V159" i="3"/>
  <c r="Z159" i="3"/>
  <c r="AC159" i="3" s="1"/>
  <c r="O207" i="3"/>
  <c r="S207" i="3"/>
  <c r="V207" i="3"/>
  <c r="Z207" i="3"/>
  <c r="AC207" i="3" s="1"/>
  <c r="W108" i="10"/>
  <c r="W18" i="10"/>
  <c r="AA123" i="10"/>
  <c r="AF123" i="10"/>
  <c r="O153" i="3"/>
  <c r="S153" i="3"/>
  <c r="V153" i="3"/>
  <c r="Z153" i="3"/>
  <c r="AC153" i="3" s="1"/>
  <c r="O111" i="3"/>
  <c r="S111" i="3"/>
  <c r="V111" i="3"/>
  <c r="Z111" i="3"/>
  <c r="AC111" i="3" s="1"/>
  <c r="AF176" i="10"/>
  <c r="AA176" i="10"/>
  <c r="O197" i="3"/>
  <c r="S197" i="3"/>
  <c r="V197" i="3"/>
  <c r="Z197" i="3"/>
  <c r="AC197" i="3" s="1"/>
  <c r="O67" i="3"/>
  <c r="S67" i="3"/>
  <c r="V67" i="3"/>
  <c r="Z67" i="3"/>
  <c r="AC67" i="3" s="1"/>
  <c r="AF76" i="3" l="1"/>
  <c r="AD76" i="3"/>
  <c r="AA128" i="10"/>
  <c r="AF128" i="10"/>
  <c r="AF206" i="3"/>
  <c r="AD206" i="3"/>
  <c r="AD199" i="3"/>
  <c r="AF199" i="3"/>
  <c r="AF110" i="3"/>
  <c r="AD110" i="3"/>
  <c r="AD153" i="3"/>
  <c r="AF153" i="3"/>
  <c r="AA18" i="10"/>
  <c r="AF18" i="10"/>
  <c r="AD163" i="3"/>
  <c r="AF163" i="3"/>
  <c r="AD116" i="3"/>
  <c r="AF116" i="3"/>
  <c r="AF205" i="3"/>
  <c r="AD205" i="3"/>
  <c r="AF67" i="3"/>
  <c r="AD67" i="3"/>
  <c r="AF197" i="3"/>
  <c r="AD197" i="3"/>
  <c r="O18" i="3"/>
  <c r="S18" i="3"/>
  <c r="V18" i="3"/>
  <c r="Z18" i="3"/>
  <c r="X108" i="10"/>
  <c r="AD185" i="3"/>
  <c r="AF185" i="3"/>
  <c r="AF157" i="3"/>
  <c r="AD157" i="3"/>
  <c r="AD99" i="3"/>
  <c r="AF99" i="3"/>
  <c r="AD83" i="3"/>
  <c r="AF83" i="3"/>
  <c r="AF151" i="3"/>
  <c r="AD151" i="3"/>
  <c r="AD97" i="3"/>
  <c r="AF97" i="3"/>
  <c r="AF180" i="3"/>
  <c r="AD180" i="3"/>
  <c r="AD198" i="3"/>
  <c r="AF198" i="3"/>
  <c r="AD148" i="3"/>
  <c r="AF148" i="3"/>
  <c r="O26" i="3"/>
  <c r="S26" i="3"/>
  <c r="V26" i="3"/>
  <c r="Z26" i="3"/>
  <c r="AF26" i="10"/>
  <c r="AA26" i="10"/>
  <c r="AF101" i="10"/>
  <c r="AD52" i="3"/>
  <c r="AF52" i="3"/>
  <c r="X17" i="10"/>
  <c r="X182" i="10"/>
  <c r="AF167" i="3"/>
  <c r="AD167" i="3"/>
  <c r="AA142" i="10"/>
  <c r="AF188" i="3"/>
  <c r="AD188" i="3"/>
  <c r="AD114" i="3"/>
  <c r="AF114" i="3"/>
  <c r="AD48" i="3"/>
  <c r="AF48" i="3"/>
  <c r="AD63" i="3"/>
  <c r="AF63" i="3"/>
  <c r="AD42" i="3"/>
  <c r="AF42" i="3"/>
  <c r="AF160" i="3"/>
  <c r="AD160" i="3"/>
  <c r="AD194" i="3"/>
  <c r="AF194" i="3"/>
  <c r="AA23" i="10"/>
  <c r="AF23" i="10"/>
  <c r="AD135" i="3"/>
  <c r="AF135" i="3"/>
  <c r="AF32" i="3"/>
  <c r="AD32" i="3"/>
  <c r="AF107" i="3"/>
  <c r="AD107" i="3"/>
  <c r="AF187" i="3"/>
  <c r="AD187" i="3"/>
  <c r="AD91" i="3"/>
  <c r="AF91" i="3"/>
  <c r="AD87" i="3"/>
  <c r="AF87" i="3"/>
  <c r="AD183" i="3"/>
  <c r="AF183" i="3"/>
  <c r="X27" i="10"/>
  <c r="O139" i="3"/>
  <c r="S139" i="3"/>
  <c r="V139" i="3"/>
  <c r="Z139" i="3"/>
  <c r="X19" i="10"/>
  <c r="X171" i="10"/>
  <c r="X13" i="10"/>
  <c r="X210" i="10"/>
  <c r="O80" i="3"/>
  <c r="S80" i="3"/>
  <c r="V80" i="3"/>
  <c r="Z80" i="3"/>
  <c r="X120" i="10"/>
  <c r="O31" i="3"/>
  <c r="S31" i="3"/>
  <c r="V31" i="3"/>
  <c r="Z31" i="3"/>
  <c r="AF169" i="3"/>
  <c r="AD169" i="3"/>
  <c r="AF209" i="10"/>
  <c r="AF137" i="3"/>
  <c r="AD137" i="3"/>
  <c r="O38" i="3"/>
  <c r="S38" i="3"/>
  <c r="V38" i="3"/>
  <c r="Z38" i="3"/>
  <c r="AA38" i="10"/>
  <c r="AF38" i="10"/>
  <c r="AD37" i="3"/>
  <c r="AF37" i="3"/>
  <c r="O62" i="3"/>
  <c r="S62" i="3"/>
  <c r="V62" i="3"/>
  <c r="Z62" i="3"/>
  <c r="AF186" i="3"/>
  <c r="AD186" i="3"/>
  <c r="AF15" i="10"/>
  <c r="X55" i="10"/>
  <c r="AF147" i="3"/>
  <c r="AD147" i="3"/>
  <c r="AD43" i="3"/>
  <c r="AF43" i="3"/>
  <c r="AF69" i="3"/>
  <c r="AD69" i="3"/>
  <c r="X22" i="10"/>
  <c r="AF20" i="3"/>
  <c r="AD20" i="3"/>
  <c r="AF104" i="3"/>
  <c r="AD104" i="3"/>
  <c r="AF60" i="3"/>
  <c r="AD60" i="3"/>
  <c r="AF124" i="3"/>
  <c r="AD124" i="3"/>
  <c r="X30" i="10"/>
  <c r="AF71" i="3"/>
  <c r="AD71" i="3"/>
  <c r="AF218" i="3"/>
  <c r="AD218" i="3"/>
  <c r="O81" i="3"/>
  <c r="M246" i="3" s="1"/>
  <c r="S81" i="3"/>
  <c r="Q246" i="3" s="1"/>
  <c r="V81" i="3"/>
  <c r="T246" i="3" s="1"/>
  <c r="Z81" i="3"/>
  <c r="O24" i="3"/>
  <c r="S24" i="3"/>
  <c r="Q238" i="3" s="1"/>
  <c r="V24" i="3"/>
  <c r="T238" i="3" s="1"/>
  <c r="Z24" i="3"/>
  <c r="AA24" i="10"/>
  <c r="AF24" i="10"/>
  <c r="AD152" i="3"/>
  <c r="AF152" i="3"/>
  <c r="AD127" i="3"/>
  <c r="AF127" i="3"/>
  <c r="X16" i="10"/>
  <c r="AD95" i="3"/>
  <c r="AF95" i="3"/>
  <c r="AD136" i="3"/>
  <c r="AF136" i="3"/>
  <c r="AD129" i="3"/>
  <c r="AF129" i="3"/>
  <c r="AD216" i="3"/>
  <c r="AF216" i="3"/>
  <c r="X65" i="10"/>
  <c r="O102" i="3"/>
  <c r="M249" i="3" s="1"/>
  <c r="S102" i="3"/>
  <c r="Q249" i="3" s="1"/>
  <c r="V102" i="3"/>
  <c r="T249" i="3" s="1"/>
  <c r="Z102" i="3"/>
  <c r="AF146" i="3"/>
  <c r="AD146" i="3"/>
  <c r="AF154" i="3"/>
  <c r="AD154" i="3"/>
  <c r="AA33" i="10"/>
  <c r="AD201" i="3"/>
  <c r="AF201" i="3"/>
  <c r="AD156" i="3"/>
  <c r="AF156" i="3"/>
  <c r="AD177" i="3"/>
  <c r="AF177" i="3"/>
  <c r="O21" i="3"/>
  <c r="S21" i="3"/>
  <c r="V21" i="3"/>
  <c r="Z21" i="3"/>
  <c r="AD90" i="3"/>
  <c r="AF90" i="3"/>
  <c r="AD150" i="3"/>
  <c r="AF150" i="3"/>
  <c r="AF202" i="3"/>
  <c r="AD202" i="3"/>
  <c r="O14" i="3"/>
  <c r="S14" i="3"/>
  <c r="V14" i="3"/>
  <c r="Z14" i="3"/>
  <c r="AA14" i="10"/>
  <c r="AD35" i="3"/>
  <c r="AF35" i="3"/>
  <c r="AD200" i="3"/>
  <c r="AF200" i="3"/>
  <c r="X143" i="10"/>
  <c r="AF39" i="3"/>
  <c r="AD39" i="3"/>
  <c r="AD103" i="3"/>
  <c r="AF103" i="3"/>
  <c r="AD166" i="3"/>
  <c r="AF166" i="3"/>
  <c r="X56" i="10"/>
  <c r="O172" i="3"/>
  <c r="S172" i="3"/>
  <c r="V172" i="3"/>
  <c r="Z172" i="3"/>
  <c r="AF172" i="10"/>
  <c r="O19" i="3"/>
  <c r="S19" i="3"/>
  <c r="V19" i="3"/>
  <c r="Z19" i="3"/>
  <c r="AF19" i="10"/>
  <c r="O171" i="3"/>
  <c r="S171" i="3"/>
  <c r="V171" i="3"/>
  <c r="Z171" i="3"/>
  <c r="AD178" i="3"/>
  <c r="AF178" i="3"/>
  <c r="AD59" i="3"/>
  <c r="AF59" i="3"/>
  <c r="AA13" i="10"/>
  <c r="AF13" i="10"/>
  <c r="O210" i="3"/>
  <c r="S210" i="3"/>
  <c r="V210" i="3"/>
  <c r="Z210" i="3"/>
  <c r="X80" i="10"/>
  <c r="O120" i="3"/>
  <c r="S120" i="3"/>
  <c r="V120" i="3"/>
  <c r="Z120" i="3"/>
  <c r="AD93" i="3"/>
  <c r="AF93" i="3"/>
  <c r="AF78" i="10"/>
  <c r="AA78" i="10"/>
  <c r="AF86" i="3"/>
  <c r="AD86" i="3"/>
  <c r="AD211" i="3"/>
  <c r="AF211" i="3"/>
  <c r="X38" i="10"/>
  <c r="AD34" i="3"/>
  <c r="AF34" i="3"/>
  <c r="AF203" i="3"/>
  <c r="AD203" i="3"/>
  <c r="AF173" i="3"/>
  <c r="AD173" i="3"/>
  <c r="X62" i="10"/>
  <c r="AF58" i="3"/>
  <c r="AD58" i="3"/>
  <c r="O15" i="3"/>
  <c r="S15" i="3"/>
  <c r="V15" i="3"/>
  <c r="Z15" i="3"/>
  <c r="AF55" i="10"/>
  <c r="AA55" i="10"/>
  <c r="AF109" i="3"/>
  <c r="AD109" i="3"/>
  <c r="AD179" i="3"/>
  <c r="AF179" i="3"/>
  <c r="AF22" i="10"/>
  <c r="X41" i="10"/>
  <c r="AF119" i="3"/>
  <c r="AD119" i="3"/>
  <c r="AF73" i="3"/>
  <c r="AD73" i="3"/>
  <c r="X24" i="10"/>
  <c r="O16" i="3"/>
  <c r="S16" i="3"/>
  <c r="V16" i="3"/>
  <c r="Z16" i="3"/>
  <c r="AA16" i="10"/>
  <c r="AF16" i="10"/>
  <c r="AA213" i="10"/>
  <c r="AF213" i="10"/>
  <c r="O65" i="3"/>
  <c r="S65" i="3"/>
  <c r="V65" i="3"/>
  <c r="Z65" i="3"/>
  <c r="AF65" i="10"/>
  <c r="AA65" i="10"/>
  <c r="AF36" i="3"/>
  <c r="AD36" i="3"/>
  <c r="AD85" i="3"/>
  <c r="AF85" i="3"/>
  <c r="AD111" i="3"/>
  <c r="AF111" i="3"/>
  <c r="AF108" i="10"/>
  <c r="AA108" i="10"/>
  <c r="AA174" i="10"/>
  <c r="X128" i="10"/>
  <c r="X101" i="10"/>
  <c r="AA17" i="10"/>
  <c r="AF17" i="10"/>
  <c r="X102" i="10"/>
  <c r="AA102" i="10"/>
  <c r="AF102" i="10"/>
  <c r="AA182" i="10"/>
  <c r="AF182" i="10"/>
  <c r="AD145" i="3"/>
  <c r="AF145" i="3"/>
  <c r="AD89" i="3"/>
  <c r="AF89" i="3"/>
  <c r="AD51" i="3"/>
  <c r="AF51" i="3"/>
  <c r="O33" i="3"/>
  <c r="M240" i="3" s="1"/>
  <c r="S33" i="3"/>
  <c r="Q240" i="3" s="1"/>
  <c r="V33" i="3"/>
  <c r="T240" i="3" s="1"/>
  <c r="Z33" i="3"/>
  <c r="AF82" i="3"/>
  <c r="AD82" i="3"/>
  <c r="AF184" i="3"/>
  <c r="AD184" i="3"/>
  <c r="AD130" i="3"/>
  <c r="AF130" i="3"/>
  <c r="O142" i="3"/>
  <c r="M302" i="3" s="1"/>
  <c r="S142" i="3"/>
  <c r="Q302" i="3" s="1"/>
  <c r="V142" i="3"/>
  <c r="T302" i="3" s="1"/>
  <c r="Z142" i="3"/>
  <c r="AD57" i="3"/>
  <c r="AF57" i="3"/>
  <c r="AD117" i="3"/>
  <c r="AF117" i="3"/>
  <c r="X21" i="10"/>
  <c r="AD72" i="3"/>
  <c r="AF72" i="3"/>
  <c r="X23" i="10"/>
  <c r="AF75" i="3"/>
  <c r="AD75" i="3"/>
  <c r="AF195" i="3"/>
  <c r="AD195" i="3"/>
  <c r="AF98" i="3"/>
  <c r="AD98" i="3"/>
  <c r="X122" i="10"/>
  <c r="X14" i="10"/>
  <c r="AF140" i="3"/>
  <c r="AD140" i="3"/>
  <c r="AD170" i="3"/>
  <c r="AF170" i="3"/>
  <c r="AD68" i="3"/>
  <c r="AF68" i="3"/>
  <c r="AD220" i="3"/>
  <c r="AF220" i="3"/>
  <c r="O143" i="3"/>
  <c r="M303" i="3" s="1"/>
  <c r="S143" i="3"/>
  <c r="Q303" i="3" s="1"/>
  <c r="V143" i="3"/>
  <c r="T303" i="3" s="1"/>
  <c r="Z143" i="3"/>
  <c r="AD125" i="3"/>
  <c r="AF125" i="3"/>
  <c r="O56" i="3"/>
  <c r="M242" i="3" s="1"/>
  <c r="S56" i="3"/>
  <c r="Q242" i="3" s="1"/>
  <c r="V56" i="3"/>
  <c r="T242" i="3" s="1"/>
  <c r="Z56" i="3"/>
  <c r="AA139" i="10"/>
  <c r="X172" i="10"/>
  <c r="AD25" i="3"/>
  <c r="AF25" i="3"/>
  <c r="AF176" i="3"/>
  <c r="AD176" i="3"/>
  <c r="X100" i="10"/>
  <c r="AF100" i="10"/>
  <c r="AA100" i="10"/>
  <c r="AF171" i="10"/>
  <c r="AA171" i="10"/>
  <c r="AF50" i="3"/>
  <c r="AD50" i="3"/>
  <c r="AD40" i="3"/>
  <c r="AF40" i="3"/>
  <c r="AF77" i="3"/>
  <c r="AD77" i="3"/>
  <c r="AA210" i="10"/>
  <c r="AF80" i="10"/>
  <c r="AA31" i="10"/>
  <c r="AF31" i="10"/>
  <c r="O78" i="3"/>
  <c r="S78" i="3"/>
  <c r="V78" i="3"/>
  <c r="Z78" i="3"/>
  <c r="O209" i="3"/>
  <c r="M257" i="3" s="1"/>
  <c r="S209" i="3"/>
  <c r="Q257" i="3" s="1"/>
  <c r="V209" i="3"/>
  <c r="T257" i="3" s="1"/>
  <c r="Z209" i="3"/>
  <c r="AF88" i="3"/>
  <c r="AD88" i="3"/>
  <c r="AF84" i="3"/>
  <c r="AD84" i="3"/>
  <c r="AD165" i="3"/>
  <c r="AF165" i="3"/>
  <c r="AA62" i="10"/>
  <c r="X15" i="10"/>
  <c r="AF64" i="3"/>
  <c r="AD64" i="3"/>
  <c r="AF196" i="3"/>
  <c r="AD196" i="3"/>
  <c r="AF215" i="3"/>
  <c r="AD215" i="3"/>
  <c r="AD191" i="3"/>
  <c r="AF191" i="3"/>
  <c r="AF123" i="3"/>
  <c r="AD123" i="3"/>
  <c r="O41" i="3"/>
  <c r="S41" i="3"/>
  <c r="V41" i="3"/>
  <c r="Z41" i="3"/>
  <c r="AF41" i="10"/>
  <c r="AD141" i="3"/>
  <c r="AF141" i="3"/>
  <c r="AD158" i="3"/>
  <c r="AF158" i="3"/>
  <c r="AF193" i="3"/>
  <c r="AD193" i="3"/>
  <c r="AF30" i="10"/>
  <c r="AF106" i="3"/>
  <c r="AD106" i="3"/>
  <c r="L222" i="3"/>
  <c r="L8" i="3" s="1"/>
  <c r="O12" i="3"/>
  <c r="S12" i="3"/>
  <c r="V12" i="3"/>
  <c r="Z12" i="3"/>
  <c r="AF29" i="3"/>
  <c r="AD29" i="3"/>
  <c r="AA81" i="10"/>
  <c r="AF81" i="10"/>
  <c r="AH45" i="3"/>
  <c r="F45" i="10" s="1"/>
  <c r="D45" i="10"/>
  <c r="AM45" i="3"/>
  <c r="AP45" i="3"/>
  <c r="AQ45" i="3"/>
  <c r="AF190" i="3"/>
  <c r="AD190" i="3"/>
  <c r="AD155" i="3"/>
  <c r="AF155" i="3"/>
  <c r="AF212" i="3"/>
  <c r="AD212" i="3"/>
  <c r="AF79" i="3"/>
  <c r="AD79" i="3"/>
  <c r="AF161" i="3"/>
  <c r="AD161" i="3"/>
  <c r="AD204" i="3"/>
  <c r="AF204" i="3"/>
  <c r="O144" i="3"/>
  <c r="M304" i="3" s="1"/>
  <c r="S144" i="3"/>
  <c r="Q304" i="3" s="1"/>
  <c r="V144" i="3"/>
  <c r="T304" i="3" s="1"/>
  <c r="Z144" i="3"/>
  <c r="AA144" i="10"/>
  <c r="AD149" i="3"/>
  <c r="AF149" i="3"/>
  <c r="AD46" i="3"/>
  <c r="AF46" i="3"/>
  <c r="AD208" i="3"/>
  <c r="AF208" i="3"/>
  <c r="O213" i="3"/>
  <c r="M259" i="3" s="1"/>
  <c r="S213" i="3"/>
  <c r="Q259" i="3" s="1"/>
  <c r="V213" i="3"/>
  <c r="T259" i="3" s="1"/>
  <c r="Z213" i="3"/>
  <c r="AD115" i="3"/>
  <c r="AF115" i="3"/>
  <c r="X18" i="10"/>
  <c r="X26" i="10"/>
  <c r="O17" i="3"/>
  <c r="M269" i="3" s="1"/>
  <c r="S17" i="3"/>
  <c r="Q269" i="3" s="1"/>
  <c r="V17" i="3"/>
  <c r="Z17" i="3"/>
  <c r="AD175" i="3"/>
  <c r="AF175" i="3"/>
  <c r="O174" i="3"/>
  <c r="M255" i="3" s="1"/>
  <c r="S174" i="3"/>
  <c r="Q255" i="3" s="1"/>
  <c r="V174" i="3"/>
  <c r="T255" i="3" s="1"/>
  <c r="Z174" i="3"/>
  <c r="O108" i="3"/>
  <c r="M299" i="3" s="1"/>
  <c r="S108" i="3"/>
  <c r="V108" i="3"/>
  <c r="T299" i="3" s="1"/>
  <c r="Z108" i="3"/>
  <c r="AD207" i="3"/>
  <c r="AF207" i="3"/>
  <c r="AD159" i="3"/>
  <c r="AF159" i="3"/>
  <c r="AF61" i="3"/>
  <c r="AD61" i="3"/>
  <c r="X174" i="10"/>
  <c r="O128" i="3"/>
  <c r="M301" i="3" s="1"/>
  <c r="S128" i="3"/>
  <c r="Q301" i="3" s="1"/>
  <c r="V128" i="3"/>
  <c r="T301" i="3" s="1"/>
  <c r="Z128" i="3"/>
  <c r="O101" i="3"/>
  <c r="M248" i="3" s="1"/>
  <c r="S101" i="3"/>
  <c r="Q248" i="3" s="1"/>
  <c r="V101" i="3"/>
  <c r="T248" i="3" s="1"/>
  <c r="Z101" i="3"/>
  <c r="AD192" i="3"/>
  <c r="AF192" i="3"/>
  <c r="AD66" i="3"/>
  <c r="AF66" i="3"/>
  <c r="AD44" i="3"/>
  <c r="AF44" i="3"/>
  <c r="O182" i="3"/>
  <c r="S182" i="3"/>
  <c r="V182" i="3"/>
  <c r="Z182" i="3"/>
  <c r="X33" i="10"/>
  <c r="X142" i="10"/>
  <c r="AF138" i="3"/>
  <c r="AD138" i="3"/>
  <c r="AF21" i="10"/>
  <c r="AA21" i="10"/>
  <c r="O23" i="3"/>
  <c r="S23" i="3"/>
  <c r="V23" i="3"/>
  <c r="Z23" i="3"/>
  <c r="O122" i="3"/>
  <c r="S122" i="3"/>
  <c r="V122" i="3"/>
  <c r="Z122" i="3"/>
  <c r="AF122" i="10"/>
  <c r="AF164" i="3"/>
  <c r="AD164" i="3"/>
  <c r="AD219" i="3"/>
  <c r="AF219" i="3"/>
  <c r="AA143" i="10"/>
  <c r="AF143" i="10"/>
  <c r="AF134" i="3"/>
  <c r="AD134" i="3"/>
  <c r="AF133" i="3"/>
  <c r="AD133" i="3"/>
  <c r="O27" i="3"/>
  <c r="S27" i="3"/>
  <c r="Q267" i="3" s="1"/>
  <c r="V27" i="3"/>
  <c r="Z27" i="3"/>
  <c r="AA27" i="10"/>
  <c r="AF217" i="3"/>
  <c r="AD217" i="3"/>
  <c r="AF162" i="3"/>
  <c r="AD162" i="3"/>
  <c r="AA56" i="10"/>
  <c r="AF56" i="10"/>
  <c r="AD49" i="3"/>
  <c r="AF49" i="3"/>
  <c r="X139" i="10"/>
  <c r="AD168" i="3"/>
  <c r="AF168" i="3"/>
  <c r="O100" i="3"/>
  <c r="S100" i="3"/>
  <c r="V100" i="3"/>
  <c r="Z100" i="3"/>
  <c r="AD92" i="3"/>
  <c r="AF92" i="3"/>
  <c r="AF105" i="3"/>
  <c r="AD105" i="3"/>
  <c r="AF112" i="3"/>
  <c r="AD112" i="3"/>
  <c r="AF96" i="3"/>
  <c r="AD96" i="3"/>
  <c r="O13" i="3"/>
  <c r="S13" i="3"/>
  <c r="V13" i="3"/>
  <c r="Z13" i="3"/>
  <c r="AD118" i="3"/>
  <c r="AF118" i="3"/>
  <c r="AF120" i="10"/>
  <c r="AA120" i="10"/>
  <c r="AD70" i="3"/>
  <c r="AF70" i="3"/>
  <c r="X31" i="10"/>
  <c r="AD214" i="3"/>
  <c r="AF214" i="3"/>
  <c r="X78" i="10"/>
  <c r="X209" i="10"/>
  <c r="AF74" i="3"/>
  <c r="AD74" i="3"/>
  <c r="O55" i="3"/>
  <c r="S55" i="3"/>
  <c r="V55" i="3"/>
  <c r="Z55" i="3"/>
  <c r="AF47" i="3"/>
  <c r="AD47" i="3"/>
  <c r="AD113" i="3"/>
  <c r="AF113" i="3"/>
  <c r="O22" i="3"/>
  <c r="S22" i="3"/>
  <c r="V22" i="3"/>
  <c r="Z22" i="3"/>
  <c r="AD131" i="3"/>
  <c r="AF131" i="3"/>
  <c r="AF126" i="3"/>
  <c r="AD126" i="3"/>
  <c r="AD54" i="3"/>
  <c r="AF54" i="3"/>
  <c r="O30" i="3"/>
  <c r="S30" i="3"/>
  <c r="V30" i="3"/>
  <c r="Z30" i="3"/>
  <c r="N222" i="10"/>
  <c r="N8" i="10" s="1"/>
  <c r="X12" i="10"/>
  <c r="AD94" i="3"/>
  <c r="AF94" i="3"/>
  <c r="AF181" i="3"/>
  <c r="AD181" i="3"/>
  <c r="AF132" i="3"/>
  <c r="AD132" i="3"/>
  <c r="AD121" i="3"/>
  <c r="AF121" i="3"/>
  <c r="AD53" i="3"/>
  <c r="AF53" i="3"/>
  <c r="X81" i="10"/>
  <c r="AF189" i="3"/>
  <c r="AD189" i="3"/>
  <c r="AD28" i="3"/>
  <c r="AF28" i="3"/>
  <c r="X144" i="10"/>
  <c r="X213" i="10"/>
  <c r="N232" i="10" l="1"/>
  <c r="M267" i="3"/>
  <c r="T269" i="3"/>
  <c r="Q299" i="3"/>
  <c r="M238" i="3"/>
  <c r="T267" i="3"/>
  <c r="AH53" i="3"/>
  <c r="F53" i="10" s="1"/>
  <c r="D53" i="10"/>
  <c r="AM53" i="3"/>
  <c r="AP53" i="3"/>
  <c r="AQ53" i="3"/>
  <c r="AH132" i="3"/>
  <c r="F132" i="10" s="1"/>
  <c r="D132" i="10"/>
  <c r="AM132" i="3"/>
  <c r="AP132" i="3"/>
  <c r="AQ132" i="3"/>
  <c r="N262" i="10"/>
  <c r="X239" i="3"/>
  <c r="X312" i="3"/>
  <c r="X265" i="3"/>
  <c r="AC30" i="3"/>
  <c r="X280" i="3"/>
  <c r="X311" i="3"/>
  <c r="X237" i="3"/>
  <c r="X297" i="3"/>
  <c r="AC22" i="3"/>
  <c r="AM113" i="3"/>
  <c r="AP113" i="3"/>
  <c r="AH113" i="3"/>
  <c r="F113" i="10" s="1"/>
  <c r="D113" i="10"/>
  <c r="AQ113" i="3"/>
  <c r="M241" i="3"/>
  <c r="M313" i="3"/>
  <c r="X285" i="3"/>
  <c r="X272" i="3"/>
  <c r="AC13" i="3"/>
  <c r="AH92" i="3"/>
  <c r="F92" i="10" s="1"/>
  <c r="AP92" i="3"/>
  <c r="D92" i="10"/>
  <c r="AM92" i="3"/>
  <c r="AQ92" i="3"/>
  <c r="M316" i="3"/>
  <c r="M247" i="3"/>
  <c r="AM168" i="3"/>
  <c r="AH168" i="3"/>
  <c r="F168" i="10" s="1"/>
  <c r="D168" i="10"/>
  <c r="AP168" i="3"/>
  <c r="AQ168" i="3"/>
  <c r="AM217" i="3"/>
  <c r="D217" i="10"/>
  <c r="AP217" i="3"/>
  <c r="AH217" i="3"/>
  <c r="F217" i="10" s="1"/>
  <c r="AQ217" i="3"/>
  <c r="X300" i="3"/>
  <c r="X251" i="3"/>
  <c r="AC122" i="3"/>
  <c r="T298" i="3"/>
  <c r="M321" i="3"/>
  <c r="M256" i="3"/>
  <c r="X248" i="3"/>
  <c r="AC101" i="3"/>
  <c r="X301" i="3"/>
  <c r="AC128" i="3"/>
  <c r="D61" i="10"/>
  <c r="AP61" i="3"/>
  <c r="AM61" i="3"/>
  <c r="AH61" i="3"/>
  <c r="F61" i="10" s="1"/>
  <c r="AQ61" i="3"/>
  <c r="AP46" i="3"/>
  <c r="AH46" i="3"/>
  <c r="F46" i="10" s="1"/>
  <c r="AM46" i="3"/>
  <c r="D46" i="10"/>
  <c r="AQ46" i="3"/>
  <c r="AM149" i="3"/>
  <c r="AP149" i="3"/>
  <c r="AH149" i="3"/>
  <c r="F149" i="10" s="1"/>
  <c r="D149" i="10"/>
  <c r="AQ149" i="3"/>
  <c r="AP79" i="3"/>
  <c r="AM79" i="3"/>
  <c r="AH79" i="3"/>
  <c r="F79" i="10" s="1"/>
  <c r="D79" i="10"/>
  <c r="AQ79" i="3"/>
  <c r="AM155" i="3"/>
  <c r="AP155" i="3"/>
  <c r="AH155" i="3"/>
  <c r="F155" i="10" s="1"/>
  <c r="D155" i="10"/>
  <c r="AQ155" i="3"/>
  <c r="D29" i="10"/>
  <c r="AM29" i="3"/>
  <c r="AH29" i="3"/>
  <c r="F29" i="10" s="1"/>
  <c r="AP29" i="3"/>
  <c r="AQ29" i="3"/>
  <c r="X284" i="3"/>
  <c r="Z222" i="3"/>
  <c r="X270" i="3"/>
  <c r="AC12" i="3"/>
  <c r="L324" i="3"/>
  <c r="D106" i="10"/>
  <c r="AM106" i="3"/>
  <c r="AH106" i="3"/>
  <c r="F106" i="10" s="1"/>
  <c r="AP106" i="3"/>
  <c r="AQ106" i="3"/>
  <c r="AM158" i="3"/>
  <c r="AH158" i="3"/>
  <c r="F158" i="10" s="1"/>
  <c r="AP158" i="3"/>
  <c r="D158" i="10"/>
  <c r="AQ158" i="3"/>
  <c r="Q266" i="3"/>
  <c r="AH123" i="3"/>
  <c r="F123" i="10" s="1"/>
  <c r="AM123" i="3"/>
  <c r="AP123" i="3"/>
  <c r="D123" i="10"/>
  <c r="AQ123" i="3"/>
  <c r="AM215" i="3"/>
  <c r="AH215" i="3"/>
  <c r="F215" i="10" s="1"/>
  <c r="AP215" i="3"/>
  <c r="D215" i="10"/>
  <c r="AQ215" i="3"/>
  <c r="AH64" i="3"/>
  <c r="F64" i="10" s="1"/>
  <c r="AP64" i="3"/>
  <c r="D64" i="10"/>
  <c r="AM64" i="3"/>
  <c r="AQ64" i="3"/>
  <c r="D165" i="10"/>
  <c r="AP165" i="3"/>
  <c r="AM165" i="3"/>
  <c r="AH165" i="3"/>
  <c r="F165" i="10" s="1"/>
  <c r="AQ165" i="3"/>
  <c r="Q244" i="3"/>
  <c r="Q314" i="3"/>
  <c r="Q227" i="3"/>
  <c r="D50" i="10"/>
  <c r="AP50" i="3"/>
  <c r="AH50" i="3"/>
  <c r="F50" i="10" s="1"/>
  <c r="AM50" i="3"/>
  <c r="AQ50" i="3"/>
  <c r="D176" i="10"/>
  <c r="AH176" i="3"/>
  <c r="F176" i="10" s="1"/>
  <c r="AP176" i="3"/>
  <c r="AM176" i="3"/>
  <c r="AQ176" i="3"/>
  <c r="X242" i="3"/>
  <c r="AC56" i="3"/>
  <c r="AP125" i="3"/>
  <c r="AH125" i="3"/>
  <c r="F125" i="10" s="1"/>
  <c r="D125" i="10"/>
  <c r="AM125" i="3"/>
  <c r="AQ125" i="3"/>
  <c r="AP220" i="3"/>
  <c r="D220" i="10"/>
  <c r="AH220" i="3"/>
  <c r="F220" i="10" s="1"/>
  <c r="AM220" i="3"/>
  <c r="AQ220" i="3"/>
  <c r="AM195" i="3"/>
  <c r="AH195" i="3"/>
  <c r="F195" i="10" s="1"/>
  <c r="D195" i="10"/>
  <c r="AP195" i="3"/>
  <c r="AQ195" i="3"/>
  <c r="AM72" i="3"/>
  <c r="D72" i="10"/>
  <c r="AP72" i="3"/>
  <c r="AH72" i="3"/>
  <c r="F72" i="10" s="1"/>
  <c r="AQ72" i="3"/>
  <c r="AM130" i="3"/>
  <c r="AH130" i="3"/>
  <c r="F130" i="10" s="1"/>
  <c r="D130" i="10"/>
  <c r="AP130" i="3"/>
  <c r="AQ130" i="3"/>
  <c r="AH36" i="3"/>
  <c r="F36" i="10" s="1"/>
  <c r="D36" i="10"/>
  <c r="AP36" i="3"/>
  <c r="AM36" i="3"/>
  <c r="AQ36" i="3"/>
  <c r="AC65" i="3"/>
  <c r="L275" i="3"/>
  <c r="Q268" i="3"/>
  <c r="X282" i="3"/>
  <c r="X295" i="3"/>
  <c r="AC15" i="3"/>
  <c r="AP34" i="3"/>
  <c r="AM34" i="3"/>
  <c r="D34" i="10"/>
  <c r="AH34" i="3"/>
  <c r="F34" i="10" s="1"/>
  <c r="AQ34" i="3"/>
  <c r="D86" i="10"/>
  <c r="AM86" i="3"/>
  <c r="AH86" i="3"/>
  <c r="F86" i="10" s="1"/>
  <c r="AP86" i="3"/>
  <c r="AQ86" i="3"/>
  <c r="X250" i="3"/>
  <c r="X317" i="3"/>
  <c r="AC120" i="3"/>
  <c r="Q258" i="3"/>
  <c r="Q322" i="3"/>
  <c r="T229" i="3"/>
  <c r="T253" i="3"/>
  <c r="T319" i="3"/>
  <c r="Q273" i="3"/>
  <c r="Q320" i="3"/>
  <c r="Q254" i="3"/>
  <c r="AP166" i="3"/>
  <c r="AM166" i="3"/>
  <c r="D166" i="10"/>
  <c r="AH166" i="3"/>
  <c r="F166" i="10" s="1"/>
  <c r="AQ166" i="3"/>
  <c r="D200" i="10"/>
  <c r="AH200" i="3"/>
  <c r="F200" i="10" s="1"/>
  <c r="AM200" i="3"/>
  <c r="AP200" i="3"/>
  <c r="AQ200" i="3"/>
  <c r="Q281" i="3"/>
  <c r="Q271" i="3"/>
  <c r="Q294" i="3"/>
  <c r="Q236" i="3"/>
  <c r="AH202" i="3"/>
  <c r="F202" i="10" s="1"/>
  <c r="AM202" i="3"/>
  <c r="AP202" i="3"/>
  <c r="D202" i="10"/>
  <c r="AQ202" i="3"/>
  <c r="M283" i="3"/>
  <c r="D156" i="10"/>
  <c r="AH156" i="3"/>
  <c r="F156" i="10" s="1"/>
  <c r="AM156" i="3"/>
  <c r="AP156" i="3"/>
  <c r="AQ156" i="3"/>
  <c r="AP216" i="3"/>
  <c r="AM216" i="3"/>
  <c r="D216" i="10"/>
  <c r="AH216" i="3"/>
  <c r="F216" i="10" s="1"/>
  <c r="AQ216" i="3"/>
  <c r="AH218" i="3"/>
  <c r="F218" i="10" s="1"/>
  <c r="D218" i="10"/>
  <c r="AM218" i="3"/>
  <c r="AP218" i="3"/>
  <c r="AQ218" i="3"/>
  <c r="D124" i="10"/>
  <c r="AH124" i="3"/>
  <c r="F124" i="10" s="1"/>
  <c r="AP124" i="3"/>
  <c r="AM124" i="3"/>
  <c r="AQ124" i="3"/>
  <c r="D104" i="10"/>
  <c r="AM104" i="3"/>
  <c r="AH104" i="3"/>
  <c r="F104" i="10" s="1"/>
  <c r="AP104" i="3"/>
  <c r="AQ104" i="3"/>
  <c r="X243" i="3"/>
  <c r="AC62" i="3"/>
  <c r="Q279" i="3"/>
  <c r="X287" i="3"/>
  <c r="AC31" i="3"/>
  <c r="M245" i="3"/>
  <c r="M315" i="3"/>
  <c r="X228" i="3"/>
  <c r="X252" i="3"/>
  <c r="X318" i="3"/>
  <c r="AC139" i="3"/>
  <c r="AP107" i="3"/>
  <c r="AH107" i="3"/>
  <c r="F107" i="10" s="1"/>
  <c r="D107" i="10"/>
  <c r="AM107" i="3"/>
  <c r="AQ107" i="3"/>
  <c r="AM135" i="3"/>
  <c r="D135" i="10"/>
  <c r="AP135" i="3"/>
  <c r="AH135" i="3"/>
  <c r="F135" i="10" s="1"/>
  <c r="AQ135" i="3"/>
  <c r="AM63" i="3"/>
  <c r="D63" i="10"/>
  <c r="AP63" i="3"/>
  <c r="AH63" i="3"/>
  <c r="F63" i="10" s="1"/>
  <c r="AQ63" i="3"/>
  <c r="AH114" i="3"/>
  <c r="F114" i="10" s="1"/>
  <c r="AM114" i="3"/>
  <c r="D114" i="10"/>
  <c r="AP114" i="3"/>
  <c r="AQ114" i="3"/>
  <c r="AP180" i="3"/>
  <c r="AM180" i="3"/>
  <c r="D180" i="10"/>
  <c r="AH180" i="3"/>
  <c r="F180" i="10" s="1"/>
  <c r="AQ180" i="3"/>
  <c r="AM151" i="3"/>
  <c r="AP151" i="3"/>
  <c r="AH151" i="3"/>
  <c r="F151" i="10" s="1"/>
  <c r="D151" i="10"/>
  <c r="AQ151" i="3"/>
  <c r="T286" i="3"/>
  <c r="T296" i="3"/>
  <c r="AM67" i="3"/>
  <c r="D67" i="10"/>
  <c r="AP67" i="3"/>
  <c r="AH67" i="3"/>
  <c r="F67" i="10" s="1"/>
  <c r="AQ67" i="3"/>
  <c r="AM110" i="3"/>
  <c r="D110" i="10"/>
  <c r="AH110" i="3"/>
  <c r="F110" i="10" s="1"/>
  <c r="AP110" i="3"/>
  <c r="AQ110" i="3"/>
  <c r="AM76" i="3"/>
  <c r="AP76" i="3"/>
  <c r="AH76" i="3"/>
  <c r="F76" i="10" s="1"/>
  <c r="D76" i="10"/>
  <c r="AQ76" i="3"/>
  <c r="AP189" i="3"/>
  <c r="AH189" i="3"/>
  <c r="F189" i="10" s="1"/>
  <c r="D189" i="10"/>
  <c r="AM189" i="3"/>
  <c r="AQ189" i="3"/>
  <c r="N307" i="10"/>
  <c r="D74" i="10"/>
  <c r="AP74" i="3"/>
  <c r="AM74" i="3"/>
  <c r="AH74" i="3"/>
  <c r="F74" i="10" s="1"/>
  <c r="AQ74" i="3"/>
  <c r="T285" i="3"/>
  <c r="T272" i="3"/>
  <c r="X247" i="3"/>
  <c r="X316" i="3"/>
  <c r="AC100" i="3"/>
  <c r="AP49" i="3"/>
  <c r="AH49" i="3"/>
  <c r="F49" i="10" s="1"/>
  <c r="AM49" i="3"/>
  <c r="D49" i="10"/>
  <c r="AQ49" i="3"/>
  <c r="AP133" i="3"/>
  <c r="AM133" i="3"/>
  <c r="AH133" i="3"/>
  <c r="F133" i="10" s="1"/>
  <c r="D133" i="10"/>
  <c r="AQ133" i="3"/>
  <c r="D164" i="10"/>
  <c r="AM164" i="3"/>
  <c r="AP164" i="3"/>
  <c r="AH164" i="3"/>
  <c r="F164" i="10" s="1"/>
  <c r="AQ164" i="3"/>
  <c r="T300" i="3"/>
  <c r="T251" i="3"/>
  <c r="Q298" i="3"/>
  <c r="D138" i="10"/>
  <c r="AP138" i="3"/>
  <c r="AH138" i="3"/>
  <c r="F138" i="10" s="1"/>
  <c r="AM138" i="3"/>
  <c r="AQ138" i="3"/>
  <c r="X256" i="3"/>
  <c r="X321" i="3"/>
  <c r="AC182" i="3"/>
  <c r="AM66" i="3"/>
  <c r="AP66" i="3"/>
  <c r="AH66" i="3"/>
  <c r="F66" i="10" s="1"/>
  <c r="D66" i="10"/>
  <c r="AQ66" i="3"/>
  <c r="AH159" i="3"/>
  <c r="F159" i="10" s="1"/>
  <c r="AP159" i="3"/>
  <c r="AM159" i="3"/>
  <c r="D159" i="10"/>
  <c r="AQ159" i="3"/>
  <c r="X299" i="3"/>
  <c r="AC108" i="3"/>
  <c r="X269" i="3"/>
  <c r="AC17" i="3"/>
  <c r="X259" i="3"/>
  <c r="AC213" i="3"/>
  <c r="AN45" i="3"/>
  <c r="AI45" i="3"/>
  <c r="V222" i="3"/>
  <c r="T270" i="3"/>
  <c r="T284" i="3"/>
  <c r="L7" i="3"/>
  <c r="M266" i="3"/>
  <c r="AH191" i="3"/>
  <c r="F191" i="10" s="1"/>
  <c r="D191" i="10"/>
  <c r="AM191" i="3"/>
  <c r="AP191" i="3"/>
  <c r="AQ191" i="3"/>
  <c r="M227" i="3"/>
  <c r="M314" i="3"/>
  <c r="M244" i="3"/>
  <c r="AM77" i="3"/>
  <c r="D77" i="10"/>
  <c r="AP77" i="3"/>
  <c r="AH77" i="3"/>
  <c r="F77" i="10" s="1"/>
  <c r="AQ77" i="3"/>
  <c r="AP140" i="3"/>
  <c r="D140" i="10"/>
  <c r="AH140" i="3"/>
  <c r="F140" i="10" s="1"/>
  <c r="AM140" i="3"/>
  <c r="AQ140" i="3"/>
  <c r="AP57" i="3"/>
  <c r="D57" i="10"/>
  <c r="AM57" i="3"/>
  <c r="AH57" i="3"/>
  <c r="F57" i="10" s="1"/>
  <c r="AQ57" i="3"/>
  <c r="AM82" i="3"/>
  <c r="AH82" i="3"/>
  <c r="F82" i="10" s="1"/>
  <c r="D82" i="10"/>
  <c r="AP82" i="3"/>
  <c r="AQ82" i="3"/>
  <c r="D89" i="10"/>
  <c r="AH89" i="3"/>
  <c r="F89" i="10" s="1"/>
  <c r="AP89" i="3"/>
  <c r="AM89" i="3"/>
  <c r="AQ89" i="3"/>
  <c r="D85" i="10"/>
  <c r="AP85" i="3"/>
  <c r="AH85" i="3"/>
  <c r="F85" i="10" s="1"/>
  <c r="AM85" i="3"/>
  <c r="AQ85" i="3"/>
  <c r="M268" i="3"/>
  <c r="AM109" i="3"/>
  <c r="AP109" i="3"/>
  <c r="AH109" i="3"/>
  <c r="F109" i="10" s="1"/>
  <c r="D109" i="10"/>
  <c r="AQ109" i="3"/>
  <c r="T295" i="3"/>
  <c r="T282" i="3"/>
  <c r="D173" i="10"/>
  <c r="AH173" i="3"/>
  <c r="F173" i="10" s="1"/>
  <c r="AM173" i="3"/>
  <c r="AP173" i="3"/>
  <c r="AQ173" i="3"/>
  <c r="T317" i="3"/>
  <c r="T250" i="3"/>
  <c r="M322" i="3"/>
  <c r="M258" i="3"/>
  <c r="AM59" i="3"/>
  <c r="AP59" i="3"/>
  <c r="D59" i="10"/>
  <c r="AH59" i="3"/>
  <c r="F59" i="10" s="1"/>
  <c r="AQ59" i="3"/>
  <c r="Q229" i="3"/>
  <c r="Q319" i="3"/>
  <c r="Q253" i="3"/>
  <c r="M273" i="3"/>
  <c r="M254" i="3"/>
  <c r="M320" i="3"/>
  <c r="AM39" i="3"/>
  <c r="D39" i="10"/>
  <c r="AP39" i="3"/>
  <c r="AH39" i="3"/>
  <c r="F39" i="10" s="1"/>
  <c r="AQ39" i="3"/>
  <c r="M271" i="3"/>
  <c r="M236" i="3"/>
  <c r="M294" i="3"/>
  <c r="M281" i="3"/>
  <c r="AH150" i="3"/>
  <c r="F150" i="10" s="1"/>
  <c r="AM150" i="3"/>
  <c r="D150" i="10"/>
  <c r="AP150" i="3"/>
  <c r="AQ150" i="3"/>
  <c r="X283" i="3"/>
  <c r="AC21" i="3"/>
  <c r="D146" i="10"/>
  <c r="AM146" i="3"/>
  <c r="AP146" i="3"/>
  <c r="AH146" i="3"/>
  <c r="F146" i="10" s="1"/>
  <c r="AQ146" i="3"/>
  <c r="X249" i="3"/>
  <c r="AC102" i="3"/>
  <c r="AH136" i="3"/>
  <c r="F136" i="10" s="1"/>
  <c r="D136" i="10"/>
  <c r="AM136" i="3"/>
  <c r="AP136" i="3"/>
  <c r="AQ136" i="3"/>
  <c r="AP152" i="3"/>
  <c r="AH152" i="3"/>
  <c r="F152" i="10" s="1"/>
  <c r="AM152" i="3"/>
  <c r="D152" i="10"/>
  <c r="AQ152" i="3"/>
  <c r="X238" i="3"/>
  <c r="AC24" i="3"/>
  <c r="D69" i="10"/>
  <c r="AM69" i="3"/>
  <c r="AP69" i="3"/>
  <c r="AH69" i="3"/>
  <c r="F69" i="10" s="1"/>
  <c r="AQ69" i="3"/>
  <c r="AP147" i="3"/>
  <c r="D147" i="10"/>
  <c r="AM147" i="3"/>
  <c r="AH147" i="3"/>
  <c r="F147" i="10" s="1"/>
  <c r="AQ147" i="3"/>
  <c r="AP186" i="3"/>
  <c r="AM186" i="3"/>
  <c r="AH186" i="3"/>
  <c r="F186" i="10" s="1"/>
  <c r="D186" i="10"/>
  <c r="AQ186" i="3"/>
  <c r="T243" i="3"/>
  <c r="M279" i="3"/>
  <c r="AH137" i="3"/>
  <c r="F137" i="10" s="1"/>
  <c r="AP137" i="3"/>
  <c r="AM137" i="3"/>
  <c r="D137" i="10"/>
  <c r="AQ137" i="3"/>
  <c r="T287" i="3"/>
  <c r="X245" i="3"/>
  <c r="X315" i="3"/>
  <c r="AC80" i="3"/>
  <c r="T228" i="3"/>
  <c r="T318" i="3"/>
  <c r="T252" i="3"/>
  <c r="AM183" i="3"/>
  <c r="AH183" i="3"/>
  <c r="F183" i="10" s="1"/>
  <c r="AP183" i="3"/>
  <c r="D183" i="10"/>
  <c r="AQ183" i="3"/>
  <c r="D194" i="10"/>
  <c r="AM194" i="3"/>
  <c r="AP194" i="3"/>
  <c r="AH194" i="3"/>
  <c r="F194" i="10" s="1"/>
  <c r="AQ194" i="3"/>
  <c r="AP42" i="3"/>
  <c r="D42" i="10"/>
  <c r="AH42" i="3"/>
  <c r="F42" i="10" s="1"/>
  <c r="AM42" i="3"/>
  <c r="AQ42" i="3"/>
  <c r="AC26" i="3"/>
  <c r="L289" i="3"/>
  <c r="AP198" i="3"/>
  <c r="AH198" i="3"/>
  <c r="F198" i="10" s="1"/>
  <c r="D198" i="10"/>
  <c r="AM198" i="3"/>
  <c r="AQ198" i="3"/>
  <c r="D97" i="10"/>
  <c r="AP97" i="3"/>
  <c r="AH97" i="3"/>
  <c r="F97" i="10" s="1"/>
  <c r="AM97" i="3"/>
  <c r="AQ97" i="3"/>
  <c r="AM83" i="3"/>
  <c r="D83" i="10"/>
  <c r="AP83" i="3"/>
  <c r="AH83" i="3"/>
  <c r="F83" i="10" s="1"/>
  <c r="AQ83" i="3"/>
  <c r="Q296" i="3"/>
  <c r="Q286" i="3"/>
  <c r="AH205" i="3"/>
  <c r="F205" i="10" s="1"/>
  <c r="AP205" i="3"/>
  <c r="D205" i="10"/>
  <c r="AM205" i="3"/>
  <c r="AQ205" i="3"/>
  <c r="AP163" i="3"/>
  <c r="AM163" i="3"/>
  <c r="D163" i="10"/>
  <c r="AH163" i="3"/>
  <c r="F163" i="10" s="1"/>
  <c r="AQ163" i="3"/>
  <c r="AP153" i="3"/>
  <c r="AH153" i="3"/>
  <c r="F153" i="10" s="1"/>
  <c r="AM153" i="3"/>
  <c r="D153" i="10"/>
  <c r="AQ153" i="3"/>
  <c r="D206" i="10"/>
  <c r="AM206" i="3"/>
  <c r="AH206" i="3"/>
  <c r="F206" i="10" s="1"/>
  <c r="AP206" i="3"/>
  <c r="AQ206" i="3"/>
  <c r="T239" i="3"/>
  <c r="T312" i="3"/>
  <c r="T265" i="3"/>
  <c r="AP131" i="3"/>
  <c r="AM131" i="3"/>
  <c r="D131" i="10"/>
  <c r="AH131" i="3"/>
  <c r="F131" i="10" s="1"/>
  <c r="AQ131" i="3"/>
  <c r="T237" i="3"/>
  <c r="T280" i="3"/>
  <c r="T311" i="3"/>
  <c r="T297" i="3"/>
  <c r="X241" i="3"/>
  <c r="X313" i="3"/>
  <c r="AC55" i="3"/>
  <c r="D112" i="10"/>
  <c r="AM112" i="3"/>
  <c r="AH112" i="3"/>
  <c r="F112" i="10" s="1"/>
  <c r="AP112" i="3"/>
  <c r="AQ112" i="3"/>
  <c r="AP28" i="3"/>
  <c r="AM28" i="3"/>
  <c r="AH28" i="3"/>
  <c r="F28" i="10" s="1"/>
  <c r="D28" i="10"/>
  <c r="AQ28" i="3"/>
  <c r="AP121" i="3"/>
  <c r="AM121" i="3"/>
  <c r="AH121" i="3"/>
  <c r="F121" i="10" s="1"/>
  <c r="D121" i="10"/>
  <c r="AQ121" i="3"/>
  <c r="AP181" i="3"/>
  <c r="AH181" i="3"/>
  <c r="F181" i="10" s="1"/>
  <c r="AM181" i="3"/>
  <c r="D181" i="10"/>
  <c r="AQ181" i="3"/>
  <c r="U4" i="10"/>
  <c r="U5" i="10"/>
  <c r="W12" i="10"/>
  <c r="N325" i="10"/>
  <c r="Q239" i="3"/>
  <c r="Q312" i="3"/>
  <c r="Q265" i="3"/>
  <c r="AM126" i="3"/>
  <c r="AP126" i="3"/>
  <c r="D126" i="10"/>
  <c r="AH126" i="3"/>
  <c r="F126" i="10" s="1"/>
  <c r="AQ126" i="3"/>
  <c r="Q297" i="3"/>
  <c r="Q311" i="3"/>
  <c r="Q237" i="3"/>
  <c r="Q280" i="3"/>
  <c r="T313" i="3"/>
  <c r="T241" i="3"/>
  <c r="AP118" i="3"/>
  <c r="D118" i="10"/>
  <c r="AH118" i="3"/>
  <c r="F118" i="10" s="1"/>
  <c r="AM118" i="3"/>
  <c r="AQ118" i="3"/>
  <c r="Q285" i="3"/>
  <c r="Q272" i="3"/>
  <c r="T247" i="3"/>
  <c r="T316" i="3"/>
  <c r="D162" i="10"/>
  <c r="AM162" i="3"/>
  <c r="AP162" i="3"/>
  <c r="AH162" i="3"/>
  <c r="F162" i="10" s="1"/>
  <c r="AQ162" i="3"/>
  <c r="AM219" i="3"/>
  <c r="AH219" i="3"/>
  <c r="F219" i="10" s="1"/>
  <c r="D219" i="10"/>
  <c r="AP219" i="3"/>
  <c r="AQ219" i="3"/>
  <c r="Q300" i="3"/>
  <c r="Q251" i="3"/>
  <c r="M298" i="3"/>
  <c r="T321" i="3"/>
  <c r="T256" i="3"/>
  <c r="X255" i="3"/>
  <c r="AC174" i="3"/>
  <c r="AM208" i="3"/>
  <c r="AH208" i="3"/>
  <c r="F208" i="10" s="1"/>
  <c r="AP208" i="3"/>
  <c r="D208" i="10"/>
  <c r="AQ208" i="3"/>
  <c r="X304" i="3"/>
  <c r="AC144" i="3"/>
  <c r="AM161" i="3"/>
  <c r="D161" i="10"/>
  <c r="AH161" i="3"/>
  <c r="F161" i="10" s="1"/>
  <c r="AP161" i="3"/>
  <c r="AQ161" i="3"/>
  <c r="D212" i="10"/>
  <c r="AP212" i="3"/>
  <c r="AM212" i="3"/>
  <c r="AH212" i="3"/>
  <c r="F212" i="10" s="1"/>
  <c r="AQ212" i="3"/>
  <c r="Q270" i="3"/>
  <c r="Q284" i="3"/>
  <c r="S222" i="3"/>
  <c r="L231" i="3"/>
  <c r="L261" i="3"/>
  <c r="D141" i="10"/>
  <c r="AH141" i="3"/>
  <c r="F141" i="10" s="1"/>
  <c r="AM141" i="3"/>
  <c r="AP141" i="3"/>
  <c r="AQ141" i="3"/>
  <c r="X266" i="3"/>
  <c r="AC41" i="3"/>
  <c r="D196" i="10"/>
  <c r="AH196" i="3"/>
  <c r="F196" i="10" s="1"/>
  <c r="AM196" i="3"/>
  <c r="AP196" i="3"/>
  <c r="AQ196" i="3"/>
  <c r="D88" i="10"/>
  <c r="AM88" i="3"/>
  <c r="AH88" i="3"/>
  <c r="F88" i="10" s="1"/>
  <c r="AP88" i="3"/>
  <c r="AQ88" i="3"/>
  <c r="X227" i="3"/>
  <c r="X314" i="3"/>
  <c r="X244" i="3"/>
  <c r="AC78" i="3"/>
  <c r="AH40" i="3"/>
  <c r="F40" i="10" s="1"/>
  <c r="AM40" i="3"/>
  <c r="D40" i="10"/>
  <c r="AP40" i="3"/>
  <c r="AQ40" i="3"/>
  <c r="AP25" i="3"/>
  <c r="AH25" i="3"/>
  <c r="F25" i="10" s="1"/>
  <c r="D25" i="10"/>
  <c r="AM25" i="3"/>
  <c r="AQ25" i="3"/>
  <c r="X303" i="3"/>
  <c r="AC143" i="3"/>
  <c r="AM68" i="3"/>
  <c r="AH68" i="3"/>
  <c r="F68" i="10" s="1"/>
  <c r="AP68" i="3"/>
  <c r="D68" i="10"/>
  <c r="AQ68" i="3"/>
  <c r="AM170" i="3"/>
  <c r="AP170" i="3"/>
  <c r="D170" i="10"/>
  <c r="AH170" i="3"/>
  <c r="F170" i="10" s="1"/>
  <c r="AQ170" i="3"/>
  <c r="AM98" i="3"/>
  <c r="AP98" i="3"/>
  <c r="AH98" i="3"/>
  <c r="F98" i="10" s="1"/>
  <c r="D98" i="10"/>
  <c r="AQ98" i="3"/>
  <c r="AH75" i="3"/>
  <c r="F75" i="10" s="1"/>
  <c r="AM75" i="3"/>
  <c r="AP75" i="3"/>
  <c r="D75" i="10"/>
  <c r="AQ75" i="3"/>
  <c r="D117" i="10"/>
  <c r="AH117" i="3"/>
  <c r="F117" i="10" s="1"/>
  <c r="AP117" i="3"/>
  <c r="AM117" i="3"/>
  <c r="AQ117" i="3"/>
  <c r="X240" i="3"/>
  <c r="AC33" i="3"/>
  <c r="X268" i="3"/>
  <c r="AC16" i="3"/>
  <c r="AH119" i="3"/>
  <c r="F119" i="10" s="1"/>
  <c r="AM119" i="3"/>
  <c r="AP119" i="3"/>
  <c r="D119" i="10"/>
  <c r="AQ119" i="3"/>
  <c r="D179" i="10"/>
  <c r="AP179" i="3"/>
  <c r="AH179" i="3"/>
  <c r="F179" i="10" s="1"/>
  <c r="AM179" i="3"/>
  <c r="AQ179" i="3"/>
  <c r="Q295" i="3"/>
  <c r="Q282" i="3"/>
  <c r="AP211" i="3"/>
  <c r="AM211" i="3"/>
  <c r="D211" i="10"/>
  <c r="AH211" i="3"/>
  <c r="F211" i="10" s="1"/>
  <c r="AQ211" i="3"/>
  <c r="Q317" i="3"/>
  <c r="Q250" i="3"/>
  <c r="X258" i="3"/>
  <c r="X322" i="3"/>
  <c r="AC210" i="3"/>
  <c r="M253" i="3"/>
  <c r="M319" i="3"/>
  <c r="M229" i="3"/>
  <c r="X273" i="3"/>
  <c r="AC19" i="3"/>
  <c r="X320" i="3"/>
  <c r="X254" i="3"/>
  <c r="AC172" i="3"/>
  <c r="AM103" i="3"/>
  <c r="AP103" i="3"/>
  <c r="AH103" i="3"/>
  <c r="F103" i="10" s="1"/>
  <c r="D103" i="10"/>
  <c r="AQ103" i="3"/>
  <c r="AP35" i="3"/>
  <c r="D35" i="10"/>
  <c r="AH35" i="3"/>
  <c r="F35" i="10" s="1"/>
  <c r="AM35" i="3"/>
  <c r="AQ35" i="3"/>
  <c r="X294" i="3"/>
  <c r="X236" i="3"/>
  <c r="X281" i="3"/>
  <c r="X271" i="3"/>
  <c r="AC14" i="3"/>
  <c r="T283" i="3"/>
  <c r="AM177" i="3"/>
  <c r="AP177" i="3"/>
  <c r="AH177" i="3"/>
  <c r="F177" i="10" s="1"/>
  <c r="D177" i="10"/>
  <c r="AQ177" i="3"/>
  <c r="AM201" i="3"/>
  <c r="AP201" i="3"/>
  <c r="D201" i="10"/>
  <c r="AH201" i="3"/>
  <c r="F201" i="10" s="1"/>
  <c r="AQ201" i="3"/>
  <c r="X246" i="3"/>
  <c r="AC81" i="3"/>
  <c r="AH71" i="3"/>
  <c r="F71" i="10" s="1"/>
  <c r="AM71" i="3"/>
  <c r="D71" i="10"/>
  <c r="AP71" i="3"/>
  <c r="AQ71" i="3"/>
  <c r="AM60" i="3"/>
  <c r="AH60" i="3"/>
  <c r="F60" i="10" s="1"/>
  <c r="AP60" i="3"/>
  <c r="D60" i="10"/>
  <c r="AQ60" i="3"/>
  <c r="AP43" i="3"/>
  <c r="D43" i="10"/>
  <c r="AM43" i="3"/>
  <c r="AH43" i="3"/>
  <c r="F43" i="10" s="1"/>
  <c r="AQ43" i="3"/>
  <c r="Q243" i="3"/>
  <c r="AP37" i="3"/>
  <c r="AH37" i="3"/>
  <c r="F37" i="10" s="1"/>
  <c r="D37" i="10"/>
  <c r="AM37" i="3"/>
  <c r="AQ37" i="3"/>
  <c r="X279" i="3"/>
  <c r="AC38" i="3"/>
  <c r="AM169" i="3"/>
  <c r="AP169" i="3"/>
  <c r="AH169" i="3"/>
  <c r="F169" i="10" s="1"/>
  <c r="D169" i="10"/>
  <c r="AQ169" i="3"/>
  <c r="Q287" i="3"/>
  <c r="T245" i="3"/>
  <c r="T315" i="3"/>
  <c r="Q228" i="3"/>
  <c r="Q318" i="3"/>
  <c r="Q252" i="3"/>
  <c r="D187" i="10"/>
  <c r="AM187" i="3"/>
  <c r="AP187" i="3"/>
  <c r="AH187" i="3"/>
  <c r="F187" i="10" s="1"/>
  <c r="AQ187" i="3"/>
  <c r="AP160" i="3"/>
  <c r="D160" i="10"/>
  <c r="AH160" i="3"/>
  <c r="F160" i="10" s="1"/>
  <c r="AM160" i="3"/>
  <c r="AQ160" i="3"/>
  <c r="AH48" i="3"/>
  <c r="F48" i="10" s="1"/>
  <c r="D48" i="10"/>
  <c r="AP48" i="3"/>
  <c r="AM48" i="3"/>
  <c r="AQ48" i="3"/>
  <c r="AP157" i="3"/>
  <c r="AM157" i="3"/>
  <c r="AH157" i="3"/>
  <c r="F157" i="10" s="1"/>
  <c r="D157" i="10"/>
  <c r="AQ157" i="3"/>
  <c r="M296" i="3"/>
  <c r="M286" i="3"/>
  <c r="AH197" i="3"/>
  <c r="F197" i="10" s="1"/>
  <c r="AM197" i="3"/>
  <c r="AP197" i="3"/>
  <c r="D197" i="10"/>
  <c r="AQ197" i="3"/>
  <c r="AM199" i="3"/>
  <c r="D199" i="10"/>
  <c r="AH199" i="3"/>
  <c r="F199" i="10" s="1"/>
  <c r="AP199" i="3"/>
  <c r="AQ199" i="3"/>
  <c r="AM94" i="3"/>
  <c r="D94" i="10"/>
  <c r="AH94" i="3"/>
  <c r="F94" i="10" s="1"/>
  <c r="AP94" i="3"/>
  <c r="AQ94" i="3"/>
  <c r="M312" i="3"/>
  <c r="M265" i="3"/>
  <c r="M239" i="3"/>
  <c r="AP54" i="3"/>
  <c r="D54" i="10"/>
  <c r="AM54" i="3"/>
  <c r="AH54" i="3"/>
  <c r="F54" i="10" s="1"/>
  <c r="AQ54" i="3"/>
  <c r="M297" i="3"/>
  <c r="M311" i="3"/>
  <c r="M237" i="3"/>
  <c r="M280" i="3"/>
  <c r="D47" i="10"/>
  <c r="AH47" i="3"/>
  <c r="F47" i="10" s="1"/>
  <c r="AM47" i="3"/>
  <c r="AP47" i="3"/>
  <c r="AQ47" i="3"/>
  <c r="Q241" i="3"/>
  <c r="Q313" i="3"/>
  <c r="AH214" i="3"/>
  <c r="F214" i="10" s="1"/>
  <c r="D214" i="10"/>
  <c r="AP214" i="3"/>
  <c r="AM214" i="3"/>
  <c r="AQ214" i="3"/>
  <c r="D70" i="10"/>
  <c r="AP70" i="3"/>
  <c r="AM70" i="3"/>
  <c r="AH70" i="3"/>
  <c r="F70" i="10" s="1"/>
  <c r="AQ70" i="3"/>
  <c r="M272" i="3"/>
  <c r="M285" i="3"/>
  <c r="AH96" i="3"/>
  <c r="F96" i="10" s="1"/>
  <c r="D96" i="10"/>
  <c r="AP96" i="3"/>
  <c r="AM96" i="3"/>
  <c r="AQ96" i="3"/>
  <c r="AH105" i="3"/>
  <c r="F105" i="10" s="1"/>
  <c r="D105" i="10"/>
  <c r="AM105" i="3"/>
  <c r="AP105" i="3"/>
  <c r="AQ105" i="3"/>
  <c r="Q247" i="3"/>
  <c r="Q316" i="3"/>
  <c r="X267" i="3"/>
  <c r="AC27" i="3"/>
  <c r="AM134" i="3"/>
  <c r="D134" i="10"/>
  <c r="AH134" i="3"/>
  <c r="F134" i="10" s="1"/>
  <c r="AP134" i="3"/>
  <c r="AQ134" i="3"/>
  <c r="M300" i="3"/>
  <c r="M251" i="3"/>
  <c r="X298" i="3"/>
  <c r="AC23" i="3"/>
  <c r="Q256" i="3"/>
  <c r="Q321" i="3"/>
  <c r="AM44" i="3"/>
  <c r="AH44" i="3"/>
  <c r="F44" i="10" s="1"/>
  <c r="D44" i="10"/>
  <c r="AP44" i="3"/>
  <c r="AQ44" i="3"/>
  <c r="AH192" i="3"/>
  <c r="F192" i="10" s="1"/>
  <c r="AM192" i="3"/>
  <c r="D192" i="10"/>
  <c r="AP192" i="3"/>
  <c r="AQ192" i="3"/>
  <c r="D207" i="10"/>
  <c r="AM207" i="3"/>
  <c r="AH207" i="3"/>
  <c r="F207" i="10" s="1"/>
  <c r="AP207" i="3"/>
  <c r="AQ207" i="3"/>
  <c r="D175" i="10"/>
  <c r="AP175" i="3"/>
  <c r="AM175" i="3"/>
  <c r="AH175" i="3"/>
  <c r="F175" i="10" s="1"/>
  <c r="AQ175" i="3"/>
  <c r="N290" i="10"/>
  <c r="AH115" i="3"/>
  <c r="F115" i="10" s="1"/>
  <c r="AP115" i="3"/>
  <c r="D115" i="10"/>
  <c r="AM115" i="3"/>
  <c r="AQ115" i="3"/>
  <c r="AH204" i="3"/>
  <c r="F204" i="10" s="1"/>
  <c r="AM204" i="3"/>
  <c r="D204" i="10"/>
  <c r="AP204" i="3"/>
  <c r="AQ204" i="3"/>
  <c r="AP190" i="3"/>
  <c r="AM190" i="3"/>
  <c r="D190" i="10"/>
  <c r="AH190" i="3"/>
  <c r="F190" i="10" s="1"/>
  <c r="AQ190" i="3"/>
  <c r="L45" i="10"/>
  <c r="S45" i="10"/>
  <c r="K45" i="10"/>
  <c r="O222" i="3"/>
  <c r="M270" i="3"/>
  <c r="M284" i="3"/>
  <c r="L306" i="3"/>
  <c r="AP193" i="3"/>
  <c r="D193" i="10"/>
  <c r="AM193" i="3"/>
  <c r="AH193" i="3"/>
  <c r="F193" i="10" s="1"/>
  <c r="AQ193" i="3"/>
  <c r="T266" i="3"/>
  <c r="AP84" i="3"/>
  <c r="AM84" i="3"/>
  <c r="AH84" i="3"/>
  <c r="F84" i="10" s="1"/>
  <c r="D84" i="10"/>
  <c r="AQ84" i="3"/>
  <c r="X257" i="3"/>
  <c r="AC209" i="3"/>
  <c r="T314" i="3"/>
  <c r="T244" i="3"/>
  <c r="T227" i="3"/>
  <c r="X302" i="3"/>
  <c r="AC142" i="3"/>
  <c r="AP184" i="3"/>
  <c r="D184" i="10"/>
  <c r="AM184" i="3"/>
  <c r="AH184" i="3"/>
  <c r="F184" i="10" s="1"/>
  <c r="AQ184" i="3"/>
  <c r="D51" i="10"/>
  <c r="AH51" i="3"/>
  <c r="F51" i="10" s="1"/>
  <c r="AM51" i="3"/>
  <c r="AP51" i="3"/>
  <c r="AQ51" i="3"/>
  <c r="AH145" i="3"/>
  <c r="F145" i="10" s="1"/>
  <c r="D145" i="10"/>
  <c r="AM145" i="3"/>
  <c r="AP145" i="3"/>
  <c r="AQ145" i="3"/>
  <c r="AP111" i="3"/>
  <c r="AM111" i="3"/>
  <c r="AH111" i="3"/>
  <c r="F111" i="10" s="1"/>
  <c r="D111" i="10"/>
  <c r="AQ111" i="3"/>
  <c r="T268" i="3"/>
  <c r="AP73" i="3"/>
  <c r="AM73" i="3"/>
  <c r="D73" i="10"/>
  <c r="AH73" i="3"/>
  <c r="F73" i="10" s="1"/>
  <c r="AQ73" i="3"/>
  <c r="M282" i="3"/>
  <c r="M295" i="3"/>
  <c r="AH58" i="3"/>
  <c r="F58" i="10" s="1"/>
  <c r="AM58" i="3"/>
  <c r="AP58" i="3"/>
  <c r="D58" i="10"/>
  <c r="AQ58" i="3"/>
  <c r="AH203" i="3"/>
  <c r="F203" i="10" s="1"/>
  <c r="D203" i="10"/>
  <c r="AM203" i="3"/>
  <c r="AP203" i="3"/>
  <c r="AQ203" i="3"/>
  <c r="D93" i="10"/>
  <c r="AM93" i="3"/>
  <c r="AH93" i="3"/>
  <c r="F93" i="10" s="1"/>
  <c r="AP93" i="3"/>
  <c r="AQ93" i="3"/>
  <c r="M250" i="3"/>
  <c r="M317" i="3"/>
  <c r="T258" i="3"/>
  <c r="T322" i="3"/>
  <c r="AM178" i="3"/>
  <c r="D178" i="10"/>
  <c r="AH178" i="3"/>
  <c r="F178" i="10" s="1"/>
  <c r="AP178" i="3"/>
  <c r="AQ178" i="3"/>
  <c r="X253" i="3"/>
  <c r="X319" i="3"/>
  <c r="X229" i="3"/>
  <c r="AC171" i="3"/>
  <c r="T273" i="3"/>
  <c r="T254" i="3"/>
  <c r="T320" i="3"/>
  <c r="T281" i="3"/>
  <c r="T271" i="3"/>
  <c r="T294" i="3"/>
  <c r="T236" i="3"/>
  <c r="AH90" i="3"/>
  <c r="F90" i="10" s="1"/>
  <c r="D90" i="10"/>
  <c r="AM90" i="3"/>
  <c r="AP90" i="3"/>
  <c r="AQ90" i="3"/>
  <c r="Q283" i="3"/>
  <c r="D154" i="10"/>
  <c r="AM154" i="3"/>
  <c r="AH154" i="3"/>
  <c r="F154" i="10" s="1"/>
  <c r="AP154" i="3"/>
  <c r="AQ154" i="3"/>
  <c r="N276" i="10"/>
  <c r="AP129" i="3"/>
  <c r="AM129" i="3"/>
  <c r="AH129" i="3"/>
  <c r="F129" i="10" s="1"/>
  <c r="D129" i="10"/>
  <c r="AQ129" i="3"/>
  <c r="AH95" i="3"/>
  <c r="F95" i="10" s="1"/>
  <c r="AP95" i="3"/>
  <c r="AM95" i="3"/>
  <c r="D95" i="10"/>
  <c r="AQ95" i="3"/>
  <c r="D127" i="10"/>
  <c r="AH127" i="3"/>
  <c r="F127" i="10" s="1"/>
  <c r="AM127" i="3"/>
  <c r="AP127" i="3"/>
  <c r="AQ127" i="3"/>
  <c r="AP20" i="3"/>
  <c r="AM20" i="3"/>
  <c r="AH20" i="3"/>
  <c r="F20" i="10" s="1"/>
  <c r="D20" i="10"/>
  <c r="AQ20" i="3"/>
  <c r="M243" i="3"/>
  <c r="T279" i="3"/>
  <c r="M287" i="3"/>
  <c r="Q245" i="3"/>
  <c r="Q315" i="3"/>
  <c r="M318" i="3"/>
  <c r="M228" i="3"/>
  <c r="M252" i="3"/>
  <c r="D87" i="10"/>
  <c r="AM87" i="3"/>
  <c r="AH87" i="3"/>
  <c r="F87" i="10" s="1"/>
  <c r="AP87" i="3"/>
  <c r="AQ87" i="3"/>
  <c r="AP91" i="3"/>
  <c r="AM91" i="3"/>
  <c r="AH91" i="3"/>
  <c r="F91" i="10" s="1"/>
  <c r="D91" i="10"/>
  <c r="AQ91" i="3"/>
  <c r="D32" i="10"/>
  <c r="AM32" i="3"/>
  <c r="AP32" i="3"/>
  <c r="AH32" i="3"/>
  <c r="F32" i="10" s="1"/>
  <c r="AQ32" i="3"/>
  <c r="AM188" i="3"/>
  <c r="AH188" i="3"/>
  <c r="F188" i="10" s="1"/>
  <c r="AP188" i="3"/>
  <c r="D188" i="10"/>
  <c r="AQ188" i="3"/>
  <c r="AM167" i="3"/>
  <c r="AH167" i="3"/>
  <c r="F167" i="10" s="1"/>
  <c r="AP167" i="3"/>
  <c r="D167" i="10"/>
  <c r="AQ167" i="3"/>
  <c r="D52" i="10"/>
  <c r="AH52" i="3"/>
  <c r="F52" i="10" s="1"/>
  <c r="AM52" i="3"/>
  <c r="AP52" i="3"/>
  <c r="AQ52" i="3"/>
  <c r="AP148" i="3"/>
  <c r="AM148" i="3"/>
  <c r="D148" i="10"/>
  <c r="AH148" i="3"/>
  <c r="F148" i="10" s="1"/>
  <c r="AQ148" i="3"/>
  <c r="AP99" i="3"/>
  <c r="AH99" i="3"/>
  <c r="F99" i="10" s="1"/>
  <c r="AM99" i="3"/>
  <c r="D99" i="10"/>
  <c r="AQ99" i="3"/>
  <c r="AM185" i="3"/>
  <c r="D185" i="10"/>
  <c r="AH185" i="3"/>
  <c r="F185" i="10" s="1"/>
  <c r="AP185" i="3"/>
  <c r="AQ185" i="3"/>
  <c r="X296" i="3"/>
  <c r="X286" i="3"/>
  <c r="AC18" i="3"/>
  <c r="AP116" i="3"/>
  <c r="AM116" i="3"/>
  <c r="D116" i="10"/>
  <c r="AH116" i="3"/>
  <c r="F116" i="10" s="1"/>
  <c r="AQ116" i="3"/>
  <c r="Q278" i="3" l="1"/>
  <c r="S289" i="3"/>
  <c r="Q289" i="3" s="1"/>
  <c r="L91" i="10"/>
  <c r="K91" i="10"/>
  <c r="S91" i="10"/>
  <c r="AI99" i="3"/>
  <c r="AN99" i="3"/>
  <c r="AI52" i="3"/>
  <c r="AN52" i="3"/>
  <c r="AN188" i="3"/>
  <c r="AI188" i="3"/>
  <c r="AI32" i="3"/>
  <c r="AN32" i="3"/>
  <c r="AI87" i="3"/>
  <c r="AN87" i="3"/>
  <c r="AI148" i="3"/>
  <c r="AN148" i="3"/>
  <c r="K32" i="10"/>
  <c r="L32" i="10"/>
  <c r="S32" i="10"/>
  <c r="L127" i="10"/>
  <c r="S127" i="10"/>
  <c r="K127" i="10"/>
  <c r="AI129" i="3"/>
  <c r="AN129" i="3"/>
  <c r="L203" i="10"/>
  <c r="S203" i="10"/>
  <c r="K203" i="10"/>
  <c r="K116" i="10"/>
  <c r="L116" i="10"/>
  <c r="S116" i="10"/>
  <c r="AD286" i="3"/>
  <c r="AD296" i="3"/>
  <c r="AF18" i="3"/>
  <c r="AD18" i="3"/>
  <c r="K52" i="10"/>
  <c r="L52" i="10"/>
  <c r="S52" i="10"/>
  <c r="K167" i="10"/>
  <c r="S167" i="10"/>
  <c r="L167" i="10"/>
  <c r="AI91" i="3"/>
  <c r="AN91" i="3"/>
  <c r="AN127" i="3"/>
  <c r="AI127" i="3"/>
  <c r="AI95" i="3"/>
  <c r="AN95" i="3"/>
  <c r="K90" i="10"/>
  <c r="S90" i="10"/>
  <c r="L90" i="10"/>
  <c r="AN178" i="3"/>
  <c r="AI178" i="3"/>
  <c r="L93" i="10"/>
  <c r="S93" i="10"/>
  <c r="K93" i="10"/>
  <c r="AN203" i="3"/>
  <c r="AI203" i="3"/>
  <c r="AN58" i="3"/>
  <c r="AI58" i="3"/>
  <c r="AI73" i="3"/>
  <c r="AN73" i="3"/>
  <c r="L111" i="10"/>
  <c r="K111" i="10"/>
  <c r="S111" i="10"/>
  <c r="K184" i="10"/>
  <c r="S184" i="10"/>
  <c r="L184" i="10"/>
  <c r="AF209" i="3"/>
  <c r="AD257" i="3"/>
  <c r="AD209" i="3"/>
  <c r="O231" i="3"/>
  <c r="M231" i="3" s="1"/>
  <c r="M226" i="3"/>
  <c r="K204" i="10"/>
  <c r="S204" i="10"/>
  <c r="L204" i="10"/>
  <c r="S175" i="10"/>
  <c r="L175" i="10"/>
  <c r="K175" i="10"/>
  <c r="L192" i="10"/>
  <c r="K192" i="10"/>
  <c r="S192" i="10"/>
  <c r="AI105" i="3"/>
  <c r="AN105" i="3"/>
  <c r="L70" i="10"/>
  <c r="K70" i="10"/>
  <c r="S70" i="10"/>
  <c r="K214" i="10"/>
  <c r="S214" i="10"/>
  <c r="L214" i="10"/>
  <c r="AI48" i="3"/>
  <c r="AN48" i="3"/>
  <c r="AI187" i="3"/>
  <c r="AN187" i="3"/>
  <c r="AN169" i="3"/>
  <c r="AI169" i="3"/>
  <c r="AN43" i="3"/>
  <c r="AI43" i="3"/>
  <c r="L71" i="10"/>
  <c r="S71" i="10"/>
  <c r="K71" i="10"/>
  <c r="S201" i="10"/>
  <c r="L201" i="10"/>
  <c r="K201" i="10"/>
  <c r="S177" i="10"/>
  <c r="L177" i="10"/>
  <c r="K177" i="10"/>
  <c r="AN177" i="3"/>
  <c r="AI177" i="3"/>
  <c r="S103" i="10"/>
  <c r="L103" i="10"/>
  <c r="K103" i="10"/>
  <c r="AI103" i="3"/>
  <c r="AN103" i="3"/>
  <c r="AF19" i="3"/>
  <c r="AD19" i="3"/>
  <c r="AD273" i="3"/>
  <c r="AN211" i="3"/>
  <c r="AI211" i="3"/>
  <c r="AI179" i="3"/>
  <c r="AN179" i="3"/>
  <c r="K179" i="10"/>
  <c r="S179" i="10"/>
  <c r="L179" i="10"/>
  <c r="L119" i="10"/>
  <c r="K119" i="10"/>
  <c r="S119" i="10"/>
  <c r="AD268" i="3"/>
  <c r="AF16" i="3"/>
  <c r="AD16" i="3"/>
  <c r="AF33" i="3"/>
  <c r="AD33" i="3"/>
  <c r="AD240" i="3"/>
  <c r="AN75" i="3"/>
  <c r="AI75" i="3"/>
  <c r="AN98" i="3"/>
  <c r="AI98" i="3"/>
  <c r="AI170" i="3"/>
  <c r="AN170" i="3"/>
  <c r="AF143" i="3"/>
  <c r="AD303" i="3"/>
  <c r="AD143" i="3"/>
  <c r="AI25" i="3"/>
  <c r="AN25" i="3"/>
  <c r="S88" i="10"/>
  <c r="K88" i="10"/>
  <c r="L88" i="10"/>
  <c r="AI141" i="3"/>
  <c r="AN141" i="3"/>
  <c r="Q222" i="3"/>
  <c r="Q8" i="3" s="1"/>
  <c r="S8" i="3"/>
  <c r="S261" i="3"/>
  <c r="Q261" i="3" s="1"/>
  <c r="Q235" i="3"/>
  <c r="AD304" i="3"/>
  <c r="AD144" i="3"/>
  <c r="AF144" i="3"/>
  <c r="AI219" i="3"/>
  <c r="AN219" i="3"/>
  <c r="K162" i="10"/>
  <c r="L162" i="10"/>
  <c r="S162" i="10"/>
  <c r="S118" i="10"/>
  <c r="L118" i="10"/>
  <c r="K118" i="10"/>
  <c r="S126" i="10"/>
  <c r="L126" i="10"/>
  <c r="K126" i="10"/>
  <c r="L121" i="10"/>
  <c r="S121" i="10"/>
  <c r="K121" i="10"/>
  <c r="AN121" i="3"/>
  <c r="AI121" i="3"/>
  <c r="AI28" i="3"/>
  <c r="AN28" i="3"/>
  <c r="AI163" i="3"/>
  <c r="AN163" i="3"/>
  <c r="L205" i="10"/>
  <c r="K205" i="10"/>
  <c r="S205" i="10"/>
  <c r="AN198" i="3"/>
  <c r="AI198" i="3"/>
  <c r="X278" i="3"/>
  <c r="Z289" i="3"/>
  <c r="X289" i="3" s="1"/>
  <c r="AN42" i="3"/>
  <c r="AI42" i="3"/>
  <c r="AN183" i="3"/>
  <c r="AI183" i="3"/>
  <c r="L69" i="10"/>
  <c r="S69" i="10"/>
  <c r="K69" i="10"/>
  <c r="AN136" i="3"/>
  <c r="AI136" i="3"/>
  <c r="L146" i="10"/>
  <c r="S146" i="10"/>
  <c r="K146" i="10"/>
  <c r="AN150" i="3"/>
  <c r="AI150" i="3"/>
  <c r="AN39" i="3"/>
  <c r="AI39" i="3"/>
  <c r="L140" i="10"/>
  <c r="S140" i="10"/>
  <c r="K140" i="10"/>
  <c r="AI77" i="3"/>
  <c r="AN77" i="3"/>
  <c r="G45" i="10"/>
  <c r="AF17" i="3"/>
  <c r="AD17" i="3"/>
  <c r="AD269" i="3"/>
  <c r="AD256" i="3"/>
  <c r="AD182" i="3"/>
  <c r="AF182" i="3"/>
  <c r="AD321" i="3"/>
  <c r="S164" i="10"/>
  <c r="L164" i="10"/>
  <c r="K164" i="10"/>
  <c r="AN49" i="3"/>
  <c r="AI49" i="3"/>
  <c r="S76" i="10"/>
  <c r="L76" i="10"/>
  <c r="K76" i="10"/>
  <c r="K110" i="10"/>
  <c r="L110" i="10"/>
  <c r="S110" i="10"/>
  <c r="AN151" i="3"/>
  <c r="AI151" i="3"/>
  <c r="L180" i="10"/>
  <c r="K180" i="10"/>
  <c r="S180" i="10"/>
  <c r="K114" i="10"/>
  <c r="L114" i="10"/>
  <c r="S114" i="10"/>
  <c r="AI63" i="3"/>
  <c r="AN63" i="3"/>
  <c r="AD31" i="3"/>
  <c r="AF31" i="3"/>
  <c r="AD287" i="3"/>
  <c r="AF62" i="3"/>
  <c r="AD243" i="3"/>
  <c r="AD62" i="3"/>
  <c r="AN166" i="3"/>
  <c r="AI166" i="3"/>
  <c r="AF120" i="3"/>
  <c r="AD120" i="3"/>
  <c r="AD250" i="3"/>
  <c r="AD317" i="3"/>
  <c r="S130" i="10"/>
  <c r="L130" i="10"/>
  <c r="K130" i="10"/>
  <c r="AI220" i="3"/>
  <c r="AN220" i="3"/>
  <c r="AI125" i="3"/>
  <c r="AN125" i="3"/>
  <c r="AI50" i="3"/>
  <c r="AN50" i="3"/>
  <c r="AN165" i="3"/>
  <c r="AI165" i="3"/>
  <c r="S64" i="10"/>
  <c r="K64" i="10"/>
  <c r="L64" i="10"/>
  <c r="AI215" i="3"/>
  <c r="AN215" i="3"/>
  <c r="AI158" i="3"/>
  <c r="AN158" i="3"/>
  <c r="L106" i="10"/>
  <c r="S106" i="10"/>
  <c r="K106" i="10"/>
  <c r="Z324" i="3"/>
  <c r="X324" i="3" s="1"/>
  <c r="X310" i="3"/>
  <c r="AN155" i="3"/>
  <c r="AI155" i="3"/>
  <c r="K46" i="10"/>
  <c r="S46" i="10"/>
  <c r="L46" i="10"/>
  <c r="AF101" i="3"/>
  <c r="AD101" i="3"/>
  <c r="AD248" i="3"/>
  <c r="AN217" i="3"/>
  <c r="AI217" i="3"/>
  <c r="S168" i="10"/>
  <c r="L168" i="10"/>
  <c r="K168" i="10"/>
  <c r="AN92" i="3"/>
  <c r="AI92" i="3"/>
  <c r="AN185" i="3"/>
  <c r="AI185" i="3"/>
  <c r="S148" i="10"/>
  <c r="K148" i="10"/>
  <c r="L148" i="10"/>
  <c r="S95" i="10"/>
  <c r="L95" i="10"/>
  <c r="K95" i="10"/>
  <c r="O275" i="3"/>
  <c r="M275" i="3" s="1"/>
  <c r="M264" i="3"/>
  <c r="AI145" i="3"/>
  <c r="AN145" i="3"/>
  <c r="AI84" i="3"/>
  <c r="AN84" i="3"/>
  <c r="K193" i="10"/>
  <c r="S193" i="10"/>
  <c r="L193" i="10"/>
  <c r="M222" i="3"/>
  <c r="O8" i="3"/>
  <c r="AI190" i="3"/>
  <c r="AN190" i="3"/>
  <c r="AI204" i="3"/>
  <c r="AN204" i="3"/>
  <c r="AN115" i="3"/>
  <c r="AI115" i="3"/>
  <c r="S207" i="10"/>
  <c r="L207" i="10"/>
  <c r="K207" i="10"/>
  <c r="AN44" i="3"/>
  <c r="AI44" i="3"/>
  <c r="AD267" i="3"/>
  <c r="AF27" i="3"/>
  <c r="AD27" i="3"/>
  <c r="K105" i="10"/>
  <c r="S105" i="10"/>
  <c r="L105" i="10"/>
  <c r="AN96" i="3"/>
  <c r="AI96" i="3"/>
  <c r="AI214" i="3"/>
  <c r="AN214" i="3"/>
  <c r="L47" i="10"/>
  <c r="K47" i="10"/>
  <c r="S47" i="10"/>
  <c r="L199" i="10"/>
  <c r="S199" i="10"/>
  <c r="K199" i="10"/>
  <c r="S160" i="10"/>
  <c r="K160" i="10"/>
  <c r="L160" i="10"/>
  <c r="K187" i="10"/>
  <c r="L187" i="10"/>
  <c r="S187" i="10"/>
  <c r="S169" i="10"/>
  <c r="K169" i="10"/>
  <c r="L169" i="10"/>
  <c r="AI35" i="3"/>
  <c r="AN35" i="3"/>
  <c r="AD320" i="3"/>
  <c r="AF172" i="3"/>
  <c r="AD254" i="3"/>
  <c r="AD172" i="3"/>
  <c r="AF210" i="3"/>
  <c r="AD258" i="3"/>
  <c r="AD210" i="3"/>
  <c r="AD322" i="3"/>
  <c r="AN119" i="3"/>
  <c r="AI119" i="3"/>
  <c r="L75" i="10"/>
  <c r="S75" i="10"/>
  <c r="K75" i="10"/>
  <c r="AD314" i="3"/>
  <c r="AD78" i="3"/>
  <c r="AD227" i="3"/>
  <c r="AD244" i="3"/>
  <c r="AF78" i="3"/>
  <c r="L196" i="10"/>
  <c r="K196" i="10"/>
  <c r="S196" i="10"/>
  <c r="Q226" i="3"/>
  <c r="S231" i="3"/>
  <c r="Q231" i="3" s="1"/>
  <c r="S212" i="10"/>
  <c r="K212" i="10"/>
  <c r="L212" i="10"/>
  <c r="AI208" i="3"/>
  <c r="AN208" i="3"/>
  <c r="AN181" i="3"/>
  <c r="AI181" i="3"/>
  <c r="AF55" i="3"/>
  <c r="AD313" i="3"/>
  <c r="AD55" i="3"/>
  <c r="AD241" i="3"/>
  <c r="AN206" i="3"/>
  <c r="AI206" i="3"/>
  <c r="K206" i="10"/>
  <c r="L206" i="10"/>
  <c r="S206" i="10"/>
  <c r="AI83" i="3"/>
  <c r="AN83" i="3"/>
  <c r="L183" i="10"/>
  <c r="K183" i="10"/>
  <c r="S183" i="10"/>
  <c r="S137" i="10"/>
  <c r="L137" i="10"/>
  <c r="K137" i="10"/>
  <c r="K147" i="10"/>
  <c r="L147" i="10"/>
  <c r="S147" i="10"/>
  <c r="AF102" i="3"/>
  <c r="AD249" i="3"/>
  <c r="AD102" i="3"/>
  <c r="AI146" i="3"/>
  <c r="AN146" i="3"/>
  <c r="AD21" i="3"/>
  <c r="AF21" i="3"/>
  <c r="AD283" i="3"/>
  <c r="S150" i="10"/>
  <c r="K150" i="10"/>
  <c r="L150" i="10"/>
  <c r="L39" i="10"/>
  <c r="K39" i="10"/>
  <c r="S39" i="10"/>
  <c r="AN59" i="3"/>
  <c r="AI59" i="3"/>
  <c r="K173" i="10"/>
  <c r="S173" i="10"/>
  <c r="L173" i="10"/>
  <c r="K109" i="10"/>
  <c r="S109" i="10"/>
  <c r="L109" i="10"/>
  <c r="AI109" i="3"/>
  <c r="AN109" i="3"/>
  <c r="T264" i="3"/>
  <c r="V275" i="3"/>
  <c r="T275" i="3" s="1"/>
  <c r="AI85" i="3"/>
  <c r="AN85" i="3"/>
  <c r="AI82" i="3"/>
  <c r="AN82" i="3"/>
  <c r="AI140" i="3"/>
  <c r="AN140" i="3"/>
  <c r="K77" i="10"/>
  <c r="S77" i="10"/>
  <c r="L77" i="10"/>
  <c r="V231" i="3"/>
  <c r="T231" i="3" s="1"/>
  <c r="T226" i="3"/>
  <c r="V324" i="3"/>
  <c r="T324" i="3" s="1"/>
  <c r="T310" i="3"/>
  <c r="K159" i="10"/>
  <c r="S159" i="10"/>
  <c r="L159" i="10"/>
  <c r="L138" i="10"/>
  <c r="K138" i="10"/>
  <c r="S138" i="10"/>
  <c r="AN133" i="3"/>
  <c r="AI133" i="3"/>
  <c r="S49" i="10"/>
  <c r="L49" i="10"/>
  <c r="K49" i="10"/>
  <c r="AN110" i="3"/>
  <c r="AI110" i="3"/>
  <c r="AI67" i="3"/>
  <c r="AN67" i="3"/>
  <c r="S151" i="10"/>
  <c r="L151" i="10"/>
  <c r="K151" i="10"/>
  <c r="S135" i="10"/>
  <c r="L135" i="10"/>
  <c r="K135" i="10"/>
  <c r="AN124" i="3"/>
  <c r="AI124" i="3"/>
  <c r="L124" i="10"/>
  <c r="S124" i="10"/>
  <c r="K124" i="10"/>
  <c r="AI218" i="3"/>
  <c r="AN218" i="3"/>
  <c r="S216" i="10"/>
  <c r="K216" i="10"/>
  <c r="L216" i="10"/>
  <c r="L202" i="10"/>
  <c r="S202" i="10"/>
  <c r="K202" i="10"/>
  <c r="AN200" i="3"/>
  <c r="AI200" i="3"/>
  <c r="L34" i="10"/>
  <c r="S34" i="10"/>
  <c r="K34" i="10"/>
  <c r="AD282" i="3"/>
  <c r="AF15" i="3"/>
  <c r="AD295" i="3"/>
  <c r="AD15" i="3"/>
  <c r="AF65" i="3"/>
  <c r="AD65" i="3"/>
  <c r="AI36" i="3"/>
  <c r="AN36" i="3"/>
  <c r="AI130" i="3"/>
  <c r="AN130" i="3"/>
  <c r="AN72" i="3"/>
  <c r="AI72" i="3"/>
  <c r="AI195" i="3"/>
  <c r="AN195" i="3"/>
  <c r="S176" i="10"/>
  <c r="K176" i="10"/>
  <c r="L176" i="10"/>
  <c r="S165" i="10"/>
  <c r="K165" i="10"/>
  <c r="L165" i="10"/>
  <c r="AN64" i="3"/>
  <c r="AI64" i="3"/>
  <c r="K215" i="10"/>
  <c r="S215" i="10"/>
  <c r="L215" i="10"/>
  <c r="AI106" i="3"/>
  <c r="AN106" i="3"/>
  <c r="Z8" i="3"/>
  <c r="X222" i="3"/>
  <c r="X8" i="3" s="1"/>
  <c r="Z261" i="3"/>
  <c r="X261" i="3" s="1"/>
  <c r="X235" i="3"/>
  <c r="S155" i="10"/>
  <c r="L155" i="10"/>
  <c r="K155" i="10"/>
  <c r="AN79" i="3"/>
  <c r="AI79" i="3"/>
  <c r="L149" i="10"/>
  <c r="S149" i="10"/>
  <c r="K149" i="10"/>
  <c r="AN149" i="3"/>
  <c r="AI149" i="3"/>
  <c r="K61" i="10"/>
  <c r="L61" i="10"/>
  <c r="S61" i="10"/>
  <c r="AD122" i="3"/>
  <c r="AF122" i="3"/>
  <c r="AD251" i="3"/>
  <c r="AD300" i="3"/>
  <c r="AD272" i="3"/>
  <c r="AF13" i="3"/>
  <c r="AD285" i="3"/>
  <c r="AD13" i="3"/>
  <c r="AI113" i="3"/>
  <c r="AN113" i="3"/>
  <c r="AD265" i="3"/>
  <c r="AF30" i="3"/>
  <c r="AD239" i="3"/>
  <c r="AD312" i="3"/>
  <c r="AD30" i="3"/>
  <c r="AI132" i="3"/>
  <c r="AN132" i="3"/>
  <c r="AI53" i="3"/>
  <c r="AN53" i="3"/>
  <c r="AI116" i="3"/>
  <c r="AN116" i="3"/>
  <c r="K99" i="10"/>
  <c r="S99" i="10"/>
  <c r="L99" i="10"/>
  <c r="AN167" i="3"/>
  <c r="AI167" i="3"/>
  <c r="L20" i="10"/>
  <c r="K20" i="10"/>
  <c r="S20" i="10"/>
  <c r="L154" i="10"/>
  <c r="K154" i="10"/>
  <c r="S154" i="10"/>
  <c r="AN90" i="3"/>
  <c r="AI90" i="3"/>
  <c r="K178" i="10"/>
  <c r="L178" i="10"/>
  <c r="S178" i="10"/>
  <c r="AN93" i="3"/>
  <c r="AI93" i="3"/>
  <c r="L73" i="10"/>
  <c r="K73" i="10"/>
  <c r="S73" i="10"/>
  <c r="AI184" i="3"/>
  <c r="AN184" i="3"/>
  <c r="AF142" i="3"/>
  <c r="AD302" i="3"/>
  <c r="AD142" i="3"/>
  <c r="AI193" i="3"/>
  <c r="AN193" i="3"/>
  <c r="M293" i="3"/>
  <c r="O306" i="3"/>
  <c r="M306" i="3" s="1"/>
  <c r="O261" i="3"/>
  <c r="M261" i="3" s="1"/>
  <c r="M235" i="3"/>
  <c r="AA45" i="10"/>
  <c r="L190" i="10"/>
  <c r="K190" i="10"/>
  <c r="S190" i="10"/>
  <c r="K115" i="10"/>
  <c r="L115" i="10"/>
  <c r="S115" i="10"/>
  <c r="AN175" i="3"/>
  <c r="AI175" i="3"/>
  <c r="AN207" i="3"/>
  <c r="AI207" i="3"/>
  <c r="L44" i="10"/>
  <c r="S44" i="10"/>
  <c r="K44" i="10"/>
  <c r="AN134" i="3"/>
  <c r="AI134" i="3"/>
  <c r="AI47" i="3"/>
  <c r="AN47" i="3"/>
  <c r="K54" i="10"/>
  <c r="S54" i="10"/>
  <c r="L54" i="10"/>
  <c r="AI94" i="3"/>
  <c r="AN94" i="3"/>
  <c r="L197" i="10"/>
  <c r="K197" i="10"/>
  <c r="S197" i="10"/>
  <c r="S157" i="10"/>
  <c r="L157" i="10"/>
  <c r="K157" i="10"/>
  <c r="AN157" i="3"/>
  <c r="AI157" i="3"/>
  <c r="AI160" i="3"/>
  <c r="AN160" i="3"/>
  <c r="AF38" i="3"/>
  <c r="AD279" i="3"/>
  <c r="AD38" i="3"/>
  <c r="AI37" i="3"/>
  <c r="AN37" i="3"/>
  <c r="AI60" i="3"/>
  <c r="AN60" i="3"/>
  <c r="AI201" i="3"/>
  <c r="AN201" i="3"/>
  <c r="AD14" i="3"/>
  <c r="AD294" i="3"/>
  <c r="AD281" i="3"/>
  <c r="AF14" i="3"/>
  <c r="AD236" i="3"/>
  <c r="AD271" i="3"/>
  <c r="Q264" i="3"/>
  <c r="S275" i="3"/>
  <c r="Q275" i="3" s="1"/>
  <c r="K117" i="10"/>
  <c r="S117" i="10"/>
  <c r="L117" i="10"/>
  <c r="L170" i="10"/>
  <c r="S170" i="10"/>
  <c r="K170" i="10"/>
  <c r="S25" i="10"/>
  <c r="L25" i="10"/>
  <c r="K25" i="10"/>
  <c r="AN40" i="3"/>
  <c r="AI40" i="3"/>
  <c r="AI88" i="3"/>
  <c r="AN88" i="3"/>
  <c r="AN196" i="3"/>
  <c r="AI196" i="3"/>
  <c r="S141" i="10"/>
  <c r="K141" i="10"/>
  <c r="L141" i="10"/>
  <c r="AN212" i="3"/>
  <c r="AI212" i="3"/>
  <c r="L161" i="10"/>
  <c r="S161" i="10"/>
  <c r="K161" i="10"/>
  <c r="AF174" i="3"/>
  <c r="AD255" i="3"/>
  <c r="AD174" i="3"/>
  <c r="L219" i="10"/>
  <c r="K219" i="10"/>
  <c r="S219" i="10"/>
  <c r="AN162" i="3"/>
  <c r="AI162" i="3"/>
  <c r="AI118" i="3"/>
  <c r="AN118" i="3"/>
  <c r="L181" i="10"/>
  <c r="S181" i="10"/>
  <c r="K181" i="10"/>
  <c r="S28" i="10"/>
  <c r="K28" i="10"/>
  <c r="L28" i="10"/>
  <c r="AN112" i="3"/>
  <c r="AI112" i="3"/>
  <c r="S112" i="10"/>
  <c r="L112" i="10"/>
  <c r="K112" i="10"/>
  <c r="S131" i="10"/>
  <c r="K131" i="10"/>
  <c r="L131" i="10"/>
  <c r="L163" i="10"/>
  <c r="S163" i="10"/>
  <c r="K163" i="10"/>
  <c r="K97" i="10"/>
  <c r="L97" i="10"/>
  <c r="S97" i="10"/>
  <c r="L198" i="10"/>
  <c r="K198" i="10"/>
  <c r="S198" i="10"/>
  <c r="L194" i="10"/>
  <c r="K194" i="10"/>
  <c r="S194" i="10"/>
  <c r="AD245" i="3"/>
  <c r="AD315" i="3"/>
  <c r="AD80" i="3"/>
  <c r="AF80" i="3"/>
  <c r="AI137" i="3"/>
  <c r="AN137" i="3"/>
  <c r="S186" i="10"/>
  <c r="K186" i="10"/>
  <c r="L186" i="10"/>
  <c r="AI69" i="3"/>
  <c r="AN69" i="3"/>
  <c r="AN152" i="3"/>
  <c r="AI152" i="3"/>
  <c r="S136" i="10"/>
  <c r="K136" i="10"/>
  <c r="L136" i="10"/>
  <c r="AN173" i="3"/>
  <c r="AI173" i="3"/>
  <c r="AI89" i="3"/>
  <c r="AN89" i="3"/>
  <c r="L82" i="10"/>
  <c r="S82" i="10"/>
  <c r="K82" i="10"/>
  <c r="L57" i="10"/>
  <c r="S57" i="10"/>
  <c r="K57" i="10"/>
  <c r="AI191" i="3"/>
  <c r="AN191" i="3"/>
  <c r="T293" i="3"/>
  <c r="V306" i="3"/>
  <c r="T306" i="3" s="1"/>
  <c r="T222" i="3"/>
  <c r="T8" i="3" s="1"/>
  <c r="V8" i="3"/>
  <c r="AF213" i="3"/>
  <c r="AD259" i="3"/>
  <c r="AD213" i="3"/>
  <c r="AD108" i="3"/>
  <c r="AD299" i="3"/>
  <c r="AF108" i="3"/>
  <c r="AN159" i="3"/>
  <c r="AI159" i="3"/>
  <c r="AN66" i="3"/>
  <c r="AI66" i="3"/>
  <c r="AN138" i="3"/>
  <c r="AI138" i="3"/>
  <c r="AF100" i="3"/>
  <c r="AD247" i="3"/>
  <c r="AD100" i="3"/>
  <c r="AD316" i="3"/>
  <c r="S74" i="10"/>
  <c r="L74" i="10"/>
  <c r="K74" i="10"/>
  <c r="S189" i="10"/>
  <c r="L189" i="10"/>
  <c r="K189" i="10"/>
  <c r="AN76" i="3"/>
  <c r="AI76" i="3"/>
  <c r="AI114" i="3"/>
  <c r="AN114" i="3"/>
  <c r="AN107" i="3"/>
  <c r="AI107" i="3"/>
  <c r="AD318" i="3"/>
  <c r="AF139" i="3"/>
  <c r="AD139" i="3"/>
  <c r="AD228" i="3"/>
  <c r="AD252" i="3"/>
  <c r="AN104" i="3"/>
  <c r="AI104" i="3"/>
  <c r="K156" i="10"/>
  <c r="S156" i="10"/>
  <c r="L156" i="10"/>
  <c r="AN202" i="3"/>
  <c r="AI202" i="3"/>
  <c r="S166" i="10"/>
  <c r="L166" i="10"/>
  <c r="K166" i="10"/>
  <c r="S86" i="10"/>
  <c r="K86" i="10"/>
  <c r="L86" i="10"/>
  <c r="AI34" i="3"/>
  <c r="AN34" i="3"/>
  <c r="X264" i="3"/>
  <c r="Z275" i="3"/>
  <c r="X275" i="3" s="1"/>
  <c r="S220" i="10"/>
  <c r="K220" i="10"/>
  <c r="L220" i="10"/>
  <c r="K125" i="10"/>
  <c r="S125" i="10"/>
  <c r="L125" i="10"/>
  <c r="AD242" i="3"/>
  <c r="AD56" i="3"/>
  <c r="AF56" i="3"/>
  <c r="AN176" i="3"/>
  <c r="AI176" i="3"/>
  <c r="S50" i="10"/>
  <c r="K50" i="10"/>
  <c r="L50" i="10"/>
  <c r="AI123" i="3"/>
  <c r="AN123" i="3"/>
  <c r="K158" i="10"/>
  <c r="L158" i="10"/>
  <c r="S158" i="10"/>
  <c r="AD12" i="3"/>
  <c r="AD284" i="3"/>
  <c r="AD270" i="3"/>
  <c r="AF12" i="3"/>
  <c r="AC222" i="3"/>
  <c r="Z231" i="3"/>
  <c r="X231" i="3" s="1"/>
  <c r="X226" i="3"/>
  <c r="AI29" i="3"/>
  <c r="AN29" i="3"/>
  <c r="S29" i="10"/>
  <c r="L29" i="10"/>
  <c r="K29" i="10"/>
  <c r="AD301" i="3"/>
  <c r="AD128" i="3"/>
  <c r="AF128" i="3"/>
  <c r="K92" i="10"/>
  <c r="S92" i="10"/>
  <c r="L92" i="10"/>
  <c r="L113" i="10"/>
  <c r="S113" i="10"/>
  <c r="K113" i="10"/>
  <c r="AD311" i="3"/>
  <c r="AD237" i="3"/>
  <c r="AF22" i="3"/>
  <c r="AD22" i="3"/>
  <c r="AD280" i="3"/>
  <c r="AD297" i="3"/>
  <c r="S53" i="10"/>
  <c r="L53" i="10"/>
  <c r="K53" i="10"/>
  <c r="AN20" i="3"/>
  <c r="AI20" i="3"/>
  <c r="L188" i="10"/>
  <c r="K188" i="10"/>
  <c r="S188" i="10"/>
  <c r="L185" i="10"/>
  <c r="K185" i="10"/>
  <c r="S185" i="10"/>
  <c r="K87" i="10"/>
  <c r="S87" i="10"/>
  <c r="L87" i="10"/>
  <c r="K129" i="10"/>
  <c r="L129" i="10"/>
  <c r="S129" i="10"/>
  <c r="AN154" i="3"/>
  <c r="AI154" i="3"/>
  <c r="AF171" i="3"/>
  <c r="AD229" i="3"/>
  <c r="AD171" i="3"/>
  <c r="AD319" i="3"/>
  <c r="AD253" i="3"/>
  <c r="K58" i="10"/>
  <c r="S58" i="10"/>
  <c r="L58" i="10"/>
  <c r="AI111" i="3"/>
  <c r="AN111" i="3"/>
  <c r="K145" i="10"/>
  <c r="S145" i="10"/>
  <c r="L145" i="10"/>
  <c r="AI51" i="3"/>
  <c r="AN51" i="3"/>
  <c r="K51" i="10"/>
  <c r="S51" i="10"/>
  <c r="L51" i="10"/>
  <c r="K84" i="10"/>
  <c r="L84" i="10"/>
  <c r="S84" i="10"/>
  <c r="O324" i="3"/>
  <c r="M324" i="3" s="1"/>
  <c r="M310" i="3"/>
  <c r="AI192" i="3"/>
  <c r="AN192" i="3"/>
  <c r="AF23" i="3"/>
  <c r="AD23" i="3"/>
  <c r="AD298" i="3"/>
  <c r="K134" i="10"/>
  <c r="S134" i="10"/>
  <c r="L134" i="10"/>
  <c r="K96" i="10"/>
  <c r="S96" i="10"/>
  <c r="L96" i="10"/>
  <c r="AN70" i="3"/>
  <c r="AI70" i="3"/>
  <c r="AI54" i="3"/>
  <c r="AN54" i="3"/>
  <c r="L94" i="10"/>
  <c r="K94" i="10"/>
  <c r="S94" i="10"/>
  <c r="AN199" i="3"/>
  <c r="AI199" i="3"/>
  <c r="AI197" i="3"/>
  <c r="AN197" i="3"/>
  <c r="V289" i="3"/>
  <c r="T289" i="3" s="1"/>
  <c r="T278" i="3"/>
  <c r="K48" i="10"/>
  <c r="S48" i="10"/>
  <c r="L48" i="10"/>
  <c r="S37" i="10"/>
  <c r="L37" i="10"/>
  <c r="K37" i="10"/>
  <c r="K43" i="10"/>
  <c r="L43" i="10"/>
  <c r="S43" i="10"/>
  <c r="S60" i="10"/>
  <c r="K60" i="10"/>
  <c r="L60" i="10"/>
  <c r="AN71" i="3"/>
  <c r="AI71" i="3"/>
  <c r="AF81" i="3"/>
  <c r="AD246" i="3"/>
  <c r="AD81" i="3"/>
  <c r="L35" i="10"/>
  <c r="S35" i="10"/>
  <c r="K35" i="10"/>
  <c r="L211" i="10"/>
  <c r="S211" i="10"/>
  <c r="K211" i="10"/>
  <c r="AI117" i="3"/>
  <c r="AN117" i="3"/>
  <c r="K98" i="10"/>
  <c r="S98" i="10"/>
  <c r="L98" i="10"/>
  <c r="S68" i="10"/>
  <c r="L68" i="10"/>
  <c r="K68" i="10"/>
  <c r="AN68" i="3"/>
  <c r="AI68" i="3"/>
  <c r="L40" i="10"/>
  <c r="K40" i="10"/>
  <c r="S40" i="10"/>
  <c r="AD266" i="3"/>
  <c r="AD41" i="3"/>
  <c r="AF41" i="3"/>
  <c r="Q293" i="3"/>
  <c r="S306" i="3"/>
  <c r="Q306" i="3" s="1"/>
  <c r="Q310" i="3"/>
  <c r="S324" i="3"/>
  <c r="Q324" i="3" s="1"/>
  <c r="AI161" i="3"/>
  <c r="AN161" i="3"/>
  <c r="S208" i="10"/>
  <c r="K208" i="10"/>
  <c r="L208" i="10"/>
  <c r="AI126" i="3"/>
  <c r="AN126" i="3"/>
  <c r="AF12" i="10"/>
  <c r="AN131" i="3"/>
  <c r="AI131" i="3"/>
  <c r="S153" i="10"/>
  <c r="L153" i="10"/>
  <c r="K153" i="10"/>
  <c r="AN153" i="3"/>
  <c r="AI153" i="3"/>
  <c r="AI205" i="3"/>
  <c r="AN205" i="3"/>
  <c r="S83" i="10"/>
  <c r="L83" i="10"/>
  <c r="K83" i="10"/>
  <c r="AI97" i="3"/>
  <c r="AN97" i="3"/>
  <c r="AD26" i="3"/>
  <c r="AF26" i="3"/>
  <c r="K42" i="10"/>
  <c r="S42" i="10"/>
  <c r="L42" i="10"/>
  <c r="AI194" i="3"/>
  <c r="AN194" i="3"/>
  <c r="AN186" i="3"/>
  <c r="AI186" i="3"/>
  <c r="AI147" i="3"/>
  <c r="AN147" i="3"/>
  <c r="AD24" i="3"/>
  <c r="AF24" i="3"/>
  <c r="AD238" i="3"/>
  <c r="K152" i="10"/>
  <c r="S152" i="10"/>
  <c r="L152" i="10"/>
  <c r="K59" i="10"/>
  <c r="S59" i="10"/>
  <c r="L59" i="10"/>
  <c r="S85" i="10"/>
  <c r="L85" i="10"/>
  <c r="K85" i="10"/>
  <c r="K89" i="10"/>
  <c r="S89" i="10"/>
  <c r="L89" i="10"/>
  <c r="AN57" i="3"/>
  <c r="AI57" i="3"/>
  <c r="L191" i="10"/>
  <c r="S191" i="10"/>
  <c r="K191" i="10"/>
  <c r="V261" i="3"/>
  <c r="T261" i="3" s="1"/>
  <c r="T235" i="3"/>
  <c r="L66" i="10"/>
  <c r="K66" i="10"/>
  <c r="S66" i="10"/>
  <c r="AI164" i="3"/>
  <c r="AN164" i="3"/>
  <c r="L133" i="10"/>
  <c r="K133" i="10"/>
  <c r="S133" i="10"/>
  <c r="AN74" i="3"/>
  <c r="AI74" i="3"/>
  <c r="AN189" i="3"/>
  <c r="AI189" i="3"/>
  <c r="S67" i="10"/>
  <c r="K67" i="10"/>
  <c r="L67" i="10"/>
  <c r="AN180" i="3"/>
  <c r="AI180" i="3"/>
  <c r="M278" i="3"/>
  <c r="O289" i="3"/>
  <c r="M289" i="3" s="1"/>
  <c r="K63" i="10"/>
  <c r="S63" i="10"/>
  <c r="L63" i="10"/>
  <c r="AN135" i="3"/>
  <c r="AI135" i="3"/>
  <c r="S107" i="10"/>
  <c r="K107" i="10"/>
  <c r="L107" i="10"/>
  <c r="S104" i="10"/>
  <c r="K104" i="10"/>
  <c r="L104" i="10"/>
  <c r="L218" i="10"/>
  <c r="K218" i="10"/>
  <c r="S218" i="10"/>
  <c r="AI216" i="3"/>
  <c r="AN216" i="3"/>
  <c r="AI156" i="3"/>
  <c r="AN156" i="3"/>
  <c r="S200" i="10"/>
  <c r="L200" i="10"/>
  <c r="K200" i="10"/>
  <c r="AI86" i="3"/>
  <c r="AN86" i="3"/>
  <c r="K36" i="10"/>
  <c r="S36" i="10"/>
  <c r="L36" i="10"/>
  <c r="L72" i="10"/>
  <c r="S72" i="10"/>
  <c r="K72" i="10"/>
  <c r="L195" i="10"/>
  <c r="K195" i="10"/>
  <c r="S195" i="10"/>
  <c r="L123" i="10"/>
  <c r="K123" i="10"/>
  <c r="S123" i="10"/>
  <c r="X293" i="3"/>
  <c r="Z306" i="3"/>
  <c r="X306" i="3" s="1"/>
  <c r="S79" i="10"/>
  <c r="K79" i="10"/>
  <c r="L79" i="10"/>
  <c r="AI46" i="3"/>
  <c r="AN46" i="3"/>
  <c r="AI61" i="3"/>
  <c r="AN61" i="3"/>
  <c r="S217" i="10"/>
  <c r="L217" i="10"/>
  <c r="K217" i="10"/>
  <c r="AI168" i="3"/>
  <c r="AN168" i="3"/>
  <c r="S132" i="10"/>
  <c r="L132" i="10"/>
  <c r="K132" i="10"/>
  <c r="AA132" i="10" l="1"/>
  <c r="AC68" i="10"/>
  <c r="AG68" i="10" s="1"/>
  <c r="AC36" i="10"/>
  <c r="AF36" i="10"/>
  <c r="G156" i="10"/>
  <c r="AC104" i="10"/>
  <c r="AG104" i="10" s="1"/>
  <c r="G135" i="10"/>
  <c r="G189" i="10"/>
  <c r="AA133" i="10"/>
  <c r="AC133" i="10" s="1"/>
  <c r="AG133" i="10" s="1"/>
  <c r="G164" i="10"/>
  <c r="G168" i="10"/>
  <c r="G57" i="10"/>
  <c r="AC152" i="10"/>
  <c r="AG152" i="10" s="1"/>
  <c r="AC42" i="10"/>
  <c r="AF42" i="10"/>
  <c r="G153" i="10"/>
  <c r="AC153" i="10"/>
  <c r="AG153" i="10" s="1"/>
  <c r="D41" i="10"/>
  <c r="AM41" i="3"/>
  <c r="AP41" i="3"/>
  <c r="AH41" i="3"/>
  <c r="F41" i="10" s="1"/>
  <c r="AQ41" i="3"/>
  <c r="AC98" i="10"/>
  <c r="AG98" i="10" s="1"/>
  <c r="AC35" i="10"/>
  <c r="AG35" i="10" s="1"/>
  <c r="AP81" i="3"/>
  <c r="AH81" i="3"/>
  <c r="F81" i="10" s="1"/>
  <c r="AM81" i="3"/>
  <c r="D81" i="10"/>
  <c r="AQ81" i="3"/>
  <c r="AC134" i="10"/>
  <c r="AG134" i="10" s="1"/>
  <c r="AM23" i="3"/>
  <c r="AH23" i="3"/>
  <c r="F23" i="10" s="1"/>
  <c r="AP23" i="3"/>
  <c r="D23" i="10"/>
  <c r="AQ23" i="3"/>
  <c r="G51" i="10"/>
  <c r="G61" i="10"/>
  <c r="AC123" i="10"/>
  <c r="AG123" i="10" s="1"/>
  <c r="AC200" i="10"/>
  <c r="AG200" i="10" s="1"/>
  <c r="G216" i="10"/>
  <c r="G74" i="10"/>
  <c r="AA59" i="10"/>
  <c r="AC59" i="10" s="1"/>
  <c r="AG59" i="10" s="1"/>
  <c r="AA83" i="10"/>
  <c r="AC83" i="10" s="1"/>
  <c r="AG83" i="10" s="1"/>
  <c r="G131" i="10"/>
  <c r="AC208" i="10"/>
  <c r="AF208" i="10"/>
  <c r="AA211" i="10"/>
  <c r="AC211" i="10" s="1"/>
  <c r="AG211" i="10" s="1"/>
  <c r="G71" i="10"/>
  <c r="AC60" i="10"/>
  <c r="AG60" i="10" s="1"/>
  <c r="AA48" i="10"/>
  <c r="AC94" i="10"/>
  <c r="AG94" i="10" s="1"/>
  <c r="G54" i="10"/>
  <c r="AC96" i="10"/>
  <c r="AG96" i="10" s="1"/>
  <c r="AC84" i="10"/>
  <c r="AG84" i="10" s="1"/>
  <c r="AA51" i="10"/>
  <c r="AC51" i="10" s="1"/>
  <c r="AG51" i="10" s="1"/>
  <c r="G111" i="10"/>
  <c r="AP171" i="3"/>
  <c r="AH171" i="3"/>
  <c r="F171" i="10" s="1"/>
  <c r="D171" i="10"/>
  <c r="AM171" i="3"/>
  <c r="AQ171" i="3"/>
  <c r="AA92" i="10"/>
  <c r="AC92" i="10" s="1"/>
  <c r="AG92" i="10" s="1"/>
  <c r="AC306" i="3"/>
  <c r="AD306" i="3" s="1"/>
  <c r="AD293" i="3"/>
  <c r="AA86" i="10"/>
  <c r="AC86" i="10" s="1"/>
  <c r="AG86" i="10" s="1"/>
  <c r="G202" i="10"/>
  <c r="AP139" i="3"/>
  <c r="AM139" i="3"/>
  <c r="AH139" i="3"/>
  <c r="F139" i="10" s="1"/>
  <c r="D139" i="10"/>
  <c r="AQ139" i="3"/>
  <c r="G66" i="10"/>
  <c r="AP108" i="3"/>
  <c r="AH108" i="3"/>
  <c r="F108" i="10" s="1"/>
  <c r="AM108" i="3"/>
  <c r="D108" i="10"/>
  <c r="AQ108" i="3"/>
  <c r="AC82" i="10"/>
  <c r="AG82" i="10" s="1"/>
  <c r="G173" i="10"/>
  <c r="AC136" i="10"/>
  <c r="AG136" i="10" s="1"/>
  <c r="G69" i="10"/>
  <c r="AC97" i="10"/>
  <c r="AG97" i="10" s="1"/>
  <c r="AC163" i="10"/>
  <c r="AG163" i="10" s="1"/>
  <c r="AC131" i="10"/>
  <c r="AG131" i="10" s="1"/>
  <c r="G112" i="10"/>
  <c r="AC28" i="10"/>
  <c r="AG28" i="10" s="1"/>
  <c r="AA219" i="10"/>
  <c r="AC170" i="10"/>
  <c r="AG170" i="10" s="1"/>
  <c r="G60" i="10"/>
  <c r="G157" i="10"/>
  <c r="AC157" i="10"/>
  <c r="AF157" i="10"/>
  <c r="G207" i="10"/>
  <c r="AA115" i="10"/>
  <c r="AC115" i="10" s="1"/>
  <c r="AG115" i="10" s="1"/>
  <c r="AC45" i="10"/>
  <c r="AG45" i="10" s="1"/>
  <c r="AC73" i="10"/>
  <c r="AG73" i="10" s="1"/>
  <c r="G90" i="10"/>
  <c r="G167" i="10"/>
  <c r="G53" i="10"/>
  <c r="AH13" i="3"/>
  <c r="F13" i="10" s="1"/>
  <c r="AP13" i="3"/>
  <c r="AM13" i="3"/>
  <c r="D13" i="10"/>
  <c r="AQ13" i="3"/>
  <c r="D122" i="10"/>
  <c r="AH122" i="3"/>
  <c r="F122" i="10" s="1"/>
  <c r="AM122" i="3"/>
  <c r="AP122" i="3"/>
  <c r="AQ122" i="3"/>
  <c r="AC149" i="10"/>
  <c r="AG149" i="10" s="1"/>
  <c r="G106" i="10"/>
  <c r="G64" i="10"/>
  <c r="AC165" i="10"/>
  <c r="AF165" i="10"/>
  <c r="AD264" i="3"/>
  <c r="AC275" i="3"/>
  <c r="AD275" i="3" s="1"/>
  <c r="AC34" i="10"/>
  <c r="AG34" i="10" s="1"/>
  <c r="G67" i="10"/>
  <c r="G133" i="10"/>
  <c r="G140" i="10"/>
  <c r="G85" i="10"/>
  <c r="G109" i="10"/>
  <c r="D21" i="10"/>
  <c r="AM21" i="3"/>
  <c r="AP21" i="3"/>
  <c r="AH21" i="3"/>
  <c r="F21" i="10" s="1"/>
  <c r="AQ21" i="3"/>
  <c r="AA137" i="10"/>
  <c r="AC137" i="10" s="1"/>
  <c r="AG137" i="10" s="1"/>
  <c r="AC196" i="10"/>
  <c r="AG196" i="10" s="1"/>
  <c r="AP210" i="3"/>
  <c r="AH210" i="3"/>
  <c r="F210" i="10" s="1"/>
  <c r="AM210" i="3"/>
  <c r="D210" i="10"/>
  <c r="AQ210" i="3"/>
  <c r="G96" i="10"/>
  <c r="G44" i="10"/>
  <c r="AC207" i="10"/>
  <c r="AG207" i="10" s="1"/>
  <c r="G204" i="10"/>
  <c r="AA95" i="10"/>
  <c r="AC95" i="10" s="1"/>
  <c r="AG95" i="10" s="1"/>
  <c r="G185" i="10"/>
  <c r="AC106" i="10"/>
  <c r="AG106" i="10" s="1"/>
  <c r="AC64" i="10"/>
  <c r="AG64" i="10" s="1"/>
  <c r="G50" i="10"/>
  <c r="G220" i="10"/>
  <c r="AP31" i="3"/>
  <c r="AH31" i="3"/>
  <c r="F31" i="10" s="1"/>
  <c r="AM31" i="3"/>
  <c r="D31" i="10"/>
  <c r="AQ31" i="3"/>
  <c r="AC114" i="10"/>
  <c r="AG114" i="10" s="1"/>
  <c r="AA110" i="10"/>
  <c r="AC110" i="10" s="1"/>
  <c r="AG110" i="10" s="1"/>
  <c r="D182" i="10"/>
  <c r="AP182" i="3"/>
  <c r="AH182" i="3"/>
  <c r="F182" i="10" s="1"/>
  <c r="AM182" i="3"/>
  <c r="AQ182" i="3"/>
  <c r="G136" i="10"/>
  <c r="G121" i="10"/>
  <c r="S7" i="3"/>
  <c r="G25" i="10"/>
  <c r="G75" i="10"/>
  <c r="D33" i="10"/>
  <c r="AM33" i="3"/>
  <c r="AP33" i="3"/>
  <c r="AH33" i="3"/>
  <c r="F33" i="10" s="1"/>
  <c r="AQ33" i="3"/>
  <c r="AA119" i="10"/>
  <c r="AC119" i="10" s="1"/>
  <c r="AG119" i="10" s="1"/>
  <c r="AC179" i="10"/>
  <c r="AG179" i="10" s="1"/>
  <c r="G211" i="10"/>
  <c r="AP19" i="3"/>
  <c r="AH19" i="3"/>
  <c r="F19" i="10" s="1"/>
  <c r="AM19" i="3"/>
  <c r="D19" i="10"/>
  <c r="AQ19" i="3"/>
  <c r="G48" i="10"/>
  <c r="AC70" i="10"/>
  <c r="AG70" i="10" s="1"/>
  <c r="G105" i="10"/>
  <c r="AC204" i="10"/>
  <c r="AF204" i="10"/>
  <c r="AC184" i="10"/>
  <c r="AG184" i="10" s="1"/>
  <c r="AA93" i="10"/>
  <c r="AC93" i="10" s="1"/>
  <c r="AG93" i="10" s="1"/>
  <c r="G95" i="10"/>
  <c r="G91" i="10"/>
  <c r="AC52" i="10"/>
  <c r="AF52" i="10"/>
  <c r="AH18" i="3"/>
  <c r="F18" i="10" s="1"/>
  <c r="AP18" i="3"/>
  <c r="AM18" i="3"/>
  <c r="D18" i="10"/>
  <c r="AQ18" i="3"/>
  <c r="G129" i="10"/>
  <c r="AC32" i="10"/>
  <c r="AG32" i="10" s="1"/>
  <c r="G148" i="10"/>
  <c r="G32" i="10"/>
  <c r="G52" i="10"/>
  <c r="G147" i="10"/>
  <c r="AC289" i="3"/>
  <c r="AD289" i="3" s="1"/>
  <c r="AD278" i="3"/>
  <c r="G97" i="10"/>
  <c r="G126" i="10"/>
  <c r="AC43" i="10"/>
  <c r="AF43" i="10"/>
  <c r="G197" i="10"/>
  <c r="G70" i="10"/>
  <c r="G192" i="10"/>
  <c r="AC145" i="10"/>
  <c r="AF145" i="10"/>
  <c r="G154" i="10"/>
  <c r="AC87" i="10"/>
  <c r="AG87" i="10" s="1"/>
  <c r="G20" i="10"/>
  <c r="AA53" i="10"/>
  <c r="AC53" i="10" s="1"/>
  <c r="AG53" i="10" s="1"/>
  <c r="AH22" i="3"/>
  <c r="F22" i="10" s="1"/>
  <c r="AM22" i="3"/>
  <c r="D22" i="10"/>
  <c r="AP22" i="3"/>
  <c r="AQ22" i="3"/>
  <c r="AA113" i="10"/>
  <c r="AC113" i="10" s="1"/>
  <c r="AG113" i="10" s="1"/>
  <c r="G29" i="10"/>
  <c r="AD226" i="3"/>
  <c r="AC231" i="3"/>
  <c r="AD231" i="3" s="1"/>
  <c r="AM56" i="3"/>
  <c r="AH56" i="3"/>
  <c r="F56" i="10" s="1"/>
  <c r="D56" i="10"/>
  <c r="AP56" i="3"/>
  <c r="AQ56" i="3"/>
  <c r="AC125" i="10"/>
  <c r="AG125" i="10" s="1"/>
  <c r="AA220" i="10"/>
  <c r="AC220" i="10" s="1"/>
  <c r="AG220" i="10" s="1"/>
  <c r="G34" i="10"/>
  <c r="G114" i="10"/>
  <c r="AC74" i="10"/>
  <c r="AG74" i="10" s="1"/>
  <c r="AH100" i="3"/>
  <c r="F100" i="10" s="1"/>
  <c r="D100" i="10"/>
  <c r="AM100" i="3"/>
  <c r="AP100" i="3"/>
  <c r="AQ100" i="3"/>
  <c r="AH213" i="3"/>
  <c r="F213" i="10" s="1"/>
  <c r="AM213" i="3"/>
  <c r="AP213" i="3"/>
  <c r="D213" i="10"/>
  <c r="AQ213" i="3"/>
  <c r="AC57" i="10"/>
  <c r="AG57" i="10" s="1"/>
  <c r="G152" i="10"/>
  <c r="G137" i="10"/>
  <c r="AC198" i="10"/>
  <c r="AF198" i="10"/>
  <c r="G118" i="10"/>
  <c r="AP174" i="3"/>
  <c r="AH174" i="3"/>
  <c r="F174" i="10" s="1"/>
  <c r="AM174" i="3"/>
  <c r="D174" i="10"/>
  <c r="AQ174" i="3"/>
  <c r="G212" i="10"/>
  <c r="AC141" i="10"/>
  <c r="AG141" i="10" s="1"/>
  <c r="G88" i="10"/>
  <c r="AP14" i="3"/>
  <c r="AH14" i="3"/>
  <c r="F14" i="10" s="1"/>
  <c r="D14" i="10"/>
  <c r="AM14" i="3"/>
  <c r="AQ14" i="3"/>
  <c r="D38" i="10"/>
  <c r="AP38" i="3"/>
  <c r="AM38" i="3"/>
  <c r="AH38" i="3"/>
  <c r="F38" i="10" s="1"/>
  <c r="AQ38" i="3"/>
  <c r="AC197" i="10"/>
  <c r="AG197" i="10" s="1"/>
  <c r="G94" i="10"/>
  <c r="AM142" i="3"/>
  <c r="AP142" i="3"/>
  <c r="D142" i="10"/>
  <c r="AH142" i="3"/>
  <c r="F142" i="10" s="1"/>
  <c r="AQ142" i="3"/>
  <c r="AC178" i="10"/>
  <c r="AG178" i="10" s="1"/>
  <c r="AC20" i="10"/>
  <c r="AF20" i="10"/>
  <c r="G113" i="10"/>
  <c r="G149" i="10"/>
  <c r="G195" i="10"/>
  <c r="G130" i="10"/>
  <c r="AP15" i="3"/>
  <c r="AM15" i="3"/>
  <c r="AH15" i="3"/>
  <c r="F15" i="10" s="1"/>
  <c r="D15" i="10"/>
  <c r="AQ15" i="3"/>
  <c r="AC202" i="10"/>
  <c r="AG202" i="10" s="1"/>
  <c r="AA216" i="10"/>
  <c r="AC216" i="10" s="1"/>
  <c r="AG216" i="10" s="1"/>
  <c r="AC124" i="10"/>
  <c r="AG124" i="10" s="1"/>
  <c r="G110" i="10"/>
  <c r="AC77" i="10"/>
  <c r="AG77" i="10" s="1"/>
  <c r="AC173" i="10"/>
  <c r="AG173" i="10" s="1"/>
  <c r="AA39" i="10"/>
  <c r="AC183" i="10"/>
  <c r="AG183" i="10" s="1"/>
  <c r="G83" i="10"/>
  <c r="G206" i="10"/>
  <c r="AA212" i="10"/>
  <c r="AC212" i="10" s="1"/>
  <c r="AG212" i="10" s="1"/>
  <c r="AC75" i="10"/>
  <c r="AG75" i="10" s="1"/>
  <c r="AC169" i="10"/>
  <c r="AF169" i="10"/>
  <c r="AA199" i="10"/>
  <c r="AC199" i="10" s="1"/>
  <c r="AG199" i="10" s="1"/>
  <c r="G115" i="10"/>
  <c r="G84" i="10"/>
  <c r="AC46" i="10"/>
  <c r="AG46" i="10" s="1"/>
  <c r="G215" i="10"/>
  <c r="G165" i="10"/>
  <c r="AH120" i="3"/>
  <c r="F120" i="10" s="1"/>
  <c r="AP120" i="3"/>
  <c r="AM120" i="3"/>
  <c r="D120" i="10"/>
  <c r="AQ120" i="3"/>
  <c r="AC76" i="10"/>
  <c r="AF76" i="10"/>
  <c r="AH17" i="3"/>
  <c r="F17" i="10" s="1"/>
  <c r="AP17" i="3"/>
  <c r="AM17" i="3"/>
  <c r="D17" i="10"/>
  <c r="AQ17" i="3"/>
  <c r="G77" i="10"/>
  <c r="G39" i="10"/>
  <c r="G183" i="10"/>
  <c r="AA205" i="10"/>
  <c r="AC205" i="10" s="1"/>
  <c r="AG205" i="10" s="1"/>
  <c r="G163" i="10"/>
  <c r="AA118" i="10"/>
  <c r="AC118" i="10" s="1"/>
  <c r="AG118" i="10" s="1"/>
  <c r="G170" i="10"/>
  <c r="AC103" i="10"/>
  <c r="AF103" i="10"/>
  <c r="AC201" i="10"/>
  <c r="AG201" i="10" s="1"/>
  <c r="G43" i="10"/>
  <c r="AA192" i="10"/>
  <c r="G203" i="10"/>
  <c r="AC90" i="10"/>
  <c r="AG90" i="10" s="1"/>
  <c r="G127" i="10"/>
  <c r="AA203" i="10"/>
  <c r="AC203" i="10" s="1"/>
  <c r="AG203" i="10" s="1"/>
  <c r="G188" i="10"/>
  <c r="AA79" i="10"/>
  <c r="AC79" i="10" s="1"/>
  <c r="AG79" i="10" s="1"/>
  <c r="AA218" i="10"/>
  <c r="AC218" i="10" s="1"/>
  <c r="AG218" i="10" s="1"/>
  <c r="AA107" i="10"/>
  <c r="AC67" i="10"/>
  <c r="AF67" i="10"/>
  <c r="G68" i="10"/>
  <c r="AC217" i="10"/>
  <c r="AF217" i="10"/>
  <c r="G46" i="10"/>
  <c r="AC89" i="10"/>
  <c r="AG89" i="10" s="1"/>
  <c r="AC85" i="10"/>
  <c r="AG85" i="10" s="1"/>
  <c r="AP24" i="3"/>
  <c r="D24" i="10"/>
  <c r="AM24" i="3"/>
  <c r="AH24" i="3"/>
  <c r="F24" i="10" s="1"/>
  <c r="AQ24" i="3"/>
  <c r="G186" i="10"/>
  <c r="D26" i="10"/>
  <c r="AP26" i="3"/>
  <c r="AH26" i="3"/>
  <c r="F26" i="10" s="1"/>
  <c r="AM26" i="3"/>
  <c r="AQ26" i="3"/>
  <c r="G205" i="10"/>
  <c r="G161" i="10"/>
  <c r="AC40" i="10"/>
  <c r="AG40" i="10" s="1"/>
  <c r="G117" i="10"/>
  <c r="AC37" i="10"/>
  <c r="AF37" i="10"/>
  <c r="G199" i="10"/>
  <c r="AA58" i="10"/>
  <c r="AC58" i="10" s="1"/>
  <c r="AG58" i="10" s="1"/>
  <c r="AC188" i="10"/>
  <c r="AG188" i="10" s="1"/>
  <c r="AP128" i="3"/>
  <c r="D128" i="10"/>
  <c r="AH128" i="3"/>
  <c r="F128" i="10" s="1"/>
  <c r="AM128" i="3"/>
  <c r="AQ128" i="3"/>
  <c r="AC8" i="3"/>
  <c r="AD222" i="3"/>
  <c r="AD8" i="3" s="1"/>
  <c r="AC261" i="3"/>
  <c r="AD261" i="3" s="1"/>
  <c r="AD235" i="3"/>
  <c r="AC50" i="10"/>
  <c r="AG50" i="10" s="1"/>
  <c r="G107" i="10"/>
  <c r="G76" i="10"/>
  <c r="AA189" i="10"/>
  <c r="AC189" i="10" s="1"/>
  <c r="AG189" i="10" s="1"/>
  <c r="G138" i="10"/>
  <c r="G159" i="10"/>
  <c r="V7" i="3"/>
  <c r="AH80" i="3"/>
  <c r="F80" i="10" s="1"/>
  <c r="D80" i="10"/>
  <c r="AP80" i="3"/>
  <c r="AM80" i="3"/>
  <c r="AQ80" i="3"/>
  <c r="AA194" i="10"/>
  <c r="AC194" i="10" s="1"/>
  <c r="AG194" i="10" s="1"/>
  <c r="AC181" i="10"/>
  <c r="AG181" i="10" s="1"/>
  <c r="G162" i="10"/>
  <c r="G196" i="10"/>
  <c r="G40" i="10"/>
  <c r="AA25" i="10"/>
  <c r="AC25" i="10" s="1"/>
  <c r="AG25" i="10" s="1"/>
  <c r="G201" i="10"/>
  <c r="G37" i="10"/>
  <c r="G47" i="10"/>
  <c r="AC44" i="10"/>
  <c r="AF44" i="10"/>
  <c r="G175" i="10"/>
  <c r="G193" i="10"/>
  <c r="AC154" i="10"/>
  <c r="AG154" i="10" s="1"/>
  <c r="G116" i="10"/>
  <c r="G132" i="10"/>
  <c r="D30" i="10"/>
  <c r="AP30" i="3"/>
  <c r="AH30" i="3"/>
  <c r="F30" i="10" s="1"/>
  <c r="AM30" i="3"/>
  <c r="AQ30" i="3"/>
  <c r="AC61" i="10"/>
  <c r="AG61" i="10" s="1"/>
  <c r="G79" i="10"/>
  <c r="AC155" i="10"/>
  <c r="AG155" i="10" s="1"/>
  <c r="Z7" i="3"/>
  <c r="AC215" i="10"/>
  <c r="AG215" i="10" s="1"/>
  <c r="G72" i="10"/>
  <c r="AP65" i="3"/>
  <c r="AM65" i="3"/>
  <c r="D65" i="10"/>
  <c r="AH65" i="3"/>
  <c r="F65" i="10" s="1"/>
  <c r="AQ65" i="3"/>
  <c r="G200" i="10"/>
  <c r="AC151" i="10"/>
  <c r="AF151" i="10"/>
  <c r="AA138" i="10"/>
  <c r="AC138" i="10" s="1"/>
  <c r="AG138" i="10" s="1"/>
  <c r="AC159" i="10"/>
  <c r="AG159" i="10" s="1"/>
  <c r="G82" i="10"/>
  <c r="AC109" i="10"/>
  <c r="AG109" i="10" s="1"/>
  <c r="AC150" i="10"/>
  <c r="AG150" i="10" s="1"/>
  <c r="D102" i="10"/>
  <c r="AM102" i="3"/>
  <c r="AH102" i="3"/>
  <c r="F102" i="10" s="1"/>
  <c r="AP102" i="3"/>
  <c r="AQ102" i="3"/>
  <c r="AA206" i="10"/>
  <c r="AC206" i="10" s="1"/>
  <c r="AG206" i="10" s="1"/>
  <c r="AH55" i="3"/>
  <c r="F55" i="10" s="1"/>
  <c r="AP55" i="3"/>
  <c r="AM55" i="3"/>
  <c r="D55" i="10"/>
  <c r="AQ55" i="3"/>
  <c r="G208" i="10"/>
  <c r="G35" i="10"/>
  <c r="AC187" i="10"/>
  <c r="AG187" i="10" s="1"/>
  <c r="D27" i="10"/>
  <c r="AM27" i="3"/>
  <c r="AP27" i="3"/>
  <c r="AH27" i="3"/>
  <c r="F27" i="10" s="1"/>
  <c r="AQ27" i="3"/>
  <c r="G190" i="10"/>
  <c r="AC193" i="10"/>
  <c r="AG193" i="10" s="1"/>
  <c r="G92" i="10"/>
  <c r="AC168" i="10"/>
  <c r="AG168" i="10" s="1"/>
  <c r="G125" i="10"/>
  <c r="G166" i="10"/>
  <c r="AM62" i="3"/>
  <c r="AH62" i="3"/>
  <c r="F62" i="10" s="1"/>
  <c r="D62" i="10"/>
  <c r="AP62" i="3"/>
  <c r="AQ62" i="3"/>
  <c r="G151" i="10"/>
  <c r="G49" i="10"/>
  <c r="AC164" i="10"/>
  <c r="AF164" i="10"/>
  <c r="AC146" i="10"/>
  <c r="AF146" i="10"/>
  <c r="AC126" i="10"/>
  <c r="AG126" i="10" s="1"/>
  <c r="AC162" i="10"/>
  <c r="AF162" i="10"/>
  <c r="G219" i="10"/>
  <c r="AA88" i="10"/>
  <c r="AC88" i="10" s="1"/>
  <c r="AG88" i="10" s="1"/>
  <c r="G98" i="10"/>
  <c r="AP16" i="3"/>
  <c r="AH16" i="3"/>
  <c r="F16" i="10" s="1"/>
  <c r="D16" i="10"/>
  <c r="AM16" i="3"/>
  <c r="AQ16" i="3"/>
  <c r="G103" i="10"/>
  <c r="G177" i="10"/>
  <c r="AC177" i="10"/>
  <c r="AG177" i="10" s="1"/>
  <c r="G187" i="10"/>
  <c r="AA214" i="10"/>
  <c r="AC214" i="10" s="1"/>
  <c r="AG214" i="10" s="1"/>
  <c r="AC175" i="10"/>
  <c r="AF175" i="10"/>
  <c r="D209" i="10"/>
  <c r="AH209" i="3"/>
  <c r="F209" i="10" s="1"/>
  <c r="AM209" i="3"/>
  <c r="AP209" i="3"/>
  <c r="AQ209" i="3"/>
  <c r="AC111" i="10"/>
  <c r="AG111" i="10" s="1"/>
  <c r="G73" i="10"/>
  <c r="G178" i="10"/>
  <c r="AC167" i="10"/>
  <c r="AF167" i="10"/>
  <c r="AA127" i="10"/>
  <c r="AC127" i="10" s="1"/>
  <c r="AG127" i="10" s="1"/>
  <c r="G87" i="10"/>
  <c r="G99" i="10"/>
  <c r="G86" i="10"/>
  <c r="AC63" i="10"/>
  <c r="AG63" i="10" s="1"/>
  <c r="G180" i="10"/>
  <c r="AC191" i="10"/>
  <c r="AG191" i="10" s="1"/>
  <c r="G194" i="10"/>
  <c r="AC195" i="10"/>
  <c r="AF195" i="10"/>
  <c r="AC72" i="10"/>
  <c r="AF72" i="10"/>
  <c r="AC66" i="10"/>
  <c r="AG66" i="10" s="1"/>
  <c r="AA129" i="10"/>
  <c r="AC129" i="10" s="1"/>
  <c r="AG129" i="10" s="1"/>
  <c r="AA185" i="10"/>
  <c r="AC185" i="10" s="1"/>
  <c r="AG185" i="10" s="1"/>
  <c r="AC29" i="10"/>
  <c r="AG29" i="10" s="1"/>
  <c r="AD310" i="3"/>
  <c r="AC324" i="3"/>
  <c r="AD324" i="3" s="1"/>
  <c r="D12" i="10"/>
  <c r="AM12" i="3"/>
  <c r="AF222" i="3"/>
  <c r="AP12" i="3"/>
  <c r="AH12" i="3"/>
  <c r="AQ12" i="3"/>
  <c r="AA158" i="10"/>
  <c r="AC158" i="10" s="1"/>
  <c r="AG158" i="10" s="1"/>
  <c r="G123" i="10"/>
  <c r="G176" i="10"/>
  <c r="AA166" i="10"/>
  <c r="AC166" i="10" s="1"/>
  <c r="AG166" i="10" s="1"/>
  <c r="AC156" i="10"/>
  <c r="AG156" i="10" s="1"/>
  <c r="G104" i="10"/>
  <c r="G191" i="10"/>
  <c r="G89" i="10"/>
  <c r="AA186" i="10"/>
  <c r="AC186" i="10" s="1"/>
  <c r="AG186" i="10" s="1"/>
  <c r="AC112" i="10"/>
  <c r="AG112" i="10" s="1"/>
  <c r="AC161" i="10"/>
  <c r="AG161" i="10" s="1"/>
  <c r="AC117" i="10"/>
  <c r="AG117" i="10" s="1"/>
  <c r="G160" i="10"/>
  <c r="AA54" i="10"/>
  <c r="AC54" i="10" s="1"/>
  <c r="AG54" i="10" s="1"/>
  <c r="G134" i="10"/>
  <c r="AA190" i="10"/>
  <c r="AC190" i="10" s="1"/>
  <c r="AG190" i="10" s="1"/>
  <c r="G184" i="10"/>
  <c r="G93" i="10"/>
  <c r="AA99" i="10"/>
  <c r="AC176" i="10"/>
  <c r="AG176" i="10" s="1"/>
  <c r="G36" i="10"/>
  <c r="G218" i="10"/>
  <c r="G124" i="10"/>
  <c r="AC135" i="10"/>
  <c r="AG135" i="10" s="1"/>
  <c r="AC49" i="10"/>
  <c r="AG49" i="10" s="1"/>
  <c r="G59" i="10"/>
  <c r="G146" i="10"/>
  <c r="AC147" i="10"/>
  <c r="AG147" i="10" s="1"/>
  <c r="G181" i="10"/>
  <c r="AP78" i="3"/>
  <c r="D78" i="10"/>
  <c r="AH78" i="3"/>
  <c r="F78" i="10" s="1"/>
  <c r="AM78" i="3"/>
  <c r="AQ78" i="3"/>
  <c r="G119" i="10"/>
  <c r="D172" i="10"/>
  <c r="AM172" i="3"/>
  <c r="AP172" i="3"/>
  <c r="AH172" i="3"/>
  <c r="F172" i="10" s="1"/>
  <c r="AQ172" i="3"/>
  <c r="AC160" i="10"/>
  <c r="AF160" i="10"/>
  <c r="AC47" i="10"/>
  <c r="AG47" i="10" s="1"/>
  <c r="G214" i="10"/>
  <c r="AA105" i="10"/>
  <c r="AC105" i="10" s="1"/>
  <c r="AG105" i="10" s="1"/>
  <c r="O7" i="3"/>
  <c r="G145" i="10"/>
  <c r="AC148" i="10"/>
  <c r="AG148" i="10" s="1"/>
  <c r="G217" i="10"/>
  <c r="D101" i="10"/>
  <c r="AH101" i="3"/>
  <c r="F101" i="10" s="1"/>
  <c r="AP101" i="3"/>
  <c r="AM101" i="3"/>
  <c r="AQ101" i="3"/>
  <c r="G155" i="10"/>
  <c r="G158" i="10"/>
  <c r="AA130" i="10"/>
  <c r="AC130" i="10" s="1"/>
  <c r="AG130" i="10" s="1"/>
  <c r="G63" i="10"/>
  <c r="AC180" i="10"/>
  <c r="AG180" i="10" s="1"/>
  <c r="AC140" i="10"/>
  <c r="AG140" i="10" s="1"/>
  <c r="G150" i="10"/>
  <c r="AC69" i="10"/>
  <c r="AF69" i="10"/>
  <c r="G42" i="10"/>
  <c r="G198" i="10"/>
  <c r="G28" i="10"/>
  <c r="AA121" i="10"/>
  <c r="D144" i="10"/>
  <c r="AP144" i="3"/>
  <c r="AH144" i="3"/>
  <c r="F144" i="10" s="1"/>
  <c r="AM144" i="3"/>
  <c r="AQ144" i="3"/>
  <c r="G141" i="10"/>
  <c r="AH143" i="3"/>
  <c r="F143" i="10" s="1"/>
  <c r="AP143" i="3"/>
  <c r="D143" i="10"/>
  <c r="AM143" i="3"/>
  <c r="AQ143" i="3"/>
  <c r="G179" i="10"/>
  <c r="AC71" i="10"/>
  <c r="AG71" i="10" s="1"/>
  <c r="G169" i="10"/>
  <c r="G58" i="10"/>
  <c r="AA116" i="10"/>
  <c r="AC116" i="10" s="1"/>
  <c r="AG116" i="10" s="1"/>
  <c r="AA91" i="10"/>
  <c r="AC91" i="10" s="1"/>
  <c r="AG91" i="10" s="1"/>
  <c r="AG208" i="10" l="1"/>
  <c r="AC121" i="10"/>
  <c r="AG121" i="10" s="1"/>
  <c r="AI121" i="10" s="1"/>
  <c r="AM121" i="10" s="1"/>
  <c r="AG160" i="10"/>
  <c r="AJ160" i="10" s="1"/>
  <c r="AN160" i="10" s="1"/>
  <c r="AG52" i="10"/>
  <c r="AJ52" i="10" s="1"/>
  <c r="AN52" i="10" s="1"/>
  <c r="AG69" i="10"/>
  <c r="AI69" i="10" s="1"/>
  <c r="AM69" i="10" s="1"/>
  <c r="AG204" i="10"/>
  <c r="AG165" i="10"/>
  <c r="AI165" i="10" s="1"/>
  <c r="AM165" i="10" s="1"/>
  <c r="AG72" i="10"/>
  <c r="AI72" i="10" s="1"/>
  <c r="AM72" i="10" s="1"/>
  <c r="AC107" i="10"/>
  <c r="AG107" i="10" s="1"/>
  <c r="AI107" i="10" s="1"/>
  <c r="AC219" i="10"/>
  <c r="AG219" i="10" s="1"/>
  <c r="AG217" i="10"/>
  <c r="AI217" i="10" s="1"/>
  <c r="AM217" i="10" s="1"/>
  <c r="AG67" i="10"/>
  <c r="AJ67" i="10" s="1"/>
  <c r="AN67" i="10" s="1"/>
  <c r="AG76" i="10"/>
  <c r="AJ76" i="10" s="1"/>
  <c r="AN76" i="10" s="1"/>
  <c r="AG169" i="10"/>
  <c r="AI169" i="10" s="1"/>
  <c r="AM169" i="10" s="1"/>
  <c r="AI54" i="10"/>
  <c r="AJ54" i="10"/>
  <c r="AN54" i="10" s="1"/>
  <c r="AI127" i="10"/>
  <c r="AM127" i="10" s="1"/>
  <c r="AJ127" i="10"/>
  <c r="AN127" i="10" s="1"/>
  <c r="AI58" i="10"/>
  <c r="AJ58" i="10"/>
  <c r="AN58" i="10" s="1"/>
  <c r="AI218" i="10"/>
  <c r="AM218" i="10" s="1"/>
  <c r="AJ218" i="10"/>
  <c r="AN218" i="10" s="1"/>
  <c r="AJ203" i="10"/>
  <c r="AN203" i="10" s="1"/>
  <c r="AI203" i="10"/>
  <c r="AM203" i="10" s="1"/>
  <c r="AJ95" i="10"/>
  <c r="AN95" i="10" s="1"/>
  <c r="AI95" i="10"/>
  <c r="AJ133" i="10"/>
  <c r="AN133" i="10" s="1"/>
  <c r="AI133" i="10"/>
  <c r="AM133" i="10" s="1"/>
  <c r="AJ91" i="10"/>
  <c r="AN91" i="10" s="1"/>
  <c r="AI91" i="10"/>
  <c r="AM91" i="10" s="1"/>
  <c r="AI138" i="10"/>
  <c r="AM138" i="10" s="1"/>
  <c r="AJ138" i="10"/>
  <c r="AN138" i="10" s="1"/>
  <c r="AJ25" i="10"/>
  <c r="AN25" i="10" s="1"/>
  <c r="AI25" i="10"/>
  <c r="AM25" i="10" s="1"/>
  <c r="AJ194" i="10"/>
  <c r="AN194" i="10" s="1"/>
  <c r="AI194" i="10"/>
  <c r="AJ79" i="10"/>
  <c r="AN79" i="10" s="1"/>
  <c r="AI79" i="10"/>
  <c r="AJ211" i="10"/>
  <c r="AN211" i="10" s="1"/>
  <c r="AI211" i="10"/>
  <c r="AM211" i="10" s="1"/>
  <c r="AJ129" i="10"/>
  <c r="AN129" i="10" s="1"/>
  <c r="AI129" i="10"/>
  <c r="AM129" i="10" s="1"/>
  <c r="AI118" i="10"/>
  <c r="AM118" i="10" s="1"/>
  <c r="AJ118" i="10"/>
  <c r="AN118" i="10" s="1"/>
  <c r="AJ115" i="10"/>
  <c r="AN115" i="10" s="1"/>
  <c r="AI115" i="10"/>
  <c r="AM115" i="10" s="1"/>
  <c r="AJ92" i="10"/>
  <c r="AN92" i="10" s="1"/>
  <c r="AI92" i="10"/>
  <c r="AM92" i="10" s="1"/>
  <c r="AJ83" i="10"/>
  <c r="AN83" i="10" s="1"/>
  <c r="AI83" i="10"/>
  <c r="AM83" i="10" s="1"/>
  <c r="AJ130" i="10"/>
  <c r="AN130" i="10" s="1"/>
  <c r="AI130" i="10"/>
  <c r="AJ158" i="10"/>
  <c r="AN158" i="10" s="1"/>
  <c r="AI158" i="10"/>
  <c r="AM158" i="10" s="1"/>
  <c r="AJ199" i="10"/>
  <c r="AN199" i="10" s="1"/>
  <c r="AI199" i="10"/>
  <c r="AI212" i="10"/>
  <c r="AJ212" i="10"/>
  <c r="AN212" i="10" s="1"/>
  <c r="AJ93" i="10"/>
  <c r="AN93" i="10" s="1"/>
  <c r="AI93" i="10"/>
  <c r="AI144" i="3"/>
  <c r="AN144" i="3"/>
  <c r="AJ180" i="10"/>
  <c r="AN180" i="10" s="1"/>
  <c r="AI180" i="10"/>
  <c r="AI71" i="10"/>
  <c r="AJ71" i="10"/>
  <c r="AN71" i="10" s="1"/>
  <c r="AI143" i="3"/>
  <c r="AN143" i="3"/>
  <c r="AI172" i="3"/>
  <c r="AN172" i="3"/>
  <c r="AN78" i="3"/>
  <c r="AI78" i="3"/>
  <c r="S78" i="10"/>
  <c r="L78" i="10"/>
  <c r="K78" i="10"/>
  <c r="AC99" i="10"/>
  <c r="AG99" i="10" s="1"/>
  <c r="AJ117" i="10"/>
  <c r="AN117" i="10" s="1"/>
  <c r="AI117" i="10"/>
  <c r="AJ112" i="10"/>
  <c r="AN112" i="10" s="1"/>
  <c r="AI112" i="10"/>
  <c r="AF261" i="3"/>
  <c r="AM235" i="3"/>
  <c r="AH235" i="3"/>
  <c r="F236" i="10" s="1"/>
  <c r="J16" i="31"/>
  <c r="J17" i="31" s="1"/>
  <c r="J13" i="31"/>
  <c r="F12" i="10"/>
  <c r="J15" i="31"/>
  <c r="AH222" i="3"/>
  <c r="AM222" i="3"/>
  <c r="AM8" i="3" s="1"/>
  <c r="AF8" i="3"/>
  <c r="AF7" i="3" s="1"/>
  <c r="AG195" i="10"/>
  <c r="AJ191" i="10"/>
  <c r="AN191" i="10" s="1"/>
  <c r="AI191" i="10"/>
  <c r="AI63" i="10"/>
  <c r="AJ63" i="10"/>
  <c r="AN63" i="10" s="1"/>
  <c r="AK127" i="10"/>
  <c r="AG167" i="10"/>
  <c r="AG175" i="10"/>
  <c r="AG162" i="10"/>
  <c r="AG164" i="10"/>
  <c r="S62" i="10"/>
  <c r="L62" i="10"/>
  <c r="K62" i="10"/>
  <c r="AI187" i="10"/>
  <c r="AJ187" i="10"/>
  <c r="AN187" i="10" s="1"/>
  <c r="AN102" i="3"/>
  <c r="AI102" i="3"/>
  <c r="AJ150" i="10"/>
  <c r="AN150" i="10" s="1"/>
  <c r="AI150" i="10"/>
  <c r="AG151" i="10"/>
  <c r="AI65" i="3"/>
  <c r="AN65" i="3"/>
  <c r="AM264" i="3"/>
  <c r="AF275" i="3"/>
  <c r="AH264" i="3"/>
  <c r="F265" i="10" s="1"/>
  <c r="AM239" i="3"/>
  <c r="AH239" i="3"/>
  <c r="F240" i="10" s="1"/>
  <c r="AN30" i="3"/>
  <c r="AI30" i="3"/>
  <c r="AG44" i="10"/>
  <c r="AN80" i="3"/>
  <c r="AI80" i="3"/>
  <c r="AJ50" i="10"/>
  <c r="AN50" i="10" s="1"/>
  <c r="AI50" i="10"/>
  <c r="AC7" i="3"/>
  <c r="AN128" i="3"/>
  <c r="AI128" i="3"/>
  <c r="L26" i="10"/>
  <c r="K26" i="10"/>
  <c r="S26" i="10"/>
  <c r="S17" i="10"/>
  <c r="K17" i="10"/>
  <c r="L17" i="10"/>
  <c r="AJ216" i="10"/>
  <c r="AN216" i="10" s="1"/>
  <c r="AI216" i="10"/>
  <c r="AH295" i="3"/>
  <c r="F296" i="10" s="1"/>
  <c r="AM295" i="3"/>
  <c r="AM279" i="3"/>
  <c r="AH279" i="3"/>
  <c r="F280" i="10" s="1"/>
  <c r="AI14" i="3"/>
  <c r="AN14" i="3"/>
  <c r="K14" i="10"/>
  <c r="S14" i="10"/>
  <c r="L14" i="10"/>
  <c r="AM255" i="3"/>
  <c r="AH255" i="3"/>
  <c r="F256" i="10" s="1"/>
  <c r="AI100" i="3"/>
  <c r="AN100" i="3"/>
  <c r="AJ74" i="10"/>
  <c r="AN74" i="10" s="1"/>
  <c r="AI74" i="10"/>
  <c r="AI56" i="3"/>
  <c r="AN56" i="3"/>
  <c r="S22" i="10"/>
  <c r="K22" i="10"/>
  <c r="L22" i="10"/>
  <c r="AM280" i="3"/>
  <c r="AH280" i="3"/>
  <c r="F281" i="10" s="1"/>
  <c r="AJ53" i="10"/>
  <c r="AN53" i="10" s="1"/>
  <c r="AI53" i="10"/>
  <c r="AI87" i="10"/>
  <c r="AJ87" i="10"/>
  <c r="AN87" i="10" s="1"/>
  <c r="AN18" i="3"/>
  <c r="AI18" i="3"/>
  <c r="AI184" i="10"/>
  <c r="AJ184" i="10"/>
  <c r="AN184" i="10" s="1"/>
  <c r="AN19" i="3"/>
  <c r="AI19" i="3"/>
  <c r="AI179" i="10"/>
  <c r="AJ179" i="10"/>
  <c r="AN179" i="10" s="1"/>
  <c r="AI182" i="3"/>
  <c r="AN182" i="3"/>
  <c r="AI110" i="10"/>
  <c r="AJ110" i="10"/>
  <c r="AN110" i="10" s="1"/>
  <c r="S31" i="10"/>
  <c r="L31" i="10"/>
  <c r="K31" i="10"/>
  <c r="S210" i="10"/>
  <c r="K210" i="10"/>
  <c r="L210" i="10"/>
  <c r="AM322" i="3"/>
  <c r="AH322" i="3"/>
  <c r="F323" i="10" s="1"/>
  <c r="AJ196" i="10"/>
  <c r="AN196" i="10" s="1"/>
  <c r="AI196" i="10"/>
  <c r="AM283" i="3"/>
  <c r="AH283" i="3"/>
  <c r="F284" i="10" s="1"/>
  <c r="AJ170" i="10"/>
  <c r="AN170" i="10" s="1"/>
  <c r="AI170" i="10"/>
  <c r="L108" i="10"/>
  <c r="K108" i="10"/>
  <c r="S108" i="10"/>
  <c r="AI108" i="3"/>
  <c r="AN108" i="3"/>
  <c r="K139" i="10"/>
  <c r="S139" i="10"/>
  <c r="L139" i="10"/>
  <c r="AH228" i="3"/>
  <c r="AM228" i="3"/>
  <c r="AI86" i="10"/>
  <c r="AJ86" i="10"/>
  <c r="AN86" i="10" s="1"/>
  <c r="AI171" i="3"/>
  <c r="AN171" i="3"/>
  <c r="AM253" i="3"/>
  <c r="AH253" i="3"/>
  <c r="F254" i="10" s="1"/>
  <c r="AI60" i="10"/>
  <c r="AJ60" i="10"/>
  <c r="AN60" i="10" s="1"/>
  <c r="AI208" i="10"/>
  <c r="AJ208" i="10"/>
  <c r="AN208" i="10" s="1"/>
  <c r="AI59" i="10"/>
  <c r="AJ59" i="10"/>
  <c r="AN59" i="10" s="1"/>
  <c r="AI123" i="10"/>
  <c r="AJ123" i="10"/>
  <c r="AN123" i="10" s="1"/>
  <c r="S23" i="10"/>
  <c r="L23" i="10"/>
  <c r="K23" i="10"/>
  <c r="AI81" i="3"/>
  <c r="AN81" i="3"/>
  <c r="AH246" i="3"/>
  <c r="F247" i="10" s="1"/>
  <c r="AM246" i="3"/>
  <c r="AJ98" i="10"/>
  <c r="AN98" i="10" s="1"/>
  <c r="AI98" i="10"/>
  <c r="AG42" i="10"/>
  <c r="AJ68" i="10"/>
  <c r="AN68" i="10" s="1"/>
  <c r="AI68" i="10"/>
  <c r="K143" i="10"/>
  <c r="L143" i="10"/>
  <c r="S143" i="10"/>
  <c r="AJ140" i="10"/>
  <c r="AN140" i="10" s="1"/>
  <c r="AI140" i="10"/>
  <c r="AH248" i="3"/>
  <c r="F249" i="10" s="1"/>
  <c r="AM248" i="3"/>
  <c r="AH320" i="3"/>
  <c r="F321" i="10" s="1"/>
  <c r="AM320" i="3"/>
  <c r="AJ147" i="10"/>
  <c r="AN147" i="10" s="1"/>
  <c r="AI147" i="10"/>
  <c r="AI135" i="10"/>
  <c r="AJ135" i="10"/>
  <c r="AN135" i="10" s="1"/>
  <c r="AJ176" i="10"/>
  <c r="AN176" i="10" s="1"/>
  <c r="AI176" i="10"/>
  <c r="AH270" i="3"/>
  <c r="F271" i="10" s="1"/>
  <c r="AM270" i="3"/>
  <c r="AM293" i="3"/>
  <c r="AF306" i="3"/>
  <c r="AH293" i="3"/>
  <c r="F294" i="10" s="1"/>
  <c r="AL4" i="3"/>
  <c r="E36" i="4" s="1"/>
  <c r="AL5" i="3"/>
  <c r="E37" i="4" s="1"/>
  <c r="AI185" i="10"/>
  <c r="AM185" i="10" s="1"/>
  <c r="AJ185" i="10"/>
  <c r="AN185" i="10" s="1"/>
  <c r="AN209" i="3"/>
  <c r="AI209" i="3"/>
  <c r="L209" i="10"/>
  <c r="S209" i="10"/>
  <c r="K209" i="10"/>
  <c r="AI16" i="3"/>
  <c r="AN16" i="3"/>
  <c r="AG146" i="10"/>
  <c r="AI168" i="10"/>
  <c r="AJ168" i="10"/>
  <c r="AN168" i="10" s="1"/>
  <c r="AI193" i="10"/>
  <c r="AJ193" i="10"/>
  <c r="AN193" i="10" s="1"/>
  <c r="S27" i="10"/>
  <c r="L27" i="10"/>
  <c r="K27" i="10"/>
  <c r="AH241" i="3"/>
  <c r="F242" i="10" s="1"/>
  <c r="AM241" i="3"/>
  <c r="AI215" i="10"/>
  <c r="AJ215" i="10"/>
  <c r="AN215" i="10" s="1"/>
  <c r="AH312" i="3"/>
  <c r="F313" i="10" s="1"/>
  <c r="AM312" i="3"/>
  <c r="AI154" i="10"/>
  <c r="AJ154" i="10"/>
  <c r="AN154" i="10" s="1"/>
  <c r="AJ181" i="10"/>
  <c r="AN181" i="10" s="1"/>
  <c r="AI181" i="10"/>
  <c r="AH245" i="3"/>
  <c r="F246" i="10" s="1"/>
  <c r="AM245" i="3"/>
  <c r="L128" i="10"/>
  <c r="K128" i="10"/>
  <c r="S128" i="10"/>
  <c r="AJ188" i="10"/>
  <c r="AN188" i="10" s="1"/>
  <c r="AI188" i="10"/>
  <c r="AG37" i="10"/>
  <c r="AJ40" i="10"/>
  <c r="AN40" i="10" s="1"/>
  <c r="AI40" i="10"/>
  <c r="AN26" i="3"/>
  <c r="AI26" i="3"/>
  <c r="AM238" i="3"/>
  <c r="AH238" i="3"/>
  <c r="F239" i="10" s="1"/>
  <c r="AI89" i="10"/>
  <c r="AJ89" i="10"/>
  <c r="AN89" i="10" s="1"/>
  <c r="AJ90" i="10"/>
  <c r="AN90" i="10" s="1"/>
  <c r="AI90" i="10"/>
  <c r="AG103" i="10"/>
  <c r="K120" i="10"/>
  <c r="S120" i="10"/>
  <c r="L120" i="10"/>
  <c r="AI120" i="3"/>
  <c r="AN120" i="3"/>
  <c r="AI46" i="10"/>
  <c r="AJ46" i="10"/>
  <c r="AN46" i="10" s="1"/>
  <c r="AI75" i="10"/>
  <c r="AJ75" i="10"/>
  <c r="AN75" i="10" s="1"/>
  <c r="AC39" i="10"/>
  <c r="AG39" i="10" s="1"/>
  <c r="AI77" i="10"/>
  <c r="AJ77" i="10"/>
  <c r="AN77" i="10" s="1"/>
  <c r="AI124" i="10"/>
  <c r="AJ124" i="10"/>
  <c r="AN124" i="10" s="1"/>
  <c r="L15" i="10"/>
  <c r="S15" i="10"/>
  <c r="K15" i="10"/>
  <c r="AG20" i="10"/>
  <c r="AM302" i="3"/>
  <c r="AH302" i="3"/>
  <c r="F303" i="10" s="1"/>
  <c r="AN142" i="3"/>
  <c r="AI142" i="3"/>
  <c r="K38" i="10"/>
  <c r="S38" i="10"/>
  <c r="L38" i="10"/>
  <c r="AH294" i="3"/>
  <c r="F295" i="10" s="1"/>
  <c r="AM294" i="3"/>
  <c r="AG198" i="10"/>
  <c r="AH259" i="3"/>
  <c r="F260" i="10" s="1"/>
  <c r="AM259" i="3"/>
  <c r="AH247" i="3"/>
  <c r="F248" i="10" s="1"/>
  <c r="AM247" i="3"/>
  <c r="S100" i="10"/>
  <c r="L100" i="10"/>
  <c r="K100" i="10"/>
  <c r="AJ125" i="10"/>
  <c r="AN125" i="10" s="1"/>
  <c r="AI125" i="10"/>
  <c r="L56" i="10"/>
  <c r="S56" i="10"/>
  <c r="K56" i="10"/>
  <c r="AH237" i="3"/>
  <c r="F238" i="10" s="1"/>
  <c r="AM237" i="3"/>
  <c r="AH297" i="3"/>
  <c r="F298" i="10" s="1"/>
  <c r="AM297" i="3"/>
  <c r="AG145" i="10"/>
  <c r="AH296" i="3"/>
  <c r="F297" i="10" s="1"/>
  <c r="AM296" i="3"/>
  <c r="AI33" i="3"/>
  <c r="AN33" i="3"/>
  <c r="L182" i="10"/>
  <c r="S182" i="10"/>
  <c r="K182" i="10"/>
  <c r="AM287" i="3"/>
  <c r="AH287" i="3"/>
  <c r="F288" i="10" s="1"/>
  <c r="AJ106" i="10"/>
  <c r="AN106" i="10" s="1"/>
  <c r="AI106" i="10"/>
  <c r="AH258" i="3"/>
  <c r="F259" i="10" s="1"/>
  <c r="AM258" i="3"/>
  <c r="AJ149" i="10"/>
  <c r="AN149" i="10" s="1"/>
  <c r="AI149" i="10"/>
  <c r="AI122" i="3"/>
  <c r="AN122" i="3"/>
  <c r="S122" i="10"/>
  <c r="K122" i="10"/>
  <c r="L122" i="10"/>
  <c r="AI13" i="3"/>
  <c r="AN13" i="3"/>
  <c r="AM272" i="3"/>
  <c r="AH272" i="3"/>
  <c r="F273" i="10" s="1"/>
  <c r="AJ73" i="10"/>
  <c r="AN73" i="10" s="1"/>
  <c r="AI73" i="10"/>
  <c r="AI28" i="10"/>
  <c r="AJ28" i="10"/>
  <c r="AN28" i="10" s="1"/>
  <c r="AJ131" i="10"/>
  <c r="AN131" i="10" s="1"/>
  <c r="AI131" i="10"/>
  <c r="AJ97" i="10"/>
  <c r="AN97" i="10" s="1"/>
  <c r="AI97" i="10"/>
  <c r="AJ136" i="10"/>
  <c r="AN136" i="10" s="1"/>
  <c r="AI136" i="10"/>
  <c r="AJ82" i="10"/>
  <c r="AN82" i="10" s="1"/>
  <c r="AI82" i="10"/>
  <c r="AH252" i="3"/>
  <c r="AM252" i="3"/>
  <c r="AH319" i="3"/>
  <c r="F320" i="10" s="1"/>
  <c r="AM319" i="3"/>
  <c r="AI84" i="10"/>
  <c r="AJ84" i="10"/>
  <c r="AN84" i="10" s="1"/>
  <c r="AJ134" i="10"/>
  <c r="AN134" i="10" s="1"/>
  <c r="AI134" i="10"/>
  <c r="AJ104" i="10"/>
  <c r="AN104" i="10" s="1"/>
  <c r="AI104" i="10"/>
  <c r="AH303" i="3"/>
  <c r="F304" i="10" s="1"/>
  <c r="AM303" i="3"/>
  <c r="AJ121" i="10"/>
  <c r="AN121" i="10" s="1"/>
  <c r="AI116" i="10"/>
  <c r="AJ116" i="10"/>
  <c r="AN116" i="10" s="1"/>
  <c r="K144" i="10"/>
  <c r="S144" i="10"/>
  <c r="L144" i="10"/>
  <c r="AN101" i="3"/>
  <c r="AI101" i="3"/>
  <c r="AM254" i="3"/>
  <c r="AH254" i="3"/>
  <c r="F255" i="10" s="1"/>
  <c r="AM244" i="3"/>
  <c r="AH244" i="3"/>
  <c r="F245" i="10" s="1"/>
  <c r="AJ161" i="10"/>
  <c r="AN161" i="10" s="1"/>
  <c r="AI161" i="10"/>
  <c r="AI166" i="10"/>
  <c r="AJ166" i="10"/>
  <c r="AN166" i="10" s="1"/>
  <c r="AQ222" i="3"/>
  <c r="AQ8" i="3" s="1"/>
  <c r="AN12" i="3"/>
  <c r="AI12" i="3"/>
  <c r="AP222" i="3"/>
  <c r="AP8" i="3" s="1"/>
  <c r="S12" i="10"/>
  <c r="L12" i="10"/>
  <c r="D222" i="10"/>
  <c r="K12" i="10"/>
  <c r="AJ29" i="10"/>
  <c r="AN29" i="10" s="1"/>
  <c r="AI29" i="10"/>
  <c r="AI66" i="10"/>
  <c r="AJ66" i="10"/>
  <c r="AN66" i="10" s="1"/>
  <c r="AI111" i="10"/>
  <c r="AJ111" i="10"/>
  <c r="AN111" i="10" s="1"/>
  <c r="AM257" i="3"/>
  <c r="AH257" i="3"/>
  <c r="F258" i="10" s="1"/>
  <c r="AM268" i="3"/>
  <c r="AH268" i="3"/>
  <c r="F269" i="10" s="1"/>
  <c r="AI126" i="10"/>
  <c r="AJ126" i="10"/>
  <c r="AN126" i="10" s="1"/>
  <c r="AN62" i="3"/>
  <c r="AI62" i="3"/>
  <c r="AH267" i="3"/>
  <c r="F268" i="10" s="1"/>
  <c r="AM267" i="3"/>
  <c r="AI27" i="3"/>
  <c r="AN27" i="3"/>
  <c r="AM313" i="3"/>
  <c r="AH313" i="3"/>
  <c r="F314" i="10" s="1"/>
  <c r="AM249" i="3"/>
  <c r="AH249" i="3"/>
  <c r="F250" i="10" s="1"/>
  <c r="K102" i="10"/>
  <c r="S102" i="10"/>
  <c r="L102" i="10"/>
  <c r="AI109" i="10"/>
  <c r="AJ109" i="10"/>
  <c r="AN109" i="10" s="1"/>
  <c r="AI159" i="10"/>
  <c r="AJ159" i="10"/>
  <c r="AN159" i="10" s="1"/>
  <c r="L65" i="10"/>
  <c r="K65" i="10"/>
  <c r="S65" i="10"/>
  <c r="AJ155" i="10"/>
  <c r="AN155" i="10" s="1"/>
  <c r="AI155" i="10"/>
  <c r="AI61" i="10"/>
  <c r="AJ61" i="10"/>
  <c r="AN61" i="10" s="1"/>
  <c r="AJ189" i="10"/>
  <c r="AN189" i="10" s="1"/>
  <c r="AI189" i="10"/>
  <c r="AF289" i="3"/>
  <c r="AH278" i="3"/>
  <c r="F279" i="10" s="1"/>
  <c r="AM278" i="3"/>
  <c r="AI24" i="3"/>
  <c r="AN24" i="3"/>
  <c r="AC192" i="10"/>
  <c r="AG192" i="10" s="1"/>
  <c r="AJ201" i="10"/>
  <c r="AN201" i="10" s="1"/>
  <c r="AI201" i="10"/>
  <c r="AI17" i="3"/>
  <c r="AN17" i="3"/>
  <c r="AM317" i="3"/>
  <c r="AH317" i="3"/>
  <c r="F318" i="10" s="1"/>
  <c r="AJ183" i="10"/>
  <c r="AN183" i="10" s="1"/>
  <c r="AI183" i="10"/>
  <c r="AI202" i="10"/>
  <c r="AJ202" i="10"/>
  <c r="AN202" i="10" s="1"/>
  <c r="AH282" i="3"/>
  <c r="F283" i="10" s="1"/>
  <c r="AM282" i="3"/>
  <c r="AJ197" i="10"/>
  <c r="AN197" i="10" s="1"/>
  <c r="AI197" i="10"/>
  <c r="AI38" i="3"/>
  <c r="AN38" i="3"/>
  <c r="AH236" i="3"/>
  <c r="F237" i="10" s="1"/>
  <c r="AM236" i="3"/>
  <c r="AI174" i="3"/>
  <c r="AN174" i="3"/>
  <c r="S213" i="10"/>
  <c r="L213" i="10"/>
  <c r="K213" i="10"/>
  <c r="AH316" i="3"/>
  <c r="F317" i="10" s="1"/>
  <c r="AM316" i="3"/>
  <c r="AG43" i="10"/>
  <c r="AJ32" i="10"/>
  <c r="AN32" i="10" s="1"/>
  <c r="AI32" i="10"/>
  <c r="S18" i="10"/>
  <c r="L18" i="10"/>
  <c r="K18" i="10"/>
  <c r="AH286" i="3"/>
  <c r="F287" i="10" s="1"/>
  <c r="AM286" i="3"/>
  <c r="AH273" i="3"/>
  <c r="F274" i="10" s="1"/>
  <c r="AM273" i="3"/>
  <c r="K33" i="10"/>
  <c r="L33" i="10"/>
  <c r="S33" i="10"/>
  <c r="AM256" i="3"/>
  <c r="AH256" i="3"/>
  <c r="AI114" i="10"/>
  <c r="AJ114" i="10"/>
  <c r="AN114" i="10" s="1"/>
  <c r="AJ207" i="10"/>
  <c r="AN207" i="10" s="1"/>
  <c r="AI207" i="10"/>
  <c r="AN210" i="3"/>
  <c r="AI210" i="3"/>
  <c r="S21" i="10"/>
  <c r="K21" i="10"/>
  <c r="L21" i="10"/>
  <c r="AJ34" i="10"/>
  <c r="AN34" i="10" s="1"/>
  <c r="AI34" i="10"/>
  <c r="AH300" i="3"/>
  <c r="F301" i="10" s="1"/>
  <c r="AM300" i="3"/>
  <c r="AJ45" i="10"/>
  <c r="AN45" i="10" s="1"/>
  <c r="AI45" i="10"/>
  <c r="AG157" i="10"/>
  <c r="AI139" i="3"/>
  <c r="AN139" i="3"/>
  <c r="AC48" i="10"/>
  <c r="AG48" i="10" s="1"/>
  <c r="AJ200" i="10"/>
  <c r="AN200" i="10" s="1"/>
  <c r="AI200" i="10"/>
  <c r="AI23" i="3"/>
  <c r="AN23" i="3"/>
  <c r="AI35" i="10"/>
  <c r="AJ35" i="10"/>
  <c r="AN35" i="10" s="1"/>
  <c r="L41" i="10"/>
  <c r="S41" i="10"/>
  <c r="K41" i="10"/>
  <c r="AJ152" i="10"/>
  <c r="AN152" i="10" s="1"/>
  <c r="AI152" i="10"/>
  <c r="AG36" i="10"/>
  <c r="AM304" i="3"/>
  <c r="AH304" i="3"/>
  <c r="F305" i="10" s="1"/>
  <c r="K101" i="10"/>
  <c r="L101" i="10"/>
  <c r="S101" i="10"/>
  <c r="AJ148" i="10"/>
  <c r="AN148" i="10" s="1"/>
  <c r="AI148" i="10"/>
  <c r="AJ105" i="10"/>
  <c r="AN105" i="10" s="1"/>
  <c r="AI105" i="10"/>
  <c r="AM105" i="10" s="1"/>
  <c r="AI47" i="10"/>
  <c r="AJ47" i="10"/>
  <c r="AN47" i="10" s="1"/>
  <c r="K172" i="10"/>
  <c r="L172" i="10"/>
  <c r="S172" i="10"/>
  <c r="AH314" i="3"/>
  <c r="F315" i="10" s="1"/>
  <c r="AM314" i="3"/>
  <c r="AM227" i="3"/>
  <c r="AH227" i="3"/>
  <c r="F228" i="10" s="1"/>
  <c r="AI49" i="10"/>
  <c r="AJ49" i="10"/>
  <c r="AN49" i="10" s="1"/>
  <c r="AJ190" i="10"/>
  <c r="AN190" i="10" s="1"/>
  <c r="AI190" i="10"/>
  <c r="AM190" i="10" s="1"/>
  <c r="AI186" i="10"/>
  <c r="AM186" i="10" s="1"/>
  <c r="AJ186" i="10"/>
  <c r="AN186" i="10" s="1"/>
  <c r="AJ156" i="10"/>
  <c r="AN156" i="10" s="1"/>
  <c r="AI156" i="10"/>
  <c r="AF231" i="3"/>
  <c r="AM226" i="3"/>
  <c r="AH226" i="3"/>
  <c r="F227" i="10" s="1"/>
  <c r="AM284" i="3"/>
  <c r="AH284" i="3"/>
  <c r="F285" i="10" s="1"/>
  <c r="AH310" i="3"/>
  <c r="F311" i="10" s="1"/>
  <c r="AM310" i="3"/>
  <c r="AF324" i="3"/>
  <c r="AI214" i="10"/>
  <c r="AJ214" i="10"/>
  <c r="AN214" i="10" s="1"/>
  <c r="AI177" i="10"/>
  <c r="AJ177" i="10"/>
  <c r="AN177" i="10" s="1"/>
  <c r="K16" i="10"/>
  <c r="S16" i="10"/>
  <c r="L16" i="10"/>
  <c r="AI88" i="10"/>
  <c r="AJ88" i="10"/>
  <c r="AN88" i="10" s="1"/>
  <c r="AH243" i="3"/>
  <c r="F244" i="10" s="1"/>
  <c r="AM243" i="3"/>
  <c r="K55" i="10"/>
  <c r="S55" i="10"/>
  <c r="L55" i="10"/>
  <c r="AI55" i="3"/>
  <c r="AN55" i="3"/>
  <c r="AJ206" i="10"/>
  <c r="AN206" i="10" s="1"/>
  <c r="AI206" i="10"/>
  <c r="AH265" i="3"/>
  <c r="F266" i="10" s="1"/>
  <c r="AM265" i="3"/>
  <c r="K30" i="10"/>
  <c r="S30" i="10"/>
  <c r="L30" i="10"/>
  <c r="AM315" i="3"/>
  <c r="AH315" i="3"/>
  <c r="F316" i="10" s="1"/>
  <c r="K80" i="10"/>
  <c r="S80" i="10"/>
  <c r="L80" i="10"/>
  <c r="AM301" i="3"/>
  <c r="AH301" i="3"/>
  <c r="F302" i="10" s="1"/>
  <c r="K24" i="10"/>
  <c r="L24" i="10"/>
  <c r="S24" i="10"/>
  <c r="AJ85" i="10"/>
  <c r="AN85" i="10" s="1"/>
  <c r="AI85" i="10"/>
  <c r="AJ205" i="10"/>
  <c r="AN205" i="10" s="1"/>
  <c r="AI205" i="10"/>
  <c r="AM205" i="10" s="1"/>
  <c r="AH269" i="3"/>
  <c r="F270" i="10" s="1"/>
  <c r="AM269" i="3"/>
  <c r="AM250" i="3"/>
  <c r="AH250" i="3"/>
  <c r="F251" i="10" s="1"/>
  <c r="AJ169" i="10"/>
  <c r="AN169" i="10" s="1"/>
  <c r="AI173" i="10"/>
  <c r="AJ173" i="10"/>
  <c r="AN173" i="10" s="1"/>
  <c r="AI15" i="3"/>
  <c r="AN15" i="3"/>
  <c r="AI178" i="10"/>
  <c r="AJ178" i="10"/>
  <c r="AN178" i="10" s="1"/>
  <c r="S142" i="10"/>
  <c r="K142" i="10"/>
  <c r="L142" i="10"/>
  <c r="AM271" i="3"/>
  <c r="AH271" i="3"/>
  <c r="F272" i="10" s="1"/>
  <c r="AM281" i="3"/>
  <c r="AH281" i="3"/>
  <c r="F282" i="10" s="1"/>
  <c r="AJ141" i="10"/>
  <c r="AN141" i="10" s="1"/>
  <c r="AI141" i="10"/>
  <c r="L174" i="10"/>
  <c r="S174" i="10"/>
  <c r="K174" i="10"/>
  <c r="AI57" i="10"/>
  <c r="AJ57" i="10"/>
  <c r="AN57" i="10" s="1"/>
  <c r="AI213" i="3"/>
  <c r="AN213" i="3"/>
  <c r="AJ220" i="10"/>
  <c r="AN220" i="10" s="1"/>
  <c r="AI220" i="10"/>
  <c r="AM220" i="10" s="1"/>
  <c r="AH242" i="3"/>
  <c r="F243" i="10" s="1"/>
  <c r="AM242" i="3"/>
  <c r="AJ113" i="10"/>
  <c r="AN113" i="10" s="1"/>
  <c r="AI113" i="10"/>
  <c r="AM113" i="10" s="1"/>
  <c r="AN22" i="3"/>
  <c r="AI22" i="3"/>
  <c r="AH311" i="3"/>
  <c r="F312" i="10" s="1"/>
  <c r="AM311" i="3"/>
  <c r="AJ204" i="10"/>
  <c r="AN204" i="10" s="1"/>
  <c r="AI204" i="10"/>
  <c r="AM204" i="10" s="1"/>
  <c r="AI70" i="10"/>
  <c r="AJ70" i="10"/>
  <c r="AN70" i="10" s="1"/>
  <c r="S19" i="10"/>
  <c r="L19" i="10"/>
  <c r="K19" i="10"/>
  <c r="AI119" i="10"/>
  <c r="AM119" i="10" s="1"/>
  <c r="AJ119" i="10"/>
  <c r="AN119" i="10" s="1"/>
  <c r="AH240" i="3"/>
  <c r="F241" i="10" s="1"/>
  <c r="AM240" i="3"/>
  <c r="AH321" i="3"/>
  <c r="AM321" i="3"/>
  <c r="AI31" i="3"/>
  <c r="AN31" i="3"/>
  <c r="AI64" i="10"/>
  <c r="AJ64" i="10"/>
  <c r="AN64" i="10" s="1"/>
  <c r="AI137" i="10"/>
  <c r="AM137" i="10" s="1"/>
  <c r="AJ137" i="10"/>
  <c r="AN137" i="10" s="1"/>
  <c r="AI21" i="3"/>
  <c r="AN21" i="3"/>
  <c r="AM251" i="3"/>
  <c r="AH251" i="3"/>
  <c r="F252" i="10" s="1"/>
  <c r="K13" i="10"/>
  <c r="S13" i="10"/>
  <c r="L13" i="10"/>
  <c r="AM285" i="3"/>
  <c r="AH285" i="3"/>
  <c r="F286" i="10" s="1"/>
  <c r="AI219" i="10"/>
  <c r="AM219" i="10" s="1"/>
  <c r="AJ219" i="10"/>
  <c r="AN219" i="10" s="1"/>
  <c r="AI163" i="10"/>
  <c r="AJ163" i="10"/>
  <c r="AN163" i="10" s="1"/>
  <c r="AM299" i="3"/>
  <c r="AH299" i="3"/>
  <c r="F300" i="10" s="1"/>
  <c r="AH318" i="3"/>
  <c r="AM318" i="3"/>
  <c r="AH229" i="3"/>
  <c r="F230" i="10" s="1"/>
  <c r="AM229" i="3"/>
  <c r="L171" i="10"/>
  <c r="K171" i="10"/>
  <c r="S171" i="10"/>
  <c r="AI51" i="10"/>
  <c r="AM51" i="10" s="1"/>
  <c r="AJ51" i="10"/>
  <c r="AN51" i="10" s="1"/>
  <c r="AJ96" i="10"/>
  <c r="AN96" i="10" s="1"/>
  <c r="AI96" i="10"/>
  <c r="AJ94" i="10"/>
  <c r="AN94" i="10" s="1"/>
  <c r="AI94" i="10"/>
  <c r="AH298" i="3"/>
  <c r="F299" i="10" s="1"/>
  <c r="AM298" i="3"/>
  <c r="S81" i="10"/>
  <c r="L81" i="10"/>
  <c r="K81" i="10"/>
  <c r="AM266" i="3"/>
  <c r="AH266" i="3"/>
  <c r="F267" i="10" s="1"/>
  <c r="AI41" i="3"/>
  <c r="AN41" i="3"/>
  <c r="AI153" i="10"/>
  <c r="AJ153" i="10"/>
  <c r="AN153" i="10" s="1"/>
  <c r="AC132" i="10"/>
  <c r="AG132" i="10" s="1"/>
  <c r="AJ165" i="10" l="1"/>
  <c r="AN165" i="10" s="1"/>
  <c r="AJ217" i="10"/>
  <c r="AN217" i="10" s="1"/>
  <c r="BB217" i="10" s="1"/>
  <c r="AI160" i="10"/>
  <c r="AK160" i="10" s="1"/>
  <c r="AK206" i="10"/>
  <c r="AI52" i="10"/>
  <c r="AM52" i="10" s="1"/>
  <c r="BB52" i="10" s="1"/>
  <c r="AK158" i="10"/>
  <c r="AK91" i="10"/>
  <c r="AK118" i="10"/>
  <c r="AJ69" i="10"/>
  <c r="AN69" i="10" s="1"/>
  <c r="AQ69" i="10" s="1"/>
  <c r="AI67" i="10"/>
  <c r="AM67" i="10" s="1"/>
  <c r="AJ72" i="10"/>
  <c r="AN72" i="10" s="1"/>
  <c r="BB72" i="10" s="1"/>
  <c r="AK211" i="10"/>
  <c r="AI76" i="10"/>
  <c r="AM76" i="10" s="1"/>
  <c r="AQ76" i="10" s="1"/>
  <c r="AK25" i="10"/>
  <c r="AK138" i="10"/>
  <c r="AJ107" i="10"/>
  <c r="AN107" i="10" s="1"/>
  <c r="AK115" i="10"/>
  <c r="AK203" i="10"/>
  <c r="AK83" i="10"/>
  <c r="AK129" i="10"/>
  <c r="AK133" i="10"/>
  <c r="AK92" i="10"/>
  <c r="AK218" i="10"/>
  <c r="AM153" i="10"/>
  <c r="AK153" i="10"/>
  <c r="AI229" i="3"/>
  <c r="G230" i="10" s="1"/>
  <c r="AN229" i="3"/>
  <c r="AN318" i="3"/>
  <c r="AI318" i="3"/>
  <c r="AN285" i="3"/>
  <c r="AI285" i="3"/>
  <c r="G286" i="10" s="1"/>
  <c r="AC13" i="10"/>
  <c r="AN251" i="3"/>
  <c r="AI251" i="3"/>
  <c r="G252" i="10" s="1"/>
  <c r="AQ165" i="10"/>
  <c r="BB165" i="10"/>
  <c r="BB137" i="10"/>
  <c r="AQ137" i="10"/>
  <c r="G31" i="10"/>
  <c r="AN321" i="3"/>
  <c r="AI321" i="3"/>
  <c r="AM70" i="10"/>
  <c r="AK70" i="10"/>
  <c r="AI242" i="3"/>
  <c r="G243" i="10" s="1"/>
  <c r="AN242" i="3"/>
  <c r="AM141" i="10"/>
  <c r="AK141" i="10"/>
  <c r="AI281" i="3"/>
  <c r="G282" i="10" s="1"/>
  <c r="AN281" i="3"/>
  <c r="AI269" i="3"/>
  <c r="G270" i="10" s="1"/>
  <c r="AN269" i="3"/>
  <c r="AC24" i="10"/>
  <c r="AP289" i="3"/>
  <c r="AI315" i="3"/>
  <c r="G316" i="10" s="1"/>
  <c r="AN315" i="3"/>
  <c r="L313" i="10"/>
  <c r="K313" i="10"/>
  <c r="AC55" i="10"/>
  <c r="AM88" i="10"/>
  <c r="AK88" i="10"/>
  <c r="AM214" i="10"/>
  <c r="AK214" i="10"/>
  <c r="AH231" i="3"/>
  <c r="AM231" i="3"/>
  <c r="AA172" i="10"/>
  <c r="AC172" i="10" s="1"/>
  <c r="L255" i="10"/>
  <c r="K255" i="10"/>
  <c r="L249" i="10"/>
  <c r="K249" i="10"/>
  <c r="AN304" i="3"/>
  <c r="AI304" i="3"/>
  <c r="G305" i="10" s="1"/>
  <c r="AA41" i="10"/>
  <c r="AC41" i="10" s="1"/>
  <c r="AM35" i="10"/>
  <c r="AK35" i="10"/>
  <c r="AJ157" i="10"/>
  <c r="AN157" i="10" s="1"/>
  <c r="AI157" i="10"/>
  <c r="AK165" i="10"/>
  <c r="L284" i="10"/>
  <c r="K284" i="10"/>
  <c r="G210" i="10"/>
  <c r="AI286" i="3"/>
  <c r="G287" i="10" s="1"/>
  <c r="AN286" i="3"/>
  <c r="K287" i="10"/>
  <c r="L287" i="10"/>
  <c r="AC213" i="10"/>
  <c r="AM197" i="10"/>
  <c r="AK197" i="10"/>
  <c r="AH289" i="3"/>
  <c r="AM289" i="3"/>
  <c r="AC65" i="10"/>
  <c r="AM109" i="10"/>
  <c r="AK109" i="10"/>
  <c r="AI313" i="3"/>
  <c r="G314" i="10" s="1"/>
  <c r="AN313" i="3"/>
  <c r="G27" i="10"/>
  <c r="G62" i="10"/>
  <c r="D8" i="10"/>
  <c r="K222" i="10"/>
  <c r="K8" i="10" s="1"/>
  <c r="K271" i="10"/>
  <c r="L271" i="10"/>
  <c r="AQ231" i="3"/>
  <c r="AQ306" i="3"/>
  <c r="AM160" i="10"/>
  <c r="AQ121" i="10"/>
  <c r="BB121" i="10"/>
  <c r="AM104" i="10"/>
  <c r="AK104" i="10"/>
  <c r="AM134" i="10"/>
  <c r="AK134" i="10"/>
  <c r="AN319" i="3"/>
  <c r="AI319" i="3"/>
  <c r="G320" i="10" s="1"/>
  <c r="AM136" i="10"/>
  <c r="AK136" i="10"/>
  <c r="AM131" i="10"/>
  <c r="AK131" i="10"/>
  <c r="AM73" i="10"/>
  <c r="AK73" i="10"/>
  <c r="AI272" i="3"/>
  <c r="G273" i="10" s="1"/>
  <c r="AN272" i="3"/>
  <c r="K301" i="10"/>
  <c r="L301" i="10"/>
  <c r="AM106" i="10"/>
  <c r="AK106" i="10"/>
  <c r="AN287" i="3"/>
  <c r="AI287" i="3"/>
  <c r="G288" i="10" s="1"/>
  <c r="L257" i="10"/>
  <c r="K257" i="10"/>
  <c r="AI296" i="3"/>
  <c r="G297" i="10" s="1"/>
  <c r="AN296" i="3"/>
  <c r="K243" i="10"/>
  <c r="L243" i="10"/>
  <c r="K317" i="10"/>
  <c r="L317" i="10"/>
  <c r="K280" i="10"/>
  <c r="L280" i="10"/>
  <c r="AI20" i="10"/>
  <c r="AJ20" i="10"/>
  <c r="AN20" i="10" s="1"/>
  <c r="AJ39" i="10"/>
  <c r="AN39" i="10" s="1"/>
  <c r="AI39" i="10"/>
  <c r="AJ103" i="10"/>
  <c r="AN103" i="10" s="1"/>
  <c r="AI103" i="10"/>
  <c r="AM89" i="10"/>
  <c r="AK89" i="10"/>
  <c r="G26" i="10"/>
  <c r="AI37" i="10"/>
  <c r="AJ37" i="10"/>
  <c r="AN37" i="10" s="1"/>
  <c r="K302" i="10"/>
  <c r="L302" i="10"/>
  <c r="AM206" i="10"/>
  <c r="AJ146" i="10"/>
  <c r="AN146" i="10" s="1"/>
  <c r="AI146" i="10"/>
  <c r="K258" i="10"/>
  <c r="L258" i="10"/>
  <c r="AH306" i="3"/>
  <c r="AM306" i="3"/>
  <c r="AM135" i="10"/>
  <c r="AK135" i="10"/>
  <c r="AI248" i="3"/>
  <c r="G249" i="10" s="1"/>
  <c r="AN248" i="3"/>
  <c r="L304" i="10"/>
  <c r="K304" i="10"/>
  <c r="AM98" i="10"/>
  <c r="AK98" i="10"/>
  <c r="L299" i="10"/>
  <c r="K299" i="10"/>
  <c r="AM123" i="10"/>
  <c r="AK123" i="10"/>
  <c r="AM60" i="10"/>
  <c r="AK60" i="10"/>
  <c r="AN253" i="3"/>
  <c r="AI253" i="3"/>
  <c r="G254" i="10" s="1"/>
  <c r="AI228" i="3"/>
  <c r="AN228" i="3"/>
  <c r="AC139" i="10"/>
  <c r="AF139" i="10"/>
  <c r="G108" i="10"/>
  <c r="AI283" i="3"/>
  <c r="G284" i="10" s="1"/>
  <c r="AN283" i="3"/>
  <c r="AM53" i="10"/>
  <c r="AK53" i="10"/>
  <c r="L312" i="10"/>
  <c r="K312" i="10"/>
  <c r="G56" i="10"/>
  <c r="G100" i="10"/>
  <c r="L237" i="10"/>
  <c r="K237" i="10"/>
  <c r="L272" i="10"/>
  <c r="K272" i="10"/>
  <c r="G14" i="10"/>
  <c r="AM216" i="10"/>
  <c r="AK216" i="10"/>
  <c r="L270" i="10"/>
  <c r="K270" i="10"/>
  <c r="AC26" i="10"/>
  <c r="G128" i="10"/>
  <c r="AI264" i="3"/>
  <c r="G265" i="10" s="1"/>
  <c r="AN264" i="3"/>
  <c r="AM150" i="10"/>
  <c r="AK150" i="10"/>
  <c r="AJ175" i="10"/>
  <c r="AN175" i="10" s="1"/>
  <c r="AI175" i="10"/>
  <c r="AM63" i="10"/>
  <c r="AK63" i="10"/>
  <c r="AN235" i="3"/>
  <c r="AI235" i="3"/>
  <c r="G236" i="10" s="1"/>
  <c r="AM112" i="10"/>
  <c r="AK112" i="10"/>
  <c r="AJ99" i="10"/>
  <c r="AN99" i="10" s="1"/>
  <c r="AI99" i="10"/>
  <c r="AK113" i="10"/>
  <c r="AK105" i="10"/>
  <c r="AQ211" i="10"/>
  <c r="BB211" i="10"/>
  <c r="AK205" i="10"/>
  <c r="AQ138" i="10"/>
  <c r="BB138" i="10"/>
  <c r="AM58" i="10"/>
  <c r="AK58" i="10"/>
  <c r="AK185" i="10"/>
  <c r="K230" i="10"/>
  <c r="L230" i="10"/>
  <c r="K247" i="10"/>
  <c r="L247" i="10"/>
  <c r="AM163" i="10"/>
  <c r="AK163" i="10"/>
  <c r="BB119" i="10"/>
  <c r="AQ119" i="10"/>
  <c r="AA19" i="10"/>
  <c r="AC19" i="10" s="1"/>
  <c r="AQ204" i="10"/>
  <c r="BB204" i="10"/>
  <c r="AQ113" i="10"/>
  <c r="BB113" i="10"/>
  <c r="AM57" i="10"/>
  <c r="AK57" i="10"/>
  <c r="AC174" i="10"/>
  <c r="AF174" i="10"/>
  <c r="AC142" i="10"/>
  <c r="AF142" i="10"/>
  <c r="AA80" i="10"/>
  <c r="AC80" i="10" s="1"/>
  <c r="L240" i="10"/>
  <c r="K240" i="10"/>
  <c r="AI265" i="3"/>
  <c r="G266" i="10" s="1"/>
  <c r="AN265" i="3"/>
  <c r="AQ275" i="3"/>
  <c r="G55" i="10"/>
  <c r="AN243" i="3"/>
  <c r="AI243" i="3"/>
  <c r="G244" i="10" s="1"/>
  <c r="L269" i="10"/>
  <c r="K269" i="10"/>
  <c r="AN284" i="3"/>
  <c r="AI284" i="3"/>
  <c r="G285" i="10" s="1"/>
  <c r="AI226" i="3"/>
  <c r="G227" i="10" s="1"/>
  <c r="AN226" i="3"/>
  <c r="AQ186" i="10"/>
  <c r="BB186" i="10"/>
  <c r="AM49" i="10"/>
  <c r="AK49" i="10"/>
  <c r="AI314" i="3"/>
  <c r="G315" i="10" s="1"/>
  <c r="AN314" i="3"/>
  <c r="K321" i="10"/>
  <c r="L321" i="10"/>
  <c r="AM148" i="10"/>
  <c r="AK148" i="10"/>
  <c r="AM152" i="10"/>
  <c r="AK152" i="10"/>
  <c r="K267" i="10"/>
  <c r="L267" i="10"/>
  <c r="AI48" i="10"/>
  <c r="AJ48" i="10"/>
  <c r="AN48" i="10" s="1"/>
  <c r="G139" i="10"/>
  <c r="AM45" i="10"/>
  <c r="AK45" i="10"/>
  <c r="AM34" i="10"/>
  <c r="AK34" i="10"/>
  <c r="AM114" i="10"/>
  <c r="AK114" i="10"/>
  <c r="AC33" i="10"/>
  <c r="AF33" i="10"/>
  <c r="AK204" i="10"/>
  <c r="AJ43" i="10"/>
  <c r="AN43" i="10" s="1"/>
  <c r="AI43" i="10"/>
  <c r="K260" i="10"/>
  <c r="L260" i="10"/>
  <c r="AN236" i="3"/>
  <c r="AI236" i="3"/>
  <c r="G237" i="10" s="1"/>
  <c r="AK169" i="10"/>
  <c r="AM201" i="10"/>
  <c r="AK201" i="10"/>
  <c r="AM107" i="10"/>
  <c r="G24" i="10"/>
  <c r="AI278" i="3"/>
  <c r="G279" i="10" s="1"/>
  <c r="AN278" i="3"/>
  <c r="AM61" i="10"/>
  <c r="AK61" i="10"/>
  <c r="L265" i="10"/>
  <c r="K265" i="10"/>
  <c r="D276" i="10"/>
  <c r="AM126" i="10"/>
  <c r="AK126" i="10"/>
  <c r="AM66" i="10"/>
  <c r="AK66" i="10"/>
  <c r="L294" i="10"/>
  <c r="D307" i="10"/>
  <c r="K294" i="10"/>
  <c r="L5" i="10"/>
  <c r="L4" i="10"/>
  <c r="S222" i="10"/>
  <c r="S8" i="10" s="1"/>
  <c r="AA12" i="10"/>
  <c r="AC12" i="10" s="1"/>
  <c r="AP231" i="3"/>
  <c r="J19" i="31"/>
  <c r="J21" i="31"/>
  <c r="G12" i="10"/>
  <c r="J22" i="31"/>
  <c r="J23" i="31" s="1"/>
  <c r="AI244" i="3"/>
  <c r="G245" i="10" s="1"/>
  <c r="AN244" i="3"/>
  <c r="AI254" i="3"/>
  <c r="G255" i="10" s="1"/>
  <c r="AN254" i="3"/>
  <c r="L305" i="10"/>
  <c r="K305" i="10"/>
  <c r="AM116" i="10"/>
  <c r="AK116" i="10"/>
  <c r="AM84" i="10"/>
  <c r="AK84" i="10"/>
  <c r="AI252" i="3"/>
  <c r="AN252" i="3"/>
  <c r="G122" i="10"/>
  <c r="AC182" i="10"/>
  <c r="G33" i="10"/>
  <c r="AN294" i="3"/>
  <c r="AI294" i="3"/>
  <c r="G295" i="10" s="1"/>
  <c r="AC38" i="10"/>
  <c r="AA15" i="10"/>
  <c r="AC15" i="10" s="1"/>
  <c r="AM124" i="10"/>
  <c r="AK124" i="10"/>
  <c r="AM46" i="10"/>
  <c r="AK46" i="10"/>
  <c r="K318" i="10"/>
  <c r="L318" i="10"/>
  <c r="AI238" i="3"/>
  <c r="G239" i="10" s="1"/>
  <c r="AN238" i="3"/>
  <c r="AM188" i="10"/>
  <c r="AK188" i="10"/>
  <c r="AN245" i="3"/>
  <c r="AI245" i="3"/>
  <c r="G246" i="10" s="1"/>
  <c r="AM154" i="10"/>
  <c r="AK154" i="10"/>
  <c r="AI241" i="3"/>
  <c r="G242" i="10" s="1"/>
  <c r="AN241" i="3"/>
  <c r="AM193" i="10"/>
  <c r="AK193" i="10"/>
  <c r="AM176" i="10"/>
  <c r="AK176" i="10"/>
  <c r="AM147" i="10"/>
  <c r="AK147" i="10"/>
  <c r="AM140" i="10"/>
  <c r="AK140" i="10"/>
  <c r="AC143" i="10"/>
  <c r="AM68" i="10"/>
  <c r="AK68" i="10"/>
  <c r="AI42" i="10"/>
  <c r="AJ42" i="10"/>
  <c r="AN42" i="10" s="1"/>
  <c r="AM208" i="10"/>
  <c r="AK208" i="10"/>
  <c r="AM86" i="10"/>
  <c r="AK86" i="10"/>
  <c r="K319" i="10"/>
  <c r="L319" i="10"/>
  <c r="AC108" i="10"/>
  <c r="AM170" i="10"/>
  <c r="AK170" i="10"/>
  <c r="AN322" i="3"/>
  <c r="AI322" i="3"/>
  <c r="G323" i="10" s="1"/>
  <c r="AM110" i="10"/>
  <c r="AK110" i="10"/>
  <c r="AM179" i="10"/>
  <c r="AK179" i="10"/>
  <c r="AM184" i="10"/>
  <c r="AK184" i="10"/>
  <c r="K281" i="10"/>
  <c r="L281" i="10"/>
  <c r="AM74" i="10"/>
  <c r="AK74" i="10"/>
  <c r="K282" i="10"/>
  <c r="L282" i="10"/>
  <c r="AI279" i="3"/>
  <c r="G280" i="10" s="1"/>
  <c r="AN279" i="3"/>
  <c r="AM50" i="10"/>
  <c r="AK50" i="10"/>
  <c r="G65" i="10"/>
  <c r="AM187" i="10"/>
  <c r="AK187" i="10"/>
  <c r="AC62" i="10"/>
  <c r="AF62" i="10"/>
  <c r="AI167" i="10"/>
  <c r="AJ167" i="10"/>
  <c r="AN167" i="10" s="1"/>
  <c r="AM191" i="10"/>
  <c r="AK191" i="10"/>
  <c r="K228" i="10"/>
  <c r="L228" i="10"/>
  <c r="L315" i="10"/>
  <c r="K315" i="10"/>
  <c r="AK121" i="10"/>
  <c r="AM71" i="10"/>
  <c r="AK71" i="10"/>
  <c r="G144" i="10"/>
  <c r="AM130" i="10"/>
  <c r="AK130" i="10"/>
  <c r="AQ92" i="10"/>
  <c r="BB92" i="10"/>
  <c r="AK119" i="10"/>
  <c r="AQ129" i="10"/>
  <c r="BB129" i="10"/>
  <c r="AM79" i="10"/>
  <c r="AK79" i="10"/>
  <c r="AQ25" i="10"/>
  <c r="BB25" i="10"/>
  <c r="AQ91" i="10"/>
  <c r="BB91" i="10"/>
  <c r="AM95" i="10"/>
  <c r="AK95" i="10"/>
  <c r="AK186" i="10"/>
  <c r="AI266" i="3"/>
  <c r="G267" i="10" s="1"/>
  <c r="AN266" i="3"/>
  <c r="K254" i="10"/>
  <c r="L254" i="10"/>
  <c r="L286" i="10"/>
  <c r="K286" i="10"/>
  <c r="AM64" i="10"/>
  <c r="AK64" i="10"/>
  <c r="K274" i="10"/>
  <c r="L274" i="10"/>
  <c r="AN311" i="3"/>
  <c r="AI311" i="3"/>
  <c r="G312" i="10" s="1"/>
  <c r="AQ220" i="10"/>
  <c r="BB220" i="10"/>
  <c r="G15" i="10"/>
  <c r="AM173" i="10"/>
  <c r="AK173" i="10"/>
  <c r="AM85" i="10"/>
  <c r="AK85" i="10"/>
  <c r="AI301" i="3"/>
  <c r="G302" i="10" s="1"/>
  <c r="AN301" i="3"/>
  <c r="K316" i="10"/>
  <c r="L316" i="10"/>
  <c r="K266" i="10"/>
  <c r="L266" i="10"/>
  <c r="AA30" i="10"/>
  <c r="AC30" i="10" s="1"/>
  <c r="L242" i="10"/>
  <c r="K242" i="10"/>
  <c r="AM177" i="10"/>
  <c r="AK177" i="10"/>
  <c r="AI310" i="3"/>
  <c r="G311" i="10" s="1"/>
  <c r="AN310" i="3"/>
  <c r="AM156" i="10"/>
  <c r="AK156" i="10"/>
  <c r="BB190" i="10"/>
  <c r="AQ190" i="10"/>
  <c r="AN227" i="3"/>
  <c r="AI227" i="3"/>
  <c r="G228" i="10" s="1"/>
  <c r="AM47" i="10"/>
  <c r="AK47" i="10"/>
  <c r="G23" i="10"/>
  <c r="AK51" i="10"/>
  <c r="AC21" i="10"/>
  <c r="AM207" i="10"/>
  <c r="AK207" i="10"/>
  <c r="F257" i="10"/>
  <c r="F322" i="10"/>
  <c r="L241" i="10"/>
  <c r="K241" i="10"/>
  <c r="AI273" i="3"/>
  <c r="G274" i="10" s="1"/>
  <c r="AN273" i="3"/>
  <c r="L297" i="10"/>
  <c r="K297" i="10"/>
  <c r="AC18" i="10"/>
  <c r="G174" i="10"/>
  <c r="AN282" i="3"/>
  <c r="AI282" i="3"/>
  <c r="G283" i="10" s="1"/>
  <c r="AM202" i="10"/>
  <c r="AK202" i="10"/>
  <c r="AQ289" i="3"/>
  <c r="AM189" i="10"/>
  <c r="AK189" i="10"/>
  <c r="AM155" i="10"/>
  <c r="AK155" i="10"/>
  <c r="AM159" i="10"/>
  <c r="AK159" i="10"/>
  <c r="K250" i="10"/>
  <c r="L250" i="10"/>
  <c r="AN249" i="3"/>
  <c r="AI249" i="3"/>
  <c r="G250" i="10" s="1"/>
  <c r="AN267" i="3"/>
  <c r="AI267" i="3"/>
  <c r="G268" i="10" s="1"/>
  <c r="AI268" i="3"/>
  <c r="G269" i="10" s="1"/>
  <c r="AN268" i="3"/>
  <c r="D232" i="10"/>
  <c r="K227" i="10"/>
  <c r="L227" i="10"/>
  <c r="K285" i="10"/>
  <c r="L285" i="10"/>
  <c r="D262" i="10"/>
  <c r="K236" i="10"/>
  <c r="L236" i="10"/>
  <c r="AN5" i="3"/>
  <c r="E39" i="4" s="1"/>
  <c r="AN4" i="3"/>
  <c r="E38" i="4" s="1"/>
  <c r="AM166" i="10"/>
  <c r="AK166" i="10"/>
  <c r="G101" i="10"/>
  <c r="AC144" i="10"/>
  <c r="AF144" i="10"/>
  <c r="AI303" i="3"/>
  <c r="G304" i="10" s="1"/>
  <c r="AN303" i="3"/>
  <c r="AM82" i="10"/>
  <c r="AK82" i="10"/>
  <c r="AM97" i="10"/>
  <c r="AK97" i="10"/>
  <c r="G13" i="10"/>
  <c r="AA122" i="10"/>
  <c r="AC122" i="10" s="1"/>
  <c r="AM149" i="10"/>
  <c r="AK149" i="10"/>
  <c r="K322" i="10"/>
  <c r="L322" i="10"/>
  <c r="AN297" i="3"/>
  <c r="AI297" i="3"/>
  <c r="G298" i="10" s="1"/>
  <c r="AM125" i="10"/>
  <c r="AK125" i="10"/>
  <c r="AC100" i="10"/>
  <c r="AN247" i="3"/>
  <c r="AI247" i="3"/>
  <c r="G248" i="10" s="1"/>
  <c r="AI259" i="3"/>
  <c r="G260" i="10" s="1"/>
  <c r="AN259" i="3"/>
  <c r="K296" i="10"/>
  <c r="L296" i="10"/>
  <c r="AM75" i="10"/>
  <c r="AK75" i="10"/>
  <c r="AC120" i="10"/>
  <c r="AM90" i="10"/>
  <c r="AK90" i="10"/>
  <c r="AM40" i="10"/>
  <c r="AK40" i="10"/>
  <c r="AM181" i="10"/>
  <c r="AK181" i="10"/>
  <c r="AM215" i="10"/>
  <c r="AK215" i="10"/>
  <c r="L268" i="10"/>
  <c r="K268" i="10"/>
  <c r="G209" i="10"/>
  <c r="AN270" i="3"/>
  <c r="AI270" i="3"/>
  <c r="G271" i="10" s="1"/>
  <c r="G81" i="10"/>
  <c r="AC23" i="10"/>
  <c r="AM59" i="10"/>
  <c r="AK59" i="10"/>
  <c r="G171" i="10"/>
  <c r="L253" i="10"/>
  <c r="K253" i="10"/>
  <c r="L300" i="10"/>
  <c r="K300" i="10"/>
  <c r="AM196" i="10"/>
  <c r="AK196" i="10"/>
  <c r="AC210" i="10"/>
  <c r="AF210" i="10"/>
  <c r="K288" i="10"/>
  <c r="L288" i="10"/>
  <c r="G19" i="10"/>
  <c r="G18" i="10"/>
  <c r="AI280" i="3"/>
  <c r="G281" i="10" s="1"/>
  <c r="AN280" i="3"/>
  <c r="L298" i="10"/>
  <c r="K298" i="10"/>
  <c r="L238" i="10"/>
  <c r="K238" i="10"/>
  <c r="AI255" i="3"/>
  <c r="G256" i="10" s="1"/>
  <c r="AN255" i="3"/>
  <c r="L295" i="10"/>
  <c r="K295" i="10"/>
  <c r="AC17" i="10"/>
  <c r="D290" i="10"/>
  <c r="L279" i="10"/>
  <c r="K279" i="10"/>
  <c r="AJ44" i="10"/>
  <c r="AN44" i="10" s="1"/>
  <c r="AI44" i="10"/>
  <c r="AM275" i="3"/>
  <c r="AH275" i="3"/>
  <c r="AJ151" i="10"/>
  <c r="AN151" i="10" s="1"/>
  <c r="AI151" i="10"/>
  <c r="G102" i="10"/>
  <c r="AJ164" i="10"/>
  <c r="AN164" i="10" s="1"/>
  <c r="AI164" i="10"/>
  <c r="AN222" i="3"/>
  <c r="AN8" i="3" s="1"/>
  <c r="AI222" i="3"/>
  <c r="AG8" i="3"/>
  <c r="AM261" i="3"/>
  <c r="AH261" i="3"/>
  <c r="AM117" i="10"/>
  <c r="AK117" i="10"/>
  <c r="AC78" i="10"/>
  <c r="G172" i="10"/>
  <c r="AM180" i="10"/>
  <c r="AK180" i="10"/>
  <c r="AM93" i="10"/>
  <c r="AK93" i="10"/>
  <c r="AM212" i="10"/>
  <c r="AK212" i="10"/>
  <c r="AQ158" i="10"/>
  <c r="BB158" i="10"/>
  <c r="AQ118" i="10"/>
  <c r="BB118" i="10"/>
  <c r="AK137" i="10"/>
  <c r="AQ218" i="10"/>
  <c r="BB218" i="10"/>
  <c r="AQ127" i="10"/>
  <c r="BB127" i="10"/>
  <c r="AI298" i="3"/>
  <c r="G299" i="10" s="1"/>
  <c r="AN298" i="3"/>
  <c r="AM96" i="10"/>
  <c r="AK96" i="10"/>
  <c r="AC171" i="10"/>
  <c r="AJ132" i="10"/>
  <c r="AN132" i="10" s="1"/>
  <c r="AI132" i="10"/>
  <c r="AC81" i="10"/>
  <c r="AM94" i="10"/>
  <c r="AK94" i="10"/>
  <c r="AI299" i="3"/>
  <c r="G300" i="10" s="1"/>
  <c r="AN299" i="3"/>
  <c r="G21" i="10"/>
  <c r="BB205" i="10"/>
  <c r="AQ205" i="10"/>
  <c r="G41" i="10"/>
  <c r="BB51" i="10"/>
  <c r="AQ51" i="10"/>
  <c r="K320" i="10"/>
  <c r="L320" i="10"/>
  <c r="BB219" i="10"/>
  <c r="AQ219" i="10"/>
  <c r="L273" i="10"/>
  <c r="K273" i="10"/>
  <c r="AI240" i="3"/>
  <c r="G241" i="10" s="1"/>
  <c r="AN240" i="3"/>
  <c r="G22" i="10"/>
  <c r="G213" i="10"/>
  <c r="L256" i="10"/>
  <c r="K256" i="10"/>
  <c r="AN271" i="3"/>
  <c r="AI271" i="3"/>
  <c r="G272" i="10" s="1"/>
  <c r="L303" i="10"/>
  <c r="K303" i="10"/>
  <c r="AM178" i="10"/>
  <c r="AK178" i="10"/>
  <c r="AQ169" i="10"/>
  <c r="BB169" i="10"/>
  <c r="AN250" i="3"/>
  <c r="AI250" i="3"/>
  <c r="G251" i="10" s="1"/>
  <c r="K239" i="10"/>
  <c r="L239" i="10"/>
  <c r="K246" i="10"/>
  <c r="L246" i="10"/>
  <c r="L314" i="10"/>
  <c r="K314" i="10"/>
  <c r="AC16" i="10"/>
  <c r="AG16" i="10" s="1"/>
  <c r="AH324" i="3"/>
  <c r="AM324" i="3"/>
  <c r="BB105" i="10"/>
  <c r="AQ105" i="10"/>
  <c r="AA101" i="10"/>
  <c r="AI36" i="10"/>
  <c r="AJ36" i="10"/>
  <c r="AN36" i="10" s="1"/>
  <c r="AM200" i="10"/>
  <c r="AK200" i="10"/>
  <c r="AK219" i="10"/>
  <c r="AN300" i="3"/>
  <c r="AI300" i="3"/>
  <c r="G301" i="10" s="1"/>
  <c r="AI256" i="3"/>
  <c r="AN256" i="3"/>
  <c r="AM32" i="10"/>
  <c r="AK32" i="10"/>
  <c r="AI316" i="3"/>
  <c r="G317" i="10" s="1"/>
  <c r="AN316" i="3"/>
  <c r="G38" i="10"/>
  <c r="AM183" i="10"/>
  <c r="AK183" i="10"/>
  <c r="AN317" i="3"/>
  <c r="AI317" i="3"/>
  <c r="G318" i="10" s="1"/>
  <c r="G17" i="10"/>
  <c r="AI192" i="10"/>
  <c r="AJ192" i="10"/>
  <c r="AN192" i="10" s="1"/>
  <c r="AQ217" i="10"/>
  <c r="AC102" i="10"/>
  <c r="AI257" i="3"/>
  <c r="G258" i="10" s="1"/>
  <c r="AN257" i="3"/>
  <c r="AM111" i="10"/>
  <c r="AK111" i="10"/>
  <c r="AM29" i="10"/>
  <c r="AK29" i="10"/>
  <c r="J4" i="10"/>
  <c r="K311" i="10"/>
  <c r="L311" i="10"/>
  <c r="D325" i="10"/>
  <c r="AP261" i="3"/>
  <c r="AP306" i="3"/>
  <c r="AQ261" i="3"/>
  <c r="AM161" i="10"/>
  <c r="AK161" i="10"/>
  <c r="AM28" i="10"/>
  <c r="AK28" i="10"/>
  <c r="K252" i="10"/>
  <c r="L252" i="10"/>
  <c r="AN258" i="3"/>
  <c r="AI258" i="3"/>
  <c r="G259" i="10" s="1"/>
  <c r="AI145" i="10"/>
  <c r="AJ145" i="10"/>
  <c r="AN145" i="10" s="1"/>
  <c r="AI237" i="3"/>
  <c r="G238" i="10" s="1"/>
  <c r="AN237" i="3"/>
  <c r="AC56" i="10"/>
  <c r="L248" i="10"/>
  <c r="K248" i="10"/>
  <c r="AJ198" i="10"/>
  <c r="AN198" i="10" s="1"/>
  <c r="AI198" i="10"/>
  <c r="G142" i="10"/>
  <c r="AI302" i="3"/>
  <c r="G303" i="10" s="1"/>
  <c r="AN302" i="3"/>
  <c r="K283" i="10"/>
  <c r="L283" i="10"/>
  <c r="AM77" i="10"/>
  <c r="AK77" i="10"/>
  <c r="G120" i="10"/>
  <c r="K251" i="10"/>
  <c r="L251" i="10"/>
  <c r="AC128" i="10"/>
  <c r="AN312" i="3"/>
  <c r="AI312" i="3"/>
  <c r="G313" i="10" s="1"/>
  <c r="AP275" i="3"/>
  <c r="AC27" i="10"/>
  <c r="AF27" i="10"/>
  <c r="AM168" i="10"/>
  <c r="AK168" i="10"/>
  <c r="G16" i="10"/>
  <c r="AA209" i="10"/>
  <c r="AQ185" i="10"/>
  <c r="BB185" i="10"/>
  <c r="AN293" i="3"/>
  <c r="AI293" i="3"/>
  <c r="G294" i="10" s="1"/>
  <c r="AN320" i="3"/>
  <c r="AI320" i="3"/>
  <c r="G321" i="10" s="1"/>
  <c r="AN246" i="3"/>
  <c r="AI246" i="3"/>
  <c r="G247" i="10" s="1"/>
  <c r="F319" i="10"/>
  <c r="F229" i="10"/>
  <c r="F253" i="10"/>
  <c r="L229" i="10"/>
  <c r="K229" i="10"/>
  <c r="L323" i="10"/>
  <c r="K323" i="10"/>
  <c r="L259" i="10"/>
  <c r="K259" i="10"/>
  <c r="AC31" i="10"/>
  <c r="G182" i="10"/>
  <c r="AM87" i="10"/>
  <c r="AK87" i="10"/>
  <c r="AA22" i="10"/>
  <c r="AC22" i="10" s="1"/>
  <c r="AC14" i="10"/>
  <c r="AF14" i="10"/>
  <c r="AI295" i="3"/>
  <c r="G296" i="10" s="1"/>
  <c r="AN295" i="3"/>
  <c r="G80" i="10"/>
  <c r="G30" i="10"/>
  <c r="AN239" i="3"/>
  <c r="AI239" i="3"/>
  <c r="G240" i="10" s="1"/>
  <c r="K244" i="10"/>
  <c r="L244" i="10"/>
  <c r="AI162" i="10"/>
  <c r="AJ162" i="10"/>
  <c r="AN162" i="10" s="1"/>
  <c r="AJ195" i="10"/>
  <c r="AN195" i="10" s="1"/>
  <c r="AI195" i="10"/>
  <c r="F325" i="10"/>
  <c r="F276" i="10"/>
  <c r="F290" i="10"/>
  <c r="F232" i="10"/>
  <c r="AH8" i="3"/>
  <c r="F307" i="10"/>
  <c r="F262" i="10"/>
  <c r="K245" i="10"/>
  <c r="L245" i="10"/>
  <c r="G78" i="10"/>
  <c r="G143" i="10"/>
  <c r="AM199" i="10"/>
  <c r="AK199" i="10"/>
  <c r="BB83" i="10"/>
  <c r="AQ83" i="10"/>
  <c r="AQ115" i="10"/>
  <c r="BB115" i="10"/>
  <c r="AK190" i="10"/>
  <c r="AK220" i="10"/>
  <c r="AM194" i="10"/>
  <c r="AK194" i="10"/>
  <c r="BB133" i="10"/>
  <c r="AQ133" i="10"/>
  <c r="AQ203" i="10"/>
  <c r="BB203" i="10"/>
  <c r="AM54" i="10"/>
  <c r="AK54" i="10"/>
  <c r="AK217" i="10" l="1"/>
  <c r="BB69" i="10"/>
  <c r="AQ52" i="10"/>
  <c r="BH52" i="10" s="1"/>
  <c r="AK76" i="10"/>
  <c r="AK72" i="10"/>
  <c r="AK52" i="10"/>
  <c r="BB76" i="10"/>
  <c r="AA76" i="6" s="1"/>
  <c r="AB76" i="6" s="1"/>
  <c r="AQ72" i="10"/>
  <c r="BH72" i="10" s="1"/>
  <c r="AK67" i="10"/>
  <c r="AK69" i="10"/>
  <c r="AK107" i="10"/>
  <c r="AG80" i="10"/>
  <c r="AG122" i="10"/>
  <c r="AG15" i="10"/>
  <c r="AG41" i="10"/>
  <c r="AQ194" i="10"/>
  <c r="BB194" i="10"/>
  <c r="AM195" i="10"/>
  <c r="AK195" i="10"/>
  <c r="AA185" i="6"/>
  <c r="AB185" i="6" s="1"/>
  <c r="AQ77" i="10"/>
  <c r="BB77" i="10"/>
  <c r="AG56" i="10"/>
  <c r="AA217" i="6"/>
  <c r="AB217" i="6" s="1"/>
  <c r="AQ183" i="10"/>
  <c r="BB183" i="10"/>
  <c r="G322" i="10"/>
  <c r="G257" i="10"/>
  <c r="AA169" i="6"/>
  <c r="AB169" i="6" s="1"/>
  <c r="AQ178" i="10"/>
  <c r="BB178" i="10"/>
  <c r="D52" i="6"/>
  <c r="AG81" i="10"/>
  <c r="AA218" i="6"/>
  <c r="AB218" i="6" s="1"/>
  <c r="AQ93" i="10"/>
  <c r="BB93" i="10"/>
  <c r="G262" i="10"/>
  <c r="AI8" i="3"/>
  <c r="G325" i="10"/>
  <c r="G276" i="10"/>
  <c r="G290" i="10"/>
  <c r="G232" i="10"/>
  <c r="G307" i="10"/>
  <c r="L290" i="10"/>
  <c r="K290" i="10"/>
  <c r="BB181" i="10"/>
  <c r="AQ181" i="10"/>
  <c r="BB82" i="10"/>
  <c r="AQ82" i="10"/>
  <c r="L232" i="10"/>
  <c r="K232" i="10"/>
  <c r="AG21" i="10"/>
  <c r="D91" i="6"/>
  <c r="BH91" i="10"/>
  <c r="AA25" i="6"/>
  <c r="AB25" i="6" s="1"/>
  <c r="D25" i="6"/>
  <c r="BH25" i="10"/>
  <c r="D129" i="6"/>
  <c r="BH129" i="10"/>
  <c r="BH92" i="10"/>
  <c r="D92" i="6"/>
  <c r="BB184" i="10"/>
  <c r="AQ184" i="10"/>
  <c r="AQ110" i="10"/>
  <c r="BB110" i="10"/>
  <c r="BB170" i="10"/>
  <c r="AQ170" i="10"/>
  <c r="AM42" i="10"/>
  <c r="AK42" i="10"/>
  <c r="AA72" i="6"/>
  <c r="AB72" i="6" s="1"/>
  <c r="BB116" i="10"/>
  <c r="AQ116" i="10"/>
  <c r="S232" i="10"/>
  <c r="BB66" i="10"/>
  <c r="AQ66" i="10"/>
  <c r="BB201" i="10"/>
  <c r="AQ201" i="10"/>
  <c r="AA186" i="6"/>
  <c r="AB186" i="6" s="1"/>
  <c r="AQ67" i="10"/>
  <c r="BB67" i="10"/>
  <c r="AA204" i="6"/>
  <c r="AB204" i="6" s="1"/>
  <c r="AQ163" i="10"/>
  <c r="BB163" i="10"/>
  <c r="BB58" i="10"/>
  <c r="AQ58" i="10"/>
  <c r="AA211" i="6"/>
  <c r="AB211" i="6" s="1"/>
  <c r="D211" i="6"/>
  <c r="BH211" i="10"/>
  <c r="S290" i="10"/>
  <c r="BB216" i="10"/>
  <c r="AQ216" i="10"/>
  <c r="AQ123" i="10"/>
  <c r="BB123" i="10"/>
  <c r="BB98" i="10"/>
  <c r="AQ98" i="10"/>
  <c r="D69" i="6"/>
  <c r="BH69" i="10"/>
  <c r="AA69" i="6"/>
  <c r="AB69" i="6" s="1"/>
  <c r="AI306" i="3"/>
  <c r="AN306" i="3"/>
  <c r="AM39" i="10"/>
  <c r="AK39" i="10"/>
  <c r="AM20" i="10"/>
  <c r="AK20" i="10"/>
  <c r="BB73" i="10"/>
  <c r="AQ73" i="10"/>
  <c r="BB136" i="10"/>
  <c r="AQ136" i="10"/>
  <c r="BB134" i="10"/>
  <c r="AQ134" i="10"/>
  <c r="D121" i="6"/>
  <c r="BH121" i="10"/>
  <c r="AQ160" i="10"/>
  <c r="BB160" i="10"/>
  <c r="AQ109" i="10"/>
  <c r="BB109" i="10"/>
  <c r="AI289" i="3"/>
  <c r="AN289" i="3"/>
  <c r="AQ197" i="10"/>
  <c r="BB197" i="10"/>
  <c r="BB214" i="10"/>
  <c r="AQ214" i="10"/>
  <c r="AG55" i="10"/>
  <c r="AQ141" i="10"/>
  <c r="BB141" i="10"/>
  <c r="BH137" i="10"/>
  <c r="D137" i="6"/>
  <c r="AA133" i="6"/>
  <c r="AB133" i="6" s="1"/>
  <c r="AQ87" i="10"/>
  <c r="BB87" i="10"/>
  <c r="D185" i="6"/>
  <c r="BH185" i="10"/>
  <c r="AG128" i="10"/>
  <c r="AM145" i="10"/>
  <c r="AK145" i="10"/>
  <c r="AQ111" i="10"/>
  <c r="BB111" i="10"/>
  <c r="AG102" i="10"/>
  <c r="BB200" i="10"/>
  <c r="AQ200" i="10"/>
  <c r="AA105" i="6"/>
  <c r="AB105" i="6" s="1"/>
  <c r="AN324" i="3"/>
  <c r="AI324" i="3"/>
  <c r="AJ16" i="10"/>
  <c r="AI16" i="10"/>
  <c r="D169" i="6"/>
  <c r="BH169" i="10"/>
  <c r="D205" i="6"/>
  <c r="BH205" i="10"/>
  <c r="AG171" i="10"/>
  <c r="D218" i="6"/>
  <c r="BH218" i="10"/>
  <c r="AN275" i="3"/>
  <c r="AI275" i="3"/>
  <c r="AG210" i="10"/>
  <c r="AG23" i="10"/>
  <c r="BB90" i="10"/>
  <c r="AQ90" i="10"/>
  <c r="AG120" i="10"/>
  <c r="AG100" i="10"/>
  <c r="AQ149" i="10"/>
  <c r="BB149" i="10"/>
  <c r="AQ155" i="10"/>
  <c r="BB155" i="10"/>
  <c r="AQ207" i="10"/>
  <c r="BB207" i="10"/>
  <c r="AA190" i="6"/>
  <c r="AB190" i="6" s="1"/>
  <c r="AQ156" i="10"/>
  <c r="BB156" i="10"/>
  <c r="AQ177" i="10"/>
  <c r="BB177" i="10"/>
  <c r="AQ85" i="10"/>
  <c r="BB85" i="10"/>
  <c r="BB64" i="10"/>
  <c r="AQ64" i="10"/>
  <c r="BB191" i="10"/>
  <c r="AQ191" i="10"/>
  <c r="AQ187" i="10"/>
  <c r="BB187" i="10"/>
  <c r="AQ50" i="10"/>
  <c r="BB50" i="10"/>
  <c r="AQ208" i="10"/>
  <c r="BB208" i="10"/>
  <c r="AG143" i="10"/>
  <c r="BB147" i="10"/>
  <c r="AQ147" i="10"/>
  <c r="AQ193" i="10"/>
  <c r="BB193" i="10"/>
  <c r="BB154" i="10"/>
  <c r="AQ154" i="10"/>
  <c r="AQ188" i="10"/>
  <c r="BB188" i="10"/>
  <c r="BB124" i="10"/>
  <c r="AQ124" i="10"/>
  <c r="AG38" i="10"/>
  <c r="AG182" i="10"/>
  <c r="AQ84" i="10"/>
  <c r="BB84" i="10"/>
  <c r="S262" i="10"/>
  <c r="S325" i="10"/>
  <c r="L307" i="10"/>
  <c r="K307" i="10"/>
  <c r="AG33" i="10"/>
  <c r="BB34" i="10"/>
  <c r="AQ34" i="10"/>
  <c r="BB148" i="10"/>
  <c r="AQ148" i="10"/>
  <c r="D186" i="6"/>
  <c r="BH186" i="10"/>
  <c r="BB57" i="10"/>
  <c r="AQ57" i="10"/>
  <c r="D204" i="6"/>
  <c r="BH204" i="10"/>
  <c r="AG19" i="10"/>
  <c r="D138" i="6"/>
  <c r="BH138" i="10"/>
  <c r="BB112" i="10"/>
  <c r="AQ112" i="10"/>
  <c r="AQ63" i="10"/>
  <c r="BB63" i="10"/>
  <c r="AQ150" i="10"/>
  <c r="BB150" i="10"/>
  <c r="AQ135" i="10"/>
  <c r="BB135" i="10"/>
  <c r="BB206" i="10"/>
  <c r="AQ206" i="10"/>
  <c r="AM37" i="10"/>
  <c r="AK37" i="10"/>
  <c r="AQ89" i="10"/>
  <c r="BB89" i="10"/>
  <c r="AA121" i="6"/>
  <c r="AB121" i="6" s="1"/>
  <c r="AQ35" i="10"/>
  <c r="BB35" i="10"/>
  <c r="AN231" i="3"/>
  <c r="AI231" i="3"/>
  <c r="AG24" i="10"/>
  <c r="AQ70" i="10"/>
  <c r="BB70" i="10"/>
  <c r="BH165" i="10"/>
  <c r="D165" i="6"/>
  <c r="AQ153" i="10"/>
  <c r="BB153" i="10"/>
  <c r="D203" i="6"/>
  <c r="BH203" i="10"/>
  <c r="BH115" i="10"/>
  <c r="D115" i="6"/>
  <c r="D83" i="6"/>
  <c r="BH83" i="10"/>
  <c r="BB199" i="10"/>
  <c r="AQ199" i="10"/>
  <c r="AG31" i="10"/>
  <c r="AC209" i="10"/>
  <c r="AQ161" i="10"/>
  <c r="BB161" i="10"/>
  <c r="K325" i="10"/>
  <c r="L325" i="10"/>
  <c r="AM192" i="10"/>
  <c r="AK192" i="10"/>
  <c r="AQ32" i="10"/>
  <c r="BB32" i="10"/>
  <c r="AC101" i="10"/>
  <c r="AA52" i="6"/>
  <c r="AB52" i="6" s="1"/>
  <c r="D219" i="6"/>
  <c r="BH219" i="10"/>
  <c r="AA205" i="6"/>
  <c r="AB205" i="6" s="1"/>
  <c r="BB94" i="10"/>
  <c r="AQ94" i="10"/>
  <c r="AM132" i="10"/>
  <c r="AK132" i="10"/>
  <c r="AQ96" i="10"/>
  <c r="BB96" i="10"/>
  <c r="AA127" i="6"/>
  <c r="AB127" i="6" s="1"/>
  <c r="AA118" i="6"/>
  <c r="AB118" i="6" s="1"/>
  <c r="AA158" i="6"/>
  <c r="AB158" i="6" s="1"/>
  <c r="BB212" i="10"/>
  <c r="AQ212" i="10"/>
  <c r="BB180" i="10"/>
  <c r="AQ180" i="10"/>
  <c r="AI261" i="3"/>
  <c r="AN261" i="3"/>
  <c r="AM164" i="10"/>
  <c r="AK164" i="10"/>
  <c r="AM151" i="10"/>
  <c r="AK151" i="10"/>
  <c r="BB215" i="10"/>
  <c r="AQ215" i="10"/>
  <c r="AQ40" i="10"/>
  <c r="BB40" i="10"/>
  <c r="AQ97" i="10"/>
  <c r="BB97" i="10"/>
  <c r="AG144" i="10"/>
  <c r="BB166" i="10"/>
  <c r="AQ166" i="10"/>
  <c r="BB202" i="10"/>
  <c r="AQ202" i="10"/>
  <c r="AG18" i="10"/>
  <c r="BB47" i="10"/>
  <c r="AQ47" i="10"/>
  <c r="D190" i="6"/>
  <c r="BH190" i="10"/>
  <c r="AG30" i="10"/>
  <c r="D220" i="6"/>
  <c r="BH220" i="10"/>
  <c r="AQ95" i="10"/>
  <c r="BB95" i="10"/>
  <c r="AA91" i="6"/>
  <c r="AB91" i="6" s="1"/>
  <c r="BB79" i="10"/>
  <c r="AQ79" i="10"/>
  <c r="AQ130" i="10"/>
  <c r="BB130" i="10"/>
  <c r="AQ71" i="10"/>
  <c r="BB71" i="10"/>
  <c r="AG62" i="10"/>
  <c r="AQ179" i="10"/>
  <c r="BB179" i="10"/>
  <c r="AG108" i="10"/>
  <c r="AQ68" i="10"/>
  <c r="BB68" i="10"/>
  <c r="AG12" i="10"/>
  <c r="BB126" i="10"/>
  <c r="AQ126" i="10"/>
  <c r="BB107" i="10"/>
  <c r="AQ107" i="10"/>
  <c r="AG142" i="10"/>
  <c r="AG174" i="10"/>
  <c r="AA113" i="6"/>
  <c r="AB113" i="6" s="1"/>
  <c r="BH119" i="10"/>
  <c r="D119" i="6"/>
  <c r="AM99" i="10"/>
  <c r="AK99" i="10"/>
  <c r="AM175" i="10"/>
  <c r="AK175" i="10"/>
  <c r="BB53" i="10"/>
  <c r="AQ53" i="10"/>
  <c r="AG139" i="10"/>
  <c r="G229" i="10"/>
  <c r="G319" i="10"/>
  <c r="G253" i="10"/>
  <c r="AQ60" i="10"/>
  <c r="BB60" i="10"/>
  <c r="AM103" i="10"/>
  <c r="AK103" i="10"/>
  <c r="AQ106" i="10"/>
  <c r="BB106" i="10"/>
  <c r="AQ131" i="10"/>
  <c r="BB131" i="10"/>
  <c r="BB104" i="10"/>
  <c r="AQ104" i="10"/>
  <c r="S276" i="10"/>
  <c r="AG213" i="10"/>
  <c r="AM157" i="10"/>
  <c r="AK157" i="10"/>
  <c r="AQ88" i="10"/>
  <c r="BB88" i="10"/>
  <c r="AA165" i="6"/>
  <c r="AB165" i="6" s="1"/>
  <c r="AG13" i="10"/>
  <c r="BB54" i="10"/>
  <c r="AQ54" i="10"/>
  <c r="AA203" i="6"/>
  <c r="AB203" i="6" s="1"/>
  <c r="D133" i="6"/>
  <c r="BH133" i="10"/>
  <c r="AA115" i="6"/>
  <c r="AB115" i="6" s="1"/>
  <c r="AA83" i="6"/>
  <c r="AB83" i="6" s="1"/>
  <c r="J14" i="31"/>
  <c r="AM162" i="10"/>
  <c r="AK162" i="10"/>
  <c r="AG14" i="10"/>
  <c r="AG22" i="10"/>
  <c r="AQ168" i="10"/>
  <c r="BB168" i="10"/>
  <c r="AG27" i="10"/>
  <c r="AM198" i="10"/>
  <c r="AK198" i="10"/>
  <c r="AQ28" i="10"/>
  <c r="BB28" i="10"/>
  <c r="BB29" i="10"/>
  <c r="AQ29" i="10"/>
  <c r="D217" i="6"/>
  <c r="BH217" i="10"/>
  <c r="AM36" i="10"/>
  <c r="AK36" i="10"/>
  <c r="D105" i="6"/>
  <c r="BH105" i="10"/>
  <c r="AA219" i="6"/>
  <c r="AB219" i="6" s="1"/>
  <c r="D51" i="6"/>
  <c r="BH51" i="10"/>
  <c r="AA51" i="6"/>
  <c r="AB51" i="6" s="1"/>
  <c r="D127" i="6"/>
  <c r="BH127" i="10"/>
  <c r="D118" i="6"/>
  <c r="BH118" i="10"/>
  <c r="D158" i="6"/>
  <c r="BH158" i="10"/>
  <c r="AG78" i="10"/>
  <c r="BB117" i="10"/>
  <c r="AQ117" i="10"/>
  <c r="AM44" i="10"/>
  <c r="AK44" i="10"/>
  <c r="AG17" i="10"/>
  <c r="AQ196" i="10"/>
  <c r="BB196" i="10"/>
  <c r="BB59" i="10"/>
  <c r="AQ59" i="10"/>
  <c r="BB75" i="10"/>
  <c r="AQ75" i="10"/>
  <c r="BB125" i="10"/>
  <c r="AQ125" i="10"/>
  <c r="K262" i="10"/>
  <c r="L262" i="10"/>
  <c r="BB159" i="10"/>
  <c r="AQ159" i="10"/>
  <c r="BB189" i="10"/>
  <c r="AQ189" i="10"/>
  <c r="BB173" i="10"/>
  <c r="AQ173" i="10"/>
  <c r="AA220" i="6"/>
  <c r="AB220" i="6" s="1"/>
  <c r="AA129" i="6"/>
  <c r="AB129" i="6" s="1"/>
  <c r="AA92" i="6"/>
  <c r="AB92" i="6" s="1"/>
  <c r="AM167" i="10"/>
  <c r="AK167" i="10"/>
  <c r="BB74" i="10"/>
  <c r="AQ74" i="10"/>
  <c r="BB86" i="10"/>
  <c r="AQ86" i="10"/>
  <c r="BB140" i="10"/>
  <c r="AQ140" i="10"/>
  <c r="AQ176" i="10"/>
  <c r="BB176" i="10"/>
  <c r="BB46" i="10"/>
  <c r="AQ46" i="10"/>
  <c r="S307" i="10"/>
  <c r="K276" i="10"/>
  <c r="L276" i="10"/>
  <c r="AQ61" i="10"/>
  <c r="BB61" i="10"/>
  <c r="AM43" i="10"/>
  <c r="AK43" i="10"/>
  <c r="AQ114" i="10"/>
  <c r="BB114" i="10"/>
  <c r="AQ45" i="10"/>
  <c r="BB45" i="10"/>
  <c r="AM48" i="10"/>
  <c r="AK48" i="10"/>
  <c r="BB152" i="10"/>
  <c r="AQ152" i="10"/>
  <c r="AQ49" i="10"/>
  <c r="BB49" i="10"/>
  <c r="D76" i="6"/>
  <c r="BH76" i="10"/>
  <c r="BH113" i="10"/>
  <c r="D113" i="6"/>
  <c r="AA119" i="6"/>
  <c r="AB119" i="6" s="1"/>
  <c r="AA138" i="6"/>
  <c r="AB138" i="6" s="1"/>
  <c r="AG26" i="10"/>
  <c r="AF290" i="10"/>
  <c r="AM146" i="10"/>
  <c r="AK146" i="10"/>
  <c r="E8" i="10"/>
  <c r="L222" i="10"/>
  <c r="L8" i="10" s="1"/>
  <c r="AG65" i="10"/>
  <c r="AC276" i="10"/>
  <c r="AG172" i="10"/>
  <c r="AA137" i="6"/>
  <c r="AB137" i="6" s="1"/>
  <c r="D72" i="6" l="1"/>
  <c r="AJ172" i="10"/>
  <c r="AI172" i="10"/>
  <c r="AI26" i="10"/>
  <c r="AJ26" i="10"/>
  <c r="J113" i="6"/>
  <c r="W113" i="6" s="1"/>
  <c r="K113" i="6"/>
  <c r="AQ48" i="10"/>
  <c r="BB48" i="10"/>
  <c r="AA45" i="6"/>
  <c r="AB45" i="6" s="1"/>
  <c r="AA114" i="6"/>
  <c r="AB114" i="6" s="1"/>
  <c r="AA61" i="6"/>
  <c r="AB61" i="6" s="1"/>
  <c r="AA46" i="6"/>
  <c r="AB46" i="6" s="1"/>
  <c r="D176" i="6"/>
  <c r="BH176" i="10"/>
  <c r="D173" i="6"/>
  <c r="BH173" i="10"/>
  <c r="D117" i="6"/>
  <c r="BH117" i="10"/>
  <c r="K51" i="6"/>
  <c r="J51" i="6"/>
  <c r="W51" i="6" s="1"/>
  <c r="K217" i="6"/>
  <c r="J217" i="6"/>
  <c r="W217" i="6" s="1"/>
  <c r="AA29" i="6"/>
  <c r="AB29" i="6" s="1"/>
  <c r="D28" i="6"/>
  <c r="BH28" i="10"/>
  <c r="AI27" i="10"/>
  <c r="AJ27" i="10"/>
  <c r="D168" i="6"/>
  <c r="BH168" i="10"/>
  <c r="AJ13" i="10"/>
  <c r="AI13" i="10"/>
  <c r="AA88" i="6"/>
  <c r="AB88" i="6" s="1"/>
  <c r="AJ213" i="10"/>
  <c r="AI213" i="10"/>
  <c r="AA104" i="6"/>
  <c r="AB104" i="6" s="1"/>
  <c r="D131" i="6"/>
  <c r="BH131" i="10"/>
  <c r="AA106" i="6"/>
  <c r="AB106" i="6" s="1"/>
  <c r="AQ175" i="10"/>
  <c r="BB175" i="10"/>
  <c r="D107" i="6"/>
  <c r="BH107" i="10"/>
  <c r="AA68" i="6"/>
  <c r="AB68" i="6" s="1"/>
  <c r="D130" i="6"/>
  <c r="BH130" i="10"/>
  <c r="AA79" i="6"/>
  <c r="AB79" i="6" s="1"/>
  <c r="K190" i="6"/>
  <c r="J190" i="6"/>
  <c r="W190" i="6" s="1"/>
  <c r="D202" i="6"/>
  <c r="BH202" i="10"/>
  <c r="AA166" i="6"/>
  <c r="AB166" i="6" s="1"/>
  <c r="AA40" i="6"/>
  <c r="AB40" i="6" s="1"/>
  <c r="AA215" i="6"/>
  <c r="AB215" i="6" s="1"/>
  <c r="AA180" i="6"/>
  <c r="AB180" i="6" s="1"/>
  <c r="D212" i="6"/>
  <c r="BH212" i="10"/>
  <c r="AA96" i="6"/>
  <c r="AB96" i="6" s="1"/>
  <c r="D94" i="6"/>
  <c r="BH94" i="10"/>
  <c r="AA94" i="6"/>
  <c r="AB94" i="6" s="1"/>
  <c r="AG209" i="10"/>
  <c r="AI31" i="10"/>
  <c r="AJ31" i="10"/>
  <c r="AF262" i="10"/>
  <c r="AA199" i="6"/>
  <c r="AB199" i="6" s="1"/>
  <c r="AA70" i="6"/>
  <c r="AB70" i="6" s="1"/>
  <c r="AI24" i="10"/>
  <c r="AJ24" i="10"/>
  <c r="AA35" i="6"/>
  <c r="AB35" i="6" s="1"/>
  <c r="D135" i="6"/>
  <c r="BH135" i="10"/>
  <c r="AA112" i="6"/>
  <c r="AB112" i="6" s="1"/>
  <c r="K138" i="6"/>
  <c r="J138" i="6"/>
  <c r="W138" i="6" s="1"/>
  <c r="J204" i="6"/>
  <c r="W204" i="6" s="1"/>
  <c r="K204" i="6"/>
  <c r="AA57" i="6"/>
  <c r="AB57" i="6" s="1"/>
  <c r="K186" i="6"/>
  <c r="J186" i="6"/>
  <c r="W186" i="6" s="1"/>
  <c r="D34" i="6"/>
  <c r="BH34" i="10"/>
  <c r="D124" i="6"/>
  <c r="BH124" i="10"/>
  <c r="D188" i="6"/>
  <c r="BH188" i="10"/>
  <c r="AA193" i="6"/>
  <c r="AB193" i="6" s="1"/>
  <c r="D147" i="6"/>
  <c r="BH147" i="10"/>
  <c r="BH50" i="10"/>
  <c r="D50" i="6"/>
  <c r="AA187" i="6"/>
  <c r="AB187" i="6" s="1"/>
  <c r="AA191" i="6"/>
  <c r="AB191" i="6" s="1"/>
  <c r="AA156" i="6"/>
  <c r="AB156" i="6" s="1"/>
  <c r="D149" i="6"/>
  <c r="BH149" i="10"/>
  <c r="AJ128" i="10"/>
  <c r="AI128" i="10"/>
  <c r="AA87" i="6"/>
  <c r="AB87" i="6" s="1"/>
  <c r="K137" i="6"/>
  <c r="J137" i="6"/>
  <c r="W137" i="6" s="1"/>
  <c r="AA109" i="6"/>
  <c r="AB109" i="6" s="1"/>
  <c r="BH160" i="10"/>
  <c r="D160" i="6"/>
  <c r="AQ39" i="10"/>
  <c r="BB39" i="10"/>
  <c r="D98" i="6"/>
  <c r="BH98" i="10"/>
  <c r="AA123" i="6"/>
  <c r="AB123" i="6" s="1"/>
  <c r="D58" i="6"/>
  <c r="BH58" i="10"/>
  <c r="AA163" i="6"/>
  <c r="AB163" i="6" s="1"/>
  <c r="AA116" i="6"/>
  <c r="AB116" i="6" s="1"/>
  <c r="BH170" i="10"/>
  <c r="D170" i="6"/>
  <c r="AA110" i="6"/>
  <c r="AB110" i="6" s="1"/>
  <c r="BH110" i="10"/>
  <c r="D110" i="6"/>
  <c r="J129" i="6"/>
  <c r="W129" i="6" s="1"/>
  <c r="K129" i="6"/>
  <c r="J91" i="6"/>
  <c r="W91" i="6" s="1"/>
  <c r="K91" i="6"/>
  <c r="AI21" i="10"/>
  <c r="AJ21" i="10"/>
  <c r="D82" i="6"/>
  <c r="BH82" i="10"/>
  <c r="BH181" i="10"/>
  <c r="D181" i="6"/>
  <c r="AA93" i="6"/>
  <c r="AB93" i="6" s="1"/>
  <c r="D183" i="6"/>
  <c r="BH183" i="10"/>
  <c r="AI56" i="10"/>
  <c r="AJ56" i="10"/>
  <c r="BH194" i="10"/>
  <c r="D194" i="6"/>
  <c r="AJ122" i="10"/>
  <c r="AI122" i="10"/>
  <c r="AQ146" i="10"/>
  <c r="BB146" i="10"/>
  <c r="AJ65" i="10"/>
  <c r="AI65" i="10"/>
  <c r="D152" i="6"/>
  <c r="BH152" i="10"/>
  <c r="D45" i="6"/>
  <c r="BH45" i="10"/>
  <c r="D140" i="6"/>
  <c r="BH140" i="10"/>
  <c r="D74" i="6"/>
  <c r="BH74" i="10"/>
  <c r="D159" i="6"/>
  <c r="BH159" i="10"/>
  <c r="AA125" i="6"/>
  <c r="AB125" i="6" s="1"/>
  <c r="BH75" i="10"/>
  <c r="D75" i="6"/>
  <c r="AA59" i="6"/>
  <c r="AB59" i="6" s="1"/>
  <c r="AA196" i="6"/>
  <c r="AB196" i="6" s="1"/>
  <c r="AA117" i="6"/>
  <c r="AB117" i="6" s="1"/>
  <c r="J158" i="6"/>
  <c r="W158" i="6" s="1"/>
  <c r="K158" i="6"/>
  <c r="J118" i="6"/>
  <c r="W118" i="6" s="1"/>
  <c r="K118" i="6"/>
  <c r="K127" i="6"/>
  <c r="J127" i="6"/>
  <c r="W127" i="6" s="1"/>
  <c r="BB36" i="10"/>
  <c r="AQ36" i="10"/>
  <c r="AJ14" i="10"/>
  <c r="AI14" i="10"/>
  <c r="BB162" i="10"/>
  <c r="AQ162" i="10"/>
  <c r="D88" i="6"/>
  <c r="BH88" i="10"/>
  <c r="D106" i="6"/>
  <c r="BH106" i="10"/>
  <c r="AQ103" i="10"/>
  <c r="BB103" i="10"/>
  <c r="AA60" i="6"/>
  <c r="AB60" i="6" s="1"/>
  <c r="D53" i="6"/>
  <c r="BH53" i="10"/>
  <c r="AJ142" i="10"/>
  <c r="AI142" i="10"/>
  <c r="AF307" i="10"/>
  <c r="AA126" i="6"/>
  <c r="AB126" i="6" s="1"/>
  <c r="AJ12" i="10"/>
  <c r="AI12" i="10"/>
  <c r="AA71" i="6"/>
  <c r="AB71" i="6" s="1"/>
  <c r="AA95" i="6"/>
  <c r="AB95" i="6" s="1"/>
  <c r="D47" i="6"/>
  <c r="BH47" i="10"/>
  <c r="AJ144" i="10"/>
  <c r="AI144" i="10"/>
  <c r="AQ164" i="10"/>
  <c r="BB164" i="10"/>
  <c r="D180" i="6"/>
  <c r="BH180" i="10"/>
  <c r="D96" i="6"/>
  <c r="BH96" i="10"/>
  <c r="AG101" i="10"/>
  <c r="AC262" i="10"/>
  <c r="BH161" i="10"/>
  <c r="D161" i="6"/>
  <c r="K83" i="6"/>
  <c r="J83" i="6"/>
  <c r="W83" i="6" s="1"/>
  <c r="AA153" i="6"/>
  <c r="AB153" i="6" s="1"/>
  <c r="D70" i="6"/>
  <c r="BH70" i="10"/>
  <c r="D35" i="6"/>
  <c r="BH35" i="10"/>
  <c r="AA89" i="6"/>
  <c r="AB89" i="6" s="1"/>
  <c r="BB37" i="10"/>
  <c r="AQ37" i="10"/>
  <c r="D63" i="6"/>
  <c r="BH63" i="10"/>
  <c r="D112" i="6"/>
  <c r="BH112" i="10"/>
  <c r="BH148" i="10"/>
  <c r="D148" i="6"/>
  <c r="AJ33" i="10"/>
  <c r="AI33" i="10"/>
  <c r="AI38" i="10"/>
  <c r="AJ38" i="10"/>
  <c r="AA188" i="6"/>
  <c r="AB188" i="6" s="1"/>
  <c r="D193" i="6"/>
  <c r="BH193" i="10"/>
  <c r="AJ143" i="10"/>
  <c r="AI143" i="10"/>
  <c r="AA208" i="6"/>
  <c r="AB208" i="6" s="1"/>
  <c r="BH64" i="10"/>
  <c r="D64" i="6"/>
  <c r="AA177" i="6"/>
  <c r="AB177" i="6" s="1"/>
  <c r="AA155" i="6"/>
  <c r="AB155" i="6" s="1"/>
  <c r="AJ100" i="10"/>
  <c r="AI100" i="10"/>
  <c r="AJ120" i="10"/>
  <c r="AI120" i="10"/>
  <c r="D90" i="6"/>
  <c r="BH90" i="10"/>
  <c r="J205" i="6"/>
  <c r="W205" i="6" s="1"/>
  <c r="K205" i="6"/>
  <c r="D111" i="6"/>
  <c r="BH111" i="10"/>
  <c r="D87" i="6"/>
  <c r="BH87" i="10"/>
  <c r="BH214" i="10"/>
  <c r="D214" i="6"/>
  <c r="AA197" i="6"/>
  <c r="AB197" i="6" s="1"/>
  <c r="BH134" i="10"/>
  <c r="D134" i="6"/>
  <c r="AA58" i="6"/>
  <c r="AB58" i="6" s="1"/>
  <c r="D163" i="6"/>
  <c r="BH163" i="10"/>
  <c r="D67" i="6"/>
  <c r="BH67" i="10"/>
  <c r="D201" i="6"/>
  <c r="BH201" i="10"/>
  <c r="AA262" i="10"/>
  <c r="AA170" i="6"/>
  <c r="AB170" i="6" s="1"/>
  <c r="AA82" i="6"/>
  <c r="AB82" i="6" s="1"/>
  <c r="AA181" i="6"/>
  <c r="AB181" i="6" s="1"/>
  <c r="J20" i="31"/>
  <c r="AA178" i="6"/>
  <c r="AB178" i="6" s="1"/>
  <c r="AA183" i="6"/>
  <c r="AB183" i="6" s="1"/>
  <c r="AA77" i="6"/>
  <c r="AB77" i="6" s="1"/>
  <c r="AQ195" i="10"/>
  <c r="BB195" i="10"/>
  <c r="AA49" i="6"/>
  <c r="AB49" i="6" s="1"/>
  <c r="AA152" i="6"/>
  <c r="AB152" i="6" s="1"/>
  <c r="D61" i="6"/>
  <c r="BH61" i="10"/>
  <c r="D46" i="6"/>
  <c r="BH46" i="10"/>
  <c r="AA140" i="6"/>
  <c r="AB140" i="6" s="1"/>
  <c r="BH86" i="10"/>
  <c r="D86" i="6"/>
  <c r="AA74" i="6"/>
  <c r="AB74" i="6" s="1"/>
  <c r="AQ167" i="10"/>
  <c r="BB167" i="10"/>
  <c r="AA173" i="6"/>
  <c r="AB173" i="6" s="1"/>
  <c r="BH189" i="10"/>
  <c r="D189" i="6"/>
  <c r="AA159" i="6"/>
  <c r="AB159" i="6" s="1"/>
  <c r="D125" i="6"/>
  <c r="BH125" i="10"/>
  <c r="BH59" i="10"/>
  <c r="D59" i="6"/>
  <c r="BH196" i="10"/>
  <c r="D196" i="6"/>
  <c r="AI78" i="10"/>
  <c r="AJ78" i="10"/>
  <c r="BB198" i="10"/>
  <c r="AQ198" i="10"/>
  <c r="AJ22" i="10"/>
  <c r="AI22" i="10"/>
  <c r="D54" i="6"/>
  <c r="BH54" i="10"/>
  <c r="BB157" i="10"/>
  <c r="AQ157" i="10"/>
  <c r="AA53" i="6"/>
  <c r="AB53" i="6" s="1"/>
  <c r="AQ99" i="10"/>
  <c r="BB99" i="10"/>
  <c r="K119" i="6"/>
  <c r="J119" i="6"/>
  <c r="W119" i="6" s="1"/>
  <c r="AJ174" i="10"/>
  <c r="AI174" i="10"/>
  <c r="D126" i="6"/>
  <c r="BH126" i="10"/>
  <c r="AC307" i="10"/>
  <c r="J72" i="6"/>
  <c r="W72" i="6" s="1"/>
  <c r="K72" i="6"/>
  <c r="D68" i="6"/>
  <c r="BH68" i="10"/>
  <c r="AI108" i="10"/>
  <c r="AJ108" i="10"/>
  <c r="D179" i="6"/>
  <c r="BH179" i="10"/>
  <c r="AI62" i="10"/>
  <c r="AJ62" i="10"/>
  <c r="AA130" i="6"/>
  <c r="AB130" i="6" s="1"/>
  <c r="D95" i="6"/>
  <c r="BH95" i="10"/>
  <c r="AA47" i="6"/>
  <c r="AB47" i="6" s="1"/>
  <c r="AJ18" i="10"/>
  <c r="AI18" i="10"/>
  <c r="AA202" i="6"/>
  <c r="AB202" i="6" s="1"/>
  <c r="AA97" i="6"/>
  <c r="AB97" i="6" s="1"/>
  <c r="D40" i="6"/>
  <c r="BH40" i="10"/>
  <c r="D215" i="6"/>
  <c r="BH215" i="10"/>
  <c r="J219" i="6"/>
  <c r="W219" i="6" s="1"/>
  <c r="K219" i="6"/>
  <c r="AA32" i="6"/>
  <c r="AB32" i="6" s="1"/>
  <c r="AF325" i="10"/>
  <c r="BH153" i="10"/>
  <c r="D153" i="6"/>
  <c r="D89" i="6"/>
  <c r="BH89" i="10"/>
  <c r="D206" i="6"/>
  <c r="BH206" i="10"/>
  <c r="AA150" i="6"/>
  <c r="AB150" i="6" s="1"/>
  <c r="AI19" i="10"/>
  <c r="AJ19" i="10"/>
  <c r="D57" i="6"/>
  <c r="BH57" i="10"/>
  <c r="AA148" i="6"/>
  <c r="AB148" i="6" s="1"/>
  <c r="AA84" i="6"/>
  <c r="AB84" i="6" s="1"/>
  <c r="AJ182" i="10"/>
  <c r="AI182" i="10"/>
  <c r="AA124" i="6"/>
  <c r="AB124" i="6" s="1"/>
  <c r="D154" i="6"/>
  <c r="BH154" i="10"/>
  <c r="AA147" i="6"/>
  <c r="AB147" i="6" s="1"/>
  <c r="BH208" i="10"/>
  <c r="D208" i="6"/>
  <c r="D187" i="6"/>
  <c r="BH187" i="10"/>
  <c r="AA85" i="6"/>
  <c r="AB85" i="6" s="1"/>
  <c r="D85" i="6"/>
  <c r="BH85" i="10"/>
  <c r="D156" i="6"/>
  <c r="BH156" i="10"/>
  <c r="AA207" i="6"/>
  <c r="AB207" i="6" s="1"/>
  <c r="D207" i="6"/>
  <c r="BH207" i="10"/>
  <c r="AI210" i="10"/>
  <c r="AJ210" i="10"/>
  <c r="K218" i="6"/>
  <c r="J218" i="6"/>
  <c r="W218" i="6" s="1"/>
  <c r="AC232" i="10"/>
  <c r="AM16" i="10"/>
  <c r="AK16" i="10"/>
  <c r="D200" i="6"/>
  <c r="BH200" i="10"/>
  <c r="AA290" i="10"/>
  <c r="AA141" i="6"/>
  <c r="AB141" i="6" s="1"/>
  <c r="AI55" i="10"/>
  <c r="AJ55" i="10"/>
  <c r="K121" i="6"/>
  <c r="J121" i="6"/>
  <c r="W121" i="6" s="1"/>
  <c r="D136" i="6"/>
  <c r="BH136" i="10"/>
  <c r="D73" i="6"/>
  <c r="BH73" i="10"/>
  <c r="AA73" i="6"/>
  <c r="AB73" i="6" s="1"/>
  <c r="AQ20" i="10"/>
  <c r="BB20" i="10"/>
  <c r="AA98" i="6"/>
  <c r="AB98" i="6" s="1"/>
  <c r="D123" i="6"/>
  <c r="BH123" i="10"/>
  <c r="AA216" i="6"/>
  <c r="AB216" i="6" s="1"/>
  <c r="J211" i="6"/>
  <c r="W211" i="6" s="1"/>
  <c r="K211" i="6"/>
  <c r="AA67" i="6"/>
  <c r="AB67" i="6" s="1"/>
  <c r="AA201" i="6"/>
  <c r="AB201" i="6" s="1"/>
  <c r="AA66" i="6"/>
  <c r="AB66" i="6" s="1"/>
  <c r="AA232" i="10"/>
  <c r="AA307" i="10"/>
  <c r="D184" i="6"/>
  <c r="BH184" i="10"/>
  <c r="K52" i="6"/>
  <c r="J52" i="6"/>
  <c r="W52" i="6" s="1"/>
  <c r="AJ41" i="10"/>
  <c r="AI41" i="10"/>
  <c r="AJ15" i="10"/>
  <c r="AI15" i="10"/>
  <c r="J76" i="6"/>
  <c r="W76" i="6" s="1"/>
  <c r="K76" i="6"/>
  <c r="D49" i="6"/>
  <c r="BH49" i="10"/>
  <c r="BH114" i="10"/>
  <c r="D114" i="6"/>
  <c r="BB43" i="10"/>
  <c r="AQ43" i="10"/>
  <c r="AA176" i="6"/>
  <c r="AB176" i="6" s="1"/>
  <c r="AA86" i="6"/>
  <c r="AB86" i="6" s="1"/>
  <c r="AA189" i="6"/>
  <c r="AB189" i="6" s="1"/>
  <c r="AA75" i="6"/>
  <c r="AB75" i="6" s="1"/>
  <c r="AI17" i="10"/>
  <c r="AJ17" i="10"/>
  <c r="AQ44" i="10"/>
  <c r="BB44" i="10"/>
  <c r="K105" i="6"/>
  <c r="J105" i="6"/>
  <c r="W105" i="6" s="1"/>
  <c r="BH29" i="10"/>
  <c r="D29" i="6"/>
  <c r="AA28" i="6"/>
  <c r="AB28" i="6" s="1"/>
  <c r="AA168" i="6"/>
  <c r="AB168" i="6" s="1"/>
  <c r="J133" i="6"/>
  <c r="W133" i="6" s="1"/>
  <c r="K133" i="6"/>
  <c r="AA54" i="6"/>
  <c r="AB54" i="6" s="1"/>
  <c r="D104" i="6"/>
  <c r="BH104" i="10"/>
  <c r="AA131" i="6"/>
  <c r="AB131" i="6" s="1"/>
  <c r="D60" i="6"/>
  <c r="BH60" i="10"/>
  <c r="AI139" i="10"/>
  <c r="AJ139" i="10"/>
  <c r="AA107" i="6"/>
  <c r="AB107" i="6" s="1"/>
  <c r="AC325" i="10"/>
  <c r="AA179" i="6"/>
  <c r="AB179" i="6" s="1"/>
  <c r="D71" i="6"/>
  <c r="BH71" i="10"/>
  <c r="D79" i="6"/>
  <c r="BH79" i="10"/>
  <c r="J220" i="6"/>
  <c r="W220" i="6" s="1"/>
  <c r="K220" i="6"/>
  <c r="AJ30" i="10"/>
  <c r="AI30" i="10"/>
  <c r="D166" i="6"/>
  <c r="BH166" i="10"/>
  <c r="D97" i="6"/>
  <c r="BH97" i="10"/>
  <c r="AQ151" i="10"/>
  <c r="BB151" i="10"/>
  <c r="AA212" i="6"/>
  <c r="AB212" i="6" s="1"/>
  <c r="BB132" i="10"/>
  <c r="AQ132" i="10"/>
  <c r="D32" i="6"/>
  <c r="BH32" i="10"/>
  <c r="BB192" i="10"/>
  <c r="AQ192" i="10"/>
  <c r="AA161" i="6"/>
  <c r="AB161" i="6" s="1"/>
  <c r="AF232" i="10"/>
  <c r="BH199" i="10"/>
  <c r="D199" i="6"/>
  <c r="K115" i="6"/>
  <c r="J115" i="6"/>
  <c r="W115" i="6" s="1"/>
  <c r="J203" i="6"/>
  <c r="W203" i="6" s="1"/>
  <c r="K203" i="6"/>
  <c r="J165" i="6"/>
  <c r="W165" i="6" s="1"/>
  <c r="K165" i="6"/>
  <c r="AA206" i="6"/>
  <c r="AB206" i="6" s="1"/>
  <c r="AA135" i="6"/>
  <c r="AB135" i="6" s="1"/>
  <c r="D150" i="6"/>
  <c r="BH150" i="10"/>
  <c r="AA63" i="6"/>
  <c r="AB63" i="6" s="1"/>
  <c r="AA34" i="6"/>
  <c r="AB34" i="6" s="1"/>
  <c r="D84" i="6"/>
  <c r="BH84" i="10"/>
  <c r="AA154" i="6"/>
  <c r="AB154" i="6" s="1"/>
  <c r="AA50" i="6"/>
  <c r="AB50" i="6" s="1"/>
  <c r="BH191" i="10"/>
  <c r="D191" i="6"/>
  <c r="AA64" i="6"/>
  <c r="AB64" i="6" s="1"/>
  <c r="D177" i="6"/>
  <c r="BH177" i="10"/>
  <c r="D155" i="6"/>
  <c r="BH155" i="10"/>
  <c r="AA149" i="6"/>
  <c r="AB149" i="6" s="1"/>
  <c r="AA90" i="6"/>
  <c r="AB90" i="6" s="1"/>
  <c r="AJ23" i="10"/>
  <c r="AI23" i="10"/>
  <c r="AJ171" i="10"/>
  <c r="AI171" i="10"/>
  <c r="K169" i="6"/>
  <c r="J169" i="6"/>
  <c r="W169" i="6" s="1"/>
  <c r="AN16" i="10"/>
  <c r="AA200" i="6"/>
  <c r="AB200" i="6" s="1"/>
  <c r="AJ102" i="10"/>
  <c r="AI102" i="10"/>
  <c r="AA111" i="6"/>
  <c r="AB111" i="6" s="1"/>
  <c r="AQ145" i="10"/>
  <c r="BB145" i="10"/>
  <c r="K185" i="6"/>
  <c r="J185" i="6"/>
  <c r="W185" i="6" s="1"/>
  <c r="D141" i="6"/>
  <c r="BH141" i="10"/>
  <c r="AA214" i="6"/>
  <c r="AB214" i="6" s="1"/>
  <c r="D197" i="6"/>
  <c r="BH197" i="10"/>
  <c r="D109" i="6"/>
  <c r="BH109" i="10"/>
  <c r="AA160" i="6"/>
  <c r="AB160" i="6" s="1"/>
  <c r="AA134" i="6"/>
  <c r="AB134" i="6" s="1"/>
  <c r="AA136" i="6"/>
  <c r="AB136" i="6" s="1"/>
  <c r="K69" i="6"/>
  <c r="J69" i="6"/>
  <c r="W69" i="6" s="1"/>
  <c r="D216" i="6"/>
  <c r="BH216" i="10"/>
  <c r="D66" i="6"/>
  <c r="BH66" i="10"/>
  <c r="AA325" i="10"/>
  <c r="D116" i="6"/>
  <c r="BH116" i="10"/>
  <c r="BB42" i="10"/>
  <c r="AQ42" i="10"/>
  <c r="AA184" i="6"/>
  <c r="AB184" i="6" s="1"/>
  <c r="AF276" i="10"/>
  <c r="K92" i="6"/>
  <c r="J92" i="6"/>
  <c r="W92" i="6" s="1"/>
  <c r="J25" i="6"/>
  <c r="W25" i="6" s="1"/>
  <c r="K25" i="6"/>
  <c r="AC290" i="10"/>
  <c r="D93" i="6"/>
  <c r="BH93" i="10"/>
  <c r="AI81" i="10"/>
  <c r="AJ81" i="10"/>
  <c r="BH178" i="10"/>
  <c r="D178" i="6"/>
  <c r="AA276" i="10"/>
  <c r="BH77" i="10"/>
  <c r="D77" i="6"/>
  <c r="AA194" i="6"/>
  <c r="AB194" i="6" s="1"/>
  <c r="AI80" i="10"/>
  <c r="AJ80" i="10"/>
  <c r="J197" i="6" l="1"/>
  <c r="W197" i="6" s="1"/>
  <c r="K197" i="6"/>
  <c r="AM102" i="10"/>
  <c r="AK102" i="10"/>
  <c r="P165" i="6"/>
  <c r="P115" i="6"/>
  <c r="J199" i="6"/>
  <c r="W199" i="6" s="1"/>
  <c r="K199" i="6"/>
  <c r="BH192" i="10"/>
  <c r="D192" i="6"/>
  <c r="AA132" i="6"/>
  <c r="AB132" i="6" s="1"/>
  <c r="AA151" i="6"/>
  <c r="AB151" i="6" s="1"/>
  <c r="AN30" i="10"/>
  <c r="K79" i="6"/>
  <c r="J79" i="6"/>
  <c r="W79" i="6" s="1"/>
  <c r="P133" i="6"/>
  <c r="J29" i="6"/>
  <c r="W29" i="6" s="1"/>
  <c r="K29" i="6"/>
  <c r="AM17" i="10"/>
  <c r="AK17" i="10"/>
  <c r="P76" i="6"/>
  <c r="AN41" i="10"/>
  <c r="P52" i="6"/>
  <c r="J73" i="6"/>
  <c r="W73" i="6" s="1"/>
  <c r="K73" i="6"/>
  <c r="AM55" i="10"/>
  <c r="AK55" i="10"/>
  <c r="J156" i="6"/>
  <c r="W156" i="6" s="1"/>
  <c r="K156" i="6"/>
  <c r="J85" i="6"/>
  <c r="W85" i="6" s="1"/>
  <c r="K85" i="6"/>
  <c r="K208" i="6"/>
  <c r="J208" i="6"/>
  <c r="W208" i="6" s="1"/>
  <c r="K153" i="6"/>
  <c r="J153" i="6"/>
  <c r="W153" i="6" s="1"/>
  <c r="K215" i="6"/>
  <c r="J215" i="6"/>
  <c r="W215" i="6" s="1"/>
  <c r="AM18" i="10"/>
  <c r="AK18" i="10"/>
  <c r="AM62" i="10"/>
  <c r="AK62" i="10"/>
  <c r="K68" i="6"/>
  <c r="J68" i="6"/>
  <c r="W68" i="6" s="1"/>
  <c r="AN174" i="10"/>
  <c r="J54" i="6"/>
  <c r="W54" i="6" s="1"/>
  <c r="K54" i="6"/>
  <c r="AN22" i="10"/>
  <c r="BH198" i="10"/>
  <c r="D198" i="6"/>
  <c r="AM78" i="10"/>
  <c r="AK78" i="10"/>
  <c r="J125" i="6"/>
  <c r="W125" i="6" s="1"/>
  <c r="K125" i="6"/>
  <c r="J201" i="6"/>
  <c r="W201" i="6" s="1"/>
  <c r="K201" i="6"/>
  <c r="J67" i="6"/>
  <c r="W67" i="6" s="1"/>
  <c r="K67" i="6"/>
  <c r="K214" i="6"/>
  <c r="J214" i="6"/>
  <c r="W214" i="6" s="1"/>
  <c r="J87" i="6"/>
  <c r="W87" i="6" s="1"/>
  <c r="K87" i="6"/>
  <c r="AN38" i="10"/>
  <c r="K112" i="6"/>
  <c r="J112" i="6"/>
  <c r="W112" i="6" s="1"/>
  <c r="AA37" i="6"/>
  <c r="AB37" i="6" s="1"/>
  <c r="J70" i="6"/>
  <c r="W70" i="6" s="1"/>
  <c r="K70" i="6"/>
  <c r="K96" i="6"/>
  <c r="J96" i="6"/>
  <c r="W96" i="6" s="1"/>
  <c r="K180" i="6"/>
  <c r="J180" i="6"/>
  <c r="W180" i="6" s="1"/>
  <c r="AN144" i="10"/>
  <c r="K47" i="6"/>
  <c r="J47" i="6"/>
  <c r="W47" i="6" s="1"/>
  <c r="AG307" i="10"/>
  <c r="J53" i="6"/>
  <c r="W53" i="6" s="1"/>
  <c r="K53" i="6"/>
  <c r="D103" i="6"/>
  <c r="BH103" i="10"/>
  <c r="AN14" i="10"/>
  <c r="P158" i="6"/>
  <c r="J74" i="6"/>
  <c r="W74" i="6" s="1"/>
  <c r="K74" i="6"/>
  <c r="AA146" i="6"/>
  <c r="AB146" i="6" s="1"/>
  <c r="AM122" i="10"/>
  <c r="AK122" i="10"/>
  <c r="AN56" i="10"/>
  <c r="K170" i="6"/>
  <c r="J170" i="6"/>
  <c r="W170" i="6" s="1"/>
  <c r="J58" i="6"/>
  <c r="W58" i="6" s="1"/>
  <c r="K58" i="6"/>
  <c r="J160" i="6"/>
  <c r="W160" i="6" s="1"/>
  <c r="K160" i="6"/>
  <c r="AN128" i="10"/>
  <c r="J34" i="6"/>
  <c r="W34" i="6" s="1"/>
  <c r="K34" i="6"/>
  <c r="P186" i="6"/>
  <c r="K135" i="6"/>
  <c r="J135" i="6"/>
  <c r="W135" i="6" s="1"/>
  <c r="J212" i="6"/>
  <c r="W212" i="6" s="1"/>
  <c r="K212" i="6"/>
  <c r="AN213" i="10"/>
  <c r="AM13" i="10"/>
  <c r="AK13" i="10"/>
  <c r="K176" i="6"/>
  <c r="J176" i="6"/>
  <c r="W176" i="6" s="1"/>
  <c r="P92" i="6"/>
  <c r="K178" i="6"/>
  <c r="J178" i="6"/>
  <c r="W178" i="6" s="1"/>
  <c r="AA42" i="6"/>
  <c r="AB42" i="6" s="1"/>
  <c r="J216" i="6"/>
  <c r="W216" i="6" s="1"/>
  <c r="K216" i="6"/>
  <c r="P69" i="6"/>
  <c r="K141" i="6"/>
  <c r="J141" i="6"/>
  <c r="W141" i="6" s="1"/>
  <c r="AA145" i="6"/>
  <c r="AB145" i="6" s="1"/>
  <c r="AN102" i="10"/>
  <c r="P169" i="6"/>
  <c r="AM171" i="10"/>
  <c r="AK171" i="10"/>
  <c r="K191" i="6"/>
  <c r="J191" i="6"/>
  <c r="W191" i="6" s="1"/>
  <c r="AA192" i="6"/>
  <c r="AB192" i="6" s="1"/>
  <c r="D151" i="6"/>
  <c r="BH151" i="10"/>
  <c r="K97" i="6"/>
  <c r="J97" i="6"/>
  <c r="W97" i="6" s="1"/>
  <c r="P220" i="6"/>
  <c r="AN139" i="10"/>
  <c r="K104" i="6"/>
  <c r="J104" i="6"/>
  <c r="W104" i="6" s="1"/>
  <c r="AA44" i="6"/>
  <c r="AB44" i="6" s="1"/>
  <c r="D43" i="6"/>
  <c r="BH43" i="10"/>
  <c r="K114" i="6"/>
  <c r="J114" i="6"/>
  <c r="W114" i="6" s="1"/>
  <c r="AM15" i="10"/>
  <c r="AK15" i="10"/>
  <c r="K184" i="6"/>
  <c r="J184" i="6"/>
  <c r="W184" i="6" s="1"/>
  <c r="P211" i="6"/>
  <c r="AA20" i="6"/>
  <c r="AB20" i="6" s="1"/>
  <c r="K187" i="6"/>
  <c r="J187" i="6"/>
  <c r="W187" i="6" s="1"/>
  <c r="AN182" i="10"/>
  <c r="AM19" i="10"/>
  <c r="AK19" i="10"/>
  <c r="AN18" i="10"/>
  <c r="AN108" i="10"/>
  <c r="P72" i="6"/>
  <c r="P119" i="6"/>
  <c r="AA99" i="6"/>
  <c r="AB99" i="6" s="1"/>
  <c r="AA198" i="6"/>
  <c r="AB198" i="6" s="1"/>
  <c r="K196" i="6"/>
  <c r="J196" i="6"/>
  <c r="W196" i="6" s="1"/>
  <c r="J189" i="6"/>
  <c r="W189" i="6" s="1"/>
  <c r="K189" i="6"/>
  <c r="BH167" i="10"/>
  <c r="D167" i="6"/>
  <c r="J86" i="6"/>
  <c r="W86" i="6" s="1"/>
  <c r="K86" i="6"/>
  <c r="D195" i="6"/>
  <c r="BH195" i="10"/>
  <c r="J163" i="6"/>
  <c r="W163" i="6" s="1"/>
  <c r="K163" i="6"/>
  <c r="K111" i="6"/>
  <c r="J111" i="6"/>
  <c r="W111" i="6" s="1"/>
  <c r="AM120" i="10"/>
  <c r="AK120" i="10"/>
  <c r="AM143" i="10"/>
  <c r="AK143" i="10"/>
  <c r="AM38" i="10"/>
  <c r="AK38" i="10"/>
  <c r="AN33" i="10"/>
  <c r="J35" i="6"/>
  <c r="W35" i="6" s="1"/>
  <c r="K35" i="6"/>
  <c r="P83" i="6"/>
  <c r="D164" i="6"/>
  <c r="BH164" i="10"/>
  <c r="AM12" i="10"/>
  <c r="AK12" i="10"/>
  <c r="J106" i="6"/>
  <c r="W106" i="6" s="1"/>
  <c r="K106" i="6"/>
  <c r="J45" i="6"/>
  <c r="W45" i="6" s="1"/>
  <c r="K45" i="6"/>
  <c r="AN65" i="10"/>
  <c r="BH146" i="10"/>
  <c r="D146" i="6"/>
  <c r="AN122" i="10"/>
  <c r="AM56" i="10"/>
  <c r="AK56" i="10"/>
  <c r="J181" i="6"/>
  <c r="W181" i="6" s="1"/>
  <c r="K181" i="6"/>
  <c r="J98" i="6"/>
  <c r="W98" i="6" s="1"/>
  <c r="K98" i="6"/>
  <c r="D39" i="6"/>
  <c r="BH39" i="10"/>
  <c r="J149" i="6"/>
  <c r="W149" i="6" s="1"/>
  <c r="K149" i="6"/>
  <c r="J50" i="6"/>
  <c r="W50" i="6" s="1"/>
  <c r="K50" i="6"/>
  <c r="J147" i="6"/>
  <c r="W147" i="6" s="1"/>
  <c r="K147" i="6"/>
  <c r="P138" i="6"/>
  <c r="AM31" i="10"/>
  <c r="AK31" i="10"/>
  <c r="AI209" i="10"/>
  <c r="AJ209" i="10"/>
  <c r="J202" i="6"/>
  <c r="W202" i="6" s="1"/>
  <c r="K202" i="6"/>
  <c r="J130" i="6"/>
  <c r="W130" i="6" s="1"/>
  <c r="K130" i="6"/>
  <c r="BH175" i="10"/>
  <c r="D175" i="6"/>
  <c r="AN27" i="10"/>
  <c r="P217" i="6"/>
  <c r="P51" i="6"/>
  <c r="J117" i="6"/>
  <c r="W117" i="6" s="1"/>
  <c r="K117" i="6"/>
  <c r="AA48" i="6"/>
  <c r="AB48" i="6" s="1"/>
  <c r="AG325" i="10"/>
  <c r="K77" i="6"/>
  <c r="J77" i="6"/>
  <c r="W77" i="6" s="1"/>
  <c r="AN81" i="10"/>
  <c r="P25" i="6"/>
  <c r="K116" i="6"/>
  <c r="J116" i="6"/>
  <c r="W116" i="6" s="1"/>
  <c r="J66" i="6"/>
  <c r="W66" i="6" s="1"/>
  <c r="K66" i="6"/>
  <c r="P185" i="6"/>
  <c r="BH145" i="10"/>
  <c r="D145" i="6"/>
  <c r="AN171" i="10"/>
  <c r="AM23" i="10"/>
  <c r="AK23" i="10"/>
  <c r="K177" i="6"/>
  <c r="J177" i="6"/>
  <c r="W177" i="6" s="1"/>
  <c r="BH132" i="10"/>
  <c r="D132" i="6"/>
  <c r="J166" i="6"/>
  <c r="W166" i="6" s="1"/>
  <c r="K166" i="6"/>
  <c r="AG276" i="10"/>
  <c r="AM139" i="10"/>
  <c r="AK139" i="10"/>
  <c r="P105" i="6"/>
  <c r="AN17" i="10"/>
  <c r="J49" i="6"/>
  <c r="W49" i="6" s="1"/>
  <c r="K49" i="6"/>
  <c r="AN15" i="10"/>
  <c r="D20" i="6"/>
  <c r="BH20" i="10"/>
  <c r="P121" i="6"/>
  <c r="AN55" i="10"/>
  <c r="AM210" i="10"/>
  <c r="AK210" i="10"/>
  <c r="K57" i="6"/>
  <c r="J57" i="6"/>
  <c r="W57" i="6" s="1"/>
  <c r="K206" i="6"/>
  <c r="J206" i="6"/>
  <c r="W206" i="6" s="1"/>
  <c r="J89" i="6"/>
  <c r="W89" i="6" s="1"/>
  <c r="K89" i="6"/>
  <c r="P219" i="6"/>
  <c r="K179" i="6"/>
  <c r="J179" i="6"/>
  <c r="W179" i="6" s="1"/>
  <c r="AM108" i="10"/>
  <c r="AK108" i="10"/>
  <c r="BH99" i="10"/>
  <c r="D99" i="6"/>
  <c r="AN78" i="10"/>
  <c r="J61" i="6"/>
  <c r="W61" i="6" s="1"/>
  <c r="K61" i="6"/>
  <c r="J134" i="6"/>
  <c r="W134" i="6" s="1"/>
  <c r="K134" i="6"/>
  <c r="P205" i="6"/>
  <c r="J90" i="6"/>
  <c r="W90" i="6" s="1"/>
  <c r="K90" i="6"/>
  <c r="AN120" i="10"/>
  <c r="AN100" i="10"/>
  <c r="K64" i="6"/>
  <c r="J64" i="6"/>
  <c r="W64" i="6" s="1"/>
  <c r="AN143" i="10"/>
  <c r="BH37" i="10"/>
  <c r="D37" i="6"/>
  <c r="K161" i="6"/>
  <c r="J161" i="6"/>
  <c r="W161" i="6" s="1"/>
  <c r="AJ101" i="10"/>
  <c r="AI101" i="10"/>
  <c r="AM144" i="10"/>
  <c r="AK144" i="10"/>
  <c r="AN12" i="10"/>
  <c r="AM142" i="10"/>
  <c r="AK142" i="10"/>
  <c r="D162" i="6"/>
  <c r="BH162" i="10"/>
  <c r="D36" i="6"/>
  <c r="BH36" i="10"/>
  <c r="P118" i="6"/>
  <c r="J152" i="6"/>
  <c r="W152" i="6" s="1"/>
  <c r="K152" i="6"/>
  <c r="J194" i="6"/>
  <c r="W194" i="6" s="1"/>
  <c r="K194" i="6"/>
  <c r="K82" i="6"/>
  <c r="J82" i="6"/>
  <c r="W82" i="6" s="1"/>
  <c r="AN21" i="10"/>
  <c r="P91" i="6"/>
  <c r="P137" i="6"/>
  <c r="K124" i="6"/>
  <c r="J124" i="6"/>
  <c r="W124" i="6" s="1"/>
  <c r="P204" i="6"/>
  <c r="AN24" i="10"/>
  <c r="K94" i="6"/>
  <c r="J94" i="6"/>
  <c r="W94" i="6" s="1"/>
  <c r="P190" i="6"/>
  <c r="AA175" i="6"/>
  <c r="AB175" i="6" s="1"/>
  <c r="K131" i="6"/>
  <c r="J131" i="6"/>
  <c r="W131" i="6" s="1"/>
  <c r="K168" i="6"/>
  <c r="J168" i="6"/>
  <c r="W168" i="6" s="1"/>
  <c r="AM27" i="10"/>
  <c r="AK27" i="10"/>
  <c r="D48" i="6"/>
  <c r="BH48" i="10"/>
  <c r="AN26" i="10"/>
  <c r="AM172" i="10"/>
  <c r="AK172" i="10"/>
  <c r="AM80" i="10"/>
  <c r="AK80" i="10"/>
  <c r="AN80" i="10"/>
  <c r="AG262" i="10"/>
  <c r="AM81" i="10"/>
  <c r="AK81" i="10"/>
  <c r="K93" i="6"/>
  <c r="J93" i="6"/>
  <c r="W93" i="6" s="1"/>
  <c r="D42" i="6"/>
  <c r="BH42" i="10"/>
  <c r="K109" i="6"/>
  <c r="J109" i="6"/>
  <c r="W109" i="6" s="1"/>
  <c r="AN23" i="10"/>
  <c r="K155" i="6"/>
  <c r="J155" i="6"/>
  <c r="W155" i="6" s="1"/>
  <c r="J84" i="6"/>
  <c r="W84" i="6" s="1"/>
  <c r="K84" i="6"/>
  <c r="K150" i="6"/>
  <c r="J150" i="6"/>
  <c r="W150" i="6" s="1"/>
  <c r="P203" i="6"/>
  <c r="K32" i="6"/>
  <c r="J32" i="6"/>
  <c r="W32" i="6" s="1"/>
  <c r="AM30" i="10"/>
  <c r="AK30" i="10"/>
  <c r="K71" i="6"/>
  <c r="J71" i="6"/>
  <c r="W71" i="6" s="1"/>
  <c r="J60" i="6"/>
  <c r="W60" i="6" s="1"/>
  <c r="K60" i="6"/>
  <c r="BH44" i="10"/>
  <c r="D44" i="6"/>
  <c r="AA43" i="6"/>
  <c r="AB43" i="6" s="1"/>
  <c r="AM41" i="10"/>
  <c r="AK41" i="10"/>
  <c r="J123" i="6"/>
  <c r="W123" i="6" s="1"/>
  <c r="K123" i="6"/>
  <c r="J136" i="6"/>
  <c r="W136" i="6" s="1"/>
  <c r="K136" i="6"/>
  <c r="J200" i="6"/>
  <c r="W200" i="6" s="1"/>
  <c r="K200" i="6"/>
  <c r="BB16" i="10"/>
  <c r="AQ16" i="10"/>
  <c r="P218" i="6"/>
  <c r="AN210" i="10"/>
  <c r="K207" i="6"/>
  <c r="J207" i="6"/>
  <c r="W207" i="6" s="1"/>
  <c r="K154" i="6"/>
  <c r="J154" i="6"/>
  <c r="W154" i="6" s="1"/>
  <c r="AM182" i="10"/>
  <c r="AK182" i="10"/>
  <c r="AN19" i="10"/>
  <c r="J40" i="6"/>
  <c r="W40" i="6" s="1"/>
  <c r="K40" i="6"/>
  <c r="J95" i="6"/>
  <c r="W95" i="6" s="1"/>
  <c r="K95" i="6"/>
  <c r="AN62" i="10"/>
  <c r="K126" i="6"/>
  <c r="J126" i="6"/>
  <c r="W126" i="6" s="1"/>
  <c r="AM174" i="10"/>
  <c r="AK174" i="10"/>
  <c r="D157" i="6"/>
  <c r="BH157" i="10"/>
  <c r="AA157" i="6"/>
  <c r="AB157" i="6" s="1"/>
  <c r="AM22" i="10"/>
  <c r="AK22" i="10"/>
  <c r="K59" i="6"/>
  <c r="J59" i="6"/>
  <c r="W59" i="6" s="1"/>
  <c r="AA167" i="6"/>
  <c r="AB167" i="6" s="1"/>
  <c r="J46" i="6"/>
  <c r="W46" i="6" s="1"/>
  <c r="K46" i="6"/>
  <c r="AA195" i="6"/>
  <c r="AB195" i="6" s="1"/>
  <c r="AM100" i="10"/>
  <c r="AK100" i="10"/>
  <c r="J193" i="6"/>
  <c r="W193" i="6" s="1"/>
  <c r="K193" i="6"/>
  <c r="AM33" i="10"/>
  <c r="AK33" i="10"/>
  <c r="J148" i="6"/>
  <c r="W148" i="6" s="1"/>
  <c r="K148" i="6"/>
  <c r="J63" i="6"/>
  <c r="W63" i="6" s="1"/>
  <c r="K63" i="6"/>
  <c r="AA164" i="6"/>
  <c r="AB164" i="6" s="1"/>
  <c r="AG232" i="10"/>
  <c r="AG290" i="10"/>
  <c r="AN142" i="10"/>
  <c r="AA103" i="6"/>
  <c r="AB103" i="6" s="1"/>
  <c r="K88" i="6"/>
  <c r="J88" i="6"/>
  <c r="W88" i="6" s="1"/>
  <c r="AA162" i="6"/>
  <c r="AB162" i="6" s="1"/>
  <c r="AM14" i="10"/>
  <c r="AK14" i="10"/>
  <c r="AA36" i="6"/>
  <c r="AB36" i="6" s="1"/>
  <c r="P127" i="6"/>
  <c r="K75" i="6"/>
  <c r="J75" i="6"/>
  <c r="W75" i="6" s="1"/>
  <c r="J159" i="6"/>
  <c r="W159" i="6" s="1"/>
  <c r="K159" i="6"/>
  <c r="K140" i="6"/>
  <c r="J140" i="6"/>
  <c r="W140" i="6" s="1"/>
  <c r="AM65" i="10"/>
  <c r="AI276" i="10"/>
  <c r="AK65" i="10"/>
  <c r="J183" i="6"/>
  <c r="W183" i="6" s="1"/>
  <c r="K183" i="6"/>
  <c r="AM21" i="10"/>
  <c r="AK21" i="10"/>
  <c r="P129" i="6"/>
  <c r="K110" i="6"/>
  <c r="J110" i="6"/>
  <c r="W110" i="6" s="1"/>
  <c r="AA39" i="6"/>
  <c r="AB39" i="6" s="1"/>
  <c r="AM128" i="10"/>
  <c r="AK128" i="10"/>
  <c r="J188" i="6"/>
  <c r="W188" i="6" s="1"/>
  <c r="K188" i="6"/>
  <c r="AM24" i="10"/>
  <c r="AK24" i="10"/>
  <c r="AN31" i="10"/>
  <c r="J107" i="6"/>
  <c r="W107" i="6" s="1"/>
  <c r="K107" i="6"/>
  <c r="AM213" i="10"/>
  <c r="AK213" i="10"/>
  <c r="AN13" i="10"/>
  <c r="J28" i="6"/>
  <c r="W28" i="6" s="1"/>
  <c r="K28" i="6"/>
  <c r="K173" i="6"/>
  <c r="J173" i="6"/>
  <c r="W173" i="6" s="1"/>
  <c r="P113" i="6"/>
  <c r="AM26" i="10"/>
  <c r="AK26" i="10"/>
  <c r="AN172" i="10"/>
  <c r="AJ276" i="10" l="1"/>
  <c r="T113" i="6"/>
  <c r="BB128" i="10"/>
  <c r="AQ128" i="10"/>
  <c r="T129" i="6"/>
  <c r="P140" i="6"/>
  <c r="P159" i="6"/>
  <c r="T127" i="6"/>
  <c r="AQ100" i="10"/>
  <c r="BB100" i="10"/>
  <c r="P46" i="6"/>
  <c r="P59" i="6"/>
  <c r="J157" i="6"/>
  <c r="W157" i="6" s="1"/>
  <c r="K157" i="6"/>
  <c r="P40" i="6"/>
  <c r="P154" i="6"/>
  <c r="T218" i="6"/>
  <c r="P200" i="6"/>
  <c r="AQ41" i="10"/>
  <c r="BB41" i="10"/>
  <c r="J44" i="6"/>
  <c r="W44" i="6" s="1"/>
  <c r="K44" i="6"/>
  <c r="P71" i="6"/>
  <c r="BB30" i="10"/>
  <c r="AQ30" i="10"/>
  <c r="P155" i="6"/>
  <c r="J42" i="6"/>
  <c r="W42" i="6" s="1"/>
  <c r="K42" i="6"/>
  <c r="P93" i="6"/>
  <c r="K48" i="6"/>
  <c r="J48" i="6"/>
  <c r="W48" i="6" s="1"/>
  <c r="T91" i="6"/>
  <c r="T118" i="6"/>
  <c r="K36" i="6"/>
  <c r="J36" i="6"/>
  <c r="W36" i="6" s="1"/>
  <c r="AJ290" i="10"/>
  <c r="AM101" i="10"/>
  <c r="AK101" i="10"/>
  <c r="P64" i="6"/>
  <c r="P134" i="6"/>
  <c r="AJ232" i="10"/>
  <c r="P179" i="6"/>
  <c r="P206" i="6"/>
  <c r="AQ210" i="10"/>
  <c r="BB210" i="10"/>
  <c r="P49" i="6"/>
  <c r="T105" i="6"/>
  <c r="BB139" i="10"/>
  <c r="AQ139" i="10"/>
  <c r="P177" i="6"/>
  <c r="P66" i="6"/>
  <c r="P77" i="6"/>
  <c r="T217" i="6"/>
  <c r="P50" i="6"/>
  <c r="J39" i="6"/>
  <c r="W39" i="6" s="1"/>
  <c r="K39" i="6"/>
  <c r="P98" i="6"/>
  <c r="T83" i="6"/>
  <c r="P35" i="6"/>
  <c r="AQ171" i="10"/>
  <c r="BB171" i="10"/>
  <c r="T69" i="6"/>
  <c r="P216" i="6"/>
  <c r="T92" i="6"/>
  <c r="T186" i="6"/>
  <c r="P34" i="6"/>
  <c r="P58" i="6"/>
  <c r="P170" i="6"/>
  <c r="T158" i="6"/>
  <c r="K103" i="6"/>
  <c r="J103" i="6"/>
  <c r="W103" i="6" s="1"/>
  <c r="P96" i="6"/>
  <c r="P87" i="6"/>
  <c r="P67" i="6"/>
  <c r="P125" i="6"/>
  <c r="BB78" i="10"/>
  <c r="AQ78" i="10"/>
  <c r="P54" i="6"/>
  <c r="AQ62" i="10"/>
  <c r="BB62" i="10"/>
  <c r="BB18" i="10"/>
  <c r="AQ18" i="10"/>
  <c r="P156" i="6"/>
  <c r="T165" i="6"/>
  <c r="P197" i="6"/>
  <c r="BB22" i="10"/>
  <c r="AQ22" i="10"/>
  <c r="P126" i="6"/>
  <c r="BB269" i="10"/>
  <c r="P32" i="6"/>
  <c r="BB172" i="10"/>
  <c r="AQ172" i="10"/>
  <c r="P168" i="6"/>
  <c r="T190" i="6"/>
  <c r="AN101" i="10"/>
  <c r="AN222" i="10" s="1"/>
  <c r="AJ325" i="10"/>
  <c r="T205" i="6"/>
  <c r="T219" i="6"/>
  <c r="P89" i="6"/>
  <c r="P57" i="6"/>
  <c r="P166" i="6"/>
  <c r="J132" i="6"/>
  <c r="W132" i="6" s="1"/>
  <c r="K132" i="6"/>
  <c r="K145" i="6"/>
  <c r="J145" i="6"/>
  <c r="W145" i="6" s="1"/>
  <c r="T185" i="6"/>
  <c r="P117" i="6"/>
  <c r="T51" i="6"/>
  <c r="P202" i="6"/>
  <c r="AN209" i="10"/>
  <c r="P181" i="6"/>
  <c r="K146" i="6"/>
  <c r="J146" i="6"/>
  <c r="W146" i="6" s="1"/>
  <c r="AI232" i="10"/>
  <c r="P86" i="6"/>
  <c r="P189" i="6"/>
  <c r="AQ15" i="10"/>
  <c r="BB15" i="10"/>
  <c r="P97" i="6"/>
  <c r="P178" i="6"/>
  <c r="P212" i="6"/>
  <c r="P160" i="6"/>
  <c r="AQ122" i="10"/>
  <c r="BB122" i="10"/>
  <c r="P201" i="6"/>
  <c r="K198" i="6"/>
  <c r="J198" i="6"/>
  <c r="W198" i="6" s="1"/>
  <c r="P68" i="6"/>
  <c r="P215" i="6"/>
  <c r="T76" i="6"/>
  <c r="T133" i="6"/>
  <c r="P79" i="6"/>
  <c r="BB102" i="10"/>
  <c r="AQ102" i="10"/>
  <c r="P63" i="6"/>
  <c r="BB26" i="10"/>
  <c r="AQ26" i="10"/>
  <c r="P183" i="6"/>
  <c r="P95" i="6"/>
  <c r="BB182" i="10"/>
  <c r="AQ182" i="10"/>
  <c r="P207" i="6"/>
  <c r="AA16" i="6"/>
  <c r="AB16" i="6" s="1"/>
  <c r="P123" i="6"/>
  <c r="T203" i="6"/>
  <c r="P124" i="6"/>
  <c r="T137" i="6"/>
  <c r="P82" i="6"/>
  <c r="AQ144" i="10"/>
  <c r="BB144" i="10"/>
  <c r="P161" i="6"/>
  <c r="J37" i="6"/>
  <c r="W37" i="6" s="1"/>
  <c r="K37" i="6"/>
  <c r="P90" i="6"/>
  <c r="P61" i="6"/>
  <c r="K99" i="6"/>
  <c r="J99" i="6"/>
  <c r="W99" i="6" s="1"/>
  <c r="BB108" i="10"/>
  <c r="AQ108" i="10"/>
  <c r="K20" i="6"/>
  <c r="J20" i="6"/>
  <c r="W20" i="6" s="1"/>
  <c r="AJ307" i="10"/>
  <c r="P116" i="6"/>
  <c r="K175" i="6"/>
  <c r="J175" i="6"/>
  <c r="W175" i="6" s="1"/>
  <c r="AM209" i="10"/>
  <c r="AI262" i="10"/>
  <c r="AK209" i="10"/>
  <c r="BB31" i="10"/>
  <c r="AQ31" i="10"/>
  <c r="BB56" i="10"/>
  <c r="AQ56" i="10"/>
  <c r="P45" i="6"/>
  <c r="P163" i="6"/>
  <c r="T119" i="6"/>
  <c r="T72" i="6"/>
  <c r="J43" i="6"/>
  <c r="W43" i="6" s="1"/>
  <c r="K43" i="6"/>
  <c r="K151" i="6"/>
  <c r="J151" i="6"/>
  <c r="W151" i="6" s="1"/>
  <c r="P176" i="6"/>
  <c r="BB13" i="10"/>
  <c r="AQ13" i="10"/>
  <c r="P135" i="6"/>
  <c r="P53" i="6"/>
  <c r="P180" i="6"/>
  <c r="P70" i="6"/>
  <c r="P112" i="6"/>
  <c r="P153" i="6"/>
  <c r="P73" i="6"/>
  <c r="T52" i="6"/>
  <c r="P29" i="6"/>
  <c r="J192" i="6"/>
  <c r="W192" i="6" s="1"/>
  <c r="K192" i="6"/>
  <c r="P199" i="6"/>
  <c r="T115" i="6"/>
  <c r="AI290" i="10"/>
  <c r="BB24" i="10"/>
  <c r="AQ24" i="10"/>
  <c r="P110" i="6"/>
  <c r="P28" i="6"/>
  <c r="P107" i="6"/>
  <c r="BB65" i="10"/>
  <c r="AQ65" i="10"/>
  <c r="P173" i="6"/>
  <c r="AQ213" i="10"/>
  <c r="BB213" i="10"/>
  <c r="P188" i="6"/>
  <c r="BB21" i="10"/>
  <c r="AQ21" i="10"/>
  <c r="P75" i="6"/>
  <c r="BB14" i="10"/>
  <c r="AQ14" i="10"/>
  <c r="P88" i="6"/>
  <c r="P148" i="6"/>
  <c r="AQ33" i="10"/>
  <c r="BB33" i="10"/>
  <c r="P193" i="6"/>
  <c r="BB174" i="10"/>
  <c r="AQ174" i="10"/>
  <c r="D16" i="6"/>
  <c r="BH16" i="10"/>
  <c r="P136" i="6"/>
  <c r="P60" i="6"/>
  <c r="AI325" i="10"/>
  <c r="P150" i="6"/>
  <c r="P84" i="6"/>
  <c r="P109" i="6"/>
  <c r="AQ81" i="10"/>
  <c r="BB81" i="10"/>
  <c r="AQ80" i="10"/>
  <c r="BB80" i="10"/>
  <c r="BB27" i="10"/>
  <c r="AQ27" i="10"/>
  <c r="P131" i="6"/>
  <c r="P94" i="6"/>
  <c r="T204" i="6"/>
  <c r="P194" i="6"/>
  <c r="P152" i="6"/>
  <c r="K162" i="6"/>
  <c r="J162" i="6"/>
  <c r="W162" i="6" s="1"/>
  <c r="AQ142" i="10"/>
  <c r="BB142" i="10"/>
  <c r="AJ262" i="10"/>
  <c r="T121" i="6"/>
  <c r="BB23" i="10"/>
  <c r="AQ23" i="10"/>
  <c r="T25" i="6"/>
  <c r="P130" i="6"/>
  <c r="T138" i="6"/>
  <c r="P147" i="6"/>
  <c r="P149" i="6"/>
  <c r="P106" i="6"/>
  <c r="BB12" i="10"/>
  <c r="AQ12" i="10"/>
  <c r="K164" i="6"/>
  <c r="J164" i="6"/>
  <c r="W164" i="6" s="1"/>
  <c r="AQ38" i="10"/>
  <c r="BB38" i="10"/>
  <c r="AQ143" i="10"/>
  <c r="BB143" i="10"/>
  <c r="AQ120" i="10"/>
  <c r="BB120" i="10"/>
  <c r="P111" i="6"/>
  <c r="K195" i="6"/>
  <c r="J195" i="6"/>
  <c r="W195" i="6" s="1"/>
  <c r="K167" i="6"/>
  <c r="J167" i="6"/>
  <c r="W167" i="6" s="1"/>
  <c r="P196" i="6"/>
  <c r="AQ19" i="10"/>
  <c r="BB19" i="10"/>
  <c r="P187" i="6"/>
  <c r="T211" i="6"/>
  <c r="P184" i="6"/>
  <c r="P114" i="6"/>
  <c r="P104" i="6"/>
  <c r="T220" i="6"/>
  <c r="P191" i="6"/>
  <c r="T169" i="6"/>
  <c r="P141" i="6"/>
  <c r="P74" i="6"/>
  <c r="P47" i="6"/>
  <c r="P214" i="6"/>
  <c r="AI307" i="10"/>
  <c r="P208" i="6"/>
  <c r="P85" i="6"/>
  <c r="BB55" i="10"/>
  <c r="AQ55" i="10"/>
  <c r="BB17" i="10"/>
  <c r="AQ17" i="10"/>
  <c r="AM222" i="10" l="1"/>
  <c r="BH269" i="10"/>
  <c r="BB266" i="10"/>
  <c r="BB317" i="10"/>
  <c r="T208" i="6"/>
  <c r="T74" i="6"/>
  <c r="P167" i="6"/>
  <c r="BB251" i="10"/>
  <c r="BB236" i="10"/>
  <c r="BH12" i="10"/>
  <c r="D12" i="6"/>
  <c r="AA142" i="6"/>
  <c r="AB142" i="6" s="1"/>
  <c r="T194" i="6"/>
  <c r="X204" i="6"/>
  <c r="D80" i="6"/>
  <c r="BH80" i="10"/>
  <c r="BB246" i="10"/>
  <c r="T60" i="6"/>
  <c r="D174" i="6"/>
  <c r="BH174" i="10"/>
  <c r="AA174" i="6"/>
  <c r="AB174" i="6" s="1"/>
  <c r="T193" i="6"/>
  <c r="BB272" i="10"/>
  <c r="D213" i="6"/>
  <c r="BH213" i="10"/>
  <c r="T28" i="6"/>
  <c r="BH24" i="10"/>
  <c r="D24" i="6"/>
  <c r="X115" i="6"/>
  <c r="T199" i="6"/>
  <c r="X52" i="6"/>
  <c r="T70" i="6"/>
  <c r="AA13" i="6"/>
  <c r="AB13" i="6" s="1"/>
  <c r="T176" i="6"/>
  <c r="BH56" i="10"/>
  <c r="D56" i="6"/>
  <c r="AA108" i="6"/>
  <c r="AB108" i="6" s="1"/>
  <c r="BB285" i="10"/>
  <c r="T82" i="6"/>
  <c r="T124" i="6"/>
  <c r="X203" i="6"/>
  <c r="AA182" i="6"/>
  <c r="AB182" i="6" s="1"/>
  <c r="D26" i="6"/>
  <c r="BH26" i="10"/>
  <c r="T63" i="6"/>
  <c r="D102" i="6"/>
  <c r="BH102" i="10"/>
  <c r="T79" i="6"/>
  <c r="BB296" i="10"/>
  <c r="T189" i="6"/>
  <c r="T89" i="6"/>
  <c r="T168" i="6"/>
  <c r="BB255" i="10"/>
  <c r="T32" i="6"/>
  <c r="BB298" i="10"/>
  <c r="BB312" i="10"/>
  <c r="AA22" i="6"/>
  <c r="AB22" i="6" s="1"/>
  <c r="T156" i="6"/>
  <c r="BB244" i="10"/>
  <c r="BB315" i="10"/>
  <c r="BH78" i="10"/>
  <c r="D78" i="6"/>
  <c r="T87" i="6"/>
  <c r="P103" i="6"/>
  <c r="D171" i="6"/>
  <c r="BH171" i="10"/>
  <c r="T35" i="6"/>
  <c r="P39" i="6"/>
  <c r="BB319" i="10"/>
  <c r="T64" i="6"/>
  <c r="P36" i="6"/>
  <c r="X91" i="6"/>
  <c r="P48" i="6"/>
  <c r="T93" i="6"/>
  <c r="P42" i="6"/>
  <c r="D30" i="6"/>
  <c r="BH30" i="10"/>
  <c r="AK262" i="10"/>
  <c r="T71" i="6"/>
  <c r="P44" i="6"/>
  <c r="BB267" i="10"/>
  <c r="T154" i="6"/>
  <c r="T46" i="6"/>
  <c r="X129" i="6"/>
  <c r="AA128" i="6"/>
  <c r="AB128" i="6" s="1"/>
  <c r="X113" i="6"/>
  <c r="AA55" i="6"/>
  <c r="AB55" i="6" s="1"/>
  <c r="X169" i="6"/>
  <c r="T191" i="6"/>
  <c r="T104" i="6"/>
  <c r="T184" i="6"/>
  <c r="T187" i="6"/>
  <c r="BB274" i="10"/>
  <c r="P195" i="6"/>
  <c r="T111" i="6"/>
  <c r="D120" i="6"/>
  <c r="BH120" i="10"/>
  <c r="BB304" i="10"/>
  <c r="D143" i="6"/>
  <c r="BH143" i="10"/>
  <c r="D38" i="6"/>
  <c r="BH38" i="10"/>
  <c r="BB227" i="10"/>
  <c r="BB271" i="10"/>
  <c r="T147" i="6"/>
  <c r="X25" i="6"/>
  <c r="D23" i="6"/>
  <c r="BH23" i="10"/>
  <c r="AA23" i="6"/>
  <c r="AB23" i="6" s="1"/>
  <c r="P162" i="6"/>
  <c r="T131" i="6"/>
  <c r="AA81" i="6"/>
  <c r="AB81" i="6" s="1"/>
  <c r="D81" i="6"/>
  <c r="BH81" i="10"/>
  <c r="T109" i="6"/>
  <c r="K16" i="6"/>
  <c r="J16" i="6"/>
  <c r="W16" i="6" s="1"/>
  <c r="BB256" i="10"/>
  <c r="BB295" i="10"/>
  <c r="AA213" i="6"/>
  <c r="AB213" i="6" s="1"/>
  <c r="BH65" i="10"/>
  <c r="D65" i="6"/>
  <c r="BB265" i="10"/>
  <c r="AM276" i="10"/>
  <c r="T107" i="6"/>
  <c r="T110" i="6"/>
  <c r="BB239" i="10"/>
  <c r="P192" i="6"/>
  <c r="T135" i="6"/>
  <c r="T45" i="6"/>
  <c r="AA31" i="6"/>
  <c r="AB31" i="6" s="1"/>
  <c r="AQ209" i="10"/>
  <c r="BB209" i="10"/>
  <c r="T116" i="6"/>
  <c r="BB300" i="10"/>
  <c r="T90" i="6"/>
  <c r="BH144" i="10"/>
  <c r="D144" i="6"/>
  <c r="BH182" i="10"/>
  <c r="D182" i="6"/>
  <c r="BB322" i="10"/>
  <c r="T95" i="6"/>
  <c r="T183" i="6"/>
  <c r="AA26" i="6"/>
  <c r="AB26" i="6" s="1"/>
  <c r="AA102" i="6"/>
  <c r="AB102" i="6" s="1"/>
  <c r="P198" i="6"/>
  <c r="T201" i="6"/>
  <c r="BB301" i="10"/>
  <c r="T160" i="6"/>
  <c r="T97" i="6"/>
  <c r="AA15" i="6"/>
  <c r="AB15" i="6" s="1"/>
  <c r="T86" i="6"/>
  <c r="T181" i="6"/>
  <c r="T202" i="6"/>
  <c r="X185" i="6"/>
  <c r="T57" i="6"/>
  <c r="BB281" i="10"/>
  <c r="AK290" i="10"/>
  <c r="X165" i="6"/>
  <c r="D18" i="6"/>
  <c r="BH18" i="10"/>
  <c r="T54" i="6"/>
  <c r="BB245" i="10"/>
  <c r="T125" i="6"/>
  <c r="X158" i="6"/>
  <c r="T34" i="6"/>
  <c r="X92" i="6"/>
  <c r="T216" i="6"/>
  <c r="T98" i="6"/>
  <c r="T66" i="6"/>
  <c r="T177" i="6"/>
  <c r="BB253" i="10"/>
  <c r="AA210" i="6"/>
  <c r="AB210" i="6" s="1"/>
  <c r="BB259" i="10"/>
  <c r="BB240" i="10"/>
  <c r="X218" i="6"/>
  <c r="T59" i="6"/>
  <c r="BB248" i="10"/>
  <c r="T140" i="6"/>
  <c r="BB302" i="10"/>
  <c r="BB270" i="10"/>
  <c r="BB242" i="10"/>
  <c r="BH17" i="10"/>
  <c r="D17" i="6"/>
  <c r="BB314" i="10"/>
  <c r="T141" i="6"/>
  <c r="T114" i="6"/>
  <c r="BB318" i="10"/>
  <c r="AA143" i="6"/>
  <c r="AB143" i="6" s="1"/>
  <c r="AM9" i="10"/>
  <c r="BB222" i="10"/>
  <c r="BB9" i="10" s="1"/>
  <c r="AY9" i="10"/>
  <c r="BE9" i="10"/>
  <c r="BB294" i="10"/>
  <c r="AM307" i="10"/>
  <c r="T149" i="6"/>
  <c r="T130" i="6"/>
  <c r="BB299" i="10"/>
  <c r="X121" i="6"/>
  <c r="T94" i="6"/>
  <c r="BH27" i="10"/>
  <c r="D27" i="6"/>
  <c r="BB247" i="10"/>
  <c r="T150" i="6"/>
  <c r="AA33" i="6"/>
  <c r="AB33" i="6" s="1"/>
  <c r="T88" i="6"/>
  <c r="AA14" i="6"/>
  <c r="AB14" i="6" s="1"/>
  <c r="BB282" i="10"/>
  <c r="BB260" i="10"/>
  <c r="AA65" i="6"/>
  <c r="AB65" i="6" s="1"/>
  <c r="AA24" i="6"/>
  <c r="AB24" i="6" s="1"/>
  <c r="T153" i="6"/>
  <c r="T112" i="6"/>
  <c r="T180" i="6"/>
  <c r="BH13" i="10"/>
  <c r="D13" i="6"/>
  <c r="BB273" i="10"/>
  <c r="P151" i="6"/>
  <c r="P43" i="6"/>
  <c r="X119" i="6"/>
  <c r="T163" i="6"/>
  <c r="AA56" i="6"/>
  <c r="AB56" i="6" s="1"/>
  <c r="BB288" i="10"/>
  <c r="P175" i="6"/>
  <c r="BH108" i="10"/>
  <c r="D108" i="6"/>
  <c r="P99" i="6"/>
  <c r="AN325" i="10"/>
  <c r="X137" i="6"/>
  <c r="T123" i="6"/>
  <c r="BB250" i="10"/>
  <c r="X133" i="6"/>
  <c r="T215" i="6"/>
  <c r="T68" i="6"/>
  <c r="BB252" i="10"/>
  <c r="T178" i="6"/>
  <c r="D15" i="6"/>
  <c r="BH15" i="10"/>
  <c r="X219" i="6"/>
  <c r="X190" i="6"/>
  <c r="D172" i="6"/>
  <c r="BH172" i="10"/>
  <c r="AA172" i="6"/>
  <c r="AB172" i="6" s="1"/>
  <c r="T126" i="6"/>
  <c r="BB238" i="10"/>
  <c r="T197" i="6"/>
  <c r="BB287" i="10"/>
  <c r="AA62" i="6"/>
  <c r="AB62" i="6" s="1"/>
  <c r="D62" i="6"/>
  <c r="BH62" i="10"/>
  <c r="AA78" i="6"/>
  <c r="AB78" i="6" s="1"/>
  <c r="T96" i="6"/>
  <c r="T58" i="6"/>
  <c r="AA171" i="6"/>
  <c r="AB171" i="6" s="1"/>
  <c r="AK232" i="10"/>
  <c r="T77" i="6"/>
  <c r="BB229" i="10"/>
  <c r="AA139" i="6"/>
  <c r="AB139" i="6" s="1"/>
  <c r="X105" i="6"/>
  <c r="T49" i="6"/>
  <c r="D210" i="6"/>
  <c r="BH210" i="10"/>
  <c r="T179" i="6"/>
  <c r="T134" i="6"/>
  <c r="X118" i="6"/>
  <c r="AA30" i="6"/>
  <c r="AB30" i="6" s="1"/>
  <c r="AA41" i="6"/>
  <c r="AB41" i="6" s="1"/>
  <c r="T40" i="6"/>
  <c r="P157" i="6"/>
  <c r="BH100" i="10"/>
  <c r="D100" i="6"/>
  <c r="T159" i="6"/>
  <c r="D128" i="6"/>
  <c r="BH128" i="10"/>
  <c r="T85" i="6"/>
  <c r="T47" i="6"/>
  <c r="AA17" i="6"/>
  <c r="AB17" i="6" s="1"/>
  <c r="D55" i="6"/>
  <c r="BH55" i="10"/>
  <c r="T214" i="6"/>
  <c r="X220" i="6"/>
  <c r="X211" i="6"/>
  <c r="AA19" i="6"/>
  <c r="AB19" i="6" s="1"/>
  <c r="BH19" i="10"/>
  <c r="D19" i="6"/>
  <c r="T196" i="6"/>
  <c r="AA120" i="6"/>
  <c r="AB120" i="6" s="1"/>
  <c r="AA38" i="6"/>
  <c r="AB38" i="6" s="1"/>
  <c r="BB280" i="10"/>
  <c r="P164" i="6"/>
  <c r="BB311" i="10"/>
  <c r="AM325" i="10"/>
  <c r="AA12" i="6"/>
  <c r="AB12" i="6" s="1"/>
  <c r="T106" i="6"/>
  <c r="X138" i="6"/>
  <c r="BB303" i="10"/>
  <c r="BH142" i="10"/>
  <c r="D142" i="6"/>
  <c r="T152" i="6"/>
  <c r="AA27" i="6"/>
  <c r="AB27" i="6" s="1"/>
  <c r="BB268" i="10"/>
  <c r="AA80" i="6"/>
  <c r="AB80" i="6" s="1"/>
  <c r="BB316" i="10"/>
  <c r="T84" i="6"/>
  <c r="T136" i="6"/>
  <c r="BB241" i="10"/>
  <c r="BH33" i="10"/>
  <c r="D33" i="6"/>
  <c r="T148" i="6"/>
  <c r="BH14" i="10"/>
  <c r="D14" i="6"/>
  <c r="BB237" i="10"/>
  <c r="T75" i="6"/>
  <c r="BH21" i="10"/>
  <c r="D21" i="6"/>
  <c r="AA21" i="6"/>
  <c r="AB21" i="6" s="1"/>
  <c r="T188" i="6"/>
  <c r="T173" i="6"/>
  <c r="T29" i="6"/>
  <c r="T73" i="6"/>
  <c r="T53" i="6"/>
  <c r="BB286" i="10"/>
  <c r="X72" i="6"/>
  <c r="BB243" i="10"/>
  <c r="BH31" i="10"/>
  <c r="D31" i="6"/>
  <c r="P20" i="6"/>
  <c r="T61" i="6"/>
  <c r="P37" i="6"/>
  <c r="T161" i="6"/>
  <c r="BB305" i="10"/>
  <c r="AA144" i="6"/>
  <c r="AB144" i="6" s="1"/>
  <c r="AZ9" i="10"/>
  <c r="AN9" i="10"/>
  <c r="BF9" i="10"/>
  <c r="AN232" i="10"/>
  <c r="T207" i="6"/>
  <c r="BB257" i="10"/>
  <c r="BB279" i="10"/>
  <c r="AM290" i="10"/>
  <c r="X76" i="6"/>
  <c r="AK307" i="10"/>
  <c r="AA122" i="6"/>
  <c r="AB122" i="6" s="1"/>
  <c r="BH122" i="10"/>
  <c r="D122" i="6"/>
  <c r="T212" i="6"/>
  <c r="BB283" i="10"/>
  <c r="AN276" i="10"/>
  <c r="P146" i="6"/>
  <c r="X51" i="6"/>
  <c r="T117" i="6"/>
  <c r="P145" i="6"/>
  <c r="P132" i="6"/>
  <c r="T166" i="6"/>
  <c r="X205" i="6"/>
  <c r="I21" i="31"/>
  <c r="I16" i="31"/>
  <c r="I17" i="31" s="1"/>
  <c r="BB284" i="10"/>
  <c r="BH22" i="10"/>
  <c r="D22" i="6"/>
  <c r="AA18" i="6"/>
  <c r="AB18" i="6" s="1"/>
  <c r="BB228" i="10"/>
  <c r="T67" i="6"/>
  <c r="T170" i="6"/>
  <c r="X186" i="6"/>
  <c r="X69" i="6"/>
  <c r="BB254" i="10"/>
  <c r="BB320" i="10"/>
  <c r="X83" i="6"/>
  <c r="AK325" i="10"/>
  <c r="T50" i="6"/>
  <c r="X217" i="6"/>
  <c r="BH139" i="10"/>
  <c r="D139" i="6"/>
  <c r="AN307" i="10"/>
  <c r="BB323" i="10"/>
  <c r="T206" i="6"/>
  <c r="AM262" i="10"/>
  <c r="BB101" i="10"/>
  <c r="AQ101" i="10"/>
  <c r="T155" i="6"/>
  <c r="BB313" i="10"/>
  <c r="BH41" i="10"/>
  <c r="D41" i="6"/>
  <c r="T200" i="6"/>
  <c r="AA100" i="6"/>
  <c r="AB100" i="6" s="1"/>
  <c r="X127" i="6"/>
  <c r="BH317" i="10" l="1"/>
  <c r="BH230" i="10"/>
  <c r="BH253" i="10"/>
  <c r="K22" i="6"/>
  <c r="J22" i="6"/>
  <c r="W22" i="6" s="1"/>
  <c r="X206" i="6"/>
  <c r="BH319" i="10"/>
  <c r="X67" i="6"/>
  <c r="BH281" i="10"/>
  <c r="T145" i="6"/>
  <c r="T146" i="6"/>
  <c r="BH252" i="10"/>
  <c r="X61" i="6"/>
  <c r="K31" i="6"/>
  <c r="J31" i="6"/>
  <c r="W31" i="6" s="1"/>
  <c r="X53" i="6"/>
  <c r="X73" i="6"/>
  <c r="BH282" i="10"/>
  <c r="X148" i="6"/>
  <c r="X136" i="6"/>
  <c r="X152" i="6"/>
  <c r="N6" i="30"/>
  <c r="N7" i="30" s="1"/>
  <c r="BB4" i="10"/>
  <c r="X196" i="6"/>
  <c r="K55" i="6"/>
  <c r="J55" i="6"/>
  <c r="W55" i="6" s="1"/>
  <c r="X85" i="6"/>
  <c r="X134" i="6"/>
  <c r="X58" i="6"/>
  <c r="J172" i="6"/>
  <c r="W172" i="6" s="1"/>
  <c r="K172" i="6"/>
  <c r="BH296" i="10"/>
  <c r="J15" i="6"/>
  <c r="W15" i="6" s="1"/>
  <c r="K15" i="6"/>
  <c r="X68" i="6"/>
  <c r="X215" i="6"/>
  <c r="X123" i="6"/>
  <c r="T99" i="6"/>
  <c r="J108" i="6"/>
  <c r="W108" i="6" s="1"/>
  <c r="K108" i="6"/>
  <c r="T175" i="6"/>
  <c r="BH273" i="10"/>
  <c r="X112" i="6"/>
  <c r="BH268" i="10"/>
  <c r="BH270" i="10"/>
  <c r="X140" i="6"/>
  <c r="X177" i="6"/>
  <c r="X202" i="6"/>
  <c r="X181" i="6"/>
  <c r="X160" i="6"/>
  <c r="L21" i="30"/>
  <c r="I13" i="31"/>
  <c r="X45" i="6"/>
  <c r="T192" i="6"/>
  <c r="P16" i="6"/>
  <c r="BH247" i="10"/>
  <c r="J23" i="6"/>
  <c r="W23" i="6" s="1"/>
  <c r="K23" i="6"/>
  <c r="X147" i="6"/>
  <c r="BH304" i="10"/>
  <c r="BH251" i="10"/>
  <c r="X191" i="6"/>
  <c r="X154" i="6"/>
  <c r="T44" i="6"/>
  <c r="T48" i="6"/>
  <c r="X64" i="6"/>
  <c r="BH320" i="10"/>
  <c r="K171" i="6"/>
  <c r="J171" i="6"/>
  <c r="W171" i="6" s="1"/>
  <c r="J78" i="6"/>
  <c r="W78" i="6" s="1"/>
  <c r="K78" i="6"/>
  <c r="X32" i="6"/>
  <c r="X168" i="6"/>
  <c r="K26" i="6"/>
  <c r="J26" i="6"/>
  <c r="W26" i="6" s="1"/>
  <c r="X124" i="6"/>
  <c r="I22" i="31"/>
  <c r="I23" i="31" s="1"/>
  <c r="X176" i="6"/>
  <c r="X70" i="6"/>
  <c r="X199" i="6"/>
  <c r="BH260" i="10"/>
  <c r="X60" i="6"/>
  <c r="K80" i="6"/>
  <c r="J80" i="6"/>
  <c r="W80" i="6" s="1"/>
  <c r="H15" i="31"/>
  <c r="BH227" i="10"/>
  <c r="BH311" i="10"/>
  <c r="AQ325" i="10"/>
  <c r="T167" i="6"/>
  <c r="BB249" i="10"/>
  <c r="X155" i="6"/>
  <c r="D101" i="6"/>
  <c r="BH101" i="10"/>
  <c r="BH312" i="10"/>
  <c r="BH238" i="10"/>
  <c r="T132" i="6"/>
  <c r="X212" i="6"/>
  <c r="T20" i="6"/>
  <c r="X173" i="6"/>
  <c r="X188" i="6"/>
  <c r="BH284" i="10"/>
  <c r="BH272" i="10"/>
  <c r="BH295" i="10"/>
  <c r="J33" i="6"/>
  <c r="W33" i="6" s="1"/>
  <c r="K33" i="6"/>
  <c r="K142" i="6"/>
  <c r="J142" i="6"/>
  <c r="W142" i="6" s="1"/>
  <c r="X106" i="6"/>
  <c r="BH274" i="10"/>
  <c r="X214" i="6"/>
  <c r="BH314" i="10"/>
  <c r="X47" i="6"/>
  <c r="X159" i="6"/>
  <c r="X40" i="6"/>
  <c r="X197" i="6"/>
  <c r="BH321" i="10"/>
  <c r="BH255" i="10"/>
  <c r="BH283" i="10"/>
  <c r="T151" i="6"/>
  <c r="K13" i="6"/>
  <c r="J13" i="6"/>
  <c r="W13" i="6" s="1"/>
  <c r="X180" i="6"/>
  <c r="X88" i="6"/>
  <c r="X150" i="6"/>
  <c r="AN290" i="10"/>
  <c r="X94" i="6"/>
  <c r="AY4" i="10"/>
  <c r="E41" i="4" s="1"/>
  <c r="K21" i="30"/>
  <c r="K6" i="30"/>
  <c r="AQ5" i="10"/>
  <c r="E33" i="4" s="1"/>
  <c r="X216" i="6"/>
  <c r="X54" i="6"/>
  <c r="BH287" i="10"/>
  <c r="K18" i="6"/>
  <c r="J18" i="6"/>
  <c r="W18" i="6" s="1"/>
  <c r="BH322" i="10"/>
  <c r="AZ5" i="10"/>
  <c r="E45" i="4" s="1"/>
  <c r="L6" i="30"/>
  <c r="L7" i="30" s="1"/>
  <c r="X116" i="6"/>
  <c r="BB258" i="10"/>
  <c r="K65" i="6"/>
  <c r="J65" i="6"/>
  <c r="W65" i="6" s="1"/>
  <c r="X131" i="6"/>
  <c r="T162" i="6"/>
  <c r="BH318" i="10"/>
  <c r="K120" i="6"/>
  <c r="J120" i="6"/>
  <c r="W120" i="6" s="1"/>
  <c r="X111" i="6"/>
  <c r="T195" i="6"/>
  <c r="BH313" i="10"/>
  <c r="J30" i="6"/>
  <c r="W30" i="6" s="1"/>
  <c r="K30" i="6"/>
  <c r="T36" i="6"/>
  <c r="AQ232" i="10"/>
  <c r="K102" i="6"/>
  <c r="J102" i="6"/>
  <c r="W102" i="6" s="1"/>
  <c r="BH279" i="10"/>
  <c r="I19" i="31"/>
  <c r="K24" i="6"/>
  <c r="J24" i="6"/>
  <c r="W24" i="6" s="1"/>
  <c r="J174" i="6"/>
  <c r="W174" i="6" s="1"/>
  <c r="K174" i="6"/>
  <c r="BH316" i="10"/>
  <c r="X194" i="6"/>
  <c r="H13" i="31"/>
  <c r="BH236" i="10"/>
  <c r="J41" i="6"/>
  <c r="W41" i="6" s="1"/>
  <c r="K41" i="6"/>
  <c r="X200" i="6"/>
  <c r="K139" i="6"/>
  <c r="J139" i="6"/>
  <c r="W139" i="6" s="1"/>
  <c r="BH267" i="10"/>
  <c r="AA101" i="6"/>
  <c r="AB101" i="6" s="1"/>
  <c r="BH229" i="10"/>
  <c r="X50" i="6"/>
  <c r="X170" i="6"/>
  <c r="BH298" i="10"/>
  <c r="X166" i="6"/>
  <c r="X117" i="6"/>
  <c r="BH301" i="10"/>
  <c r="X207" i="6"/>
  <c r="AT9" i="10"/>
  <c r="BK9" i="10"/>
  <c r="X161" i="6"/>
  <c r="T37" i="6"/>
  <c r="X29" i="6"/>
  <c r="J14" i="6"/>
  <c r="W14" i="6" s="1"/>
  <c r="K14" i="6"/>
  <c r="BH303" i="10"/>
  <c r="N21" i="30"/>
  <c r="H21" i="31"/>
  <c r="K19" i="6"/>
  <c r="J19" i="6"/>
  <c r="W19" i="6" s="1"/>
  <c r="BH302" i="10"/>
  <c r="K100" i="6"/>
  <c r="J100" i="6"/>
  <c r="W100" i="6" s="1"/>
  <c r="X179" i="6"/>
  <c r="K210" i="6"/>
  <c r="J210" i="6"/>
  <c r="W210" i="6" s="1"/>
  <c r="J62" i="6"/>
  <c r="W62" i="6" s="1"/>
  <c r="K62" i="6"/>
  <c r="X178" i="6"/>
  <c r="X163" i="6"/>
  <c r="T43" i="6"/>
  <c r="X153" i="6"/>
  <c r="BB307" i="10"/>
  <c r="H14" i="31"/>
  <c r="BJ9" i="10"/>
  <c r="AS9" i="10"/>
  <c r="X114" i="6"/>
  <c r="BB230" i="10"/>
  <c r="X34" i="6"/>
  <c r="BB297" i="10"/>
  <c r="X57" i="6"/>
  <c r="X97" i="6"/>
  <c r="T198" i="6"/>
  <c r="X183" i="6"/>
  <c r="BH257" i="10"/>
  <c r="I15" i="31"/>
  <c r="AN262" i="10"/>
  <c r="K144" i="6"/>
  <c r="J144" i="6"/>
  <c r="W144" i="6" s="1"/>
  <c r="X90" i="6"/>
  <c r="X135" i="6"/>
  <c r="X110" i="6"/>
  <c r="K38" i="6"/>
  <c r="J38" i="6"/>
  <c r="W38" i="6" s="1"/>
  <c r="X184" i="6"/>
  <c r="X104" i="6"/>
  <c r="AK276" i="10"/>
  <c r="X46" i="6"/>
  <c r="BH240" i="10"/>
  <c r="X93" i="6"/>
  <c r="T39" i="6"/>
  <c r="X35" i="6"/>
  <c r="X87" i="6"/>
  <c r="BH315" i="10"/>
  <c r="BH245" i="10"/>
  <c r="X89" i="6"/>
  <c r="BH250" i="10"/>
  <c r="X63" i="6"/>
  <c r="X82" i="6"/>
  <c r="K56" i="6"/>
  <c r="J56" i="6"/>
  <c r="W56" i="6" s="1"/>
  <c r="X28" i="6"/>
  <c r="BH256" i="10"/>
  <c r="H16" i="31"/>
  <c r="H17" i="31" s="1"/>
  <c r="BH285" i="10"/>
  <c r="K12" i="6"/>
  <c r="J12" i="6"/>
  <c r="W12" i="6" s="1"/>
  <c r="BH294" i="10"/>
  <c r="AQ307" i="10"/>
  <c r="X208" i="6"/>
  <c r="K122" i="6"/>
  <c r="J122" i="6"/>
  <c r="W122" i="6" s="1"/>
  <c r="BB290" i="10"/>
  <c r="I14" i="31"/>
  <c r="BH288" i="10"/>
  <c r="J21" i="6"/>
  <c r="W21" i="6" s="1"/>
  <c r="K21" i="6"/>
  <c r="X75" i="6"/>
  <c r="BH237" i="10"/>
  <c r="BH241" i="10"/>
  <c r="X84" i="6"/>
  <c r="BB5" i="10"/>
  <c r="H22" i="31"/>
  <c r="H23" i="31" s="1"/>
  <c r="H19" i="31"/>
  <c r="BB325" i="10"/>
  <c r="T164" i="6"/>
  <c r="BH242" i="10"/>
  <c r="J128" i="6"/>
  <c r="W128" i="6" s="1"/>
  <c r="K128" i="6"/>
  <c r="BH248" i="10"/>
  <c r="T157" i="6"/>
  <c r="BH323" i="10"/>
  <c r="BH259" i="10"/>
  <c r="X49" i="6"/>
  <c r="X77" i="6"/>
  <c r="X96" i="6"/>
  <c r="BH244" i="10"/>
  <c r="X126" i="6"/>
  <c r="BH300" i="10"/>
  <c r="J27" i="6"/>
  <c r="W27" i="6" s="1"/>
  <c r="K27" i="6"/>
  <c r="X130" i="6"/>
  <c r="X149" i="6"/>
  <c r="AY5" i="10"/>
  <c r="E42" i="4" s="1"/>
  <c r="X141" i="6"/>
  <c r="J17" i="6"/>
  <c r="W17" i="6" s="1"/>
  <c r="K17" i="6"/>
  <c r="X59" i="6"/>
  <c r="X66" i="6"/>
  <c r="X98" i="6"/>
  <c r="X125" i="6"/>
  <c r="BB321" i="10"/>
  <c r="X86" i="6"/>
  <c r="X201" i="6"/>
  <c r="X95" i="6"/>
  <c r="J182" i="6"/>
  <c r="W182" i="6" s="1"/>
  <c r="K182" i="6"/>
  <c r="AZ4" i="10"/>
  <c r="E44" i="4" s="1"/>
  <c r="BH305" i="10"/>
  <c r="AA209" i="6"/>
  <c r="AB209" i="6" s="1"/>
  <c r="BH209" i="10"/>
  <c r="AQ262" i="10"/>
  <c r="D209" i="6"/>
  <c r="X107" i="6"/>
  <c r="BB276" i="10"/>
  <c r="X109" i="6"/>
  <c r="K81" i="6"/>
  <c r="J81" i="6"/>
  <c r="W81" i="6" s="1"/>
  <c r="BH299" i="10"/>
  <c r="AM232" i="10"/>
  <c r="BH280" i="10"/>
  <c r="K143" i="6"/>
  <c r="J143" i="6"/>
  <c r="W143" i="6" s="1"/>
  <c r="X187" i="6"/>
  <c r="X71" i="6"/>
  <c r="T42" i="6"/>
  <c r="BH254" i="10"/>
  <c r="T103" i="6"/>
  <c r="X156" i="6"/>
  <c r="X189" i="6"/>
  <c r="X79" i="6"/>
  <c r="BH243" i="10"/>
  <c r="BH239" i="10"/>
  <c r="J213" i="6"/>
  <c r="W213" i="6" s="1"/>
  <c r="K213" i="6"/>
  <c r="X193" i="6"/>
  <c r="BH246" i="10"/>
  <c r="AQ222" i="10"/>
  <c r="BH271" i="10"/>
  <c r="X74" i="6"/>
  <c r="J320" i="6" l="1"/>
  <c r="K320" i="6"/>
  <c r="BH232" i="10"/>
  <c r="BH262" i="10"/>
  <c r="K259" i="6"/>
  <c r="J259" i="6"/>
  <c r="P213" i="6"/>
  <c r="X103" i="6"/>
  <c r="J256" i="6"/>
  <c r="K256" i="6"/>
  <c r="K269" i="6"/>
  <c r="J269" i="6"/>
  <c r="J301" i="6"/>
  <c r="K301" i="6"/>
  <c r="K300" i="6"/>
  <c r="J300" i="6"/>
  <c r="BH307" i="10"/>
  <c r="J284" i="6"/>
  <c r="K284" i="6"/>
  <c r="P12" i="6"/>
  <c r="K268" i="6"/>
  <c r="J268" i="6"/>
  <c r="X198" i="6"/>
  <c r="X203" i="11"/>
  <c r="H20" i="31"/>
  <c r="P62" i="6"/>
  <c r="K258" i="6"/>
  <c r="J258" i="6"/>
  <c r="J273" i="6"/>
  <c r="K273" i="6"/>
  <c r="X37" i="6"/>
  <c r="X158" i="11"/>
  <c r="J318" i="6"/>
  <c r="K318" i="6"/>
  <c r="P41" i="6"/>
  <c r="P24" i="6"/>
  <c r="K249" i="6"/>
  <c r="J249" i="6"/>
  <c r="J239" i="6"/>
  <c r="K239" i="6"/>
  <c r="K264" i="6"/>
  <c r="J264" i="6"/>
  <c r="D275" i="6"/>
  <c r="K285" i="6"/>
  <c r="J285" i="6"/>
  <c r="K240" i="6"/>
  <c r="J240" i="6"/>
  <c r="BH249" i="10"/>
  <c r="X167" i="6"/>
  <c r="J245" i="6"/>
  <c r="K245" i="6"/>
  <c r="P78" i="6"/>
  <c r="X48" i="6"/>
  <c r="P23" i="6"/>
  <c r="W91" i="11"/>
  <c r="P15" i="6"/>
  <c r="P172" i="6"/>
  <c r="X51" i="11"/>
  <c r="P55" i="6"/>
  <c r="N8" i="30"/>
  <c r="P31" i="6"/>
  <c r="X145" i="6"/>
  <c r="Y45" i="11"/>
  <c r="J311" i="6"/>
  <c r="K311" i="6"/>
  <c r="P22" i="6"/>
  <c r="BB262" i="10"/>
  <c r="P81" i="6"/>
  <c r="BH258" i="10"/>
  <c r="P27" i="6"/>
  <c r="P128" i="6"/>
  <c r="X164" i="6"/>
  <c r="P21" i="6"/>
  <c r="D222" i="6"/>
  <c r="K235" i="6"/>
  <c r="J235" i="6"/>
  <c r="X83" i="11"/>
  <c r="P56" i="6"/>
  <c r="J304" i="6"/>
  <c r="K304" i="6"/>
  <c r="BH297" i="10"/>
  <c r="BH286" i="10"/>
  <c r="K322" i="6"/>
  <c r="J322" i="6"/>
  <c r="P100" i="6"/>
  <c r="P19" i="6"/>
  <c r="P14" i="6"/>
  <c r="K236" i="6"/>
  <c r="J236" i="6"/>
  <c r="W129" i="11"/>
  <c r="I20" i="31"/>
  <c r="AB306" i="6"/>
  <c r="J228" i="6"/>
  <c r="K228" i="6"/>
  <c r="K255" i="6"/>
  <c r="J255" i="6"/>
  <c r="AQ290" i="10"/>
  <c r="P30" i="6"/>
  <c r="J317" i="6"/>
  <c r="K317" i="6"/>
  <c r="X162" i="6"/>
  <c r="J272" i="6"/>
  <c r="K272" i="6"/>
  <c r="X151" i="6"/>
  <c r="BH325" i="10"/>
  <c r="J315" i="6"/>
  <c r="K315" i="6"/>
  <c r="J314" i="6"/>
  <c r="K314" i="6"/>
  <c r="J319" i="6"/>
  <c r="K319" i="6"/>
  <c r="BH266" i="10"/>
  <c r="P108" i="6"/>
  <c r="X99" i="6"/>
  <c r="J241" i="6"/>
  <c r="K241" i="6"/>
  <c r="J287" i="6"/>
  <c r="K287" i="6"/>
  <c r="X146" i="6"/>
  <c r="Y160" i="11"/>
  <c r="W190" i="11"/>
  <c r="X190" i="11"/>
  <c r="K303" i="6"/>
  <c r="J303" i="6"/>
  <c r="BB232" i="10"/>
  <c r="W92" i="11"/>
  <c r="K321" i="6"/>
  <c r="J321" i="6"/>
  <c r="K267" i="6"/>
  <c r="J267" i="6"/>
  <c r="J251" i="6"/>
  <c r="K251" i="6"/>
  <c r="K293" i="6"/>
  <c r="J293" i="6"/>
  <c r="D306" i="6"/>
  <c r="J310" i="6"/>
  <c r="K310" i="6"/>
  <c r="D324" i="6"/>
  <c r="K242" i="6"/>
  <c r="J242" i="6"/>
  <c r="X39" i="6"/>
  <c r="P38" i="6"/>
  <c r="L8" i="30"/>
  <c r="L9" i="30" s="1"/>
  <c r="W118" i="11"/>
  <c r="X118" i="11"/>
  <c r="J243" i="6"/>
  <c r="K243" i="6"/>
  <c r="J316" i="6"/>
  <c r="K316" i="6"/>
  <c r="AB222" i="6"/>
  <c r="AB8" i="6" s="1"/>
  <c r="K294" i="6"/>
  <c r="J294" i="6"/>
  <c r="J271" i="6"/>
  <c r="K271" i="6"/>
  <c r="W220" i="11"/>
  <c r="X220" i="11"/>
  <c r="P139" i="6"/>
  <c r="J266" i="6"/>
  <c r="K266" i="6"/>
  <c r="P174" i="6"/>
  <c r="BH228" i="10"/>
  <c r="X195" i="6"/>
  <c r="P120" i="6"/>
  <c r="P65" i="6"/>
  <c r="W119" i="11"/>
  <c r="X119" i="11"/>
  <c r="W127" i="11"/>
  <c r="X127" i="11"/>
  <c r="K286" i="6"/>
  <c r="J286" i="6"/>
  <c r="P13" i="6"/>
  <c r="P142" i="6"/>
  <c r="P33" i="6"/>
  <c r="X20" i="6"/>
  <c r="X132" i="6"/>
  <c r="K101" i="6"/>
  <c r="J101" i="6"/>
  <c r="W101" i="6" s="1"/>
  <c r="P26" i="6"/>
  <c r="W138" i="11"/>
  <c r="K253" i="6"/>
  <c r="J253" i="6"/>
  <c r="W69" i="11"/>
  <c r="K298" i="6"/>
  <c r="J298" i="6"/>
  <c r="X192" i="6"/>
  <c r="W115" i="11"/>
  <c r="K295" i="6"/>
  <c r="J295" i="6"/>
  <c r="K313" i="6"/>
  <c r="J313" i="6"/>
  <c r="K297" i="6"/>
  <c r="J297" i="6"/>
  <c r="BH222" i="10"/>
  <c r="BH9" i="10" s="1"/>
  <c r="AQ9" i="10"/>
  <c r="X42" i="6"/>
  <c r="W113" i="11"/>
  <c r="P143" i="6"/>
  <c r="J246" i="6"/>
  <c r="K246" i="6"/>
  <c r="K209" i="6"/>
  <c r="J209" i="6"/>
  <c r="W209" i="6" s="1"/>
  <c r="P182" i="6"/>
  <c r="P17" i="6"/>
  <c r="X157" i="6"/>
  <c r="P122" i="6"/>
  <c r="K226" i="6"/>
  <c r="D231" i="6"/>
  <c r="J226" i="6"/>
  <c r="K270" i="6"/>
  <c r="J270" i="6"/>
  <c r="Y204" i="11"/>
  <c r="K279" i="6"/>
  <c r="J279" i="6"/>
  <c r="BH265" i="10"/>
  <c r="AQ276" i="10"/>
  <c r="P144" i="6"/>
  <c r="AB289" i="6"/>
  <c r="X43" i="6"/>
  <c r="P210" i="6"/>
  <c r="J247" i="6"/>
  <c r="K247" i="6"/>
  <c r="AB261" i="6"/>
  <c r="K281" i="6"/>
  <c r="J281" i="6"/>
  <c r="AB324" i="6"/>
  <c r="K252" i="6"/>
  <c r="J252" i="6"/>
  <c r="K238" i="6"/>
  <c r="J238" i="6"/>
  <c r="P102" i="6"/>
  <c r="X36" i="6"/>
  <c r="J312" i="6"/>
  <c r="K312" i="6"/>
  <c r="K250" i="6"/>
  <c r="J250" i="6"/>
  <c r="P18" i="6"/>
  <c r="Y194" i="11"/>
  <c r="K302" i="6"/>
  <c r="J302" i="6"/>
  <c r="W72" i="11"/>
  <c r="X72" i="11"/>
  <c r="P80" i="6"/>
  <c r="K278" i="6"/>
  <c r="J278" i="6"/>
  <c r="D289" i="6"/>
  <c r="J244" i="6"/>
  <c r="K244" i="6"/>
  <c r="P171" i="6"/>
  <c r="X44" i="6"/>
  <c r="T16" i="6"/>
  <c r="W52" i="11"/>
  <c r="X52" i="11"/>
  <c r="K7" i="30"/>
  <c r="W185" i="11"/>
  <c r="X175" i="6"/>
  <c r="K299" i="6"/>
  <c r="J299" i="6"/>
  <c r="K282" i="6"/>
  <c r="J282" i="6"/>
  <c r="J254" i="6"/>
  <c r="K254" i="6"/>
  <c r="AB275" i="6"/>
  <c r="W121" i="11"/>
  <c r="J280" i="6"/>
  <c r="K280" i="6"/>
  <c r="J237" i="6"/>
  <c r="K237" i="6"/>
  <c r="X133" i="11" l="1"/>
  <c r="X185" i="11"/>
  <c r="W217" i="11"/>
  <c r="X204" i="11"/>
  <c r="X92" i="11"/>
  <c r="Y58" i="11"/>
  <c r="X219" i="11"/>
  <c r="Y92" i="11"/>
  <c r="X121" i="11"/>
  <c r="X165" i="11"/>
  <c r="AB231" i="6"/>
  <c r="X129" i="11"/>
  <c r="X218" i="11"/>
  <c r="X186" i="11"/>
  <c r="X115" i="11"/>
  <c r="X211" i="11"/>
  <c r="W218" i="11"/>
  <c r="Y107" i="11"/>
  <c r="Y176" i="11"/>
  <c r="Z121" i="6"/>
  <c r="AC121" i="6" s="1"/>
  <c r="O121" i="6"/>
  <c r="S121" i="6"/>
  <c r="V121" i="6"/>
  <c r="AA121" i="11"/>
  <c r="AF121" i="11"/>
  <c r="Y89" i="11"/>
  <c r="W181" i="11"/>
  <c r="Y149" i="11"/>
  <c r="W71" i="11"/>
  <c r="Y183" i="11"/>
  <c r="Y126" i="11"/>
  <c r="X217" i="11"/>
  <c r="AA72" i="11"/>
  <c r="Y214" i="11"/>
  <c r="W89" i="11"/>
  <c r="W189" i="11"/>
  <c r="W183" i="11"/>
  <c r="T102" i="6"/>
  <c r="W46" i="11"/>
  <c r="Y74" i="11"/>
  <c r="Y161" i="11"/>
  <c r="Y135" i="11"/>
  <c r="W212" i="11"/>
  <c r="X212" i="11"/>
  <c r="Z204" i="6"/>
  <c r="AC204" i="6" s="1"/>
  <c r="O204" i="6"/>
  <c r="S204" i="6"/>
  <c r="V204" i="6"/>
  <c r="W204" i="11"/>
  <c r="T17" i="6"/>
  <c r="P209" i="6"/>
  <c r="Y113" i="11"/>
  <c r="W202" i="11"/>
  <c r="W116" i="11"/>
  <c r="W58" i="11"/>
  <c r="AF115" i="11"/>
  <c r="W199" i="11"/>
  <c r="AF199" i="11" s="1"/>
  <c r="X69" i="11"/>
  <c r="Y165" i="11"/>
  <c r="O138" i="6"/>
  <c r="S138" i="6"/>
  <c r="V138" i="6"/>
  <c r="Z138" i="6"/>
  <c r="AC138" i="6" s="1"/>
  <c r="Y64" i="11"/>
  <c r="K248" i="6"/>
  <c r="J248" i="6"/>
  <c r="Y150" i="11"/>
  <c r="AF119" i="11"/>
  <c r="Y197" i="11"/>
  <c r="Y69" i="11"/>
  <c r="Y32" i="11"/>
  <c r="W211" i="11"/>
  <c r="Y134" i="11"/>
  <c r="W193" i="11"/>
  <c r="X193" i="11"/>
  <c r="O118" i="6"/>
  <c r="S118" i="6"/>
  <c r="V118" i="6"/>
  <c r="Z118" i="6"/>
  <c r="AC118" i="6" s="1"/>
  <c r="AF118" i="11"/>
  <c r="Y114" i="11"/>
  <c r="Y137" i="11"/>
  <c r="W107" i="11"/>
  <c r="AF107" i="11" s="1"/>
  <c r="X107" i="11"/>
  <c r="K324" i="6"/>
  <c r="J324" i="6"/>
  <c r="X137" i="11"/>
  <c r="W60" i="11"/>
  <c r="W155" i="11"/>
  <c r="W85" i="11"/>
  <c r="O92" i="6"/>
  <c r="S92" i="6"/>
  <c r="V92" i="6"/>
  <c r="Z92" i="6"/>
  <c r="AC92" i="6" s="1"/>
  <c r="W165" i="11"/>
  <c r="W64" i="11"/>
  <c r="W140" i="11"/>
  <c r="X140" i="11"/>
  <c r="Y96" i="11"/>
  <c r="Y196" i="11"/>
  <c r="W147" i="11"/>
  <c r="W25" i="11"/>
  <c r="X25" i="11"/>
  <c r="Y188" i="11"/>
  <c r="T30" i="6"/>
  <c r="Y40" i="11"/>
  <c r="W68" i="11"/>
  <c r="X169" i="11"/>
  <c r="W104" i="11"/>
  <c r="X104" i="11"/>
  <c r="W105" i="11"/>
  <c r="Y138" i="11"/>
  <c r="Z219" i="6"/>
  <c r="AC219" i="6" s="1"/>
  <c r="O219" i="6"/>
  <c r="S219" i="6"/>
  <c r="V219" i="6"/>
  <c r="T22" i="6"/>
  <c r="Y218" i="11"/>
  <c r="Z51" i="6"/>
  <c r="AC51" i="6" s="1"/>
  <c r="O51" i="6"/>
  <c r="S51" i="6"/>
  <c r="V51" i="6"/>
  <c r="O218" i="6"/>
  <c r="S218" i="6"/>
  <c r="V218" i="6"/>
  <c r="Z218" i="6"/>
  <c r="AC218" i="6" s="1"/>
  <c r="Z91" i="6"/>
  <c r="AC91" i="6" s="1"/>
  <c r="O91" i="6"/>
  <c r="S91" i="6"/>
  <c r="V91" i="6"/>
  <c r="W96" i="11"/>
  <c r="X96" i="11"/>
  <c r="T23" i="6"/>
  <c r="J229" i="6"/>
  <c r="K229" i="6"/>
  <c r="Y95" i="11"/>
  <c r="Y66" i="11"/>
  <c r="W93" i="11"/>
  <c r="K275" i="6"/>
  <c r="J275" i="6"/>
  <c r="V113" i="6"/>
  <c r="O113" i="6"/>
  <c r="S113" i="6"/>
  <c r="Z113" i="6"/>
  <c r="AC113" i="6" s="1"/>
  <c r="Y83" i="11"/>
  <c r="Y110" i="11"/>
  <c r="W131" i="11"/>
  <c r="X131" i="11"/>
  <c r="W141" i="11"/>
  <c r="Y136" i="11"/>
  <c r="Y46" i="11"/>
  <c r="Y130" i="11"/>
  <c r="W123" i="11"/>
  <c r="Y199" i="11"/>
  <c r="W32" i="11"/>
  <c r="Z185" i="6"/>
  <c r="AC185" i="6" s="1"/>
  <c r="O185" i="6"/>
  <c r="S185" i="6"/>
  <c r="V185" i="6"/>
  <c r="Y68" i="11"/>
  <c r="Y175" i="11"/>
  <c r="W95" i="11"/>
  <c r="T80" i="6"/>
  <c r="Y207" i="11"/>
  <c r="Y219" i="11"/>
  <c r="W135" i="11"/>
  <c r="W34" i="11"/>
  <c r="Y94" i="11"/>
  <c r="W109" i="11"/>
  <c r="W180" i="11"/>
  <c r="Y156" i="11"/>
  <c r="BH276" i="10"/>
  <c r="Y60" i="11"/>
  <c r="Y72" i="11"/>
  <c r="W82" i="11"/>
  <c r="Y75" i="11"/>
  <c r="AF113" i="11"/>
  <c r="Y105" i="11"/>
  <c r="Y185" i="11"/>
  <c r="BM9" i="10"/>
  <c r="AW9" i="10"/>
  <c r="Y179" i="11"/>
  <c r="Y211" i="11"/>
  <c r="Y112" i="11"/>
  <c r="W194" i="11"/>
  <c r="W98" i="11"/>
  <c r="X98" i="11"/>
  <c r="Z115" i="6"/>
  <c r="AC115" i="6" s="1"/>
  <c r="O115" i="6"/>
  <c r="S115" i="6"/>
  <c r="V115" i="6"/>
  <c r="Y71" i="11"/>
  <c r="T142" i="6"/>
  <c r="Y159" i="11"/>
  <c r="O127" i="6"/>
  <c r="S127" i="6"/>
  <c r="V127" i="6"/>
  <c r="Z127" i="6"/>
  <c r="AC127" i="6" s="1"/>
  <c r="W161" i="11"/>
  <c r="Z119" i="6"/>
  <c r="AC119" i="6" s="1"/>
  <c r="O119" i="6"/>
  <c r="S119" i="6"/>
  <c r="V119" i="6"/>
  <c r="W75" i="11"/>
  <c r="Y202" i="11"/>
  <c r="Z220" i="6"/>
  <c r="AC220" i="6" s="1"/>
  <c r="O220" i="6"/>
  <c r="S220" i="6"/>
  <c r="V220" i="6"/>
  <c r="AF220" i="11"/>
  <c r="AA220" i="11"/>
  <c r="Y212" i="11"/>
  <c r="W114" i="11"/>
  <c r="X114" i="11"/>
  <c r="W67" i="11"/>
  <c r="T38" i="6"/>
  <c r="Y198" i="11"/>
  <c r="AF190" i="11"/>
  <c r="K8" i="30"/>
  <c r="Y118" i="11"/>
  <c r="Y52" i="11"/>
  <c r="W70" i="11"/>
  <c r="X70" i="11"/>
  <c r="W134" i="11"/>
  <c r="Y124" i="11"/>
  <c r="O25" i="6"/>
  <c r="S25" i="6"/>
  <c r="V25" i="6"/>
  <c r="Z25" i="6"/>
  <c r="AC25" i="6" s="1"/>
  <c r="W77" i="11"/>
  <c r="Z129" i="6"/>
  <c r="AC129" i="6" s="1"/>
  <c r="O129" i="6"/>
  <c r="S129" i="6"/>
  <c r="V129" i="6"/>
  <c r="AF129" i="11"/>
  <c r="Y133" i="11"/>
  <c r="O169" i="6"/>
  <c r="S169" i="6"/>
  <c r="V169" i="6"/>
  <c r="Z169" i="6"/>
  <c r="AC169" i="6" s="1"/>
  <c r="W154" i="11"/>
  <c r="T56" i="6"/>
  <c r="D8" i="6"/>
  <c r="J222" i="6"/>
  <c r="J8" i="6" s="1"/>
  <c r="X105" i="11"/>
  <c r="W219" i="11"/>
  <c r="W47" i="11"/>
  <c r="X47" i="11"/>
  <c r="Y84" i="11"/>
  <c r="Y82" i="11"/>
  <c r="AF218" i="11"/>
  <c r="N9" i="30"/>
  <c r="T55" i="6"/>
  <c r="X91" i="11"/>
  <c r="Y53" i="11"/>
  <c r="W187" i="11"/>
  <c r="Y131" i="11"/>
  <c r="Y29" i="11"/>
  <c r="Y109" i="11"/>
  <c r="Y90" i="11"/>
  <c r="Y216" i="11"/>
  <c r="Y129" i="11"/>
  <c r="Y76" i="11"/>
  <c r="W86" i="11"/>
  <c r="O205" i="6"/>
  <c r="S205" i="6"/>
  <c r="V205" i="6"/>
  <c r="Z205" i="6"/>
  <c r="AC205" i="6" s="1"/>
  <c r="D261" i="6"/>
  <c r="W215" i="11"/>
  <c r="Y73" i="11"/>
  <c r="Y200" i="11"/>
  <c r="Y155" i="11"/>
  <c r="W53" i="11"/>
  <c r="X53" i="11"/>
  <c r="Y34" i="11"/>
  <c r="W158" i="11"/>
  <c r="X113" i="11"/>
  <c r="Y106" i="11"/>
  <c r="W206" i="11"/>
  <c r="X206" i="11"/>
  <c r="Y187" i="11"/>
  <c r="W203" i="11"/>
  <c r="AF203" i="11" s="1"/>
  <c r="Y86" i="11"/>
  <c r="Y88" i="11"/>
  <c r="Z76" i="6"/>
  <c r="AC76" i="6" s="1"/>
  <c r="O76" i="6"/>
  <c r="S76" i="6"/>
  <c r="V76" i="6"/>
  <c r="W76" i="11"/>
  <c r="K5" i="6"/>
  <c r="W45" i="11"/>
  <c r="X45" i="11"/>
  <c r="W214" i="11"/>
  <c r="W124" i="11"/>
  <c r="X124" i="11"/>
  <c r="Y91" i="11"/>
  <c r="Y190" i="11"/>
  <c r="W166" i="11"/>
  <c r="Y61" i="11"/>
  <c r="W188" i="11"/>
  <c r="W97" i="11"/>
  <c r="W57" i="11"/>
  <c r="Y215" i="11"/>
  <c r="W106" i="11"/>
  <c r="AF185" i="11"/>
  <c r="AA52" i="11"/>
  <c r="W49" i="11"/>
  <c r="Y85" i="11"/>
  <c r="K289" i="6"/>
  <c r="J289" i="6"/>
  <c r="Z72" i="6"/>
  <c r="AC72" i="6" s="1"/>
  <c r="O72" i="6"/>
  <c r="S72" i="6"/>
  <c r="V72" i="6"/>
  <c r="Y217" i="11"/>
  <c r="W111" i="11"/>
  <c r="W117" i="11"/>
  <c r="T18" i="6"/>
  <c r="W110" i="11"/>
  <c r="Y205" i="11"/>
  <c r="T144" i="6"/>
  <c r="W90" i="11"/>
  <c r="Y59" i="11"/>
  <c r="K231" i="6"/>
  <c r="J231" i="6"/>
  <c r="T122" i="6"/>
  <c r="Y168" i="11"/>
  <c r="W35" i="11"/>
  <c r="X35" i="11"/>
  <c r="K257" i="6"/>
  <c r="J257" i="6"/>
  <c r="W173" i="11"/>
  <c r="X173" i="11"/>
  <c r="AA69" i="11"/>
  <c r="K227" i="6"/>
  <c r="J227" i="6"/>
  <c r="AF138" i="11"/>
  <c r="T26" i="6"/>
  <c r="P101" i="6"/>
  <c r="T33" i="6"/>
  <c r="T13" i="6"/>
  <c r="Y93" i="11"/>
  <c r="T139" i="6"/>
  <c r="W125" i="11"/>
  <c r="Y125" i="11"/>
  <c r="Y79" i="11"/>
  <c r="Y127" i="11"/>
  <c r="Y153" i="11"/>
  <c r="Z190" i="6"/>
  <c r="AC190" i="6" s="1"/>
  <c r="O190" i="6"/>
  <c r="S190" i="6"/>
  <c r="V190" i="6"/>
  <c r="Y206" i="11"/>
  <c r="W163" i="11"/>
  <c r="Z165" i="6"/>
  <c r="AC165" i="6" s="1"/>
  <c r="O165" i="6"/>
  <c r="S165" i="6"/>
  <c r="V165" i="6"/>
  <c r="T108" i="6"/>
  <c r="W150" i="11"/>
  <c r="W177" i="11"/>
  <c r="W50" i="11"/>
  <c r="Y163" i="11"/>
  <c r="Y119" i="11"/>
  <c r="Y50" i="11"/>
  <c r="Y116" i="11"/>
  <c r="W201" i="11"/>
  <c r="T100" i="6"/>
  <c r="Y203" i="11"/>
  <c r="Y184" i="11"/>
  <c r="W168" i="11"/>
  <c r="X168" i="11"/>
  <c r="T21" i="6"/>
  <c r="Y111" i="11"/>
  <c r="Y115" i="11"/>
  <c r="T27" i="6"/>
  <c r="Z105" i="6"/>
  <c r="AC105" i="6" s="1"/>
  <c r="O105" i="6"/>
  <c r="S105" i="6"/>
  <c r="V105" i="6"/>
  <c r="W179" i="11"/>
  <c r="Y140" i="11"/>
  <c r="W170" i="11"/>
  <c r="Y152" i="11"/>
  <c r="T31" i="6"/>
  <c r="W51" i="11"/>
  <c r="T15" i="6"/>
  <c r="W197" i="11"/>
  <c r="Y121" i="11"/>
  <c r="Y98" i="11"/>
  <c r="Y63" i="11"/>
  <c r="X205" i="11"/>
  <c r="J265" i="6"/>
  <c r="K265" i="6"/>
  <c r="W126" i="11"/>
  <c r="T41" i="6"/>
  <c r="O158" i="6"/>
  <c r="S158" i="6"/>
  <c r="V158" i="6"/>
  <c r="Z158" i="6"/>
  <c r="AC158" i="6" s="1"/>
  <c r="Y77" i="11"/>
  <c r="Y123" i="11"/>
  <c r="W29" i="11"/>
  <c r="X29" i="11"/>
  <c r="T62" i="6"/>
  <c r="W83" i="11"/>
  <c r="Z203" i="6"/>
  <c r="AC203" i="6" s="1"/>
  <c r="O203" i="6"/>
  <c r="S203" i="6"/>
  <c r="V203" i="6"/>
  <c r="Y28" i="11"/>
  <c r="W186" i="11"/>
  <c r="W79" i="11"/>
  <c r="X76" i="11"/>
  <c r="T12" i="6"/>
  <c r="Y178" i="11"/>
  <c r="W133" i="11"/>
  <c r="AF133" i="11" s="1"/>
  <c r="W112" i="11"/>
  <c r="W63" i="11"/>
  <c r="W208" i="11"/>
  <c r="Y177" i="11"/>
  <c r="Y147" i="11"/>
  <c r="Y35" i="11"/>
  <c r="Z52" i="6"/>
  <c r="AC52" i="6" s="1"/>
  <c r="O52" i="6"/>
  <c r="S52" i="6"/>
  <c r="V52" i="6"/>
  <c r="X16" i="6"/>
  <c r="T171" i="6"/>
  <c r="Z217" i="6"/>
  <c r="AC217" i="6" s="1"/>
  <c r="O217" i="6"/>
  <c r="S217" i="6"/>
  <c r="V217" i="6"/>
  <c r="AA217" i="11"/>
  <c r="Y141" i="11"/>
  <c r="W87" i="11"/>
  <c r="Y117" i="11"/>
  <c r="W59" i="11"/>
  <c r="Y104" i="11"/>
  <c r="Y67" i="11"/>
  <c r="Y166" i="11"/>
  <c r="Y169" i="11"/>
  <c r="T210" i="6"/>
  <c r="Y180" i="11"/>
  <c r="W28" i="11"/>
  <c r="Y70" i="11"/>
  <c r="T182" i="6"/>
  <c r="T143" i="6"/>
  <c r="W159" i="11"/>
  <c r="W94" i="11"/>
  <c r="X94" i="11"/>
  <c r="O69" i="6"/>
  <c r="S69" i="6"/>
  <c r="V69" i="6"/>
  <c r="Z69" i="6"/>
  <c r="AC69" i="6" s="1"/>
  <c r="X138" i="11"/>
  <c r="W153" i="11"/>
  <c r="W148" i="11"/>
  <c r="X148" i="11"/>
  <c r="Y193" i="11"/>
  <c r="AF127" i="11"/>
  <c r="T65" i="6"/>
  <c r="T120" i="6"/>
  <c r="T174" i="6"/>
  <c r="O211" i="6"/>
  <c r="S211" i="6"/>
  <c r="V211" i="6"/>
  <c r="Z211" i="6"/>
  <c r="AC211" i="6" s="1"/>
  <c r="Y208" i="11"/>
  <c r="Y25" i="11"/>
  <c r="W66" i="11"/>
  <c r="W160" i="11"/>
  <c r="W156" i="11"/>
  <c r="Y181" i="11"/>
  <c r="J306" i="6"/>
  <c r="K306" i="6"/>
  <c r="Y87" i="11"/>
  <c r="Y47" i="11"/>
  <c r="Y57" i="11"/>
  <c r="W149" i="11"/>
  <c r="Z137" i="6"/>
  <c r="AC137" i="6" s="1"/>
  <c r="O137" i="6"/>
  <c r="S137" i="6"/>
  <c r="V137" i="6"/>
  <c r="W137" i="11"/>
  <c r="Y49" i="11"/>
  <c r="AF92" i="11"/>
  <c r="Y54" i="11"/>
  <c r="W191" i="11"/>
  <c r="Y201" i="11"/>
  <c r="W61" i="11"/>
  <c r="W54" i="11"/>
  <c r="X54" i="11"/>
  <c r="W84" i="11"/>
  <c r="X84" i="11"/>
  <c r="Y148" i="11"/>
  <c r="W73" i="11"/>
  <c r="Y170" i="11"/>
  <c r="W74" i="11"/>
  <c r="BH290" i="10"/>
  <c r="Y51" i="11"/>
  <c r="W200" i="11"/>
  <c r="X200" i="11"/>
  <c r="T14" i="6"/>
  <c r="T19" i="6"/>
  <c r="W169" i="11"/>
  <c r="Y173" i="11"/>
  <c r="W196" i="11"/>
  <c r="W178" i="11"/>
  <c r="V83" i="6"/>
  <c r="O83" i="6"/>
  <c r="S83" i="6"/>
  <c r="Z83" i="6"/>
  <c r="AC83" i="6" s="1"/>
  <c r="T128" i="6"/>
  <c r="T81" i="6"/>
  <c r="Y158" i="11"/>
  <c r="Y220" i="11"/>
  <c r="W216" i="11"/>
  <c r="Y97" i="11"/>
  <c r="T172" i="6"/>
  <c r="AF91" i="11"/>
  <c r="Y191" i="11"/>
  <c r="T78" i="6"/>
  <c r="J296" i="6"/>
  <c r="K296" i="6"/>
  <c r="W176" i="11"/>
  <c r="W205" i="11"/>
  <c r="T24" i="6"/>
  <c r="W136" i="11"/>
  <c r="X136" i="11"/>
  <c r="L10" i="30"/>
  <c r="Y186" i="11"/>
  <c r="W88" i="11"/>
  <c r="O186" i="6"/>
  <c r="S186" i="6"/>
  <c r="V186" i="6"/>
  <c r="Z186" i="6"/>
  <c r="AC186" i="6" s="1"/>
  <c r="W207" i="11"/>
  <c r="K4" i="6"/>
  <c r="F35" i="4" s="1"/>
  <c r="Y154" i="11"/>
  <c r="Y189" i="11"/>
  <c r="Z133" i="6"/>
  <c r="AC133" i="6" s="1"/>
  <c r="O133" i="6"/>
  <c r="S133" i="6"/>
  <c r="V133" i="6"/>
  <c r="K283" i="6"/>
  <c r="J283" i="6"/>
  <c r="W40" i="11"/>
  <c r="W152" i="11"/>
  <c r="X152" i="11"/>
  <c r="W130" i="11"/>
  <c r="X130" i="11"/>
  <c r="T213" i="6"/>
  <c r="X196" i="11" l="1"/>
  <c r="X61" i="11"/>
  <c r="X106" i="11"/>
  <c r="X64" i="11"/>
  <c r="X202" i="11"/>
  <c r="X59" i="11"/>
  <c r="X112" i="11"/>
  <c r="X74" i="11"/>
  <c r="X156" i="11"/>
  <c r="X88" i="11"/>
  <c r="X50" i="11"/>
  <c r="X187" i="11"/>
  <c r="X75" i="11"/>
  <c r="X82" i="11"/>
  <c r="X135" i="11"/>
  <c r="X85" i="11"/>
  <c r="X58" i="11"/>
  <c r="X116" i="11"/>
  <c r="X73" i="11"/>
  <c r="X160" i="11"/>
  <c r="X208" i="11"/>
  <c r="X188" i="11"/>
  <c r="X154" i="11"/>
  <c r="X40" i="11"/>
  <c r="X32" i="11"/>
  <c r="X150" i="11"/>
  <c r="X97" i="11"/>
  <c r="X46" i="11"/>
  <c r="X183" i="11"/>
  <c r="X189" i="11"/>
  <c r="AA207" i="11"/>
  <c r="AF207" i="11"/>
  <c r="AF40" i="11"/>
  <c r="AA40" i="11"/>
  <c r="AF133" i="6"/>
  <c r="AD133" i="6"/>
  <c r="AF186" i="6"/>
  <c r="AD186" i="6"/>
  <c r="AF88" i="11"/>
  <c r="X81" i="6"/>
  <c r="O178" i="6"/>
  <c r="S178" i="6"/>
  <c r="V178" i="6"/>
  <c r="Z178" i="6"/>
  <c r="AC178" i="6" s="1"/>
  <c r="AF196" i="11"/>
  <c r="Y20" i="11"/>
  <c r="AA200" i="11"/>
  <c r="AF200" i="11"/>
  <c r="O74" i="6"/>
  <c r="S74" i="6"/>
  <c r="V74" i="6"/>
  <c r="Z74" i="6"/>
  <c r="AC74" i="6" s="1"/>
  <c r="AF74" i="11"/>
  <c r="AA74" i="11"/>
  <c r="Z73" i="6"/>
  <c r="AC73" i="6" s="1"/>
  <c r="O73" i="6"/>
  <c r="S73" i="6"/>
  <c r="V73" i="6"/>
  <c r="AA84" i="11"/>
  <c r="AF84" i="11"/>
  <c r="AA54" i="11"/>
  <c r="AF54" i="11"/>
  <c r="X191" i="11"/>
  <c r="X149" i="11"/>
  <c r="X174" i="6"/>
  <c r="X65" i="6"/>
  <c r="AA148" i="11"/>
  <c r="AF148" i="11"/>
  <c r="AA153" i="11"/>
  <c r="AF153" i="11"/>
  <c r="AD69" i="6"/>
  <c r="AF69" i="6"/>
  <c r="O94" i="6"/>
  <c r="S94" i="6"/>
  <c r="V94" i="6"/>
  <c r="Z94" i="6"/>
  <c r="AC94" i="6" s="1"/>
  <c r="AA159" i="11"/>
  <c r="AF159" i="11"/>
  <c r="Y37" i="11"/>
  <c r="Z59" i="6"/>
  <c r="AC59" i="6" s="1"/>
  <c r="O59" i="6"/>
  <c r="S59" i="6"/>
  <c r="V59" i="6"/>
  <c r="Z87" i="6"/>
  <c r="AC87" i="6" s="1"/>
  <c r="O87" i="6"/>
  <c r="S87" i="6"/>
  <c r="V87" i="6"/>
  <c r="AF217" i="6"/>
  <c r="AD217" i="6"/>
  <c r="X171" i="6"/>
  <c r="Y103" i="11"/>
  <c r="O208" i="6"/>
  <c r="S208" i="6"/>
  <c r="V208" i="6"/>
  <c r="Z208" i="6"/>
  <c r="AC208" i="6" s="1"/>
  <c r="X63" i="11"/>
  <c r="Y145" i="11"/>
  <c r="Z79" i="6"/>
  <c r="AC79" i="6" s="1"/>
  <c r="O79" i="6"/>
  <c r="S79" i="6"/>
  <c r="V79" i="6"/>
  <c r="AF186" i="11"/>
  <c r="O29" i="6"/>
  <c r="S29" i="6"/>
  <c r="V29" i="6"/>
  <c r="Z29" i="6"/>
  <c r="AC29" i="6" s="1"/>
  <c r="AA126" i="11"/>
  <c r="AF126" i="11"/>
  <c r="Z197" i="6"/>
  <c r="AC197" i="6" s="1"/>
  <c r="O197" i="6"/>
  <c r="S197" i="6"/>
  <c r="V197" i="6"/>
  <c r="X15" i="6"/>
  <c r="AF179" i="11"/>
  <c r="AA179" i="11"/>
  <c r="Z184" i="6"/>
  <c r="AC184" i="6" s="1"/>
  <c r="O184" i="6"/>
  <c r="S184" i="6"/>
  <c r="V184" i="6"/>
  <c r="AD105" i="6"/>
  <c r="AF105" i="6"/>
  <c r="X27" i="6"/>
  <c r="AF168" i="11"/>
  <c r="AA168" i="11"/>
  <c r="AF201" i="11"/>
  <c r="AA201" i="11"/>
  <c r="Y132" i="11"/>
  <c r="AA177" i="11"/>
  <c r="AF177" i="11"/>
  <c r="AA163" i="11"/>
  <c r="AF163" i="11"/>
  <c r="Z173" i="6"/>
  <c r="AC173" i="6" s="1"/>
  <c r="O173" i="6"/>
  <c r="S173" i="6"/>
  <c r="V173" i="6"/>
  <c r="Z35" i="6"/>
  <c r="AC35" i="6" s="1"/>
  <c r="O35" i="6"/>
  <c r="S35" i="6"/>
  <c r="V35" i="6"/>
  <c r="O90" i="6"/>
  <c r="S90" i="6"/>
  <c r="V90" i="6"/>
  <c r="Z90" i="6"/>
  <c r="AC90" i="6" s="1"/>
  <c r="X18" i="6"/>
  <c r="AA111" i="11"/>
  <c r="AF111" i="11"/>
  <c r="AF72" i="6"/>
  <c r="AD72" i="6"/>
  <c r="O97" i="6"/>
  <c r="S97" i="6"/>
  <c r="V97" i="6"/>
  <c r="Z97" i="6"/>
  <c r="AC97" i="6" s="1"/>
  <c r="Z188" i="6"/>
  <c r="AC188" i="6" s="1"/>
  <c r="O188" i="6"/>
  <c r="S188" i="6"/>
  <c r="V188" i="6"/>
  <c r="AF166" i="11"/>
  <c r="AF214" i="11"/>
  <c r="O45" i="6"/>
  <c r="S45" i="6"/>
  <c r="V45" i="6"/>
  <c r="Z45" i="6"/>
  <c r="AC45" i="6" s="1"/>
  <c r="O206" i="6"/>
  <c r="S206" i="6"/>
  <c r="V206" i="6"/>
  <c r="Z206" i="6"/>
  <c r="AC206" i="6" s="1"/>
  <c r="AF158" i="11"/>
  <c r="O215" i="6"/>
  <c r="S215" i="6"/>
  <c r="V215" i="6"/>
  <c r="Z215" i="6"/>
  <c r="AC215" i="6" s="1"/>
  <c r="AF215" i="11"/>
  <c r="AA215" i="11"/>
  <c r="AF205" i="6"/>
  <c r="AD205" i="6"/>
  <c r="O86" i="6"/>
  <c r="S86" i="6"/>
  <c r="V86" i="6"/>
  <c r="Z86" i="6"/>
  <c r="AC86" i="6" s="1"/>
  <c r="AF86" i="11"/>
  <c r="AF47" i="11"/>
  <c r="AA47" i="11"/>
  <c r="AA219" i="11"/>
  <c r="AF219" i="11"/>
  <c r="E8" i="6"/>
  <c r="K222" i="6"/>
  <c r="K8" i="6" s="1"/>
  <c r="O154" i="6"/>
  <c r="S154" i="6"/>
  <c r="V154" i="6"/>
  <c r="Z154" i="6"/>
  <c r="AC154" i="6" s="1"/>
  <c r="AF169" i="6"/>
  <c r="AD169" i="6"/>
  <c r="O77" i="6"/>
  <c r="S77" i="6"/>
  <c r="V77" i="6"/>
  <c r="Z77" i="6"/>
  <c r="AC77" i="6" s="1"/>
  <c r="Y44" i="11"/>
  <c r="W37" i="11"/>
  <c r="X134" i="11"/>
  <c r="X38" i="6"/>
  <c r="O114" i="6"/>
  <c r="S114" i="6"/>
  <c r="V114" i="6"/>
  <c r="Z114" i="6"/>
  <c r="AC114" i="6" s="1"/>
  <c r="AF114" i="11"/>
  <c r="AA114" i="11"/>
  <c r="Z75" i="6"/>
  <c r="AC75" i="6" s="1"/>
  <c r="O75" i="6"/>
  <c r="S75" i="6"/>
  <c r="V75" i="6"/>
  <c r="AF194" i="11"/>
  <c r="Z82" i="6"/>
  <c r="AC82" i="6" s="1"/>
  <c r="O82" i="6"/>
  <c r="S82" i="6"/>
  <c r="V82" i="6"/>
  <c r="X180" i="11"/>
  <c r="AA109" i="11"/>
  <c r="AF109" i="11"/>
  <c r="X34" i="11"/>
  <c r="K9" i="30"/>
  <c r="X95" i="11"/>
  <c r="O32" i="6"/>
  <c r="S32" i="6"/>
  <c r="V32" i="6"/>
  <c r="Z32" i="6"/>
  <c r="AC32" i="6" s="1"/>
  <c r="AA32" i="11"/>
  <c r="AF32" i="11"/>
  <c r="Y39" i="11"/>
  <c r="AA141" i="11"/>
  <c r="AF141" i="11"/>
  <c r="Y192" i="11"/>
  <c r="X93" i="11"/>
  <c r="AA96" i="11"/>
  <c r="X22" i="6"/>
  <c r="AF105" i="11"/>
  <c r="O104" i="6"/>
  <c r="S104" i="6"/>
  <c r="V104" i="6"/>
  <c r="Z104" i="6"/>
  <c r="AC104" i="6" s="1"/>
  <c r="O68" i="6"/>
  <c r="S68" i="6"/>
  <c r="V68" i="6"/>
  <c r="Z68" i="6"/>
  <c r="AC68" i="6" s="1"/>
  <c r="AF25" i="11"/>
  <c r="AA25" i="11"/>
  <c r="X147" i="11"/>
  <c r="AF140" i="11"/>
  <c r="AA140" i="11"/>
  <c r="AA64" i="11"/>
  <c r="AF64" i="11"/>
  <c r="AA165" i="11"/>
  <c r="AA85" i="11"/>
  <c r="O155" i="6"/>
  <c r="S155" i="6"/>
  <c r="V155" i="6"/>
  <c r="Z155" i="6"/>
  <c r="AC155" i="6" s="1"/>
  <c r="Y162" i="11"/>
  <c r="Z116" i="6"/>
  <c r="AC116" i="6" s="1"/>
  <c r="O116" i="6"/>
  <c r="S116" i="6"/>
  <c r="V116" i="6"/>
  <c r="Z212" i="6"/>
  <c r="AC212" i="6" s="1"/>
  <c r="O212" i="6"/>
  <c r="S212" i="6"/>
  <c r="V212" i="6"/>
  <c r="Z46" i="6"/>
  <c r="AC46" i="6" s="1"/>
  <c r="O46" i="6"/>
  <c r="S46" i="6"/>
  <c r="V46" i="6"/>
  <c r="O89" i="6"/>
  <c r="S89" i="6"/>
  <c r="V89" i="6"/>
  <c r="Z89" i="6"/>
  <c r="AC89" i="6" s="1"/>
  <c r="AF89" i="11"/>
  <c r="AA89" i="11"/>
  <c r="O71" i="6"/>
  <c r="S71" i="6"/>
  <c r="V71" i="6"/>
  <c r="Z71" i="6"/>
  <c r="AC71" i="6" s="1"/>
  <c r="X207" i="11"/>
  <c r="AF136" i="11"/>
  <c r="AA136" i="11"/>
  <c r="X24" i="6"/>
  <c r="AF205" i="11"/>
  <c r="O176" i="6"/>
  <c r="S176" i="6"/>
  <c r="V176" i="6"/>
  <c r="Z176" i="6"/>
  <c r="AC176" i="6" s="1"/>
  <c r="AF176" i="11"/>
  <c r="AA176" i="11"/>
  <c r="X78" i="6"/>
  <c r="Z216" i="6"/>
  <c r="AC216" i="6" s="1"/>
  <c r="O216" i="6"/>
  <c r="S216" i="6"/>
  <c r="V216" i="6"/>
  <c r="X178" i="11"/>
  <c r="AA169" i="11"/>
  <c r="Z200" i="6"/>
  <c r="AC200" i="6" s="1"/>
  <c r="O200" i="6"/>
  <c r="S200" i="6"/>
  <c r="V200" i="6"/>
  <c r="AF73" i="11"/>
  <c r="AA73" i="11"/>
  <c r="Z54" i="6"/>
  <c r="AC54" i="6" s="1"/>
  <c r="O54" i="6"/>
  <c r="S54" i="6"/>
  <c r="V54" i="6"/>
  <c r="Z191" i="6"/>
  <c r="AC191" i="6" s="1"/>
  <c r="O191" i="6"/>
  <c r="S191" i="6"/>
  <c r="V191" i="6"/>
  <c r="W146" i="11"/>
  <c r="X146" i="11"/>
  <c r="W39" i="11"/>
  <c r="AA156" i="11"/>
  <c r="AF156" i="11"/>
  <c r="AA66" i="11"/>
  <c r="AF66" i="11"/>
  <c r="Z148" i="6"/>
  <c r="AC148" i="6" s="1"/>
  <c r="O148" i="6"/>
  <c r="S148" i="6"/>
  <c r="V148" i="6"/>
  <c r="O153" i="6"/>
  <c r="S153" i="6"/>
  <c r="V153" i="6"/>
  <c r="Z153" i="6"/>
  <c r="AC153" i="6" s="1"/>
  <c r="AF94" i="11"/>
  <c r="AA94" i="11"/>
  <c r="Z159" i="6"/>
  <c r="AC159" i="6" s="1"/>
  <c r="O159" i="6"/>
  <c r="S159" i="6"/>
  <c r="V159" i="6"/>
  <c r="O28" i="6"/>
  <c r="S28" i="6"/>
  <c r="V28" i="6"/>
  <c r="Z28" i="6"/>
  <c r="AC28" i="6" s="1"/>
  <c r="X210" i="6"/>
  <c r="X87" i="11"/>
  <c r="Z63" i="6"/>
  <c r="AC63" i="6" s="1"/>
  <c r="O63" i="6"/>
  <c r="S63" i="6"/>
  <c r="V63" i="6"/>
  <c r="AA112" i="11"/>
  <c r="X79" i="11"/>
  <c r="AF203" i="6"/>
  <c r="AD203" i="6"/>
  <c r="X62" i="6"/>
  <c r="Y167" i="11"/>
  <c r="X197" i="11"/>
  <c r="X31" i="6"/>
  <c r="O170" i="6"/>
  <c r="S170" i="6"/>
  <c r="V170" i="6"/>
  <c r="Z170" i="6"/>
  <c r="AC170" i="6" s="1"/>
  <c r="X21" i="6"/>
  <c r="O168" i="6"/>
  <c r="S168" i="6"/>
  <c r="V168" i="6"/>
  <c r="Z168" i="6"/>
  <c r="AC168" i="6" s="1"/>
  <c r="Z201" i="6"/>
  <c r="AC201" i="6" s="1"/>
  <c r="O201" i="6"/>
  <c r="S201" i="6"/>
  <c r="V201" i="6"/>
  <c r="Z50" i="6"/>
  <c r="AC50" i="6" s="1"/>
  <c r="O50" i="6"/>
  <c r="S50" i="6"/>
  <c r="V50" i="6"/>
  <c r="Z150" i="6"/>
  <c r="AC150" i="6" s="1"/>
  <c r="O150" i="6"/>
  <c r="S150" i="6"/>
  <c r="V150" i="6"/>
  <c r="AF165" i="6"/>
  <c r="AD165" i="6"/>
  <c r="X26" i="6"/>
  <c r="W103" i="11"/>
  <c r="X90" i="11"/>
  <c r="X110" i="11"/>
  <c r="Z117" i="6"/>
  <c r="AC117" i="6" s="1"/>
  <c r="O117" i="6"/>
  <c r="S117" i="6"/>
  <c r="V117" i="6"/>
  <c r="O49" i="6"/>
  <c r="S49" i="6"/>
  <c r="V49" i="6"/>
  <c r="Z49" i="6"/>
  <c r="AC49" i="6" s="1"/>
  <c r="AA57" i="11"/>
  <c r="AF57" i="11"/>
  <c r="AA124" i="11"/>
  <c r="AF124" i="11"/>
  <c r="AF45" i="11"/>
  <c r="AA76" i="11"/>
  <c r="AF76" i="6"/>
  <c r="AD76" i="6"/>
  <c r="X215" i="11"/>
  <c r="K261" i="6"/>
  <c r="J261" i="6"/>
  <c r="X86" i="11"/>
  <c r="X55" i="6"/>
  <c r="O47" i="6"/>
  <c r="S47" i="6"/>
  <c r="V47" i="6"/>
  <c r="Z47" i="6"/>
  <c r="AC47" i="6" s="1"/>
  <c r="X56" i="6"/>
  <c r="AA77" i="11"/>
  <c r="AF77" i="11"/>
  <c r="Y99" i="11"/>
  <c r="AF134" i="11"/>
  <c r="AA134" i="11"/>
  <c r="Z70" i="6"/>
  <c r="AC70" i="6" s="1"/>
  <c r="O70" i="6"/>
  <c r="S70" i="6"/>
  <c r="V70" i="6"/>
  <c r="X67" i="11"/>
  <c r="AF220" i="6"/>
  <c r="AD220" i="6"/>
  <c r="Y36" i="11"/>
  <c r="AD119" i="6"/>
  <c r="AF119" i="6"/>
  <c r="O161" i="6"/>
  <c r="S161" i="6"/>
  <c r="V161" i="6"/>
  <c r="Z161" i="6"/>
  <c r="AC161" i="6" s="1"/>
  <c r="AF161" i="11"/>
  <c r="AF115" i="6"/>
  <c r="AD115" i="6"/>
  <c r="O194" i="6"/>
  <c r="S194" i="6"/>
  <c r="V194" i="6"/>
  <c r="Z194" i="6"/>
  <c r="AC194" i="6" s="1"/>
  <c r="Z180" i="6"/>
  <c r="AC180" i="6" s="1"/>
  <c r="O180" i="6"/>
  <c r="S180" i="6"/>
  <c r="V180" i="6"/>
  <c r="Z109" i="6"/>
  <c r="AC109" i="6" s="1"/>
  <c r="O109" i="6"/>
  <c r="S109" i="6"/>
  <c r="V109" i="6"/>
  <c r="Z34" i="6"/>
  <c r="AC34" i="6" s="1"/>
  <c r="O34" i="6"/>
  <c r="S34" i="6"/>
  <c r="V34" i="6"/>
  <c r="AA135" i="11"/>
  <c r="AF135" i="11"/>
  <c r="X80" i="6"/>
  <c r="O95" i="6"/>
  <c r="S95" i="6"/>
  <c r="V95" i="6"/>
  <c r="Z95" i="6"/>
  <c r="AC95" i="6" s="1"/>
  <c r="X123" i="11"/>
  <c r="W198" i="11"/>
  <c r="Y48" i="11"/>
  <c r="Z141" i="6"/>
  <c r="AC141" i="6" s="1"/>
  <c r="O141" i="6"/>
  <c r="S141" i="6"/>
  <c r="V141" i="6"/>
  <c r="AF131" i="11"/>
  <c r="AA131" i="11"/>
  <c r="Z93" i="6"/>
  <c r="AC93" i="6" s="1"/>
  <c r="O93" i="6"/>
  <c r="S93" i="6"/>
  <c r="V93" i="6"/>
  <c r="O96" i="6"/>
  <c r="S96" i="6"/>
  <c r="V96" i="6"/>
  <c r="Z96" i="6"/>
  <c r="AC96" i="6" s="1"/>
  <c r="AF91" i="6"/>
  <c r="AD91" i="6"/>
  <c r="X68" i="11"/>
  <c r="Z140" i="6"/>
  <c r="AC140" i="6" s="1"/>
  <c r="O140" i="6"/>
  <c r="S140" i="6"/>
  <c r="V140" i="6"/>
  <c r="O85" i="6"/>
  <c r="S85" i="6"/>
  <c r="V85" i="6"/>
  <c r="Z85" i="6"/>
  <c r="AC85" i="6" s="1"/>
  <c r="X155" i="11"/>
  <c r="X60" i="11"/>
  <c r="Z107" i="6"/>
  <c r="AC107" i="6" s="1"/>
  <c r="O107" i="6"/>
  <c r="S107" i="6"/>
  <c r="V107" i="6"/>
  <c r="AD118" i="6"/>
  <c r="AF118" i="6"/>
  <c r="AF211" i="11"/>
  <c r="X199" i="11"/>
  <c r="Y151" i="11"/>
  <c r="W43" i="11"/>
  <c r="AF116" i="11"/>
  <c r="O202" i="6"/>
  <c r="S202" i="6"/>
  <c r="V202" i="6"/>
  <c r="Z202" i="6"/>
  <c r="AC202" i="6" s="1"/>
  <c r="AA204" i="11"/>
  <c r="AD204" i="6"/>
  <c r="AF204" i="6"/>
  <c r="AA46" i="11"/>
  <c r="AF46" i="11"/>
  <c r="Z183" i="6"/>
  <c r="AC183" i="6" s="1"/>
  <c r="O183" i="6"/>
  <c r="S183" i="6"/>
  <c r="V183" i="6"/>
  <c r="X89" i="11"/>
  <c r="AA71" i="11"/>
  <c r="AF71" i="11"/>
  <c r="Z181" i="6"/>
  <c r="AC181" i="6" s="1"/>
  <c r="O181" i="6"/>
  <c r="S181" i="6"/>
  <c r="V181" i="6"/>
  <c r="AD121" i="6"/>
  <c r="AF121" i="6"/>
  <c r="X213" i="6"/>
  <c r="AF130" i="11"/>
  <c r="W132" i="11"/>
  <c r="X132" i="11"/>
  <c r="Z130" i="6"/>
  <c r="AC130" i="6" s="1"/>
  <c r="O130" i="6"/>
  <c r="S130" i="6"/>
  <c r="V130" i="6"/>
  <c r="O152" i="6"/>
  <c r="S152" i="6"/>
  <c r="V152" i="6"/>
  <c r="Z152" i="6"/>
  <c r="AC152" i="6" s="1"/>
  <c r="AF152" i="11"/>
  <c r="AA152" i="11"/>
  <c r="O40" i="6"/>
  <c r="S40" i="6"/>
  <c r="V40" i="6"/>
  <c r="Z40" i="6"/>
  <c r="AC40" i="6" s="1"/>
  <c r="Z207" i="6"/>
  <c r="AC207" i="6" s="1"/>
  <c r="O207" i="6"/>
  <c r="S207" i="6"/>
  <c r="V207" i="6"/>
  <c r="Z136" i="6"/>
  <c r="AC136" i="6" s="1"/>
  <c r="O136" i="6"/>
  <c r="S136" i="6"/>
  <c r="V136" i="6"/>
  <c r="X176" i="11"/>
  <c r="X172" i="6"/>
  <c r="X216" i="11"/>
  <c r="Y43" i="11"/>
  <c r="X128" i="6"/>
  <c r="Z196" i="6"/>
  <c r="AC196" i="6" s="1"/>
  <c r="O196" i="6"/>
  <c r="S196" i="6"/>
  <c r="V196" i="6"/>
  <c r="X14" i="6"/>
  <c r="Z84" i="6"/>
  <c r="AC84" i="6" s="1"/>
  <c r="O84" i="6"/>
  <c r="S84" i="6"/>
  <c r="V84" i="6"/>
  <c r="AA61" i="11"/>
  <c r="AF61" i="11"/>
  <c r="AF137" i="11"/>
  <c r="AD137" i="6"/>
  <c r="AF137" i="6"/>
  <c r="Z156" i="6"/>
  <c r="AC156" i="6" s="1"/>
  <c r="O156" i="6"/>
  <c r="S156" i="6"/>
  <c r="V156" i="6"/>
  <c r="AA160" i="11"/>
  <c r="X66" i="11"/>
  <c r="X120" i="6"/>
  <c r="W175" i="11"/>
  <c r="X153" i="11"/>
  <c r="X159" i="11"/>
  <c r="X28" i="11"/>
  <c r="O88" i="6"/>
  <c r="S88" i="6"/>
  <c r="V88" i="6"/>
  <c r="Z88" i="6"/>
  <c r="AC88" i="6" s="1"/>
  <c r="AF59" i="11"/>
  <c r="W20" i="11"/>
  <c r="X20" i="11"/>
  <c r="AA208" i="11"/>
  <c r="AF208" i="11"/>
  <c r="O112" i="6"/>
  <c r="S112" i="6"/>
  <c r="V112" i="6"/>
  <c r="Z112" i="6"/>
  <c r="AC112" i="6" s="1"/>
  <c r="X12" i="6"/>
  <c r="AF158" i="6"/>
  <c r="AD158" i="6"/>
  <c r="X126" i="11"/>
  <c r="AF51" i="11"/>
  <c r="X170" i="11"/>
  <c r="X179" i="11"/>
  <c r="X184" i="11"/>
  <c r="W184" i="11"/>
  <c r="X201" i="11"/>
  <c r="AA50" i="11"/>
  <c r="AF50" i="11"/>
  <c r="X177" i="11"/>
  <c r="X108" i="6"/>
  <c r="X163" i="11"/>
  <c r="AF190" i="6"/>
  <c r="AD190" i="6"/>
  <c r="O125" i="6"/>
  <c r="S125" i="6"/>
  <c r="V125" i="6"/>
  <c r="Z125" i="6"/>
  <c r="AC125" i="6" s="1"/>
  <c r="AA125" i="11"/>
  <c r="AF125" i="11"/>
  <c r="T101" i="6"/>
  <c r="AA35" i="11"/>
  <c r="AF35" i="11"/>
  <c r="X122" i="6"/>
  <c r="Z110" i="6"/>
  <c r="AC110" i="6" s="1"/>
  <c r="O110" i="6"/>
  <c r="S110" i="6"/>
  <c r="V110" i="6"/>
  <c r="X117" i="11"/>
  <c r="X111" i="11"/>
  <c r="X49" i="11"/>
  <c r="O106" i="6"/>
  <c r="S106" i="6"/>
  <c r="V106" i="6"/>
  <c r="Z106" i="6"/>
  <c r="AC106" i="6" s="1"/>
  <c r="AA106" i="11"/>
  <c r="AF106" i="11"/>
  <c r="X57" i="11"/>
  <c r="AF97" i="11"/>
  <c r="AA97" i="11"/>
  <c r="AF188" i="11"/>
  <c r="O166" i="6"/>
  <c r="S166" i="6"/>
  <c r="V166" i="6"/>
  <c r="Z166" i="6"/>
  <c r="AC166" i="6" s="1"/>
  <c r="Z124" i="6"/>
  <c r="AC124" i="6" s="1"/>
  <c r="O124" i="6"/>
  <c r="S124" i="6"/>
  <c r="V124" i="6"/>
  <c r="X214" i="11"/>
  <c r="AF206" i="11"/>
  <c r="AA187" i="11"/>
  <c r="Y42" i="11"/>
  <c r="N10" i="30"/>
  <c r="AK7" i="6"/>
  <c r="W167" i="11"/>
  <c r="X167" i="11"/>
  <c r="AF129" i="6"/>
  <c r="AD129" i="6"/>
  <c r="AF70" i="11"/>
  <c r="AA70" i="11"/>
  <c r="W42" i="11"/>
  <c r="Z67" i="6"/>
  <c r="AC67" i="6" s="1"/>
  <c r="O67" i="6"/>
  <c r="S67" i="6"/>
  <c r="V67" i="6"/>
  <c r="L11" i="30"/>
  <c r="L12" i="30" s="1"/>
  <c r="L13" i="30" s="1"/>
  <c r="AA75" i="11"/>
  <c r="X161" i="11"/>
  <c r="AF127" i="6"/>
  <c r="AD127" i="6"/>
  <c r="X142" i="6"/>
  <c r="AF98" i="11"/>
  <c r="AA98" i="11"/>
  <c r="X194" i="11"/>
  <c r="W145" i="11"/>
  <c r="AA82" i="11"/>
  <c r="AF82" i="11"/>
  <c r="X109" i="11"/>
  <c r="Z123" i="6"/>
  <c r="AC123" i="6" s="1"/>
  <c r="O123" i="6"/>
  <c r="S123" i="6"/>
  <c r="V123" i="6"/>
  <c r="X141" i="11"/>
  <c r="O131" i="6"/>
  <c r="S131" i="6"/>
  <c r="V131" i="6"/>
  <c r="Z131" i="6"/>
  <c r="AC131" i="6" s="1"/>
  <c r="W192" i="11"/>
  <c r="Y157" i="11"/>
  <c r="AF51" i="6"/>
  <c r="AD51" i="6"/>
  <c r="AA104" i="11"/>
  <c r="AF104" i="11"/>
  <c r="AA147" i="11"/>
  <c r="AF147" i="11"/>
  <c r="Z64" i="6"/>
  <c r="AC64" i="6" s="1"/>
  <c r="O64" i="6"/>
  <c r="S64" i="6"/>
  <c r="V64" i="6"/>
  <c r="AF58" i="11"/>
  <c r="W164" i="11"/>
  <c r="AA155" i="11"/>
  <c r="AF155" i="11"/>
  <c r="O60" i="6"/>
  <c r="S60" i="6"/>
  <c r="V60" i="6"/>
  <c r="Z60" i="6"/>
  <c r="AC60" i="6" s="1"/>
  <c r="AF193" i="11"/>
  <c r="AA193" i="11"/>
  <c r="Z199" i="6"/>
  <c r="AC199" i="6" s="1"/>
  <c r="O199" i="6"/>
  <c r="S199" i="6"/>
  <c r="V199" i="6"/>
  <c r="O58" i="6"/>
  <c r="S58" i="6"/>
  <c r="V58" i="6"/>
  <c r="Z58" i="6"/>
  <c r="AC58" i="6" s="1"/>
  <c r="AA212" i="11"/>
  <c r="AF212" i="11"/>
  <c r="X102" i="6"/>
  <c r="AF189" i="11"/>
  <c r="AA189" i="11"/>
  <c r="Y146" i="11"/>
  <c r="X181" i="11"/>
  <c r="AF216" i="11"/>
  <c r="AF83" i="6"/>
  <c r="AD83" i="6"/>
  <c r="AA178" i="11"/>
  <c r="AF178" i="11"/>
  <c r="X19" i="6"/>
  <c r="O61" i="6"/>
  <c r="S61" i="6"/>
  <c r="V61" i="6"/>
  <c r="Z61" i="6"/>
  <c r="AC61" i="6" s="1"/>
  <c r="AA191" i="11"/>
  <c r="AF191" i="11"/>
  <c r="Z149" i="6"/>
  <c r="AC149" i="6" s="1"/>
  <c r="O149" i="6"/>
  <c r="S149" i="6"/>
  <c r="V149" i="6"/>
  <c r="AA149" i="11"/>
  <c r="AF149" i="11"/>
  <c r="O160" i="6"/>
  <c r="S160" i="6"/>
  <c r="V160" i="6"/>
  <c r="Z160" i="6"/>
  <c r="AC160" i="6" s="1"/>
  <c r="O66" i="6"/>
  <c r="S66" i="6"/>
  <c r="V66" i="6"/>
  <c r="Z66" i="6"/>
  <c r="AC66" i="6" s="1"/>
  <c r="AD211" i="6"/>
  <c r="AF211" i="6"/>
  <c r="X143" i="6"/>
  <c r="X182" i="6"/>
  <c r="AA28" i="11"/>
  <c r="AF28" i="11"/>
  <c r="AA87" i="11"/>
  <c r="AF87" i="11"/>
  <c r="AD52" i="6"/>
  <c r="AF52" i="6"/>
  <c r="AA63" i="11"/>
  <c r="AF63" i="11"/>
  <c r="AF79" i="11"/>
  <c r="AA79" i="11"/>
  <c r="AF83" i="11"/>
  <c r="AA29" i="11"/>
  <c r="X41" i="6"/>
  <c r="O126" i="6"/>
  <c r="S126" i="6"/>
  <c r="V126" i="6"/>
  <c r="Z126" i="6"/>
  <c r="AC126" i="6" s="1"/>
  <c r="AA197" i="11"/>
  <c r="AF197" i="11"/>
  <c r="AA170" i="11"/>
  <c r="AF170" i="11"/>
  <c r="O179" i="6"/>
  <c r="S179" i="6"/>
  <c r="V179" i="6"/>
  <c r="Z179" i="6"/>
  <c r="AC179" i="6" s="1"/>
  <c r="X100" i="6"/>
  <c r="O177" i="6"/>
  <c r="S177" i="6"/>
  <c r="V177" i="6"/>
  <c r="Z177" i="6"/>
  <c r="AC177" i="6" s="1"/>
  <c r="W162" i="11"/>
  <c r="AF150" i="11"/>
  <c r="AA150" i="11"/>
  <c r="Z163" i="6"/>
  <c r="AC163" i="6" s="1"/>
  <c r="O163" i="6"/>
  <c r="S163" i="6"/>
  <c r="V163" i="6"/>
  <c r="X125" i="11"/>
  <c r="W151" i="11"/>
  <c r="X139" i="6"/>
  <c r="X13" i="6"/>
  <c r="X33" i="6"/>
  <c r="AF173" i="11"/>
  <c r="AA173" i="11"/>
  <c r="AA90" i="11"/>
  <c r="AF90" i="11"/>
  <c r="X144" i="6"/>
  <c r="AF110" i="11"/>
  <c r="AA117" i="11"/>
  <c r="AF117" i="11"/>
  <c r="Y195" i="11"/>
  <c r="O111" i="6"/>
  <c r="S111" i="6"/>
  <c r="V111" i="6"/>
  <c r="Z111" i="6"/>
  <c r="AC111" i="6" s="1"/>
  <c r="AF49" i="11"/>
  <c r="AA49" i="11"/>
  <c r="O57" i="6"/>
  <c r="S57" i="6"/>
  <c r="V57" i="6"/>
  <c r="Z57" i="6"/>
  <c r="AC57" i="6" s="1"/>
  <c r="X166" i="11"/>
  <c r="O214" i="6"/>
  <c r="S214" i="6"/>
  <c r="V214" i="6"/>
  <c r="Z214" i="6"/>
  <c r="AC214" i="6" s="1"/>
  <c r="Z53" i="6"/>
  <c r="AC53" i="6" s="1"/>
  <c r="O53" i="6"/>
  <c r="S53" i="6"/>
  <c r="V53" i="6"/>
  <c r="AF53" i="11"/>
  <c r="O187" i="6"/>
  <c r="S187" i="6"/>
  <c r="V187" i="6"/>
  <c r="Z187" i="6"/>
  <c r="AC187" i="6" s="1"/>
  <c r="AA154" i="11"/>
  <c r="AF154" i="11"/>
  <c r="X77" i="11"/>
  <c r="AF25" i="6"/>
  <c r="AD25" i="6"/>
  <c r="O134" i="6"/>
  <c r="S134" i="6"/>
  <c r="V134" i="6"/>
  <c r="Z134" i="6"/>
  <c r="AC134" i="6" s="1"/>
  <c r="W157" i="11"/>
  <c r="X157" i="11"/>
  <c r="AA67" i="11"/>
  <c r="Z98" i="6"/>
  <c r="AC98" i="6" s="1"/>
  <c r="O98" i="6"/>
  <c r="S98" i="6"/>
  <c r="V98" i="6"/>
  <c r="AA180" i="11"/>
  <c r="AF180" i="11"/>
  <c r="AA34" i="11"/>
  <c r="AF34" i="11"/>
  <c r="O135" i="6"/>
  <c r="S135" i="6"/>
  <c r="V135" i="6"/>
  <c r="Z135" i="6"/>
  <c r="AC135" i="6" s="1"/>
  <c r="AF95" i="11"/>
  <c r="W99" i="11"/>
  <c r="AF185" i="6"/>
  <c r="AD185" i="6"/>
  <c r="AA123" i="11"/>
  <c r="W195" i="11"/>
  <c r="X195" i="11"/>
  <c r="AF113" i="6"/>
  <c r="AD113" i="6"/>
  <c r="AF93" i="11"/>
  <c r="X23" i="6"/>
  <c r="AF218" i="6"/>
  <c r="AD218" i="6"/>
  <c r="AF219" i="6"/>
  <c r="AD219" i="6"/>
  <c r="W36" i="11"/>
  <c r="AA68" i="11"/>
  <c r="AF68" i="11"/>
  <c r="X30" i="6"/>
  <c r="Z147" i="6"/>
  <c r="AC147" i="6" s="1"/>
  <c r="O147" i="6"/>
  <c r="S147" i="6"/>
  <c r="V147" i="6"/>
  <c r="AD92" i="6"/>
  <c r="AF92" i="6"/>
  <c r="AA60" i="11"/>
  <c r="Z193" i="6"/>
  <c r="AC193" i="6" s="1"/>
  <c r="O193" i="6"/>
  <c r="S193" i="6"/>
  <c r="V193" i="6"/>
  <c r="Y164" i="11"/>
  <c r="W44" i="11"/>
  <c r="AD138" i="6"/>
  <c r="AF138" i="6"/>
  <c r="W48" i="11"/>
  <c r="AA202" i="11"/>
  <c r="AF202" i="11"/>
  <c r="T209" i="6"/>
  <c r="X17" i="6"/>
  <c r="AF183" i="11"/>
  <c r="AA183" i="11"/>
  <c r="O189" i="6"/>
  <c r="S189" i="6"/>
  <c r="V189" i="6"/>
  <c r="Z189" i="6"/>
  <c r="AC189" i="6" s="1"/>
  <c r="X71" i="11"/>
  <c r="AA181" i="11"/>
  <c r="AF181" i="11"/>
  <c r="X42" i="11" l="1"/>
  <c r="X99" i="11"/>
  <c r="X192" i="11"/>
  <c r="X37" i="11"/>
  <c r="X175" i="11"/>
  <c r="X151" i="11"/>
  <c r="AA36" i="11"/>
  <c r="AA44" i="11"/>
  <c r="X209" i="6"/>
  <c r="X48" i="11"/>
  <c r="X44" i="11"/>
  <c r="D92" i="11"/>
  <c r="AH92" i="6"/>
  <c r="F92" i="11" s="1"/>
  <c r="AM92" i="6"/>
  <c r="AP92" i="6"/>
  <c r="AQ92" i="6"/>
  <c r="AH219" i="6"/>
  <c r="F219" i="11" s="1"/>
  <c r="AM219" i="6"/>
  <c r="D219" i="11"/>
  <c r="AP219" i="6"/>
  <c r="AQ219" i="6"/>
  <c r="AH113" i="6"/>
  <c r="F113" i="11" s="1"/>
  <c r="AM113" i="6"/>
  <c r="AP113" i="6"/>
  <c r="D113" i="11"/>
  <c r="AQ113" i="6"/>
  <c r="Z195" i="6"/>
  <c r="AC195" i="6" s="1"/>
  <c r="O195" i="6"/>
  <c r="S195" i="6"/>
  <c r="V195" i="6"/>
  <c r="AF99" i="11"/>
  <c r="AD135" i="6"/>
  <c r="AF135" i="6"/>
  <c r="AF111" i="6"/>
  <c r="AD111" i="6"/>
  <c r="Z151" i="6"/>
  <c r="AC151" i="6" s="1"/>
  <c r="O151" i="6"/>
  <c r="S151" i="6"/>
  <c r="V151" i="6"/>
  <c r="AA151" i="11"/>
  <c r="O162" i="6"/>
  <c r="S162" i="6"/>
  <c r="V162" i="6"/>
  <c r="Z162" i="6"/>
  <c r="AC162" i="6" s="1"/>
  <c r="AD60" i="6"/>
  <c r="AF60" i="6"/>
  <c r="AF64" i="6"/>
  <c r="AD64" i="6"/>
  <c r="D51" i="11"/>
  <c r="AP51" i="6"/>
  <c r="AM51" i="6"/>
  <c r="AH51" i="6"/>
  <c r="F51" i="11" s="1"/>
  <c r="AQ51" i="6"/>
  <c r="AD131" i="6"/>
  <c r="AF131" i="6"/>
  <c r="X145" i="11"/>
  <c r="Z167" i="6"/>
  <c r="AC167" i="6" s="1"/>
  <c r="O167" i="6"/>
  <c r="S167" i="6"/>
  <c r="V167" i="6"/>
  <c r="AA167" i="11"/>
  <c r="AD125" i="6"/>
  <c r="AF125" i="6"/>
  <c r="AA20" i="11"/>
  <c r="Z175" i="6"/>
  <c r="AC175" i="6" s="1"/>
  <c r="O175" i="6"/>
  <c r="S175" i="6"/>
  <c r="V175" i="6"/>
  <c r="AA175" i="11"/>
  <c r="AP121" i="6"/>
  <c r="AH121" i="6"/>
  <c r="F121" i="11" s="1"/>
  <c r="AM121" i="6"/>
  <c r="D121" i="11"/>
  <c r="AQ121" i="6"/>
  <c r="AF202" i="6"/>
  <c r="AD202" i="6"/>
  <c r="X43" i="11"/>
  <c r="AM118" i="6"/>
  <c r="D118" i="11"/>
  <c r="AH118" i="6"/>
  <c r="F118" i="11" s="1"/>
  <c r="AP118" i="6"/>
  <c r="AQ118" i="6"/>
  <c r="AA198" i="11"/>
  <c r="AF95" i="6"/>
  <c r="AD95" i="6"/>
  <c r="AD109" i="6"/>
  <c r="AF109" i="6"/>
  <c r="AF180" i="6"/>
  <c r="AD180" i="6"/>
  <c r="AD47" i="6"/>
  <c r="AF47" i="6"/>
  <c r="AF49" i="6"/>
  <c r="AD49" i="6"/>
  <c r="O103" i="6"/>
  <c r="S103" i="6"/>
  <c r="V103" i="6"/>
  <c r="Z103" i="6"/>
  <c r="AC103" i="6" s="1"/>
  <c r="AD168" i="6"/>
  <c r="AF168" i="6"/>
  <c r="AA146" i="11"/>
  <c r="AD191" i="6"/>
  <c r="AF191" i="6"/>
  <c r="AF200" i="6"/>
  <c r="AD200" i="6"/>
  <c r="AF71" i="6"/>
  <c r="AD71" i="6"/>
  <c r="AF89" i="6"/>
  <c r="AD89" i="6"/>
  <c r="AF155" i="6"/>
  <c r="AD155" i="6"/>
  <c r="AF75" i="6"/>
  <c r="AD75" i="6"/>
  <c r="AA37" i="11"/>
  <c r="AP169" i="6"/>
  <c r="D169" i="11"/>
  <c r="AM169" i="6"/>
  <c r="AH169" i="6"/>
  <c r="F169" i="11" s="1"/>
  <c r="AQ169" i="6"/>
  <c r="AD206" i="6"/>
  <c r="AF206" i="6"/>
  <c r="AD45" i="6"/>
  <c r="AF45" i="6"/>
  <c r="AF29" i="6"/>
  <c r="AD29" i="6"/>
  <c r="AF189" i="6"/>
  <c r="AD189" i="6"/>
  <c r="Z48" i="6"/>
  <c r="AC48" i="6" s="1"/>
  <c r="O48" i="6"/>
  <c r="S48" i="6"/>
  <c r="V48" i="6"/>
  <c r="O99" i="6"/>
  <c r="S99" i="6"/>
  <c r="V99" i="6"/>
  <c r="Z99" i="6"/>
  <c r="AC99" i="6" s="1"/>
  <c r="AD98" i="6"/>
  <c r="AF98" i="6"/>
  <c r="AD134" i="6"/>
  <c r="AF134" i="6"/>
  <c r="AF53" i="6"/>
  <c r="AD53" i="6"/>
  <c r="I9" i="31"/>
  <c r="AD66" i="6"/>
  <c r="AF66" i="6"/>
  <c r="AM83" i="6"/>
  <c r="AP83" i="6"/>
  <c r="D83" i="11"/>
  <c r="AH83" i="6"/>
  <c r="F83" i="11" s="1"/>
  <c r="AQ83" i="6"/>
  <c r="AA164" i="11"/>
  <c r="AF123" i="6"/>
  <c r="AD123" i="6"/>
  <c r="AA145" i="11"/>
  <c r="AM127" i="6"/>
  <c r="AP127" i="6"/>
  <c r="D127" i="11"/>
  <c r="AH127" i="6"/>
  <c r="F127" i="11" s="1"/>
  <c r="AQ127" i="6"/>
  <c r="I10" i="31"/>
  <c r="AD67" i="6"/>
  <c r="AF67" i="6"/>
  <c r="AA42" i="11"/>
  <c r="N11" i="30"/>
  <c r="J11" i="31" s="1"/>
  <c r="AF106" i="6"/>
  <c r="AD106" i="6"/>
  <c r="AD110" i="6"/>
  <c r="AF110" i="6"/>
  <c r="X101" i="6"/>
  <c r="O192" i="6"/>
  <c r="S192" i="6"/>
  <c r="V192" i="6"/>
  <c r="Z192" i="6"/>
  <c r="AC192" i="6" s="1"/>
  <c r="AH190" i="6"/>
  <c r="F190" i="11" s="1"/>
  <c r="AP190" i="6"/>
  <c r="D190" i="11"/>
  <c r="AM190" i="6"/>
  <c r="AQ190" i="6"/>
  <c r="D158" i="11"/>
  <c r="AM158" i="6"/>
  <c r="AP158" i="6"/>
  <c r="AH158" i="6"/>
  <c r="F158" i="11" s="1"/>
  <c r="AQ158" i="6"/>
  <c r="AF112" i="6"/>
  <c r="AD112" i="6"/>
  <c r="O20" i="6"/>
  <c r="S20" i="6"/>
  <c r="V20" i="6"/>
  <c r="Z20" i="6"/>
  <c r="AC20" i="6" s="1"/>
  <c r="AF132" i="11"/>
  <c r="AD96" i="6"/>
  <c r="AF96" i="6"/>
  <c r="AD141" i="6"/>
  <c r="AF141" i="6"/>
  <c r="X198" i="11"/>
  <c r="AD161" i="6"/>
  <c r="AF161" i="6"/>
  <c r="AP119" i="6"/>
  <c r="AH119" i="6"/>
  <c r="F119" i="11" s="1"/>
  <c r="AM119" i="6"/>
  <c r="D119" i="11"/>
  <c r="AQ119" i="6"/>
  <c r="AF70" i="6"/>
  <c r="AD70" i="6"/>
  <c r="D76" i="11"/>
  <c r="AH76" i="6"/>
  <c r="F76" i="11" s="1"/>
  <c r="AP76" i="6"/>
  <c r="AM76" i="6"/>
  <c r="AQ76" i="6"/>
  <c r="AD201" i="6"/>
  <c r="AF201" i="6"/>
  <c r="AF28" i="6"/>
  <c r="AD28" i="6"/>
  <c r="X39" i="11"/>
  <c r="Z146" i="6"/>
  <c r="AC146" i="6" s="1"/>
  <c r="O146" i="6"/>
  <c r="S146" i="6"/>
  <c r="V146" i="6"/>
  <c r="AD212" i="6"/>
  <c r="AF212" i="6"/>
  <c r="AF114" i="6"/>
  <c r="AD114" i="6"/>
  <c r="AD154" i="6"/>
  <c r="AF154" i="6"/>
  <c r="AF188" i="6"/>
  <c r="AD188" i="6"/>
  <c r="AF35" i="6"/>
  <c r="AD35" i="6"/>
  <c r="AF173" i="6"/>
  <c r="AD173" i="6"/>
  <c r="AP105" i="6"/>
  <c r="AH105" i="6"/>
  <c r="F105" i="11" s="1"/>
  <c r="D105" i="11"/>
  <c r="AM105" i="6"/>
  <c r="AQ105" i="6"/>
  <c r="AH217" i="6"/>
  <c r="F217" i="11" s="1"/>
  <c r="D217" i="11"/>
  <c r="AM217" i="6"/>
  <c r="AP217" i="6"/>
  <c r="AQ217" i="6"/>
  <c r="AD87" i="6"/>
  <c r="AF87" i="6"/>
  <c r="AD59" i="6"/>
  <c r="AF59" i="6"/>
  <c r="AD94" i="6"/>
  <c r="AF94" i="6"/>
  <c r="AP69" i="6"/>
  <c r="AH69" i="6"/>
  <c r="F69" i="11" s="1"/>
  <c r="AM69" i="6"/>
  <c r="D69" i="11"/>
  <c r="AQ69" i="6"/>
  <c r="D133" i="11"/>
  <c r="AP133" i="6"/>
  <c r="AM133" i="6"/>
  <c r="AH133" i="6"/>
  <c r="F133" i="11" s="1"/>
  <c r="AQ133" i="6"/>
  <c r="AF48" i="11"/>
  <c r="AD147" i="6"/>
  <c r="AF147" i="6"/>
  <c r="Z36" i="6"/>
  <c r="AC36" i="6" s="1"/>
  <c r="O36" i="6"/>
  <c r="S36" i="6"/>
  <c r="V36" i="6"/>
  <c r="AP218" i="6"/>
  <c r="AM218" i="6"/>
  <c r="D218" i="11"/>
  <c r="AH218" i="6"/>
  <c r="F218" i="11" s="1"/>
  <c r="AQ218" i="6"/>
  <c r="AA157" i="11"/>
  <c r="AH25" i="6"/>
  <c r="F25" i="11" s="1"/>
  <c r="D25" i="11"/>
  <c r="AM25" i="6"/>
  <c r="AP25" i="6"/>
  <c r="AQ25" i="6"/>
  <c r="AF187" i="6"/>
  <c r="AD187" i="6"/>
  <c r="AD57" i="6"/>
  <c r="AF57" i="6"/>
  <c r="AF177" i="6"/>
  <c r="AD177" i="6"/>
  <c r="AF179" i="6"/>
  <c r="AD179" i="6"/>
  <c r="AF149" i="6"/>
  <c r="AD149" i="6"/>
  <c r="AF61" i="6"/>
  <c r="AD61" i="6"/>
  <c r="AF58" i="6"/>
  <c r="AD58" i="6"/>
  <c r="Z164" i="6"/>
  <c r="AC164" i="6" s="1"/>
  <c r="O164" i="6"/>
  <c r="S164" i="6"/>
  <c r="V164" i="6"/>
  <c r="AM129" i="6"/>
  <c r="D129" i="11"/>
  <c r="AP129" i="6"/>
  <c r="AH129" i="6"/>
  <c r="F129" i="11" s="1"/>
  <c r="AQ129" i="6"/>
  <c r="AD166" i="6"/>
  <c r="AF166" i="6"/>
  <c r="AA184" i="11"/>
  <c r="AF156" i="6"/>
  <c r="AD156" i="6"/>
  <c r="AD40" i="6"/>
  <c r="AF40" i="6"/>
  <c r="AF152" i="6"/>
  <c r="AD152" i="6"/>
  <c r="AH204" i="6"/>
  <c r="F204" i="11" s="1"/>
  <c r="AM204" i="6"/>
  <c r="AP204" i="6"/>
  <c r="D204" i="11"/>
  <c r="AQ204" i="6"/>
  <c r="AA43" i="11"/>
  <c r="AD85" i="6"/>
  <c r="AF85" i="6"/>
  <c r="D91" i="11"/>
  <c r="AH91" i="6"/>
  <c r="F91" i="11" s="1"/>
  <c r="AM91" i="6"/>
  <c r="AP91" i="6"/>
  <c r="AQ91" i="6"/>
  <c r="O198" i="6"/>
  <c r="S198" i="6"/>
  <c r="V198" i="6"/>
  <c r="Z198" i="6"/>
  <c r="AC198" i="6" s="1"/>
  <c r="AF34" i="6"/>
  <c r="AD34" i="6"/>
  <c r="AF194" i="6"/>
  <c r="AD194" i="6"/>
  <c r="D220" i="11"/>
  <c r="AM220" i="6"/>
  <c r="AP220" i="6"/>
  <c r="AH220" i="6"/>
  <c r="F220" i="11" s="1"/>
  <c r="AQ220" i="6"/>
  <c r="AA103" i="11"/>
  <c r="AD50" i="6"/>
  <c r="AF50" i="6"/>
  <c r="AF63" i="6"/>
  <c r="AD63" i="6"/>
  <c r="AF159" i="6"/>
  <c r="AD159" i="6"/>
  <c r="AF148" i="6"/>
  <c r="AD148" i="6"/>
  <c r="Z39" i="6"/>
  <c r="AC39" i="6" s="1"/>
  <c r="O39" i="6"/>
  <c r="S39" i="6"/>
  <c r="V39" i="6"/>
  <c r="AD54" i="6"/>
  <c r="AF54" i="6"/>
  <c r="AD176" i="6"/>
  <c r="AF176" i="6"/>
  <c r="AF116" i="6"/>
  <c r="AD116" i="6"/>
  <c r="AD32" i="6"/>
  <c r="AF32" i="6"/>
  <c r="AF86" i="6"/>
  <c r="AD86" i="6"/>
  <c r="AF215" i="6"/>
  <c r="AD215" i="6"/>
  <c r="AF97" i="6"/>
  <c r="AD97" i="6"/>
  <c r="AD90" i="6"/>
  <c r="AF90" i="6"/>
  <c r="AD184" i="6"/>
  <c r="AF184" i="6"/>
  <c r="AD74" i="6"/>
  <c r="AF74" i="6"/>
  <c r="AP138" i="6"/>
  <c r="AM138" i="6"/>
  <c r="D138" i="11"/>
  <c r="AH138" i="6"/>
  <c r="F138" i="11" s="1"/>
  <c r="AQ138" i="6"/>
  <c r="Z44" i="6"/>
  <c r="AC44" i="6" s="1"/>
  <c r="O44" i="6"/>
  <c r="S44" i="6"/>
  <c r="V44" i="6"/>
  <c r="AF193" i="6"/>
  <c r="AD193" i="6"/>
  <c r="X36" i="11"/>
  <c r="AA195" i="11"/>
  <c r="AM185" i="6"/>
  <c r="D185" i="11"/>
  <c r="AP185" i="6"/>
  <c r="AH185" i="6"/>
  <c r="F185" i="11" s="1"/>
  <c r="AQ185" i="6"/>
  <c r="Z157" i="6"/>
  <c r="AC157" i="6" s="1"/>
  <c r="O157" i="6"/>
  <c r="S157" i="6"/>
  <c r="V157" i="6"/>
  <c r="AF214" i="6"/>
  <c r="AD214" i="6"/>
  <c r="AF163" i="6"/>
  <c r="AD163" i="6"/>
  <c r="X162" i="11"/>
  <c r="AA162" i="11"/>
  <c r="AF126" i="6"/>
  <c r="AD126" i="6"/>
  <c r="AH52" i="6"/>
  <c r="F52" i="11" s="1"/>
  <c r="AM52" i="6"/>
  <c r="D52" i="11"/>
  <c r="AP52" i="6"/>
  <c r="AQ52" i="6"/>
  <c r="AH211" i="6"/>
  <c r="F211" i="11" s="1"/>
  <c r="AM211" i="6"/>
  <c r="AP211" i="6"/>
  <c r="D211" i="11"/>
  <c r="AQ211" i="6"/>
  <c r="AD160" i="6"/>
  <c r="AF160" i="6"/>
  <c r="AD199" i="6"/>
  <c r="AF199" i="6"/>
  <c r="X164" i="11"/>
  <c r="AF192" i="11"/>
  <c r="Z145" i="6"/>
  <c r="AC145" i="6" s="1"/>
  <c r="O145" i="6"/>
  <c r="S145" i="6"/>
  <c r="V145" i="6"/>
  <c r="Z42" i="6"/>
  <c r="AC42" i="6" s="1"/>
  <c r="O42" i="6"/>
  <c r="S42" i="6"/>
  <c r="V42" i="6"/>
  <c r="L14" i="30"/>
  <c r="AD124" i="6"/>
  <c r="AF124" i="6"/>
  <c r="AF88" i="6"/>
  <c r="AD88" i="6"/>
  <c r="AM137" i="6"/>
  <c r="AP137" i="6"/>
  <c r="AH137" i="6"/>
  <c r="F137" i="11" s="1"/>
  <c r="D137" i="11"/>
  <c r="AQ137" i="6"/>
  <c r="AF84" i="6"/>
  <c r="AD84" i="6"/>
  <c r="AD196" i="6"/>
  <c r="AF196" i="6"/>
  <c r="AD136" i="6"/>
  <c r="AF136" i="6"/>
  <c r="AD207" i="6"/>
  <c r="AF207" i="6"/>
  <c r="AD130" i="6"/>
  <c r="AF130" i="6"/>
  <c r="O132" i="6"/>
  <c r="S132" i="6"/>
  <c r="V132" i="6"/>
  <c r="Z132" i="6"/>
  <c r="AC132" i="6" s="1"/>
  <c r="AF181" i="6"/>
  <c r="AD181" i="6"/>
  <c r="AF183" i="6"/>
  <c r="AD183" i="6"/>
  <c r="O43" i="6"/>
  <c r="S43" i="6"/>
  <c r="V43" i="6"/>
  <c r="Z43" i="6"/>
  <c r="AC43" i="6" s="1"/>
  <c r="AF107" i="6"/>
  <c r="AD107" i="6"/>
  <c r="AD140" i="6"/>
  <c r="AF140" i="6"/>
  <c r="AF93" i="6"/>
  <c r="AD93" i="6"/>
  <c r="AH115" i="6"/>
  <c r="F115" i="11" s="1"/>
  <c r="AP115" i="6"/>
  <c r="D115" i="11"/>
  <c r="AM115" i="6"/>
  <c r="AQ115" i="6"/>
  <c r="AF117" i="6"/>
  <c r="AD117" i="6"/>
  <c r="X103" i="11"/>
  <c r="AM165" i="6"/>
  <c r="AP165" i="6"/>
  <c r="AH165" i="6"/>
  <c r="F165" i="11" s="1"/>
  <c r="D165" i="11"/>
  <c r="AQ165" i="6"/>
  <c r="AF150" i="6"/>
  <c r="AD150" i="6"/>
  <c r="AD170" i="6"/>
  <c r="AF170" i="6"/>
  <c r="D203" i="11"/>
  <c r="AP203" i="6"/>
  <c r="AM203" i="6"/>
  <c r="AH203" i="6"/>
  <c r="F203" i="11" s="1"/>
  <c r="AQ203" i="6"/>
  <c r="AD153" i="6"/>
  <c r="AF153" i="6"/>
  <c r="AF39" i="11"/>
  <c r="AF216" i="6"/>
  <c r="AD216" i="6"/>
  <c r="I11" i="31"/>
  <c r="AF46" i="6"/>
  <c r="AD46" i="6"/>
  <c r="AF68" i="6"/>
  <c r="AD68" i="6"/>
  <c r="AD104" i="6"/>
  <c r="AF104" i="6"/>
  <c r="AD82" i="6"/>
  <c r="AF82" i="6"/>
  <c r="Z37" i="6"/>
  <c r="AC37" i="6" s="1"/>
  <c r="O37" i="6"/>
  <c r="S37" i="6"/>
  <c r="V37" i="6"/>
  <c r="AF77" i="6"/>
  <c r="AD77" i="6"/>
  <c r="AP205" i="6"/>
  <c r="AH205" i="6"/>
  <c r="F205" i="11" s="1"/>
  <c r="D205" i="11"/>
  <c r="AM205" i="6"/>
  <c r="AQ205" i="6"/>
  <c r="D72" i="11"/>
  <c r="AM72" i="6"/>
  <c r="AH72" i="6"/>
  <c r="F72" i="11" s="1"/>
  <c r="AP72" i="6"/>
  <c r="AQ72" i="6"/>
  <c r="AF197" i="6"/>
  <c r="AD197" i="6"/>
  <c r="AF79" i="6"/>
  <c r="AD79" i="6"/>
  <c r="AD208" i="6"/>
  <c r="AF208" i="6"/>
  <c r="AD73" i="6"/>
  <c r="AF73" i="6"/>
  <c r="AF178" i="6"/>
  <c r="AD178" i="6"/>
  <c r="AH186" i="6"/>
  <c r="F186" i="11" s="1"/>
  <c r="AM186" i="6"/>
  <c r="AP186" i="6"/>
  <c r="D186" i="11"/>
  <c r="AQ186" i="6"/>
  <c r="K10" i="30"/>
  <c r="L186" i="11" l="1"/>
  <c r="K186" i="11"/>
  <c r="S186" i="11"/>
  <c r="AN205" i="6"/>
  <c r="AI205" i="6"/>
  <c r="D77" i="11"/>
  <c r="AP77" i="6"/>
  <c r="AH77" i="6"/>
  <c r="F77" i="11" s="1"/>
  <c r="AM77" i="6"/>
  <c r="AQ77" i="6"/>
  <c r="AD37" i="6"/>
  <c r="AF37" i="6"/>
  <c r="D68" i="11"/>
  <c r="AP68" i="6"/>
  <c r="AH68" i="6"/>
  <c r="F68" i="11" s="1"/>
  <c r="AM68" i="6"/>
  <c r="AQ68" i="6"/>
  <c r="K165" i="11"/>
  <c r="S165" i="11"/>
  <c r="L165" i="11"/>
  <c r="AH140" i="6"/>
  <c r="F140" i="11" s="1"/>
  <c r="AP140" i="6"/>
  <c r="D140" i="11"/>
  <c r="AM140" i="6"/>
  <c r="AQ140" i="6"/>
  <c r="AH207" i="6"/>
  <c r="F207" i="11" s="1"/>
  <c r="D207" i="11"/>
  <c r="AP207" i="6"/>
  <c r="AM207" i="6"/>
  <c r="AQ207" i="6"/>
  <c r="AP84" i="6"/>
  <c r="AM84" i="6"/>
  <c r="AH84" i="6"/>
  <c r="F84" i="11" s="1"/>
  <c r="D84" i="11"/>
  <c r="AQ84" i="6"/>
  <c r="I8" i="31"/>
  <c r="L15" i="30"/>
  <c r="AF145" i="6"/>
  <c r="AD145" i="6"/>
  <c r="AH199" i="6"/>
  <c r="F199" i="11" s="1"/>
  <c r="AM199" i="6"/>
  <c r="AP199" i="6"/>
  <c r="D199" i="11"/>
  <c r="AQ199" i="6"/>
  <c r="K211" i="11"/>
  <c r="S211" i="11"/>
  <c r="L211" i="11"/>
  <c r="AI52" i="6"/>
  <c r="AN52" i="6"/>
  <c r="AP126" i="6"/>
  <c r="AM126" i="6"/>
  <c r="D126" i="11"/>
  <c r="AH126" i="6"/>
  <c r="F126" i="11" s="1"/>
  <c r="AQ126" i="6"/>
  <c r="AI185" i="6"/>
  <c r="AN185" i="6"/>
  <c r="S138" i="11"/>
  <c r="K138" i="11"/>
  <c r="L138" i="11"/>
  <c r="AM90" i="6"/>
  <c r="AP90" i="6"/>
  <c r="AH90" i="6"/>
  <c r="F90" i="11" s="1"/>
  <c r="D90" i="11"/>
  <c r="AQ90" i="6"/>
  <c r="AM54" i="6"/>
  <c r="D54" i="11"/>
  <c r="AH54" i="6"/>
  <c r="F54" i="11" s="1"/>
  <c r="AP54" i="6"/>
  <c r="AQ54" i="6"/>
  <c r="D194" i="11"/>
  <c r="AH194" i="6"/>
  <c r="F194" i="11" s="1"/>
  <c r="AM194" i="6"/>
  <c r="AP194" i="6"/>
  <c r="AQ194" i="6"/>
  <c r="AN91" i="6"/>
  <c r="AI91" i="6"/>
  <c r="AI204" i="6"/>
  <c r="AN204" i="6"/>
  <c r="AH40" i="6"/>
  <c r="F40" i="11" s="1"/>
  <c r="AM40" i="6"/>
  <c r="D40" i="11"/>
  <c r="AP40" i="6"/>
  <c r="AQ40" i="6"/>
  <c r="AN129" i="6"/>
  <c r="AI129" i="6"/>
  <c r="AM177" i="6"/>
  <c r="AH177" i="6"/>
  <c r="F177" i="11" s="1"/>
  <c r="D177" i="11"/>
  <c r="AP177" i="6"/>
  <c r="AQ177" i="6"/>
  <c r="AM57" i="6"/>
  <c r="AP57" i="6"/>
  <c r="AH57" i="6"/>
  <c r="F57" i="11" s="1"/>
  <c r="D57" i="11"/>
  <c r="AQ57" i="6"/>
  <c r="AN218" i="6"/>
  <c r="AI218" i="6"/>
  <c r="L69" i="11"/>
  <c r="S69" i="11"/>
  <c r="K69" i="11"/>
  <c r="K105" i="11"/>
  <c r="S105" i="11"/>
  <c r="L105" i="11"/>
  <c r="AM114" i="6"/>
  <c r="D114" i="11"/>
  <c r="AH114" i="6"/>
  <c r="F114" i="11" s="1"/>
  <c r="AP114" i="6"/>
  <c r="AQ114" i="6"/>
  <c r="AD146" i="6"/>
  <c r="AF146" i="6"/>
  <c r="AH201" i="6"/>
  <c r="F201" i="11" s="1"/>
  <c r="D201" i="11"/>
  <c r="AP201" i="6"/>
  <c r="AM201" i="6"/>
  <c r="AQ201" i="6"/>
  <c r="AI119" i="6"/>
  <c r="AN119" i="6"/>
  <c r="AH161" i="6"/>
  <c r="F161" i="11" s="1"/>
  <c r="D161" i="11"/>
  <c r="AP161" i="6"/>
  <c r="AM161" i="6"/>
  <c r="AQ161" i="6"/>
  <c r="D96" i="11"/>
  <c r="AH96" i="6"/>
  <c r="F96" i="11" s="1"/>
  <c r="AP96" i="6"/>
  <c r="AM96" i="6"/>
  <c r="AQ96" i="6"/>
  <c r="AF20" i="6"/>
  <c r="AD20" i="6"/>
  <c r="AP112" i="6"/>
  <c r="AH112" i="6"/>
  <c r="F112" i="11" s="1"/>
  <c r="D112" i="11"/>
  <c r="AM112" i="6"/>
  <c r="AQ112" i="6"/>
  <c r="K158" i="11"/>
  <c r="L158" i="11"/>
  <c r="S158" i="11"/>
  <c r="N12" i="30"/>
  <c r="N13" i="30" s="1"/>
  <c r="AM53" i="6"/>
  <c r="AH53" i="6"/>
  <c r="F53" i="11" s="1"/>
  <c r="D53" i="11"/>
  <c r="AP53" i="6"/>
  <c r="AQ53" i="6"/>
  <c r="AP98" i="6"/>
  <c r="AM98" i="6"/>
  <c r="D98" i="11"/>
  <c r="AH98" i="6"/>
  <c r="F98" i="11" s="1"/>
  <c r="AQ98" i="6"/>
  <c r="AI169" i="6"/>
  <c r="AN169" i="6"/>
  <c r="AP89" i="6"/>
  <c r="AM89" i="6"/>
  <c r="D89" i="11"/>
  <c r="AH89" i="6"/>
  <c r="F89" i="11" s="1"/>
  <c r="AQ89" i="6"/>
  <c r="AD103" i="6"/>
  <c r="AF103" i="6"/>
  <c r="AM180" i="6"/>
  <c r="D180" i="11"/>
  <c r="AP180" i="6"/>
  <c r="AH180" i="6"/>
  <c r="F180" i="11" s="1"/>
  <c r="AQ180" i="6"/>
  <c r="AN121" i="6"/>
  <c r="AI121" i="6"/>
  <c r="AI51" i="6"/>
  <c r="AN51" i="6"/>
  <c r="AP60" i="6"/>
  <c r="AH60" i="6"/>
  <c r="F60" i="11" s="1"/>
  <c r="D60" i="11"/>
  <c r="AM60" i="6"/>
  <c r="AQ60" i="6"/>
  <c r="AF162" i="6"/>
  <c r="AD162" i="6"/>
  <c r="L113" i="11"/>
  <c r="K113" i="11"/>
  <c r="S113" i="11"/>
  <c r="K92" i="11"/>
  <c r="S92" i="11"/>
  <c r="L92" i="11"/>
  <c r="AP197" i="6"/>
  <c r="AH197" i="6"/>
  <c r="F197" i="11" s="1"/>
  <c r="AM197" i="6"/>
  <c r="D197" i="11"/>
  <c r="AQ197" i="6"/>
  <c r="K72" i="11"/>
  <c r="S72" i="11"/>
  <c r="L72" i="11"/>
  <c r="D104" i="11"/>
  <c r="AH104" i="6"/>
  <c r="F104" i="11" s="1"/>
  <c r="AM104" i="6"/>
  <c r="AP104" i="6"/>
  <c r="AQ104" i="6"/>
  <c r="AP181" i="6"/>
  <c r="AM181" i="6"/>
  <c r="AH181" i="6"/>
  <c r="F181" i="11" s="1"/>
  <c r="D181" i="11"/>
  <c r="AQ181" i="6"/>
  <c r="AM196" i="6"/>
  <c r="D196" i="11"/>
  <c r="AP196" i="6"/>
  <c r="AH196" i="6"/>
  <c r="F196" i="11" s="1"/>
  <c r="AQ196" i="6"/>
  <c r="AN137" i="6"/>
  <c r="AI137" i="6"/>
  <c r="AM160" i="6"/>
  <c r="D160" i="11"/>
  <c r="AH160" i="6"/>
  <c r="F160" i="11" s="1"/>
  <c r="AP160" i="6"/>
  <c r="AQ160" i="6"/>
  <c r="S52" i="11"/>
  <c r="L52" i="11"/>
  <c r="K52" i="11"/>
  <c r="AF157" i="6"/>
  <c r="AD157" i="6"/>
  <c r="K185" i="11"/>
  <c r="L185" i="11"/>
  <c r="S185" i="11"/>
  <c r="D193" i="11"/>
  <c r="AH193" i="6"/>
  <c r="F193" i="11" s="1"/>
  <c r="AP193" i="6"/>
  <c r="AM193" i="6"/>
  <c r="AQ193" i="6"/>
  <c r="AF44" i="6"/>
  <c r="AD44" i="6"/>
  <c r="AM97" i="6"/>
  <c r="D97" i="11"/>
  <c r="AH97" i="6"/>
  <c r="F97" i="11" s="1"/>
  <c r="AP97" i="6"/>
  <c r="AQ97" i="6"/>
  <c r="AM86" i="6"/>
  <c r="AH86" i="6"/>
  <c r="F86" i="11" s="1"/>
  <c r="D86" i="11"/>
  <c r="AP86" i="6"/>
  <c r="AQ86" i="6"/>
  <c r="D32" i="11"/>
  <c r="AM32" i="6"/>
  <c r="AP32" i="6"/>
  <c r="AH32" i="6"/>
  <c r="F32" i="11" s="1"/>
  <c r="AQ32" i="6"/>
  <c r="AF39" i="6"/>
  <c r="AD39" i="6"/>
  <c r="D159" i="11"/>
  <c r="AP159" i="6"/>
  <c r="AH159" i="6"/>
  <c r="F159" i="11" s="1"/>
  <c r="AM159" i="6"/>
  <c r="AQ159" i="6"/>
  <c r="K220" i="11"/>
  <c r="L220" i="11"/>
  <c r="S220" i="11"/>
  <c r="K204" i="11"/>
  <c r="L204" i="11"/>
  <c r="S204" i="11"/>
  <c r="AD164" i="6"/>
  <c r="AF164" i="6"/>
  <c r="AH61" i="6"/>
  <c r="F61" i="11" s="1"/>
  <c r="AM61" i="6"/>
  <c r="D61" i="11"/>
  <c r="AP61" i="6"/>
  <c r="AQ61" i="6"/>
  <c r="AI25" i="6"/>
  <c r="AN25" i="6"/>
  <c r="K218" i="11"/>
  <c r="S218" i="11"/>
  <c r="L218" i="11"/>
  <c r="AM147" i="6"/>
  <c r="AP147" i="6"/>
  <c r="AH147" i="6"/>
  <c r="F147" i="11" s="1"/>
  <c r="D147" i="11"/>
  <c r="AQ147" i="6"/>
  <c r="AH94" i="6"/>
  <c r="F94" i="11" s="1"/>
  <c r="AP94" i="6"/>
  <c r="D94" i="11"/>
  <c r="AM94" i="6"/>
  <c r="AQ94" i="6"/>
  <c r="AH87" i="6"/>
  <c r="F87" i="11" s="1"/>
  <c r="AM87" i="6"/>
  <c r="D87" i="11"/>
  <c r="AP87" i="6"/>
  <c r="AQ87" i="6"/>
  <c r="AI105" i="6"/>
  <c r="AN105" i="6"/>
  <c r="AH35" i="6"/>
  <c r="F35" i="11" s="1"/>
  <c r="AP35" i="6"/>
  <c r="AM35" i="6"/>
  <c r="D35" i="11"/>
  <c r="AQ35" i="6"/>
  <c r="AH70" i="6"/>
  <c r="F70" i="11" s="1"/>
  <c r="AM70" i="6"/>
  <c r="AP70" i="6"/>
  <c r="D70" i="11"/>
  <c r="AQ70" i="6"/>
  <c r="K190" i="11"/>
  <c r="S190" i="11"/>
  <c r="L190" i="11"/>
  <c r="AD192" i="6"/>
  <c r="AF192" i="6"/>
  <c r="AP106" i="6"/>
  <c r="D106" i="11"/>
  <c r="AM106" i="6"/>
  <c r="AH106" i="6"/>
  <c r="F106" i="11" s="1"/>
  <c r="AQ106" i="6"/>
  <c r="AH67" i="6"/>
  <c r="F67" i="11" s="1"/>
  <c r="D67" i="11"/>
  <c r="AP67" i="6"/>
  <c r="AM67" i="6"/>
  <c r="AQ67" i="6"/>
  <c r="AN127" i="6"/>
  <c r="AI127" i="6"/>
  <c r="K83" i="11"/>
  <c r="L83" i="11"/>
  <c r="S83" i="11"/>
  <c r="AM200" i="6"/>
  <c r="AP200" i="6"/>
  <c r="D200" i="11"/>
  <c r="AH200" i="6"/>
  <c r="F200" i="11" s="1"/>
  <c r="AQ200" i="6"/>
  <c r="D168" i="11"/>
  <c r="AH168" i="6"/>
  <c r="F168" i="11" s="1"/>
  <c r="AM168" i="6"/>
  <c r="AP168" i="6"/>
  <c r="AQ168" i="6"/>
  <c r="AP49" i="6"/>
  <c r="D49" i="11"/>
  <c r="AM49" i="6"/>
  <c r="AH49" i="6"/>
  <c r="F49" i="11" s="1"/>
  <c r="AQ49" i="6"/>
  <c r="AH109" i="6"/>
  <c r="F109" i="11" s="1"/>
  <c r="AM109" i="6"/>
  <c r="AP109" i="6"/>
  <c r="D109" i="11"/>
  <c r="AQ109" i="6"/>
  <c r="D95" i="11"/>
  <c r="AM95" i="6"/>
  <c r="AH95" i="6"/>
  <c r="F95" i="11" s="1"/>
  <c r="AP95" i="6"/>
  <c r="AQ95" i="6"/>
  <c r="AM202" i="6"/>
  <c r="D202" i="11"/>
  <c r="AP202" i="6"/>
  <c r="AH202" i="6"/>
  <c r="F202" i="11" s="1"/>
  <c r="AQ202" i="6"/>
  <c r="S121" i="11"/>
  <c r="K121" i="11"/>
  <c r="L121" i="11"/>
  <c r="D131" i="11"/>
  <c r="AH131" i="6"/>
  <c r="F131" i="11" s="1"/>
  <c r="AM131" i="6"/>
  <c r="AP131" i="6"/>
  <c r="AQ131" i="6"/>
  <c r="D111" i="11"/>
  <c r="AP111" i="6"/>
  <c r="AM111" i="6"/>
  <c r="AH111" i="6"/>
  <c r="F111" i="11" s="1"/>
  <c r="AQ111" i="6"/>
  <c r="AF195" i="6"/>
  <c r="AD195" i="6"/>
  <c r="AI219" i="6"/>
  <c r="AN219" i="6"/>
  <c r="AN92" i="6"/>
  <c r="AI92" i="6"/>
  <c r="AN186" i="6"/>
  <c r="AI186" i="6"/>
  <c r="AP208" i="6"/>
  <c r="AM208" i="6"/>
  <c r="D208" i="11"/>
  <c r="AH208" i="6"/>
  <c r="F208" i="11" s="1"/>
  <c r="AQ208" i="6"/>
  <c r="AH178" i="6"/>
  <c r="F178" i="11" s="1"/>
  <c r="D178" i="11"/>
  <c r="AM178" i="6"/>
  <c r="AP178" i="6"/>
  <c r="AQ178" i="6"/>
  <c r="AM46" i="6"/>
  <c r="AP46" i="6"/>
  <c r="D46" i="11"/>
  <c r="AH46" i="6"/>
  <c r="F46" i="11" s="1"/>
  <c r="AQ46" i="6"/>
  <c r="AH153" i="6"/>
  <c r="F153" i="11" s="1"/>
  <c r="D153" i="11"/>
  <c r="AM153" i="6"/>
  <c r="AP153" i="6"/>
  <c r="AQ153" i="6"/>
  <c r="S203" i="11"/>
  <c r="K203" i="11"/>
  <c r="L203" i="11"/>
  <c r="AH170" i="6"/>
  <c r="F170" i="11" s="1"/>
  <c r="D170" i="11"/>
  <c r="AP170" i="6"/>
  <c r="AM170" i="6"/>
  <c r="AQ170" i="6"/>
  <c r="AP150" i="6"/>
  <c r="AM150" i="6"/>
  <c r="D150" i="11"/>
  <c r="AH150" i="6"/>
  <c r="F150" i="11" s="1"/>
  <c r="AQ150" i="6"/>
  <c r="AI165" i="6"/>
  <c r="AN165" i="6"/>
  <c r="AP117" i="6"/>
  <c r="AM117" i="6"/>
  <c r="D117" i="11"/>
  <c r="AH117" i="6"/>
  <c r="F117" i="11" s="1"/>
  <c r="AQ117" i="6"/>
  <c r="AI115" i="6"/>
  <c r="AN115" i="6"/>
  <c r="AM93" i="6"/>
  <c r="D93" i="11"/>
  <c r="AP93" i="6"/>
  <c r="AH93" i="6"/>
  <c r="F93" i="11" s="1"/>
  <c r="AQ93" i="6"/>
  <c r="AH107" i="6"/>
  <c r="F107" i="11" s="1"/>
  <c r="AM107" i="6"/>
  <c r="AP107" i="6"/>
  <c r="D107" i="11"/>
  <c r="AQ107" i="6"/>
  <c r="AF43" i="6"/>
  <c r="AD43" i="6"/>
  <c r="AD132" i="6"/>
  <c r="AF132" i="6"/>
  <c r="AH130" i="6"/>
  <c r="F130" i="11" s="1"/>
  <c r="AM130" i="6"/>
  <c r="D130" i="11"/>
  <c r="AP130" i="6"/>
  <c r="AQ130" i="6"/>
  <c r="AP136" i="6"/>
  <c r="AM136" i="6"/>
  <c r="AH136" i="6"/>
  <c r="F136" i="11" s="1"/>
  <c r="D136" i="11"/>
  <c r="AQ136" i="6"/>
  <c r="S137" i="11"/>
  <c r="K137" i="11"/>
  <c r="L137" i="11"/>
  <c r="AP124" i="6"/>
  <c r="D124" i="11"/>
  <c r="AM124" i="6"/>
  <c r="AH124" i="6"/>
  <c r="F124" i="11" s="1"/>
  <c r="AQ124" i="6"/>
  <c r="AF42" i="6"/>
  <c r="AD42" i="6"/>
  <c r="AI211" i="6"/>
  <c r="AN211" i="6"/>
  <c r="AP163" i="6"/>
  <c r="AH163" i="6"/>
  <c r="F163" i="11" s="1"/>
  <c r="D163" i="11"/>
  <c r="AM163" i="6"/>
  <c r="AQ163" i="6"/>
  <c r="AI138" i="6"/>
  <c r="AN138" i="6"/>
  <c r="AH176" i="6"/>
  <c r="F176" i="11" s="1"/>
  <c r="D176" i="11"/>
  <c r="AP176" i="6"/>
  <c r="AM176" i="6"/>
  <c r="AQ176" i="6"/>
  <c r="D50" i="11"/>
  <c r="AH50" i="6"/>
  <c r="F50" i="11" s="1"/>
  <c r="AM50" i="6"/>
  <c r="AP50" i="6"/>
  <c r="AQ50" i="6"/>
  <c r="AI220" i="6"/>
  <c r="AN220" i="6"/>
  <c r="AM34" i="6"/>
  <c r="D34" i="11"/>
  <c r="AP34" i="6"/>
  <c r="AH34" i="6"/>
  <c r="F34" i="11" s="1"/>
  <c r="AQ34" i="6"/>
  <c r="L91" i="11"/>
  <c r="S91" i="11"/>
  <c r="K91" i="11"/>
  <c r="S129" i="11"/>
  <c r="L129" i="11"/>
  <c r="K129" i="11"/>
  <c r="D179" i="11"/>
  <c r="AH179" i="6"/>
  <c r="F179" i="11" s="1"/>
  <c r="AM179" i="6"/>
  <c r="AP179" i="6"/>
  <c r="AQ179" i="6"/>
  <c r="L25" i="11"/>
  <c r="K25" i="11"/>
  <c r="S25" i="11"/>
  <c r="K133" i="11"/>
  <c r="S133" i="11"/>
  <c r="L133" i="11"/>
  <c r="S217" i="11"/>
  <c r="L217" i="11"/>
  <c r="K217" i="11"/>
  <c r="AI76" i="6"/>
  <c r="AN76" i="6"/>
  <c r="AM110" i="6"/>
  <c r="AP110" i="6"/>
  <c r="D110" i="11"/>
  <c r="AH110" i="6"/>
  <c r="F110" i="11" s="1"/>
  <c r="AQ110" i="6"/>
  <c r="AP66" i="6"/>
  <c r="AH66" i="6"/>
  <c r="F66" i="11" s="1"/>
  <c r="AM66" i="6"/>
  <c r="D66" i="11"/>
  <c r="AQ66" i="6"/>
  <c r="AM134" i="6"/>
  <c r="AH134" i="6"/>
  <c r="F134" i="11" s="1"/>
  <c r="D134" i="11"/>
  <c r="AP134" i="6"/>
  <c r="AQ134" i="6"/>
  <c r="AD99" i="6"/>
  <c r="AF99" i="6"/>
  <c r="AF48" i="6"/>
  <c r="AD48" i="6"/>
  <c r="D189" i="11"/>
  <c r="AH189" i="6"/>
  <c r="F189" i="11" s="1"/>
  <c r="AP189" i="6"/>
  <c r="AM189" i="6"/>
  <c r="AQ189" i="6"/>
  <c r="D45" i="11"/>
  <c r="AM45" i="6"/>
  <c r="AP45" i="6"/>
  <c r="AH45" i="6"/>
  <c r="F45" i="11" s="1"/>
  <c r="AQ45" i="6"/>
  <c r="K169" i="11"/>
  <c r="L169" i="11"/>
  <c r="S169" i="11"/>
  <c r="D155" i="11"/>
  <c r="AM155" i="6"/>
  <c r="AP155" i="6"/>
  <c r="AH155" i="6"/>
  <c r="F155" i="11" s="1"/>
  <c r="AQ155" i="6"/>
  <c r="AH71" i="6"/>
  <c r="F71" i="11" s="1"/>
  <c r="AP71" i="6"/>
  <c r="D71" i="11"/>
  <c r="AM71" i="6"/>
  <c r="AQ71" i="6"/>
  <c r="AH47" i="6"/>
  <c r="F47" i="11" s="1"/>
  <c r="D47" i="11"/>
  <c r="AP47" i="6"/>
  <c r="AM47" i="6"/>
  <c r="AQ47" i="6"/>
  <c r="L118" i="11"/>
  <c r="K118" i="11"/>
  <c r="S118" i="11"/>
  <c r="AM64" i="6"/>
  <c r="AH64" i="6"/>
  <c r="F64" i="11" s="1"/>
  <c r="AP64" i="6"/>
  <c r="D64" i="11"/>
  <c r="AQ64" i="6"/>
  <c r="AM135" i="6"/>
  <c r="D135" i="11"/>
  <c r="AP135" i="6"/>
  <c r="AH135" i="6"/>
  <c r="F135" i="11" s="1"/>
  <c r="AQ135" i="6"/>
  <c r="K219" i="11"/>
  <c r="L219" i="11"/>
  <c r="S219" i="11"/>
  <c r="K205" i="11"/>
  <c r="L205" i="11"/>
  <c r="S205" i="11"/>
  <c r="K11" i="30"/>
  <c r="AP73" i="6"/>
  <c r="D73" i="11"/>
  <c r="AM73" i="6"/>
  <c r="AH73" i="6"/>
  <c r="F73" i="11" s="1"/>
  <c r="AQ73" i="6"/>
  <c r="AH79" i="6"/>
  <c r="F79" i="11" s="1"/>
  <c r="AP79" i="6"/>
  <c r="AM79" i="6"/>
  <c r="D79" i="11"/>
  <c r="AQ79" i="6"/>
  <c r="AI72" i="6"/>
  <c r="AN72" i="6"/>
  <c r="AP82" i="6"/>
  <c r="D82" i="11"/>
  <c r="AM82" i="6"/>
  <c r="AH82" i="6"/>
  <c r="F82" i="11" s="1"/>
  <c r="AQ82" i="6"/>
  <c r="D216" i="11"/>
  <c r="AP216" i="6"/>
  <c r="AH216" i="6"/>
  <c r="F216" i="11" s="1"/>
  <c r="AM216" i="6"/>
  <c r="AQ216" i="6"/>
  <c r="AN203" i="6"/>
  <c r="AI203" i="6"/>
  <c r="K115" i="11"/>
  <c r="L115" i="11"/>
  <c r="S115" i="11"/>
  <c r="AH183" i="6"/>
  <c r="F183" i="11" s="1"/>
  <c r="AM183" i="6"/>
  <c r="AP183" i="6"/>
  <c r="D183" i="11"/>
  <c r="AQ183" i="6"/>
  <c r="AH88" i="6"/>
  <c r="F88" i="11" s="1"/>
  <c r="AP88" i="6"/>
  <c r="AM88" i="6"/>
  <c r="D88" i="11"/>
  <c r="AQ88" i="6"/>
  <c r="AP214" i="6"/>
  <c r="AH214" i="6"/>
  <c r="F214" i="11" s="1"/>
  <c r="AM214" i="6"/>
  <c r="D214" i="11"/>
  <c r="AQ214" i="6"/>
  <c r="AP74" i="6"/>
  <c r="D74" i="11"/>
  <c r="AM74" i="6"/>
  <c r="AH74" i="6"/>
  <c r="F74" i="11" s="1"/>
  <c r="AQ74" i="6"/>
  <c r="AH184" i="6"/>
  <c r="F184" i="11" s="1"/>
  <c r="D184" i="11"/>
  <c r="AP184" i="6"/>
  <c r="AM184" i="6"/>
  <c r="AQ184" i="6"/>
  <c r="AM215" i="6"/>
  <c r="AP215" i="6"/>
  <c r="D215" i="11"/>
  <c r="AH215" i="6"/>
  <c r="F215" i="11" s="1"/>
  <c r="AQ215" i="6"/>
  <c r="D116" i="11"/>
  <c r="AH116" i="6"/>
  <c r="F116" i="11" s="1"/>
  <c r="AP116" i="6"/>
  <c r="AM116" i="6"/>
  <c r="AQ116" i="6"/>
  <c r="AP148" i="6"/>
  <c r="AH148" i="6"/>
  <c r="F148" i="11" s="1"/>
  <c r="D148" i="11"/>
  <c r="AM148" i="6"/>
  <c r="AQ148" i="6"/>
  <c r="AH63" i="6"/>
  <c r="F63" i="11" s="1"/>
  <c r="AP63" i="6"/>
  <c r="AM63" i="6"/>
  <c r="D63" i="11"/>
  <c r="AQ63" i="6"/>
  <c r="AF198" i="6"/>
  <c r="AD198" i="6"/>
  <c r="AM85" i="6"/>
  <c r="D85" i="11"/>
  <c r="AP85" i="6"/>
  <c r="AH85" i="6"/>
  <c r="F85" i="11" s="1"/>
  <c r="AQ85" i="6"/>
  <c r="D152" i="11"/>
  <c r="AP152" i="6"/>
  <c r="AH152" i="6"/>
  <c r="F152" i="11" s="1"/>
  <c r="AM152" i="6"/>
  <c r="AQ152" i="6"/>
  <c r="AM156" i="6"/>
  <c r="D156" i="11"/>
  <c r="AH156" i="6"/>
  <c r="F156" i="11" s="1"/>
  <c r="AP156" i="6"/>
  <c r="AQ156" i="6"/>
  <c r="D166" i="11"/>
  <c r="AH166" i="6"/>
  <c r="F166" i="11" s="1"/>
  <c r="AM166" i="6"/>
  <c r="AP166" i="6"/>
  <c r="AQ166" i="6"/>
  <c r="AP58" i="6"/>
  <c r="D58" i="11"/>
  <c r="AH58" i="6"/>
  <c r="F58" i="11" s="1"/>
  <c r="AM58" i="6"/>
  <c r="AQ58" i="6"/>
  <c r="D149" i="11"/>
  <c r="AP149" i="6"/>
  <c r="AM149" i="6"/>
  <c r="AH149" i="6"/>
  <c r="F149" i="11" s="1"/>
  <c r="AQ149" i="6"/>
  <c r="AM187" i="6"/>
  <c r="AP187" i="6"/>
  <c r="D187" i="11"/>
  <c r="AH187" i="6"/>
  <c r="F187" i="11" s="1"/>
  <c r="AQ187" i="6"/>
  <c r="AF36" i="6"/>
  <c r="AD36" i="6"/>
  <c r="AI133" i="6"/>
  <c r="AN133" i="6"/>
  <c r="AN69" i="6"/>
  <c r="AI69" i="6"/>
  <c r="AP59" i="6"/>
  <c r="D59" i="11"/>
  <c r="AM59" i="6"/>
  <c r="AH59" i="6"/>
  <c r="F59" i="11" s="1"/>
  <c r="AQ59" i="6"/>
  <c r="AN217" i="6"/>
  <c r="AI217" i="6"/>
  <c r="D173" i="11"/>
  <c r="AP173" i="6"/>
  <c r="AM173" i="6"/>
  <c r="AH173" i="6"/>
  <c r="F173" i="11" s="1"/>
  <c r="AQ173" i="6"/>
  <c r="AH188" i="6"/>
  <c r="F188" i="11" s="1"/>
  <c r="D188" i="11"/>
  <c r="AP188" i="6"/>
  <c r="AM188" i="6"/>
  <c r="AQ188" i="6"/>
  <c r="D154" i="11"/>
  <c r="AP154" i="6"/>
  <c r="AM154" i="6"/>
  <c r="AH154" i="6"/>
  <c r="F154" i="11" s="1"/>
  <c r="AQ154" i="6"/>
  <c r="D212" i="11"/>
  <c r="AM212" i="6"/>
  <c r="AH212" i="6"/>
  <c r="F212" i="11" s="1"/>
  <c r="AP212" i="6"/>
  <c r="AQ212" i="6"/>
  <c r="AH28" i="6"/>
  <c r="F28" i="11" s="1"/>
  <c r="AP28" i="6"/>
  <c r="D28" i="11"/>
  <c r="AM28" i="6"/>
  <c r="AQ28" i="6"/>
  <c r="L76" i="11"/>
  <c r="K76" i="11"/>
  <c r="S76" i="11"/>
  <c r="K119" i="11"/>
  <c r="S119" i="11"/>
  <c r="L119" i="11"/>
  <c r="AM141" i="6"/>
  <c r="AP141" i="6"/>
  <c r="AH141" i="6"/>
  <c r="F141" i="11" s="1"/>
  <c r="D141" i="11"/>
  <c r="AQ141" i="6"/>
  <c r="AI158" i="6"/>
  <c r="AN158" i="6"/>
  <c r="AI190" i="6"/>
  <c r="AN190" i="6"/>
  <c r="L26" i="30"/>
  <c r="K127" i="11"/>
  <c r="L127" i="11"/>
  <c r="S127" i="11"/>
  <c r="AP123" i="6"/>
  <c r="AM123" i="6"/>
  <c r="D123" i="11"/>
  <c r="AH123" i="6"/>
  <c r="F123" i="11" s="1"/>
  <c r="AQ123" i="6"/>
  <c r="AI83" i="6"/>
  <c r="AN83" i="6"/>
  <c r="L27" i="30"/>
  <c r="AH29" i="6"/>
  <c r="F29" i="11" s="1"/>
  <c r="AP29" i="6"/>
  <c r="D29" i="11"/>
  <c r="AM29" i="6"/>
  <c r="AQ29" i="6"/>
  <c r="AP206" i="6"/>
  <c r="AH206" i="6"/>
  <c r="F206" i="11" s="1"/>
  <c r="D206" i="11"/>
  <c r="AM206" i="6"/>
  <c r="AQ206" i="6"/>
  <c r="AP75" i="6"/>
  <c r="AH75" i="6"/>
  <c r="F75" i="11" s="1"/>
  <c r="AM75" i="6"/>
  <c r="D75" i="11"/>
  <c r="AQ75" i="6"/>
  <c r="AP191" i="6"/>
  <c r="AH191" i="6"/>
  <c r="F191" i="11" s="1"/>
  <c r="D191" i="11"/>
  <c r="AM191" i="6"/>
  <c r="AQ191" i="6"/>
  <c r="AI118" i="6"/>
  <c r="AN118" i="6"/>
  <c r="AD175" i="6"/>
  <c r="AF175" i="6"/>
  <c r="AM125" i="6"/>
  <c r="AP125" i="6"/>
  <c r="AH125" i="6"/>
  <c r="F125" i="11" s="1"/>
  <c r="D125" i="11"/>
  <c r="AQ125" i="6"/>
  <c r="AF167" i="6"/>
  <c r="AD167" i="6"/>
  <c r="K51" i="11"/>
  <c r="S51" i="11"/>
  <c r="L51" i="11"/>
  <c r="AF151" i="6"/>
  <c r="AD151" i="6"/>
  <c r="AN113" i="6"/>
  <c r="AI113" i="6"/>
  <c r="J9" i="31" l="1"/>
  <c r="N14" i="30"/>
  <c r="J8" i="31" s="1"/>
  <c r="AI173" i="6"/>
  <c r="AN173" i="6"/>
  <c r="K58" i="11"/>
  <c r="L58" i="11"/>
  <c r="S58" i="11"/>
  <c r="AN75" i="6"/>
  <c r="AI75" i="6"/>
  <c r="G190" i="11"/>
  <c r="S154" i="11"/>
  <c r="L154" i="11"/>
  <c r="K154" i="11"/>
  <c r="K116" i="11"/>
  <c r="L116" i="11"/>
  <c r="S116" i="11"/>
  <c r="G113" i="11"/>
  <c r="AA51" i="11"/>
  <c r="AC51" i="11" s="1"/>
  <c r="AG51" i="11" s="1"/>
  <c r="AP167" i="6"/>
  <c r="D167" i="11"/>
  <c r="AM167" i="6"/>
  <c r="AH167" i="6"/>
  <c r="F167" i="11" s="1"/>
  <c r="AQ167" i="6"/>
  <c r="AI29" i="6"/>
  <c r="AN29" i="6"/>
  <c r="S123" i="11"/>
  <c r="L123" i="11"/>
  <c r="K123" i="11"/>
  <c r="AA127" i="11"/>
  <c r="AC127" i="11" s="1"/>
  <c r="AG127" i="11" s="1"/>
  <c r="L141" i="11"/>
  <c r="S141" i="11"/>
  <c r="K141" i="11"/>
  <c r="AI28" i="6"/>
  <c r="AN28" i="6"/>
  <c r="G217" i="11"/>
  <c r="AN59" i="6"/>
  <c r="AI59" i="6"/>
  <c r="G69" i="11"/>
  <c r="AN187" i="6"/>
  <c r="AI187" i="6"/>
  <c r="S149" i="11"/>
  <c r="K149" i="11"/>
  <c r="L149" i="11"/>
  <c r="AI58" i="6"/>
  <c r="AN58" i="6"/>
  <c r="AN156" i="6"/>
  <c r="AI156" i="6"/>
  <c r="AN152" i="6"/>
  <c r="AI152" i="6"/>
  <c r="AN214" i="6"/>
  <c r="AI214" i="6"/>
  <c r="AI88" i="6"/>
  <c r="AN88" i="6"/>
  <c r="S73" i="11"/>
  <c r="K73" i="11"/>
  <c r="L73" i="11"/>
  <c r="AC219" i="11"/>
  <c r="AG219" i="11" s="1"/>
  <c r="AC169" i="11"/>
  <c r="AF169" i="11"/>
  <c r="AN134" i="6"/>
  <c r="AI134" i="6"/>
  <c r="AI110" i="6"/>
  <c r="AN110" i="6"/>
  <c r="AA129" i="11"/>
  <c r="AC129" i="11" s="1"/>
  <c r="AG129" i="11" s="1"/>
  <c r="AN50" i="6"/>
  <c r="AI50" i="6"/>
  <c r="K176" i="11"/>
  <c r="L176" i="11"/>
  <c r="S176" i="11"/>
  <c r="G138" i="11"/>
  <c r="L136" i="11"/>
  <c r="K136" i="11"/>
  <c r="S136" i="11"/>
  <c r="AI130" i="6"/>
  <c r="AN130" i="6"/>
  <c r="AN107" i="6"/>
  <c r="AI107" i="6"/>
  <c r="K93" i="11"/>
  <c r="L93" i="11"/>
  <c r="S93" i="11"/>
  <c r="K170" i="11"/>
  <c r="L170" i="11"/>
  <c r="S170" i="11"/>
  <c r="S178" i="11"/>
  <c r="K178" i="11"/>
  <c r="L178" i="11"/>
  <c r="K208" i="11"/>
  <c r="L208" i="11"/>
  <c r="S208" i="11"/>
  <c r="G186" i="11"/>
  <c r="AP195" i="6"/>
  <c r="AH195" i="6"/>
  <c r="F195" i="11" s="1"/>
  <c r="D195" i="11"/>
  <c r="AM195" i="6"/>
  <c r="AQ195" i="6"/>
  <c r="AI131" i="6"/>
  <c r="AN131" i="6"/>
  <c r="L202" i="11"/>
  <c r="S202" i="11"/>
  <c r="K202" i="11"/>
  <c r="L95" i="11"/>
  <c r="S95" i="11"/>
  <c r="K95" i="11"/>
  <c r="S49" i="11"/>
  <c r="L49" i="11"/>
  <c r="K49" i="11"/>
  <c r="AN67" i="6"/>
  <c r="AI67" i="6"/>
  <c r="G105" i="11"/>
  <c r="AA218" i="11"/>
  <c r="AC218" i="11" s="1"/>
  <c r="AG218" i="11" s="1"/>
  <c r="S61" i="11"/>
  <c r="L61" i="11"/>
  <c r="K61" i="11"/>
  <c r="S86" i="11"/>
  <c r="L86" i="11"/>
  <c r="K86" i="11"/>
  <c r="S97" i="11"/>
  <c r="L97" i="11"/>
  <c r="K97" i="11"/>
  <c r="K193" i="11"/>
  <c r="S193" i="11"/>
  <c r="L193" i="11"/>
  <c r="AC52" i="11"/>
  <c r="AF52" i="11"/>
  <c r="AN160" i="6"/>
  <c r="AI160" i="6"/>
  <c r="K196" i="11"/>
  <c r="L196" i="11"/>
  <c r="S196" i="11"/>
  <c r="AN104" i="6"/>
  <c r="AI104" i="6"/>
  <c r="AI197" i="6"/>
  <c r="AN197" i="6"/>
  <c r="W33" i="11"/>
  <c r="AA113" i="11"/>
  <c r="AC113" i="11" s="1"/>
  <c r="AG113" i="11" s="1"/>
  <c r="AH162" i="6"/>
  <c r="F162" i="11" s="1"/>
  <c r="AP162" i="6"/>
  <c r="D162" i="11"/>
  <c r="AM162" i="6"/>
  <c r="AQ162" i="6"/>
  <c r="G51" i="11"/>
  <c r="S89" i="11"/>
  <c r="L89" i="11"/>
  <c r="K89" i="11"/>
  <c r="AN53" i="6"/>
  <c r="AI53" i="6"/>
  <c r="L112" i="11"/>
  <c r="K112" i="11"/>
  <c r="S112" i="11"/>
  <c r="AH20" i="6"/>
  <c r="F20" i="11" s="1"/>
  <c r="AP20" i="6"/>
  <c r="AM20" i="6"/>
  <c r="D20" i="11"/>
  <c r="AQ20" i="6"/>
  <c r="AN201" i="6"/>
  <c r="AI201" i="6"/>
  <c r="K114" i="11"/>
  <c r="S114" i="11"/>
  <c r="L114" i="11"/>
  <c r="AI54" i="6"/>
  <c r="AN54" i="6"/>
  <c r="AA138" i="11"/>
  <c r="AC138" i="11" s="1"/>
  <c r="AG138" i="11" s="1"/>
  <c r="AN126" i="6"/>
  <c r="AI126" i="6"/>
  <c r="S199" i="11"/>
  <c r="L199" i="11"/>
  <c r="K199" i="11"/>
  <c r="AN207" i="6"/>
  <c r="AI207" i="6"/>
  <c r="X16" i="11"/>
  <c r="AN68" i="6"/>
  <c r="AI68" i="6"/>
  <c r="AI77" i="6"/>
  <c r="AN77" i="6"/>
  <c r="S77" i="11"/>
  <c r="K77" i="11"/>
  <c r="L77" i="11"/>
  <c r="AI191" i="6"/>
  <c r="AN191" i="6"/>
  <c r="K206" i="11"/>
  <c r="S206" i="11"/>
  <c r="L206" i="11"/>
  <c r="L29" i="11"/>
  <c r="S29" i="11"/>
  <c r="K29" i="11"/>
  <c r="G83" i="11"/>
  <c r="AI123" i="6"/>
  <c r="AN123" i="6"/>
  <c r="G158" i="11"/>
  <c r="AA119" i="11"/>
  <c r="AC119" i="11" s="1"/>
  <c r="AG119" i="11" s="1"/>
  <c r="K28" i="11"/>
  <c r="S28" i="11"/>
  <c r="L28" i="11"/>
  <c r="K212" i="11"/>
  <c r="L212" i="11"/>
  <c r="S212" i="11"/>
  <c r="AI154" i="6"/>
  <c r="AN154" i="6"/>
  <c r="AN188" i="6"/>
  <c r="AI188" i="6"/>
  <c r="D36" i="11"/>
  <c r="AH36" i="6"/>
  <c r="F36" i="11" s="1"/>
  <c r="AM36" i="6"/>
  <c r="AP36" i="6"/>
  <c r="AQ36" i="6"/>
  <c r="K187" i="11"/>
  <c r="L187" i="11"/>
  <c r="S187" i="11"/>
  <c r="AI149" i="6"/>
  <c r="AN149" i="6"/>
  <c r="AI166" i="6"/>
  <c r="AN166" i="6"/>
  <c r="L166" i="11"/>
  <c r="S166" i="11"/>
  <c r="K166" i="11"/>
  <c r="S152" i="11"/>
  <c r="K152" i="11"/>
  <c r="L152" i="11"/>
  <c r="AN85" i="6"/>
  <c r="AI85" i="6"/>
  <c r="AP198" i="6"/>
  <c r="AM198" i="6"/>
  <c r="AH198" i="6"/>
  <c r="F198" i="11" s="1"/>
  <c r="D198" i="11"/>
  <c r="AQ198" i="6"/>
  <c r="AN63" i="6"/>
  <c r="AI63" i="6"/>
  <c r="AN148" i="6"/>
  <c r="AI148" i="6"/>
  <c r="AI116" i="6"/>
  <c r="AN116" i="6"/>
  <c r="AI215" i="6"/>
  <c r="AN215" i="6"/>
  <c r="K184" i="11"/>
  <c r="S184" i="11"/>
  <c r="L184" i="11"/>
  <c r="K74" i="11"/>
  <c r="S74" i="11"/>
  <c r="L74" i="11"/>
  <c r="K214" i="11"/>
  <c r="S214" i="11"/>
  <c r="L214" i="11"/>
  <c r="AI183" i="6"/>
  <c r="AN183" i="6"/>
  <c r="G203" i="11"/>
  <c r="L216" i="11"/>
  <c r="K216" i="11"/>
  <c r="S216" i="11"/>
  <c r="S82" i="11"/>
  <c r="L82" i="11"/>
  <c r="K82" i="11"/>
  <c r="G72" i="11"/>
  <c r="AI79" i="6"/>
  <c r="AN79" i="6"/>
  <c r="K12" i="30"/>
  <c r="H11" i="31"/>
  <c r="AA118" i="11"/>
  <c r="AC118" i="11" s="1"/>
  <c r="AG118" i="11" s="1"/>
  <c r="AN47" i="6"/>
  <c r="AI47" i="6"/>
  <c r="AI155" i="6"/>
  <c r="AN155" i="6"/>
  <c r="AI45" i="6"/>
  <c r="AN45" i="6"/>
  <c r="K45" i="11"/>
  <c r="S45" i="11"/>
  <c r="L45" i="11"/>
  <c r="AM48" i="6"/>
  <c r="D48" i="11"/>
  <c r="AP48" i="6"/>
  <c r="AH48" i="6"/>
  <c r="F48" i="11" s="1"/>
  <c r="AQ48" i="6"/>
  <c r="S110" i="11"/>
  <c r="L110" i="11"/>
  <c r="K110" i="11"/>
  <c r="G76" i="11"/>
  <c r="AA133" i="11"/>
  <c r="AC133" i="11" s="1"/>
  <c r="AG133" i="11" s="1"/>
  <c r="AC25" i="11"/>
  <c r="AG25" i="11" s="1"/>
  <c r="AI179" i="6"/>
  <c r="AN179" i="6"/>
  <c r="S179" i="11"/>
  <c r="K179" i="11"/>
  <c r="L179" i="11"/>
  <c r="AA91" i="11"/>
  <c r="AC91" i="11" s="1"/>
  <c r="AG91" i="11" s="1"/>
  <c r="AN176" i="6"/>
  <c r="AI176" i="6"/>
  <c r="AN163" i="6"/>
  <c r="AI163" i="6"/>
  <c r="AH42" i="6"/>
  <c r="F42" i="11" s="1"/>
  <c r="AP42" i="6"/>
  <c r="AM42" i="6"/>
  <c r="D42" i="11"/>
  <c r="AQ42" i="6"/>
  <c r="AI124" i="6"/>
  <c r="AN124" i="6"/>
  <c r="AA137" i="11"/>
  <c r="AC137" i="11" s="1"/>
  <c r="AG137" i="11" s="1"/>
  <c r="AP43" i="6"/>
  <c r="AH43" i="6"/>
  <c r="F43" i="11" s="1"/>
  <c r="AM43" i="6"/>
  <c r="D43" i="11"/>
  <c r="AQ43" i="6"/>
  <c r="AN117" i="6"/>
  <c r="AI117" i="6"/>
  <c r="S150" i="11"/>
  <c r="K150" i="11"/>
  <c r="L150" i="11"/>
  <c r="AA203" i="11"/>
  <c r="AC203" i="11" s="1"/>
  <c r="AG203" i="11" s="1"/>
  <c r="K153" i="11"/>
  <c r="S153" i="11"/>
  <c r="L153" i="11"/>
  <c r="S46" i="11"/>
  <c r="L46" i="11"/>
  <c r="K46" i="11"/>
  <c r="AN178" i="6"/>
  <c r="AI178" i="6"/>
  <c r="AI111" i="6"/>
  <c r="AN111" i="6"/>
  <c r="AI202" i="6"/>
  <c r="AN202" i="6"/>
  <c r="AI49" i="6"/>
  <c r="AN49" i="6"/>
  <c r="AI200" i="6"/>
  <c r="AN200" i="6"/>
  <c r="L106" i="11"/>
  <c r="K106" i="11"/>
  <c r="S106" i="11"/>
  <c r="K70" i="11"/>
  <c r="S70" i="11"/>
  <c r="L70" i="11"/>
  <c r="AN70" i="6"/>
  <c r="AI70" i="6"/>
  <c r="AN87" i="6"/>
  <c r="AI87" i="6"/>
  <c r="S94" i="11"/>
  <c r="L94" i="11"/>
  <c r="K94" i="11"/>
  <c r="D164" i="11"/>
  <c r="AH164" i="6"/>
  <c r="F164" i="11" s="1"/>
  <c r="AM164" i="6"/>
  <c r="AP164" i="6"/>
  <c r="AQ164" i="6"/>
  <c r="L159" i="11"/>
  <c r="K159" i="11"/>
  <c r="S159" i="11"/>
  <c r="L32" i="11"/>
  <c r="K32" i="11"/>
  <c r="S32" i="11"/>
  <c r="AA185" i="11"/>
  <c r="AC185" i="11" s="1"/>
  <c r="AG185" i="11" s="1"/>
  <c r="AH157" i="6"/>
  <c r="F157" i="11" s="1"/>
  <c r="D157" i="11"/>
  <c r="AP157" i="6"/>
  <c r="AM157" i="6"/>
  <c r="AQ157" i="6"/>
  <c r="K160" i="11"/>
  <c r="L160" i="11"/>
  <c r="S160" i="11"/>
  <c r="L104" i="11"/>
  <c r="S104" i="11"/>
  <c r="K104" i="11"/>
  <c r="AC72" i="11"/>
  <c r="AF72" i="11"/>
  <c r="L197" i="11"/>
  <c r="K197" i="11"/>
  <c r="S197" i="11"/>
  <c r="G121" i="11"/>
  <c r="S180" i="11"/>
  <c r="K180" i="11"/>
  <c r="L180" i="11"/>
  <c r="AN89" i="6"/>
  <c r="AI89" i="6"/>
  <c r="G169" i="11"/>
  <c r="K98" i="11"/>
  <c r="L98" i="11"/>
  <c r="S98" i="11"/>
  <c r="AI112" i="6"/>
  <c r="AN112" i="6"/>
  <c r="AI161" i="6"/>
  <c r="AN161" i="6"/>
  <c r="L177" i="11"/>
  <c r="K177" i="11"/>
  <c r="S177" i="11"/>
  <c r="AI40" i="6"/>
  <c r="AN40" i="6"/>
  <c r="G91" i="11"/>
  <c r="W19" i="11"/>
  <c r="L90" i="11"/>
  <c r="K90" i="11"/>
  <c r="S90" i="11"/>
  <c r="AI90" i="6"/>
  <c r="AN90" i="6"/>
  <c r="S126" i="11"/>
  <c r="K126" i="11"/>
  <c r="L126" i="11"/>
  <c r="AI199" i="6"/>
  <c r="AN199" i="6"/>
  <c r="S84" i="11"/>
  <c r="L84" i="11"/>
  <c r="K84" i="11"/>
  <c r="S207" i="11"/>
  <c r="L207" i="11"/>
  <c r="K207" i="11"/>
  <c r="O16" i="6"/>
  <c r="S16" i="6"/>
  <c r="V16" i="6"/>
  <c r="Z16" i="6"/>
  <c r="AI140" i="6"/>
  <c r="AN140" i="6"/>
  <c r="AC165" i="11"/>
  <c r="AF165" i="11"/>
  <c r="AH37" i="6"/>
  <c r="F37" i="11" s="1"/>
  <c r="AM37" i="6"/>
  <c r="AP37" i="6"/>
  <c r="D37" i="11"/>
  <c r="AQ37" i="6"/>
  <c r="G205" i="11"/>
  <c r="W23" i="11"/>
  <c r="AI212" i="6"/>
  <c r="AN212" i="6"/>
  <c r="S59" i="11"/>
  <c r="L59" i="11"/>
  <c r="K59" i="11"/>
  <c r="K156" i="11"/>
  <c r="L156" i="11"/>
  <c r="S156" i="11"/>
  <c r="S85" i="11"/>
  <c r="L85" i="11"/>
  <c r="K85" i="11"/>
  <c r="S148" i="11"/>
  <c r="L148" i="11"/>
  <c r="K148" i="11"/>
  <c r="K183" i="11"/>
  <c r="L183" i="11"/>
  <c r="S183" i="11"/>
  <c r="AA115" i="11"/>
  <c r="AC115" i="11" s="1"/>
  <c r="AG115" i="11" s="1"/>
  <c r="AN216" i="6"/>
  <c r="AI216" i="6"/>
  <c r="AN73" i="6"/>
  <c r="AI73" i="6"/>
  <c r="AA205" i="11"/>
  <c r="AC205" i="11" s="1"/>
  <c r="AG205" i="11" s="1"/>
  <c r="W41" i="11"/>
  <c r="AI135" i="6"/>
  <c r="AN135" i="6"/>
  <c r="AI71" i="6"/>
  <c r="AN71" i="6"/>
  <c r="AN189" i="6"/>
  <c r="AI189" i="6"/>
  <c r="S66" i="11"/>
  <c r="K66" i="11"/>
  <c r="L66" i="11"/>
  <c r="AN34" i="6"/>
  <c r="AI34" i="6"/>
  <c r="G220" i="11"/>
  <c r="K124" i="11"/>
  <c r="L124" i="11"/>
  <c r="S124" i="11"/>
  <c r="S130" i="11"/>
  <c r="L130" i="11"/>
  <c r="K130" i="11"/>
  <c r="AP132" i="6"/>
  <c r="AH132" i="6"/>
  <c r="F132" i="11" s="1"/>
  <c r="AM132" i="6"/>
  <c r="D132" i="11"/>
  <c r="AQ132" i="6"/>
  <c r="AI93" i="6"/>
  <c r="AN93" i="6"/>
  <c r="G165" i="11"/>
  <c r="AI150" i="6"/>
  <c r="AN150" i="6"/>
  <c r="AN170" i="6"/>
  <c r="AI170" i="6"/>
  <c r="G219" i="11"/>
  <c r="L111" i="11"/>
  <c r="S111" i="11"/>
  <c r="K111" i="11"/>
  <c r="W65" i="11"/>
  <c r="S168" i="11"/>
  <c r="K168" i="11"/>
  <c r="L168" i="11"/>
  <c r="L200" i="11"/>
  <c r="K200" i="11"/>
  <c r="S200" i="11"/>
  <c r="G127" i="11"/>
  <c r="AI106" i="6"/>
  <c r="AN106" i="6"/>
  <c r="AA190" i="11"/>
  <c r="AC190" i="11" s="1"/>
  <c r="AG190" i="11" s="1"/>
  <c r="K35" i="11"/>
  <c r="L35" i="11"/>
  <c r="S35" i="11"/>
  <c r="AN35" i="6"/>
  <c r="AI35" i="6"/>
  <c r="AN94" i="6"/>
  <c r="AI94" i="6"/>
  <c r="S147" i="11"/>
  <c r="L147" i="11"/>
  <c r="K147" i="11"/>
  <c r="AN147" i="6"/>
  <c r="AI147" i="6"/>
  <c r="G25" i="11"/>
  <c r="AN61" i="6"/>
  <c r="AI61" i="6"/>
  <c r="AC220" i="11"/>
  <c r="AG220" i="11" s="1"/>
  <c r="AI97" i="6"/>
  <c r="AN97" i="6"/>
  <c r="AM44" i="6"/>
  <c r="D44" i="11"/>
  <c r="AP44" i="6"/>
  <c r="AH44" i="6"/>
  <c r="F44" i="11" s="1"/>
  <c r="AQ44" i="6"/>
  <c r="AN196" i="6"/>
  <c r="AI196" i="6"/>
  <c r="AI181" i="6"/>
  <c r="AN181" i="6"/>
  <c r="AA92" i="11"/>
  <c r="AC92" i="11" s="1"/>
  <c r="AG92" i="11" s="1"/>
  <c r="AN60" i="6"/>
  <c r="AI60" i="6"/>
  <c r="D103" i="11"/>
  <c r="AH103" i="6"/>
  <c r="F103" i="11" s="1"/>
  <c r="AM103" i="6"/>
  <c r="AP103" i="6"/>
  <c r="AQ103" i="6"/>
  <c r="K53" i="11"/>
  <c r="S53" i="11"/>
  <c r="L53" i="11"/>
  <c r="J10" i="31"/>
  <c r="L96" i="11"/>
  <c r="S96" i="11"/>
  <c r="K96" i="11"/>
  <c r="D146" i="11"/>
  <c r="AP146" i="6"/>
  <c r="AH146" i="6"/>
  <c r="F146" i="11" s="1"/>
  <c r="AM146" i="6"/>
  <c r="AQ146" i="6"/>
  <c r="AN114" i="6"/>
  <c r="AI114" i="6"/>
  <c r="AC69" i="11"/>
  <c r="AF69" i="11"/>
  <c r="AN57" i="6"/>
  <c r="AI57" i="6"/>
  <c r="G129" i="11"/>
  <c r="L40" i="11"/>
  <c r="S40" i="11"/>
  <c r="K40" i="11"/>
  <c r="S54" i="11"/>
  <c r="L54" i="11"/>
  <c r="K54" i="11"/>
  <c r="G185" i="11"/>
  <c r="G52" i="11"/>
  <c r="AI84" i="6"/>
  <c r="AN84" i="6"/>
  <c r="AI125" i="6"/>
  <c r="AN125" i="6"/>
  <c r="G118" i="11"/>
  <c r="K191" i="11"/>
  <c r="S191" i="11"/>
  <c r="L191" i="11"/>
  <c r="L75" i="11"/>
  <c r="K75" i="11"/>
  <c r="S75" i="11"/>
  <c r="AN206" i="6"/>
  <c r="AI206" i="6"/>
  <c r="AM151" i="6"/>
  <c r="D151" i="11"/>
  <c r="AH151" i="6"/>
  <c r="F151" i="11" s="1"/>
  <c r="AP151" i="6"/>
  <c r="AQ151" i="6"/>
  <c r="S125" i="11"/>
  <c r="L125" i="11"/>
  <c r="K125" i="11"/>
  <c r="D175" i="11"/>
  <c r="AM175" i="6"/>
  <c r="AP175" i="6"/>
  <c r="AH175" i="6"/>
  <c r="F175" i="11" s="1"/>
  <c r="AQ175" i="6"/>
  <c r="AN141" i="6"/>
  <c r="AI141" i="6"/>
  <c r="Y16" i="11"/>
  <c r="AC76" i="11"/>
  <c r="AF76" i="11"/>
  <c r="S188" i="11"/>
  <c r="L188" i="11"/>
  <c r="K188" i="11"/>
  <c r="K173" i="11"/>
  <c r="S173" i="11"/>
  <c r="L173" i="11"/>
  <c r="G133" i="11"/>
  <c r="L63" i="11"/>
  <c r="K63" i="11"/>
  <c r="S63" i="11"/>
  <c r="L215" i="11"/>
  <c r="S215" i="11"/>
  <c r="K215" i="11"/>
  <c r="AN184" i="6"/>
  <c r="AI184" i="6"/>
  <c r="AN74" i="6"/>
  <c r="AI74" i="6"/>
  <c r="K88" i="11"/>
  <c r="L88" i="11"/>
  <c r="S88" i="11"/>
  <c r="AN82" i="6"/>
  <c r="AI82" i="6"/>
  <c r="S79" i="11"/>
  <c r="L79" i="11"/>
  <c r="K79" i="11"/>
  <c r="L135" i="11"/>
  <c r="S135" i="11"/>
  <c r="K135" i="11"/>
  <c r="S64" i="11"/>
  <c r="K64" i="11"/>
  <c r="L64" i="11"/>
  <c r="AI64" i="6"/>
  <c r="AN64" i="6"/>
  <c r="K47" i="11"/>
  <c r="L47" i="11"/>
  <c r="S47" i="11"/>
  <c r="S71" i="11"/>
  <c r="K71" i="11"/>
  <c r="L71" i="11"/>
  <c r="S155" i="11"/>
  <c r="L155" i="11"/>
  <c r="K155" i="11"/>
  <c r="S189" i="11"/>
  <c r="L189" i="11"/>
  <c r="K189" i="11"/>
  <c r="AP99" i="6"/>
  <c r="D99" i="11"/>
  <c r="AH99" i="6"/>
  <c r="F99" i="11" s="1"/>
  <c r="AM99" i="6"/>
  <c r="AQ99" i="6"/>
  <c r="K134" i="11"/>
  <c r="L134" i="11"/>
  <c r="S134" i="11"/>
  <c r="AN66" i="6"/>
  <c r="AI66" i="6"/>
  <c r="W102" i="11"/>
  <c r="W30" i="11"/>
  <c r="AC217" i="11"/>
  <c r="AF217" i="11"/>
  <c r="W18" i="11"/>
  <c r="L34" i="11"/>
  <c r="K34" i="11"/>
  <c r="S34" i="11"/>
  <c r="S50" i="11"/>
  <c r="K50" i="11"/>
  <c r="L50" i="11"/>
  <c r="L163" i="11"/>
  <c r="S163" i="11"/>
  <c r="K163" i="11"/>
  <c r="G211" i="11"/>
  <c r="AN136" i="6"/>
  <c r="AI136" i="6"/>
  <c r="L107" i="11"/>
  <c r="K107" i="11"/>
  <c r="S107" i="11"/>
  <c r="G115" i="11"/>
  <c r="K117" i="11"/>
  <c r="S117" i="11"/>
  <c r="L117" i="11"/>
  <c r="AI153" i="6"/>
  <c r="AN153" i="6"/>
  <c r="AN46" i="6"/>
  <c r="AI46" i="6"/>
  <c r="AI208" i="6"/>
  <c r="AN208" i="6"/>
  <c r="G92" i="11"/>
  <c r="W62" i="11"/>
  <c r="L131" i="11"/>
  <c r="S131" i="11"/>
  <c r="K131" i="11"/>
  <c r="AC121" i="11"/>
  <c r="AG121" i="11" s="1"/>
  <c r="AN95" i="6"/>
  <c r="AI95" i="6"/>
  <c r="S109" i="11"/>
  <c r="L109" i="11"/>
  <c r="K109" i="11"/>
  <c r="AN109" i="6"/>
  <c r="AI109" i="6"/>
  <c r="AN168" i="6"/>
  <c r="AI168" i="6"/>
  <c r="W100" i="11"/>
  <c r="AA83" i="11"/>
  <c r="L67" i="11"/>
  <c r="K67" i="11"/>
  <c r="S67" i="11"/>
  <c r="AH192" i="6"/>
  <c r="F192" i="11" s="1"/>
  <c r="AP192" i="6"/>
  <c r="D192" i="11"/>
  <c r="AM192" i="6"/>
  <c r="AQ192" i="6"/>
  <c r="K87" i="11"/>
  <c r="L87" i="11"/>
  <c r="S87" i="11"/>
  <c r="AC204" i="11"/>
  <c r="AF204" i="11"/>
  <c r="W31" i="11"/>
  <c r="AI159" i="6"/>
  <c r="AN159" i="6"/>
  <c r="D39" i="11"/>
  <c r="AH39" i="6"/>
  <c r="F39" i="11" s="1"/>
  <c r="AP39" i="6"/>
  <c r="AM39" i="6"/>
  <c r="AQ39" i="6"/>
  <c r="AI32" i="6"/>
  <c r="AN32" i="6"/>
  <c r="AN86" i="6"/>
  <c r="AI86" i="6"/>
  <c r="AI193" i="6"/>
  <c r="AN193" i="6"/>
  <c r="G137" i="11"/>
  <c r="S181" i="11"/>
  <c r="K181" i="11"/>
  <c r="L181" i="11"/>
  <c r="L60" i="11"/>
  <c r="S60" i="11"/>
  <c r="K60" i="11"/>
  <c r="AI180" i="6"/>
  <c r="AN180" i="6"/>
  <c r="W55" i="11"/>
  <c r="AI98" i="6"/>
  <c r="AN98" i="6"/>
  <c r="AA158" i="11"/>
  <c r="AN96" i="6"/>
  <c r="AI96" i="6"/>
  <c r="K161" i="11"/>
  <c r="L161" i="11"/>
  <c r="S161" i="11"/>
  <c r="G119" i="11"/>
  <c r="K201" i="11"/>
  <c r="L201" i="11"/>
  <c r="S201" i="11"/>
  <c r="Y21" i="11"/>
  <c r="W21" i="11"/>
  <c r="AA105" i="11"/>
  <c r="AC105" i="11" s="1"/>
  <c r="AG105" i="11" s="1"/>
  <c r="G218" i="11"/>
  <c r="S57" i="11"/>
  <c r="K57" i="11"/>
  <c r="L57" i="11"/>
  <c r="AN177" i="6"/>
  <c r="AI177" i="6"/>
  <c r="G204" i="11"/>
  <c r="AN194" i="6"/>
  <c r="AI194" i="6"/>
  <c r="L194" i="11"/>
  <c r="S194" i="11"/>
  <c r="K194" i="11"/>
  <c r="AA211" i="11"/>
  <c r="AC211" i="11" s="1"/>
  <c r="AG211" i="11" s="1"/>
  <c r="D145" i="11"/>
  <c r="AH145" i="6"/>
  <c r="F145" i="11" s="1"/>
  <c r="AP145" i="6"/>
  <c r="AM145" i="6"/>
  <c r="AQ145" i="6"/>
  <c r="I7" i="31"/>
  <c r="L16" i="30"/>
  <c r="W16" i="11"/>
  <c r="K140" i="11"/>
  <c r="S140" i="11"/>
  <c r="L140" i="11"/>
  <c r="K68" i="11"/>
  <c r="L68" i="11"/>
  <c r="S68" i="11"/>
  <c r="AA186" i="11"/>
  <c r="AC186" i="11" s="1"/>
  <c r="AG186" i="11" s="1"/>
  <c r="AG72" i="11" l="1"/>
  <c r="AI72" i="11" s="1"/>
  <c r="AG204" i="11"/>
  <c r="AI204" i="11" s="1"/>
  <c r="W142" i="11"/>
  <c r="AG69" i="11"/>
  <c r="AJ69" i="11" s="1"/>
  <c r="AN69" i="11" s="1"/>
  <c r="N15" i="30"/>
  <c r="N16" i="30" s="1"/>
  <c r="W171" i="11"/>
  <c r="AA171" i="11" s="1"/>
  <c r="AG52" i="11"/>
  <c r="AJ52" i="11" s="1"/>
  <c r="AN52" i="11" s="1"/>
  <c r="AG76" i="11"/>
  <c r="AJ76" i="11" s="1"/>
  <c r="AN76" i="11" s="1"/>
  <c r="W108" i="11"/>
  <c r="W139" i="11"/>
  <c r="AJ113" i="11"/>
  <c r="AN113" i="11" s="1"/>
  <c r="AI113" i="11"/>
  <c r="AM113" i="11" s="1"/>
  <c r="AJ129" i="11"/>
  <c r="AN129" i="11" s="1"/>
  <c r="AI129" i="11"/>
  <c r="AM129" i="11" s="1"/>
  <c r="AJ133" i="11"/>
  <c r="AN133" i="11" s="1"/>
  <c r="AI133" i="11"/>
  <c r="AM133" i="11" s="1"/>
  <c r="AI105" i="11"/>
  <c r="AM105" i="11" s="1"/>
  <c r="AJ105" i="11"/>
  <c r="AI92" i="11"/>
  <c r="AM92" i="11" s="1"/>
  <c r="AJ92" i="11"/>
  <c r="AN92" i="11" s="1"/>
  <c r="AI185" i="11"/>
  <c r="AM185" i="11" s="1"/>
  <c r="AJ185" i="11"/>
  <c r="AN185" i="11" s="1"/>
  <c r="AJ203" i="11"/>
  <c r="AN203" i="11" s="1"/>
  <c r="AI203" i="11"/>
  <c r="AM203" i="11" s="1"/>
  <c r="AJ137" i="11"/>
  <c r="AN137" i="11" s="1"/>
  <c r="AI137" i="11"/>
  <c r="AJ138" i="11"/>
  <c r="AN138" i="11" s="1"/>
  <c r="AI138" i="11"/>
  <c r="AJ51" i="11"/>
  <c r="AN51" i="11" s="1"/>
  <c r="AI51" i="11"/>
  <c r="AM51" i="11" s="1"/>
  <c r="AJ211" i="11"/>
  <c r="AN211" i="11" s="1"/>
  <c r="AI211" i="11"/>
  <c r="AM211" i="11" s="1"/>
  <c r="AF21" i="11"/>
  <c r="AA21" i="11"/>
  <c r="AC201" i="11"/>
  <c r="AG201" i="11" s="1"/>
  <c r="G96" i="11"/>
  <c r="AC158" i="11"/>
  <c r="AG158" i="11" s="1"/>
  <c r="G98" i="11"/>
  <c r="AF55" i="11"/>
  <c r="AA55" i="11"/>
  <c r="Y78" i="11"/>
  <c r="G180" i="11"/>
  <c r="Y15" i="11"/>
  <c r="Y210" i="11"/>
  <c r="AC181" i="11"/>
  <c r="AG181" i="11" s="1"/>
  <c r="Y26" i="11"/>
  <c r="AI39" i="6"/>
  <c r="AN39" i="6"/>
  <c r="X31" i="11"/>
  <c r="AC87" i="11"/>
  <c r="AG87" i="11" s="1"/>
  <c r="AC83" i="11"/>
  <c r="AG83" i="11" s="1"/>
  <c r="O100" i="6"/>
  <c r="S100" i="6"/>
  <c r="V100" i="6"/>
  <c r="Z100" i="6"/>
  <c r="AA62" i="11"/>
  <c r="O142" i="6"/>
  <c r="M302" i="6" s="1"/>
  <c r="S142" i="6"/>
  <c r="Q302" i="6" s="1"/>
  <c r="V142" i="6"/>
  <c r="T302" i="6" s="1"/>
  <c r="Z142" i="6"/>
  <c r="AA142" i="11"/>
  <c r="AF30" i="11"/>
  <c r="X102" i="11"/>
  <c r="AC134" i="11"/>
  <c r="AG134" i="11" s="1"/>
  <c r="AC135" i="11"/>
  <c r="AG135" i="11" s="1"/>
  <c r="AC79" i="11"/>
  <c r="AG79" i="11" s="1"/>
  <c r="G184" i="11"/>
  <c r="G206" i="11"/>
  <c r="X108" i="11"/>
  <c r="AC54" i="11"/>
  <c r="AG54" i="11" s="1"/>
  <c r="G114" i="11"/>
  <c r="AC96" i="11"/>
  <c r="AF96" i="11"/>
  <c r="G181" i="11"/>
  <c r="O210" i="6"/>
  <c r="S210" i="6"/>
  <c r="V210" i="6"/>
  <c r="Z210" i="6"/>
  <c r="X14" i="11"/>
  <c r="G147" i="11"/>
  <c r="AC147" i="11"/>
  <c r="AG147" i="11" s="1"/>
  <c r="G106" i="11"/>
  <c r="X65" i="11"/>
  <c r="K132" i="11"/>
  <c r="S132" i="11"/>
  <c r="L132" i="11"/>
  <c r="AC124" i="11"/>
  <c r="AG124" i="11" s="1"/>
  <c r="AA139" i="11"/>
  <c r="G71" i="11"/>
  <c r="X41" i="11"/>
  <c r="AF41" i="11"/>
  <c r="G73" i="11"/>
  <c r="AC183" i="11"/>
  <c r="AG183" i="11" s="1"/>
  <c r="AC85" i="11"/>
  <c r="AF85" i="11"/>
  <c r="AC16" i="6"/>
  <c r="G199" i="11"/>
  <c r="G161" i="11"/>
  <c r="Y56" i="11"/>
  <c r="W17" i="11"/>
  <c r="O128" i="6"/>
  <c r="M301" i="6" s="1"/>
  <c r="S128" i="6"/>
  <c r="Q301" i="6" s="1"/>
  <c r="V128" i="6"/>
  <c r="T301" i="6" s="1"/>
  <c r="Z128" i="6"/>
  <c r="AI157" i="6"/>
  <c r="AN157" i="6"/>
  <c r="AN164" i="6"/>
  <c r="AI164" i="6"/>
  <c r="O24" i="6"/>
  <c r="S24" i="6"/>
  <c r="V24" i="6"/>
  <c r="Z24" i="6"/>
  <c r="AC94" i="11"/>
  <c r="AG94" i="11" s="1"/>
  <c r="Y65" i="11"/>
  <c r="G49" i="11"/>
  <c r="G111" i="11"/>
  <c r="G178" i="11"/>
  <c r="AC46" i="11"/>
  <c r="AG46" i="11" s="1"/>
  <c r="G124" i="11"/>
  <c r="G45" i="11"/>
  <c r="H10" i="31"/>
  <c r="K13" i="30"/>
  <c r="AA216" i="11"/>
  <c r="AC216" i="11" s="1"/>
  <c r="AG216" i="11" s="1"/>
  <c r="AA214" i="11"/>
  <c r="AC214" i="11" s="1"/>
  <c r="AG214" i="11" s="1"/>
  <c r="AC184" i="11"/>
  <c r="AF184" i="11"/>
  <c r="O182" i="6"/>
  <c r="S182" i="6"/>
  <c r="V182" i="6"/>
  <c r="Z182" i="6"/>
  <c r="G116" i="11"/>
  <c r="G166" i="11"/>
  <c r="AC187" i="11"/>
  <c r="AF187" i="11"/>
  <c r="Y139" i="11"/>
  <c r="AA206" i="11"/>
  <c r="AC206" i="11" s="1"/>
  <c r="AG206" i="11" s="1"/>
  <c r="Y13" i="11"/>
  <c r="G77" i="11"/>
  <c r="G207" i="11"/>
  <c r="G126" i="11"/>
  <c r="S20" i="11"/>
  <c r="L20" i="11"/>
  <c r="K20" i="11"/>
  <c r="Y171" i="11"/>
  <c r="AN162" i="6"/>
  <c r="AI162" i="6"/>
  <c r="AA196" i="11"/>
  <c r="AC196" i="11" s="1"/>
  <c r="AG196" i="11" s="1"/>
  <c r="O120" i="6"/>
  <c r="S120" i="6"/>
  <c r="V120" i="6"/>
  <c r="Z120" i="6"/>
  <c r="AC97" i="11"/>
  <c r="AG97" i="11" s="1"/>
  <c r="Y102" i="11"/>
  <c r="AC61" i="11"/>
  <c r="AG61" i="11" s="1"/>
  <c r="Y27" i="11"/>
  <c r="W213" i="11"/>
  <c r="AC202" i="11"/>
  <c r="AG202" i="11" s="1"/>
  <c r="AC208" i="11"/>
  <c r="AG208" i="11" s="1"/>
  <c r="G130" i="11"/>
  <c r="Y33" i="11"/>
  <c r="G110" i="11"/>
  <c r="Y55" i="11"/>
  <c r="X38" i="11"/>
  <c r="G156" i="11"/>
  <c r="Y19" i="11"/>
  <c r="G187" i="11"/>
  <c r="G59" i="11"/>
  <c r="G29" i="11"/>
  <c r="L167" i="11"/>
  <c r="S167" i="11"/>
  <c r="K167" i="11"/>
  <c r="AA116" i="11"/>
  <c r="AC116" i="11" s="1"/>
  <c r="AG116" i="11" s="1"/>
  <c r="Y23" i="11"/>
  <c r="AI186" i="11"/>
  <c r="AM186" i="11" s="1"/>
  <c r="AJ186" i="11"/>
  <c r="AN186" i="11" s="1"/>
  <c r="L17" i="30"/>
  <c r="L18" i="30" s="1"/>
  <c r="L19" i="30" s="1"/>
  <c r="L20" i="30" s="1"/>
  <c r="L23" i="30" s="1"/>
  <c r="Y24" i="11"/>
  <c r="AC140" i="11"/>
  <c r="AG140" i="11" s="1"/>
  <c r="W15" i="11"/>
  <c r="AI145" i="6"/>
  <c r="AN145" i="6"/>
  <c r="AA194" i="11"/>
  <c r="AC194" i="11" s="1"/>
  <c r="AG194" i="11" s="1"/>
  <c r="AA161" i="11"/>
  <c r="AC161" i="11" s="1"/>
  <c r="AG161" i="11" s="1"/>
  <c r="O12" i="6"/>
  <c r="S12" i="6"/>
  <c r="V12" i="6"/>
  <c r="Z12" i="6"/>
  <c r="X55" i="11"/>
  <c r="G109" i="11"/>
  <c r="AC109" i="11"/>
  <c r="AG109" i="11" s="1"/>
  <c r="AI121" i="11"/>
  <c r="AJ121" i="11"/>
  <c r="AN121" i="11" s="1"/>
  <c r="X62" i="11"/>
  <c r="G136" i="11"/>
  <c r="Y14" i="11"/>
  <c r="O21" i="6"/>
  <c r="S21" i="6"/>
  <c r="V21" i="6"/>
  <c r="Z21" i="6"/>
  <c r="AG217" i="11"/>
  <c r="O102" i="6"/>
  <c r="M249" i="6" s="1"/>
  <c r="S102" i="6"/>
  <c r="Q249" i="6" s="1"/>
  <c r="V102" i="6"/>
  <c r="T249" i="6" s="1"/>
  <c r="Z102" i="6"/>
  <c r="AC71" i="11"/>
  <c r="AG71" i="11" s="1"/>
  <c r="AC64" i="11"/>
  <c r="AG64" i="11" s="1"/>
  <c r="G82" i="11"/>
  <c r="AC63" i="11"/>
  <c r="AG63" i="11" s="1"/>
  <c r="G141" i="11"/>
  <c r="S175" i="11"/>
  <c r="K175" i="11"/>
  <c r="L175" i="11"/>
  <c r="AC125" i="11"/>
  <c r="AG125" i="11" s="1"/>
  <c r="L151" i="11"/>
  <c r="S151" i="11"/>
  <c r="K151" i="11"/>
  <c r="S103" i="11"/>
  <c r="K103" i="11"/>
  <c r="L103" i="11"/>
  <c r="G196" i="11"/>
  <c r="L44" i="11"/>
  <c r="S44" i="11"/>
  <c r="K44" i="11"/>
  <c r="W210" i="11"/>
  <c r="AI220" i="11"/>
  <c r="AJ220" i="11"/>
  <c r="AN220" i="11" s="1"/>
  <c r="G94" i="11"/>
  <c r="AC35" i="11"/>
  <c r="AG35" i="11" s="1"/>
  <c r="O65" i="6"/>
  <c r="S65" i="6"/>
  <c r="V65" i="6"/>
  <c r="Z65" i="6"/>
  <c r="O139" i="6"/>
  <c r="S139" i="6"/>
  <c r="V139" i="6"/>
  <c r="Z139" i="6"/>
  <c r="X174" i="11"/>
  <c r="AC66" i="11"/>
  <c r="AG66" i="11" s="1"/>
  <c r="X22" i="11"/>
  <c r="O41" i="6"/>
  <c r="S41" i="6"/>
  <c r="V41" i="6"/>
  <c r="Z41" i="6"/>
  <c r="AC148" i="11"/>
  <c r="AG148" i="11" s="1"/>
  <c r="Y213" i="11"/>
  <c r="G212" i="11"/>
  <c r="AI37" i="6"/>
  <c r="AN37" i="6"/>
  <c r="AG165" i="11"/>
  <c r="G90" i="11"/>
  <c r="O19" i="6"/>
  <c r="S19" i="6"/>
  <c r="V19" i="6"/>
  <c r="Z19" i="6"/>
  <c r="O78" i="6"/>
  <c r="S78" i="6"/>
  <c r="V78" i="6"/>
  <c r="Z78" i="6"/>
  <c r="AC177" i="11"/>
  <c r="AG177" i="11" s="1"/>
  <c r="AC98" i="11"/>
  <c r="AG98" i="11" s="1"/>
  <c r="Y31" i="11"/>
  <c r="Y18" i="11"/>
  <c r="AC104" i="11"/>
  <c r="AG104" i="11" s="1"/>
  <c r="X128" i="11"/>
  <c r="W128" i="11"/>
  <c r="S157" i="11"/>
  <c r="L157" i="11"/>
  <c r="K157" i="11"/>
  <c r="AC159" i="11"/>
  <c r="AG159" i="11" s="1"/>
  <c r="S164" i="11"/>
  <c r="L164" i="11"/>
  <c r="K164" i="11"/>
  <c r="X24" i="11"/>
  <c r="G87" i="11"/>
  <c r="AC106" i="11"/>
  <c r="AG106" i="11" s="1"/>
  <c r="G200" i="11"/>
  <c r="X172" i="11"/>
  <c r="AC150" i="11"/>
  <c r="AG150" i="11" s="1"/>
  <c r="AI43" i="6"/>
  <c r="AN43" i="6"/>
  <c r="O56" i="6"/>
  <c r="M242" i="6" s="1"/>
  <c r="S56" i="6"/>
  <c r="Q242" i="6" s="1"/>
  <c r="V56" i="6"/>
  <c r="T242" i="6" s="1"/>
  <c r="Z56" i="6"/>
  <c r="W56" i="11"/>
  <c r="G179" i="11"/>
  <c r="AA110" i="11"/>
  <c r="AC110" i="11" s="1"/>
  <c r="AG110" i="11" s="1"/>
  <c r="AA45" i="11"/>
  <c r="AC45" i="11" s="1"/>
  <c r="AG45" i="11" s="1"/>
  <c r="G155" i="11"/>
  <c r="O144" i="6"/>
  <c r="M304" i="6" s="1"/>
  <c r="S144" i="6"/>
  <c r="Q304" i="6" s="1"/>
  <c r="V144" i="6"/>
  <c r="T304" i="6" s="1"/>
  <c r="Z144" i="6"/>
  <c r="W144" i="11"/>
  <c r="X182" i="11"/>
  <c r="G148" i="11"/>
  <c r="AA166" i="11"/>
  <c r="AC166" i="11" s="1"/>
  <c r="AG166" i="11" s="1"/>
  <c r="Y144" i="11"/>
  <c r="L36" i="11"/>
  <c r="K36" i="11"/>
  <c r="S36" i="11"/>
  <c r="G154" i="11"/>
  <c r="G68" i="11"/>
  <c r="O26" i="6"/>
  <c r="S26" i="6"/>
  <c r="V26" i="6"/>
  <c r="Z26" i="6"/>
  <c r="W26" i="11"/>
  <c r="AA199" i="11"/>
  <c r="AC199" i="11" s="1"/>
  <c r="AG199" i="11" s="1"/>
  <c r="AC114" i="11"/>
  <c r="AG114" i="11" s="1"/>
  <c r="G201" i="11"/>
  <c r="AN20" i="6"/>
  <c r="AI20" i="6"/>
  <c r="AC112" i="11"/>
  <c r="AF112" i="11"/>
  <c r="G197" i="11"/>
  <c r="AC193" i="11"/>
  <c r="AG193" i="11" s="1"/>
  <c r="W120" i="11"/>
  <c r="W27" i="11"/>
  <c r="X213" i="11"/>
  <c r="AA95" i="11"/>
  <c r="AC95" i="11" s="1"/>
  <c r="AG95" i="11" s="1"/>
  <c r="AI195" i="6"/>
  <c r="AN195" i="6"/>
  <c r="AC178" i="11"/>
  <c r="AG178" i="11" s="1"/>
  <c r="G107" i="11"/>
  <c r="AC136" i="11"/>
  <c r="AG136" i="11" s="1"/>
  <c r="O13" i="6"/>
  <c r="S13" i="6"/>
  <c r="V13" i="6"/>
  <c r="Z13" i="6"/>
  <c r="G50" i="11"/>
  <c r="G134" i="11"/>
  <c r="AG169" i="11"/>
  <c r="AC73" i="11"/>
  <c r="AG73" i="11" s="1"/>
  <c r="O38" i="6"/>
  <c r="S38" i="6"/>
  <c r="V38" i="6"/>
  <c r="Z38" i="6"/>
  <c r="G28" i="11"/>
  <c r="AC154" i="11"/>
  <c r="AG154" i="11" s="1"/>
  <c r="G75" i="11"/>
  <c r="O15" i="6"/>
  <c r="S15" i="6"/>
  <c r="V15" i="6"/>
  <c r="Z15" i="6"/>
  <c r="O55" i="6"/>
  <c r="S55" i="6"/>
  <c r="V55" i="6"/>
  <c r="Z55" i="6"/>
  <c r="AC60" i="11"/>
  <c r="AF60" i="11"/>
  <c r="Y174" i="11"/>
  <c r="G193" i="11"/>
  <c r="G32" i="11"/>
  <c r="G159" i="11"/>
  <c r="AA31" i="11"/>
  <c r="AF31" i="11"/>
  <c r="AI192" i="6"/>
  <c r="AN192" i="6"/>
  <c r="G168" i="11"/>
  <c r="G95" i="11"/>
  <c r="O62" i="6"/>
  <c r="S62" i="6"/>
  <c r="Q243" i="6" s="1"/>
  <c r="V62" i="6"/>
  <c r="T243" i="6" s="1"/>
  <c r="Z62" i="6"/>
  <c r="AC62" i="6" s="1"/>
  <c r="G208" i="11"/>
  <c r="G153" i="11"/>
  <c r="AC117" i="11"/>
  <c r="AG117" i="11" s="1"/>
  <c r="AA107" i="11"/>
  <c r="AC107" i="11" s="1"/>
  <c r="AG107" i="11" s="1"/>
  <c r="AC163" i="11"/>
  <c r="AG163" i="11" s="1"/>
  <c r="AC50" i="11"/>
  <c r="AG50" i="11" s="1"/>
  <c r="O18" i="6"/>
  <c r="S18" i="6"/>
  <c r="V18" i="6"/>
  <c r="Z18" i="6"/>
  <c r="X21" i="11"/>
  <c r="O30" i="6"/>
  <c r="S30" i="6"/>
  <c r="V30" i="6"/>
  <c r="Z30" i="6"/>
  <c r="Y172" i="11"/>
  <c r="AA102" i="11"/>
  <c r="AF102" i="11"/>
  <c r="Y22" i="11"/>
  <c r="G66" i="11"/>
  <c r="AI99" i="6"/>
  <c r="AN99" i="6"/>
  <c r="AC155" i="11"/>
  <c r="AG155" i="11" s="1"/>
  <c r="AC47" i="11"/>
  <c r="AG47" i="11" s="1"/>
  <c r="G64" i="11"/>
  <c r="Y81" i="11"/>
  <c r="G74" i="11"/>
  <c r="AN175" i="6"/>
  <c r="AI175" i="6"/>
  <c r="AN151" i="6"/>
  <c r="AI151" i="6"/>
  <c r="AC75" i="11"/>
  <c r="AF75" i="11"/>
  <c r="AC191" i="11"/>
  <c r="AG191" i="11" s="1"/>
  <c r="G84" i="11"/>
  <c r="AF108" i="11"/>
  <c r="AA108" i="11"/>
  <c r="S146" i="11"/>
  <c r="L146" i="11"/>
  <c r="K146" i="11"/>
  <c r="J7" i="31"/>
  <c r="AA53" i="11"/>
  <c r="AC53" i="11" s="1"/>
  <c r="AG53" i="11" s="1"/>
  <c r="G60" i="11"/>
  <c r="AN44" i="6"/>
  <c r="AI44" i="6"/>
  <c r="Y128" i="11"/>
  <c r="AI190" i="11"/>
  <c r="AM190" i="11" s="1"/>
  <c r="AJ190" i="11"/>
  <c r="AN190" i="11" s="1"/>
  <c r="AC200" i="11"/>
  <c r="AG200" i="11" s="1"/>
  <c r="G150" i="11"/>
  <c r="G93" i="11"/>
  <c r="X139" i="11"/>
  <c r="O174" i="6"/>
  <c r="M255" i="6" s="1"/>
  <c r="S174" i="6"/>
  <c r="Q255" i="6" s="1"/>
  <c r="V174" i="6"/>
  <c r="T255" i="6" s="1"/>
  <c r="Z174" i="6"/>
  <c r="W174" i="11"/>
  <c r="G189" i="11"/>
  <c r="O22" i="6"/>
  <c r="S22" i="6"/>
  <c r="V22" i="6"/>
  <c r="Z22" i="6"/>
  <c r="W22" i="11"/>
  <c r="X171" i="11"/>
  <c r="G216" i="11"/>
  <c r="AC156" i="11"/>
  <c r="AG156" i="11" s="1"/>
  <c r="X23" i="11"/>
  <c r="AF23" i="11"/>
  <c r="AA23" i="11"/>
  <c r="AC84" i="11"/>
  <c r="AG84" i="11" s="1"/>
  <c r="AC90" i="11"/>
  <c r="AG90" i="11" s="1"/>
  <c r="X19" i="11"/>
  <c r="G40" i="11"/>
  <c r="X78" i="11"/>
  <c r="G112" i="11"/>
  <c r="O17" i="6"/>
  <c r="M269" i="6" s="1"/>
  <c r="S17" i="6"/>
  <c r="Q269" i="6" s="1"/>
  <c r="V17" i="6"/>
  <c r="T269" i="6" s="1"/>
  <c r="Z17" i="6"/>
  <c r="AC180" i="11"/>
  <c r="AG180" i="11" s="1"/>
  <c r="AC197" i="11"/>
  <c r="AG197" i="11" s="1"/>
  <c r="AC160" i="11"/>
  <c r="AF160" i="11"/>
  <c r="AC32" i="11"/>
  <c r="AG32" i="11" s="1"/>
  <c r="Y100" i="11"/>
  <c r="W24" i="11"/>
  <c r="AC70" i="11"/>
  <c r="AG70" i="11" s="1"/>
  <c r="G202" i="11"/>
  <c r="O172" i="6"/>
  <c r="S172" i="6"/>
  <c r="V172" i="6"/>
  <c r="Z172" i="6"/>
  <c r="AC153" i="11"/>
  <c r="AG153" i="11" s="1"/>
  <c r="G117" i="11"/>
  <c r="S43" i="11"/>
  <c r="L43" i="11"/>
  <c r="K43" i="11"/>
  <c r="X56" i="11"/>
  <c r="S42" i="11"/>
  <c r="K42" i="11"/>
  <c r="L42" i="11"/>
  <c r="AI42" i="6"/>
  <c r="AN42" i="6"/>
  <c r="Y38" i="11"/>
  <c r="S48" i="11"/>
  <c r="K48" i="11"/>
  <c r="L48" i="11"/>
  <c r="O80" i="6"/>
  <c r="S80" i="6"/>
  <c r="V80" i="6"/>
  <c r="Z80" i="6"/>
  <c r="G47" i="11"/>
  <c r="AJ118" i="11"/>
  <c r="AN118" i="11" s="1"/>
  <c r="AI118" i="11"/>
  <c r="G79" i="11"/>
  <c r="G183" i="11"/>
  <c r="X144" i="11"/>
  <c r="S198" i="11"/>
  <c r="L198" i="11"/>
  <c r="K198" i="11"/>
  <c r="AN198" i="6"/>
  <c r="AI198" i="6"/>
  <c r="G188" i="11"/>
  <c r="AC212" i="11"/>
  <c r="AG212" i="11" s="1"/>
  <c r="AC28" i="11"/>
  <c r="AG28" i="11" s="1"/>
  <c r="AJ119" i="11"/>
  <c r="AN119" i="11" s="1"/>
  <c r="AI119" i="11"/>
  <c r="G123" i="11"/>
  <c r="AC29" i="11"/>
  <c r="AF29" i="11"/>
  <c r="X143" i="11"/>
  <c r="AC77" i="11"/>
  <c r="AG77" i="11" s="1"/>
  <c r="X26" i="11"/>
  <c r="O81" i="6"/>
  <c r="M246" i="6" s="1"/>
  <c r="S81" i="6"/>
  <c r="Q246" i="6" s="1"/>
  <c r="V81" i="6"/>
  <c r="T246" i="6" s="1"/>
  <c r="Z81" i="6"/>
  <c r="W81" i="11"/>
  <c r="G54" i="11"/>
  <c r="G53" i="11"/>
  <c r="AC89" i="11"/>
  <c r="AG89" i="11" s="1"/>
  <c r="O33" i="6"/>
  <c r="M240" i="6" s="1"/>
  <c r="S33" i="6"/>
  <c r="Q240" i="6" s="1"/>
  <c r="V33" i="6"/>
  <c r="T240" i="6" s="1"/>
  <c r="Z33" i="6"/>
  <c r="AA33" i="11"/>
  <c r="G104" i="11"/>
  <c r="X27" i="11"/>
  <c r="O213" i="6"/>
  <c r="M259" i="6" s="1"/>
  <c r="S213" i="6"/>
  <c r="Q259" i="6" s="1"/>
  <c r="V213" i="6"/>
  <c r="T259" i="6" s="1"/>
  <c r="Z213" i="6"/>
  <c r="K195" i="11"/>
  <c r="S195" i="11"/>
  <c r="L195" i="11"/>
  <c r="AA93" i="11"/>
  <c r="AC93" i="11" s="1"/>
  <c r="AG93" i="11" s="1"/>
  <c r="X13" i="11"/>
  <c r="AC176" i="11"/>
  <c r="AG176" i="11" s="1"/>
  <c r="Y41" i="11"/>
  <c r="AJ219" i="11"/>
  <c r="AN219" i="11" s="1"/>
  <c r="AI219" i="11"/>
  <c r="O122" i="6"/>
  <c r="S122" i="6"/>
  <c r="V122" i="6"/>
  <c r="Z122" i="6"/>
  <c r="G214" i="11"/>
  <c r="W38" i="11"/>
  <c r="G152" i="11"/>
  <c r="AC123" i="11"/>
  <c r="AF123" i="11"/>
  <c r="AI167" i="6"/>
  <c r="AN167" i="6"/>
  <c r="Y182" i="11"/>
  <c r="AC68" i="11"/>
  <c r="AG68" i="11" s="1"/>
  <c r="AF16" i="11"/>
  <c r="AA16" i="11"/>
  <c r="X15" i="11"/>
  <c r="L145" i="11"/>
  <c r="S145" i="11"/>
  <c r="K145" i="11"/>
  <c r="G194" i="11"/>
  <c r="G177" i="11"/>
  <c r="AC57" i="11"/>
  <c r="AG57" i="11" s="1"/>
  <c r="X12" i="11"/>
  <c r="W12" i="11"/>
  <c r="Y143" i="11"/>
  <c r="Y142" i="11"/>
  <c r="G86" i="11"/>
  <c r="S39" i="11"/>
  <c r="L39" i="11"/>
  <c r="K39" i="11"/>
  <c r="O31" i="6"/>
  <c r="S31" i="6"/>
  <c r="V31" i="6"/>
  <c r="T287" i="6" s="1"/>
  <c r="Z31" i="6"/>
  <c r="K192" i="11"/>
  <c r="L192" i="11"/>
  <c r="S192" i="11"/>
  <c r="AC67" i="11"/>
  <c r="AF67" i="11"/>
  <c r="X100" i="11"/>
  <c r="AA100" i="11"/>
  <c r="AF100" i="11"/>
  <c r="AC131" i="11"/>
  <c r="AG131" i="11" s="1"/>
  <c r="G46" i="11"/>
  <c r="X142" i="11"/>
  <c r="AC34" i="11"/>
  <c r="AG34" i="11" s="1"/>
  <c r="X18" i="11"/>
  <c r="AF18" i="11"/>
  <c r="AA18" i="11"/>
  <c r="X30" i="11"/>
  <c r="S99" i="11"/>
  <c r="K99" i="11"/>
  <c r="L99" i="11"/>
  <c r="AC189" i="11"/>
  <c r="AG189" i="11" s="1"/>
  <c r="AA88" i="11"/>
  <c r="AC88" i="11" s="1"/>
  <c r="AG88" i="11" s="1"/>
  <c r="AC215" i="11"/>
  <c r="AG215" i="11" s="1"/>
  <c r="AC173" i="11"/>
  <c r="AG173" i="11" s="1"/>
  <c r="AA188" i="11"/>
  <c r="AC188" i="11" s="1"/>
  <c r="AG188" i="11" s="1"/>
  <c r="G125" i="11"/>
  <c r="O108" i="6"/>
  <c r="M299" i="6" s="1"/>
  <c r="S108" i="6"/>
  <c r="Q299" i="6" s="1"/>
  <c r="V108" i="6"/>
  <c r="T299" i="6" s="1"/>
  <c r="Z108" i="6"/>
  <c r="AC40" i="11"/>
  <c r="AG40" i="11" s="1"/>
  <c r="G57" i="11"/>
  <c r="AN146" i="6"/>
  <c r="AI146" i="6"/>
  <c r="N26" i="30"/>
  <c r="AI103" i="6"/>
  <c r="AN103" i="6"/>
  <c r="X210" i="11"/>
  <c r="G97" i="11"/>
  <c r="G61" i="11"/>
  <c r="O14" i="6"/>
  <c r="S14" i="6"/>
  <c r="V14" i="6"/>
  <c r="Z14" i="6"/>
  <c r="W14" i="11"/>
  <c r="G35" i="11"/>
  <c r="AC168" i="11"/>
  <c r="AG168" i="11" s="1"/>
  <c r="AA65" i="11"/>
  <c r="AF65" i="11"/>
  <c r="AC111" i="11"/>
  <c r="AG111" i="11" s="1"/>
  <c r="G170" i="11"/>
  <c r="AI132" i="6"/>
  <c r="AN132" i="6"/>
  <c r="AA130" i="11"/>
  <c r="Y17" i="11"/>
  <c r="G34" i="11"/>
  <c r="O171" i="6"/>
  <c r="S171" i="6"/>
  <c r="V171" i="6"/>
  <c r="Z171" i="6"/>
  <c r="G135" i="11"/>
  <c r="AI205" i="11"/>
  <c r="AJ205" i="11"/>
  <c r="AN205" i="11" s="1"/>
  <c r="Y122" i="11"/>
  <c r="AJ115" i="11"/>
  <c r="AN115" i="11" s="1"/>
  <c r="AI115" i="11"/>
  <c r="AA59" i="11"/>
  <c r="AC59" i="11" s="1"/>
  <c r="AG59" i="11" s="1"/>
  <c r="O23" i="6"/>
  <c r="M298" i="6" s="1"/>
  <c r="S23" i="6"/>
  <c r="V23" i="6"/>
  <c r="Z23" i="6"/>
  <c r="L37" i="11"/>
  <c r="K37" i="11"/>
  <c r="S37" i="11"/>
  <c r="G140" i="11"/>
  <c r="M268" i="6"/>
  <c r="AC207" i="11"/>
  <c r="AG207" i="11" s="1"/>
  <c r="AC126" i="11"/>
  <c r="AG126" i="11" s="1"/>
  <c r="AA19" i="11"/>
  <c r="AF19" i="11"/>
  <c r="Y30" i="11"/>
  <c r="Y62" i="11"/>
  <c r="W78" i="11"/>
  <c r="G89" i="11"/>
  <c r="X17" i="11"/>
  <c r="AJ72" i="11"/>
  <c r="AN72" i="11" s="1"/>
  <c r="G70" i="11"/>
  <c r="W172" i="11"/>
  <c r="G163" i="11"/>
  <c r="G176" i="11"/>
  <c r="AJ91" i="11"/>
  <c r="AN91" i="11" s="1"/>
  <c r="AI91" i="11"/>
  <c r="AC179" i="11"/>
  <c r="AG179" i="11" s="1"/>
  <c r="AJ25" i="11"/>
  <c r="AN25" i="11" s="1"/>
  <c r="AI25" i="11"/>
  <c r="Y120" i="11"/>
  <c r="AI48" i="6"/>
  <c r="AN48" i="6"/>
  <c r="W80" i="11"/>
  <c r="AC82" i="11"/>
  <c r="AG82" i="11" s="1"/>
  <c r="AC74" i="11"/>
  <c r="AG74" i="11" s="1"/>
  <c r="G215" i="11"/>
  <c r="W182" i="11"/>
  <c r="G63" i="11"/>
  <c r="G85" i="11"/>
  <c r="AC152" i="11"/>
  <c r="AG152" i="11" s="1"/>
  <c r="G149" i="11"/>
  <c r="Y108" i="11"/>
  <c r="AI36" i="6"/>
  <c r="AN36" i="6"/>
  <c r="G191" i="11"/>
  <c r="O143" i="6"/>
  <c r="M303" i="6" s="1"/>
  <c r="S143" i="6"/>
  <c r="Q303" i="6" s="1"/>
  <c r="V143" i="6"/>
  <c r="T303" i="6" s="1"/>
  <c r="Z143" i="6"/>
  <c r="W143" i="11"/>
  <c r="X81" i="11"/>
  <c r="Y80" i="11"/>
  <c r="L162" i="11"/>
  <c r="S162" i="11"/>
  <c r="K162" i="11"/>
  <c r="X33" i="11"/>
  <c r="G160" i="11"/>
  <c r="AI52" i="11"/>
  <c r="X120" i="11"/>
  <c r="AA86" i="11"/>
  <c r="AC86" i="11" s="1"/>
  <c r="AG86" i="11" s="1"/>
  <c r="AJ218" i="11"/>
  <c r="AN218" i="11" s="1"/>
  <c r="AI218" i="11"/>
  <c r="O27" i="6"/>
  <c r="S27" i="6"/>
  <c r="V27" i="6"/>
  <c r="T267" i="6" s="1"/>
  <c r="Z27" i="6"/>
  <c r="G67" i="11"/>
  <c r="AC49" i="11"/>
  <c r="AG49" i="11" s="1"/>
  <c r="G131" i="11"/>
  <c r="AC170" i="11"/>
  <c r="AG170" i="11" s="1"/>
  <c r="W13" i="11"/>
  <c r="G88" i="11"/>
  <c r="X122" i="11"/>
  <c r="W122" i="11"/>
  <c r="G58" i="11"/>
  <c r="AC149" i="11"/>
  <c r="AG149" i="11" s="1"/>
  <c r="AC141" i="11"/>
  <c r="AG141" i="11" s="1"/>
  <c r="AI127" i="11"/>
  <c r="AJ127" i="11"/>
  <c r="AN127" i="11" s="1"/>
  <c r="AA58" i="11"/>
  <c r="AC58" i="11" s="1"/>
  <c r="AG58" i="11" s="1"/>
  <c r="G173" i="11"/>
  <c r="N27" i="30"/>
  <c r="AJ204" i="11" l="1"/>
  <c r="AN204" i="11" s="1"/>
  <c r="AI76" i="11"/>
  <c r="AM76" i="11" s="1"/>
  <c r="BE76" i="11" s="1"/>
  <c r="AI69" i="11"/>
  <c r="AM69" i="11" s="1"/>
  <c r="AK92" i="11"/>
  <c r="AK113" i="11"/>
  <c r="AK133" i="11"/>
  <c r="AK51" i="11"/>
  <c r="AK185" i="11"/>
  <c r="AG96" i="11"/>
  <c r="AI96" i="11" s="1"/>
  <c r="AM96" i="11" s="1"/>
  <c r="AG67" i="11"/>
  <c r="AJ67" i="11" s="1"/>
  <c r="AN67" i="11" s="1"/>
  <c r="Q287" i="6"/>
  <c r="L25" i="30"/>
  <c r="AG85" i="11"/>
  <c r="AI85" i="11" s="1"/>
  <c r="AM85" i="11" s="1"/>
  <c r="AG75" i="11"/>
  <c r="AJ75" i="11" s="1"/>
  <c r="AN75" i="11" s="1"/>
  <c r="Q267" i="6"/>
  <c r="M287" i="6"/>
  <c r="AG60" i="11"/>
  <c r="AJ60" i="11" s="1"/>
  <c r="AN60" i="11" s="1"/>
  <c r="N276" i="11"/>
  <c r="AK129" i="11"/>
  <c r="AG187" i="11"/>
  <c r="AJ187" i="11" s="1"/>
  <c r="AN187" i="11" s="1"/>
  <c r="AG184" i="11"/>
  <c r="AI184" i="11" s="1"/>
  <c r="AK203" i="11"/>
  <c r="AF171" i="11"/>
  <c r="AI188" i="11"/>
  <c r="AM188" i="11" s="1"/>
  <c r="AJ188" i="11"/>
  <c r="AN188" i="11" s="1"/>
  <c r="AJ161" i="11"/>
  <c r="AN161" i="11" s="1"/>
  <c r="AI161" i="11"/>
  <c r="AM161" i="11" s="1"/>
  <c r="AJ196" i="11"/>
  <c r="AN196" i="11" s="1"/>
  <c r="AI196" i="11"/>
  <c r="AI206" i="11"/>
  <c r="AJ206" i="11"/>
  <c r="AN206" i="11" s="1"/>
  <c r="AJ53" i="11"/>
  <c r="AN53" i="11" s="1"/>
  <c r="AI53" i="11"/>
  <c r="AM53" i="11" s="1"/>
  <c r="AI107" i="11"/>
  <c r="AM107" i="11" s="1"/>
  <c r="AJ107" i="11"/>
  <c r="AN107" i="11" s="1"/>
  <c r="AI45" i="11"/>
  <c r="AM45" i="11" s="1"/>
  <c r="AJ45" i="11"/>
  <c r="AN45" i="11" s="1"/>
  <c r="AI194" i="11"/>
  <c r="AJ194" i="11"/>
  <c r="AN194" i="11" s="1"/>
  <c r="AI214" i="11"/>
  <c r="AM214" i="11" s="1"/>
  <c r="AJ214" i="11"/>
  <c r="AN214" i="11" s="1"/>
  <c r="AJ110" i="11"/>
  <c r="AN110" i="11" s="1"/>
  <c r="AI110" i="11"/>
  <c r="AM110" i="11" s="1"/>
  <c r="AJ216" i="11"/>
  <c r="AN216" i="11" s="1"/>
  <c r="AI216" i="11"/>
  <c r="AI86" i="11"/>
  <c r="AM86" i="11" s="1"/>
  <c r="AJ86" i="11"/>
  <c r="AN86" i="11" s="1"/>
  <c r="BF76" i="11"/>
  <c r="BK76" i="11"/>
  <c r="AI58" i="11"/>
  <c r="AM58" i="11" s="1"/>
  <c r="AJ58" i="11"/>
  <c r="AN58" i="11" s="1"/>
  <c r="BK127" i="11"/>
  <c r="BF127" i="11"/>
  <c r="AI152" i="11"/>
  <c r="AJ152" i="11"/>
  <c r="AN152" i="11" s="1"/>
  <c r="AF172" i="11"/>
  <c r="M253" i="6"/>
  <c r="M319" i="6"/>
  <c r="G132" i="11"/>
  <c r="AI111" i="11"/>
  <c r="AJ111" i="11"/>
  <c r="AN111" i="11" s="1"/>
  <c r="AI168" i="11"/>
  <c r="AJ168" i="11"/>
  <c r="AN168" i="11" s="1"/>
  <c r="AA14" i="11"/>
  <c r="M294" i="6"/>
  <c r="M271" i="6"/>
  <c r="M236" i="6"/>
  <c r="M281" i="6"/>
  <c r="AI173" i="11"/>
  <c r="AJ173" i="11"/>
  <c r="AN173" i="11" s="1"/>
  <c r="AM127" i="11"/>
  <c r="AK127" i="11"/>
  <c r="AI149" i="11"/>
  <c r="AJ149" i="11"/>
  <c r="AN149" i="11" s="1"/>
  <c r="AA78" i="11"/>
  <c r="AF78" i="11"/>
  <c r="AI126" i="11"/>
  <c r="AJ126" i="11"/>
  <c r="AN126" i="11" s="1"/>
  <c r="X298" i="6"/>
  <c r="AC23" i="6"/>
  <c r="X281" i="6"/>
  <c r="X236" i="6"/>
  <c r="X271" i="6"/>
  <c r="X294" i="6"/>
  <c r="AC14" i="6"/>
  <c r="G146" i="11"/>
  <c r="BK69" i="11"/>
  <c r="BF69" i="11"/>
  <c r="AJ40" i="11"/>
  <c r="AN40" i="11" s="1"/>
  <c r="AI40" i="11"/>
  <c r="X299" i="6"/>
  <c r="AC108" i="6"/>
  <c r="AJ88" i="11"/>
  <c r="AN88" i="11" s="1"/>
  <c r="AI88" i="11"/>
  <c r="AJ34" i="11"/>
  <c r="AN34" i="11" s="1"/>
  <c r="AI34" i="11"/>
  <c r="AJ131" i="11"/>
  <c r="AN131" i="11" s="1"/>
  <c r="AI131" i="11"/>
  <c r="AM204" i="11"/>
  <c r="AK204" i="11"/>
  <c r="Q251" i="6"/>
  <c r="Q300" i="6"/>
  <c r="AI93" i="11"/>
  <c r="AJ93" i="11"/>
  <c r="AN93" i="11" s="1"/>
  <c r="AF81" i="11"/>
  <c r="AA81" i="11"/>
  <c r="Q268" i="6"/>
  <c r="Q245" i="6"/>
  <c r="Q315" i="6"/>
  <c r="AC42" i="11"/>
  <c r="AF42" i="11"/>
  <c r="M254" i="6"/>
  <c r="AJ70" i="11"/>
  <c r="AN70" i="11" s="1"/>
  <c r="AI70" i="11"/>
  <c r="T237" i="6"/>
  <c r="T311" i="6"/>
  <c r="T280" i="6"/>
  <c r="T297" i="6"/>
  <c r="X255" i="6"/>
  <c r="AC174" i="6"/>
  <c r="BB190" i="11"/>
  <c r="AQ190" i="11"/>
  <c r="BJ190" i="11"/>
  <c r="BE190" i="11"/>
  <c r="G44" i="11"/>
  <c r="AJ155" i="11"/>
  <c r="AN155" i="11" s="1"/>
  <c r="AI155" i="11"/>
  <c r="M312" i="6"/>
  <c r="M239" i="6"/>
  <c r="X286" i="6"/>
  <c r="AC18" i="6"/>
  <c r="L306" i="6"/>
  <c r="Q241" i="6"/>
  <c r="Q313" i="6"/>
  <c r="T282" i="6"/>
  <c r="T295" i="6"/>
  <c r="T279" i="6"/>
  <c r="AJ169" i="11"/>
  <c r="AN169" i="11" s="1"/>
  <c r="AI169" i="11"/>
  <c r="M272" i="6"/>
  <c r="AJ95" i="11"/>
  <c r="AN95" i="11" s="1"/>
  <c r="AI95" i="11"/>
  <c r="G20" i="11"/>
  <c r="AC26" i="6"/>
  <c r="O222" i="11"/>
  <c r="O8" i="11" s="1"/>
  <c r="AI166" i="11"/>
  <c r="AJ166" i="11"/>
  <c r="AN166" i="11" s="1"/>
  <c r="X242" i="6"/>
  <c r="AC56" i="6"/>
  <c r="AJ150" i="11"/>
  <c r="AN150" i="11" s="1"/>
  <c r="AI150" i="11"/>
  <c r="AJ106" i="11"/>
  <c r="AN106" i="11" s="1"/>
  <c r="AI106" i="11"/>
  <c r="AJ98" i="11"/>
  <c r="AN98" i="11" s="1"/>
  <c r="AI98" i="11"/>
  <c r="Q314" i="6"/>
  <c r="Q244" i="6"/>
  <c r="M273" i="6"/>
  <c r="AI165" i="11"/>
  <c r="AJ165" i="11"/>
  <c r="AN165" i="11" s="1"/>
  <c r="AI148" i="11"/>
  <c r="AJ148" i="11"/>
  <c r="AN148" i="11" s="1"/>
  <c r="X266" i="6"/>
  <c r="AC41" i="6"/>
  <c r="AJ66" i="11"/>
  <c r="AN66" i="11" s="1"/>
  <c r="AI66" i="11"/>
  <c r="X252" i="6"/>
  <c r="X318" i="6"/>
  <c r="X228" i="6"/>
  <c r="AC139" i="6"/>
  <c r="BK220" i="11"/>
  <c r="BF220" i="11"/>
  <c r="AC44" i="11"/>
  <c r="AF44" i="11"/>
  <c r="O209" i="6"/>
  <c r="M257" i="6" s="1"/>
  <c r="S209" i="6"/>
  <c r="Q257" i="6" s="1"/>
  <c r="V209" i="6"/>
  <c r="T257" i="6" s="1"/>
  <c r="Z209" i="6"/>
  <c r="X283" i="6" s="1"/>
  <c r="AC151" i="11"/>
  <c r="AF151" i="11"/>
  <c r="AC21" i="6"/>
  <c r="L289" i="6"/>
  <c r="M270" i="6"/>
  <c r="M284" i="6"/>
  <c r="AF15" i="11"/>
  <c r="BF186" i="11"/>
  <c r="BK186" i="11"/>
  <c r="AI116" i="11"/>
  <c r="AJ116" i="11"/>
  <c r="AN116" i="11" s="1"/>
  <c r="AJ208" i="11"/>
  <c r="AN208" i="11" s="1"/>
  <c r="AI208" i="11"/>
  <c r="M250" i="6"/>
  <c r="M317" i="6"/>
  <c r="T256" i="6"/>
  <c r="T321" i="6"/>
  <c r="T238" i="6"/>
  <c r="AA17" i="11"/>
  <c r="AD16" i="6"/>
  <c r="AF16" i="6"/>
  <c r="Q258" i="6"/>
  <c r="Q322" i="6"/>
  <c r="AI54" i="11"/>
  <c r="AJ54" i="11"/>
  <c r="AN54" i="11" s="1"/>
  <c r="AI135" i="11"/>
  <c r="AJ135" i="11"/>
  <c r="AN135" i="11" s="1"/>
  <c r="Q247" i="6"/>
  <c r="AI83" i="11"/>
  <c r="AJ83" i="11"/>
  <c r="AN83" i="11" s="1"/>
  <c r="G39" i="11"/>
  <c r="BE211" i="11"/>
  <c r="BB211" i="11"/>
  <c r="AQ211" i="11"/>
  <c r="BJ211" i="11"/>
  <c r="AM138" i="11"/>
  <c r="AK138" i="11"/>
  <c r="AQ203" i="11"/>
  <c r="BB203" i="11"/>
  <c r="BE203" i="11"/>
  <c r="BJ203" i="11"/>
  <c r="BE185" i="11"/>
  <c r="BJ185" i="11"/>
  <c r="BB185" i="11"/>
  <c r="AQ185" i="11"/>
  <c r="AK105" i="11"/>
  <c r="AN105" i="11"/>
  <c r="AQ105" i="11" s="1"/>
  <c r="BK133" i="11"/>
  <c r="BF133" i="11"/>
  <c r="BJ113" i="11"/>
  <c r="BE113" i="11"/>
  <c r="AQ113" i="11"/>
  <c r="BB113" i="11"/>
  <c r="AI170" i="11"/>
  <c r="AJ170" i="11"/>
  <c r="AN170" i="11" s="1"/>
  <c r="AI49" i="11"/>
  <c r="AJ49" i="11"/>
  <c r="AN49" i="11" s="1"/>
  <c r="X303" i="6"/>
  <c r="AC143" i="6"/>
  <c r="AF80" i="11"/>
  <c r="AI179" i="11"/>
  <c r="AJ179" i="11"/>
  <c r="AN179" i="11" s="1"/>
  <c r="BK72" i="11"/>
  <c r="BF72" i="11"/>
  <c r="X229" i="6"/>
  <c r="X319" i="6"/>
  <c r="X253" i="6"/>
  <c r="AC171" i="6"/>
  <c r="AF122" i="11"/>
  <c r="AI82" i="11"/>
  <c r="AJ82" i="11"/>
  <c r="AN82" i="11" s="1"/>
  <c r="AM25" i="11"/>
  <c r="AK25" i="11"/>
  <c r="AM91" i="11"/>
  <c r="AK91" i="11"/>
  <c r="AM72" i="11"/>
  <c r="AK72" i="11"/>
  <c r="T298" i="6"/>
  <c r="BF115" i="11"/>
  <c r="BK115" i="11"/>
  <c r="BF205" i="11"/>
  <c r="BK205" i="11"/>
  <c r="T319" i="6"/>
  <c r="T229" i="6"/>
  <c r="T253" i="6"/>
  <c r="AC130" i="11"/>
  <c r="AG130" i="11" s="1"/>
  <c r="T281" i="6"/>
  <c r="T271" i="6"/>
  <c r="T236" i="6"/>
  <c r="T294" i="6"/>
  <c r="AJ215" i="11"/>
  <c r="AN215" i="11" s="1"/>
  <c r="AI215" i="11"/>
  <c r="AA99" i="11"/>
  <c r="AC99" i="11" s="1"/>
  <c r="AG99" i="11" s="1"/>
  <c r="N307" i="11"/>
  <c r="AA192" i="11"/>
  <c r="AC192" i="11" s="1"/>
  <c r="AG192" i="11" s="1"/>
  <c r="BK204" i="11"/>
  <c r="BF204" i="11"/>
  <c r="AA39" i="11"/>
  <c r="AC39" i="11" s="1"/>
  <c r="AG39" i="11" s="1"/>
  <c r="U4" i="11"/>
  <c r="AJ57" i="11"/>
  <c r="AN57" i="11" s="1"/>
  <c r="AI57" i="11"/>
  <c r="AF38" i="11"/>
  <c r="AA38" i="11"/>
  <c r="M251" i="6"/>
  <c r="M300" i="6"/>
  <c r="Y209" i="11"/>
  <c r="X246" i="6"/>
  <c r="AC81" i="6"/>
  <c r="AJ28" i="11"/>
  <c r="AN28" i="11" s="1"/>
  <c r="AI28" i="11"/>
  <c r="M295" i="6"/>
  <c r="M315" i="6"/>
  <c r="M245" i="6"/>
  <c r="G42" i="11"/>
  <c r="X320" i="6"/>
  <c r="X254" i="6"/>
  <c r="AC172" i="6"/>
  <c r="AA24" i="11"/>
  <c r="AF24" i="11"/>
  <c r="AG160" i="11"/>
  <c r="AI197" i="11"/>
  <c r="AJ197" i="11"/>
  <c r="AN197" i="11" s="1"/>
  <c r="AI84" i="11"/>
  <c r="AJ84" i="11"/>
  <c r="AN84" i="11" s="1"/>
  <c r="Q297" i="6"/>
  <c r="Q280" i="6"/>
  <c r="Q237" i="6"/>
  <c r="Q311" i="6"/>
  <c r="AI191" i="11"/>
  <c r="AJ191" i="11"/>
  <c r="AN191" i="11" s="1"/>
  <c r="G151" i="11"/>
  <c r="BB76" i="11"/>
  <c r="BJ76" i="11"/>
  <c r="X312" i="6"/>
  <c r="X239" i="6"/>
  <c r="AC30" i="6"/>
  <c r="T286" i="6"/>
  <c r="AI163" i="11"/>
  <c r="AJ163" i="11"/>
  <c r="AN163" i="11" s="1"/>
  <c r="AD62" i="6"/>
  <c r="AF62" i="6"/>
  <c r="G192" i="11"/>
  <c r="M241" i="6"/>
  <c r="M313" i="6"/>
  <c r="Q282" i="6"/>
  <c r="Q295" i="6"/>
  <c r="Q279" i="6"/>
  <c r="X272" i="6"/>
  <c r="AC13" i="6"/>
  <c r="G195" i="11"/>
  <c r="AJ193" i="11"/>
  <c r="AN193" i="11" s="1"/>
  <c r="AI193" i="11"/>
  <c r="AI114" i="11"/>
  <c r="AJ114" i="11"/>
  <c r="AN114" i="11" s="1"/>
  <c r="AI199" i="11"/>
  <c r="AJ199" i="11"/>
  <c r="AN199" i="11" s="1"/>
  <c r="O307" i="11"/>
  <c r="AC164" i="11"/>
  <c r="AF164" i="11"/>
  <c r="M244" i="6"/>
  <c r="M314" i="6"/>
  <c r="X273" i="6"/>
  <c r="AC19" i="6"/>
  <c r="T266" i="6"/>
  <c r="T252" i="6"/>
  <c r="T228" i="6"/>
  <c r="T318" i="6"/>
  <c r="M243" i="6"/>
  <c r="AJ35" i="11"/>
  <c r="AN35" i="11" s="1"/>
  <c r="AI35" i="11"/>
  <c r="AM220" i="11"/>
  <c r="AK220" i="11"/>
  <c r="X209" i="11"/>
  <c r="W209" i="11"/>
  <c r="AC103" i="11"/>
  <c r="AF103" i="11"/>
  <c r="AI64" i="11"/>
  <c r="AJ64" i="11"/>
  <c r="AN64" i="11" s="1"/>
  <c r="X249" i="6"/>
  <c r="AC102" i="6"/>
  <c r="T283" i="6"/>
  <c r="AI109" i="11"/>
  <c r="AJ109" i="11"/>
  <c r="AN109" i="11" s="1"/>
  <c r="X270" i="6"/>
  <c r="X284" i="6"/>
  <c r="AC12" i="6"/>
  <c r="L231" i="6"/>
  <c r="AJ140" i="11"/>
  <c r="AN140" i="11" s="1"/>
  <c r="AI140" i="11"/>
  <c r="BB186" i="11"/>
  <c r="BJ186" i="11"/>
  <c r="BE186" i="11"/>
  <c r="AQ186" i="11"/>
  <c r="X101" i="11"/>
  <c r="AJ61" i="11"/>
  <c r="AN61" i="11" s="1"/>
  <c r="AI61" i="11"/>
  <c r="AJ97" i="11"/>
  <c r="AN97" i="11" s="1"/>
  <c r="AI97" i="11"/>
  <c r="X250" i="6"/>
  <c r="X317" i="6"/>
  <c r="AC120" i="6"/>
  <c r="Q256" i="6"/>
  <c r="Q321" i="6"/>
  <c r="AJ46" i="11"/>
  <c r="AN46" i="11" s="1"/>
  <c r="AI46" i="11"/>
  <c r="Q238" i="6"/>
  <c r="X268" i="6"/>
  <c r="AJ183" i="11"/>
  <c r="AN183" i="11" s="1"/>
  <c r="AI183" i="11"/>
  <c r="AJ124" i="11"/>
  <c r="AN124" i="11" s="1"/>
  <c r="AI124" i="11"/>
  <c r="AJ147" i="11"/>
  <c r="AN147" i="11" s="1"/>
  <c r="AI147" i="11"/>
  <c r="M322" i="6"/>
  <c r="M258" i="6"/>
  <c r="AJ134" i="11"/>
  <c r="AN134" i="11" s="1"/>
  <c r="AI134" i="11"/>
  <c r="M247" i="6"/>
  <c r="AI158" i="11"/>
  <c r="AJ158" i="11"/>
  <c r="AN158" i="11" s="1"/>
  <c r="AI201" i="11"/>
  <c r="AJ201" i="11"/>
  <c r="AN201" i="11" s="1"/>
  <c r="BK211" i="11"/>
  <c r="BF211" i="11"/>
  <c r="BK138" i="11"/>
  <c r="BF138" i="11"/>
  <c r="BK203" i="11"/>
  <c r="BF203" i="11"/>
  <c r="AK190" i="11"/>
  <c r="BF92" i="11"/>
  <c r="BK92" i="11"/>
  <c r="BE105" i="11"/>
  <c r="BJ105" i="11"/>
  <c r="BK113" i="11"/>
  <c r="BF113" i="11"/>
  <c r="BK218" i="11"/>
  <c r="BF218" i="11"/>
  <c r="AA182" i="11"/>
  <c r="AF182" i="11"/>
  <c r="O262" i="11"/>
  <c r="Y101" i="11"/>
  <c r="AM115" i="11"/>
  <c r="AK115" i="11"/>
  <c r="M267" i="6"/>
  <c r="AM52" i="11"/>
  <c r="AK52" i="11"/>
  <c r="AI141" i="11"/>
  <c r="AJ141" i="11"/>
  <c r="AN141" i="11" s="1"/>
  <c r="AF13" i="11"/>
  <c r="AA13" i="11"/>
  <c r="X267" i="6"/>
  <c r="AC27" i="6"/>
  <c r="BF52" i="11"/>
  <c r="BK52" i="11"/>
  <c r="AC162" i="11"/>
  <c r="AF162" i="11"/>
  <c r="G36" i="11"/>
  <c r="BF25" i="11"/>
  <c r="BK25" i="11"/>
  <c r="BF91" i="11"/>
  <c r="BK91" i="11"/>
  <c r="AI207" i="11"/>
  <c r="AJ207" i="11"/>
  <c r="AN207" i="11" s="1"/>
  <c r="AC37" i="11"/>
  <c r="AF37" i="11"/>
  <c r="Q298" i="6"/>
  <c r="AM205" i="11"/>
  <c r="AK205" i="11"/>
  <c r="Q229" i="6"/>
  <c r="Q319" i="6"/>
  <c r="Q253" i="6"/>
  <c r="Q271" i="6"/>
  <c r="Q281" i="6"/>
  <c r="Q294" i="6"/>
  <c r="Q236" i="6"/>
  <c r="G103" i="11"/>
  <c r="AI189" i="11"/>
  <c r="AJ189" i="11"/>
  <c r="AN189" i="11" s="1"/>
  <c r="X287" i="6"/>
  <c r="AC31" i="6"/>
  <c r="AA12" i="11"/>
  <c r="AF12" i="11"/>
  <c r="AC145" i="11"/>
  <c r="AF145" i="11"/>
  <c r="AG123" i="11"/>
  <c r="X300" i="6"/>
  <c r="X251" i="6"/>
  <c r="AC122" i="6"/>
  <c r="AM219" i="11"/>
  <c r="AK219" i="11"/>
  <c r="AC195" i="11"/>
  <c r="AF195" i="11"/>
  <c r="X240" i="6"/>
  <c r="AC33" i="6"/>
  <c r="AM119" i="11"/>
  <c r="AK119" i="11"/>
  <c r="AM118" i="11"/>
  <c r="AK118" i="11"/>
  <c r="X315" i="6"/>
  <c r="X245" i="6"/>
  <c r="AC80" i="6"/>
  <c r="N325" i="11"/>
  <c r="AA48" i="11"/>
  <c r="T254" i="6"/>
  <c r="T320" i="6"/>
  <c r="AI32" i="11"/>
  <c r="AJ32" i="11"/>
  <c r="AN32" i="11" s="1"/>
  <c r="AJ180" i="11"/>
  <c r="AN180" i="11" s="1"/>
  <c r="AI180" i="11"/>
  <c r="X269" i="6"/>
  <c r="AC17" i="6"/>
  <c r="AF22" i="11"/>
  <c r="M280" i="6"/>
  <c r="M297" i="6"/>
  <c r="M237" i="6"/>
  <c r="M311" i="6"/>
  <c r="AJ200" i="11"/>
  <c r="AN200" i="11" s="1"/>
  <c r="AI200" i="11"/>
  <c r="AI47" i="11"/>
  <c r="AJ47" i="11"/>
  <c r="AN47" i="11" s="1"/>
  <c r="G99" i="11"/>
  <c r="T239" i="6"/>
  <c r="T265" i="6"/>
  <c r="T312" i="6"/>
  <c r="AI117" i="11"/>
  <c r="AJ117" i="11"/>
  <c r="AN117" i="11" s="1"/>
  <c r="X241" i="6"/>
  <c r="X313" i="6"/>
  <c r="AC55" i="6"/>
  <c r="AD268" i="6" s="1"/>
  <c r="M282" i="6"/>
  <c r="M279" i="6"/>
  <c r="T272" i="6"/>
  <c r="AA27" i="11"/>
  <c r="AA144" i="11"/>
  <c r="G43" i="11"/>
  <c r="AC157" i="11"/>
  <c r="AF157" i="11"/>
  <c r="AJ177" i="11"/>
  <c r="AN177" i="11" s="1"/>
  <c r="AI177" i="11"/>
  <c r="X244" i="6"/>
  <c r="X314" i="6"/>
  <c r="AC78" i="6"/>
  <c r="T273" i="6"/>
  <c r="G37" i="11"/>
  <c r="Q266" i="6"/>
  <c r="Q252" i="6"/>
  <c r="Q318" i="6"/>
  <c r="Q228" i="6"/>
  <c r="X243" i="6"/>
  <c r="AC65" i="6"/>
  <c r="L275" i="6"/>
  <c r="AA210" i="11"/>
  <c r="AC175" i="11"/>
  <c r="AF175" i="11"/>
  <c r="Q283" i="6"/>
  <c r="BK121" i="11"/>
  <c r="BF121" i="11"/>
  <c r="T270" i="6"/>
  <c r="T284" i="6"/>
  <c r="I6" i="31"/>
  <c r="L261" i="6"/>
  <c r="O101" i="6"/>
  <c r="M248" i="6" s="1"/>
  <c r="S101" i="6"/>
  <c r="Q248" i="6" s="1"/>
  <c r="V101" i="6"/>
  <c r="T248" i="6" s="1"/>
  <c r="Z101" i="6"/>
  <c r="X285" i="6" s="1"/>
  <c r="AJ202" i="11"/>
  <c r="AN202" i="11" s="1"/>
  <c r="AI202" i="11"/>
  <c r="T250" i="6"/>
  <c r="T317" i="6"/>
  <c r="M321" i="6"/>
  <c r="M256" i="6"/>
  <c r="H9" i="31"/>
  <c r="K14" i="30"/>
  <c r="AJ94" i="11"/>
  <c r="AN94" i="11" s="1"/>
  <c r="AI94" i="11"/>
  <c r="M238" i="6"/>
  <c r="X258" i="6"/>
  <c r="X322" i="6"/>
  <c r="AC210" i="6"/>
  <c r="AJ79" i="11"/>
  <c r="AN79" i="11" s="1"/>
  <c r="AI79" i="11"/>
  <c r="X247" i="6"/>
  <c r="X316" i="6"/>
  <c r="AC100" i="6"/>
  <c r="AI87" i="11"/>
  <c r="AJ87" i="11"/>
  <c r="AN87" i="11" s="1"/>
  <c r="O290" i="11"/>
  <c r="AI181" i="11"/>
  <c r="AJ181" i="11"/>
  <c r="AN181" i="11" s="1"/>
  <c r="N222" i="11"/>
  <c r="N8" i="11" s="1"/>
  <c r="AQ51" i="11"/>
  <c r="BJ51" i="11"/>
  <c r="BE51" i="11"/>
  <c r="BB51" i="11"/>
  <c r="AM137" i="11"/>
  <c r="AK137" i="11"/>
  <c r="BJ92" i="11"/>
  <c r="BB92" i="11"/>
  <c r="BE92" i="11"/>
  <c r="AQ92" i="11"/>
  <c r="AK186" i="11"/>
  <c r="BB129" i="11"/>
  <c r="AQ129" i="11"/>
  <c r="BJ129" i="11"/>
  <c r="BE129" i="11"/>
  <c r="AM218" i="11"/>
  <c r="AK218" i="11"/>
  <c r="AF143" i="11"/>
  <c r="AA143" i="11"/>
  <c r="AJ74" i="11"/>
  <c r="AN74" i="11" s="1"/>
  <c r="AI74" i="11"/>
  <c r="G48" i="11"/>
  <c r="AI59" i="11"/>
  <c r="AM59" i="11" s="1"/>
  <c r="AJ59" i="11"/>
  <c r="AN59" i="11" s="1"/>
  <c r="U5" i="11"/>
  <c r="AI68" i="11"/>
  <c r="AJ68" i="11"/>
  <c r="AN68" i="11" s="1"/>
  <c r="G167" i="11"/>
  <c r="T300" i="6"/>
  <c r="T251" i="6"/>
  <c r="BK219" i="11"/>
  <c r="BF219" i="11"/>
  <c r="AI176" i="11"/>
  <c r="AJ176" i="11"/>
  <c r="AN176" i="11" s="1"/>
  <c r="X259" i="6"/>
  <c r="AC213" i="6"/>
  <c r="AJ89" i="11"/>
  <c r="AN89" i="11" s="1"/>
  <c r="AI89" i="11"/>
  <c r="N290" i="11"/>
  <c r="Y12" i="11"/>
  <c r="V5" i="11"/>
  <c r="V4" i="11"/>
  <c r="AJ77" i="11"/>
  <c r="AN77" i="11" s="1"/>
  <c r="AI77" i="11"/>
  <c r="AG29" i="11"/>
  <c r="BK119" i="11"/>
  <c r="BF119" i="11"/>
  <c r="AJ212" i="11"/>
  <c r="AN212" i="11" s="1"/>
  <c r="AI212" i="11"/>
  <c r="G198" i="11"/>
  <c r="AC198" i="11"/>
  <c r="AF198" i="11"/>
  <c r="BK118" i="11"/>
  <c r="BF118" i="11"/>
  <c r="T268" i="6"/>
  <c r="T245" i="6"/>
  <c r="T315" i="6"/>
  <c r="X80" i="11"/>
  <c r="AC43" i="11"/>
  <c r="AF43" i="11"/>
  <c r="AJ153" i="11"/>
  <c r="AN153" i="11" s="1"/>
  <c r="AI153" i="11"/>
  <c r="Q320" i="6"/>
  <c r="Q254" i="6"/>
  <c r="AI90" i="11"/>
  <c r="AJ90" i="11"/>
  <c r="AN90" i="11" s="1"/>
  <c r="AJ156" i="11"/>
  <c r="AN156" i="11" s="1"/>
  <c r="AI156" i="11"/>
  <c r="X297" i="6"/>
  <c r="X280" i="6"/>
  <c r="X311" i="6"/>
  <c r="X237" i="6"/>
  <c r="AC22" i="6"/>
  <c r="AA174" i="11"/>
  <c r="BF190" i="11"/>
  <c r="BK190" i="11"/>
  <c r="N17" i="30"/>
  <c r="N18" i="30" s="1"/>
  <c r="N19" i="30" s="1"/>
  <c r="N20" i="30" s="1"/>
  <c r="N23" i="30" s="1"/>
  <c r="AC146" i="11"/>
  <c r="AF146" i="11"/>
  <c r="G175" i="11"/>
  <c r="Q286" i="6"/>
  <c r="Q265" i="6"/>
  <c r="Q239" i="6"/>
  <c r="Q312" i="6"/>
  <c r="M286" i="6"/>
  <c r="AI50" i="11"/>
  <c r="AJ50" i="11"/>
  <c r="AN50" i="11" s="1"/>
  <c r="T241" i="6"/>
  <c r="T313" i="6"/>
  <c r="X282" i="6"/>
  <c r="X295" i="6"/>
  <c r="AC15" i="6"/>
  <c r="AI154" i="11"/>
  <c r="AJ154" i="11"/>
  <c r="AN154" i="11" s="1"/>
  <c r="X279" i="6"/>
  <c r="AC38" i="6"/>
  <c r="AJ73" i="11"/>
  <c r="AN73" i="11" s="1"/>
  <c r="AI73" i="11"/>
  <c r="Q272" i="6"/>
  <c r="Q285" i="6"/>
  <c r="AJ136" i="11"/>
  <c r="AN136" i="11" s="1"/>
  <c r="AI136" i="11"/>
  <c r="AI178" i="11"/>
  <c r="AJ178" i="11"/>
  <c r="AN178" i="11" s="1"/>
  <c r="AA120" i="11"/>
  <c r="AF120" i="11"/>
  <c r="AG112" i="11"/>
  <c r="AF26" i="11"/>
  <c r="AA26" i="11"/>
  <c r="M278" i="6"/>
  <c r="AC36" i="11"/>
  <c r="AF36" i="11"/>
  <c r="X304" i="6"/>
  <c r="AC144" i="6"/>
  <c r="AF56" i="11"/>
  <c r="AA56" i="11"/>
  <c r="AJ159" i="11"/>
  <c r="AN159" i="11" s="1"/>
  <c r="AI159" i="11"/>
  <c r="AF128" i="11"/>
  <c r="AA128" i="11"/>
  <c r="AI104" i="11"/>
  <c r="AJ104" i="11"/>
  <c r="AN104" i="11" s="1"/>
  <c r="T244" i="6"/>
  <c r="T314" i="6"/>
  <c r="T227" i="6"/>
  <c r="Q273" i="6"/>
  <c r="M266" i="6"/>
  <c r="M318" i="6"/>
  <c r="M228" i="6"/>
  <c r="M252" i="6"/>
  <c r="AJ125" i="11"/>
  <c r="AN125" i="11" s="1"/>
  <c r="AI125" i="11"/>
  <c r="AI63" i="11"/>
  <c r="AJ63" i="11"/>
  <c r="AN63" i="11" s="1"/>
  <c r="AI71" i="11"/>
  <c r="AJ71" i="11"/>
  <c r="AN71" i="11" s="1"/>
  <c r="AI217" i="11"/>
  <c r="AJ217" i="11"/>
  <c r="AN217" i="11" s="1"/>
  <c r="M283" i="6"/>
  <c r="AM121" i="11"/>
  <c r="AK121" i="11"/>
  <c r="Q270" i="6"/>
  <c r="Q284" i="6"/>
  <c r="L222" i="6"/>
  <c r="L8" i="6" s="1"/>
  <c r="L324" i="6"/>
  <c r="G145" i="11"/>
  <c r="AC167" i="11"/>
  <c r="AF167" i="11"/>
  <c r="W101" i="11"/>
  <c r="AA213" i="11"/>
  <c r="AF213" i="11"/>
  <c r="Q250" i="6"/>
  <c r="Q317" i="6"/>
  <c r="G162" i="11"/>
  <c r="AC20" i="11"/>
  <c r="AF20" i="11"/>
  <c r="X256" i="6"/>
  <c r="X321" i="6"/>
  <c r="AC182" i="6"/>
  <c r="O276" i="11"/>
  <c r="X238" i="6"/>
  <c r="AC24" i="6"/>
  <c r="G164" i="11"/>
  <c r="G157" i="11"/>
  <c r="X301" i="6"/>
  <c r="AC128" i="6"/>
  <c r="AA132" i="11"/>
  <c r="AC132" i="11" s="1"/>
  <c r="AG132" i="11" s="1"/>
  <c r="T258" i="6"/>
  <c r="T322" i="6"/>
  <c r="X302" i="6"/>
  <c r="AC142" i="6"/>
  <c r="T247" i="6"/>
  <c r="T316" i="6"/>
  <c r="N232" i="11"/>
  <c r="BK51" i="11"/>
  <c r="BF51" i="11"/>
  <c r="BK137" i="11"/>
  <c r="BF137" i="11"/>
  <c r="BF185" i="11"/>
  <c r="BK185" i="11"/>
  <c r="AK211" i="11"/>
  <c r="BE133" i="11"/>
  <c r="BJ133" i="11"/>
  <c r="AQ133" i="11"/>
  <c r="BB133" i="11"/>
  <c r="BF129" i="11"/>
  <c r="BK129" i="11"/>
  <c r="AK69" i="11" l="1"/>
  <c r="AQ76" i="11"/>
  <c r="D76" i="7" s="1"/>
  <c r="AI75" i="11"/>
  <c r="AM75" i="11" s="1"/>
  <c r="AJ85" i="11"/>
  <c r="AN85" i="11" s="1"/>
  <c r="BB85" i="11" s="1"/>
  <c r="AJ184" i="11"/>
  <c r="AN184" i="11" s="1"/>
  <c r="AI187" i="11"/>
  <c r="AM187" i="11" s="1"/>
  <c r="AI60" i="11"/>
  <c r="AM60" i="11" s="1"/>
  <c r="AI67" i="11"/>
  <c r="AM67" i="11" s="1"/>
  <c r="AJ96" i="11"/>
  <c r="S222" i="6"/>
  <c r="Q222" i="6" s="1"/>
  <c r="Q8" i="6" s="1"/>
  <c r="AK45" i="11"/>
  <c r="AK53" i="11"/>
  <c r="AK214" i="11"/>
  <c r="AK76" i="11"/>
  <c r="AK86" i="11"/>
  <c r="BB105" i="11"/>
  <c r="AA105" i="7" s="1"/>
  <c r="AB105" i="7" s="1"/>
  <c r="AK161" i="11"/>
  <c r="AK110" i="11"/>
  <c r="AK107" i="11"/>
  <c r="AG20" i="11"/>
  <c r="AI20" i="11" s="1"/>
  <c r="O325" i="11"/>
  <c r="AG175" i="11"/>
  <c r="AJ175" i="11" s="1"/>
  <c r="AN175" i="11" s="1"/>
  <c r="AG43" i="11"/>
  <c r="AJ43" i="11" s="1"/>
  <c r="AN43" i="11" s="1"/>
  <c r="AG145" i="11"/>
  <c r="AI145" i="11" s="1"/>
  <c r="AM145" i="11" s="1"/>
  <c r="AG37" i="11"/>
  <c r="AJ37" i="11" s="1"/>
  <c r="AN37" i="11" s="1"/>
  <c r="AK96" i="11"/>
  <c r="AG44" i="11"/>
  <c r="AJ44" i="11" s="1"/>
  <c r="AN44" i="11" s="1"/>
  <c r="AG167" i="11"/>
  <c r="AI167" i="11" s="1"/>
  <c r="N25" i="30"/>
  <c r="O232" i="11"/>
  <c r="AK188" i="11"/>
  <c r="M296" i="6"/>
  <c r="N262" i="11"/>
  <c r="X265" i="6"/>
  <c r="BK85" i="11"/>
  <c r="BF85" i="11"/>
  <c r="AI132" i="11"/>
  <c r="AM132" i="11" s="1"/>
  <c r="AJ132" i="11"/>
  <c r="AN132" i="11" s="1"/>
  <c r="D133" i="7"/>
  <c r="BH133" i="11"/>
  <c r="Q226" i="6"/>
  <c r="BF217" i="11"/>
  <c r="BK217" i="11"/>
  <c r="BK63" i="11"/>
  <c r="BF63" i="11"/>
  <c r="BK178" i="11"/>
  <c r="BF178" i="11"/>
  <c r="BF154" i="11"/>
  <c r="BK154" i="11"/>
  <c r="AD15" i="6"/>
  <c r="AD282" i="6"/>
  <c r="AF15" i="6"/>
  <c r="AD295" i="6"/>
  <c r="AM50" i="11"/>
  <c r="AK50" i="11"/>
  <c r="J6" i="31"/>
  <c r="BK156" i="11"/>
  <c r="BF156" i="11"/>
  <c r="AM77" i="11"/>
  <c r="AK77" i="11"/>
  <c r="AM89" i="11"/>
  <c r="AK89" i="11"/>
  <c r="AF213" i="6"/>
  <c r="AD259" i="6"/>
  <c r="AD213" i="6"/>
  <c r="BF74" i="11"/>
  <c r="BK74" i="11"/>
  <c r="AA129" i="7"/>
  <c r="AB129" i="7" s="1"/>
  <c r="BF181" i="11"/>
  <c r="BK181" i="11"/>
  <c r="AM87" i="11"/>
  <c r="AK87" i="11"/>
  <c r="AM79" i="11"/>
  <c r="AK79" i="11"/>
  <c r="K27" i="30"/>
  <c r="H8" i="31"/>
  <c r="K15" i="30"/>
  <c r="T235" i="6"/>
  <c r="V261" i="6"/>
  <c r="T261" i="6" s="1"/>
  <c r="AM117" i="11"/>
  <c r="AK117" i="11"/>
  <c r="BK200" i="11"/>
  <c r="BF200" i="11"/>
  <c r="AM180" i="11"/>
  <c r="AK180" i="11"/>
  <c r="AC48" i="11"/>
  <c r="AG48" i="11" s="1"/>
  <c r="BJ205" i="11"/>
  <c r="BE205" i="11"/>
  <c r="BB205" i="11"/>
  <c r="AQ205" i="11"/>
  <c r="AM207" i="11"/>
  <c r="AK207" i="11"/>
  <c r="BK158" i="11"/>
  <c r="BF158" i="11"/>
  <c r="BF134" i="11"/>
  <c r="BK134" i="11"/>
  <c r="BK124" i="11"/>
  <c r="BF124" i="11"/>
  <c r="BK183" i="11"/>
  <c r="BF183" i="11"/>
  <c r="AM46" i="11"/>
  <c r="AK46" i="11"/>
  <c r="AM61" i="11"/>
  <c r="AK61" i="11"/>
  <c r="X235" i="6"/>
  <c r="AD249" i="6"/>
  <c r="AF102" i="6"/>
  <c r="AD102" i="6"/>
  <c r="AF209" i="11"/>
  <c r="BJ220" i="11"/>
  <c r="BB220" i="11"/>
  <c r="AQ220" i="11"/>
  <c r="BE220" i="11"/>
  <c r="BF35" i="11"/>
  <c r="BK35" i="11"/>
  <c r="AG164" i="11"/>
  <c r="BK199" i="11"/>
  <c r="BF199" i="11"/>
  <c r="BF84" i="11"/>
  <c r="BK84" i="11"/>
  <c r="BK197" i="11"/>
  <c r="BF197" i="11"/>
  <c r="AM28" i="11"/>
  <c r="AK28" i="11"/>
  <c r="AM57" i="11"/>
  <c r="AK57" i="11"/>
  <c r="BF215" i="11"/>
  <c r="BK215" i="11"/>
  <c r="BJ25" i="11"/>
  <c r="AQ25" i="11"/>
  <c r="BB25" i="11"/>
  <c r="BE25" i="11"/>
  <c r="AM82" i="11"/>
  <c r="AK82" i="11"/>
  <c r="AD319" i="6"/>
  <c r="AF171" i="6"/>
  <c r="AD171" i="6"/>
  <c r="AD253" i="6"/>
  <c r="AD303" i="6"/>
  <c r="AD143" i="6"/>
  <c r="AF143" i="6"/>
  <c r="BF49" i="11"/>
  <c r="BK49" i="11"/>
  <c r="D185" i="7"/>
  <c r="BH185" i="11"/>
  <c r="AA203" i="7"/>
  <c r="AB203" i="7" s="1"/>
  <c r="AA211" i="7"/>
  <c r="AB211" i="7" s="1"/>
  <c r="BK83" i="11"/>
  <c r="BF83" i="11"/>
  <c r="BK54" i="11"/>
  <c r="BF54" i="11"/>
  <c r="AM116" i="11"/>
  <c r="AK116" i="11"/>
  <c r="M310" i="6"/>
  <c r="AD252" i="6"/>
  <c r="AD139" i="6"/>
  <c r="AD228" i="6"/>
  <c r="AD318" i="6"/>
  <c r="AF139" i="6"/>
  <c r="AM66" i="11"/>
  <c r="AK66" i="11"/>
  <c r="AD266" i="6"/>
  <c r="AD41" i="6"/>
  <c r="AF41" i="6"/>
  <c r="BK165" i="11"/>
  <c r="BF165" i="11"/>
  <c r="AM98" i="11"/>
  <c r="AK98" i="11"/>
  <c r="BK106" i="11"/>
  <c r="BF106" i="11"/>
  <c r="AD26" i="6"/>
  <c r="AF26" i="6"/>
  <c r="AM169" i="11"/>
  <c r="AK169" i="11"/>
  <c r="AM155" i="11"/>
  <c r="AK155" i="11"/>
  <c r="AA190" i="7"/>
  <c r="AB190" i="7" s="1"/>
  <c r="AM131" i="11"/>
  <c r="AK131" i="11"/>
  <c r="BK40" i="11"/>
  <c r="BF40" i="11"/>
  <c r="AF14" i="6"/>
  <c r="AD281" i="6"/>
  <c r="AD294" i="6"/>
  <c r="AD271" i="6"/>
  <c r="AD14" i="6"/>
  <c r="AD236" i="6"/>
  <c r="AF23" i="6"/>
  <c r="AD298" i="6"/>
  <c r="AD23" i="6"/>
  <c r="BK168" i="11"/>
  <c r="BF168" i="11"/>
  <c r="BJ58" i="11"/>
  <c r="BE58" i="11"/>
  <c r="BB58" i="11"/>
  <c r="AQ58" i="11"/>
  <c r="AK58" i="11"/>
  <c r="BK110" i="11"/>
  <c r="BF110" i="11"/>
  <c r="BF214" i="11"/>
  <c r="BK214" i="11"/>
  <c r="BF45" i="11"/>
  <c r="BK45" i="11"/>
  <c r="BB53" i="11"/>
  <c r="AQ53" i="11"/>
  <c r="BJ53" i="11"/>
  <c r="BE53" i="11"/>
  <c r="AM206" i="11"/>
  <c r="AK206" i="11"/>
  <c r="BF161" i="11"/>
  <c r="BK161" i="11"/>
  <c r="BK184" i="11"/>
  <c r="BF184" i="11"/>
  <c r="BJ96" i="11"/>
  <c r="BE96" i="11"/>
  <c r="AD128" i="6"/>
  <c r="AD301" i="6"/>
  <c r="AF128" i="6"/>
  <c r="AM184" i="11"/>
  <c r="AK184" i="11"/>
  <c r="Q235" i="6"/>
  <c r="S261" i="6"/>
  <c r="Q261" i="6" s="1"/>
  <c r="AM217" i="11"/>
  <c r="AK217" i="11"/>
  <c r="AM63" i="11"/>
  <c r="AK63" i="11"/>
  <c r="AM154" i="11"/>
  <c r="AK154" i="11"/>
  <c r="AM153" i="11"/>
  <c r="AK153" i="11"/>
  <c r="AJ29" i="11"/>
  <c r="AN29" i="11" s="1"/>
  <c r="AI29" i="11"/>
  <c r="BK77" i="11"/>
  <c r="BF77" i="11"/>
  <c r="BK89" i="11"/>
  <c r="BF89" i="11"/>
  <c r="BK68" i="11"/>
  <c r="BF68" i="11"/>
  <c r="BK59" i="11"/>
  <c r="BF59" i="11"/>
  <c r="AA92" i="7"/>
  <c r="AB92" i="7" s="1"/>
  <c r="D51" i="7"/>
  <c r="BH51" i="11"/>
  <c r="AM181" i="11"/>
  <c r="AK181" i="11"/>
  <c r="BF79" i="11"/>
  <c r="BK79" i="11"/>
  <c r="AM202" i="11"/>
  <c r="AK202" i="11"/>
  <c r="T226" i="6"/>
  <c r="V231" i="6"/>
  <c r="T231" i="6" s="1"/>
  <c r="T293" i="6"/>
  <c r="Q278" i="6"/>
  <c r="S289" i="6"/>
  <c r="Q289" i="6" s="1"/>
  <c r="BF60" i="11"/>
  <c r="BK60" i="11"/>
  <c r="BF47" i="11"/>
  <c r="BK47" i="11"/>
  <c r="BF180" i="11"/>
  <c r="BK180" i="11"/>
  <c r="BJ219" i="11"/>
  <c r="AQ219" i="11"/>
  <c r="BE219" i="11"/>
  <c r="BB219" i="11"/>
  <c r="AJ123" i="11"/>
  <c r="AN123" i="11" s="1"/>
  <c r="AI123" i="11"/>
  <c r="AD31" i="6"/>
  <c r="AF31" i="6"/>
  <c r="AD287" i="6"/>
  <c r="BF141" i="11"/>
  <c r="BK141" i="11"/>
  <c r="BB115" i="11"/>
  <c r="AQ115" i="11"/>
  <c r="BJ115" i="11"/>
  <c r="BE115" i="11"/>
  <c r="AM158" i="11"/>
  <c r="AK158" i="11"/>
  <c r="AM147" i="11"/>
  <c r="AK147" i="11"/>
  <c r="BK46" i="11"/>
  <c r="BF46" i="11"/>
  <c r="BK61" i="11"/>
  <c r="BF61" i="11"/>
  <c r="X226" i="6"/>
  <c r="X293" i="6"/>
  <c r="BF109" i="11"/>
  <c r="BK109" i="11"/>
  <c r="M227" i="6"/>
  <c r="AM199" i="11"/>
  <c r="AK199" i="11"/>
  <c r="AM193" i="11"/>
  <c r="AK193" i="11"/>
  <c r="AD13" i="6"/>
  <c r="AF13" i="6"/>
  <c r="AD272" i="6"/>
  <c r="BK163" i="11"/>
  <c r="BF163" i="11"/>
  <c r="AD286" i="6"/>
  <c r="AD30" i="6"/>
  <c r="AD239" i="6"/>
  <c r="AF30" i="6"/>
  <c r="AD312" i="6"/>
  <c r="X296" i="6"/>
  <c r="AM84" i="11"/>
  <c r="AK84" i="11"/>
  <c r="AM197" i="11"/>
  <c r="AK197" i="11"/>
  <c r="AD172" i="6"/>
  <c r="AD254" i="6"/>
  <c r="AF172" i="6"/>
  <c r="BF28" i="11"/>
  <c r="BK28" i="11"/>
  <c r="BF57" i="11"/>
  <c r="BK57" i="11"/>
  <c r="AM49" i="11"/>
  <c r="AK49" i="11"/>
  <c r="AA185" i="7"/>
  <c r="AB185" i="7" s="1"/>
  <c r="AQ138" i="11"/>
  <c r="BB138" i="11"/>
  <c r="BJ138" i="11"/>
  <c r="BE138" i="11"/>
  <c r="AM83" i="11"/>
  <c r="AK83" i="11"/>
  <c r="AM54" i="11"/>
  <c r="AK54" i="11"/>
  <c r="D16" i="11"/>
  <c r="AM16" i="6"/>
  <c r="AP16" i="6"/>
  <c r="AH16" i="6"/>
  <c r="F16" i="11" s="1"/>
  <c r="AQ16" i="6"/>
  <c r="M235" i="6"/>
  <c r="O261" i="6"/>
  <c r="M261" i="6" s="1"/>
  <c r="BF66" i="11"/>
  <c r="BK66" i="11"/>
  <c r="AM165" i="11"/>
  <c r="AK165" i="11"/>
  <c r="Q227" i="6"/>
  <c r="BF98" i="11"/>
  <c r="BK98" i="11"/>
  <c r="AM150" i="11"/>
  <c r="AK150" i="11"/>
  <c r="BF166" i="11"/>
  <c r="BK166" i="11"/>
  <c r="X278" i="6"/>
  <c r="Z289" i="6"/>
  <c r="X289" i="6" s="1"/>
  <c r="BK169" i="11"/>
  <c r="BF169" i="11"/>
  <c r="AD18" i="6"/>
  <c r="AF18" i="6"/>
  <c r="BK155" i="11"/>
  <c r="BF155" i="11"/>
  <c r="M320" i="6"/>
  <c r="BK93" i="11"/>
  <c r="BF93" i="11"/>
  <c r="BE204" i="11"/>
  <c r="AQ204" i="11"/>
  <c r="BJ204" i="11"/>
  <c r="BB204" i="11"/>
  <c r="BF131" i="11"/>
  <c r="BK131" i="11"/>
  <c r="AD299" i="6"/>
  <c r="AF108" i="6"/>
  <c r="AD108" i="6"/>
  <c r="BB127" i="11"/>
  <c r="BJ127" i="11"/>
  <c r="AQ127" i="11"/>
  <c r="BE127" i="11"/>
  <c r="BJ69" i="11"/>
  <c r="AQ69" i="11"/>
  <c r="BE69" i="11"/>
  <c r="BB69" i="11"/>
  <c r="AM168" i="11"/>
  <c r="AK168" i="11"/>
  <c r="BK152" i="11"/>
  <c r="BF152" i="11"/>
  <c r="AM216" i="11"/>
  <c r="AK216" i="11"/>
  <c r="BE214" i="11"/>
  <c r="BJ214" i="11"/>
  <c r="BB214" i="11"/>
  <c r="AQ214" i="11"/>
  <c r="BB45" i="11"/>
  <c r="AQ45" i="11"/>
  <c r="BE45" i="11"/>
  <c r="BJ45" i="11"/>
  <c r="BK53" i="11"/>
  <c r="BF53" i="11"/>
  <c r="AM196" i="11"/>
  <c r="AK196" i="11"/>
  <c r="BF188" i="11"/>
  <c r="BK188" i="11"/>
  <c r="BF104" i="11"/>
  <c r="BK104" i="11"/>
  <c r="AM159" i="11"/>
  <c r="AK159" i="11"/>
  <c r="AI112" i="11"/>
  <c r="AJ112" i="11"/>
  <c r="AN112" i="11" s="1"/>
  <c r="AM178" i="11"/>
  <c r="AK178" i="11"/>
  <c r="AD142" i="6"/>
  <c r="AF142" i="6"/>
  <c r="AD302" i="6"/>
  <c r="AD256" i="6"/>
  <c r="AF182" i="6"/>
  <c r="AD321" i="6"/>
  <c r="AD182" i="6"/>
  <c r="AF101" i="11"/>
  <c r="Q293" i="6"/>
  <c r="BJ121" i="11"/>
  <c r="BB121" i="11"/>
  <c r="AQ121" i="11"/>
  <c r="BE121" i="11"/>
  <c r="BK71" i="11"/>
  <c r="BF71" i="11"/>
  <c r="AM125" i="11"/>
  <c r="AK125" i="11"/>
  <c r="T264" i="6"/>
  <c r="V275" i="6"/>
  <c r="T275" i="6" s="1"/>
  <c r="AM104" i="11"/>
  <c r="AK104" i="11"/>
  <c r="BF159" i="11"/>
  <c r="BK159" i="11"/>
  <c r="AM136" i="11"/>
  <c r="AK136" i="11"/>
  <c r="AM73" i="11"/>
  <c r="AK73" i="11"/>
  <c r="AF38" i="6"/>
  <c r="AD38" i="6"/>
  <c r="AD279" i="6"/>
  <c r="AG146" i="11"/>
  <c r="AD311" i="6"/>
  <c r="AD237" i="6"/>
  <c r="AF22" i="6"/>
  <c r="AD22" i="6"/>
  <c r="AD297" i="6"/>
  <c r="AD280" i="6"/>
  <c r="BF90" i="11"/>
  <c r="BK90" i="11"/>
  <c r="BF153" i="11"/>
  <c r="BK153" i="11"/>
  <c r="AM212" i="11"/>
  <c r="AK212" i="11"/>
  <c r="BF176" i="11"/>
  <c r="BK176" i="11"/>
  <c r="AM68" i="11"/>
  <c r="AK68" i="11"/>
  <c r="BJ59" i="11"/>
  <c r="BE59" i="11"/>
  <c r="AQ59" i="11"/>
  <c r="BB59" i="11"/>
  <c r="BB218" i="11"/>
  <c r="BE218" i="11"/>
  <c r="AQ218" i="11"/>
  <c r="BJ218" i="11"/>
  <c r="D92" i="7"/>
  <c r="BH92" i="11"/>
  <c r="AA51" i="7"/>
  <c r="AB51" i="7" s="1"/>
  <c r="AF100" i="6"/>
  <c r="AD100" i="6"/>
  <c r="AD247" i="6"/>
  <c r="AN96" i="11"/>
  <c r="AQ96" i="11" s="1"/>
  <c r="AM94" i="11"/>
  <c r="AK94" i="11"/>
  <c r="BK202" i="11"/>
  <c r="BF202" i="11"/>
  <c r="T310" i="6"/>
  <c r="V324" i="6"/>
  <c r="T324" i="6" s="1"/>
  <c r="AD243" i="6"/>
  <c r="AF65" i="6"/>
  <c r="AD65" i="6"/>
  <c r="AD78" i="6"/>
  <c r="AD244" i="6"/>
  <c r="AD314" i="6"/>
  <c r="AF78" i="6"/>
  <c r="AM177" i="11"/>
  <c r="AK177" i="11"/>
  <c r="AG157" i="11"/>
  <c r="AD313" i="6"/>
  <c r="AF55" i="6"/>
  <c r="AD55" i="6"/>
  <c r="AD241" i="6"/>
  <c r="Q296" i="6"/>
  <c r="AM47" i="11"/>
  <c r="AK47" i="11"/>
  <c r="AD269" i="6"/>
  <c r="AF17" i="6"/>
  <c r="AD17" i="6"/>
  <c r="BK32" i="11"/>
  <c r="BF32" i="11"/>
  <c r="AD284" i="6"/>
  <c r="AF80" i="6"/>
  <c r="AD315" i="6"/>
  <c r="AD80" i="6"/>
  <c r="AD245" i="6"/>
  <c r="BE118" i="11"/>
  <c r="BB118" i="11"/>
  <c r="AQ118" i="11"/>
  <c r="BJ118" i="11"/>
  <c r="BE119" i="11"/>
  <c r="BJ119" i="11"/>
  <c r="AQ119" i="11"/>
  <c r="BB119" i="11"/>
  <c r="AD300" i="6"/>
  <c r="AD122" i="6"/>
  <c r="AF122" i="6"/>
  <c r="AD251" i="6"/>
  <c r="BK189" i="11"/>
  <c r="BF189" i="11"/>
  <c r="AM141" i="11"/>
  <c r="AK141" i="11"/>
  <c r="BJ52" i="11"/>
  <c r="BB52" i="11"/>
  <c r="AQ52" i="11"/>
  <c r="BE52" i="11"/>
  <c r="D105" i="7"/>
  <c r="BH105" i="11"/>
  <c r="BK201" i="11"/>
  <c r="BF201" i="11"/>
  <c r="BF147" i="11"/>
  <c r="BK147" i="11"/>
  <c r="AM97" i="11"/>
  <c r="AK97" i="11"/>
  <c r="AA186" i="7"/>
  <c r="AB186" i="7" s="1"/>
  <c r="AM140" i="11"/>
  <c r="AK140" i="11"/>
  <c r="AF12" i="6"/>
  <c r="AD12" i="6"/>
  <c r="AD270" i="6"/>
  <c r="X310" i="6"/>
  <c r="Z324" i="6"/>
  <c r="X324" i="6" s="1"/>
  <c r="AM109" i="11"/>
  <c r="AK109" i="11"/>
  <c r="BF64" i="11"/>
  <c r="BK64" i="11"/>
  <c r="BF114" i="11"/>
  <c r="BK114" i="11"/>
  <c r="BK193" i="11"/>
  <c r="BF193" i="11"/>
  <c r="AM163" i="11"/>
  <c r="AK163" i="11"/>
  <c r="BK191" i="11"/>
  <c r="BF191" i="11"/>
  <c r="AJ160" i="11"/>
  <c r="AN160" i="11" s="1"/>
  <c r="AI160" i="11"/>
  <c r="AJ39" i="11"/>
  <c r="AN39" i="11" s="1"/>
  <c r="AI39" i="11"/>
  <c r="AJ192" i="11"/>
  <c r="AN192" i="11" s="1"/>
  <c r="AI192" i="11"/>
  <c r="AI99" i="11"/>
  <c r="AJ99" i="11"/>
  <c r="AN99" i="11" s="1"/>
  <c r="AJ130" i="11"/>
  <c r="AN130" i="11" s="1"/>
  <c r="AI130" i="11"/>
  <c r="BJ91" i="11"/>
  <c r="BE91" i="11"/>
  <c r="BB91" i="11"/>
  <c r="AQ91" i="11"/>
  <c r="BK179" i="11"/>
  <c r="BF179" i="11"/>
  <c r="BF170" i="11"/>
  <c r="BK170" i="11"/>
  <c r="AA113" i="7"/>
  <c r="AB113" i="7" s="1"/>
  <c r="BK105" i="11"/>
  <c r="BF105" i="11"/>
  <c r="Q316" i="6"/>
  <c r="BK135" i="11"/>
  <c r="BF135" i="11"/>
  <c r="AM208" i="11"/>
  <c r="AK208" i="11"/>
  <c r="O222" i="6"/>
  <c r="BK148" i="11"/>
  <c r="BF148" i="11"/>
  <c r="BF150" i="11"/>
  <c r="BK150" i="11"/>
  <c r="AM166" i="11"/>
  <c r="AK166" i="11"/>
  <c r="AM95" i="11"/>
  <c r="AK95" i="11"/>
  <c r="D190" i="7"/>
  <c r="BH190" i="11"/>
  <c r="AD174" i="6"/>
  <c r="AD255" i="6"/>
  <c r="AF174" i="6"/>
  <c r="AM70" i="11"/>
  <c r="AK70" i="11"/>
  <c r="AG42" i="11"/>
  <c r="AM93" i="11"/>
  <c r="AK93" i="11"/>
  <c r="AM34" i="11"/>
  <c r="AK34" i="11"/>
  <c r="AM88" i="11"/>
  <c r="AK88" i="11"/>
  <c r="BK126" i="11"/>
  <c r="BF126" i="11"/>
  <c r="BK149" i="11"/>
  <c r="BF149" i="11"/>
  <c r="BF173" i="11"/>
  <c r="BK173" i="11"/>
  <c r="BF111" i="11"/>
  <c r="BK111" i="11"/>
  <c r="M229" i="6"/>
  <c r="AM152" i="11"/>
  <c r="AK152" i="11"/>
  <c r="BF86" i="11"/>
  <c r="BK86" i="11"/>
  <c r="BF216" i="11"/>
  <c r="BK216" i="11"/>
  <c r="BK194" i="11"/>
  <c r="BF194" i="11"/>
  <c r="BK107" i="11"/>
  <c r="BF107" i="11"/>
  <c r="BK196" i="11"/>
  <c r="BF196" i="11"/>
  <c r="BE188" i="11"/>
  <c r="BJ188" i="11"/>
  <c r="BB188" i="11"/>
  <c r="AQ188" i="11"/>
  <c r="AA133" i="7"/>
  <c r="AB133" i="7" s="1"/>
  <c r="BE85" i="11"/>
  <c r="BJ85" i="11"/>
  <c r="AD24" i="6"/>
  <c r="AD238" i="6"/>
  <c r="AF24" i="6"/>
  <c r="L7" i="6"/>
  <c r="Q310" i="6"/>
  <c r="AM71" i="11"/>
  <c r="AK71" i="11"/>
  <c r="BK125" i="11"/>
  <c r="BF125" i="11"/>
  <c r="AD144" i="6"/>
  <c r="AD304" i="6"/>
  <c r="AF144" i="6"/>
  <c r="AG36" i="11"/>
  <c r="BF136" i="11"/>
  <c r="BK136" i="11"/>
  <c r="BK73" i="11"/>
  <c r="BF73" i="11"/>
  <c r="BK50" i="11"/>
  <c r="BF50" i="11"/>
  <c r="AM156" i="11"/>
  <c r="AK156" i="11"/>
  <c r="AM90" i="11"/>
  <c r="AK90" i="11"/>
  <c r="AG198" i="11"/>
  <c r="BK212" i="11"/>
  <c r="BF212" i="11"/>
  <c r="AM176" i="11"/>
  <c r="AK176" i="11"/>
  <c r="AM74" i="11"/>
  <c r="AK74" i="11"/>
  <c r="BH129" i="11"/>
  <c r="D129" i="7"/>
  <c r="BJ137" i="11"/>
  <c r="BB137" i="11"/>
  <c r="BE137" i="11"/>
  <c r="AQ137" i="11"/>
  <c r="BK87" i="11"/>
  <c r="BF87" i="11"/>
  <c r="AD258" i="6"/>
  <c r="AD322" i="6"/>
  <c r="AF210" i="6"/>
  <c r="AD210" i="6"/>
  <c r="BF94" i="11"/>
  <c r="BK94" i="11"/>
  <c r="X248" i="6"/>
  <c r="AC101" i="6"/>
  <c r="V222" i="6"/>
  <c r="X227" i="6"/>
  <c r="BK177" i="11"/>
  <c r="BF177" i="11"/>
  <c r="T285" i="6"/>
  <c r="BF117" i="11"/>
  <c r="BK117" i="11"/>
  <c r="AM200" i="11"/>
  <c r="AK200" i="11"/>
  <c r="AM32" i="11"/>
  <c r="AK32" i="11"/>
  <c r="AD240" i="6"/>
  <c r="AF33" i="6"/>
  <c r="AD33" i="6"/>
  <c r="AG195" i="11"/>
  <c r="BF67" i="11"/>
  <c r="BK67" i="11"/>
  <c r="AM189" i="11"/>
  <c r="AK189" i="11"/>
  <c r="BF207" i="11"/>
  <c r="BK207" i="11"/>
  <c r="AG162" i="11"/>
  <c r="AD27" i="6"/>
  <c r="AF27" i="6"/>
  <c r="AD267" i="6"/>
  <c r="AM201" i="11"/>
  <c r="AK201" i="11"/>
  <c r="M316" i="6"/>
  <c r="AM134" i="11"/>
  <c r="AK134" i="11"/>
  <c r="AM124" i="11"/>
  <c r="AK124" i="11"/>
  <c r="AM183" i="11"/>
  <c r="AK183" i="11"/>
  <c r="AD120" i="6"/>
  <c r="AF120" i="6"/>
  <c r="AD250" i="6"/>
  <c r="AD317" i="6"/>
  <c r="BK97" i="11"/>
  <c r="BF97" i="11"/>
  <c r="D186" i="7"/>
  <c r="BH186" i="11"/>
  <c r="BK140" i="11"/>
  <c r="BF140" i="11"/>
  <c r="Z222" i="6"/>
  <c r="AM64" i="11"/>
  <c r="AK64" i="11"/>
  <c r="AG103" i="11"/>
  <c r="AM35" i="11"/>
  <c r="AK35" i="11"/>
  <c r="AF19" i="6"/>
  <c r="AD19" i="6"/>
  <c r="AD273" i="6"/>
  <c r="T278" i="6"/>
  <c r="AM114" i="11"/>
  <c r="AK114" i="11"/>
  <c r="AH62" i="6"/>
  <c r="F62" i="11" s="1"/>
  <c r="AP62" i="6"/>
  <c r="AM62" i="6"/>
  <c r="D62" i="11"/>
  <c r="AQ62" i="6"/>
  <c r="T296" i="6"/>
  <c r="AA76" i="7"/>
  <c r="AB76" i="7" s="1"/>
  <c r="AM191" i="11"/>
  <c r="AK191" i="11"/>
  <c r="AF81" i="6"/>
  <c r="AD81" i="6"/>
  <c r="AD246" i="6"/>
  <c r="AM215" i="11"/>
  <c r="AK215" i="11"/>
  <c r="BE72" i="11"/>
  <c r="AQ72" i="11"/>
  <c r="BB72" i="11"/>
  <c r="BJ72" i="11"/>
  <c r="BF82" i="11"/>
  <c r="BK82" i="11"/>
  <c r="AM179" i="11"/>
  <c r="AK179" i="11"/>
  <c r="AM170" i="11"/>
  <c r="AK170" i="11"/>
  <c r="D113" i="7"/>
  <c r="BH113" i="11"/>
  <c r="D203" i="7"/>
  <c r="BH203" i="11"/>
  <c r="D211" i="7"/>
  <c r="BH211" i="11"/>
  <c r="AM135" i="11"/>
  <c r="AK135" i="11"/>
  <c r="BF187" i="11"/>
  <c r="BK187" i="11"/>
  <c r="BF208" i="11"/>
  <c r="BK208" i="11"/>
  <c r="BF116" i="11"/>
  <c r="BK116" i="11"/>
  <c r="M226" i="6"/>
  <c r="O231" i="6"/>
  <c r="M231" i="6" s="1"/>
  <c r="M293" i="6"/>
  <c r="O306" i="6"/>
  <c r="M306" i="6" s="1"/>
  <c r="AD21" i="6"/>
  <c r="AF21" i="6"/>
  <c r="AD283" i="6"/>
  <c r="AG151" i="11"/>
  <c r="X257" i="6"/>
  <c r="AC209" i="6"/>
  <c r="AD320" i="6" s="1"/>
  <c r="AM148" i="11"/>
  <c r="AK148" i="11"/>
  <c r="AM106" i="11"/>
  <c r="AK106" i="11"/>
  <c r="AD242" i="6"/>
  <c r="AF56" i="6"/>
  <c r="AD56" i="6"/>
  <c r="BK95" i="11"/>
  <c r="BF95" i="11"/>
  <c r="M265" i="6"/>
  <c r="BK75" i="11"/>
  <c r="BF75" i="11"/>
  <c r="BK70" i="11"/>
  <c r="BF70" i="11"/>
  <c r="BF34" i="11"/>
  <c r="BK34" i="11"/>
  <c r="BK88" i="11"/>
  <c r="BF88" i="11"/>
  <c r="AM40" i="11"/>
  <c r="AK40" i="11"/>
  <c r="AM126" i="11"/>
  <c r="AK126" i="11"/>
  <c r="AM149" i="11"/>
  <c r="AK149" i="11"/>
  <c r="AM173" i="11"/>
  <c r="AK173" i="11"/>
  <c r="AM111" i="11"/>
  <c r="AK111" i="11"/>
  <c r="BF58" i="11"/>
  <c r="BK58" i="11"/>
  <c r="AQ86" i="11"/>
  <c r="BE86" i="11"/>
  <c r="BB86" i="11"/>
  <c r="BJ86" i="11"/>
  <c r="BB110" i="11"/>
  <c r="BJ110" i="11"/>
  <c r="BE110" i="11"/>
  <c r="AQ110" i="11"/>
  <c r="AM194" i="11"/>
  <c r="AK194" i="11"/>
  <c r="BJ107" i="11"/>
  <c r="BB107" i="11"/>
  <c r="BE107" i="11"/>
  <c r="AQ107" i="11"/>
  <c r="BK206" i="11"/>
  <c r="BF206" i="11"/>
  <c r="BE161" i="11"/>
  <c r="BJ161" i="11"/>
  <c r="AQ161" i="11"/>
  <c r="BB161" i="11"/>
  <c r="AK59" i="11"/>
  <c r="AK75" i="11" l="1"/>
  <c r="AQ85" i="11"/>
  <c r="BH85" i="11" s="1"/>
  <c r="AK187" i="11"/>
  <c r="BH76" i="11"/>
  <c r="AJ20" i="11"/>
  <c r="AN20" i="11" s="1"/>
  <c r="BF20" i="11" s="1"/>
  <c r="AK85" i="11"/>
  <c r="AK67" i="11"/>
  <c r="AJ167" i="11"/>
  <c r="AN167" i="11" s="1"/>
  <c r="BF167" i="11" s="1"/>
  <c r="AJ145" i="11"/>
  <c r="AN145" i="11" s="1"/>
  <c r="BF145" i="11" s="1"/>
  <c r="AK60" i="11"/>
  <c r="AI43" i="11"/>
  <c r="AM43" i="11" s="1"/>
  <c r="AI44" i="11"/>
  <c r="AM44" i="11" s="1"/>
  <c r="S8" i="6"/>
  <c r="S7" i="6" s="1"/>
  <c r="AI175" i="11"/>
  <c r="AM175" i="11" s="1"/>
  <c r="AI37" i="11"/>
  <c r="AM37" i="11" s="1"/>
  <c r="AK132" i="11"/>
  <c r="S324" i="6"/>
  <c r="Q324" i="6" s="1"/>
  <c r="Z306" i="6"/>
  <c r="X306" i="6" s="1"/>
  <c r="AD296" i="6"/>
  <c r="D96" i="7"/>
  <c r="BH96" i="11"/>
  <c r="BK44" i="11"/>
  <c r="BF44" i="11"/>
  <c r="BF37" i="11"/>
  <c r="BK37" i="11"/>
  <c r="L62" i="11"/>
  <c r="S62" i="11"/>
  <c r="K62" i="11"/>
  <c r="AI103" i="11"/>
  <c r="AJ103" i="11"/>
  <c r="AN103" i="11" s="1"/>
  <c r="J186" i="7"/>
  <c r="W186" i="7" s="1"/>
  <c r="K186" i="7"/>
  <c r="AQ124" i="11"/>
  <c r="BE124" i="11"/>
  <c r="BB124" i="11"/>
  <c r="BJ124" i="11"/>
  <c r="AI195" i="11"/>
  <c r="AJ195" i="11"/>
  <c r="AN195" i="11" s="1"/>
  <c r="AP144" i="6"/>
  <c r="AM144" i="6"/>
  <c r="D144" i="11"/>
  <c r="AH144" i="6"/>
  <c r="F144" i="11" s="1"/>
  <c r="AQ144" i="6"/>
  <c r="AQ71" i="11"/>
  <c r="BB71" i="11"/>
  <c r="BJ71" i="11"/>
  <c r="BE71" i="11"/>
  <c r="D188" i="7"/>
  <c r="BH188" i="11"/>
  <c r="BB70" i="11"/>
  <c r="BJ70" i="11"/>
  <c r="BE70" i="11"/>
  <c r="AQ70" i="11"/>
  <c r="BM190" i="11"/>
  <c r="BJ75" i="11"/>
  <c r="AQ75" i="11"/>
  <c r="BE75" i="11"/>
  <c r="BB75" i="11"/>
  <c r="BE166" i="11"/>
  <c r="BB166" i="11"/>
  <c r="AQ166" i="11"/>
  <c r="BJ166" i="11"/>
  <c r="AQ208" i="11"/>
  <c r="BJ208" i="11"/>
  <c r="BE208" i="11"/>
  <c r="BB208" i="11"/>
  <c r="D91" i="7"/>
  <c r="BH91" i="11"/>
  <c r="BF130" i="11"/>
  <c r="BK130" i="11"/>
  <c r="BF192" i="11"/>
  <c r="BK192" i="11"/>
  <c r="BF39" i="11"/>
  <c r="BK39" i="11"/>
  <c r="AC222" i="6"/>
  <c r="D52" i="7"/>
  <c r="BH52" i="11"/>
  <c r="AA119" i="7"/>
  <c r="AB119" i="7" s="1"/>
  <c r="D118" i="7"/>
  <c r="BH118" i="11"/>
  <c r="D80" i="11"/>
  <c r="AP80" i="6"/>
  <c r="AM80" i="6"/>
  <c r="AH80" i="6"/>
  <c r="F80" i="11" s="1"/>
  <c r="AQ80" i="6"/>
  <c r="AM17" i="6"/>
  <c r="AH17" i="6"/>
  <c r="F17" i="11" s="1"/>
  <c r="D17" i="11"/>
  <c r="AP17" i="6"/>
  <c r="AQ17" i="6"/>
  <c r="AD227" i="6"/>
  <c r="AQ94" i="11"/>
  <c r="BE94" i="11"/>
  <c r="BB94" i="11"/>
  <c r="BJ94" i="11"/>
  <c r="AP100" i="6"/>
  <c r="AH100" i="6"/>
  <c r="F100" i="11" s="1"/>
  <c r="AM100" i="6"/>
  <c r="D100" i="11"/>
  <c r="AQ100" i="6"/>
  <c r="BM92" i="11"/>
  <c r="AA218" i="7"/>
  <c r="AB218" i="7" s="1"/>
  <c r="D59" i="7"/>
  <c r="BH59" i="11"/>
  <c r="AM22" i="6"/>
  <c r="AH22" i="6"/>
  <c r="F22" i="11" s="1"/>
  <c r="D22" i="11"/>
  <c r="AP22" i="6"/>
  <c r="AQ22" i="6"/>
  <c r="AQ73" i="11"/>
  <c r="BB73" i="11"/>
  <c r="BJ73" i="11"/>
  <c r="BE73" i="11"/>
  <c r="AA121" i="7"/>
  <c r="AB121" i="7" s="1"/>
  <c r="S306" i="6"/>
  <c r="Q306" i="6" s="1"/>
  <c r="BE178" i="11"/>
  <c r="BJ178" i="11"/>
  <c r="BB178" i="11"/>
  <c r="AQ178" i="11"/>
  <c r="BJ196" i="11"/>
  <c r="BE196" i="11"/>
  <c r="AQ196" i="11"/>
  <c r="BB196" i="11"/>
  <c r="D214" i="7"/>
  <c r="BH214" i="11"/>
  <c r="AA69" i="7"/>
  <c r="AB69" i="7" s="1"/>
  <c r="AN16" i="6"/>
  <c r="AI16" i="6"/>
  <c r="AQ83" i="11"/>
  <c r="BJ83" i="11"/>
  <c r="BB83" i="11"/>
  <c r="BE83" i="11"/>
  <c r="AH30" i="6"/>
  <c r="F30" i="11" s="1"/>
  <c r="AP30" i="6"/>
  <c r="AM30" i="6"/>
  <c r="D30" i="11"/>
  <c r="AQ30" i="6"/>
  <c r="D13" i="11"/>
  <c r="AH13" i="6"/>
  <c r="F13" i="11" s="1"/>
  <c r="AM13" i="6"/>
  <c r="AP13" i="6"/>
  <c r="AQ13" i="6"/>
  <c r="D115" i="7"/>
  <c r="BH115" i="11"/>
  <c r="AQ181" i="11"/>
  <c r="BJ181" i="11"/>
  <c r="BE181" i="11"/>
  <c r="BB181" i="11"/>
  <c r="AM20" i="11"/>
  <c r="D128" i="11"/>
  <c r="AM128" i="6"/>
  <c r="AH128" i="6"/>
  <c r="F128" i="11" s="1"/>
  <c r="AP128" i="6"/>
  <c r="AQ128" i="6"/>
  <c r="BB206" i="11"/>
  <c r="AQ206" i="11"/>
  <c r="BE206" i="11"/>
  <c r="BJ206" i="11"/>
  <c r="D53" i="7"/>
  <c r="BH53" i="11"/>
  <c r="AA58" i="7"/>
  <c r="AB58" i="7" s="1"/>
  <c r="AP23" i="6"/>
  <c r="AH23" i="6"/>
  <c r="F23" i="11" s="1"/>
  <c r="D23" i="11"/>
  <c r="AM23" i="6"/>
  <c r="AQ23" i="6"/>
  <c r="BB131" i="11"/>
  <c r="BE131" i="11"/>
  <c r="AQ131" i="11"/>
  <c r="BJ131" i="11"/>
  <c r="BB169" i="11"/>
  <c r="BE169" i="11"/>
  <c r="AQ169" i="11"/>
  <c r="BJ169" i="11"/>
  <c r="BE116" i="11"/>
  <c r="BJ116" i="11"/>
  <c r="BB116" i="11"/>
  <c r="AQ116" i="11"/>
  <c r="BM185" i="11"/>
  <c r="BJ57" i="11"/>
  <c r="BB57" i="11"/>
  <c r="BE57" i="11"/>
  <c r="AQ57" i="11"/>
  <c r="J76" i="7"/>
  <c r="W76" i="7" s="1"/>
  <c r="K76" i="7"/>
  <c r="D220" i="7"/>
  <c r="BH220" i="11"/>
  <c r="BE61" i="11"/>
  <c r="BJ61" i="11"/>
  <c r="AQ61" i="11"/>
  <c r="BB61" i="11"/>
  <c r="BJ207" i="11"/>
  <c r="BB207" i="11"/>
  <c r="AQ207" i="11"/>
  <c r="BE207" i="11"/>
  <c r="AQ87" i="11"/>
  <c r="BJ87" i="11"/>
  <c r="BE87" i="11"/>
  <c r="BB87" i="11"/>
  <c r="AQ89" i="11"/>
  <c r="BB89" i="11"/>
  <c r="BE89" i="11"/>
  <c r="BJ89" i="11"/>
  <c r="M285" i="6"/>
  <c r="O289" i="6"/>
  <c r="M289" i="6" s="1"/>
  <c r="AQ148" i="11"/>
  <c r="BB148" i="11"/>
  <c r="BE148" i="11"/>
  <c r="BJ148" i="11"/>
  <c r="AJ151" i="11"/>
  <c r="AN151" i="11" s="1"/>
  <c r="AI151" i="11"/>
  <c r="BM203" i="11"/>
  <c r="AQ215" i="11"/>
  <c r="BE215" i="11"/>
  <c r="BB215" i="11"/>
  <c r="BJ215" i="11"/>
  <c r="D161" i="7"/>
  <c r="BH161" i="11"/>
  <c r="BJ194" i="11"/>
  <c r="BE194" i="11"/>
  <c r="AQ194" i="11"/>
  <c r="BB194" i="11"/>
  <c r="Q264" i="6"/>
  <c r="S275" i="6"/>
  <c r="Q275" i="6" s="1"/>
  <c r="BM211" i="11"/>
  <c r="AQ170" i="11"/>
  <c r="BJ170" i="11"/>
  <c r="BE170" i="11"/>
  <c r="BB170" i="11"/>
  <c r="AP81" i="6"/>
  <c r="AM81" i="6"/>
  <c r="D81" i="11"/>
  <c r="AH81" i="6"/>
  <c r="F81" i="11" s="1"/>
  <c r="AQ81" i="6"/>
  <c r="BE114" i="11"/>
  <c r="AQ114" i="11"/>
  <c r="BJ114" i="11"/>
  <c r="BB114" i="11"/>
  <c r="D19" i="11"/>
  <c r="AM19" i="6"/>
  <c r="AH19" i="6"/>
  <c r="F19" i="11" s="1"/>
  <c r="AP19" i="6"/>
  <c r="AQ19" i="6"/>
  <c r="AQ201" i="11"/>
  <c r="BB201" i="11"/>
  <c r="BE201" i="11"/>
  <c r="BJ201" i="11"/>
  <c r="AP27" i="6"/>
  <c r="AM27" i="6"/>
  <c r="AH27" i="6"/>
  <c r="F27" i="11" s="1"/>
  <c r="D27" i="11"/>
  <c r="AQ27" i="6"/>
  <c r="BB32" i="11"/>
  <c r="BJ32" i="11"/>
  <c r="BE32" i="11"/>
  <c r="AQ32" i="11"/>
  <c r="V8" i="6"/>
  <c r="T222" i="6"/>
  <c r="T8" i="6" s="1"/>
  <c r="AM210" i="6"/>
  <c r="AH210" i="6"/>
  <c r="F210" i="11" s="1"/>
  <c r="D210" i="11"/>
  <c r="AP210" i="6"/>
  <c r="AQ210" i="6"/>
  <c r="BH137" i="11"/>
  <c r="D137" i="7"/>
  <c r="BF43" i="11"/>
  <c r="BK43" i="11"/>
  <c r="BE156" i="11"/>
  <c r="AQ156" i="11"/>
  <c r="BJ156" i="11"/>
  <c r="BB156" i="11"/>
  <c r="AA188" i="7"/>
  <c r="AB188" i="7" s="1"/>
  <c r="BJ34" i="11"/>
  <c r="BE34" i="11"/>
  <c r="BB34" i="11"/>
  <c r="AQ34" i="11"/>
  <c r="BB93" i="11"/>
  <c r="BE93" i="11"/>
  <c r="AQ93" i="11"/>
  <c r="BJ93" i="11"/>
  <c r="D174" i="11"/>
  <c r="AH174" i="6"/>
  <c r="F174" i="11" s="1"/>
  <c r="AM174" i="6"/>
  <c r="AP174" i="6"/>
  <c r="AQ174" i="6"/>
  <c r="O8" i="6"/>
  <c r="M222" i="6"/>
  <c r="BF99" i="11"/>
  <c r="BK99" i="11"/>
  <c r="BB163" i="11"/>
  <c r="BJ163" i="11"/>
  <c r="BE163" i="11"/>
  <c r="AQ163" i="11"/>
  <c r="AD226" i="6"/>
  <c r="AP12" i="6"/>
  <c r="AH12" i="6"/>
  <c r="AM12" i="6"/>
  <c r="D12" i="11"/>
  <c r="AQ12" i="6"/>
  <c r="BJ140" i="11"/>
  <c r="AQ140" i="11"/>
  <c r="BE140" i="11"/>
  <c r="BB140" i="11"/>
  <c r="BJ97" i="11"/>
  <c r="BB97" i="11"/>
  <c r="AQ97" i="11"/>
  <c r="BE97" i="11"/>
  <c r="AA118" i="7"/>
  <c r="AB118" i="7" s="1"/>
  <c r="AI157" i="11"/>
  <c r="AJ157" i="11"/>
  <c r="AN157" i="11" s="1"/>
  <c r="AP78" i="6"/>
  <c r="AM78" i="6"/>
  <c r="D78" i="11"/>
  <c r="AH78" i="6"/>
  <c r="F78" i="11" s="1"/>
  <c r="AQ78" i="6"/>
  <c r="BF96" i="11"/>
  <c r="BK96" i="11"/>
  <c r="AD316" i="6"/>
  <c r="J92" i="7"/>
  <c r="W92" i="7" s="1"/>
  <c r="K92" i="7"/>
  <c r="BE68" i="11"/>
  <c r="AQ68" i="11"/>
  <c r="BB68" i="11"/>
  <c r="BJ68" i="11"/>
  <c r="BK112" i="11"/>
  <c r="BF112" i="11"/>
  <c r="AQ159" i="11"/>
  <c r="BJ159" i="11"/>
  <c r="BB159" i="11"/>
  <c r="BE159" i="11"/>
  <c r="D45" i="7"/>
  <c r="BH45" i="11"/>
  <c r="AA214" i="7"/>
  <c r="AB214" i="7" s="1"/>
  <c r="AA127" i="7"/>
  <c r="AB127" i="7" s="1"/>
  <c r="AM108" i="6"/>
  <c r="AH108" i="6"/>
  <c r="F108" i="11" s="1"/>
  <c r="AP108" i="6"/>
  <c r="D108" i="11"/>
  <c r="AQ108" i="6"/>
  <c r="D204" i="7"/>
  <c r="BH204" i="11"/>
  <c r="BJ60" i="11"/>
  <c r="BB60" i="11"/>
  <c r="BE60" i="11"/>
  <c r="AQ60" i="11"/>
  <c r="AQ49" i="11"/>
  <c r="BB49" i="11"/>
  <c r="BJ49" i="11"/>
  <c r="BE49" i="11"/>
  <c r="AH172" i="6"/>
  <c r="F172" i="11" s="1"/>
  <c r="D172" i="11"/>
  <c r="AP172" i="6"/>
  <c r="AM172" i="6"/>
  <c r="AQ172" i="6"/>
  <c r="BJ197" i="11"/>
  <c r="BE197" i="11"/>
  <c r="BB197" i="11"/>
  <c r="AQ197" i="11"/>
  <c r="BJ199" i="11"/>
  <c r="BE199" i="11"/>
  <c r="AQ199" i="11"/>
  <c r="BB199" i="11"/>
  <c r="BB158" i="11"/>
  <c r="BJ158" i="11"/>
  <c r="BE158" i="11"/>
  <c r="AQ158" i="11"/>
  <c r="D31" i="11"/>
  <c r="AP31" i="6"/>
  <c r="AH31" i="6"/>
  <c r="F31" i="11" s="1"/>
  <c r="AM31" i="6"/>
  <c r="AQ31" i="6"/>
  <c r="AM123" i="11"/>
  <c r="AK123" i="11"/>
  <c r="D219" i="7"/>
  <c r="BH219" i="11"/>
  <c r="V306" i="6"/>
  <c r="T306" i="6" s="1"/>
  <c r="BE63" i="11"/>
  <c r="BJ63" i="11"/>
  <c r="AQ63" i="11"/>
  <c r="BB63" i="11"/>
  <c r="BK20" i="11"/>
  <c r="AA53" i="7"/>
  <c r="AB53" i="7" s="1"/>
  <c r="D26" i="11"/>
  <c r="AH26" i="6"/>
  <c r="F26" i="11" s="1"/>
  <c r="AP26" i="6"/>
  <c r="AM26" i="6"/>
  <c r="AQ26" i="6"/>
  <c r="BB98" i="11"/>
  <c r="BE98" i="11"/>
  <c r="BJ98" i="11"/>
  <c r="AQ98" i="11"/>
  <c r="O324" i="6"/>
  <c r="M324" i="6" s="1"/>
  <c r="K185" i="7"/>
  <c r="J185" i="7"/>
  <c r="W185" i="7" s="1"/>
  <c r="AH171" i="6"/>
  <c r="F171" i="11" s="1"/>
  <c r="D171" i="11"/>
  <c r="AP171" i="6"/>
  <c r="AM171" i="6"/>
  <c r="AQ171" i="6"/>
  <c r="AA25" i="7"/>
  <c r="AB25" i="7" s="1"/>
  <c r="AI164" i="11"/>
  <c r="AJ164" i="11"/>
  <c r="AN164" i="11" s="1"/>
  <c r="AA220" i="7"/>
  <c r="AB220" i="7" s="1"/>
  <c r="Z261" i="6"/>
  <c r="X261" i="6" s="1"/>
  <c r="BE180" i="11"/>
  <c r="AQ180" i="11"/>
  <c r="BJ180" i="11"/>
  <c r="BB180" i="11"/>
  <c r="AK175" i="11"/>
  <c r="K26" i="30"/>
  <c r="H7" i="31"/>
  <c r="K16" i="30"/>
  <c r="K133" i="7"/>
  <c r="J133" i="7"/>
  <c r="W133" i="7" s="1"/>
  <c r="AA86" i="7"/>
  <c r="AB86" i="7" s="1"/>
  <c r="BB173" i="11"/>
  <c r="AQ173" i="11"/>
  <c r="BE173" i="11"/>
  <c r="BJ173" i="11"/>
  <c r="AQ126" i="11"/>
  <c r="BE126" i="11"/>
  <c r="BJ126" i="11"/>
  <c r="BB126" i="11"/>
  <c r="BE40" i="11"/>
  <c r="BB40" i="11"/>
  <c r="AQ40" i="11"/>
  <c r="BJ40" i="11"/>
  <c r="D107" i="7"/>
  <c r="BH107" i="11"/>
  <c r="AA107" i="7"/>
  <c r="AB107" i="7" s="1"/>
  <c r="D110" i="7"/>
  <c r="BH110" i="11"/>
  <c r="AA110" i="7"/>
  <c r="AB110" i="7" s="1"/>
  <c r="AQ106" i="11"/>
  <c r="BE106" i="11"/>
  <c r="BB106" i="11"/>
  <c r="BJ106" i="11"/>
  <c r="AD209" i="6"/>
  <c r="AD257" i="6"/>
  <c r="AF209" i="6"/>
  <c r="D21" i="11"/>
  <c r="AH21" i="6"/>
  <c r="F21" i="11" s="1"/>
  <c r="AM21" i="6"/>
  <c r="AP21" i="6"/>
  <c r="AQ21" i="6"/>
  <c r="J203" i="7"/>
  <c r="W203" i="7" s="1"/>
  <c r="K203" i="7"/>
  <c r="BM113" i="11"/>
  <c r="AA72" i="7"/>
  <c r="AB72" i="7" s="1"/>
  <c r="AH243" i="6"/>
  <c r="F244" i="11" s="1"/>
  <c r="AM243" i="6"/>
  <c r="V289" i="6"/>
  <c r="T289" i="6" s="1"/>
  <c r="BJ64" i="11"/>
  <c r="AQ64" i="11"/>
  <c r="BB64" i="11"/>
  <c r="BE64" i="11"/>
  <c r="BM186" i="11"/>
  <c r="BJ183" i="11"/>
  <c r="BB183" i="11"/>
  <c r="AQ183" i="11"/>
  <c r="BE183" i="11"/>
  <c r="BJ134" i="11"/>
  <c r="BE134" i="11"/>
  <c r="BB134" i="11"/>
  <c r="AQ134" i="11"/>
  <c r="AP33" i="6"/>
  <c r="AM33" i="6"/>
  <c r="D33" i="11"/>
  <c r="AH33" i="6"/>
  <c r="F33" i="11" s="1"/>
  <c r="AQ33" i="6"/>
  <c r="X264" i="6"/>
  <c r="Z275" i="6"/>
  <c r="X275" i="6" s="1"/>
  <c r="AF101" i="6"/>
  <c r="AD101" i="6"/>
  <c r="AD248" i="6"/>
  <c r="K129" i="7"/>
  <c r="J129" i="7"/>
  <c r="W129" i="7" s="1"/>
  <c r="BJ74" i="11"/>
  <c r="BE74" i="11"/>
  <c r="BB74" i="11"/>
  <c r="AQ74" i="11"/>
  <c r="AI198" i="11"/>
  <c r="AJ198" i="11"/>
  <c r="AN198" i="11" s="1"/>
  <c r="BK167" i="11"/>
  <c r="AA85" i="7"/>
  <c r="AB85" i="7" s="1"/>
  <c r="BB152" i="11"/>
  <c r="BE152" i="11"/>
  <c r="BJ152" i="11"/>
  <c r="AQ152" i="11"/>
  <c r="AI42" i="11"/>
  <c r="AM42" i="11" s="1"/>
  <c r="AJ42" i="11"/>
  <c r="J190" i="7"/>
  <c r="W190" i="7" s="1"/>
  <c r="K190" i="7"/>
  <c r="BB95" i="11"/>
  <c r="BE95" i="11"/>
  <c r="BJ95" i="11"/>
  <c r="AQ95" i="11"/>
  <c r="BE187" i="11"/>
  <c r="BB187" i="11"/>
  <c r="BJ187" i="11"/>
  <c r="AQ187" i="11"/>
  <c r="AA91" i="7"/>
  <c r="AB91" i="7" s="1"/>
  <c r="AM99" i="11"/>
  <c r="AK99" i="11"/>
  <c r="AM160" i="11"/>
  <c r="AK160" i="11"/>
  <c r="BE109" i="11"/>
  <c r="AQ109" i="11"/>
  <c r="BJ109" i="11"/>
  <c r="BB109" i="11"/>
  <c r="AD235" i="6"/>
  <c r="AC261" i="6"/>
  <c r="AD261" i="6" s="1"/>
  <c r="AD310" i="6"/>
  <c r="AC324" i="6"/>
  <c r="AD324" i="6" s="1"/>
  <c r="BM105" i="11"/>
  <c r="BB141" i="11"/>
  <c r="BE141" i="11"/>
  <c r="BJ141" i="11"/>
  <c r="AQ141" i="11"/>
  <c r="AP122" i="6"/>
  <c r="AM122" i="6"/>
  <c r="D122" i="11"/>
  <c r="AH122" i="6"/>
  <c r="F122" i="11" s="1"/>
  <c r="AQ122" i="6"/>
  <c r="D119" i="7"/>
  <c r="BH119" i="11"/>
  <c r="D218" i="7"/>
  <c r="BH218" i="11"/>
  <c r="AA59" i="7"/>
  <c r="AB59" i="7" s="1"/>
  <c r="BE212" i="11"/>
  <c r="BB212" i="11"/>
  <c r="BJ212" i="11"/>
  <c r="AQ212" i="11"/>
  <c r="AP38" i="6"/>
  <c r="AH38" i="6"/>
  <c r="F38" i="11" s="1"/>
  <c r="D38" i="11"/>
  <c r="AM38" i="6"/>
  <c r="AQ38" i="6"/>
  <c r="BJ136" i="11"/>
  <c r="BB136" i="11"/>
  <c r="AQ136" i="11"/>
  <c r="BE136" i="11"/>
  <c r="D182" i="11"/>
  <c r="AM182" i="6"/>
  <c r="AH182" i="6"/>
  <c r="F182" i="11" s="1"/>
  <c r="AP182" i="6"/>
  <c r="AQ182" i="6"/>
  <c r="D142" i="11"/>
  <c r="AH142" i="6"/>
  <c r="F142" i="11" s="1"/>
  <c r="AM142" i="6"/>
  <c r="AP142" i="6"/>
  <c r="AQ142" i="6"/>
  <c r="AM112" i="11"/>
  <c r="AK112" i="11"/>
  <c r="AA45" i="7"/>
  <c r="AB45" i="7" s="1"/>
  <c r="BE168" i="11"/>
  <c r="BJ168" i="11"/>
  <c r="BB168" i="11"/>
  <c r="AQ168" i="11"/>
  <c r="AP18" i="6"/>
  <c r="AM18" i="6"/>
  <c r="AH18" i="6"/>
  <c r="F18" i="11" s="1"/>
  <c r="D18" i="11"/>
  <c r="AQ18" i="6"/>
  <c r="BE150" i="11"/>
  <c r="BB150" i="11"/>
  <c r="BJ150" i="11"/>
  <c r="AQ150" i="11"/>
  <c r="AQ165" i="11"/>
  <c r="BJ165" i="11"/>
  <c r="BE165" i="11"/>
  <c r="BB165" i="11"/>
  <c r="AQ54" i="11"/>
  <c r="BJ54" i="11"/>
  <c r="BB54" i="11"/>
  <c r="BE54" i="11"/>
  <c r="AA138" i="7"/>
  <c r="AB138" i="7" s="1"/>
  <c r="AD285" i="6"/>
  <c r="M264" i="6"/>
  <c r="O275" i="6"/>
  <c r="M275" i="6" s="1"/>
  <c r="AA115" i="7"/>
  <c r="AB115" i="7" s="1"/>
  <c r="BK123" i="11"/>
  <c r="BF123" i="11"/>
  <c r="AQ202" i="11"/>
  <c r="BE202" i="11"/>
  <c r="BB202" i="11"/>
  <c r="BJ202" i="11"/>
  <c r="BM51" i="11"/>
  <c r="AM29" i="11"/>
  <c r="AK29" i="11"/>
  <c r="BJ153" i="11"/>
  <c r="AQ153" i="11"/>
  <c r="BE153" i="11"/>
  <c r="BB153" i="11"/>
  <c r="D14" i="11"/>
  <c r="AP14" i="6"/>
  <c r="AM14" i="6"/>
  <c r="AH14" i="6"/>
  <c r="F14" i="11" s="1"/>
  <c r="AQ14" i="6"/>
  <c r="BB155" i="11"/>
  <c r="BJ155" i="11"/>
  <c r="BE155" i="11"/>
  <c r="AQ155" i="11"/>
  <c r="AD278" i="6"/>
  <c r="AC289" i="6"/>
  <c r="AD289" i="6" s="1"/>
  <c r="AH41" i="6"/>
  <c r="F41" i="11" s="1"/>
  <c r="AM41" i="6"/>
  <c r="AP41" i="6"/>
  <c r="D41" i="11"/>
  <c r="AQ41" i="6"/>
  <c r="AQ66" i="11"/>
  <c r="BE66" i="11"/>
  <c r="BJ66" i="11"/>
  <c r="BB66" i="11"/>
  <c r="AD229" i="6"/>
  <c r="AQ82" i="11"/>
  <c r="BE82" i="11"/>
  <c r="BJ82" i="11"/>
  <c r="BB82" i="11"/>
  <c r="BB28" i="11"/>
  <c r="BE28" i="11"/>
  <c r="BJ28" i="11"/>
  <c r="AQ28" i="11"/>
  <c r="BM76" i="11"/>
  <c r="BB46" i="11"/>
  <c r="BE46" i="11"/>
  <c r="BJ46" i="11"/>
  <c r="AQ46" i="11"/>
  <c r="D205" i="7"/>
  <c r="BH205" i="11"/>
  <c r="BF175" i="11"/>
  <c r="BK175" i="11"/>
  <c r="BB79" i="11"/>
  <c r="BJ79" i="11"/>
  <c r="AQ79" i="11"/>
  <c r="BE79" i="11"/>
  <c r="AH213" i="6"/>
  <c r="F213" i="11" s="1"/>
  <c r="AP213" i="6"/>
  <c r="D213" i="11"/>
  <c r="AM213" i="6"/>
  <c r="AQ213" i="6"/>
  <c r="BJ77" i="11"/>
  <c r="BB77" i="11"/>
  <c r="AQ77" i="11"/>
  <c r="BE77" i="11"/>
  <c r="BK132" i="11"/>
  <c r="BF132" i="11"/>
  <c r="D86" i="7"/>
  <c r="BH86" i="11"/>
  <c r="D72" i="7"/>
  <c r="BH72" i="11"/>
  <c r="BE191" i="11"/>
  <c r="BJ191" i="11"/>
  <c r="BB191" i="11"/>
  <c r="AQ191" i="11"/>
  <c r="AA161" i="7"/>
  <c r="AB161" i="7" s="1"/>
  <c r="AQ111" i="11"/>
  <c r="BB111" i="11"/>
  <c r="BE111" i="11"/>
  <c r="BJ111" i="11"/>
  <c r="AQ149" i="11"/>
  <c r="BB149" i="11"/>
  <c r="BJ149" i="11"/>
  <c r="BE149" i="11"/>
  <c r="D56" i="11"/>
  <c r="AM56" i="6"/>
  <c r="AP56" i="6"/>
  <c r="AH56" i="6"/>
  <c r="F56" i="11" s="1"/>
  <c r="AQ56" i="6"/>
  <c r="BJ135" i="11"/>
  <c r="BB135" i="11"/>
  <c r="AQ135" i="11"/>
  <c r="BE135" i="11"/>
  <c r="J211" i="7"/>
  <c r="W211" i="7" s="1"/>
  <c r="K211" i="7"/>
  <c r="K113" i="7"/>
  <c r="J113" i="7"/>
  <c r="W113" i="7" s="1"/>
  <c r="BE179" i="11"/>
  <c r="BJ179" i="11"/>
  <c r="BB179" i="11"/>
  <c r="AQ179" i="11"/>
  <c r="AN62" i="6"/>
  <c r="AI62" i="6"/>
  <c r="BB35" i="11"/>
  <c r="BJ35" i="11"/>
  <c r="AQ35" i="11"/>
  <c r="BE35" i="11"/>
  <c r="Z8" i="6"/>
  <c r="X222" i="6"/>
  <c r="X8" i="6" s="1"/>
  <c r="AH120" i="6"/>
  <c r="F120" i="11" s="1"/>
  <c r="AM120" i="6"/>
  <c r="D120" i="11"/>
  <c r="AP120" i="6"/>
  <c r="AQ120" i="6"/>
  <c r="AJ162" i="11"/>
  <c r="AN162" i="11" s="1"/>
  <c r="AI162" i="11"/>
  <c r="BE189" i="11"/>
  <c r="BJ189" i="11"/>
  <c r="BB189" i="11"/>
  <c r="AQ189" i="11"/>
  <c r="BK145" i="11"/>
  <c r="AQ200" i="11"/>
  <c r="BB200" i="11"/>
  <c r="BJ200" i="11"/>
  <c r="BE200" i="11"/>
  <c r="AA137" i="7"/>
  <c r="AB137" i="7" s="1"/>
  <c r="BM129" i="11"/>
  <c r="BE176" i="11"/>
  <c r="BB176" i="11"/>
  <c r="BJ176" i="11"/>
  <c r="AQ176" i="11"/>
  <c r="BE90" i="11"/>
  <c r="AQ90" i="11"/>
  <c r="BJ90" i="11"/>
  <c r="BB90" i="11"/>
  <c r="AJ36" i="11"/>
  <c r="AN36" i="11" s="1"/>
  <c r="AI36" i="11"/>
  <c r="AP24" i="6"/>
  <c r="AH24" i="6"/>
  <c r="F24" i="11" s="1"/>
  <c r="AM24" i="6"/>
  <c r="D24" i="11"/>
  <c r="AQ24" i="6"/>
  <c r="D85" i="7"/>
  <c r="BJ88" i="11"/>
  <c r="BE88" i="11"/>
  <c r="AQ88" i="11"/>
  <c r="BB88" i="11"/>
  <c r="BB67" i="11"/>
  <c r="BJ67" i="11"/>
  <c r="AQ67" i="11"/>
  <c r="BE67" i="11"/>
  <c r="AM130" i="11"/>
  <c r="AK130" i="11"/>
  <c r="AM192" i="11"/>
  <c r="AK192" i="11"/>
  <c r="AM39" i="11"/>
  <c r="AK39" i="11"/>
  <c r="BK160" i="11"/>
  <c r="BF160" i="11"/>
  <c r="AD293" i="6"/>
  <c r="AC306" i="6"/>
  <c r="AD306" i="6" s="1"/>
  <c r="J105" i="7"/>
  <c r="W105" i="7" s="1"/>
  <c r="K105" i="7"/>
  <c r="AA52" i="7"/>
  <c r="AB52" i="7" s="1"/>
  <c r="BE47" i="11"/>
  <c r="BB47" i="11"/>
  <c r="AQ47" i="11"/>
  <c r="BJ47" i="11"/>
  <c r="AP55" i="6"/>
  <c r="D55" i="11"/>
  <c r="AM55" i="6"/>
  <c r="AH55" i="6"/>
  <c r="F55" i="11" s="1"/>
  <c r="AQ55" i="6"/>
  <c r="AQ177" i="11"/>
  <c r="BE177" i="11"/>
  <c r="BB177" i="11"/>
  <c r="BJ177" i="11"/>
  <c r="AH65" i="6"/>
  <c r="F65" i="11" s="1"/>
  <c r="D65" i="11"/>
  <c r="AP65" i="6"/>
  <c r="AM65" i="6"/>
  <c r="AQ65" i="6"/>
  <c r="AJ146" i="11"/>
  <c r="AN146" i="11" s="1"/>
  <c r="AI146" i="11"/>
  <c r="AQ104" i="11"/>
  <c r="BJ104" i="11"/>
  <c r="BB104" i="11"/>
  <c r="BE104" i="11"/>
  <c r="BJ125" i="11"/>
  <c r="BE125" i="11"/>
  <c r="BB125" i="11"/>
  <c r="AQ125" i="11"/>
  <c r="D121" i="7"/>
  <c r="BH121" i="11"/>
  <c r="BJ216" i="11"/>
  <c r="AQ216" i="11"/>
  <c r="BB216" i="11"/>
  <c r="BE216" i="11"/>
  <c r="D69" i="7"/>
  <c r="BH69" i="11"/>
  <c r="D127" i="7"/>
  <c r="BH127" i="11"/>
  <c r="AA204" i="7"/>
  <c r="AB204" i="7" s="1"/>
  <c r="S16" i="11"/>
  <c r="L16" i="11"/>
  <c r="K16" i="11"/>
  <c r="D138" i="7"/>
  <c r="BH138" i="11"/>
  <c r="BJ84" i="11"/>
  <c r="BE84" i="11"/>
  <c r="AQ84" i="11"/>
  <c r="BB84" i="11"/>
  <c r="AD265" i="6"/>
  <c r="BB193" i="11"/>
  <c r="BJ193" i="11"/>
  <c r="AQ193" i="11"/>
  <c r="BE193" i="11"/>
  <c r="Z231" i="6"/>
  <c r="X231" i="6" s="1"/>
  <c r="BB147" i="11"/>
  <c r="AQ147" i="11"/>
  <c r="BE147" i="11"/>
  <c r="BJ147" i="11"/>
  <c r="BE145" i="11"/>
  <c r="BJ145" i="11"/>
  <c r="AA219" i="7"/>
  <c r="AB219" i="7" s="1"/>
  <c r="K51" i="7"/>
  <c r="J51" i="7"/>
  <c r="W51" i="7" s="1"/>
  <c r="BF29" i="11"/>
  <c r="BK29" i="11"/>
  <c r="BB154" i="11"/>
  <c r="BJ154" i="11"/>
  <c r="AQ154" i="11"/>
  <c r="BE154" i="11"/>
  <c r="BJ217" i="11"/>
  <c r="BE217" i="11"/>
  <c r="AQ217" i="11"/>
  <c r="BB217" i="11"/>
  <c r="AM167" i="11"/>
  <c r="BE184" i="11"/>
  <c r="AQ184" i="11"/>
  <c r="BB184" i="11"/>
  <c r="BJ184" i="11"/>
  <c r="BB96" i="11"/>
  <c r="D58" i="7"/>
  <c r="BH58" i="11"/>
  <c r="AH139" i="6"/>
  <c r="F139" i="11" s="1"/>
  <c r="AM139" i="6"/>
  <c r="AP139" i="6"/>
  <c r="D139" i="11"/>
  <c r="AQ139" i="6"/>
  <c r="AM143" i="6"/>
  <c r="AP143" i="6"/>
  <c r="D143" i="11"/>
  <c r="AH143" i="6"/>
  <c r="F143" i="11" s="1"/>
  <c r="AQ143" i="6"/>
  <c r="D25" i="7"/>
  <c r="BH25" i="11"/>
  <c r="AH102" i="6"/>
  <c r="F102" i="11" s="1"/>
  <c r="AP102" i="6"/>
  <c r="AM102" i="6"/>
  <c r="D102" i="11"/>
  <c r="AQ102" i="6"/>
  <c r="AA205" i="7"/>
  <c r="AB205" i="7" s="1"/>
  <c r="AJ48" i="11"/>
  <c r="AN48" i="11" s="1"/>
  <c r="AI48" i="11"/>
  <c r="BJ117" i="11"/>
  <c r="BB117" i="11"/>
  <c r="AQ117" i="11"/>
  <c r="BE117" i="11"/>
  <c r="BB50" i="11"/>
  <c r="BJ50" i="11"/>
  <c r="BE50" i="11"/>
  <c r="AQ50" i="11"/>
  <c r="D15" i="11"/>
  <c r="AP15" i="6"/>
  <c r="AH15" i="6"/>
  <c r="F15" i="11" s="1"/>
  <c r="AM15" i="6"/>
  <c r="AQ15" i="6"/>
  <c r="S231" i="6"/>
  <c r="Q231" i="6" s="1"/>
  <c r="BM133" i="11"/>
  <c r="AQ132" i="11"/>
  <c r="BJ132" i="11"/>
  <c r="BE132" i="11"/>
  <c r="BB132" i="11"/>
  <c r="AK20" i="11" l="1"/>
  <c r="AK43" i="11"/>
  <c r="AK145" i="11"/>
  <c r="AK167" i="11"/>
  <c r="AK44" i="11"/>
  <c r="AQ145" i="11"/>
  <c r="BH145" i="11" s="1"/>
  <c r="BB145" i="11"/>
  <c r="AA145" i="7" s="1"/>
  <c r="AB145" i="7" s="1"/>
  <c r="AK37" i="11"/>
  <c r="AM229" i="6"/>
  <c r="AH229" i="6"/>
  <c r="F230" i="11" s="1"/>
  <c r="K102" i="11"/>
  <c r="S102" i="11"/>
  <c r="L102" i="11"/>
  <c r="AM282" i="6"/>
  <c r="AH282" i="6"/>
  <c r="F283" i="11" s="1"/>
  <c r="AH303" i="6"/>
  <c r="F304" i="11" s="1"/>
  <c r="AM303" i="6"/>
  <c r="AA154" i="7"/>
  <c r="AB154" i="7" s="1"/>
  <c r="AA147" i="7"/>
  <c r="AB147" i="7" s="1"/>
  <c r="AA193" i="7"/>
  <c r="AB193" i="7" s="1"/>
  <c r="D84" i="7"/>
  <c r="BH84" i="11"/>
  <c r="AC16" i="11"/>
  <c r="AG16" i="11" s="1"/>
  <c r="K69" i="7"/>
  <c r="J69" i="7"/>
  <c r="W69" i="7" s="1"/>
  <c r="D216" i="7"/>
  <c r="BH216" i="11"/>
  <c r="BM121" i="11"/>
  <c r="AA104" i="7"/>
  <c r="AB104" i="7" s="1"/>
  <c r="AM146" i="11"/>
  <c r="AK146" i="11"/>
  <c r="AH264" i="6"/>
  <c r="F265" i="11" s="1"/>
  <c r="AM264" i="6"/>
  <c r="AN65" i="6"/>
  <c r="AI65" i="6"/>
  <c r="S55" i="11"/>
  <c r="L55" i="11"/>
  <c r="K55" i="11"/>
  <c r="BE44" i="11"/>
  <c r="BB44" i="11"/>
  <c r="BJ44" i="11"/>
  <c r="AQ44" i="11"/>
  <c r="D67" i="7"/>
  <c r="BH67" i="11"/>
  <c r="AA67" i="7"/>
  <c r="AB67" i="7" s="1"/>
  <c r="AA88" i="7"/>
  <c r="AB88" i="7" s="1"/>
  <c r="AM238" i="6"/>
  <c r="AH238" i="6"/>
  <c r="F239" i="11" s="1"/>
  <c r="D90" i="7"/>
  <c r="BH90" i="11"/>
  <c r="AA200" i="7"/>
  <c r="AB200" i="7" s="1"/>
  <c r="BK162" i="11"/>
  <c r="BF162" i="11"/>
  <c r="L120" i="11"/>
  <c r="K120" i="11"/>
  <c r="S120" i="11"/>
  <c r="AH317" i="6"/>
  <c r="F318" i="11" s="1"/>
  <c r="AM317" i="6"/>
  <c r="D35" i="7"/>
  <c r="BH35" i="11"/>
  <c r="G62" i="11"/>
  <c r="D179" i="7"/>
  <c r="BH179" i="11"/>
  <c r="P211" i="7"/>
  <c r="AH242" i="6"/>
  <c r="F243" i="11" s="1"/>
  <c r="AM242" i="6"/>
  <c r="L56" i="11"/>
  <c r="S56" i="11"/>
  <c r="K56" i="11"/>
  <c r="AA111" i="7"/>
  <c r="AB111" i="7" s="1"/>
  <c r="D191" i="7"/>
  <c r="BH191" i="11"/>
  <c r="K72" i="7"/>
  <c r="J72" i="7"/>
  <c r="W72" i="7" s="1"/>
  <c r="BM86" i="11"/>
  <c r="AA77" i="7"/>
  <c r="AB77" i="7" s="1"/>
  <c r="AN213" i="6"/>
  <c r="AI213" i="6"/>
  <c r="AH259" i="6"/>
  <c r="F260" i="11" s="1"/>
  <c r="AM259" i="6"/>
  <c r="AA82" i="7"/>
  <c r="AB82" i="7" s="1"/>
  <c r="S41" i="11"/>
  <c r="L41" i="11"/>
  <c r="K41" i="11"/>
  <c r="AA155" i="7"/>
  <c r="AB155" i="7" s="1"/>
  <c r="AM271" i="6"/>
  <c r="AH271" i="6"/>
  <c r="F272" i="11" s="1"/>
  <c r="AH281" i="6"/>
  <c r="F282" i="11" s="1"/>
  <c r="AM281" i="6"/>
  <c r="D202" i="7"/>
  <c r="BH202" i="11"/>
  <c r="D150" i="7"/>
  <c r="BH150" i="11"/>
  <c r="AH296" i="6"/>
  <c r="F297" i="11" s="1"/>
  <c r="AM296" i="6"/>
  <c r="BB112" i="11"/>
  <c r="BE112" i="11"/>
  <c r="BJ112" i="11"/>
  <c r="AQ112" i="11"/>
  <c r="AN142" i="6"/>
  <c r="AI142" i="6"/>
  <c r="AN182" i="6"/>
  <c r="AI182" i="6"/>
  <c r="K182" i="11"/>
  <c r="S182" i="11"/>
  <c r="L182" i="11"/>
  <c r="D212" i="7"/>
  <c r="BH212" i="11"/>
  <c r="BM119" i="11"/>
  <c r="AI122" i="6"/>
  <c r="AN122" i="6"/>
  <c r="D141" i="7"/>
  <c r="BH141" i="11"/>
  <c r="AA141" i="7"/>
  <c r="AB141" i="7" s="1"/>
  <c r="AA109" i="7"/>
  <c r="AB109" i="7" s="1"/>
  <c r="P190" i="7"/>
  <c r="BK198" i="11"/>
  <c r="BF198" i="11"/>
  <c r="AA74" i="7"/>
  <c r="AB74" i="7" s="1"/>
  <c r="AI33" i="6"/>
  <c r="AN33" i="6"/>
  <c r="AA134" i="7"/>
  <c r="AB134" i="7" s="1"/>
  <c r="AN21" i="6"/>
  <c r="AI21" i="6"/>
  <c r="BM110" i="11"/>
  <c r="K17" i="30"/>
  <c r="K18" i="30" s="1"/>
  <c r="K19" i="30" s="1"/>
  <c r="K20" i="30" s="1"/>
  <c r="K23" i="30" s="1"/>
  <c r="BB175" i="11"/>
  <c r="BE175" i="11"/>
  <c r="BJ175" i="11"/>
  <c r="AQ175" i="11"/>
  <c r="D180" i="7"/>
  <c r="BH180" i="11"/>
  <c r="AH319" i="6"/>
  <c r="F320" i="11" s="1"/>
  <c r="AM319" i="6"/>
  <c r="AN171" i="6"/>
  <c r="AI171" i="6"/>
  <c r="AM278" i="6"/>
  <c r="AH278" i="6"/>
  <c r="F279" i="11" s="1"/>
  <c r="J219" i="7"/>
  <c r="W219" i="7" s="1"/>
  <c r="K219" i="7"/>
  <c r="AN31" i="6"/>
  <c r="AI31" i="6"/>
  <c r="AH287" i="6"/>
  <c r="F288" i="11" s="1"/>
  <c r="AM287" i="6"/>
  <c r="AA197" i="7"/>
  <c r="AB197" i="7" s="1"/>
  <c r="K172" i="11"/>
  <c r="L172" i="11"/>
  <c r="S172" i="11"/>
  <c r="D49" i="7"/>
  <c r="BH49" i="11"/>
  <c r="AA68" i="7"/>
  <c r="AB68" i="7" s="1"/>
  <c r="P92" i="7"/>
  <c r="AD264" i="6"/>
  <c r="AC275" i="6"/>
  <c r="AD275" i="6" s="1"/>
  <c r="S78" i="11"/>
  <c r="L78" i="11"/>
  <c r="K78" i="11"/>
  <c r="D140" i="7"/>
  <c r="BH140" i="11"/>
  <c r="AH310" i="6"/>
  <c r="F311" i="11" s="1"/>
  <c r="AM310" i="6"/>
  <c r="AM235" i="6"/>
  <c r="AH235" i="6"/>
  <c r="F236" i="11" s="1"/>
  <c r="AC231" i="6"/>
  <c r="AD231" i="6" s="1"/>
  <c r="O7" i="6"/>
  <c r="AN174" i="6"/>
  <c r="AI174" i="6"/>
  <c r="D34" i="7"/>
  <c r="BH34" i="11"/>
  <c r="BM137" i="11"/>
  <c r="AM322" i="6"/>
  <c r="AH322" i="6"/>
  <c r="F323" i="11" s="1"/>
  <c r="AH246" i="6"/>
  <c r="F247" i="11" s="1"/>
  <c r="AM246" i="6"/>
  <c r="AA170" i="7"/>
  <c r="AB170" i="7" s="1"/>
  <c r="D170" i="7"/>
  <c r="BH170" i="11"/>
  <c r="AA194" i="7"/>
  <c r="AB194" i="7" s="1"/>
  <c r="BM161" i="11"/>
  <c r="AA215" i="7"/>
  <c r="AB215" i="7" s="1"/>
  <c r="AA89" i="7"/>
  <c r="AB89" i="7" s="1"/>
  <c r="D207" i="7"/>
  <c r="BH207" i="11"/>
  <c r="BM220" i="11"/>
  <c r="P76" i="7"/>
  <c r="AA116" i="7"/>
  <c r="AB116" i="7" s="1"/>
  <c r="L23" i="11"/>
  <c r="K23" i="11"/>
  <c r="S23" i="11"/>
  <c r="BM53" i="11"/>
  <c r="BE20" i="11"/>
  <c r="BB20" i="11"/>
  <c r="BJ20" i="11"/>
  <c r="AQ20" i="11"/>
  <c r="AM272" i="6"/>
  <c r="AH272" i="6"/>
  <c r="F273" i="11" s="1"/>
  <c r="AI13" i="6"/>
  <c r="AN13" i="6"/>
  <c r="AA83" i="7"/>
  <c r="AB83" i="7" s="1"/>
  <c r="BM214" i="11"/>
  <c r="D196" i="7"/>
  <c r="BH196" i="11"/>
  <c r="AA178" i="7"/>
  <c r="AB178" i="7" s="1"/>
  <c r="AH280" i="6"/>
  <c r="F281" i="11" s="1"/>
  <c r="AM280" i="6"/>
  <c r="AM237" i="6"/>
  <c r="AH237" i="6"/>
  <c r="F238" i="11" s="1"/>
  <c r="K100" i="11"/>
  <c r="S100" i="11"/>
  <c r="L100" i="11"/>
  <c r="K17" i="11"/>
  <c r="L17" i="11"/>
  <c r="S17" i="11"/>
  <c r="AM245" i="6"/>
  <c r="AH245" i="6"/>
  <c r="F246" i="11" s="1"/>
  <c r="K80" i="11"/>
  <c r="L80" i="11"/>
  <c r="S80" i="11"/>
  <c r="BM118" i="11"/>
  <c r="J91" i="7"/>
  <c r="W91" i="7" s="1"/>
  <c r="K91" i="7"/>
  <c r="BM188" i="11"/>
  <c r="AH304" i="6"/>
  <c r="F305" i="11" s="1"/>
  <c r="AM304" i="6"/>
  <c r="AM195" i="11"/>
  <c r="AK195" i="11"/>
  <c r="D124" i="7"/>
  <c r="BH124" i="11"/>
  <c r="P186" i="7"/>
  <c r="K15" i="11"/>
  <c r="L15" i="11"/>
  <c r="S15" i="11"/>
  <c r="BK48" i="11"/>
  <c r="BF48" i="11"/>
  <c r="AN143" i="6"/>
  <c r="AI143" i="6"/>
  <c r="AA132" i="7"/>
  <c r="AB132" i="7" s="1"/>
  <c r="AH295" i="6"/>
  <c r="F296" i="11" s="1"/>
  <c r="AM295" i="6"/>
  <c r="AA50" i="7"/>
  <c r="AB50" i="7" s="1"/>
  <c r="D117" i="7"/>
  <c r="BH117" i="11"/>
  <c r="AM252" i="6"/>
  <c r="AH252" i="6"/>
  <c r="AI15" i="6"/>
  <c r="AN15" i="6"/>
  <c r="D50" i="7"/>
  <c r="BH50" i="11"/>
  <c r="AA117" i="7"/>
  <c r="AB117" i="7" s="1"/>
  <c r="AM48" i="11"/>
  <c r="AK48" i="11"/>
  <c r="AI102" i="6"/>
  <c r="AN102" i="6"/>
  <c r="K25" i="7"/>
  <c r="J25" i="7"/>
  <c r="W25" i="7" s="1"/>
  <c r="AH228" i="6"/>
  <c r="AM228" i="6"/>
  <c r="BM58" i="11"/>
  <c r="AA96" i="7"/>
  <c r="AB96" i="7" s="1"/>
  <c r="D184" i="7"/>
  <c r="BH184" i="11"/>
  <c r="BE167" i="11"/>
  <c r="BJ167" i="11"/>
  <c r="AQ167" i="11"/>
  <c r="BB167" i="11"/>
  <c r="D193" i="7"/>
  <c r="BH193" i="11"/>
  <c r="K138" i="7"/>
  <c r="J138" i="7"/>
  <c r="W138" i="7" s="1"/>
  <c r="AM268" i="6"/>
  <c r="AH268" i="6"/>
  <c r="F269" i="11" s="1"/>
  <c r="K127" i="7"/>
  <c r="J127" i="7"/>
  <c r="W127" i="7" s="1"/>
  <c r="K121" i="7"/>
  <c r="J121" i="7"/>
  <c r="W121" i="7" s="1"/>
  <c r="BF146" i="11"/>
  <c r="BK146" i="11"/>
  <c r="AH313" i="6"/>
  <c r="F314" i="11" s="1"/>
  <c r="AM313" i="6"/>
  <c r="D47" i="7"/>
  <c r="BH47" i="11"/>
  <c r="BE192" i="11"/>
  <c r="BJ192" i="11"/>
  <c r="BB192" i="11"/>
  <c r="AQ192" i="11"/>
  <c r="BH88" i="11"/>
  <c r="D88" i="7"/>
  <c r="J85" i="7"/>
  <c r="W85" i="7" s="1"/>
  <c r="K85" i="7"/>
  <c r="AM36" i="11"/>
  <c r="AK36" i="11"/>
  <c r="AA90" i="7"/>
  <c r="AB90" i="7" s="1"/>
  <c r="D200" i="7"/>
  <c r="BH200" i="11"/>
  <c r="AA189" i="7"/>
  <c r="AB189" i="7" s="1"/>
  <c r="AN120" i="6"/>
  <c r="AI120" i="6"/>
  <c r="Z7" i="6"/>
  <c r="AA179" i="7"/>
  <c r="AB179" i="7" s="1"/>
  <c r="D135" i="7"/>
  <c r="BH135" i="11"/>
  <c r="AN56" i="6"/>
  <c r="AI56" i="6"/>
  <c r="AA149" i="7"/>
  <c r="AB149" i="7" s="1"/>
  <c r="D111" i="7"/>
  <c r="BH111" i="11"/>
  <c r="J86" i="7"/>
  <c r="W86" i="7" s="1"/>
  <c r="K86" i="7"/>
  <c r="D28" i="7"/>
  <c r="BH28" i="11"/>
  <c r="AA28" i="7"/>
  <c r="AB28" i="7" s="1"/>
  <c r="AA66" i="7"/>
  <c r="AB66" i="7" s="1"/>
  <c r="D66" i="7"/>
  <c r="BH66" i="11"/>
  <c r="AN41" i="6"/>
  <c r="AI41" i="6"/>
  <c r="D155" i="7"/>
  <c r="BH155" i="11"/>
  <c r="AH294" i="6"/>
  <c r="F295" i="11" s="1"/>
  <c r="AM294" i="6"/>
  <c r="K14" i="11"/>
  <c r="L14" i="11"/>
  <c r="S14" i="11"/>
  <c r="AA153" i="7"/>
  <c r="AB153" i="7" s="1"/>
  <c r="BJ29" i="11"/>
  <c r="BB29" i="11"/>
  <c r="AQ29" i="11"/>
  <c r="BE29" i="11"/>
  <c r="AA54" i="7"/>
  <c r="AB54" i="7" s="1"/>
  <c r="AH286" i="6"/>
  <c r="F287" i="11" s="1"/>
  <c r="AM286" i="6"/>
  <c r="AN18" i="6"/>
  <c r="AI18" i="6"/>
  <c r="D168" i="7"/>
  <c r="BH168" i="11"/>
  <c r="AM302" i="6"/>
  <c r="AH302" i="6"/>
  <c r="F303" i="11" s="1"/>
  <c r="AH279" i="6"/>
  <c r="F280" i="11" s="1"/>
  <c r="AM279" i="6"/>
  <c r="AI38" i="6"/>
  <c r="AN38" i="6"/>
  <c r="BM218" i="11"/>
  <c r="K119" i="7"/>
  <c r="J119" i="7"/>
  <c r="W119" i="7" s="1"/>
  <c r="AM300" i="6"/>
  <c r="AH300" i="6"/>
  <c r="F301" i="11" s="1"/>
  <c r="AM251" i="6"/>
  <c r="AH251" i="6"/>
  <c r="F252" i="11" s="1"/>
  <c r="BB160" i="11"/>
  <c r="BJ160" i="11"/>
  <c r="AQ160" i="11"/>
  <c r="BE160" i="11"/>
  <c r="AA187" i="7"/>
  <c r="AB187" i="7" s="1"/>
  <c r="AA95" i="7"/>
  <c r="AB95" i="7" s="1"/>
  <c r="D152" i="7"/>
  <c r="BH152" i="11"/>
  <c r="AA152" i="7"/>
  <c r="AB152" i="7" s="1"/>
  <c r="AM198" i="11"/>
  <c r="AK198" i="11"/>
  <c r="P129" i="7"/>
  <c r="D101" i="11"/>
  <c r="AH101" i="6"/>
  <c r="F101" i="11" s="1"/>
  <c r="AP101" i="6"/>
  <c r="AM101" i="6"/>
  <c r="AQ101" i="6"/>
  <c r="AH240" i="6"/>
  <c r="F241" i="11" s="1"/>
  <c r="AM240" i="6"/>
  <c r="AI243" i="6"/>
  <c r="G244" i="11" s="1"/>
  <c r="AN243" i="6"/>
  <c r="AM283" i="6"/>
  <c r="AH283" i="6"/>
  <c r="F284" i="11" s="1"/>
  <c r="D106" i="7"/>
  <c r="BH106" i="11"/>
  <c r="D40" i="7"/>
  <c r="BH40" i="11"/>
  <c r="AA180" i="7"/>
  <c r="AB180" i="7" s="1"/>
  <c r="BK164" i="11"/>
  <c r="BF164" i="11"/>
  <c r="AH253" i="6"/>
  <c r="F254" i="11" s="1"/>
  <c r="AM253" i="6"/>
  <c r="P185" i="7"/>
  <c r="AA98" i="7"/>
  <c r="AB98" i="7" s="1"/>
  <c r="AA63" i="7"/>
  <c r="AB63" i="7" s="1"/>
  <c r="K31" i="11"/>
  <c r="S31" i="11"/>
  <c r="L31" i="11"/>
  <c r="AA199" i="7"/>
  <c r="AB199" i="7" s="1"/>
  <c r="AM254" i="6"/>
  <c r="AH254" i="6"/>
  <c r="F255" i="11" s="1"/>
  <c r="BM204" i="11"/>
  <c r="AM299" i="6"/>
  <c r="AH299" i="6"/>
  <c r="F300" i="11" s="1"/>
  <c r="BM45" i="11"/>
  <c r="D159" i="7"/>
  <c r="BH159" i="11"/>
  <c r="D68" i="7"/>
  <c r="BH68" i="11"/>
  <c r="AM314" i="6"/>
  <c r="AH314" i="6"/>
  <c r="F315" i="11" s="1"/>
  <c r="AH244" i="6"/>
  <c r="F245" i="11" s="1"/>
  <c r="AM244" i="6"/>
  <c r="AF222" i="6"/>
  <c r="AM270" i="6"/>
  <c r="AH270" i="6"/>
  <c r="F271" i="11" s="1"/>
  <c r="S174" i="11"/>
  <c r="L174" i="11"/>
  <c r="K174" i="11"/>
  <c r="AA34" i="7"/>
  <c r="AB34" i="7" s="1"/>
  <c r="AI210" i="6"/>
  <c r="AN210" i="6"/>
  <c r="L210" i="11"/>
  <c r="S210" i="11"/>
  <c r="K210" i="11"/>
  <c r="V7" i="6"/>
  <c r="AA32" i="7"/>
  <c r="AB32" i="7" s="1"/>
  <c r="AI19" i="6"/>
  <c r="AN19" i="6"/>
  <c r="AA114" i="7"/>
  <c r="AB114" i="7" s="1"/>
  <c r="L81" i="11"/>
  <c r="S81" i="11"/>
  <c r="K81" i="11"/>
  <c r="AN81" i="6"/>
  <c r="AI81" i="6"/>
  <c r="D194" i="7"/>
  <c r="BH194" i="11"/>
  <c r="AM151" i="11"/>
  <c r="AK151" i="11"/>
  <c r="D89" i="7"/>
  <c r="BH89" i="11"/>
  <c r="J220" i="7"/>
  <c r="W220" i="7" s="1"/>
  <c r="K220" i="7"/>
  <c r="AA57" i="7"/>
  <c r="AB57" i="7" s="1"/>
  <c r="D169" i="7"/>
  <c r="BH169" i="11"/>
  <c r="AI23" i="6"/>
  <c r="AN23" i="6"/>
  <c r="S128" i="11"/>
  <c r="K128" i="11"/>
  <c r="L128" i="11"/>
  <c r="BM115" i="11"/>
  <c r="L13" i="11"/>
  <c r="K13" i="11"/>
  <c r="S13" i="11"/>
  <c r="K30" i="11"/>
  <c r="S30" i="11"/>
  <c r="L30" i="11"/>
  <c r="AM239" i="6"/>
  <c r="AH239" i="6"/>
  <c r="F240" i="11" s="1"/>
  <c r="G16" i="11"/>
  <c r="J214" i="7"/>
  <c r="W214" i="7" s="1"/>
  <c r="K214" i="7"/>
  <c r="AH311" i="6"/>
  <c r="F312" i="11" s="1"/>
  <c r="AM311" i="6"/>
  <c r="AM247" i="6"/>
  <c r="AH247" i="6"/>
  <c r="F248" i="11" s="1"/>
  <c r="AA94" i="7"/>
  <c r="AB94" i="7" s="1"/>
  <c r="AI17" i="6"/>
  <c r="AN17" i="6"/>
  <c r="AH315" i="6"/>
  <c r="F316" i="11" s="1"/>
  <c r="AM315" i="6"/>
  <c r="AM284" i="6"/>
  <c r="AH284" i="6"/>
  <c r="F285" i="11" s="1"/>
  <c r="K118" i="7"/>
  <c r="J118" i="7"/>
  <c r="W118" i="7" s="1"/>
  <c r="K52" i="7"/>
  <c r="J52" i="7"/>
  <c r="W52" i="7" s="1"/>
  <c r="D75" i="7"/>
  <c r="BH75" i="11"/>
  <c r="AA71" i="7"/>
  <c r="AB71" i="7" s="1"/>
  <c r="AI144" i="6"/>
  <c r="AN144" i="6"/>
  <c r="AC62" i="11"/>
  <c r="AF62" i="11"/>
  <c r="BM96" i="11"/>
  <c r="AM318" i="6"/>
  <c r="AH318" i="6"/>
  <c r="D147" i="7"/>
  <c r="BH147" i="11"/>
  <c r="BM69" i="11"/>
  <c r="D125" i="7"/>
  <c r="BH125" i="11"/>
  <c r="D177" i="7"/>
  <c r="BH177" i="11"/>
  <c r="AH241" i="6"/>
  <c r="F242" i="11" s="1"/>
  <c r="AM241" i="6"/>
  <c r="AA47" i="7"/>
  <c r="AB47" i="7" s="1"/>
  <c r="BK36" i="11"/>
  <c r="BF36" i="11"/>
  <c r="D176" i="7"/>
  <c r="BH176" i="11"/>
  <c r="AA176" i="7"/>
  <c r="AB176" i="7" s="1"/>
  <c r="AA35" i="7"/>
  <c r="AB35" i="7" s="1"/>
  <c r="AA135" i="7"/>
  <c r="AB135" i="7" s="1"/>
  <c r="AA191" i="7"/>
  <c r="AB191" i="7" s="1"/>
  <c r="L213" i="11"/>
  <c r="K213" i="11"/>
  <c r="S213" i="11"/>
  <c r="AA79" i="7"/>
  <c r="AB79" i="7" s="1"/>
  <c r="BM205" i="11"/>
  <c r="AA46" i="7"/>
  <c r="AB46" i="7" s="1"/>
  <c r="AH266" i="6"/>
  <c r="F267" i="11" s="1"/>
  <c r="AM266" i="6"/>
  <c r="AM236" i="6"/>
  <c r="AH236" i="6"/>
  <c r="F237" i="11" s="1"/>
  <c r="AA202" i="7"/>
  <c r="AB202" i="7" s="1"/>
  <c r="AA165" i="7"/>
  <c r="AB165" i="7" s="1"/>
  <c r="D165" i="7"/>
  <c r="BH165" i="11"/>
  <c r="S18" i="11"/>
  <c r="L18" i="11"/>
  <c r="K18" i="11"/>
  <c r="AA168" i="7"/>
  <c r="AB168" i="7" s="1"/>
  <c r="D136" i="7"/>
  <c r="BH136" i="11"/>
  <c r="L38" i="11"/>
  <c r="S38" i="11"/>
  <c r="K38" i="11"/>
  <c r="AA212" i="7"/>
  <c r="AB212" i="7" s="1"/>
  <c r="K218" i="7"/>
  <c r="J218" i="7"/>
  <c r="W218" i="7" s="1"/>
  <c r="D109" i="7"/>
  <c r="BH109" i="11"/>
  <c r="D95" i="7"/>
  <c r="BH95" i="11"/>
  <c r="AK42" i="11"/>
  <c r="AN42" i="11"/>
  <c r="AQ42" i="11" s="1"/>
  <c r="D134" i="7"/>
  <c r="BH134" i="11"/>
  <c r="D183" i="7"/>
  <c r="BH183" i="11"/>
  <c r="AA64" i="7"/>
  <c r="AB64" i="7" s="1"/>
  <c r="P203" i="7"/>
  <c r="S21" i="11"/>
  <c r="L21" i="11"/>
  <c r="K21" i="11"/>
  <c r="K110" i="7"/>
  <c r="J110" i="7"/>
  <c r="W110" i="7" s="1"/>
  <c r="J107" i="7"/>
  <c r="W107" i="7" s="1"/>
  <c r="K107" i="7"/>
  <c r="AA40" i="7"/>
  <c r="AB40" i="7" s="1"/>
  <c r="AA126" i="7"/>
  <c r="AB126" i="7" s="1"/>
  <c r="D126" i="7"/>
  <c r="BH126" i="11"/>
  <c r="D173" i="7"/>
  <c r="BH173" i="11"/>
  <c r="AM164" i="11"/>
  <c r="AK164" i="11"/>
  <c r="K171" i="11"/>
  <c r="L171" i="11"/>
  <c r="S171" i="11"/>
  <c r="D98" i="7"/>
  <c r="BH98" i="11"/>
  <c r="K26" i="11"/>
  <c r="L26" i="11"/>
  <c r="S26" i="11"/>
  <c r="D63" i="7"/>
  <c r="BH63" i="11"/>
  <c r="BM219" i="11"/>
  <c r="AQ123" i="11"/>
  <c r="BE123" i="11"/>
  <c r="BB123" i="11"/>
  <c r="BJ123" i="11"/>
  <c r="D158" i="7"/>
  <c r="BH158" i="11"/>
  <c r="D199" i="7"/>
  <c r="BH199" i="11"/>
  <c r="AN172" i="6"/>
  <c r="AI172" i="6"/>
  <c r="AA60" i="7"/>
  <c r="AB60" i="7" s="1"/>
  <c r="S108" i="11"/>
  <c r="L108" i="11"/>
  <c r="K108" i="11"/>
  <c r="AI108" i="6"/>
  <c r="AN108" i="6"/>
  <c r="J45" i="7"/>
  <c r="W45" i="7" s="1"/>
  <c r="K45" i="7"/>
  <c r="AN78" i="6"/>
  <c r="AI78" i="6"/>
  <c r="BF157" i="11"/>
  <c r="BK157" i="11"/>
  <c r="D97" i="7"/>
  <c r="BH97" i="11"/>
  <c r="AA140" i="7"/>
  <c r="AB140" i="7" s="1"/>
  <c r="AM226" i="6"/>
  <c r="AH226" i="6"/>
  <c r="F227" i="11" s="1"/>
  <c r="F12" i="11"/>
  <c r="D163" i="7"/>
  <c r="BH163" i="11"/>
  <c r="AM255" i="6"/>
  <c r="AH255" i="6"/>
  <c r="F256" i="11" s="1"/>
  <c r="AA93" i="7"/>
  <c r="AB93" i="7" s="1"/>
  <c r="D156" i="7"/>
  <c r="BH156" i="11"/>
  <c r="AH258" i="6"/>
  <c r="F259" i="11" s="1"/>
  <c r="AM258" i="6"/>
  <c r="D32" i="7"/>
  <c r="BH32" i="11"/>
  <c r="AI27" i="6"/>
  <c r="AN27" i="6"/>
  <c r="AA201" i="7"/>
  <c r="AB201" i="7" s="1"/>
  <c r="AH273" i="6"/>
  <c r="F274" i="11" s="1"/>
  <c r="AM273" i="6"/>
  <c r="J161" i="7"/>
  <c r="W161" i="7" s="1"/>
  <c r="K161" i="7"/>
  <c r="D215" i="7"/>
  <c r="BH215" i="11"/>
  <c r="BK151" i="11"/>
  <c r="BF151" i="11"/>
  <c r="AA148" i="7"/>
  <c r="AB148" i="7" s="1"/>
  <c r="AA87" i="7"/>
  <c r="AB87" i="7" s="1"/>
  <c r="D87" i="7"/>
  <c r="BH87" i="11"/>
  <c r="AA207" i="7"/>
  <c r="AB207" i="7" s="1"/>
  <c r="AA61" i="7"/>
  <c r="AB61" i="7" s="1"/>
  <c r="AA131" i="7"/>
  <c r="AB131" i="7" s="1"/>
  <c r="AH298" i="6"/>
  <c r="F299" i="11" s="1"/>
  <c r="AM298" i="6"/>
  <c r="J53" i="7"/>
  <c r="W53" i="7" s="1"/>
  <c r="K53" i="7"/>
  <c r="D206" i="7"/>
  <c r="BH206" i="11"/>
  <c r="AM301" i="6"/>
  <c r="AH301" i="6"/>
  <c r="F302" i="11" s="1"/>
  <c r="AN128" i="6"/>
  <c r="AI128" i="6"/>
  <c r="AH312" i="6"/>
  <c r="F313" i="11" s="1"/>
  <c r="AM312" i="6"/>
  <c r="D83" i="7"/>
  <c r="BH83" i="11"/>
  <c r="AA196" i="7"/>
  <c r="AB196" i="7" s="1"/>
  <c r="AA73" i="7"/>
  <c r="AB73" i="7" s="1"/>
  <c r="AM297" i="6"/>
  <c r="AH297" i="6"/>
  <c r="F298" i="11" s="1"/>
  <c r="L22" i="11"/>
  <c r="S22" i="11"/>
  <c r="K22" i="11"/>
  <c r="BM59" i="11"/>
  <c r="AN100" i="6"/>
  <c r="AI100" i="6"/>
  <c r="AH269" i="6"/>
  <c r="F270" i="11" s="1"/>
  <c r="AM269" i="6"/>
  <c r="D208" i="7"/>
  <c r="BH208" i="11"/>
  <c r="D166" i="7"/>
  <c r="BH166" i="11"/>
  <c r="J188" i="7"/>
  <c r="W188" i="7" s="1"/>
  <c r="K188" i="7"/>
  <c r="AA124" i="7"/>
  <c r="AB124" i="7" s="1"/>
  <c r="BK103" i="11"/>
  <c r="BF103" i="11"/>
  <c r="AI139" i="6"/>
  <c r="AN139" i="6"/>
  <c r="AA217" i="7"/>
  <c r="AB217" i="7" s="1"/>
  <c r="D154" i="7"/>
  <c r="BH154" i="11"/>
  <c r="D132" i="7"/>
  <c r="BH132" i="11"/>
  <c r="AH249" i="6"/>
  <c r="F250" i="11" s="1"/>
  <c r="AM249" i="6"/>
  <c r="BM25" i="11"/>
  <c r="L143" i="11"/>
  <c r="K143" i="11"/>
  <c r="S143" i="11"/>
  <c r="K139" i="11"/>
  <c r="S139" i="11"/>
  <c r="L139" i="11"/>
  <c r="J58" i="7"/>
  <c r="W58" i="7" s="1"/>
  <c r="K58" i="7"/>
  <c r="AA184" i="7"/>
  <c r="AB184" i="7" s="1"/>
  <c r="D217" i="7"/>
  <c r="BH217" i="11"/>
  <c r="BB43" i="11"/>
  <c r="BJ43" i="11"/>
  <c r="BE43" i="11"/>
  <c r="AQ43" i="11"/>
  <c r="P51" i="7"/>
  <c r="D145" i="7"/>
  <c r="AA84" i="7"/>
  <c r="AB84" i="7" s="1"/>
  <c r="BM138" i="11"/>
  <c r="BM127" i="11"/>
  <c r="AA216" i="7"/>
  <c r="AB216" i="7" s="1"/>
  <c r="AA125" i="7"/>
  <c r="AB125" i="7" s="1"/>
  <c r="D104" i="7"/>
  <c r="BH104" i="11"/>
  <c r="S65" i="11"/>
  <c r="K65" i="11"/>
  <c r="L65" i="11"/>
  <c r="AA177" i="7"/>
  <c r="AB177" i="7" s="1"/>
  <c r="AN55" i="6"/>
  <c r="AI55" i="6"/>
  <c r="P105" i="7"/>
  <c r="BB39" i="11"/>
  <c r="AQ39" i="11"/>
  <c r="BJ39" i="11"/>
  <c r="BE39" i="11"/>
  <c r="BJ130" i="11"/>
  <c r="AQ130" i="11"/>
  <c r="BB130" i="11"/>
  <c r="BE130" i="11"/>
  <c r="BM85" i="11"/>
  <c r="L24" i="11"/>
  <c r="K24" i="11"/>
  <c r="S24" i="11"/>
  <c r="AN24" i="6"/>
  <c r="AI24" i="6"/>
  <c r="D189" i="7"/>
  <c r="BH189" i="11"/>
  <c r="AM162" i="11"/>
  <c r="AK162" i="11"/>
  <c r="AH250" i="6"/>
  <c r="F251" i="11" s="1"/>
  <c r="AM250" i="6"/>
  <c r="P113" i="7"/>
  <c r="D149" i="7"/>
  <c r="BH149" i="11"/>
  <c r="BM72" i="11"/>
  <c r="D77" i="7"/>
  <c r="BH77" i="11"/>
  <c r="D79" i="7"/>
  <c r="BH79" i="11"/>
  <c r="J205" i="7"/>
  <c r="W205" i="7" s="1"/>
  <c r="K205" i="7"/>
  <c r="D46" i="7"/>
  <c r="BH46" i="11"/>
  <c r="D82" i="7"/>
  <c r="BH82" i="11"/>
  <c r="AN14" i="6"/>
  <c r="AI14" i="6"/>
  <c r="D153" i="7"/>
  <c r="BH153" i="11"/>
  <c r="D54" i="7"/>
  <c r="BH54" i="11"/>
  <c r="AA150" i="7"/>
  <c r="AB150" i="7" s="1"/>
  <c r="L142" i="11"/>
  <c r="K142" i="11"/>
  <c r="S142" i="11"/>
  <c r="AH321" i="6"/>
  <c r="AM321" i="6"/>
  <c r="AM256" i="6"/>
  <c r="AH256" i="6"/>
  <c r="AA136" i="7"/>
  <c r="AB136" i="7" s="1"/>
  <c r="K122" i="11"/>
  <c r="S122" i="11"/>
  <c r="L122" i="11"/>
  <c r="BJ99" i="11"/>
  <c r="BE99" i="11"/>
  <c r="AQ99" i="11"/>
  <c r="BB99" i="11"/>
  <c r="D187" i="7"/>
  <c r="BH187" i="11"/>
  <c r="BJ42" i="11"/>
  <c r="BE42" i="11"/>
  <c r="D74" i="7"/>
  <c r="BH74" i="11"/>
  <c r="L33" i="11"/>
  <c r="K33" i="11"/>
  <c r="S33" i="11"/>
  <c r="AA183" i="7"/>
  <c r="AB183" i="7" s="1"/>
  <c r="D64" i="7"/>
  <c r="BH64" i="11"/>
  <c r="D209" i="11"/>
  <c r="AH209" i="6"/>
  <c r="F209" i="11" s="1"/>
  <c r="AP209" i="6"/>
  <c r="AM209" i="6"/>
  <c r="AQ209" i="6"/>
  <c r="AA106" i="7"/>
  <c r="AB106" i="7" s="1"/>
  <c r="BM107" i="11"/>
  <c r="AA173" i="7"/>
  <c r="AB173" i="7" s="1"/>
  <c r="P133" i="7"/>
  <c r="AN26" i="6"/>
  <c r="AI26" i="6"/>
  <c r="AA158" i="7"/>
  <c r="AB158" i="7" s="1"/>
  <c r="D197" i="7"/>
  <c r="BH197" i="11"/>
  <c r="AA49" i="7"/>
  <c r="AB49" i="7" s="1"/>
  <c r="D60" i="7"/>
  <c r="BH60" i="11"/>
  <c r="K204" i="7"/>
  <c r="J204" i="7"/>
  <c r="W204" i="7" s="1"/>
  <c r="AA159" i="7"/>
  <c r="AB159" i="7" s="1"/>
  <c r="AM157" i="11"/>
  <c r="AK157" i="11"/>
  <c r="AQ37" i="11"/>
  <c r="BB37" i="11"/>
  <c r="BE37" i="11"/>
  <c r="BJ37" i="11"/>
  <c r="AA97" i="7"/>
  <c r="AB97" i="7" s="1"/>
  <c r="L12" i="11"/>
  <c r="S12" i="11"/>
  <c r="K12" i="11"/>
  <c r="AM293" i="6"/>
  <c r="AH293" i="6"/>
  <c r="F294" i="11" s="1"/>
  <c r="AF306" i="6"/>
  <c r="AI12" i="6"/>
  <c r="AN12" i="6"/>
  <c r="AA163" i="7"/>
  <c r="AB163" i="7" s="1"/>
  <c r="D93" i="7"/>
  <c r="BH93" i="11"/>
  <c r="AA156" i="7"/>
  <c r="AB156" i="7" s="1"/>
  <c r="J137" i="7"/>
  <c r="W137" i="7" s="1"/>
  <c r="K137" i="7"/>
  <c r="S27" i="11"/>
  <c r="L27" i="11"/>
  <c r="K27" i="11"/>
  <c r="AH267" i="6"/>
  <c r="F268" i="11" s="1"/>
  <c r="AM267" i="6"/>
  <c r="D201" i="7"/>
  <c r="BH201" i="11"/>
  <c r="K19" i="11"/>
  <c r="S19" i="11"/>
  <c r="L19" i="11"/>
  <c r="D114" i="7"/>
  <c r="BH114" i="11"/>
  <c r="D148" i="7"/>
  <c r="BH148" i="11"/>
  <c r="D61" i="7"/>
  <c r="BH61" i="11"/>
  <c r="D57" i="7"/>
  <c r="BH57" i="11"/>
  <c r="D116" i="7"/>
  <c r="BH116" i="11"/>
  <c r="AA169" i="7"/>
  <c r="AB169" i="7" s="1"/>
  <c r="D131" i="7"/>
  <c r="BH131" i="11"/>
  <c r="AA206" i="7"/>
  <c r="AB206" i="7" s="1"/>
  <c r="AA181" i="7"/>
  <c r="AB181" i="7" s="1"/>
  <c r="D181" i="7"/>
  <c r="BH181" i="11"/>
  <c r="K115" i="7"/>
  <c r="J115" i="7"/>
  <c r="W115" i="7" s="1"/>
  <c r="AI30" i="6"/>
  <c r="AN30" i="6"/>
  <c r="BH178" i="11"/>
  <c r="D178" i="7"/>
  <c r="D73" i="7"/>
  <c r="BH73" i="11"/>
  <c r="AN22" i="6"/>
  <c r="AI22" i="6"/>
  <c r="J59" i="7"/>
  <c r="W59" i="7" s="1"/>
  <c r="K59" i="7"/>
  <c r="D94" i="7"/>
  <c r="BH94" i="11"/>
  <c r="AI80" i="6"/>
  <c r="AN80" i="6"/>
  <c r="BM52" i="11"/>
  <c r="AD222" i="6"/>
  <c r="AD8" i="6" s="1"/>
  <c r="AC8" i="6"/>
  <c r="BM91" i="11"/>
  <c r="AA208" i="7"/>
  <c r="AB208" i="7" s="1"/>
  <c r="AA166" i="7"/>
  <c r="AB166" i="7" s="1"/>
  <c r="AA75" i="7"/>
  <c r="AB75" i="7" s="1"/>
  <c r="D70" i="7"/>
  <c r="BH70" i="11"/>
  <c r="AA70" i="7"/>
  <c r="AB70" i="7" s="1"/>
  <c r="D71" i="7"/>
  <c r="BH71" i="11"/>
  <c r="S144" i="11"/>
  <c r="K144" i="11"/>
  <c r="L144" i="11"/>
  <c r="BF195" i="11"/>
  <c r="BK195" i="11"/>
  <c r="AM103" i="11"/>
  <c r="AK103" i="11"/>
  <c r="K96" i="7"/>
  <c r="J96" i="7"/>
  <c r="W96" i="7" s="1"/>
  <c r="AL4" i="6" l="1"/>
  <c r="F36" i="4" s="1"/>
  <c r="D222" i="11"/>
  <c r="D8" i="11" s="1"/>
  <c r="BB42" i="11"/>
  <c r="AA42" i="7" s="1"/>
  <c r="AB42" i="7" s="1"/>
  <c r="L317" i="11"/>
  <c r="K317" i="11"/>
  <c r="G80" i="11"/>
  <c r="K70" i="7"/>
  <c r="J70" i="7"/>
  <c r="W70" i="7" s="1"/>
  <c r="P59" i="7"/>
  <c r="G30" i="11"/>
  <c r="BM181" i="11"/>
  <c r="AI267" i="6"/>
  <c r="G268" i="11" s="1"/>
  <c r="AN267" i="6"/>
  <c r="K294" i="11"/>
  <c r="L294" i="11"/>
  <c r="J60" i="7"/>
  <c r="W60" i="7" s="1"/>
  <c r="K60" i="7"/>
  <c r="K305" i="11"/>
  <c r="L305" i="11"/>
  <c r="K181" i="7"/>
  <c r="J181" i="7"/>
  <c r="W181" i="7" s="1"/>
  <c r="BM93" i="11"/>
  <c r="G12" i="11"/>
  <c r="K271" i="11"/>
  <c r="L271" i="11"/>
  <c r="AA37" i="7"/>
  <c r="AB37" i="7" s="1"/>
  <c r="J64" i="7"/>
  <c r="W64" i="7" s="1"/>
  <c r="K64" i="7"/>
  <c r="AC33" i="11"/>
  <c r="AF33" i="11"/>
  <c r="J74" i="7"/>
  <c r="W74" i="7" s="1"/>
  <c r="K74" i="7"/>
  <c r="BM187" i="11"/>
  <c r="AA99" i="7"/>
  <c r="AB99" i="7" s="1"/>
  <c r="AA122" i="11"/>
  <c r="AC122" i="11" s="1"/>
  <c r="BM54" i="11"/>
  <c r="K153" i="7"/>
  <c r="J153" i="7"/>
  <c r="W153" i="7" s="1"/>
  <c r="BM77" i="11"/>
  <c r="AC24" i="11"/>
  <c r="D130" i="7"/>
  <c r="BH130" i="11"/>
  <c r="AA39" i="7"/>
  <c r="AB39" i="7" s="1"/>
  <c r="G55" i="11"/>
  <c r="BM104" i="11"/>
  <c r="AA43" i="7"/>
  <c r="AB43" i="7" s="1"/>
  <c r="AC139" i="11"/>
  <c r="AF139" i="11"/>
  <c r="AC143" i="11"/>
  <c r="BM132" i="11"/>
  <c r="AN269" i="6"/>
  <c r="AI269" i="6"/>
  <c r="G270" i="11" s="1"/>
  <c r="L298" i="11"/>
  <c r="K298" i="11"/>
  <c r="L281" i="11"/>
  <c r="K281" i="11"/>
  <c r="P53" i="7"/>
  <c r="J87" i="7"/>
  <c r="W87" i="7" s="1"/>
  <c r="K87" i="7"/>
  <c r="J215" i="7"/>
  <c r="W215" i="7" s="1"/>
  <c r="K215" i="7"/>
  <c r="AN273" i="6"/>
  <c r="AI273" i="6"/>
  <c r="G274" i="11" s="1"/>
  <c r="G27" i="11"/>
  <c r="AI258" i="6"/>
  <c r="G259" i="11" s="1"/>
  <c r="AN258" i="6"/>
  <c r="K156" i="7"/>
  <c r="J156" i="7"/>
  <c r="W156" i="7" s="1"/>
  <c r="AN255" i="6"/>
  <c r="AI255" i="6"/>
  <c r="G256" i="11" s="1"/>
  <c r="BM163" i="11"/>
  <c r="BM97" i="11"/>
  <c r="G78" i="11"/>
  <c r="P45" i="7"/>
  <c r="G108" i="11"/>
  <c r="AC108" i="11"/>
  <c r="J158" i="7"/>
  <c r="W158" i="7" s="1"/>
  <c r="K158" i="7"/>
  <c r="K63" i="7"/>
  <c r="J63" i="7"/>
  <c r="W63" i="7" s="1"/>
  <c r="AC26" i="11"/>
  <c r="K98" i="7"/>
  <c r="J98" i="7"/>
  <c r="W98" i="7" s="1"/>
  <c r="L254" i="11"/>
  <c r="K254" i="11"/>
  <c r="BM173" i="11"/>
  <c r="J126" i="7"/>
  <c r="W126" i="7" s="1"/>
  <c r="K126" i="7"/>
  <c r="P107" i="7"/>
  <c r="K183" i="7"/>
  <c r="J183" i="7"/>
  <c r="W183" i="7" s="1"/>
  <c r="BM134" i="11"/>
  <c r="BK42" i="11"/>
  <c r="BF42" i="11"/>
  <c r="BM95" i="11"/>
  <c r="K136" i="7"/>
  <c r="J136" i="7"/>
  <c r="W136" i="7" s="1"/>
  <c r="BM165" i="11"/>
  <c r="AI266" i="6"/>
  <c r="G267" i="11" s="1"/>
  <c r="AN266" i="6"/>
  <c r="AI241" i="6"/>
  <c r="G242" i="11" s="1"/>
  <c r="AN241" i="6"/>
  <c r="K147" i="7"/>
  <c r="J147" i="7"/>
  <c r="W147" i="7" s="1"/>
  <c r="AN318" i="6"/>
  <c r="AI318" i="6"/>
  <c r="J75" i="7"/>
  <c r="W75" i="7" s="1"/>
  <c r="K75" i="7"/>
  <c r="AI284" i="6"/>
  <c r="G285" i="11" s="1"/>
  <c r="AN284" i="6"/>
  <c r="L240" i="11"/>
  <c r="K240" i="11"/>
  <c r="G23" i="11"/>
  <c r="BM89" i="11"/>
  <c r="L323" i="11"/>
  <c r="K323" i="11"/>
  <c r="G210" i="11"/>
  <c r="AC174" i="11"/>
  <c r="AF174" i="11"/>
  <c r="AM222" i="6"/>
  <c r="AM8" i="6" s="1"/>
  <c r="AH222" i="6"/>
  <c r="AF8" i="6"/>
  <c r="AF7" i="6" s="1"/>
  <c r="J159" i="7"/>
  <c r="W159" i="7" s="1"/>
  <c r="K159" i="7"/>
  <c r="BM106" i="11"/>
  <c r="AN283" i="6"/>
  <c r="AI283" i="6"/>
  <c r="G284" i="11" s="1"/>
  <c r="AH248" i="6"/>
  <c r="F249" i="11" s="1"/>
  <c r="AM248" i="6"/>
  <c r="BJ198" i="11"/>
  <c r="BE198" i="11"/>
  <c r="BB198" i="11"/>
  <c r="AQ198" i="11"/>
  <c r="BM152" i="11"/>
  <c r="D160" i="7"/>
  <c r="BH160" i="11"/>
  <c r="G38" i="11"/>
  <c r="J168" i="7"/>
  <c r="W168" i="7" s="1"/>
  <c r="K168" i="7"/>
  <c r="K272" i="11"/>
  <c r="L272" i="11"/>
  <c r="K237" i="11"/>
  <c r="L237" i="11"/>
  <c r="BM155" i="11"/>
  <c r="BM135" i="11"/>
  <c r="G120" i="11"/>
  <c r="K200" i="7"/>
  <c r="J200" i="7"/>
  <c r="W200" i="7" s="1"/>
  <c r="AN313" i="6"/>
  <c r="AI313" i="6"/>
  <c r="G314" i="11" s="1"/>
  <c r="P121" i="7"/>
  <c r="AI268" i="6"/>
  <c r="G269" i="11" s="1"/>
  <c r="AN268" i="6"/>
  <c r="BM184" i="11"/>
  <c r="G102" i="11"/>
  <c r="AI252" i="6"/>
  <c r="AN252" i="6"/>
  <c r="K117" i="7"/>
  <c r="J117" i="7"/>
  <c r="W117" i="7" s="1"/>
  <c r="K283" i="11"/>
  <c r="L283" i="11"/>
  <c r="P91" i="7"/>
  <c r="L269" i="11"/>
  <c r="K269" i="11"/>
  <c r="K270" i="11"/>
  <c r="L270" i="11"/>
  <c r="L248" i="11"/>
  <c r="K248" i="11"/>
  <c r="AA20" i="7"/>
  <c r="AB20" i="7" s="1"/>
  <c r="T76" i="7"/>
  <c r="J170" i="7"/>
  <c r="W170" i="7" s="1"/>
  <c r="K170" i="7"/>
  <c r="K34" i="7"/>
  <c r="J34" i="7"/>
  <c r="W34" i="7" s="1"/>
  <c r="AI235" i="6"/>
  <c r="G236" i="11" s="1"/>
  <c r="AN235" i="6"/>
  <c r="K140" i="7"/>
  <c r="J140" i="7"/>
  <c r="W140" i="7" s="1"/>
  <c r="K315" i="11"/>
  <c r="L315" i="11"/>
  <c r="AC78" i="11"/>
  <c r="K49" i="7"/>
  <c r="J49" i="7"/>
  <c r="W49" i="7" s="1"/>
  <c r="L255" i="11"/>
  <c r="K255" i="11"/>
  <c r="AI278" i="6"/>
  <c r="G279" i="11" s="1"/>
  <c r="AN278" i="6"/>
  <c r="AI319" i="6"/>
  <c r="G320" i="11" s="1"/>
  <c r="AN319" i="6"/>
  <c r="D175" i="7"/>
  <c r="BH175" i="11"/>
  <c r="H6" i="31"/>
  <c r="G21" i="11"/>
  <c r="L322" i="11"/>
  <c r="K322" i="11"/>
  <c r="AI296" i="6"/>
  <c r="G297" i="11" s="1"/>
  <c r="AN296" i="6"/>
  <c r="BM150" i="11"/>
  <c r="AN271" i="6"/>
  <c r="AI271" i="6"/>
  <c r="G272" i="11" s="1"/>
  <c r="AA41" i="11"/>
  <c r="AC41" i="11" s="1"/>
  <c r="G213" i="11"/>
  <c r="P72" i="7"/>
  <c r="T211" i="7"/>
  <c r="J35" i="7"/>
  <c r="W35" i="7" s="1"/>
  <c r="K35" i="7"/>
  <c r="L251" i="11"/>
  <c r="K251" i="11"/>
  <c r="BM90" i="11"/>
  <c r="BM67" i="11"/>
  <c r="K216" i="7"/>
  <c r="J216" i="7"/>
  <c r="W216" i="7" s="1"/>
  <c r="AI16" i="11"/>
  <c r="AJ16" i="11"/>
  <c r="J94" i="7"/>
  <c r="W94" i="7" s="1"/>
  <c r="K94" i="7"/>
  <c r="BM71" i="11"/>
  <c r="AM285" i="6"/>
  <c r="AH285" i="6"/>
  <c r="F286" i="11" s="1"/>
  <c r="BM131" i="11"/>
  <c r="J148" i="7"/>
  <c r="W148" i="7" s="1"/>
  <c r="K148" i="7"/>
  <c r="AC27" i="11"/>
  <c r="AF27" i="11"/>
  <c r="L311" i="11"/>
  <c r="K311" i="11"/>
  <c r="K197" i="7"/>
  <c r="J197" i="7"/>
  <c r="W197" i="7" s="1"/>
  <c r="P96" i="7"/>
  <c r="K73" i="7"/>
  <c r="J73" i="7"/>
  <c r="W73" i="7" s="1"/>
  <c r="AQ261" i="6"/>
  <c r="P115" i="7"/>
  <c r="BM61" i="11"/>
  <c r="AC19" i="11"/>
  <c r="P137" i="7"/>
  <c r="AI293" i="6"/>
  <c r="G294" i="11" s="1"/>
  <c r="AN293" i="6"/>
  <c r="J71" i="7"/>
  <c r="W71" i="7" s="1"/>
  <c r="K71" i="7"/>
  <c r="BM70" i="11"/>
  <c r="AC7" i="6"/>
  <c r="BM94" i="11"/>
  <c r="AM316" i="6"/>
  <c r="AH316" i="6"/>
  <c r="F317" i="11" s="1"/>
  <c r="G22" i="11"/>
  <c r="BM178" i="11"/>
  <c r="K131" i="7"/>
  <c r="J131" i="7"/>
  <c r="W131" i="7" s="1"/>
  <c r="BM116" i="11"/>
  <c r="BM57" i="11"/>
  <c r="BM114" i="11"/>
  <c r="BM201" i="11"/>
  <c r="K268" i="11"/>
  <c r="L268" i="11"/>
  <c r="K93" i="7"/>
  <c r="J93" i="7"/>
  <c r="W93" i="7" s="1"/>
  <c r="AH306" i="6"/>
  <c r="AM306" i="6"/>
  <c r="K236" i="11"/>
  <c r="L236" i="11"/>
  <c r="D37" i="7"/>
  <c r="BH37" i="11"/>
  <c r="AQ157" i="11"/>
  <c r="BJ157" i="11"/>
  <c r="BB157" i="11"/>
  <c r="BE157" i="11"/>
  <c r="BM60" i="11"/>
  <c r="K241" i="11"/>
  <c r="L241" i="11"/>
  <c r="D99" i="7"/>
  <c r="BH99" i="11"/>
  <c r="L252" i="11"/>
  <c r="K252" i="11"/>
  <c r="AI256" i="6"/>
  <c r="AN256" i="6"/>
  <c r="AC142" i="11"/>
  <c r="AF142" i="11"/>
  <c r="K82" i="7"/>
  <c r="J82" i="7"/>
  <c r="W82" i="7" s="1"/>
  <c r="BM46" i="11"/>
  <c r="BM79" i="11"/>
  <c r="BM189" i="11"/>
  <c r="G24" i="11"/>
  <c r="T105" i="7"/>
  <c r="AC65" i="11"/>
  <c r="J104" i="7"/>
  <c r="W104" i="7" s="1"/>
  <c r="K104" i="7"/>
  <c r="BM145" i="11"/>
  <c r="T51" i="7"/>
  <c r="D43" i="7"/>
  <c r="BH43" i="11"/>
  <c r="BM217" i="11"/>
  <c r="L229" i="11"/>
  <c r="K229" i="11"/>
  <c r="AN249" i="6"/>
  <c r="AI249" i="6"/>
  <c r="G250" i="11" s="1"/>
  <c r="BM154" i="11"/>
  <c r="G139" i="11"/>
  <c r="P188" i="7"/>
  <c r="BM166" i="11"/>
  <c r="K208" i="7"/>
  <c r="J208" i="7"/>
  <c r="W208" i="7" s="1"/>
  <c r="L312" i="11"/>
  <c r="K312" i="11"/>
  <c r="AI312" i="6"/>
  <c r="G313" i="11" s="1"/>
  <c r="AN312" i="6"/>
  <c r="P161" i="7"/>
  <c r="BM32" i="11"/>
  <c r="K163" i="7"/>
  <c r="J163" i="7"/>
  <c r="W163" i="7" s="1"/>
  <c r="M16" i="31"/>
  <c r="M17" i="31" s="1"/>
  <c r="M13" i="31"/>
  <c r="AN226" i="6"/>
  <c r="AI226" i="6"/>
  <c r="G227" i="11" s="1"/>
  <c r="J97" i="7"/>
  <c r="W97" i="7" s="1"/>
  <c r="K97" i="7"/>
  <c r="D123" i="7"/>
  <c r="BH123" i="11"/>
  <c r="J173" i="7"/>
  <c r="W173" i="7" s="1"/>
  <c r="K173" i="7"/>
  <c r="K134" i="7"/>
  <c r="J134" i="7"/>
  <c r="W134" i="7" s="1"/>
  <c r="K95" i="7"/>
  <c r="J95" i="7"/>
  <c r="W95" i="7" s="1"/>
  <c r="BM109" i="11"/>
  <c r="BM177" i="11"/>
  <c r="BM125" i="11"/>
  <c r="G144" i="11"/>
  <c r="P118" i="7"/>
  <c r="AI311" i="6"/>
  <c r="G312" i="11" s="1"/>
  <c r="AN311" i="6"/>
  <c r="P214" i="7"/>
  <c r="J89" i="7"/>
  <c r="W89" i="7" s="1"/>
  <c r="K89" i="7"/>
  <c r="BE151" i="11"/>
  <c r="BJ151" i="11"/>
  <c r="AQ151" i="11"/>
  <c r="BB151" i="11"/>
  <c r="BM194" i="11"/>
  <c r="G19" i="11"/>
  <c r="L259" i="11"/>
  <c r="K259" i="11"/>
  <c r="K288" i="11"/>
  <c r="L288" i="11"/>
  <c r="BM40" i="11"/>
  <c r="S101" i="11"/>
  <c r="L101" i="11"/>
  <c r="L4" i="11" s="1"/>
  <c r="K101" i="11"/>
  <c r="J4" i="11" s="1"/>
  <c r="K152" i="7"/>
  <c r="J152" i="7"/>
  <c r="W152" i="7" s="1"/>
  <c r="AN300" i="6"/>
  <c r="AI300" i="6"/>
  <c r="G301" i="11" s="1"/>
  <c r="G18" i="11"/>
  <c r="D29" i="7"/>
  <c r="BH29" i="11"/>
  <c r="L282" i="11"/>
  <c r="K282" i="11"/>
  <c r="AI294" i="6"/>
  <c r="G295" i="11" s="1"/>
  <c r="AN294" i="6"/>
  <c r="K155" i="7"/>
  <c r="J155" i="7"/>
  <c r="W155" i="7" s="1"/>
  <c r="BM66" i="11"/>
  <c r="K28" i="7"/>
  <c r="J28" i="7"/>
  <c r="W28" i="7" s="1"/>
  <c r="P86" i="7"/>
  <c r="J111" i="7"/>
  <c r="W111" i="7" s="1"/>
  <c r="K111" i="7"/>
  <c r="BM88" i="11"/>
  <c r="K47" i="7"/>
  <c r="J47" i="7"/>
  <c r="W47" i="7" s="1"/>
  <c r="P127" i="7"/>
  <c r="P138" i="7"/>
  <c r="J193" i="7"/>
  <c r="W193" i="7" s="1"/>
  <c r="K193" i="7"/>
  <c r="BM50" i="11"/>
  <c r="L296" i="11"/>
  <c r="K296" i="11"/>
  <c r="J124" i="7"/>
  <c r="W124" i="7" s="1"/>
  <c r="K124" i="7"/>
  <c r="BB195" i="11"/>
  <c r="BJ195" i="11"/>
  <c r="AQ195" i="11"/>
  <c r="BE195" i="11"/>
  <c r="AN245" i="6"/>
  <c r="AI245" i="6"/>
  <c r="G246" i="11" s="1"/>
  <c r="AC17" i="11"/>
  <c r="AF17" i="11"/>
  <c r="BM196" i="11"/>
  <c r="AH265" i="6"/>
  <c r="F266" i="11" s="1"/>
  <c r="AM265" i="6"/>
  <c r="D20" i="7"/>
  <c r="BH20" i="11"/>
  <c r="AC23" i="11"/>
  <c r="BM207" i="11"/>
  <c r="AN322" i="6"/>
  <c r="AI322" i="6"/>
  <c r="G323" i="11" s="1"/>
  <c r="AF261" i="6"/>
  <c r="AF324" i="6"/>
  <c r="AQ306" i="6"/>
  <c r="AP231" i="6"/>
  <c r="P219" i="7"/>
  <c r="G171" i="11"/>
  <c r="BM180" i="11"/>
  <c r="G122" i="11"/>
  <c r="BM212" i="11"/>
  <c r="AC182" i="11"/>
  <c r="G142" i="11"/>
  <c r="K150" i="7"/>
  <c r="J150" i="7"/>
  <c r="W150" i="7" s="1"/>
  <c r="BM202" i="11"/>
  <c r="L267" i="11"/>
  <c r="K267" i="11"/>
  <c r="AI242" i="6"/>
  <c r="G243" i="11" s="1"/>
  <c r="AN242" i="6"/>
  <c r="L318" i="11"/>
  <c r="K318" i="11"/>
  <c r="K90" i="7"/>
  <c r="J90" i="7"/>
  <c r="W90" i="7" s="1"/>
  <c r="K67" i="7"/>
  <c r="J67" i="7"/>
  <c r="W67" i="7" s="1"/>
  <c r="AA44" i="7"/>
  <c r="AB44" i="7" s="1"/>
  <c r="AC55" i="11"/>
  <c r="AF275" i="6"/>
  <c r="BM84" i="11"/>
  <c r="AI282" i="6"/>
  <c r="G283" i="11" s="1"/>
  <c r="AN282" i="6"/>
  <c r="AC102" i="11"/>
  <c r="AC144" i="11"/>
  <c r="AF144" i="11"/>
  <c r="BM73" i="11"/>
  <c r="K178" i="7"/>
  <c r="J178" i="7"/>
  <c r="W178" i="7" s="1"/>
  <c r="K116" i="7"/>
  <c r="J116" i="7"/>
  <c r="W116" i="7" s="1"/>
  <c r="K61" i="7"/>
  <c r="J61" i="7"/>
  <c r="W61" i="7" s="1"/>
  <c r="BM148" i="11"/>
  <c r="J114" i="7"/>
  <c r="W114" i="7" s="1"/>
  <c r="K114" i="7"/>
  <c r="K274" i="11"/>
  <c r="L274" i="11"/>
  <c r="J201" i="7"/>
  <c r="W201" i="7" s="1"/>
  <c r="K201" i="7"/>
  <c r="L285" i="11"/>
  <c r="K285" i="11"/>
  <c r="AC12" i="11"/>
  <c r="P204" i="7"/>
  <c r="AH320" i="6"/>
  <c r="F321" i="11" s="1"/>
  <c r="AM320" i="6"/>
  <c r="BM197" i="11"/>
  <c r="G26" i="11"/>
  <c r="K209" i="11"/>
  <c r="S209" i="11"/>
  <c r="L209" i="11"/>
  <c r="BM64" i="11"/>
  <c r="BM74" i="11"/>
  <c r="D42" i="7"/>
  <c r="BH42" i="11"/>
  <c r="J187" i="7"/>
  <c r="W187" i="7" s="1"/>
  <c r="K187" i="7"/>
  <c r="L303" i="11"/>
  <c r="K303" i="11"/>
  <c r="J54" i="7"/>
  <c r="W54" i="7" s="1"/>
  <c r="K54" i="7"/>
  <c r="K46" i="7"/>
  <c r="J46" i="7"/>
  <c r="W46" i="7" s="1"/>
  <c r="P205" i="7"/>
  <c r="J77" i="7"/>
  <c r="W77" i="7" s="1"/>
  <c r="K77" i="7"/>
  <c r="BM149" i="11"/>
  <c r="J189" i="7"/>
  <c r="W189" i="7" s="1"/>
  <c r="K189" i="7"/>
  <c r="AA130" i="7"/>
  <c r="AB130" i="7" s="1"/>
  <c r="BH39" i="11"/>
  <c r="D39" i="7"/>
  <c r="K265" i="11"/>
  <c r="L265" i="11"/>
  <c r="L244" i="11"/>
  <c r="K244" i="11"/>
  <c r="J145" i="7"/>
  <c r="W145" i="7" s="1"/>
  <c r="K145" i="7"/>
  <c r="L319" i="11"/>
  <c r="K319" i="11"/>
  <c r="J132" i="7"/>
  <c r="W132" i="7" s="1"/>
  <c r="K132" i="7"/>
  <c r="K166" i="7"/>
  <c r="J166" i="7"/>
  <c r="W166" i="7" s="1"/>
  <c r="AA22" i="11"/>
  <c r="AC22" i="11" s="1"/>
  <c r="BM83" i="11"/>
  <c r="G128" i="11"/>
  <c r="AI301" i="6"/>
  <c r="G302" i="11" s="1"/>
  <c r="AN301" i="6"/>
  <c r="BM206" i="11"/>
  <c r="K32" i="7"/>
  <c r="J32" i="7"/>
  <c r="W32" i="7" s="1"/>
  <c r="AP222" i="6"/>
  <c r="AP8" i="6" s="1"/>
  <c r="AH227" i="6"/>
  <c r="F228" i="11" s="1"/>
  <c r="AM227" i="6"/>
  <c r="G172" i="11"/>
  <c r="J199" i="7"/>
  <c r="W199" i="7" s="1"/>
  <c r="K199" i="7"/>
  <c r="K279" i="11"/>
  <c r="L279" i="11"/>
  <c r="BM98" i="11"/>
  <c r="L320" i="11"/>
  <c r="K320" i="11"/>
  <c r="BM126" i="11"/>
  <c r="P110" i="7"/>
  <c r="AC21" i="11"/>
  <c r="T203" i="7"/>
  <c r="BM183" i="11"/>
  <c r="K109" i="7"/>
  <c r="J109" i="7"/>
  <c r="W109" i="7" s="1"/>
  <c r="P218" i="7"/>
  <c r="L280" i="11"/>
  <c r="K280" i="11"/>
  <c r="BM136" i="11"/>
  <c r="D307" i="11"/>
  <c r="AC18" i="11"/>
  <c r="K165" i="7"/>
  <c r="J165" i="7"/>
  <c r="W165" i="7" s="1"/>
  <c r="AI236" i="6"/>
  <c r="G237" i="11" s="1"/>
  <c r="AN236" i="6"/>
  <c r="AC213" i="11"/>
  <c r="BM176" i="11"/>
  <c r="BM147" i="11"/>
  <c r="G17" i="11"/>
  <c r="AA30" i="11"/>
  <c r="AC30" i="11" s="1"/>
  <c r="K227" i="11"/>
  <c r="L227" i="11"/>
  <c r="AC13" i="11"/>
  <c r="K286" i="11"/>
  <c r="L286" i="11"/>
  <c r="AC128" i="11"/>
  <c r="BM169" i="11"/>
  <c r="J194" i="7"/>
  <c r="W194" i="7" s="1"/>
  <c r="K194" i="7"/>
  <c r="AC81" i="11"/>
  <c r="AL5" i="6"/>
  <c r="F37" i="4" s="1"/>
  <c r="AN314" i="6"/>
  <c r="AI314" i="6"/>
  <c r="G315" i="11" s="1"/>
  <c r="BM68" i="11"/>
  <c r="AN299" i="6"/>
  <c r="AI299" i="6"/>
  <c r="G300" i="11" s="1"/>
  <c r="AC31" i="11"/>
  <c r="T185" i="7"/>
  <c r="K106" i="7"/>
  <c r="J106" i="7"/>
  <c r="W106" i="7" s="1"/>
  <c r="AN101" i="6"/>
  <c r="AI101" i="6"/>
  <c r="T129" i="7"/>
  <c r="AI251" i="6"/>
  <c r="G252" i="11" s="1"/>
  <c r="AN251" i="6"/>
  <c r="P119" i="7"/>
  <c r="AI302" i="6"/>
  <c r="G303" i="11" s="1"/>
  <c r="AN302" i="6"/>
  <c r="AA29" i="7"/>
  <c r="AB29" i="7" s="1"/>
  <c r="AC14" i="11"/>
  <c r="AF14" i="11"/>
  <c r="G41" i="11"/>
  <c r="J66" i="7"/>
  <c r="W66" i="7" s="1"/>
  <c r="K66" i="7"/>
  <c r="G56" i="11"/>
  <c r="K135" i="7"/>
  <c r="J135" i="7"/>
  <c r="W135" i="7" s="1"/>
  <c r="BM200" i="11"/>
  <c r="BE36" i="11"/>
  <c r="BB36" i="11"/>
  <c r="BJ36" i="11"/>
  <c r="AQ36" i="11"/>
  <c r="P85" i="7"/>
  <c r="D192" i="7"/>
  <c r="BH192" i="11"/>
  <c r="AA167" i="7"/>
  <c r="AB167" i="7" s="1"/>
  <c r="K184" i="7"/>
  <c r="J184" i="7"/>
  <c r="W184" i="7" s="1"/>
  <c r="AN228" i="6"/>
  <c r="AI228" i="6"/>
  <c r="P25" i="7"/>
  <c r="K50" i="7"/>
  <c r="J50" i="7"/>
  <c r="W50" i="7" s="1"/>
  <c r="G15" i="11"/>
  <c r="BM117" i="11"/>
  <c r="AI295" i="6"/>
  <c r="G296" i="11" s="1"/>
  <c r="AN295" i="6"/>
  <c r="AA15" i="11"/>
  <c r="AC15" i="11" s="1"/>
  <c r="T186" i="7"/>
  <c r="AN304" i="6"/>
  <c r="AI304" i="6"/>
  <c r="G305" i="11" s="1"/>
  <c r="L316" i="11"/>
  <c r="K316" i="11"/>
  <c r="AC100" i="11"/>
  <c r="AI237" i="6"/>
  <c r="G238" i="11" s="1"/>
  <c r="AN237" i="6"/>
  <c r="AN280" i="6"/>
  <c r="AI280" i="6"/>
  <c r="G281" i="11" s="1"/>
  <c r="AP261" i="6"/>
  <c r="AN272" i="6"/>
  <c r="AI272" i="6"/>
  <c r="G273" i="11" s="1"/>
  <c r="L299" i="11"/>
  <c r="K299" i="11"/>
  <c r="BM170" i="11"/>
  <c r="AQ222" i="6"/>
  <c r="AQ8" i="6" s="1"/>
  <c r="K245" i="11"/>
  <c r="L245" i="11"/>
  <c r="AN287" i="6"/>
  <c r="AI287" i="6"/>
  <c r="G288" i="11" s="1"/>
  <c r="K180" i="7"/>
  <c r="J180" i="7"/>
  <c r="W180" i="7" s="1"/>
  <c r="BM141" i="11"/>
  <c r="L257" i="11"/>
  <c r="K257" i="11"/>
  <c r="AA112" i="7"/>
  <c r="AB112" i="7" s="1"/>
  <c r="AI259" i="6"/>
  <c r="G260" i="11" s="1"/>
  <c r="AN259" i="6"/>
  <c r="BM191" i="11"/>
  <c r="AC56" i="11"/>
  <c r="BM179" i="11"/>
  <c r="AC120" i="11"/>
  <c r="AI238" i="6"/>
  <c r="G239" i="11" s="1"/>
  <c r="AN238" i="6"/>
  <c r="D44" i="7"/>
  <c r="BH44" i="11"/>
  <c r="K242" i="11"/>
  <c r="L242" i="11"/>
  <c r="K314" i="11"/>
  <c r="L314" i="11"/>
  <c r="AN264" i="6"/>
  <c r="AI264" i="6"/>
  <c r="G265" i="11" s="1"/>
  <c r="AQ146" i="11"/>
  <c r="BE146" i="11"/>
  <c r="BB146" i="11"/>
  <c r="BJ146" i="11"/>
  <c r="BM216" i="11"/>
  <c r="P69" i="7"/>
  <c r="AI229" i="6"/>
  <c r="G230" i="11" s="1"/>
  <c r="AN229" i="6"/>
  <c r="BJ103" i="11"/>
  <c r="BB103" i="11"/>
  <c r="BE103" i="11"/>
  <c r="AQ103" i="11"/>
  <c r="K57" i="7"/>
  <c r="J57" i="7"/>
  <c r="W57" i="7" s="1"/>
  <c r="T133" i="7"/>
  <c r="AN209" i="6"/>
  <c r="AN4" i="6" s="1"/>
  <c r="F38" i="4" s="1"/>
  <c r="AI209" i="6"/>
  <c r="AH257" i="6"/>
  <c r="F258" i="11" s="1"/>
  <c r="AM257" i="6"/>
  <c r="L301" i="11"/>
  <c r="K301" i="11"/>
  <c r="F322" i="11"/>
  <c r="F257" i="11"/>
  <c r="AI321" i="6"/>
  <c r="AN321" i="6"/>
  <c r="BM153" i="11"/>
  <c r="G14" i="11"/>
  <c r="BM82" i="11"/>
  <c r="K79" i="7"/>
  <c r="J79" i="7"/>
  <c r="W79" i="7" s="1"/>
  <c r="K149" i="7"/>
  <c r="J149" i="7"/>
  <c r="W149" i="7" s="1"/>
  <c r="T113" i="7"/>
  <c r="AN250" i="6"/>
  <c r="AI250" i="6"/>
  <c r="G251" i="11" s="1"/>
  <c r="BB162" i="11"/>
  <c r="AQ162" i="11"/>
  <c r="BJ162" i="11"/>
  <c r="BE162" i="11"/>
  <c r="K239" i="11"/>
  <c r="L239" i="11"/>
  <c r="AQ275" i="6"/>
  <c r="K217" i="7"/>
  <c r="J217" i="7"/>
  <c r="W217" i="7" s="1"/>
  <c r="P58" i="7"/>
  <c r="L253" i="11"/>
  <c r="K253" i="11"/>
  <c r="K304" i="11"/>
  <c r="L304" i="11"/>
  <c r="K154" i="7"/>
  <c r="J154" i="7"/>
  <c r="W154" i="7" s="1"/>
  <c r="BM208" i="11"/>
  <c r="G100" i="11"/>
  <c r="K238" i="11"/>
  <c r="L238" i="11"/>
  <c r="AI297" i="6"/>
  <c r="G298" i="11" s="1"/>
  <c r="AN297" i="6"/>
  <c r="K83" i="7"/>
  <c r="J83" i="7"/>
  <c r="W83" i="7" s="1"/>
  <c r="J206" i="7"/>
  <c r="W206" i="7" s="1"/>
  <c r="K206" i="7"/>
  <c r="AI298" i="6"/>
  <c r="G299" i="11" s="1"/>
  <c r="AN298" i="6"/>
  <c r="BM87" i="11"/>
  <c r="BM215" i="11"/>
  <c r="BM156" i="11"/>
  <c r="M15" i="31"/>
  <c r="AF231" i="6"/>
  <c r="K300" i="11"/>
  <c r="L300" i="11"/>
  <c r="BM199" i="11"/>
  <c r="BM158" i="11"/>
  <c r="AA123" i="7"/>
  <c r="AB123" i="7" s="1"/>
  <c r="BM63" i="11"/>
  <c r="AC171" i="11"/>
  <c r="BE164" i="11"/>
  <c r="BJ164" i="11"/>
  <c r="AQ164" i="11"/>
  <c r="BB164" i="11"/>
  <c r="D290" i="11"/>
  <c r="AP289" i="6"/>
  <c r="AC38" i="11"/>
  <c r="L287" i="11"/>
  <c r="K287" i="11"/>
  <c r="L260" i="11"/>
  <c r="K260" i="11"/>
  <c r="J176" i="7"/>
  <c r="W176" i="7" s="1"/>
  <c r="K176" i="7"/>
  <c r="K177" i="7"/>
  <c r="J177" i="7"/>
  <c r="W177" i="7" s="1"/>
  <c r="J125" i="7"/>
  <c r="W125" i="7" s="1"/>
  <c r="K125" i="7"/>
  <c r="AG62" i="11"/>
  <c r="BM75" i="11"/>
  <c r="P52" i="7"/>
  <c r="AN315" i="6"/>
  <c r="AI315" i="6"/>
  <c r="G316" i="11" s="1"/>
  <c r="AN247" i="6"/>
  <c r="AI247" i="6"/>
  <c r="G248" i="11" s="1"/>
  <c r="AN239" i="6"/>
  <c r="AI239" i="6"/>
  <c r="G240" i="11" s="1"/>
  <c r="L313" i="11"/>
  <c r="K313" i="11"/>
  <c r="L273" i="11"/>
  <c r="K273" i="11"/>
  <c r="L302" i="11"/>
  <c r="K302" i="11"/>
  <c r="K169" i="7"/>
  <c r="J169" i="7"/>
  <c r="W169" i="7" s="1"/>
  <c r="P220" i="7"/>
  <c r="G81" i="11"/>
  <c r="L247" i="11"/>
  <c r="K247" i="11"/>
  <c r="AC210" i="11"/>
  <c r="AF210" i="11"/>
  <c r="L256" i="11"/>
  <c r="K256" i="11"/>
  <c r="AI270" i="6"/>
  <c r="G271" i="11" s="1"/>
  <c r="AN270" i="6"/>
  <c r="AI244" i="6"/>
  <c r="G245" i="11" s="1"/>
  <c r="AN244" i="6"/>
  <c r="AQ231" i="6"/>
  <c r="J68" i="7"/>
  <c r="W68" i="7" s="1"/>
  <c r="K68" i="7"/>
  <c r="BM159" i="11"/>
  <c r="AI254" i="6"/>
  <c r="G255" i="11" s="1"/>
  <c r="AN254" i="6"/>
  <c r="AI253" i="6"/>
  <c r="G254" i="11" s="1"/>
  <c r="AN253" i="6"/>
  <c r="J40" i="7"/>
  <c r="W40" i="7" s="1"/>
  <c r="K40" i="7"/>
  <c r="AN240" i="6"/>
  <c r="AI240" i="6"/>
  <c r="G241" i="11" s="1"/>
  <c r="AA160" i="7"/>
  <c r="AB160" i="7" s="1"/>
  <c r="AN279" i="6"/>
  <c r="AI279" i="6"/>
  <c r="G280" i="11" s="1"/>
  <c r="BM168" i="11"/>
  <c r="AI286" i="6"/>
  <c r="G287" i="11" s="1"/>
  <c r="AN286" i="6"/>
  <c r="K295" i="11"/>
  <c r="L295" i="11"/>
  <c r="BM28" i="11"/>
  <c r="BM111" i="11"/>
  <c r="J88" i="7"/>
  <c r="W88" i="7" s="1"/>
  <c r="K88" i="7"/>
  <c r="AA192" i="7"/>
  <c r="AB192" i="7" s="1"/>
  <c r="BM47" i="11"/>
  <c r="BM193" i="11"/>
  <c r="D167" i="7"/>
  <c r="BH167" i="11"/>
  <c r="F229" i="11"/>
  <c r="F319" i="11"/>
  <c r="F253" i="11"/>
  <c r="BB48" i="11"/>
  <c r="BE48" i="11"/>
  <c r="BJ48" i="11"/>
  <c r="AQ48" i="11"/>
  <c r="AP306" i="6"/>
  <c r="G143" i="11"/>
  <c r="BM124" i="11"/>
  <c r="AA80" i="11"/>
  <c r="AC80" i="11" s="1"/>
  <c r="K246" i="11"/>
  <c r="L246" i="11"/>
  <c r="K196" i="7"/>
  <c r="J196" i="7"/>
  <c r="W196" i="7" s="1"/>
  <c r="AP275" i="6"/>
  <c r="G13" i="11"/>
  <c r="J207" i="7"/>
  <c r="W207" i="7" s="1"/>
  <c r="K207" i="7"/>
  <c r="AI246" i="6"/>
  <c r="G247" i="11" s="1"/>
  <c r="AN246" i="6"/>
  <c r="BM34" i="11"/>
  <c r="G174" i="11"/>
  <c r="AN310" i="6"/>
  <c r="AI310" i="6"/>
  <c r="G311" i="11" s="1"/>
  <c r="BM140" i="11"/>
  <c r="T92" i="7"/>
  <c r="BM49" i="11"/>
  <c r="AA172" i="11"/>
  <c r="AC172" i="11" s="1"/>
  <c r="D325" i="11"/>
  <c r="G31" i="11"/>
  <c r="AF289" i="6"/>
  <c r="AQ289" i="6"/>
  <c r="AA175" i="7"/>
  <c r="AB175" i="7" s="1"/>
  <c r="K25" i="30"/>
  <c r="G33" i="11"/>
  <c r="T190" i="7"/>
  <c r="J141" i="7"/>
  <c r="W141" i="7" s="1"/>
  <c r="K141" i="7"/>
  <c r="K212" i="7"/>
  <c r="J212" i="7"/>
  <c r="W212" i="7" s="1"/>
  <c r="G182" i="11"/>
  <c r="D112" i="7"/>
  <c r="BH112" i="11"/>
  <c r="J202" i="7"/>
  <c r="W202" i="7" s="1"/>
  <c r="K202" i="7"/>
  <c r="AI281" i="6"/>
  <c r="G282" i="11" s="1"/>
  <c r="AN281" i="6"/>
  <c r="K191" i="7"/>
  <c r="J191" i="7"/>
  <c r="W191" i="7" s="1"/>
  <c r="L243" i="11"/>
  <c r="K243" i="11"/>
  <c r="K179" i="7"/>
  <c r="J179" i="7"/>
  <c r="W179" i="7" s="1"/>
  <c r="BM35" i="11"/>
  <c r="AI317" i="6"/>
  <c r="G318" i="11" s="1"/>
  <c r="AN317" i="6"/>
  <c r="G65" i="11"/>
  <c r="K84" i="7"/>
  <c r="J84" i="7"/>
  <c r="W84" i="7" s="1"/>
  <c r="AN303" i="6"/>
  <c r="AI303" i="6"/>
  <c r="G304" i="11" s="1"/>
  <c r="L250" i="11"/>
  <c r="K250" i="11"/>
  <c r="K222" i="11" l="1"/>
  <c r="K8" i="11" s="1"/>
  <c r="D232" i="11"/>
  <c r="AN5" i="6"/>
  <c r="F39" i="4" s="1"/>
  <c r="K325" i="11"/>
  <c r="L325" i="11"/>
  <c r="L307" i="11"/>
  <c r="K307" i="11"/>
  <c r="AG122" i="11"/>
  <c r="K232" i="11"/>
  <c r="L232" i="11"/>
  <c r="AG30" i="11"/>
  <c r="AG22" i="11"/>
  <c r="K290" i="11"/>
  <c r="L290" i="11"/>
  <c r="P202" i="7"/>
  <c r="BM167" i="11"/>
  <c r="P40" i="7"/>
  <c r="AG210" i="11"/>
  <c r="T220" i="7"/>
  <c r="AI62" i="11"/>
  <c r="AJ62" i="11"/>
  <c r="P154" i="7"/>
  <c r="P217" i="7"/>
  <c r="D162" i="7"/>
  <c r="BH162" i="11"/>
  <c r="P149" i="7"/>
  <c r="X133" i="7"/>
  <c r="AA103" i="7"/>
  <c r="AB103" i="7" s="1"/>
  <c r="AG56" i="11"/>
  <c r="P180" i="7"/>
  <c r="P184" i="7"/>
  <c r="P135" i="7"/>
  <c r="AG14" i="11"/>
  <c r="T119" i="7"/>
  <c r="P106" i="7"/>
  <c r="X185" i="7"/>
  <c r="AG128" i="11"/>
  <c r="AG213" i="11"/>
  <c r="T110" i="7"/>
  <c r="P166" i="7"/>
  <c r="P132" i="7"/>
  <c r="K39" i="7"/>
  <c r="J39" i="7"/>
  <c r="W39" i="7" s="1"/>
  <c r="P46" i="7"/>
  <c r="P54" i="7"/>
  <c r="P187" i="7"/>
  <c r="J42" i="7"/>
  <c r="W42" i="7" s="1"/>
  <c r="K42" i="7"/>
  <c r="AA209" i="11"/>
  <c r="AC209" i="11" s="1"/>
  <c r="AI320" i="6"/>
  <c r="G321" i="11" s="1"/>
  <c r="AN320" i="6"/>
  <c r="S222" i="11"/>
  <c r="S8" i="11" s="1"/>
  <c r="AG12" i="11"/>
  <c r="P116" i="7"/>
  <c r="AH275" i="6"/>
  <c r="AM275" i="6"/>
  <c r="AG55" i="11"/>
  <c r="P90" i="7"/>
  <c r="BM20" i="11"/>
  <c r="P124" i="7"/>
  <c r="P193" i="7"/>
  <c r="T138" i="7"/>
  <c r="BM29" i="11"/>
  <c r="P152" i="7"/>
  <c r="AA101" i="11"/>
  <c r="AC101" i="11" s="1"/>
  <c r="D151" i="7"/>
  <c r="BH151" i="11"/>
  <c r="P89" i="7"/>
  <c r="P95" i="7"/>
  <c r="P173" i="7"/>
  <c r="BM123" i="11"/>
  <c r="P208" i="7"/>
  <c r="AG65" i="11"/>
  <c r="K99" i="7"/>
  <c r="J99" i="7"/>
  <c r="W99" i="7" s="1"/>
  <c r="L5" i="11"/>
  <c r="P131" i="7"/>
  <c r="AG19" i="11"/>
  <c r="T96" i="7"/>
  <c r="X211" i="7"/>
  <c r="P170" i="7"/>
  <c r="T121" i="7"/>
  <c r="BM160" i="11"/>
  <c r="AA198" i="7"/>
  <c r="AB198" i="7" s="1"/>
  <c r="P75" i="7"/>
  <c r="P183" i="7"/>
  <c r="P126" i="7"/>
  <c r="S290" i="11"/>
  <c r="AG143" i="11"/>
  <c r="J130" i="7"/>
  <c r="W130" i="7" s="1"/>
  <c r="K130" i="7"/>
  <c r="P153" i="7"/>
  <c r="P74" i="7"/>
  <c r="AG33" i="11"/>
  <c r="T59" i="7"/>
  <c r="P191" i="7"/>
  <c r="AG172" i="11"/>
  <c r="AG80" i="11"/>
  <c r="J167" i="7"/>
  <c r="W167" i="7" s="1"/>
  <c r="K167" i="7"/>
  <c r="P169" i="7"/>
  <c r="P179" i="7"/>
  <c r="J112" i="7"/>
  <c r="W112" i="7" s="1"/>
  <c r="K112" i="7"/>
  <c r="P84" i="7"/>
  <c r="BM112" i="11"/>
  <c r="AH289" i="6"/>
  <c r="AM289" i="6"/>
  <c r="P196" i="7"/>
  <c r="AA48" i="7"/>
  <c r="AB48" i="7" s="1"/>
  <c r="P88" i="7"/>
  <c r="P68" i="7"/>
  <c r="P176" i="7"/>
  <c r="AG38" i="11"/>
  <c r="L284" i="11"/>
  <c r="K284" i="11"/>
  <c r="L230" i="11"/>
  <c r="K230" i="11"/>
  <c r="AG171" i="11"/>
  <c r="P206" i="7"/>
  <c r="AA162" i="7"/>
  <c r="AB162" i="7" s="1"/>
  <c r="P79" i="7"/>
  <c r="G209" i="11"/>
  <c r="D103" i="7"/>
  <c r="BH103" i="11"/>
  <c r="D146" i="7"/>
  <c r="BH146" i="11"/>
  <c r="K44" i="7"/>
  <c r="J44" i="7"/>
  <c r="W44" i="7" s="1"/>
  <c r="X186" i="7"/>
  <c r="J192" i="7"/>
  <c r="W192" i="7" s="1"/>
  <c r="K192" i="7"/>
  <c r="T85" i="7"/>
  <c r="AA36" i="7"/>
  <c r="AB36" i="7" s="1"/>
  <c r="G101" i="11"/>
  <c r="AG81" i="11"/>
  <c r="P165" i="7"/>
  <c r="AG18" i="11"/>
  <c r="X203" i="7"/>
  <c r="AG21" i="11"/>
  <c r="P32" i="7"/>
  <c r="BM39" i="11"/>
  <c r="P189" i="7"/>
  <c r="P77" i="7"/>
  <c r="S325" i="11"/>
  <c r="P178" i="7"/>
  <c r="AG102" i="11"/>
  <c r="T219" i="7"/>
  <c r="AA195" i="7"/>
  <c r="AB195" i="7" s="1"/>
  <c r="P47" i="7"/>
  <c r="P111" i="7"/>
  <c r="T86" i="7"/>
  <c r="K29" i="7"/>
  <c r="J29" i="7"/>
  <c r="W29" i="7" s="1"/>
  <c r="K249" i="11"/>
  <c r="L249" i="11"/>
  <c r="P134" i="7"/>
  <c r="K123" i="7"/>
  <c r="J123" i="7"/>
  <c r="W123" i="7" s="1"/>
  <c r="P97" i="7"/>
  <c r="T188" i="7"/>
  <c r="BM43" i="11"/>
  <c r="P104" i="7"/>
  <c r="P82" i="7"/>
  <c r="AG142" i="11"/>
  <c r="AA157" i="7"/>
  <c r="AB157" i="7" s="1"/>
  <c r="P93" i="7"/>
  <c r="P71" i="7"/>
  <c r="T137" i="7"/>
  <c r="P73" i="7"/>
  <c r="AI285" i="6"/>
  <c r="G286" i="11" s="1"/>
  <c r="AN285" i="6"/>
  <c r="P94" i="7"/>
  <c r="P216" i="7"/>
  <c r="P35" i="7"/>
  <c r="T72" i="7"/>
  <c r="AG41" i="11"/>
  <c r="BM175" i="11"/>
  <c r="P34" i="7"/>
  <c r="P168" i="7"/>
  <c r="J160" i="7"/>
  <c r="W160" i="7" s="1"/>
  <c r="K160" i="7"/>
  <c r="AI248" i="6"/>
  <c r="G249" i="11" s="1"/>
  <c r="AN248" i="6"/>
  <c r="F262" i="11"/>
  <c r="F325" i="11"/>
  <c r="F307" i="11"/>
  <c r="F232" i="11"/>
  <c r="F276" i="11"/>
  <c r="F290" i="11"/>
  <c r="AH8" i="6"/>
  <c r="P136" i="7"/>
  <c r="P98" i="7"/>
  <c r="P156" i="7"/>
  <c r="P215" i="7"/>
  <c r="T53" i="7"/>
  <c r="P64" i="7"/>
  <c r="M19" i="31"/>
  <c r="M21" i="31"/>
  <c r="P181" i="7"/>
  <c r="P212" i="7"/>
  <c r="X190" i="7"/>
  <c r="X92" i="7"/>
  <c r="P125" i="7"/>
  <c r="AA164" i="7"/>
  <c r="AB164" i="7" s="1"/>
  <c r="AH231" i="6"/>
  <c r="AM231" i="6"/>
  <c r="T58" i="7"/>
  <c r="X113" i="7"/>
  <c r="P57" i="7"/>
  <c r="T69" i="7"/>
  <c r="AG120" i="11"/>
  <c r="AG100" i="11"/>
  <c r="AG15" i="11"/>
  <c r="T25" i="7"/>
  <c r="AG31" i="11"/>
  <c r="L297" i="11"/>
  <c r="K297" i="11"/>
  <c r="T218" i="7"/>
  <c r="AI227" i="6"/>
  <c r="G228" i="11" s="1"/>
  <c r="AN227" i="6"/>
  <c r="T205" i="7"/>
  <c r="BM42" i="11"/>
  <c r="S232" i="11"/>
  <c r="S262" i="11"/>
  <c r="P201" i="7"/>
  <c r="P114" i="7"/>
  <c r="AG144" i="11"/>
  <c r="P67" i="7"/>
  <c r="P150" i="7"/>
  <c r="AG182" i="11"/>
  <c r="AM324" i="6"/>
  <c r="AH324" i="6"/>
  <c r="K20" i="7"/>
  <c r="J20" i="7"/>
  <c r="W20" i="7" s="1"/>
  <c r="AI265" i="6"/>
  <c r="G266" i="11" s="1"/>
  <c r="AN265" i="6"/>
  <c r="P155" i="7"/>
  <c r="T214" i="7"/>
  <c r="X51" i="7"/>
  <c r="X105" i="7"/>
  <c r="BM37" i="11"/>
  <c r="D262" i="11"/>
  <c r="AN306" i="6"/>
  <c r="AI306" i="6"/>
  <c r="P197" i="7"/>
  <c r="AG27" i="11"/>
  <c r="P148" i="7"/>
  <c r="AN16" i="11"/>
  <c r="AG78" i="11"/>
  <c r="P140" i="7"/>
  <c r="X76" i="7"/>
  <c r="P159" i="7"/>
  <c r="AN222" i="6"/>
  <c r="AN8" i="6" s="1"/>
  <c r="AG8" i="6"/>
  <c r="AI222" i="6"/>
  <c r="D276" i="11"/>
  <c r="K266" i="11"/>
  <c r="L266" i="11"/>
  <c r="P63" i="7"/>
  <c r="AG108" i="11"/>
  <c r="AF290" i="11"/>
  <c r="AG139" i="11"/>
  <c r="P60" i="7"/>
  <c r="P70" i="7"/>
  <c r="E8" i="11"/>
  <c r="L222" i="11"/>
  <c r="L8" i="11" s="1"/>
  <c r="P141" i="7"/>
  <c r="D48" i="7"/>
  <c r="BH48" i="11"/>
  <c r="K321" i="11"/>
  <c r="L321" i="11"/>
  <c r="K228" i="11"/>
  <c r="L228" i="11"/>
  <c r="P207" i="7"/>
  <c r="T52" i="7"/>
  <c r="P177" i="7"/>
  <c r="D164" i="7"/>
  <c r="BH164" i="11"/>
  <c r="P83" i="7"/>
  <c r="AN257" i="6"/>
  <c r="AI257" i="6"/>
  <c r="G258" i="11" s="1"/>
  <c r="AA146" i="7"/>
  <c r="AB146" i="7" s="1"/>
  <c r="BM44" i="11"/>
  <c r="P50" i="7"/>
  <c r="G229" i="11"/>
  <c r="G319" i="11"/>
  <c r="G253" i="11"/>
  <c r="BM192" i="11"/>
  <c r="D36" i="7"/>
  <c r="BH36" i="11"/>
  <c r="P66" i="7"/>
  <c r="X129" i="7"/>
  <c r="P194" i="7"/>
  <c r="AG13" i="11"/>
  <c r="AA307" i="11"/>
  <c r="S276" i="11"/>
  <c r="P109" i="7"/>
  <c r="P199" i="7"/>
  <c r="P145" i="7"/>
  <c r="K258" i="11"/>
  <c r="L258" i="11"/>
  <c r="T204" i="7"/>
  <c r="S307" i="11"/>
  <c r="P61" i="7"/>
  <c r="AH261" i="6"/>
  <c r="AM261" i="6"/>
  <c r="AG23" i="11"/>
  <c r="AG17" i="11"/>
  <c r="D195" i="7"/>
  <c r="BH195" i="11"/>
  <c r="T127" i="7"/>
  <c r="P28" i="7"/>
  <c r="AA151" i="7"/>
  <c r="AB151" i="7" s="1"/>
  <c r="T118" i="7"/>
  <c r="P163" i="7"/>
  <c r="T161" i="7"/>
  <c r="K43" i="7"/>
  <c r="J43" i="7"/>
  <c r="W43" i="7" s="1"/>
  <c r="G257" i="11"/>
  <c r="G322" i="11"/>
  <c r="BM99" i="11"/>
  <c r="D157" i="7"/>
  <c r="BH157" i="11"/>
  <c r="K37" i="7"/>
  <c r="J37" i="7"/>
  <c r="W37" i="7" s="1"/>
  <c r="AN316" i="6"/>
  <c r="AI316" i="6"/>
  <c r="G317" i="11" s="1"/>
  <c r="T115" i="7"/>
  <c r="AF276" i="11"/>
  <c r="AM16" i="11"/>
  <c r="AK16" i="11"/>
  <c r="J175" i="7"/>
  <c r="W175" i="7" s="1"/>
  <c r="K175" i="7"/>
  <c r="P49" i="7"/>
  <c r="T91" i="7"/>
  <c r="P117" i="7"/>
  <c r="P200" i="7"/>
  <c r="D198" i="7"/>
  <c r="BH198" i="11"/>
  <c r="AG174" i="11"/>
  <c r="P147" i="7"/>
  <c r="T107" i="7"/>
  <c r="AG26" i="11"/>
  <c r="P158" i="7"/>
  <c r="T45" i="7"/>
  <c r="P87" i="7"/>
  <c r="BM130" i="11"/>
  <c r="AG24" i="11"/>
  <c r="M22" i="31"/>
  <c r="M23" i="31" s="1"/>
  <c r="AC290" i="11" l="1"/>
  <c r="AC276" i="11"/>
  <c r="T158" i="7"/>
  <c r="X107" i="7"/>
  <c r="T49" i="7"/>
  <c r="P37" i="7"/>
  <c r="P43" i="7"/>
  <c r="T28" i="7"/>
  <c r="BM195" i="11"/>
  <c r="T50" i="7"/>
  <c r="T177" i="7"/>
  <c r="K48" i="7"/>
  <c r="J48" i="7"/>
  <c r="W48" i="7" s="1"/>
  <c r="AI139" i="11"/>
  <c r="AJ139" i="11"/>
  <c r="T63" i="7"/>
  <c r="G290" i="11"/>
  <c r="G276" i="11"/>
  <c r="AI8" i="6"/>
  <c r="G232" i="11"/>
  <c r="G307" i="11"/>
  <c r="G262" i="11"/>
  <c r="G325" i="11"/>
  <c r="T140" i="7"/>
  <c r="T148" i="7"/>
  <c r="T155" i="7"/>
  <c r="AN324" i="6"/>
  <c r="AI324" i="6"/>
  <c r="T201" i="7"/>
  <c r="AI120" i="11"/>
  <c r="AJ120" i="11"/>
  <c r="T64" i="7"/>
  <c r="X53" i="7"/>
  <c r="T215" i="7"/>
  <c r="T136" i="7"/>
  <c r="T168" i="7"/>
  <c r="T94" i="7"/>
  <c r="X137" i="7"/>
  <c r="T71" i="7"/>
  <c r="AJ142" i="11"/>
  <c r="AI142" i="11"/>
  <c r="T47" i="7"/>
  <c r="AF307" i="11"/>
  <c r="T178" i="7"/>
  <c r="AI21" i="11"/>
  <c r="AJ21" i="11"/>
  <c r="X85" i="7"/>
  <c r="BM146" i="11"/>
  <c r="K103" i="7"/>
  <c r="J103" i="7"/>
  <c r="W103" i="7" s="1"/>
  <c r="AI38" i="11"/>
  <c r="AJ38" i="11"/>
  <c r="T84" i="7"/>
  <c r="P112" i="7"/>
  <c r="T169" i="7"/>
  <c r="X59" i="7"/>
  <c r="AI33" i="11"/>
  <c r="AJ33" i="11"/>
  <c r="P130" i="7"/>
  <c r="T126" i="7"/>
  <c r="X121" i="7"/>
  <c r="T131" i="7"/>
  <c r="X138" i="7"/>
  <c r="T116" i="7"/>
  <c r="P42" i="7"/>
  <c r="T187" i="7"/>
  <c r="T166" i="7"/>
  <c r="X110" i="7"/>
  <c r="AI128" i="11"/>
  <c r="AJ128" i="11"/>
  <c r="AI14" i="11"/>
  <c r="AJ14" i="11"/>
  <c r="J162" i="7"/>
  <c r="W162" i="7" s="1"/>
  <c r="K162" i="7"/>
  <c r="T154" i="7"/>
  <c r="AI22" i="11"/>
  <c r="AJ22" i="11"/>
  <c r="AI30" i="11"/>
  <c r="AJ30" i="11"/>
  <c r="BM198" i="11"/>
  <c r="AI24" i="11"/>
  <c r="AJ24" i="11"/>
  <c r="AI174" i="11"/>
  <c r="AJ174" i="11"/>
  <c r="T117" i="7"/>
  <c r="BM157" i="11"/>
  <c r="AI261" i="6"/>
  <c r="AN261" i="6"/>
  <c r="X204" i="7"/>
  <c r="T199" i="7"/>
  <c r="BM36" i="11"/>
  <c r="BM164" i="11"/>
  <c r="T141" i="7"/>
  <c r="T60" i="7"/>
  <c r="T159" i="7"/>
  <c r="AC232" i="11"/>
  <c r="BF16" i="11"/>
  <c r="BK16" i="11"/>
  <c r="AI27" i="11"/>
  <c r="AJ27" i="11"/>
  <c r="T197" i="7"/>
  <c r="X214" i="7"/>
  <c r="P20" i="7"/>
  <c r="AI182" i="11"/>
  <c r="AJ182" i="11"/>
  <c r="AJ144" i="11"/>
  <c r="AI144" i="11"/>
  <c r="T114" i="7"/>
  <c r="AF262" i="11"/>
  <c r="T57" i="7"/>
  <c r="X58" i="7"/>
  <c r="AI231" i="6"/>
  <c r="AN231" i="6"/>
  <c r="T125" i="7"/>
  <c r="T212" i="7"/>
  <c r="T98" i="7"/>
  <c r="M14" i="31"/>
  <c r="X72" i="7"/>
  <c r="T216" i="7"/>
  <c r="T93" i="7"/>
  <c r="T97" i="7"/>
  <c r="P29" i="7"/>
  <c r="T77" i="7"/>
  <c r="T165" i="7"/>
  <c r="T196" i="7"/>
  <c r="P167" i="7"/>
  <c r="AJ80" i="11"/>
  <c r="AI80" i="11"/>
  <c r="AJ172" i="11"/>
  <c r="AI172" i="11"/>
  <c r="T191" i="7"/>
  <c r="AJ143" i="11"/>
  <c r="AI143" i="11"/>
  <c r="T75" i="7"/>
  <c r="T170" i="7"/>
  <c r="X96" i="7"/>
  <c r="T208" i="7"/>
  <c r="T95" i="7"/>
  <c r="T89" i="7"/>
  <c r="J151" i="7"/>
  <c r="W151" i="7" s="1"/>
  <c r="K151" i="7"/>
  <c r="AG101" i="11"/>
  <c r="T152" i="7"/>
  <c r="T124" i="7"/>
  <c r="AI275" i="6"/>
  <c r="AN275" i="6"/>
  <c r="T132" i="7"/>
  <c r="X119" i="7"/>
  <c r="T184" i="7"/>
  <c r="T180" i="7"/>
  <c r="T149" i="7"/>
  <c r="T217" i="7"/>
  <c r="AN62" i="11"/>
  <c r="X220" i="7"/>
  <c r="T202" i="7"/>
  <c r="AJ122" i="11"/>
  <c r="AI122" i="11"/>
  <c r="X45" i="7"/>
  <c r="AJ26" i="11"/>
  <c r="AI26" i="11"/>
  <c r="X91" i="7"/>
  <c r="T163" i="7"/>
  <c r="AJ23" i="11"/>
  <c r="AI23" i="11"/>
  <c r="K198" i="7"/>
  <c r="J198" i="7"/>
  <c r="W198" i="7" s="1"/>
  <c r="T200" i="7"/>
  <c r="BB16" i="11"/>
  <c r="BE16" i="11"/>
  <c r="AQ16" i="11"/>
  <c r="BJ16" i="11"/>
  <c r="X161" i="7"/>
  <c r="X118" i="7"/>
  <c r="J195" i="7"/>
  <c r="W195" i="7" s="1"/>
  <c r="K195" i="7"/>
  <c r="AI17" i="11"/>
  <c r="AJ17" i="11"/>
  <c r="T61" i="7"/>
  <c r="AJ13" i="11"/>
  <c r="AI13" i="11"/>
  <c r="T194" i="7"/>
  <c r="K36" i="7"/>
  <c r="J36" i="7"/>
  <c r="W36" i="7" s="1"/>
  <c r="T83" i="7"/>
  <c r="T70" i="7"/>
  <c r="AI108" i="11"/>
  <c r="AJ108" i="11"/>
  <c r="L276" i="11"/>
  <c r="K276" i="11"/>
  <c r="AJ78" i="11"/>
  <c r="AI78" i="11"/>
  <c r="T150" i="7"/>
  <c r="X205" i="7"/>
  <c r="AJ31" i="11"/>
  <c r="AI31" i="11"/>
  <c r="AF232" i="11"/>
  <c r="AJ15" i="11"/>
  <c r="AI15" i="11"/>
  <c r="AJ100" i="11"/>
  <c r="AI100" i="11"/>
  <c r="X69" i="7"/>
  <c r="T181" i="7"/>
  <c r="T35" i="7"/>
  <c r="T73" i="7"/>
  <c r="T134" i="7"/>
  <c r="X86" i="7"/>
  <c r="T111" i="7"/>
  <c r="T189" i="7"/>
  <c r="AI18" i="11"/>
  <c r="AJ18" i="11"/>
  <c r="AI81" i="11"/>
  <c r="AJ81" i="11"/>
  <c r="P192" i="7"/>
  <c r="K146" i="7"/>
  <c r="J146" i="7"/>
  <c r="W146" i="7" s="1"/>
  <c r="AI171" i="11"/>
  <c r="AJ171" i="11"/>
  <c r="T68" i="7"/>
  <c r="T88" i="7"/>
  <c r="AI19" i="11"/>
  <c r="AJ19" i="11"/>
  <c r="P99" i="7"/>
  <c r="AI65" i="11"/>
  <c r="AJ65" i="11"/>
  <c r="AI55" i="11"/>
  <c r="AJ55" i="11"/>
  <c r="AI12" i="11"/>
  <c r="AJ12" i="11"/>
  <c r="AG209" i="11"/>
  <c r="AC262" i="11"/>
  <c r="T46" i="7"/>
  <c r="P39" i="7"/>
  <c r="AM62" i="11"/>
  <c r="AK62" i="11"/>
  <c r="AI210" i="11"/>
  <c r="AJ210" i="11"/>
  <c r="AC325" i="11"/>
  <c r="T87" i="7"/>
  <c r="T147" i="7"/>
  <c r="P175" i="7"/>
  <c r="X115" i="7"/>
  <c r="K157" i="7"/>
  <c r="J157" i="7"/>
  <c r="W157" i="7" s="1"/>
  <c r="X127" i="7"/>
  <c r="T145" i="7"/>
  <c r="T109" i="7"/>
  <c r="T66" i="7"/>
  <c r="K164" i="7"/>
  <c r="J164" i="7"/>
  <c r="W164" i="7" s="1"/>
  <c r="X52" i="7"/>
  <c r="T207" i="7"/>
  <c r="BM48" i="11"/>
  <c r="K262" i="11"/>
  <c r="L262" i="11"/>
  <c r="T67" i="7"/>
  <c r="X218" i="7"/>
  <c r="AF325" i="11"/>
  <c r="X25" i="7"/>
  <c r="T156" i="7"/>
  <c r="P160" i="7"/>
  <c r="T34" i="7"/>
  <c r="AI41" i="11"/>
  <c r="AJ41" i="11"/>
  <c r="T82" i="7"/>
  <c r="T104" i="7"/>
  <c r="X188" i="7"/>
  <c r="P123" i="7"/>
  <c r="X219" i="7"/>
  <c r="AJ102" i="11"/>
  <c r="AI102" i="11"/>
  <c r="T32" i="7"/>
  <c r="P44" i="7"/>
  <c r="BM103" i="11"/>
  <c r="T79" i="7"/>
  <c r="T206" i="7"/>
  <c r="T176" i="7"/>
  <c r="AN289" i="6"/>
  <c r="AI289" i="6"/>
  <c r="T179" i="7"/>
  <c r="T74" i="7"/>
  <c r="T153" i="7"/>
  <c r="T183" i="7"/>
  <c r="T173" i="7"/>
  <c r="BM151" i="11"/>
  <c r="AA262" i="11"/>
  <c r="AA276" i="11"/>
  <c r="AA325" i="11"/>
  <c r="AA290" i="11"/>
  <c r="T193" i="7"/>
  <c r="T90" i="7"/>
  <c r="AC307" i="11"/>
  <c r="T54" i="7"/>
  <c r="AI213" i="11"/>
  <c r="AJ213" i="11"/>
  <c r="T106" i="7"/>
  <c r="T135" i="7"/>
  <c r="AI56" i="11"/>
  <c r="AJ56" i="11"/>
  <c r="BM162" i="11"/>
  <c r="T40" i="7"/>
  <c r="AA232" i="11"/>
  <c r="AG307" i="11" l="1"/>
  <c r="X106" i="7"/>
  <c r="AN213" i="11"/>
  <c r="X32" i="7"/>
  <c r="AN102" i="11"/>
  <c r="T175" i="7"/>
  <c r="AM213" i="11"/>
  <c r="AK213" i="11"/>
  <c r="X54" i="7"/>
  <c r="AN56" i="11"/>
  <c r="X135" i="7"/>
  <c r="X90" i="7"/>
  <c r="X173" i="7"/>
  <c r="X176" i="7"/>
  <c r="X206" i="7"/>
  <c r="AM102" i="11"/>
  <c r="AK102" i="11"/>
  <c r="X156" i="7"/>
  <c r="X109" i="7"/>
  <c r="X147" i="7"/>
  <c r="AM210" i="11"/>
  <c r="AK210" i="11"/>
  <c r="AM55" i="11"/>
  <c r="AK55" i="11"/>
  <c r="AM19" i="11"/>
  <c r="AK19" i="11"/>
  <c r="AG232" i="11"/>
  <c r="AM81" i="11"/>
  <c r="AK81" i="11"/>
  <c r="X35" i="7"/>
  <c r="X181" i="7"/>
  <c r="AM78" i="11"/>
  <c r="AK78" i="11"/>
  <c r="P36" i="7"/>
  <c r="AM13" i="11"/>
  <c r="AK13" i="11"/>
  <c r="X61" i="7"/>
  <c r="AN23" i="11"/>
  <c r="AN122" i="11"/>
  <c r="BF62" i="11"/>
  <c r="BK62" i="11"/>
  <c r="X217" i="7"/>
  <c r="X124" i="7"/>
  <c r="X152" i="7"/>
  <c r="X95" i="7"/>
  <c r="AN143" i="11"/>
  <c r="X196" i="7"/>
  <c r="X93" i="7"/>
  <c r="X125" i="7"/>
  <c r="T20" i="7"/>
  <c r="X60" i="7"/>
  <c r="AN174" i="11"/>
  <c r="AM24" i="11"/>
  <c r="AK24" i="11"/>
  <c r="P162" i="7"/>
  <c r="AN14" i="11"/>
  <c r="AM33" i="11"/>
  <c r="AK33" i="11"/>
  <c r="T112" i="7"/>
  <c r="AN38" i="11"/>
  <c r="AM142" i="11"/>
  <c r="AK142" i="11"/>
  <c r="X136" i="7"/>
  <c r="X64" i="7"/>
  <c r="AM139" i="11"/>
  <c r="AK139" i="11"/>
  <c r="T44" i="7"/>
  <c r="X34" i="7"/>
  <c r="P164" i="7"/>
  <c r="P157" i="7"/>
  <c r="BJ62" i="11"/>
  <c r="BB62" i="11"/>
  <c r="BE62" i="11"/>
  <c r="AQ62" i="11"/>
  <c r="T39" i="7"/>
  <c r="AM12" i="11"/>
  <c r="AK12" i="11"/>
  <c r="AN65" i="11"/>
  <c r="T99" i="7"/>
  <c r="X88" i="7"/>
  <c r="P146" i="7"/>
  <c r="T192" i="7"/>
  <c r="AN18" i="11"/>
  <c r="W211" i="12"/>
  <c r="AM100" i="11"/>
  <c r="AK100" i="11"/>
  <c r="AM31" i="11"/>
  <c r="AK31" i="11"/>
  <c r="W51" i="12"/>
  <c r="AN78" i="11"/>
  <c r="AM108" i="11"/>
  <c r="AK108" i="11"/>
  <c r="X194" i="7"/>
  <c r="AN13" i="11"/>
  <c r="AN17" i="11"/>
  <c r="AA16" i="7"/>
  <c r="AB16" i="7" s="1"/>
  <c r="X200" i="7"/>
  <c r="X163" i="7"/>
  <c r="AG290" i="11"/>
  <c r="X202" i="7"/>
  <c r="X89" i="7"/>
  <c r="AM172" i="11"/>
  <c r="AK172" i="11"/>
  <c r="AM80" i="11"/>
  <c r="AK80" i="11"/>
  <c r="X212" i="7"/>
  <c r="AM144" i="11"/>
  <c r="AK144" i="11"/>
  <c r="AM182" i="11"/>
  <c r="AK182" i="11"/>
  <c r="AM27" i="11"/>
  <c r="AK27" i="11"/>
  <c r="AN30" i="11"/>
  <c r="AN22" i="11"/>
  <c r="AM14" i="11"/>
  <c r="AK14" i="11"/>
  <c r="AN128" i="11"/>
  <c r="T42" i="7"/>
  <c r="X116" i="7"/>
  <c r="T130" i="7"/>
  <c r="X178" i="7"/>
  <c r="X71" i="7"/>
  <c r="X94" i="7"/>
  <c r="AN120" i="11"/>
  <c r="X201" i="7"/>
  <c r="M20" i="31"/>
  <c r="X177" i="7"/>
  <c r="X28" i="7"/>
  <c r="T37" i="7"/>
  <c r="X49" i="7"/>
  <c r="T160" i="7"/>
  <c r="X183" i="7"/>
  <c r="X79" i="7"/>
  <c r="X82" i="7"/>
  <c r="AN41" i="11"/>
  <c r="X67" i="7"/>
  <c r="X66" i="7"/>
  <c r="X87" i="7"/>
  <c r="AI209" i="11"/>
  <c r="AJ209" i="11"/>
  <c r="AN12" i="11"/>
  <c r="AN55" i="11"/>
  <c r="W203" i="12"/>
  <c r="AM65" i="11"/>
  <c r="AK65" i="11"/>
  <c r="X68" i="7"/>
  <c r="AN171" i="11"/>
  <c r="AN81" i="11"/>
  <c r="AM18" i="11"/>
  <c r="AK18" i="11"/>
  <c r="X189" i="7"/>
  <c r="X111" i="7"/>
  <c r="X134" i="7"/>
  <c r="AN100" i="11"/>
  <c r="AM15" i="11"/>
  <c r="AK15" i="11"/>
  <c r="X150" i="7"/>
  <c r="X83" i="7"/>
  <c r="AM17" i="11"/>
  <c r="AK17" i="11"/>
  <c r="P195" i="7"/>
  <c r="P198" i="7"/>
  <c r="AM26" i="11"/>
  <c r="AK26" i="11"/>
  <c r="AM122" i="11"/>
  <c r="AK122" i="11"/>
  <c r="X149" i="7"/>
  <c r="X180" i="7"/>
  <c r="X184" i="7"/>
  <c r="X132" i="7"/>
  <c r="AI101" i="11"/>
  <c r="AJ101" i="11"/>
  <c r="P151" i="7"/>
  <c r="X170" i="7"/>
  <c r="X191" i="7"/>
  <c r="AN172" i="11"/>
  <c r="X165" i="7"/>
  <c r="X57" i="7"/>
  <c r="AN144" i="11"/>
  <c r="AN182" i="11"/>
  <c r="X197" i="7"/>
  <c r="X159" i="7"/>
  <c r="X199" i="7"/>
  <c r="AM174" i="11"/>
  <c r="AK174" i="11"/>
  <c r="AG276" i="11"/>
  <c r="AM30" i="11"/>
  <c r="AK30" i="11"/>
  <c r="AM22" i="11"/>
  <c r="AK22" i="11"/>
  <c r="AM128" i="11"/>
  <c r="AK128" i="11"/>
  <c r="X166" i="7"/>
  <c r="X187" i="7"/>
  <c r="X131" i="7"/>
  <c r="X126" i="7"/>
  <c r="X169" i="7"/>
  <c r="AM38" i="11"/>
  <c r="AK38" i="11"/>
  <c r="AN21" i="11"/>
  <c r="AN142" i="11"/>
  <c r="X168" i="7"/>
  <c r="AM120" i="11"/>
  <c r="AK120" i="11"/>
  <c r="X155" i="7"/>
  <c r="X140" i="7"/>
  <c r="X50" i="7"/>
  <c r="X158" i="7"/>
  <c r="AM56" i="11"/>
  <c r="AK56" i="11"/>
  <c r="X193" i="7"/>
  <c r="X153" i="7"/>
  <c r="T123" i="7"/>
  <c r="X207" i="7"/>
  <c r="X40" i="7"/>
  <c r="X74" i="7"/>
  <c r="X179" i="7"/>
  <c r="X104" i="7"/>
  <c r="AK41" i="11"/>
  <c r="AM41" i="11"/>
  <c r="X145" i="7"/>
  <c r="AN210" i="11"/>
  <c r="X46" i="7"/>
  <c r="AN19" i="11"/>
  <c r="AM171" i="11"/>
  <c r="AK171" i="11"/>
  <c r="X73" i="7"/>
  <c r="AN15" i="11"/>
  <c r="AN31" i="11"/>
  <c r="AN108" i="11"/>
  <c r="X70" i="7"/>
  <c r="D16" i="7"/>
  <c r="BH16" i="11"/>
  <c r="AM23" i="11"/>
  <c r="AK23" i="11"/>
  <c r="AN26" i="11"/>
  <c r="X208" i="7"/>
  <c r="X75" i="7"/>
  <c r="AM143" i="11"/>
  <c r="AK143" i="11"/>
  <c r="AG325" i="11"/>
  <c r="AN80" i="11"/>
  <c r="T167" i="7"/>
  <c r="X77" i="7"/>
  <c r="T29" i="7"/>
  <c r="X97" i="7"/>
  <c r="X216" i="7"/>
  <c r="X98" i="7"/>
  <c r="X114" i="7"/>
  <c r="W133" i="12"/>
  <c r="AN27" i="11"/>
  <c r="X141" i="7"/>
  <c r="X117" i="7"/>
  <c r="AN24" i="11"/>
  <c r="X154" i="7"/>
  <c r="AN33" i="11"/>
  <c r="X84" i="7"/>
  <c r="P103" i="7"/>
  <c r="AM21" i="11"/>
  <c r="AK21" i="11"/>
  <c r="X47" i="7"/>
  <c r="X215" i="7"/>
  <c r="X148" i="7"/>
  <c r="X63" i="7"/>
  <c r="AN139" i="11"/>
  <c r="P48" i="7"/>
  <c r="T43" i="7"/>
  <c r="X76" i="12" l="1"/>
  <c r="AG262" i="11"/>
  <c r="W185" i="12"/>
  <c r="X190" i="12"/>
  <c r="X113" i="12"/>
  <c r="BB244" i="11"/>
  <c r="BJ244" i="11"/>
  <c r="BE244" i="11"/>
  <c r="BK244" i="11"/>
  <c r="BF244" i="11"/>
  <c r="BK33" i="11"/>
  <c r="BF33" i="11"/>
  <c r="T48" i="7"/>
  <c r="BK139" i="11"/>
  <c r="BF139" i="11"/>
  <c r="T103" i="7"/>
  <c r="BK24" i="11"/>
  <c r="BF24" i="11"/>
  <c r="X29" i="7"/>
  <c r="X69" i="12"/>
  <c r="AQ171" i="11"/>
  <c r="BE171" i="11"/>
  <c r="BJ171" i="11"/>
  <c r="BB171" i="11"/>
  <c r="BK19" i="11"/>
  <c r="BF19" i="11"/>
  <c r="BK210" i="11"/>
  <c r="BF210" i="11"/>
  <c r="Y52" i="12"/>
  <c r="BF142" i="11"/>
  <c r="BK142" i="11"/>
  <c r="W86" i="12"/>
  <c r="X86" i="12"/>
  <c r="BK182" i="11"/>
  <c r="BF182" i="11"/>
  <c r="X205" i="12"/>
  <c r="W91" i="12"/>
  <c r="AK101" i="11"/>
  <c r="AM101" i="11"/>
  <c r="BE26" i="11"/>
  <c r="AQ26" i="11"/>
  <c r="BB26" i="11"/>
  <c r="BJ26" i="11"/>
  <c r="Y220" i="12"/>
  <c r="AQ15" i="11"/>
  <c r="BJ15" i="11"/>
  <c r="BB15" i="11"/>
  <c r="BE15" i="11"/>
  <c r="W138" i="12"/>
  <c r="X138" i="12"/>
  <c r="Y76" i="12"/>
  <c r="AF203" i="12"/>
  <c r="AA203" i="12"/>
  <c r="BF55" i="11"/>
  <c r="BK55" i="11"/>
  <c r="AN209" i="11"/>
  <c r="W220" i="12"/>
  <c r="X220" i="12"/>
  <c r="Y118" i="12"/>
  <c r="X160" i="7"/>
  <c r="X130" i="7"/>
  <c r="X42" i="7"/>
  <c r="BF22" i="11"/>
  <c r="BK22" i="11"/>
  <c r="BF30" i="11"/>
  <c r="BK30" i="11"/>
  <c r="W115" i="12"/>
  <c r="X115" i="12"/>
  <c r="AF51" i="12"/>
  <c r="AA211" i="12"/>
  <c r="AF211" i="12"/>
  <c r="AJ307" i="11"/>
  <c r="T146" i="7"/>
  <c r="X99" i="7"/>
  <c r="X185" i="12"/>
  <c r="BE142" i="11"/>
  <c r="BB142" i="11"/>
  <c r="AQ142" i="11"/>
  <c r="BJ142" i="11"/>
  <c r="BK38" i="11"/>
  <c r="BF38" i="11"/>
  <c r="BF174" i="11"/>
  <c r="BK174" i="11"/>
  <c r="Y190" i="12"/>
  <c r="O186" i="7"/>
  <c r="S186" i="7"/>
  <c r="V186" i="7"/>
  <c r="Z186" i="7"/>
  <c r="AC186" i="7" s="1"/>
  <c r="W127" i="12"/>
  <c r="BJ13" i="11"/>
  <c r="BB13" i="11"/>
  <c r="AQ13" i="11"/>
  <c r="BE13" i="11"/>
  <c r="W76" i="12"/>
  <c r="AQ210" i="11"/>
  <c r="BJ210" i="11"/>
  <c r="BE210" i="11"/>
  <c r="BB210" i="11"/>
  <c r="Y211" i="12"/>
  <c r="AQ102" i="11"/>
  <c r="BB102" i="11"/>
  <c r="BJ102" i="11"/>
  <c r="BE102" i="11"/>
  <c r="Z190" i="7"/>
  <c r="AC190" i="7" s="1"/>
  <c r="O190" i="7"/>
  <c r="S190" i="7"/>
  <c r="V190" i="7"/>
  <c r="W190" i="12"/>
  <c r="X105" i="12"/>
  <c r="BF102" i="11"/>
  <c r="BK102" i="11"/>
  <c r="BF213" i="11"/>
  <c r="BK213" i="11"/>
  <c r="AQ143" i="11"/>
  <c r="BB143" i="11"/>
  <c r="BJ143" i="11"/>
  <c r="BE143" i="11"/>
  <c r="Y129" i="12"/>
  <c r="BK26" i="11"/>
  <c r="BF26" i="11"/>
  <c r="Y204" i="12"/>
  <c r="W72" i="12"/>
  <c r="BM16" i="11"/>
  <c r="BF108" i="11"/>
  <c r="BK108" i="11"/>
  <c r="W105" i="12"/>
  <c r="AF105" i="12" s="1"/>
  <c r="Y133" i="12"/>
  <c r="Y92" i="12"/>
  <c r="BF21" i="11"/>
  <c r="BK21" i="11"/>
  <c r="W219" i="12"/>
  <c r="T151" i="7"/>
  <c r="BE122" i="11"/>
  <c r="BJ122" i="11"/>
  <c r="BB122" i="11"/>
  <c r="AQ122" i="11"/>
  <c r="Y186" i="12"/>
  <c r="W204" i="12"/>
  <c r="BJ18" i="11"/>
  <c r="BB18" i="11"/>
  <c r="AQ18" i="11"/>
  <c r="BE18" i="11"/>
  <c r="BB65" i="11"/>
  <c r="BJ65" i="11"/>
  <c r="BE65" i="11"/>
  <c r="AQ65" i="11"/>
  <c r="AM209" i="11"/>
  <c r="AK209" i="11"/>
  <c r="W121" i="12"/>
  <c r="X58" i="12"/>
  <c r="Y137" i="12"/>
  <c r="Y219" i="12"/>
  <c r="BB14" i="11"/>
  <c r="AQ14" i="11"/>
  <c r="BE14" i="11"/>
  <c r="BJ14" i="11"/>
  <c r="AJ325" i="11"/>
  <c r="BE27" i="11"/>
  <c r="AQ27" i="11"/>
  <c r="BJ27" i="11"/>
  <c r="BB27" i="11"/>
  <c r="BE172" i="11"/>
  <c r="BJ172" i="11"/>
  <c r="AQ172" i="11"/>
  <c r="BB172" i="11"/>
  <c r="BK13" i="11"/>
  <c r="BF13" i="11"/>
  <c r="BE108" i="11"/>
  <c r="AQ108" i="11"/>
  <c r="BB108" i="11"/>
  <c r="BJ108" i="11"/>
  <c r="BK78" i="11"/>
  <c r="BF78" i="11"/>
  <c r="Y69" i="12"/>
  <c r="X203" i="12"/>
  <c r="O203" i="7"/>
  <c r="S203" i="7"/>
  <c r="V203" i="7"/>
  <c r="Z203" i="7"/>
  <c r="AC203" i="7" s="1"/>
  <c r="X211" i="12"/>
  <c r="BF18" i="11"/>
  <c r="BK18" i="11"/>
  <c r="X192" i="7"/>
  <c r="X39" i="7"/>
  <c r="D62" i="7"/>
  <c r="BH62" i="11"/>
  <c r="AA62" i="7"/>
  <c r="AB62" i="7" s="1"/>
  <c r="X44" i="7"/>
  <c r="X92" i="12"/>
  <c r="AQ139" i="11"/>
  <c r="BE139" i="11"/>
  <c r="BB139" i="11"/>
  <c r="BJ139" i="11"/>
  <c r="Y185" i="12"/>
  <c r="AQ33" i="11"/>
  <c r="BJ33" i="11"/>
  <c r="BB33" i="11"/>
  <c r="BE33" i="11"/>
  <c r="BK14" i="11"/>
  <c r="BF14" i="11"/>
  <c r="X186" i="12"/>
  <c r="Y121" i="12"/>
  <c r="Y72" i="12"/>
  <c r="AQ81" i="11"/>
  <c r="BE81" i="11"/>
  <c r="BJ81" i="11"/>
  <c r="BB81" i="11"/>
  <c r="Y91" i="12"/>
  <c r="AQ213" i="11"/>
  <c r="BB213" i="11"/>
  <c r="BJ213" i="11"/>
  <c r="BE213" i="11"/>
  <c r="X175" i="7"/>
  <c r="BJ21" i="11"/>
  <c r="BB21" i="11"/>
  <c r="BE21" i="11"/>
  <c r="AQ21" i="11"/>
  <c r="O133" i="7"/>
  <c r="S133" i="7"/>
  <c r="V133" i="7"/>
  <c r="Z133" i="7"/>
  <c r="AC133" i="7" s="1"/>
  <c r="X43" i="7"/>
  <c r="X129" i="12"/>
  <c r="W218" i="12"/>
  <c r="X218" i="12"/>
  <c r="X133" i="12"/>
  <c r="W129" i="12"/>
  <c r="AQ23" i="11"/>
  <c r="BB23" i="11"/>
  <c r="BE23" i="11"/>
  <c r="BJ23" i="11"/>
  <c r="BF15" i="11"/>
  <c r="BK15" i="11"/>
  <c r="W45" i="12"/>
  <c r="X45" i="12"/>
  <c r="AQ41" i="11"/>
  <c r="BB41" i="11"/>
  <c r="BJ41" i="11"/>
  <c r="BE41" i="11"/>
  <c r="X123" i="7"/>
  <c r="BB120" i="11"/>
  <c r="BE120" i="11"/>
  <c r="BJ120" i="11"/>
  <c r="AQ120" i="11"/>
  <c r="Y113" i="12"/>
  <c r="BJ128" i="11"/>
  <c r="BE128" i="11"/>
  <c r="BB128" i="11"/>
  <c r="AQ128" i="11"/>
  <c r="BE22" i="11"/>
  <c r="BJ22" i="11"/>
  <c r="AQ22" i="11"/>
  <c r="BB22" i="11"/>
  <c r="BF144" i="11"/>
  <c r="BK144" i="11"/>
  <c r="BK172" i="11"/>
  <c r="BF172" i="11"/>
  <c r="Y115" i="12"/>
  <c r="AQ17" i="11"/>
  <c r="BJ17" i="11"/>
  <c r="BB17" i="11"/>
  <c r="BE17" i="11"/>
  <c r="AI276" i="11"/>
  <c r="Y203" i="12"/>
  <c r="BK12" i="11"/>
  <c r="BF12" i="11"/>
  <c r="Y138" i="12"/>
  <c r="BK41" i="11"/>
  <c r="BF41" i="11"/>
  <c r="W137" i="12"/>
  <c r="X37" i="7"/>
  <c r="BE144" i="11"/>
  <c r="AQ144" i="11"/>
  <c r="BB144" i="11"/>
  <c r="BJ144" i="11"/>
  <c r="X59" i="12"/>
  <c r="Y218" i="12"/>
  <c r="W119" i="12"/>
  <c r="AJ232" i="11"/>
  <c r="X51" i="12"/>
  <c r="BE100" i="11"/>
  <c r="BJ100" i="11"/>
  <c r="AQ100" i="11"/>
  <c r="BB100" i="11"/>
  <c r="O211" i="7"/>
  <c r="S211" i="7"/>
  <c r="V211" i="7"/>
  <c r="Z211" i="7"/>
  <c r="AC211" i="7" s="1"/>
  <c r="BB12" i="11"/>
  <c r="BJ12" i="11"/>
  <c r="AQ12" i="11"/>
  <c r="BE12" i="11"/>
  <c r="T157" i="7"/>
  <c r="O92" i="7"/>
  <c r="S92" i="7"/>
  <c r="V92" i="7"/>
  <c r="Z92" i="7"/>
  <c r="AC92" i="7" s="1"/>
  <c r="X112" i="7"/>
  <c r="W205" i="12"/>
  <c r="T162" i="7"/>
  <c r="W85" i="12"/>
  <c r="BE24" i="11"/>
  <c r="BB24" i="11"/>
  <c r="BJ24" i="11"/>
  <c r="AQ24" i="11"/>
  <c r="X20" i="7"/>
  <c r="BF143" i="11"/>
  <c r="BK143" i="11"/>
  <c r="BF122" i="11"/>
  <c r="BK122" i="11"/>
  <c r="AI290" i="11"/>
  <c r="BE78" i="11"/>
  <c r="AQ78" i="11"/>
  <c r="BJ78" i="11"/>
  <c r="BB78" i="11"/>
  <c r="O76" i="7"/>
  <c r="S76" i="7"/>
  <c r="V76" i="7"/>
  <c r="Z76" i="7"/>
  <c r="AC76" i="7" s="1"/>
  <c r="BE19" i="11"/>
  <c r="BJ19" i="11"/>
  <c r="BB19" i="11"/>
  <c r="AQ19" i="11"/>
  <c r="Y25" i="12"/>
  <c r="W113" i="12"/>
  <c r="Y127" i="12"/>
  <c r="W25" i="12"/>
  <c r="S129" i="7"/>
  <c r="O129" i="7"/>
  <c r="V129" i="7"/>
  <c r="Z129" i="7"/>
  <c r="AC129" i="7" s="1"/>
  <c r="BF27" i="11"/>
  <c r="BK27" i="11"/>
  <c r="AF133" i="12"/>
  <c r="X167" i="7"/>
  <c r="BK80" i="11"/>
  <c r="BF80" i="11"/>
  <c r="K16" i="7"/>
  <c r="J16" i="7"/>
  <c r="W16" i="7" s="1"/>
  <c r="W52" i="12"/>
  <c r="BF31" i="11"/>
  <c r="BK31" i="11"/>
  <c r="W107" i="12"/>
  <c r="BB56" i="11"/>
  <c r="BJ56" i="11"/>
  <c r="AQ56" i="11"/>
  <c r="BE56" i="11"/>
  <c r="BE38" i="11"/>
  <c r="BJ38" i="11"/>
  <c r="AQ38" i="11"/>
  <c r="BB38" i="11"/>
  <c r="BB30" i="11"/>
  <c r="BE30" i="11"/>
  <c r="AQ30" i="11"/>
  <c r="BJ30" i="11"/>
  <c r="BE174" i="11"/>
  <c r="BJ174" i="11"/>
  <c r="BB174" i="11"/>
  <c r="AQ174" i="11"/>
  <c r="AN101" i="11"/>
  <c r="AJ262" i="11"/>
  <c r="T198" i="7"/>
  <c r="T195" i="7"/>
  <c r="BF100" i="11"/>
  <c r="BK100" i="11"/>
  <c r="Y119" i="12"/>
  <c r="AI307" i="11"/>
  <c r="BK81" i="11"/>
  <c r="BF81" i="11"/>
  <c r="BF171" i="11"/>
  <c r="BK171" i="11"/>
  <c r="W118" i="12"/>
  <c r="X118" i="12"/>
  <c r="BF120" i="11"/>
  <c r="BK120" i="11"/>
  <c r="BK128" i="11"/>
  <c r="BF128" i="11"/>
  <c r="AJ276" i="11"/>
  <c r="W53" i="12"/>
  <c r="BB182" i="11"/>
  <c r="BJ182" i="11"/>
  <c r="BE182" i="11"/>
  <c r="AQ182" i="11"/>
  <c r="BB80" i="11"/>
  <c r="BE80" i="11"/>
  <c r="AQ80" i="11"/>
  <c r="BJ80" i="11"/>
  <c r="AI325" i="11"/>
  <c r="BF17" i="11"/>
  <c r="BK17" i="11"/>
  <c r="AJ290" i="11"/>
  <c r="Z51" i="7"/>
  <c r="AC51" i="7" s="1"/>
  <c r="O51" i="7"/>
  <c r="S51" i="7"/>
  <c r="V51" i="7"/>
  <c r="W69" i="12"/>
  <c r="BE31" i="11"/>
  <c r="BB31" i="11"/>
  <c r="BJ31" i="11"/>
  <c r="AQ31" i="11"/>
  <c r="Y51" i="12"/>
  <c r="BK65" i="11"/>
  <c r="BF65" i="11"/>
  <c r="T164" i="7"/>
  <c r="W92" i="12"/>
  <c r="O185" i="7"/>
  <c r="S185" i="7"/>
  <c r="V185" i="7"/>
  <c r="Z185" i="7"/>
  <c r="AC185" i="7" s="1"/>
  <c r="AF185" i="12"/>
  <c r="Y205" i="12"/>
  <c r="W186" i="12"/>
  <c r="BF23" i="11"/>
  <c r="BK23" i="11"/>
  <c r="T36" i="7"/>
  <c r="AI232" i="11"/>
  <c r="BB55" i="11"/>
  <c r="BJ55" i="11"/>
  <c r="BE55" i="11"/>
  <c r="AQ55" i="11"/>
  <c r="O113" i="7"/>
  <c r="S113" i="7"/>
  <c r="V113" i="7"/>
  <c r="Z113" i="7"/>
  <c r="AC113" i="7" s="1"/>
  <c r="BK56" i="11"/>
  <c r="BF56" i="11"/>
  <c r="AM222" i="11" l="1"/>
  <c r="BE222" i="11" s="1"/>
  <c r="BE9" i="11" s="1"/>
  <c r="X214" i="12"/>
  <c r="X52" i="12"/>
  <c r="Y217" i="12"/>
  <c r="Y199" i="12"/>
  <c r="X25" i="12"/>
  <c r="X137" i="12"/>
  <c r="X127" i="12"/>
  <c r="X53" i="12"/>
  <c r="X110" i="12"/>
  <c r="Y169" i="12"/>
  <c r="X72" i="12"/>
  <c r="X188" i="12"/>
  <c r="X85" i="12"/>
  <c r="X121" i="12"/>
  <c r="AI262" i="11"/>
  <c r="AA119" i="12"/>
  <c r="AF119" i="12"/>
  <c r="AF137" i="12"/>
  <c r="BJ242" i="11"/>
  <c r="BE242" i="11"/>
  <c r="BB242" i="11"/>
  <c r="D55" i="7"/>
  <c r="BH55" i="11"/>
  <c r="AA55" i="7"/>
  <c r="AB55" i="7" s="1"/>
  <c r="BF299" i="11"/>
  <c r="BK299" i="11"/>
  <c r="X164" i="7"/>
  <c r="D31" i="7"/>
  <c r="BH31" i="11"/>
  <c r="AA31" i="7"/>
  <c r="AB31" i="7" s="1"/>
  <c r="D80" i="7"/>
  <c r="BH80" i="11"/>
  <c r="AA80" i="7"/>
  <c r="AB80" i="7" s="1"/>
  <c r="D182" i="7"/>
  <c r="BH182" i="11"/>
  <c r="W77" i="12"/>
  <c r="X77" i="12"/>
  <c r="BK251" i="11"/>
  <c r="BF251" i="11"/>
  <c r="BF230" i="11"/>
  <c r="BF320" i="11"/>
  <c r="BB317" i="11"/>
  <c r="BF317" i="11"/>
  <c r="BF248" i="11"/>
  <c r="BK248" i="11"/>
  <c r="X195" i="7"/>
  <c r="X198" i="7"/>
  <c r="BK101" i="11"/>
  <c r="BF101" i="11"/>
  <c r="BB266" i="11"/>
  <c r="BE266" i="11"/>
  <c r="D30" i="7"/>
  <c r="BH30" i="11"/>
  <c r="BB280" i="11"/>
  <c r="BE280" i="11"/>
  <c r="Y59" i="12"/>
  <c r="BJ243" i="11"/>
  <c r="BE243" i="11"/>
  <c r="BB243" i="11"/>
  <c r="AA56" i="7"/>
  <c r="AB56" i="7" s="1"/>
  <c r="AF107" i="12"/>
  <c r="BF288" i="11"/>
  <c r="O52" i="7"/>
  <c r="S52" i="7"/>
  <c r="V52" i="7"/>
  <c r="Z52" i="7"/>
  <c r="AC52" i="7" s="1"/>
  <c r="BF316" i="11"/>
  <c r="W168" i="12"/>
  <c r="Y98" i="12"/>
  <c r="D19" i="7"/>
  <c r="BH19" i="11"/>
  <c r="BB315" i="11"/>
  <c r="BE315" i="11"/>
  <c r="Y125" i="12"/>
  <c r="BF301" i="11"/>
  <c r="BK301" i="11"/>
  <c r="W50" i="12"/>
  <c r="X50" i="12"/>
  <c r="D24" i="7"/>
  <c r="BH24" i="11"/>
  <c r="BB239" i="11"/>
  <c r="BJ239" i="11"/>
  <c r="BE239" i="11"/>
  <c r="X162" i="7"/>
  <c r="AF205" i="12"/>
  <c r="AY9" i="11"/>
  <c r="AM9" i="11"/>
  <c r="D100" i="7"/>
  <c r="BH100" i="11"/>
  <c r="Y189" i="12"/>
  <c r="W94" i="12"/>
  <c r="X94" i="12"/>
  <c r="W158" i="12"/>
  <c r="X158" i="12"/>
  <c r="BF227" i="11"/>
  <c r="AK307" i="11"/>
  <c r="BB238" i="11"/>
  <c r="BJ238" i="11"/>
  <c r="BE238" i="11"/>
  <c r="BE302" i="11"/>
  <c r="BJ302" i="11"/>
  <c r="BB302" i="11"/>
  <c r="AA128" i="7"/>
  <c r="AB128" i="7" s="1"/>
  <c r="D120" i="7"/>
  <c r="BH120" i="11"/>
  <c r="Y67" i="12"/>
  <c r="D41" i="7"/>
  <c r="BH41" i="11"/>
  <c r="BF283" i="11"/>
  <c r="Y54" i="12"/>
  <c r="D213" i="7"/>
  <c r="BH213" i="11"/>
  <c r="Y176" i="12"/>
  <c r="D81" i="7"/>
  <c r="BH81" i="11"/>
  <c r="BB241" i="11"/>
  <c r="BE241" i="11"/>
  <c r="BJ241" i="11"/>
  <c r="AA139" i="7"/>
  <c r="AB139" i="7" s="1"/>
  <c r="BB253" i="11"/>
  <c r="BE253" i="11"/>
  <c r="BJ253" i="11"/>
  <c r="W161" i="12"/>
  <c r="AA27" i="7"/>
  <c r="AB27" i="7" s="1"/>
  <c r="W126" i="12"/>
  <c r="X126" i="12"/>
  <c r="BE272" i="11"/>
  <c r="BB272" i="11"/>
  <c r="BJ295" i="11"/>
  <c r="BE295" i="11"/>
  <c r="BB295" i="11"/>
  <c r="Y202" i="12"/>
  <c r="W183" i="12"/>
  <c r="O121" i="7"/>
  <c r="S121" i="7"/>
  <c r="V121" i="7"/>
  <c r="Z121" i="7"/>
  <c r="AC121" i="7" s="1"/>
  <c r="X96" i="12"/>
  <c r="X204" i="12"/>
  <c r="D122" i="7"/>
  <c r="BH122" i="11"/>
  <c r="O219" i="7"/>
  <c r="S219" i="7"/>
  <c r="V219" i="7"/>
  <c r="Z219" i="7"/>
  <c r="AC219" i="7" s="1"/>
  <c r="AA219" i="12"/>
  <c r="AF219" i="12"/>
  <c r="W61" i="12"/>
  <c r="X61" i="12"/>
  <c r="Y191" i="12"/>
  <c r="Y147" i="12"/>
  <c r="Y73" i="12"/>
  <c r="Z72" i="7"/>
  <c r="AC72" i="7" s="1"/>
  <c r="O72" i="7"/>
  <c r="S72" i="7"/>
  <c r="V72" i="7"/>
  <c r="D143" i="7"/>
  <c r="BH143" i="11"/>
  <c r="W131" i="12"/>
  <c r="W104" i="12"/>
  <c r="X104" i="12"/>
  <c r="BK250" i="11"/>
  <c r="BF250" i="11"/>
  <c r="Y88" i="12"/>
  <c r="BE259" i="11"/>
  <c r="BB259" i="11"/>
  <c r="BJ259" i="11"/>
  <c r="W74" i="12"/>
  <c r="W176" i="12"/>
  <c r="X176" i="12"/>
  <c r="BB286" i="11"/>
  <c r="BE286" i="11"/>
  <c r="Y158" i="12"/>
  <c r="W95" i="12"/>
  <c r="Z127" i="7"/>
  <c r="AC127" i="7" s="1"/>
  <c r="O127" i="7"/>
  <c r="S127" i="7"/>
  <c r="V127" i="7"/>
  <c r="D142" i="7"/>
  <c r="BH142" i="11"/>
  <c r="Y97" i="12"/>
  <c r="Y93" i="12"/>
  <c r="Z115" i="7"/>
  <c r="AC115" i="7" s="1"/>
  <c r="O115" i="7"/>
  <c r="S115" i="7"/>
  <c r="V115" i="7"/>
  <c r="Y124" i="12"/>
  <c r="Z220" i="7"/>
  <c r="AC220" i="7" s="1"/>
  <c r="O220" i="7"/>
  <c r="S220" i="7"/>
  <c r="V220" i="7"/>
  <c r="W117" i="12"/>
  <c r="BE296" i="11"/>
  <c r="BJ296" i="11"/>
  <c r="BB296" i="11"/>
  <c r="BE279" i="11"/>
  <c r="BB279" i="11"/>
  <c r="AM290" i="11"/>
  <c r="X91" i="12"/>
  <c r="Y212" i="12"/>
  <c r="Y131" i="12"/>
  <c r="Y188" i="12"/>
  <c r="AF86" i="12"/>
  <c r="AA171" i="7"/>
  <c r="AB171" i="7" s="1"/>
  <c r="Y86" i="12"/>
  <c r="Y64" i="12"/>
  <c r="W83" i="12"/>
  <c r="BF239" i="11"/>
  <c r="BK239" i="11"/>
  <c r="BK319" i="11"/>
  <c r="BF319" i="11"/>
  <c r="BK241" i="11"/>
  <c r="BF241" i="11"/>
  <c r="BK243" i="11"/>
  <c r="BF243" i="11"/>
  <c r="AD113" i="7"/>
  <c r="AF113" i="7"/>
  <c r="W184" i="12"/>
  <c r="X36" i="7"/>
  <c r="BB322" i="11"/>
  <c r="BJ322" i="11"/>
  <c r="BE322" i="11"/>
  <c r="O53" i="7"/>
  <c r="S53" i="7"/>
  <c r="V53" i="7"/>
  <c r="Z53" i="7"/>
  <c r="AC53" i="7" s="1"/>
  <c r="BF302" i="11"/>
  <c r="BK302" i="11"/>
  <c r="W60" i="12"/>
  <c r="Y71" i="12"/>
  <c r="W67" i="12"/>
  <c r="O214" i="7"/>
  <c r="S214" i="7"/>
  <c r="V214" i="7"/>
  <c r="Z214" i="7"/>
  <c r="AC214" i="7" s="1"/>
  <c r="BF247" i="11"/>
  <c r="BK247" i="11"/>
  <c r="Y136" i="12"/>
  <c r="Y135" i="12"/>
  <c r="D174" i="7"/>
  <c r="BH174" i="11"/>
  <c r="BB256" i="11"/>
  <c r="BE256" i="11"/>
  <c r="BJ256" i="11"/>
  <c r="AK276" i="11"/>
  <c r="D38" i="7"/>
  <c r="BH38" i="11"/>
  <c r="Y34" i="12"/>
  <c r="W71" i="12"/>
  <c r="X71" i="12"/>
  <c r="Y117" i="12"/>
  <c r="Y90" i="12"/>
  <c r="Y107" i="12"/>
  <c r="P16" i="7"/>
  <c r="Y61" i="12"/>
  <c r="BK246" i="11"/>
  <c r="BF246" i="11"/>
  <c r="AF129" i="7"/>
  <c r="AD129" i="7"/>
  <c r="AF113" i="12"/>
  <c r="AA19" i="7"/>
  <c r="AB19" i="7" s="1"/>
  <c r="BE274" i="11"/>
  <c r="BB274" i="11"/>
  <c r="Y194" i="12"/>
  <c r="BE228" i="11"/>
  <c r="AA78" i="7"/>
  <c r="AB78" i="7" s="1"/>
  <c r="BK252" i="11"/>
  <c r="BF252" i="11"/>
  <c r="AA85" i="12"/>
  <c r="BB285" i="11"/>
  <c r="BE285" i="11"/>
  <c r="D12" i="7"/>
  <c r="BH12" i="11"/>
  <c r="BJ236" i="11"/>
  <c r="BE236" i="11"/>
  <c r="BB236" i="11"/>
  <c r="Y70" i="12"/>
  <c r="AD211" i="7"/>
  <c r="AF211" i="7"/>
  <c r="BE317" i="11"/>
  <c r="BB311" i="11"/>
  <c r="BF311" i="11"/>
  <c r="AN325" i="11"/>
  <c r="D17" i="7"/>
  <c r="BH17" i="11"/>
  <c r="Y184" i="12"/>
  <c r="BK305" i="11"/>
  <c r="BF305" i="11"/>
  <c r="BB298" i="11"/>
  <c r="BE298" i="11"/>
  <c r="BJ298" i="11"/>
  <c r="D22" i="7"/>
  <c r="BH22" i="11"/>
  <c r="BB312" i="11"/>
  <c r="BE312" i="11"/>
  <c r="AA120" i="7"/>
  <c r="AB120" i="7" s="1"/>
  <c r="W141" i="12"/>
  <c r="BE267" i="11"/>
  <c r="BB267" i="11"/>
  <c r="AA23" i="7"/>
  <c r="AB23" i="7" s="1"/>
  <c r="W147" i="12"/>
  <c r="AF129" i="12"/>
  <c r="D21" i="7"/>
  <c r="BH21" i="11"/>
  <c r="Y46" i="12"/>
  <c r="W187" i="12"/>
  <c r="W155" i="12"/>
  <c r="X155" i="12"/>
  <c r="Y214" i="12"/>
  <c r="Y177" i="12"/>
  <c r="BK295" i="11"/>
  <c r="BF295" i="11"/>
  <c r="BM62" i="11"/>
  <c r="BF287" i="11"/>
  <c r="AA108" i="7"/>
  <c r="AB108" i="7" s="1"/>
  <c r="BE300" i="11"/>
  <c r="BB300" i="11"/>
  <c r="BJ300" i="11"/>
  <c r="BB321" i="11"/>
  <c r="BE321" i="11"/>
  <c r="BJ255" i="11"/>
  <c r="BB255" i="11"/>
  <c r="BE255" i="11"/>
  <c r="BE268" i="11"/>
  <c r="BB268" i="11"/>
  <c r="BE282" i="11"/>
  <c r="BB282" i="11"/>
  <c r="D14" i="7"/>
  <c r="BH14" i="11"/>
  <c r="W200" i="12"/>
  <c r="W63" i="12"/>
  <c r="X63" i="12"/>
  <c r="AA121" i="12"/>
  <c r="AF121" i="12"/>
  <c r="D65" i="7"/>
  <c r="BH65" i="11"/>
  <c r="AA65" i="7"/>
  <c r="AB65" i="7" s="1"/>
  <c r="BB269" i="11"/>
  <c r="BE269" i="11"/>
  <c r="D18" i="7"/>
  <c r="BH18" i="11"/>
  <c r="Z204" i="7"/>
  <c r="AC204" i="7" s="1"/>
  <c r="O204" i="7"/>
  <c r="S204" i="7"/>
  <c r="V204" i="7"/>
  <c r="BJ301" i="11"/>
  <c r="BE301" i="11"/>
  <c r="BB301" i="11"/>
  <c r="X151" i="7"/>
  <c r="X219" i="12"/>
  <c r="Y94" i="12"/>
  <c r="X202" i="12"/>
  <c r="W202" i="12"/>
  <c r="W111" i="12"/>
  <c r="BK300" i="11"/>
  <c r="BF300" i="11"/>
  <c r="Y45" i="12"/>
  <c r="AA72" i="12"/>
  <c r="Y173" i="12"/>
  <c r="BK260" i="11"/>
  <c r="BF260" i="11"/>
  <c r="AA102" i="7"/>
  <c r="AB102" i="7" s="1"/>
  <c r="W58" i="12"/>
  <c r="BE323" i="11"/>
  <c r="BB323" i="11"/>
  <c r="BE273" i="11"/>
  <c r="BB273" i="11"/>
  <c r="D13" i="7"/>
  <c r="BH13" i="11"/>
  <c r="AA142" i="7"/>
  <c r="AB142" i="7" s="1"/>
  <c r="Y148" i="12"/>
  <c r="Y110" i="12"/>
  <c r="AF115" i="12"/>
  <c r="AK325" i="11"/>
  <c r="BF209" i="11"/>
  <c r="L15" i="31" s="1"/>
  <c r="BK209" i="11"/>
  <c r="BK242" i="11"/>
  <c r="BF242" i="11"/>
  <c r="AF138" i="12"/>
  <c r="AA15" i="7"/>
  <c r="AB15" i="7" s="1"/>
  <c r="BB283" i="11"/>
  <c r="BE283" i="11"/>
  <c r="W70" i="12"/>
  <c r="BB101" i="11"/>
  <c r="AQ101" i="11"/>
  <c r="BJ101" i="11"/>
  <c r="BE101" i="11"/>
  <c r="AF91" i="12"/>
  <c r="Z205" i="7"/>
  <c r="AC205" i="7" s="1"/>
  <c r="O205" i="7"/>
  <c r="S205" i="7"/>
  <c r="V205" i="7"/>
  <c r="BF322" i="11"/>
  <c r="BK322" i="11"/>
  <c r="Z86" i="7"/>
  <c r="AC86" i="7" s="1"/>
  <c r="O86" i="7"/>
  <c r="S86" i="7"/>
  <c r="V86" i="7"/>
  <c r="W136" i="12"/>
  <c r="Y197" i="12"/>
  <c r="BF323" i="11"/>
  <c r="X88" i="12"/>
  <c r="W88" i="12"/>
  <c r="Y196" i="12"/>
  <c r="D171" i="7"/>
  <c r="BH171" i="11"/>
  <c r="Y193" i="12"/>
  <c r="Y150" i="12"/>
  <c r="BK253" i="11"/>
  <c r="BF253" i="11"/>
  <c r="Y166" i="12"/>
  <c r="Y109" i="12"/>
  <c r="AF186" i="12"/>
  <c r="Y216" i="12"/>
  <c r="BF270" i="11"/>
  <c r="Y163" i="12"/>
  <c r="Y200" i="12"/>
  <c r="BB314" i="11"/>
  <c r="BE314" i="11"/>
  <c r="Y75" i="12"/>
  <c r="W124" i="12"/>
  <c r="Y153" i="12"/>
  <c r="AF185" i="7"/>
  <c r="AD185" i="7"/>
  <c r="AF92" i="12"/>
  <c r="BF265" i="11"/>
  <c r="AN276" i="11"/>
  <c r="AF51" i="7"/>
  <c r="AD51" i="7"/>
  <c r="W178" i="12"/>
  <c r="BB257" i="11"/>
  <c r="BE257" i="11"/>
  <c r="AA182" i="7"/>
  <c r="AB182" i="7" s="1"/>
  <c r="AF53" i="12"/>
  <c r="Y116" i="12"/>
  <c r="BF318" i="11"/>
  <c r="AA118" i="12"/>
  <c r="AF118" i="12"/>
  <c r="O161" i="7"/>
  <c r="S161" i="7"/>
  <c r="V161" i="7"/>
  <c r="Z161" i="7"/>
  <c r="AC161" i="7" s="1"/>
  <c r="Y28" i="12"/>
  <c r="Y159" i="12"/>
  <c r="W193" i="12"/>
  <c r="Y155" i="12"/>
  <c r="AA174" i="7"/>
  <c r="AB174" i="7" s="1"/>
  <c r="BJ240" i="11"/>
  <c r="BB240" i="11"/>
  <c r="BE240" i="11"/>
  <c r="Y47" i="12"/>
  <c r="D56" i="7"/>
  <c r="BH56" i="11"/>
  <c r="W54" i="12"/>
  <c r="X54" i="12"/>
  <c r="Y206" i="12"/>
  <c r="X189" i="12"/>
  <c r="AA52" i="12"/>
  <c r="Y165" i="12"/>
  <c r="Y183" i="12"/>
  <c r="BF268" i="11"/>
  <c r="Y156" i="12"/>
  <c r="W140" i="12"/>
  <c r="W201" i="12"/>
  <c r="X201" i="12"/>
  <c r="Z25" i="7"/>
  <c r="AC25" i="7" s="1"/>
  <c r="O25" i="7"/>
  <c r="S25" i="7"/>
  <c r="V25" i="7"/>
  <c r="AF25" i="12"/>
  <c r="AA25" i="12"/>
  <c r="BE245" i="11"/>
  <c r="BJ245" i="11"/>
  <c r="BB245" i="11"/>
  <c r="W125" i="12"/>
  <c r="W206" i="12"/>
  <c r="AA24" i="7"/>
  <c r="AB24" i="7" s="1"/>
  <c r="Z85" i="7"/>
  <c r="AC85" i="7" s="1"/>
  <c r="O85" i="7"/>
  <c r="S85" i="7"/>
  <c r="V85" i="7"/>
  <c r="W191" i="12"/>
  <c r="Y180" i="12"/>
  <c r="AF92" i="7"/>
  <c r="AD92" i="7"/>
  <c r="W68" i="12"/>
  <c r="BE311" i="11"/>
  <c r="BB271" i="11"/>
  <c r="BE271" i="11"/>
  <c r="Y35" i="12"/>
  <c r="BB248" i="11"/>
  <c r="BJ248" i="11"/>
  <c r="BE248" i="11"/>
  <c r="X119" i="12"/>
  <c r="O59" i="7"/>
  <c r="S59" i="7"/>
  <c r="V59" i="7"/>
  <c r="Z59" i="7"/>
  <c r="AC59" i="7" s="1"/>
  <c r="W59" i="12"/>
  <c r="W149" i="12"/>
  <c r="X149" i="12"/>
  <c r="BE305" i="11"/>
  <c r="BJ305" i="11"/>
  <c r="BB305" i="11"/>
  <c r="W82" i="12"/>
  <c r="X82" i="12"/>
  <c r="W49" i="12"/>
  <c r="W196" i="12"/>
  <c r="BF285" i="11"/>
  <c r="BF271" i="11"/>
  <c r="W180" i="12"/>
  <c r="X180" i="12"/>
  <c r="W159" i="12"/>
  <c r="X159" i="12"/>
  <c r="BF321" i="11"/>
  <c r="W156" i="12"/>
  <c r="X156" i="12"/>
  <c r="AA22" i="7"/>
  <c r="AB22" i="7" s="1"/>
  <c r="Y168" i="12"/>
  <c r="Z110" i="7"/>
  <c r="AC110" i="7" s="1"/>
  <c r="O110" i="7"/>
  <c r="S110" i="7"/>
  <c r="V110" i="7"/>
  <c r="D23" i="7"/>
  <c r="BH23" i="11"/>
  <c r="O218" i="7"/>
  <c r="S218" i="7"/>
  <c r="V218" i="7"/>
  <c r="Z218" i="7"/>
  <c r="AC218" i="7" s="1"/>
  <c r="AF218" i="12"/>
  <c r="Y111" i="12"/>
  <c r="Y178" i="12"/>
  <c r="W154" i="12"/>
  <c r="AA213" i="7"/>
  <c r="AB213" i="7" s="1"/>
  <c r="Y106" i="12"/>
  <c r="W90" i="12"/>
  <c r="BJ247" i="11"/>
  <c r="BE247" i="11"/>
  <c r="BB247" i="11"/>
  <c r="Y104" i="12"/>
  <c r="Y187" i="12"/>
  <c r="W84" i="12"/>
  <c r="Y85" i="12"/>
  <c r="BF272" i="11"/>
  <c r="BK237" i="11"/>
  <c r="BF237" i="11"/>
  <c r="BJ319" i="11"/>
  <c r="BE319" i="11"/>
  <c r="BB319" i="11"/>
  <c r="D139" i="7"/>
  <c r="BH139" i="11"/>
  <c r="W64" i="12"/>
  <c r="X64" i="12"/>
  <c r="J62" i="7"/>
  <c r="W62" i="7" s="1"/>
  <c r="K62" i="7"/>
  <c r="Y134" i="12"/>
  <c r="X212" i="12"/>
  <c r="AF203" i="7"/>
  <c r="AD203" i="7"/>
  <c r="BF245" i="11"/>
  <c r="BK245" i="11"/>
  <c r="BF273" i="11"/>
  <c r="AA172" i="7"/>
  <c r="AB172" i="7" s="1"/>
  <c r="Y32" i="12"/>
  <c r="Y161" i="12"/>
  <c r="Y60" i="12"/>
  <c r="W89" i="12"/>
  <c r="BE237" i="11"/>
  <c r="BB237" i="11"/>
  <c r="BJ237" i="11"/>
  <c r="Y170" i="12"/>
  <c r="Y79" i="12"/>
  <c r="AQ209" i="11"/>
  <c r="BJ209" i="11"/>
  <c r="BB209" i="11"/>
  <c r="U21" i="30" s="1"/>
  <c r="BE209" i="11"/>
  <c r="BB287" i="11"/>
  <c r="BE287" i="11"/>
  <c r="AA122" i="7"/>
  <c r="AB122" i="7" s="1"/>
  <c r="BF284" i="11"/>
  <c r="Y57" i="12"/>
  <c r="Y77" i="12"/>
  <c r="Y82" i="12"/>
  <c r="BF279" i="11"/>
  <c r="AN290" i="11"/>
  <c r="AA143" i="7"/>
  <c r="AB143" i="7" s="1"/>
  <c r="Y181" i="12"/>
  <c r="Y208" i="12"/>
  <c r="Y95" i="12"/>
  <c r="W66" i="12"/>
  <c r="BB250" i="11"/>
  <c r="BE250" i="11"/>
  <c r="BJ250" i="11"/>
  <c r="W98" i="12"/>
  <c r="X98" i="12"/>
  <c r="AA210" i="7"/>
  <c r="AB210" i="7" s="1"/>
  <c r="D210" i="7"/>
  <c r="BH210" i="11"/>
  <c r="AA76" i="12"/>
  <c r="W181" i="12"/>
  <c r="AA13" i="7"/>
  <c r="AB13" i="7" s="1"/>
  <c r="W96" i="12"/>
  <c r="W135" i="12"/>
  <c r="AF127" i="12"/>
  <c r="BK256" i="11"/>
  <c r="BF256" i="11"/>
  <c r="BF280" i="11"/>
  <c r="Y53" i="12"/>
  <c r="Y179" i="12"/>
  <c r="W110" i="12"/>
  <c r="W132" i="12"/>
  <c r="W152" i="12"/>
  <c r="X152" i="12"/>
  <c r="BF266" i="11"/>
  <c r="BF281" i="11"/>
  <c r="BK238" i="11"/>
  <c r="BF238" i="11"/>
  <c r="W75" i="12"/>
  <c r="X107" i="12"/>
  <c r="Y74" i="12"/>
  <c r="Z138" i="7"/>
  <c r="AC138" i="7" s="1"/>
  <c r="O138" i="7"/>
  <c r="S138" i="7"/>
  <c r="V138" i="7"/>
  <c r="AA26" i="7"/>
  <c r="AB26" i="7" s="1"/>
  <c r="W212" i="12"/>
  <c r="Y89" i="12"/>
  <c r="BF303" i="11"/>
  <c r="BK303" i="11"/>
  <c r="AM232" i="11"/>
  <c r="W148" i="12"/>
  <c r="W114" i="12"/>
  <c r="W134" i="12"/>
  <c r="Y152" i="12"/>
  <c r="X48" i="7"/>
  <c r="Y201" i="12"/>
  <c r="O105" i="7"/>
  <c r="S105" i="7"/>
  <c r="V105" i="7"/>
  <c r="Z105" i="7"/>
  <c r="AC105" i="7" s="1"/>
  <c r="W216" i="12"/>
  <c r="X216" i="12"/>
  <c r="W35" i="12"/>
  <c r="X35" i="12"/>
  <c r="W150" i="12"/>
  <c r="Y63" i="12"/>
  <c r="W169" i="12"/>
  <c r="W165" i="12"/>
  <c r="Y49" i="12"/>
  <c r="BE288" i="11"/>
  <c r="BB288" i="11"/>
  <c r="AA69" i="12"/>
  <c r="BB246" i="11"/>
  <c r="BE246" i="11"/>
  <c r="BJ246" i="11"/>
  <c r="BE316" i="11"/>
  <c r="BB316" i="11"/>
  <c r="W106" i="12"/>
  <c r="X106" i="12"/>
  <c r="W116" i="12"/>
  <c r="W197" i="12"/>
  <c r="Z118" i="7"/>
  <c r="AC118" i="7" s="1"/>
  <c r="O118" i="7"/>
  <c r="S118" i="7"/>
  <c r="V118" i="7"/>
  <c r="Y66" i="12"/>
  <c r="Y149" i="12"/>
  <c r="X161" i="12"/>
  <c r="BK254" i="11"/>
  <c r="BF254" i="11"/>
  <c r="W34" i="12"/>
  <c r="X34" i="12"/>
  <c r="AM325" i="11"/>
  <c r="BB313" i="11"/>
  <c r="BE313" i="11"/>
  <c r="AA30" i="7"/>
  <c r="AB30" i="7" s="1"/>
  <c r="AK262" i="11"/>
  <c r="AA38" i="7"/>
  <c r="AB38" i="7" s="1"/>
  <c r="W170" i="12"/>
  <c r="Y40" i="12"/>
  <c r="W97" i="12"/>
  <c r="W207" i="12"/>
  <c r="Y114" i="12"/>
  <c r="Y126" i="12"/>
  <c r="W194" i="12"/>
  <c r="Y83" i="12"/>
  <c r="AD76" i="7"/>
  <c r="AF76" i="7"/>
  <c r="D78" i="7"/>
  <c r="BH78" i="11"/>
  <c r="BF304" i="11"/>
  <c r="BK304" i="11"/>
  <c r="Y140" i="12"/>
  <c r="W93" i="12"/>
  <c r="X93" i="12"/>
  <c r="W28" i="12"/>
  <c r="X28" i="12"/>
  <c r="X157" i="7"/>
  <c r="BE227" i="11"/>
  <c r="BB227" i="11"/>
  <c r="BB294" i="11"/>
  <c r="BE294" i="11"/>
  <c r="BJ294" i="11"/>
  <c r="AM307" i="11"/>
  <c r="AA12" i="7"/>
  <c r="AB12" i="7" s="1"/>
  <c r="AA100" i="7"/>
  <c r="AB100" i="7" s="1"/>
  <c r="Z119" i="7"/>
  <c r="AC119" i="7" s="1"/>
  <c r="O119" i="7"/>
  <c r="S119" i="7"/>
  <c r="V119" i="7"/>
  <c r="W189" i="12"/>
  <c r="W153" i="12"/>
  <c r="AA144" i="7"/>
  <c r="AB144" i="7" s="1"/>
  <c r="D144" i="7"/>
  <c r="BH144" i="11"/>
  <c r="Y207" i="12"/>
  <c r="O137" i="7"/>
  <c r="S137" i="7"/>
  <c r="V137" i="7"/>
  <c r="Z137" i="7"/>
  <c r="AC137" i="7" s="1"/>
  <c r="BF267" i="11"/>
  <c r="AN222" i="11"/>
  <c r="BF236" i="11"/>
  <c r="BK236" i="11"/>
  <c r="BK294" i="11"/>
  <c r="BF294" i="11"/>
  <c r="AN307" i="11"/>
  <c r="AK290" i="11"/>
  <c r="AA17" i="7"/>
  <c r="AB17" i="7" s="1"/>
  <c r="BE270" i="11"/>
  <c r="BB270" i="11"/>
  <c r="W208" i="12"/>
  <c r="BF255" i="11"/>
  <c r="BK255" i="11"/>
  <c r="W217" i="12"/>
  <c r="BE281" i="11"/>
  <c r="BB281" i="11"/>
  <c r="D128" i="7"/>
  <c r="BH128" i="11"/>
  <c r="BE318" i="11"/>
  <c r="BB318" i="11"/>
  <c r="BJ251" i="11"/>
  <c r="BB251" i="11"/>
  <c r="BE251" i="11"/>
  <c r="AA41" i="7"/>
  <c r="AB41" i="7" s="1"/>
  <c r="O45" i="7"/>
  <c r="S45" i="7"/>
  <c r="V45" i="7"/>
  <c r="Z45" i="7"/>
  <c r="AC45" i="7" s="1"/>
  <c r="AF45" i="12"/>
  <c r="AA45" i="12"/>
  <c r="BK296" i="11"/>
  <c r="BF296" i="11"/>
  <c r="X145" i="12"/>
  <c r="BE299" i="11"/>
  <c r="BB299" i="11"/>
  <c r="BJ299" i="11"/>
  <c r="W163" i="12"/>
  <c r="X163" i="12"/>
  <c r="W79" i="12"/>
  <c r="AD133" i="7"/>
  <c r="AF133" i="7"/>
  <c r="Y154" i="12"/>
  <c r="BB284" i="11"/>
  <c r="BE284" i="11"/>
  <c r="AA21" i="7"/>
  <c r="AB21" i="7" s="1"/>
  <c r="BE260" i="11"/>
  <c r="BJ260" i="11"/>
  <c r="BB260" i="11"/>
  <c r="W215" i="12"/>
  <c r="X215" i="12"/>
  <c r="W214" i="12"/>
  <c r="AA81" i="7"/>
  <c r="AB81" i="7" s="1"/>
  <c r="BF282" i="11"/>
  <c r="W177" i="12"/>
  <c r="AA33" i="7"/>
  <c r="AB33" i="7" s="1"/>
  <c r="D33" i="7"/>
  <c r="BH33" i="11"/>
  <c r="W179" i="12"/>
  <c r="BE229" i="11"/>
  <c r="BB229" i="11"/>
  <c r="BH244" i="11"/>
  <c r="BM244" i="11"/>
  <c r="BF269" i="11"/>
  <c r="BF315" i="11"/>
  <c r="D108" i="7"/>
  <c r="BH108" i="11"/>
  <c r="BH172" i="11"/>
  <c r="D172" i="7"/>
  <c r="D27" i="7"/>
  <c r="BH27" i="11"/>
  <c r="Y50" i="12"/>
  <c r="AA14" i="7"/>
  <c r="AB14" i="7" s="1"/>
  <c r="Y141" i="12"/>
  <c r="O58" i="7"/>
  <c r="S58" i="7"/>
  <c r="V58" i="7"/>
  <c r="Z58" i="7"/>
  <c r="AC58" i="7" s="1"/>
  <c r="BE265" i="11"/>
  <c r="BB265" i="11"/>
  <c r="AM276" i="11"/>
  <c r="BE297" i="11"/>
  <c r="BJ297" i="11"/>
  <c r="BB297" i="11"/>
  <c r="AA18" i="7"/>
  <c r="AB18" i="7" s="1"/>
  <c r="O96" i="7"/>
  <c r="S96" i="7"/>
  <c r="V96" i="7"/>
  <c r="Z96" i="7"/>
  <c r="AC96" i="7" s="1"/>
  <c r="AA204" i="12"/>
  <c r="BE252" i="11"/>
  <c r="BJ252" i="11"/>
  <c r="BB252" i="11"/>
  <c r="W32" i="12"/>
  <c r="X32" i="12"/>
  <c r="W57" i="12"/>
  <c r="W173" i="12"/>
  <c r="Y105" i="12"/>
  <c r="BJ304" i="11"/>
  <c r="BE304" i="11"/>
  <c r="BB304" i="11"/>
  <c r="AF190" i="12"/>
  <c r="AA190" i="12"/>
  <c r="AD190" i="7"/>
  <c r="AF190" i="7"/>
  <c r="D102" i="7"/>
  <c r="BH102" i="11"/>
  <c r="Y58" i="12"/>
  <c r="W109" i="12"/>
  <c r="W73" i="12"/>
  <c r="X73" i="12"/>
  <c r="Y68" i="12"/>
  <c r="AF186" i="7"/>
  <c r="AD186" i="7"/>
  <c r="BE303" i="11"/>
  <c r="BB303" i="11"/>
  <c r="BJ303" i="11"/>
  <c r="W87" i="12"/>
  <c r="X146" i="7"/>
  <c r="W199" i="12"/>
  <c r="AN262" i="11"/>
  <c r="BK240" i="11"/>
  <c r="BF240" i="11"/>
  <c r="BF313" i="11"/>
  <c r="BF312" i="11"/>
  <c r="BK298" i="11"/>
  <c r="BF298" i="11"/>
  <c r="Z107" i="7"/>
  <c r="AC107" i="7" s="1"/>
  <c r="O107" i="7"/>
  <c r="S107" i="7"/>
  <c r="V107" i="7"/>
  <c r="AA220" i="12"/>
  <c r="AF220" i="12"/>
  <c r="BF314" i="11"/>
  <c r="D15" i="7"/>
  <c r="BH15" i="11"/>
  <c r="O188" i="7"/>
  <c r="S188" i="7"/>
  <c r="V188" i="7"/>
  <c r="Z188" i="7"/>
  <c r="AC188" i="7" s="1"/>
  <c r="D26" i="7"/>
  <c r="BH26" i="11"/>
  <c r="O91" i="7"/>
  <c r="S91" i="7"/>
  <c r="V91" i="7"/>
  <c r="Z91" i="7"/>
  <c r="AC91" i="7" s="1"/>
  <c r="BF257" i="11"/>
  <c r="Y215" i="12"/>
  <c r="W188" i="12"/>
  <c r="W46" i="12"/>
  <c r="X46" i="12"/>
  <c r="Y87" i="12"/>
  <c r="W166" i="12"/>
  <c r="BF259" i="11"/>
  <c r="BK259" i="11"/>
  <c r="BF274" i="11"/>
  <c r="BB254" i="11"/>
  <c r="BE254" i="11"/>
  <c r="BJ254" i="11"/>
  <c r="BE320" i="11"/>
  <c r="BB320" i="11"/>
  <c r="AK232" i="11"/>
  <c r="W47" i="12"/>
  <c r="O69" i="7"/>
  <c r="S69" i="7"/>
  <c r="V69" i="7"/>
  <c r="Z69" i="7"/>
  <c r="AC69" i="7" s="1"/>
  <c r="Y84" i="12"/>
  <c r="W40" i="12"/>
  <c r="X103" i="7"/>
  <c r="BF229" i="11"/>
  <c r="L21" i="31" l="1"/>
  <c r="U6" i="30"/>
  <c r="U7" i="30" s="1"/>
  <c r="BB5" i="11"/>
  <c r="BB4" i="11"/>
  <c r="X47" i="12"/>
  <c r="X173" i="12"/>
  <c r="X179" i="12"/>
  <c r="X177" i="12"/>
  <c r="X79" i="12"/>
  <c r="X87" i="12"/>
  <c r="X40" i="12"/>
  <c r="X153" i="12"/>
  <c r="X207" i="12"/>
  <c r="X196" i="12"/>
  <c r="X49" i="12"/>
  <c r="X206" i="12"/>
  <c r="X178" i="12"/>
  <c r="BH297" i="11"/>
  <c r="X111" i="12"/>
  <c r="X67" i="12"/>
  <c r="X134" i="12"/>
  <c r="X89" i="12"/>
  <c r="X68" i="12"/>
  <c r="X191" i="12"/>
  <c r="X116" i="12"/>
  <c r="K15" i="31"/>
  <c r="X183" i="12"/>
  <c r="X194" i="12"/>
  <c r="X170" i="12"/>
  <c r="X136" i="12"/>
  <c r="AF156" i="12"/>
  <c r="AA156" i="12"/>
  <c r="AF199" i="12"/>
  <c r="AA217" i="12"/>
  <c r="AF194" i="12"/>
  <c r="AA178" i="12"/>
  <c r="AF178" i="12"/>
  <c r="AF136" i="12"/>
  <c r="AA136" i="12"/>
  <c r="AF88" i="12"/>
  <c r="O46" i="7"/>
  <c r="S46" i="7"/>
  <c r="V46" i="7"/>
  <c r="Z46" i="7"/>
  <c r="AC46" i="7" s="1"/>
  <c r="AF188" i="12"/>
  <c r="AA188" i="12"/>
  <c r="BK314" i="11"/>
  <c r="AH186" i="7"/>
  <c r="F186" i="12" s="1"/>
  <c r="AP186" i="7"/>
  <c r="AM186" i="7"/>
  <c r="D186" i="12"/>
  <c r="AQ186" i="7"/>
  <c r="AA109" i="12"/>
  <c r="AF109" i="12"/>
  <c r="AF188" i="7"/>
  <c r="AD188" i="7"/>
  <c r="AF69" i="7"/>
  <c r="AD69" i="7"/>
  <c r="O47" i="7"/>
  <c r="S47" i="7"/>
  <c r="V47" i="7"/>
  <c r="Z47" i="7"/>
  <c r="AC47" i="7" s="1"/>
  <c r="BJ320" i="11"/>
  <c r="BK274" i="11"/>
  <c r="X166" i="12"/>
  <c r="AF46" i="12"/>
  <c r="AA46" i="12"/>
  <c r="BM26" i="11"/>
  <c r="BM15" i="11"/>
  <c r="BF262" i="11"/>
  <c r="BK262" i="11"/>
  <c r="X199" i="12"/>
  <c r="O87" i="7"/>
  <c r="S87" i="7"/>
  <c r="V87" i="7"/>
  <c r="Z87" i="7"/>
  <c r="AC87" i="7" s="1"/>
  <c r="O173" i="7"/>
  <c r="S173" i="7"/>
  <c r="V173" i="7"/>
  <c r="Z173" i="7"/>
  <c r="AC173" i="7" s="1"/>
  <c r="Z32" i="7"/>
  <c r="AC32" i="7" s="1"/>
  <c r="O32" i="7"/>
  <c r="S32" i="7"/>
  <c r="V32" i="7"/>
  <c r="BM172" i="11"/>
  <c r="BH300" i="11"/>
  <c r="BM300" i="11"/>
  <c r="BH241" i="11"/>
  <c r="BM241" i="11"/>
  <c r="Z177" i="7"/>
  <c r="AC177" i="7" s="1"/>
  <c r="O177" i="7"/>
  <c r="S177" i="7"/>
  <c r="V177" i="7"/>
  <c r="AA214" i="12"/>
  <c r="AF214" i="12"/>
  <c r="AA215" i="12"/>
  <c r="AF215" i="12"/>
  <c r="AF79" i="12"/>
  <c r="AA79" i="12"/>
  <c r="AF163" i="12"/>
  <c r="AA163" i="12"/>
  <c r="S145" i="7"/>
  <c r="O145" i="7"/>
  <c r="V145" i="7"/>
  <c r="Z145" i="7"/>
  <c r="AC145" i="7" s="1"/>
  <c r="BM302" i="11"/>
  <c r="BH302" i="11"/>
  <c r="X217" i="12"/>
  <c r="X208" i="12"/>
  <c r="O153" i="7"/>
  <c r="S153" i="7"/>
  <c r="V153" i="7"/>
  <c r="Z153" i="7"/>
  <c r="AC153" i="7" s="1"/>
  <c r="BJ227" i="11"/>
  <c r="O28" i="7"/>
  <c r="S28" i="7"/>
  <c r="V28" i="7"/>
  <c r="Z28" i="7"/>
  <c r="AC28" i="7" s="1"/>
  <c r="BM315" i="11"/>
  <c r="BH315" i="11"/>
  <c r="K78" i="7"/>
  <c r="J78" i="7"/>
  <c r="W78" i="7" s="1"/>
  <c r="O207" i="7"/>
  <c r="S207" i="7"/>
  <c r="V207" i="7"/>
  <c r="Z207" i="7"/>
  <c r="AC207" i="7" s="1"/>
  <c r="O170" i="7"/>
  <c r="S170" i="7"/>
  <c r="V170" i="7"/>
  <c r="Z170" i="7"/>
  <c r="AC170" i="7" s="1"/>
  <c r="X197" i="12"/>
  <c r="AF116" i="12"/>
  <c r="AA116" i="12"/>
  <c r="O106" i="7"/>
  <c r="S106" i="7"/>
  <c r="V106" i="7"/>
  <c r="Z106" i="7"/>
  <c r="AC106" i="7" s="1"/>
  <c r="AA106" i="12"/>
  <c r="AF216" i="12"/>
  <c r="AA134" i="12"/>
  <c r="AF134" i="12"/>
  <c r="BK281" i="11"/>
  <c r="AA152" i="12"/>
  <c r="AF152" i="12"/>
  <c r="O132" i="7"/>
  <c r="S132" i="7"/>
  <c r="V132" i="7"/>
  <c r="Z132" i="7"/>
  <c r="AC132" i="7" s="1"/>
  <c r="AF110" i="12"/>
  <c r="Y96" i="12"/>
  <c r="Z181" i="7"/>
  <c r="AC181" i="7" s="1"/>
  <c r="O181" i="7"/>
  <c r="S181" i="7"/>
  <c r="V181" i="7"/>
  <c r="BM210" i="11"/>
  <c r="AA98" i="12"/>
  <c r="AF98" i="12"/>
  <c r="W112" i="12"/>
  <c r="BK279" i="11"/>
  <c r="D209" i="7"/>
  <c r="BH209" i="11"/>
  <c r="BK273" i="11"/>
  <c r="D203" i="12"/>
  <c r="AH203" i="7"/>
  <c r="F203" i="12" s="1"/>
  <c r="AP203" i="7"/>
  <c r="AM203" i="7"/>
  <c r="AQ203" i="7"/>
  <c r="Z212" i="7"/>
  <c r="AC212" i="7" s="1"/>
  <c r="O212" i="7"/>
  <c r="S212" i="7"/>
  <c r="V212" i="7"/>
  <c r="Z64" i="7"/>
  <c r="AC64" i="7" s="1"/>
  <c r="O64" i="7"/>
  <c r="S64" i="7"/>
  <c r="V64" i="7"/>
  <c r="BM139" i="11"/>
  <c r="BM299" i="11"/>
  <c r="BH299" i="11"/>
  <c r="AD110" i="7"/>
  <c r="AF110" i="7"/>
  <c r="BK321" i="11"/>
  <c r="Z196" i="7"/>
  <c r="AC196" i="7" s="1"/>
  <c r="O196" i="7"/>
  <c r="S196" i="7"/>
  <c r="V196" i="7"/>
  <c r="BJ271" i="11"/>
  <c r="K21" i="31"/>
  <c r="K22" i="31"/>
  <c r="K23" i="31" s="1"/>
  <c r="Z206" i="7"/>
  <c r="AC206" i="7" s="1"/>
  <c r="O206" i="7"/>
  <c r="S206" i="7"/>
  <c r="V206" i="7"/>
  <c r="AF206" i="12"/>
  <c r="Z201" i="7"/>
  <c r="AC201" i="7" s="1"/>
  <c r="O201" i="7"/>
  <c r="S201" i="7"/>
  <c r="V201" i="7"/>
  <c r="AF201" i="12"/>
  <c r="AA201" i="12"/>
  <c r="X140" i="12"/>
  <c r="Z189" i="7"/>
  <c r="AC189" i="7" s="1"/>
  <c r="O189" i="7"/>
  <c r="S189" i="7"/>
  <c r="V189" i="7"/>
  <c r="BM243" i="11"/>
  <c r="BH243" i="11"/>
  <c r="AF193" i="12"/>
  <c r="AA193" i="12"/>
  <c r="Y192" i="12"/>
  <c r="Z116" i="7"/>
  <c r="AC116" i="7" s="1"/>
  <c r="O116" i="7"/>
  <c r="S116" i="7"/>
  <c r="V116" i="7"/>
  <c r="Z178" i="7"/>
  <c r="AC178" i="7" s="1"/>
  <c r="O178" i="7"/>
  <c r="S178" i="7"/>
  <c r="V178" i="7"/>
  <c r="AH185" i="7"/>
  <c r="F185" i="12" s="1"/>
  <c r="AM185" i="7"/>
  <c r="AP185" i="7"/>
  <c r="D185" i="12"/>
  <c r="AQ185" i="7"/>
  <c r="X124" i="12"/>
  <c r="BM171" i="11"/>
  <c r="Y160" i="12"/>
  <c r="AF205" i="7"/>
  <c r="AD205" i="7"/>
  <c r="BJ283" i="11"/>
  <c r="J13" i="7"/>
  <c r="W13" i="7" s="1"/>
  <c r="K13" i="7"/>
  <c r="W145" i="12"/>
  <c r="AD204" i="7"/>
  <c r="AF204" i="7"/>
  <c r="BH287" i="11"/>
  <c r="K18" i="7"/>
  <c r="J18" i="7"/>
  <c r="W18" i="7" s="1"/>
  <c r="W43" i="12"/>
  <c r="O63" i="7"/>
  <c r="S63" i="7"/>
  <c r="V63" i="7"/>
  <c r="Z63" i="7"/>
  <c r="AC63" i="7" s="1"/>
  <c r="AF200" i="12"/>
  <c r="AA200" i="12"/>
  <c r="BH272" i="11"/>
  <c r="BM14" i="11"/>
  <c r="BF228" i="11"/>
  <c r="O57" i="7"/>
  <c r="S57" i="7"/>
  <c r="V57" i="7"/>
  <c r="Z57" i="7"/>
  <c r="AC57" i="7" s="1"/>
  <c r="O187" i="7"/>
  <c r="S187" i="7"/>
  <c r="V187" i="7"/>
  <c r="Z187" i="7"/>
  <c r="AC187" i="7" s="1"/>
  <c r="K21" i="7"/>
  <c r="J21" i="7"/>
  <c r="W21" i="7" s="1"/>
  <c r="AA147" i="12"/>
  <c r="AF147" i="12"/>
  <c r="Z141" i="7"/>
  <c r="AC141" i="7" s="1"/>
  <c r="O141" i="7"/>
  <c r="S141" i="7"/>
  <c r="V141" i="7"/>
  <c r="BJ312" i="11"/>
  <c r="BM22" i="11"/>
  <c r="BH238" i="11"/>
  <c r="BM238" i="11"/>
  <c r="BH270" i="11"/>
  <c r="L16" i="31"/>
  <c r="L17" i="31" s="1"/>
  <c r="Y99" i="12"/>
  <c r="AQ222" i="11"/>
  <c r="BM12" i="11"/>
  <c r="J12" i="7"/>
  <c r="W12" i="7" s="1"/>
  <c r="K12" i="7"/>
  <c r="BJ285" i="11"/>
  <c r="Y130" i="12"/>
  <c r="AA71" i="12"/>
  <c r="BM38" i="11"/>
  <c r="AF214" i="7"/>
  <c r="AD214" i="7"/>
  <c r="AA60" i="12"/>
  <c r="AD53" i="7"/>
  <c r="AF53" i="7"/>
  <c r="Y37" i="12"/>
  <c r="AF83" i="12"/>
  <c r="O117" i="7"/>
  <c r="S117" i="7"/>
  <c r="V117" i="7"/>
  <c r="Z117" i="7"/>
  <c r="AC117" i="7" s="1"/>
  <c r="AF220" i="7"/>
  <c r="AD220" i="7"/>
  <c r="BM142" i="11"/>
  <c r="AF95" i="12"/>
  <c r="BJ286" i="11"/>
  <c r="BH304" i="11"/>
  <c r="BM304" i="11"/>
  <c r="W39" i="12"/>
  <c r="O61" i="7"/>
  <c r="S61" i="7"/>
  <c r="V61" i="7"/>
  <c r="Z61" i="7"/>
  <c r="AC61" i="7" s="1"/>
  <c r="BM252" i="11"/>
  <c r="BH252" i="11"/>
  <c r="Z126" i="7"/>
  <c r="AC126" i="7" s="1"/>
  <c r="O126" i="7"/>
  <c r="S126" i="7"/>
  <c r="V126" i="7"/>
  <c r="BH247" i="11"/>
  <c r="BM247" i="11"/>
  <c r="BH260" i="11"/>
  <c r="BM260" i="11"/>
  <c r="BK283" i="11"/>
  <c r="O154" i="7"/>
  <c r="S154" i="7"/>
  <c r="V154" i="7"/>
  <c r="Z154" i="7"/>
  <c r="AC154" i="7" s="1"/>
  <c r="AZ5" i="11"/>
  <c r="F45" i="4" s="1"/>
  <c r="AF94" i="12"/>
  <c r="AA94" i="12"/>
  <c r="BM100" i="11"/>
  <c r="R21" i="30"/>
  <c r="R6" i="30"/>
  <c r="R7" i="30" s="1"/>
  <c r="R8" i="30" s="1"/>
  <c r="K13" i="31"/>
  <c r="BH274" i="11"/>
  <c r="AF168" i="12"/>
  <c r="AA168" i="12"/>
  <c r="W44" i="12"/>
  <c r="BK317" i="11"/>
  <c r="O77" i="7"/>
  <c r="S77" i="7"/>
  <c r="V77" i="7"/>
  <c r="Z77" i="7"/>
  <c r="AC77" i="7" s="1"/>
  <c r="BM316" i="11"/>
  <c r="BH316" i="11"/>
  <c r="J80" i="7"/>
  <c r="W80" i="7" s="1"/>
  <c r="K80" i="7"/>
  <c r="BK257" i="11"/>
  <c r="Z40" i="7"/>
  <c r="AC40" i="7" s="1"/>
  <c r="O40" i="7"/>
  <c r="S40" i="7"/>
  <c r="V40" i="7"/>
  <c r="AA40" i="12"/>
  <c r="AF40" i="12"/>
  <c r="Z166" i="7"/>
  <c r="AC166" i="7" s="1"/>
  <c r="O166" i="7"/>
  <c r="S166" i="7"/>
  <c r="V166" i="7"/>
  <c r="AD91" i="7"/>
  <c r="AF91" i="7"/>
  <c r="BH279" i="11"/>
  <c r="BK312" i="11"/>
  <c r="AF179" i="12"/>
  <c r="AA179" i="12"/>
  <c r="O73" i="7"/>
  <c r="S73" i="7"/>
  <c r="V73" i="7"/>
  <c r="Z73" i="7"/>
  <c r="AC73" i="7" s="1"/>
  <c r="AF73" i="12"/>
  <c r="AA73" i="12"/>
  <c r="J102" i="7"/>
  <c r="W102" i="7" s="1"/>
  <c r="K102" i="7"/>
  <c r="AA57" i="12"/>
  <c r="AF57" i="12"/>
  <c r="BM27" i="11"/>
  <c r="BH321" i="11"/>
  <c r="BM321" i="11"/>
  <c r="BM108" i="11"/>
  <c r="BK315" i="11"/>
  <c r="BK269" i="11"/>
  <c r="BJ229" i="11"/>
  <c r="J33" i="7"/>
  <c r="W33" i="7" s="1"/>
  <c r="K33" i="7"/>
  <c r="AF177" i="12"/>
  <c r="AA177" i="12"/>
  <c r="Z163" i="7"/>
  <c r="AC163" i="7" s="1"/>
  <c r="O163" i="7"/>
  <c r="S163" i="7"/>
  <c r="V163" i="7"/>
  <c r="AD45" i="7"/>
  <c r="AF45" i="7"/>
  <c r="K144" i="7"/>
  <c r="J144" i="7"/>
  <c r="W144" i="7" s="1"/>
  <c r="AA189" i="12"/>
  <c r="AF189" i="12"/>
  <c r="AF119" i="7"/>
  <c r="AD119" i="7"/>
  <c r="BM78" i="11"/>
  <c r="O97" i="7"/>
  <c r="S97" i="7"/>
  <c r="V97" i="7"/>
  <c r="Z97" i="7"/>
  <c r="AC97" i="7" s="1"/>
  <c r="AA97" i="12"/>
  <c r="AF97" i="12"/>
  <c r="BJ313" i="11"/>
  <c r="BJ316" i="11"/>
  <c r="Z165" i="7"/>
  <c r="AC165" i="7" s="1"/>
  <c r="O165" i="7"/>
  <c r="S165" i="7"/>
  <c r="V165" i="7"/>
  <c r="AA169" i="12"/>
  <c r="O150" i="7"/>
  <c r="S150" i="7"/>
  <c r="V150" i="7"/>
  <c r="Z150" i="7"/>
  <c r="AC150" i="7" s="1"/>
  <c r="O216" i="7"/>
  <c r="S216" i="7"/>
  <c r="V216" i="7"/>
  <c r="Z216" i="7"/>
  <c r="AC216" i="7" s="1"/>
  <c r="AD105" i="7"/>
  <c r="AF105" i="7"/>
  <c r="O114" i="7"/>
  <c r="S114" i="7"/>
  <c r="V114" i="7"/>
  <c r="Z114" i="7"/>
  <c r="AC114" i="7" s="1"/>
  <c r="AA114" i="12"/>
  <c r="AF114" i="12"/>
  <c r="AF148" i="12"/>
  <c r="AA148" i="12"/>
  <c r="AF212" i="12"/>
  <c r="AA212" i="12"/>
  <c r="AD138" i="7"/>
  <c r="AF138" i="7"/>
  <c r="W20" i="12"/>
  <c r="O152" i="7"/>
  <c r="S152" i="7"/>
  <c r="V152" i="7"/>
  <c r="Z152" i="7"/>
  <c r="AC152" i="7" s="1"/>
  <c r="O135" i="7"/>
  <c r="S135" i="7"/>
  <c r="V135" i="7"/>
  <c r="Z135" i="7"/>
  <c r="AC135" i="7" s="1"/>
  <c r="AF135" i="12"/>
  <c r="AA135" i="12"/>
  <c r="AF181" i="12"/>
  <c r="AA181" i="12"/>
  <c r="BM259" i="11"/>
  <c r="BH259" i="11"/>
  <c r="AA66" i="12"/>
  <c r="BJ287" i="11"/>
  <c r="AA209" i="7"/>
  <c r="AB209" i="7" s="1"/>
  <c r="J243" i="7"/>
  <c r="K243" i="7"/>
  <c r="BH253" i="11"/>
  <c r="BM253" i="11"/>
  <c r="BH229" i="11"/>
  <c r="BM229" i="11"/>
  <c r="O90" i="7"/>
  <c r="S90" i="7"/>
  <c r="V90" i="7"/>
  <c r="Z90" i="7"/>
  <c r="AC90" i="7" s="1"/>
  <c r="K23" i="7"/>
  <c r="J23" i="7"/>
  <c r="W23" i="7" s="1"/>
  <c r="AF159" i="12"/>
  <c r="AA159" i="12"/>
  <c r="BK285" i="11"/>
  <c r="AF149" i="12"/>
  <c r="AA149" i="12"/>
  <c r="BJ311" i="11"/>
  <c r="O68" i="7"/>
  <c r="S68" i="7"/>
  <c r="V68" i="7"/>
  <c r="Z68" i="7"/>
  <c r="AC68" i="7" s="1"/>
  <c r="AD85" i="7"/>
  <c r="AF85" i="7"/>
  <c r="AF140" i="12"/>
  <c r="AA140" i="12"/>
  <c r="W130" i="12"/>
  <c r="BJ257" i="11"/>
  <c r="O124" i="7"/>
  <c r="S124" i="7"/>
  <c r="V124" i="7"/>
  <c r="Z124" i="7"/>
  <c r="AC124" i="7" s="1"/>
  <c r="BM254" i="11"/>
  <c r="BH254" i="11"/>
  <c r="BK323" i="11"/>
  <c r="Z136" i="7"/>
  <c r="AC136" i="7" s="1"/>
  <c r="O136" i="7"/>
  <c r="S136" i="7"/>
  <c r="V136" i="7"/>
  <c r="O70" i="7"/>
  <c r="S70" i="7"/>
  <c r="V70" i="7"/>
  <c r="Z70" i="7"/>
  <c r="AC70" i="7" s="1"/>
  <c r="AA70" i="12"/>
  <c r="AF70" i="12"/>
  <c r="BH273" i="11"/>
  <c r="AF58" i="12"/>
  <c r="O111" i="7"/>
  <c r="S111" i="7"/>
  <c r="V111" i="7"/>
  <c r="Z111" i="7"/>
  <c r="AC111" i="7" s="1"/>
  <c r="BJ269" i="11"/>
  <c r="O200" i="7"/>
  <c r="S200" i="7"/>
  <c r="V200" i="7"/>
  <c r="Z200" i="7"/>
  <c r="AC200" i="7" s="1"/>
  <c r="BH282" i="11"/>
  <c r="BJ321" i="11"/>
  <c r="Y132" i="12"/>
  <c r="Y175" i="12"/>
  <c r="X57" i="12"/>
  <c r="X187" i="12"/>
  <c r="O147" i="7"/>
  <c r="S147" i="7"/>
  <c r="V147" i="7"/>
  <c r="Z147" i="7"/>
  <c r="AC147" i="7" s="1"/>
  <c r="X141" i="12"/>
  <c r="BH298" i="11"/>
  <c r="BM298" i="11"/>
  <c r="K22" i="7"/>
  <c r="J22" i="7"/>
  <c r="W22" i="7" s="1"/>
  <c r="J17" i="7"/>
  <c r="W17" i="7" s="1"/>
  <c r="K17" i="7"/>
  <c r="BK311" i="11"/>
  <c r="BJ317" i="11"/>
  <c r="BH311" i="11"/>
  <c r="BM311" i="11"/>
  <c r="BH294" i="11"/>
  <c r="BM294" i="11"/>
  <c r="AQ307" i="11"/>
  <c r="BJ228" i="11"/>
  <c r="AH129" i="7"/>
  <c r="F129" i="12" s="1"/>
  <c r="AP129" i="7"/>
  <c r="AM129" i="7"/>
  <c r="D129" i="12"/>
  <c r="AQ129" i="7"/>
  <c r="Z71" i="7"/>
  <c r="AC71" i="7" s="1"/>
  <c r="O71" i="7"/>
  <c r="S71" i="7"/>
  <c r="V71" i="7"/>
  <c r="BH280" i="11"/>
  <c r="BM174" i="11"/>
  <c r="W29" i="12"/>
  <c r="X29" i="12"/>
  <c r="Z67" i="7"/>
  <c r="AC67" i="7" s="1"/>
  <c r="O67" i="7"/>
  <c r="S67" i="7"/>
  <c r="V67" i="7"/>
  <c r="X60" i="12"/>
  <c r="AA184" i="12"/>
  <c r="X83" i="12"/>
  <c r="X117" i="12"/>
  <c r="AD115" i="7"/>
  <c r="AF115" i="7"/>
  <c r="AD127" i="7"/>
  <c r="AF127" i="7"/>
  <c r="AA176" i="12"/>
  <c r="AF176" i="12"/>
  <c r="Z104" i="7"/>
  <c r="AC104" i="7" s="1"/>
  <c r="O104" i="7"/>
  <c r="S104" i="7"/>
  <c r="V104" i="7"/>
  <c r="AF104" i="12"/>
  <c r="AA104" i="12"/>
  <c r="BM143" i="11"/>
  <c r="AA61" i="12"/>
  <c r="BM122" i="11"/>
  <c r="AF183" i="12"/>
  <c r="AA183" i="12"/>
  <c r="BM213" i="11"/>
  <c r="BM41" i="11"/>
  <c r="X154" i="12"/>
  <c r="BM120" i="11"/>
  <c r="L22" i="31"/>
  <c r="L23" i="31" s="1"/>
  <c r="S6" i="30"/>
  <c r="AN232" i="11"/>
  <c r="O158" i="7"/>
  <c r="S158" i="7"/>
  <c r="V158" i="7"/>
  <c r="Z158" i="7"/>
  <c r="AC158" i="7" s="1"/>
  <c r="O94" i="7"/>
  <c r="S94" i="7"/>
  <c r="V94" i="7"/>
  <c r="Z94" i="7"/>
  <c r="AC94" i="7" s="1"/>
  <c r="BH248" i="11"/>
  <c r="BM248" i="11"/>
  <c r="K14" i="31"/>
  <c r="BM239" i="11"/>
  <c r="BH239" i="11"/>
  <c r="AA50" i="12"/>
  <c r="AF50" i="12"/>
  <c r="BM19" i="11"/>
  <c r="BK316" i="11"/>
  <c r="BM30" i="11"/>
  <c r="BJ266" i="11"/>
  <c r="BK249" i="11"/>
  <c r="BF249" i="11"/>
  <c r="BM182" i="11"/>
  <c r="BM31" i="11"/>
  <c r="BM55" i="11"/>
  <c r="AF166" i="12"/>
  <c r="BM296" i="11"/>
  <c r="BH296" i="11"/>
  <c r="BH250" i="11"/>
  <c r="BM250" i="11"/>
  <c r="AH190" i="7"/>
  <c r="F190" i="12" s="1"/>
  <c r="AM190" i="7"/>
  <c r="AP190" i="7"/>
  <c r="D190" i="12"/>
  <c r="AQ190" i="7"/>
  <c r="J27" i="7"/>
  <c r="W27" i="7" s="1"/>
  <c r="K27" i="7"/>
  <c r="BM255" i="11"/>
  <c r="BH255" i="11"/>
  <c r="O179" i="7"/>
  <c r="S179" i="7"/>
  <c r="V179" i="7"/>
  <c r="Z179" i="7"/>
  <c r="AC179" i="7" s="1"/>
  <c r="BM33" i="11"/>
  <c r="BK282" i="11"/>
  <c r="Z215" i="7"/>
  <c r="AC215" i="7" s="1"/>
  <c r="O215" i="7"/>
  <c r="S215" i="7"/>
  <c r="V215" i="7"/>
  <c r="BJ284" i="11"/>
  <c r="O79" i="7"/>
  <c r="S79" i="7"/>
  <c r="V79" i="7"/>
  <c r="Z79" i="7"/>
  <c r="AC79" i="7" s="1"/>
  <c r="BJ318" i="11"/>
  <c r="K128" i="7"/>
  <c r="J128" i="7"/>
  <c r="W128" i="7" s="1"/>
  <c r="AZ9" i="11"/>
  <c r="BF222" i="11"/>
  <c r="BF9" i="11" s="1"/>
  <c r="AN9" i="11"/>
  <c r="BM305" i="11"/>
  <c r="BH305" i="11"/>
  <c r="BJ307" i="11"/>
  <c r="BE307" i="11"/>
  <c r="BB307" i="11"/>
  <c r="O93" i="7"/>
  <c r="S93" i="7"/>
  <c r="V93" i="7"/>
  <c r="Z93" i="7"/>
  <c r="AC93" i="7" s="1"/>
  <c r="BH245" i="11"/>
  <c r="BM245" i="11"/>
  <c r="O194" i="7"/>
  <c r="S194" i="7"/>
  <c r="V194" i="7"/>
  <c r="Z194" i="7"/>
  <c r="AC194" i="7" s="1"/>
  <c r="X97" i="12"/>
  <c r="AA170" i="12"/>
  <c r="AF170" i="12"/>
  <c r="BJ325" i="11"/>
  <c r="BE325" i="11"/>
  <c r="BB325" i="11"/>
  <c r="Z34" i="7"/>
  <c r="AC34" i="7" s="1"/>
  <c r="O34" i="7"/>
  <c r="S34" i="7"/>
  <c r="V34" i="7"/>
  <c r="AD118" i="7"/>
  <c r="AF118" i="7"/>
  <c r="AF197" i="12"/>
  <c r="AA197" i="12"/>
  <c r="X165" i="12"/>
  <c r="Z169" i="7"/>
  <c r="AC169" i="7" s="1"/>
  <c r="O169" i="7"/>
  <c r="S169" i="7"/>
  <c r="V169" i="7"/>
  <c r="X150" i="12"/>
  <c r="AF35" i="12"/>
  <c r="AA35" i="12"/>
  <c r="X114" i="12"/>
  <c r="X148" i="12"/>
  <c r="W123" i="12"/>
  <c r="O75" i="7"/>
  <c r="S75" i="7"/>
  <c r="V75" i="7"/>
  <c r="Z75" i="7"/>
  <c r="AC75" i="7" s="1"/>
  <c r="AA75" i="12"/>
  <c r="W37" i="12"/>
  <c r="AF132" i="12"/>
  <c r="BK280" i="11"/>
  <c r="X135" i="12"/>
  <c r="AA96" i="12"/>
  <c r="BH323" i="11"/>
  <c r="BM323" i="11"/>
  <c r="K210" i="7"/>
  <c r="J210" i="7"/>
  <c r="W210" i="7" s="1"/>
  <c r="Z98" i="7"/>
  <c r="AC98" i="7" s="1"/>
  <c r="O98" i="7"/>
  <c r="S98" i="7"/>
  <c r="V98" i="7"/>
  <c r="X66" i="12"/>
  <c r="BK284" i="11"/>
  <c r="Z89" i="7"/>
  <c r="AC89" i="7" s="1"/>
  <c r="O89" i="7"/>
  <c r="S89" i="7"/>
  <c r="V89" i="7"/>
  <c r="W160" i="12"/>
  <c r="X160" i="12"/>
  <c r="AF64" i="12"/>
  <c r="AA64" i="12"/>
  <c r="BH319" i="11"/>
  <c r="BM319" i="11"/>
  <c r="J139" i="7"/>
  <c r="W139" i="7" s="1"/>
  <c r="K139" i="7"/>
  <c r="O84" i="7"/>
  <c r="S84" i="7"/>
  <c r="V84" i="7"/>
  <c r="Z84" i="7"/>
  <c r="AC84" i="7" s="1"/>
  <c r="AF84" i="12"/>
  <c r="AA84" i="12"/>
  <c r="X90" i="12"/>
  <c r="AF218" i="7"/>
  <c r="AD218" i="7"/>
  <c r="BM23" i="11"/>
  <c r="O159" i="7"/>
  <c r="S159" i="7"/>
  <c r="V159" i="7"/>
  <c r="Z159" i="7"/>
  <c r="AC159" i="7" s="1"/>
  <c r="Z180" i="7"/>
  <c r="AC180" i="7" s="1"/>
  <c r="O180" i="7"/>
  <c r="S180" i="7"/>
  <c r="V180" i="7"/>
  <c r="AA180" i="12"/>
  <c r="AF180" i="12"/>
  <c r="BK271" i="11"/>
  <c r="O49" i="7"/>
  <c r="S49" i="7"/>
  <c r="V49" i="7"/>
  <c r="Z49" i="7"/>
  <c r="AC49" i="7" s="1"/>
  <c r="AA82" i="12"/>
  <c r="AF82" i="12"/>
  <c r="Z149" i="7"/>
  <c r="AC149" i="7" s="1"/>
  <c r="O149" i="7"/>
  <c r="S149" i="7"/>
  <c r="V149" i="7"/>
  <c r="AF59" i="12"/>
  <c r="AA68" i="12"/>
  <c r="AF68" i="12"/>
  <c r="AH92" i="7"/>
  <c r="F92" i="12" s="1"/>
  <c r="D92" i="12"/>
  <c r="AP92" i="7"/>
  <c r="AM92" i="7"/>
  <c r="AQ92" i="7"/>
  <c r="Z191" i="7"/>
  <c r="AC191" i="7" s="1"/>
  <c r="O191" i="7"/>
  <c r="S191" i="7"/>
  <c r="V191" i="7"/>
  <c r="Y112" i="12"/>
  <c r="O54" i="7"/>
  <c r="S54" i="7"/>
  <c r="V54" i="7"/>
  <c r="Z54" i="7"/>
  <c r="AC54" i="7" s="1"/>
  <c r="BM56" i="11"/>
  <c r="X193" i="12"/>
  <c r="AM51" i="7"/>
  <c r="AH51" i="7"/>
  <c r="F51" i="12" s="1"/>
  <c r="D51" i="12"/>
  <c r="AP51" i="7"/>
  <c r="AQ51" i="7"/>
  <c r="BK265" i="11"/>
  <c r="BJ314" i="11"/>
  <c r="BK270" i="11"/>
  <c r="BM320" i="11"/>
  <c r="BH320" i="11"/>
  <c r="AD86" i="7"/>
  <c r="AF86" i="7"/>
  <c r="D101" i="7"/>
  <c r="BH101" i="11"/>
  <c r="BE249" i="11"/>
  <c r="BB249" i="11"/>
  <c r="BJ249" i="11"/>
  <c r="X70" i="12"/>
  <c r="BF258" i="11"/>
  <c r="BK258" i="11"/>
  <c r="BJ323" i="11"/>
  <c r="AA202" i="12"/>
  <c r="AF202" i="12"/>
  <c r="BM65" i="11"/>
  <c r="AA63" i="12"/>
  <c r="AF63" i="12"/>
  <c r="X200" i="12"/>
  <c r="BH237" i="11"/>
  <c r="BM237" i="11"/>
  <c r="K14" i="7"/>
  <c r="J14" i="7"/>
  <c r="W14" i="7" s="1"/>
  <c r="BJ282" i="11"/>
  <c r="AA155" i="12"/>
  <c r="AF155" i="12"/>
  <c r="AA187" i="12"/>
  <c r="BM21" i="11"/>
  <c r="X147" i="12"/>
  <c r="BJ267" i="11"/>
  <c r="BH281" i="11"/>
  <c r="BM17" i="11"/>
  <c r="L13" i="31"/>
  <c r="X125" i="12"/>
  <c r="AP211" i="7"/>
  <c r="AH211" i="7"/>
  <c r="F211" i="12" s="1"/>
  <c r="D211" i="12"/>
  <c r="AM211" i="7"/>
  <c r="AQ211" i="7"/>
  <c r="AM262" i="11"/>
  <c r="BH236" i="11"/>
  <c r="BM236" i="11"/>
  <c r="BB228" i="11"/>
  <c r="T16" i="7"/>
  <c r="BM256" i="11"/>
  <c r="BH256" i="11"/>
  <c r="Z60" i="7"/>
  <c r="AC60" i="7" s="1"/>
  <c r="O60" i="7"/>
  <c r="S60" i="7"/>
  <c r="V60" i="7"/>
  <c r="Z184" i="7"/>
  <c r="AC184" i="7" s="1"/>
  <c r="O184" i="7"/>
  <c r="S184" i="7"/>
  <c r="V184" i="7"/>
  <c r="W192" i="12"/>
  <c r="X192" i="12"/>
  <c r="AH113" i="7"/>
  <c r="F113" i="12" s="1"/>
  <c r="AM113" i="7"/>
  <c r="AP113" i="7"/>
  <c r="D113" i="12"/>
  <c r="AQ113" i="7"/>
  <c r="Z83" i="7"/>
  <c r="AC83" i="7" s="1"/>
  <c r="O83" i="7"/>
  <c r="S83" i="7"/>
  <c r="V83" i="7"/>
  <c r="BJ279" i="11"/>
  <c r="AF117" i="12"/>
  <c r="AA117" i="12"/>
  <c r="BM303" i="11"/>
  <c r="BH303" i="11"/>
  <c r="X95" i="12"/>
  <c r="O176" i="7"/>
  <c r="S176" i="7"/>
  <c r="V176" i="7"/>
  <c r="Z176" i="7"/>
  <c r="AC176" i="7" s="1"/>
  <c r="O74" i="7"/>
  <c r="S74" i="7"/>
  <c r="V74" i="7"/>
  <c r="Z74" i="7"/>
  <c r="AC74" i="7" s="1"/>
  <c r="AA74" i="12"/>
  <c r="O131" i="7"/>
  <c r="S131" i="7"/>
  <c r="V131" i="7"/>
  <c r="Z131" i="7"/>
  <c r="AC131" i="7" s="1"/>
  <c r="AF131" i="12"/>
  <c r="AA131" i="12"/>
  <c r="K143" i="7"/>
  <c r="J143" i="7"/>
  <c r="W143" i="7" s="1"/>
  <c r="AD72" i="7"/>
  <c r="AF72" i="7"/>
  <c r="AF219" i="7"/>
  <c r="AD219" i="7"/>
  <c r="K122" i="7"/>
  <c r="J122" i="7"/>
  <c r="W122" i="7" s="1"/>
  <c r="BJ272" i="11"/>
  <c r="BF286" i="11"/>
  <c r="BM81" i="11"/>
  <c r="BH267" i="11"/>
  <c r="BH251" i="11"/>
  <c r="BM251" i="11"/>
  <c r="K16" i="31"/>
  <c r="K17" i="31" s="1"/>
  <c r="J24" i="7"/>
  <c r="W24" i="7" s="1"/>
  <c r="K24" i="7"/>
  <c r="BJ315" i="11"/>
  <c r="O168" i="7"/>
  <c r="S168" i="7"/>
  <c r="V168" i="7"/>
  <c r="Z168" i="7"/>
  <c r="AC168" i="7" s="1"/>
  <c r="BJ280" i="11"/>
  <c r="BM313" i="11"/>
  <c r="BH313" i="11"/>
  <c r="BK230" i="11"/>
  <c r="BH257" i="11"/>
  <c r="BM257" i="11"/>
  <c r="BM246" i="11"/>
  <c r="BH246" i="11"/>
  <c r="BH288" i="11"/>
  <c r="BH242" i="11"/>
  <c r="BM242" i="11"/>
  <c r="J55" i="7"/>
  <c r="W55" i="7" s="1"/>
  <c r="K55" i="7"/>
  <c r="BK229" i="11"/>
  <c r="J26" i="7"/>
  <c r="W26" i="7" s="1"/>
  <c r="K26" i="7"/>
  <c r="BK313" i="11"/>
  <c r="Z109" i="7"/>
  <c r="AC109" i="7" s="1"/>
  <c r="O109" i="7"/>
  <c r="S109" i="7"/>
  <c r="V109" i="7"/>
  <c r="AA47" i="12"/>
  <c r="AF47" i="12"/>
  <c r="BH283" i="11"/>
  <c r="K15" i="7"/>
  <c r="J15" i="7"/>
  <c r="W15" i="7" s="1"/>
  <c r="AF107" i="7"/>
  <c r="AD107" i="7"/>
  <c r="O199" i="7"/>
  <c r="S199" i="7"/>
  <c r="V199" i="7"/>
  <c r="Z199" i="7"/>
  <c r="AC199" i="7" s="1"/>
  <c r="AA87" i="12"/>
  <c r="AF87" i="12"/>
  <c r="X109" i="12"/>
  <c r="BM102" i="11"/>
  <c r="AA173" i="12"/>
  <c r="AF173" i="12"/>
  <c r="Y20" i="12"/>
  <c r="AA32" i="12"/>
  <c r="AF32" i="12"/>
  <c r="Y29" i="12"/>
  <c r="AF96" i="7"/>
  <c r="AD96" i="7"/>
  <c r="BJ276" i="11"/>
  <c r="BB276" i="11"/>
  <c r="BE276" i="11"/>
  <c r="BJ265" i="11"/>
  <c r="AF58" i="7"/>
  <c r="AD58" i="7"/>
  <c r="BH268" i="11"/>
  <c r="K172" i="7"/>
  <c r="J172" i="7"/>
  <c r="W172" i="7" s="1"/>
  <c r="J108" i="7"/>
  <c r="W108" i="7" s="1"/>
  <c r="K108" i="7"/>
  <c r="AH133" i="7"/>
  <c r="F133" i="12" s="1"/>
  <c r="D133" i="12"/>
  <c r="AP133" i="7"/>
  <c r="AM133" i="7"/>
  <c r="AQ133" i="7"/>
  <c r="BM128" i="11"/>
  <c r="BJ281" i="11"/>
  <c r="O217" i="7"/>
  <c r="S217" i="7"/>
  <c r="V217" i="7"/>
  <c r="Z217" i="7"/>
  <c r="AC217" i="7" s="1"/>
  <c r="O208" i="7"/>
  <c r="S208" i="7"/>
  <c r="V208" i="7"/>
  <c r="Z208" i="7"/>
  <c r="AC208" i="7" s="1"/>
  <c r="AA208" i="12"/>
  <c r="BJ270" i="11"/>
  <c r="BK307" i="11"/>
  <c r="BF307" i="11"/>
  <c r="BK267" i="11"/>
  <c r="AF137" i="7"/>
  <c r="AD137" i="7"/>
  <c r="BM144" i="11"/>
  <c r="AF153" i="12"/>
  <c r="AA153" i="12"/>
  <c r="BB232" i="11"/>
  <c r="BE232" i="11"/>
  <c r="AA28" i="12"/>
  <c r="AF28" i="12"/>
  <c r="AF93" i="12"/>
  <c r="BM228" i="11"/>
  <c r="BH228" i="11"/>
  <c r="AM76" i="7"/>
  <c r="AP76" i="7"/>
  <c r="AH76" i="7"/>
  <c r="F76" i="12" s="1"/>
  <c r="D76" i="12"/>
  <c r="AQ76" i="7"/>
  <c r="AA207" i="12"/>
  <c r="AF207" i="12"/>
  <c r="AA34" i="12"/>
  <c r="AF34" i="12"/>
  <c r="O197" i="7"/>
  <c r="S197" i="7"/>
  <c r="V197" i="7"/>
  <c r="Z197" i="7"/>
  <c r="AC197" i="7" s="1"/>
  <c r="BJ288" i="11"/>
  <c r="AA165" i="12"/>
  <c r="X169" i="12"/>
  <c r="AA150" i="12"/>
  <c r="AF150" i="12"/>
  <c r="Z35" i="7"/>
  <c r="AC35" i="7" s="1"/>
  <c r="O35" i="7"/>
  <c r="S35" i="7"/>
  <c r="V35" i="7"/>
  <c r="Z134" i="7"/>
  <c r="AC134" i="7" s="1"/>
  <c r="O134" i="7"/>
  <c r="S134" i="7"/>
  <c r="V134" i="7"/>
  <c r="Z148" i="7"/>
  <c r="AC148" i="7" s="1"/>
  <c r="O148" i="7"/>
  <c r="S148" i="7"/>
  <c r="V148" i="7"/>
  <c r="BE230" i="11"/>
  <c r="BB230" i="11"/>
  <c r="X75" i="12"/>
  <c r="BK266" i="11"/>
  <c r="X132" i="12"/>
  <c r="X181" i="12"/>
  <c r="Z66" i="7"/>
  <c r="AC66" i="7" s="1"/>
  <c r="O66" i="7"/>
  <c r="S66" i="7"/>
  <c r="V66" i="7"/>
  <c r="BB290" i="11"/>
  <c r="BK290" i="11"/>
  <c r="BF290" i="11"/>
  <c r="BJ258" i="11"/>
  <c r="BE258" i="11"/>
  <c r="BB258" i="11"/>
  <c r="AA89" i="12"/>
  <c r="AF89" i="12"/>
  <c r="P62" i="7"/>
  <c r="BK272" i="11"/>
  <c r="X84" i="12"/>
  <c r="AF90" i="12"/>
  <c r="AA90" i="12"/>
  <c r="AF154" i="12"/>
  <c r="AA154" i="12"/>
  <c r="O156" i="7"/>
  <c r="S156" i="7"/>
  <c r="V156" i="7"/>
  <c r="Z156" i="7"/>
  <c r="AC156" i="7" s="1"/>
  <c r="AF196" i="12"/>
  <c r="AA49" i="12"/>
  <c r="AF49" i="12"/>
  <c r="O82" i="7"/>
  <c r="S82" i="7"/>
  <c r="V82" i="7"/>
  <c r="Z82" i="7"/>
  <c r="AC82" i="7" s="1"/>
  <c r="AD59" i="7"/>
  <c r="AF59" i="7"/>
  <c r="K19" i="31"/>
  <c r="AF191" i="12"/>
  <c r="AA191" i="12"/>
  <c r="AA125" i="12"/>
  <c r="AF25" i="7"/>
  <c r="AD25" i="7"/>
  <c r="O140" i="7"/>
  <c r="S140" i="7"/>
  <c r="V140" i="7"/>
  <c r="Z140" i="7"/>
  <c r="AC140" i="7" s="1"/>
  <c r="BK268" i="11"/>
  <c r="Y167" i="12"/>
  <c r="AA54" i="12"/>
  <c r="AF54" i="12"/>
  <c r="K56" i="7"/>
  <c r="J56" i="7"/>
  <c r="W56" i="7" s="1"/>
  <c r="O193" i="7"/>
  <c r="S193" i="7"/>
  <c r="V193" i="7"/>
  <c r="Z193" i="7"/>
  <c r="AC193" i="7" s="1"/>
  <c r="AD161" i="7"/>
  <c r="AF161" i="7"/>
  <c r="BK318" i="11"/>
  <c r="BK276" i="11"/>
  <c r="BF276" i="11"/>
  <c r="AF124" i="12"/>
  <c r="AA124" i="12"/>
  <c r="J171" i="7"/>
  <c r="W171" i="7" s="1"/>
  <c r="K171" i="7"/>
  <c r="O88" i="7"/>
  <c r="S88" i="7"/>
  <c r="V88" i="7"/>
  <c r="Z88" i="7"/>
  <c r="AC88" i="7" s="1"/>
  <c r="AA101" i="7"/>
  <c r="AB101" i="7" s="1"/>
  <c r="BM13" i="11"/>
  <c r="BJ273" i="11"/>
  <c r="Y145" i="12"/>
  <c r="AA111" i="12"/>
  <c r="AF111" i="12"/>
  <c r="O202" i="7"/>
  <c r="S202" i="7"/>
  <c r="V202" i="7"/>
  <c r="Z202" i="7"/>
  <c r="AC202" i="7" s="1"/>
  <c r="BH269" i="11"/>
  <c r="BM18" i="11"/>
  <c r="J65" i="7"/>
  <c r="W65" i="7" s="1"/>
  <c r="K65" i="7"/>
  <c r="BH295" i="11"/>
  <c r="BM295" i="11"/>
  <c r="BJ268" i="11"/>
  <c r="BK287" i="11"/>
  <c r="W175" i="12"/>
  <c r="O155" i="7"/>
  <c r="S155" i="7"/>
  <c r="V155" i="7"/>
  <c r="Z155" i="7"/>
  <c r="AC155" i="7" s="1"/>
  <c r="AA141" i="12"/>
  <c r="AF141" i="12"/>
  <c r="BM312" i="11"/>
  <c r="BH312" i="11"/>
  <c r="BF325" i="11"/>
  <c r="BK325" i="11"/>
  <c r="O125" i="7"/>
  <c r="S125" i="7"/>
  <c r="V125" i="7"/>
  <c r="Z125" i="7"/>
  <c r="AC125" i="7" s="1"/>
  <c r="BH227" i="11"/>
  <c r="AQ232" i="11"/>
  <c r="BM227" i="11"/>
  <c r="BH285" i="11"/>
  <c r="BH271" i="11"/>
  <c r="BJ274" i="11"/>
  <c r="K38" i="7"/>
  <c r="J38" i="7"/>
  <c r="W38" i="7" s="1"/>
  <c r="J174" i="7"/>
  <c r="W174" i="7" s="1"/>
  <c r="K174" i="7"/>
  <c r="AA67" i="12"/>
  <c r="X184" i="12"/>
  <c r="W167" i="12"/>
  <c r="BJ290" i="11"/>
  <c r="BE290" i="11"/>
  <c r="AZ4" i="11"/>
  <c r="F44" i="4" s="1"/>
  <c r="W99" i="12"/>
  <c r="K142" i="7"/>
  <c r="J142" i="7"/>
  <c r="W142" i="7" s="1"/>
  <c r="O95" i="7"/>
  <c r="S95" i="7"/>
  <c r="V95" i="7"/>
  <c r="Z95" i="7"/>
  <c r="AC95" i="7" s="1"/>
  <c r="X74" i="12"/>
  <c r="Y44" i="12"/>
  <c r="X131" i="12"/>
  <c r="Y39" i="12"/>
  <c r="BH301" i="11"/>
  <c r="BM301" i="11"/>
  <c r="AF121" i="7"/>
  <c r="AD121" i="7"/>
  <c r="O183" i="7"/>
  <c r="S183" i="7"/>
  <c r="V183" i="7"/>
  <c r="Z183" i="7"/>
  <c r="AC183" i="7" s="1"/>
  <c r="Y123" i="12"/>
  <c r="AF126" i="12"/>
  <c r="AA126" i="12"/>
  <c r="AF161" i="12"/>
  <c r="BK297" i="11"/>
  <c r="BF297" i="11"/>
  <c r="K81" i="7"/>
  <c r="J81" i="7"/>
  <c r="W81" i="7" s="1"/>
  <c r="K213" i="7"/>
  <c r="J213" i="7"/>
  <c r="W213" i="7" s="1"/>
  <c r="Y43" i="12"/>
  <c r="J41" i="7"/>
  <c r="W41" i="7" s="1"/>
  <c r="K41" i="7"/>
  <c r="BM318" i="11"/>
  <c r="BH318" i="11"/>
  <c r="K120" i="7"/>
  <c r="J120" i="7"/>
  <c r="W120" i="7" s="1"/>
  <c r="L19" i="31"/>
  <c r="S21" i="30"/>
  <c r="BK227" i="11"/>
  <c r="AF158" i="12"/>
  <c r="J100" i="7"/>
  <c r="W100" i="7" s="1"/>
  <c r="K100" i="7"/>
  <c r="AY4" i="11"/>
  <c r="F41" i="4" s="1"/>
  <c r="AY5" i="11"/>
  <c r="F42" i="4" s="1"/>
  <c r="BJ222" i="11"/>
  <c r="BJ9" i="11" s="1"/>
  <c r="AS9" i="11"/>
  <c r="BB222" i="11"/>
  <c r="BB9" i="11" s="1"/>
  <c r="BM24" i="11"/>
  <c r="Z50" i="7"/>
  <c r="AC50" i="7" s="1"/>
  <c r="O50" i="7"/>
  <c r="S50" i="7"/>
  <c r="V50" i="7"/>
  <c r="J19" i="7"/>
  <c r="W19" i="7" s="1"/>
  <c r="K19" i="7"/>
  <c r="X168" i="12"/>
  <c r="AF52" i="7"/>
  <c r="AD52" i="7"/>
  <c r="BK288" i="11"/>
  <c r="AQ262" i="11"/>
  <c r="BH240" i="11"/>
  <c r="BM240" i="11"/>
  <c r="J30" i="7"/>
  <c r="W30" i="7" s="1"/>
  <c r="K30" i="7"/>
  <c r="BK320" i="11"/>
  <c r="AA77" i="12"/>
  <c r="AF77" i="12"/>
  <c r="BH322" i="11"/>
  <c r="BM322" i="11"/>
  <c r="J182" i="7"/>
  <c r="W182" i="7" s="1"/>
  <c r="K182" i="7"/>
  <c r="BM80" i="11"/>
  <c r="K31" i="7"/>
  <c r="J31" i="7"/>
  <c r="W31" i="7" s="1"/>
  <c r="BM314" i="11"/>
  <c r="BH314" i="11"/>
  <c r="BM297" i="11" l="1"/>
  <c r="X130" i="12"/>
  <c r="X37" i="12"/>
  <c r="X99" i="12"/>
  <c r="Y162" i="12"/>
  <c r="X44" i="12"/>
  <c r="X112" i="12"/>
  <c r="AA167" i="12"/>
  <c r="K296" i="7"/>
  <c r="J296" i="7"/>
  <c r="K239" i="7"/>
  <c r="J239" i="7"/>
  <c r="J316" i="7"/>
  <c r="K316" i="7"/>
  <c r="J317" i="7"/>
  <c r="K317" i="7"/>
  <c r="P41" i="7"/>
  <c r="BM271" i="11"/>
  <c r="BH232" i="11"/>
  <c r="AF125" i="7"/>
  <c r="AD125" i="7"/>
  <c r="P65" i="7"/>
  <c r="BM269" i="11"/>
  <c r="J253" i="7"/>
  <c r="K253" i="7"/>
  <c r="J242" i="7"/>
  <c r="K242" i="7"/>
  <c r="AD140" i="7"/>
  <c r="AF140" i="7"/>
  <c r="AD82" i="7"/>
  <c r="AF82" i="7"/>
  <c r="T62" i="7"/>
  <c r="BJ230" i="11"/>
  <c r="K76" i="12"/>
  <c r="S76" i="12"/>
  <c r="L76" i="12"/>
  <c r="AM137" i="7"/>
  <c r="AH137" i="7"/>
  <c r="F137" i="12" s="1"/>
  <c r="AP137" i="7"/>
  <c r="D137" i="12"/>
  <c r="AQ137" i="7"/>
  <c r="K320" i="7"/>
  <c r="J320" i="7"/>
  <c r="J229" i="7"/>
  <c r="K229" i="7"/>
  <c r="BM268" i="11"/>
  <c r="AD199" i="7"/>
  <c r="AF199" i="7"/>
  <c r="J282" i="7"/>
  <c r="K282" i="7"/>
  <c r="K241" i="7"/>
  <c r="J241" i="7"/>
  <c r="AF168" i="7"/>
  <c r="AD168" i="7"/>
  <c r="J238" i="7"/>
  <c r="K238" i="7"/>
  <c r="BM267" i="11"/>
  <c r="AF83" i="7"/>
  <c r="AD83" i="7"/>
  <c r="AI113" i="7"/>
  <c r="G113" i="12" s="1"/>
  <c r="AN113" i="7"/>
  <c r="BM249" i="11"/>
  <c r="BH249" i="11"/>
  <c r="AF54" i="7"/>
  <c r="AD54" i="7"/>
  <c r="AD191" i="7"/>
  <c r="AF191" i="7"/>
  <c r="AF159" i="7"/>
  <c r="AD159" i="7"/>
  <c r="K252" i="7"/>
  <c r="J252" i="7"/>
  <c r="AF75" i="7"/>
  <c r="AD75" i="7"/>
  <c r="O123" i="7"/>
  <c r="S123" i="7"/>
  <c r="V123" i="7"/>
  <c r="Z123" i="7"/>
  <c r="AC123" i="7" s="1"/>
  <c r="AD169" i="7"/>
  <c r="AF169" i="7"/>
  <c r="AF34" i="7"/>
  <c r="AD34" i="7"/>
  <c r="AD194" i="7"/>
  <c r="AF194" i="7"/>
  <c r="AD93" i="7"/>
  <c r="AF93" i="7"/>
  <c r="BK222" i="11"/>
  <c r="BK9" i="11" s="1"/>
  <c r="AT9" i="11"/>
  <c r="K301" i="7"/>
  <c r="J301" i="7"/>
  <c r="L190" i="12"/>
  <c r="K190" i="12"/>
  <c r="S190" i="12"/>
  <c r="W164" i="12"/>
  <c r="K311" i="7"/>
  <c r="J311" i="7"/>
  <c r="BM282" i="11"/>
  <c r="AF200" i="7"/>
  <c r="AD200" i="7"/>
  <c r="AF136" i="7"/>
  <c r="AD136" i="7"/>
  <c r="K298" i="7"/>
  <c r="J298" i="7"/>
  <c r="AD90" i="7"/>
  <c r="AF90" i="7"/>
  <c r="AA20" i="12"/>
  <c r="AF165" i="7"/>
  <c r="AD165" i="7"/>
  <c r="AD97" i="7"/>
  <c r="AF97" i="7"/>
  <c r="P33" i="7"/>
  <c r="AF166" i="7"/>
  <c r="AD166" i="7"/>
  <c r="AD77" i="7"/>
  <c r="AF77" i="7"/>
  <c r="AD117" i="7"/>
  <c r="AF117" i="7"/>
  <c r="J284" i="7"/>
  <c r="K284" i="7"/>
  <c r="J293" i="7"/>
  <c r="K293" i="7"/>
  <c r="D306" i="7"/>
  <c r="BH222" i="11"/>
  <c r="BH9" i="11" s="1"/>
  <c r="AQ9" i="11"/>
  <c r="P21" i="7"/>
  <c r="BM272" i="11"/>
  <c r="P13" i="7"/>
  <c r="BH286" i="11"/>
  <c r="K185" i="12"/>
  <c r="S185" i="12"/>
  <c r="L185" i="12"/>
  <c r="AF116" i="7"/>
  <c r="AD116" i="7"/>
  <c r="X39" i="12"/>
  <c r="AM110" i="7"/>
  <c r="AP110" i="7"/>
  <c r="AH110" i="7"/>
  <c r="F110" i="12" s="1"/>
  <c r="D110" i="12"/>
  <c r="AQ110" i="7"/>
  <c r="AD153" i="7"/>
  <c r="AF153" i="7"/>
  <c r="AM69" i="7"/>
  <c r="D69" i="12"/>
  <c r="AH69" i="7"/>
  <c r="F69" i="12" s="1"/>
  <c r="AP69" i="7"/>
  <c r="AQ69" i="7"/>
  <c r="P31" i="7"/>
  <c r="J265" i="7"/>
  <c r="K265" i="7"/>
  <c r="BH262" i="11"/>
  <c r="BM262" i="11"/>
  <c r="P19" i="7"/>
  <c r="BH317" i="11"/>
  <c r="BM317" i="11"/>
  <c r="J321" i="7"/>
  <c r="K321" i="7"/>
  <c r="AP52" i="7"/>
  <c r="D52" i="12"/>
  <c r="AH52" i="7"/>
  <c r="F52" i="12" s="1"/>
  <c r="AM52" i="7"/>
  <c r="AQ52" i="7"/>
  <c r="AD50" i="7"/>
  <c r="AF50" i="7"/>
  <c r="K247" i="7"/>
  <c r="J247" i="7"/>
  <c r="J259" i="7"/>
  <c r="K259" i="7"/>
  <c r="P81" i="7"/>
  <c r="AD95" i="7"/>
  <c r="AF95" i="7"/>
  <c r="Z99" i="7"/>
  <c r="AC99" i="7" s="1"/>
  <c r="O99" i="7"/>
  <c r="S99" i="7"/>
  <c r="V99" i="7"/>
  <c r="J255" i="7"/>
  <c r="K255" i="7"/>
  <c r="P38" i="7"/>
  <c r="BM285" i="11"/>
  <c r="Y36" i="12"/>
  <c r="AF202" i="7"/>
  <c r="AD202" i="7"/>
  <c r="AF88" i="7"/>
  <c r="AD88" i="7"/>
  <c r="K319" i="7"/>
  <c r="J319" i="7"/>
  <c r="AD193" i="7"/>
  <c r="AF193" i="7"/>
  <c r="D25" i="12"/>
  <c r="AH25" i="7"/>
  <c r="F25" i="12" s="1"/>
  <c r="AM25" i="7"/>
  <c r="AP25" i="7"/>
  <c r="AQ25" i="7"/>
  <c r="AF156" i="7"/>
  <c r="AD156" i="7"/>
  <c r="S133" i="12"/>
  <c r="L133" i="12"/>
  <c r="K133" i="12"/>
  <c r="K299" i="7"/>
  <c r="J299" i="7"/>
  <c r="AM107" i="7"/>
  <c r="D107" i="12"/>
  <c r="AH107" i="7"/>
  <c r="F107" i="12" s="1"/>
  <c r="AP107" i="7"/>
  <c r="AQ107" i="7"/>
  <c r="P15" i="7"/>
  <c r="AD109" i="7"/>
  <c r="AF109" i="7"/>
  <c r="J278" i="7"/>
  <c r="K278" i="7"/>
  <c r="P55" i="7"/>
  <c r="P24" i="7"/>
  <c r="J251" i="7"/>
  <c r="K251" i="7"/>
  <c r="D219" i="12"/>
  <c r="AH219" i="7"/>
  <c r="F219" i="12" s="1"/>
  <c r="AP219" i="7"/>
  <c r="AM219" i="7"/>
  <c r="AQ219" i="7"/>
  <c r="L113" i="12"/>
  <c r="S113" i="12"/>
  <c r="K113" i="12"/>
  <c r="O192" i="7"/>
  <c r="S192" i="7"/>
  <c r="V192" i="7"/>
  <c r="Z192" i="7"/>
  <c r="AC192" i="7" s="1"/>
  <c r="AF192" i="12"/>
  <c r="BM281" i="11"/>
  <c r="J271" i="7"/>
  <c r="K271" i="7"/>
  <c r="P14" i="7"/>
  <c r="J101" i="7"/>
  <c r="W101" i="7" s="1"/>
  <c r="K101" i="7"/>
  <c r="BM230" i="11"/>
  <c r="BH230" i="11"/>
  <c r="K92" i="12"/>
  <c r="S92" i="12"/>
  <c r="L92" i="12"/>
  <c r="AD49" i="7"/>
  <c r="AF49" i="7"/>
  <c r="AM218" i="7"/>
  <c r="AH218" i="7"/>
  <c r="F218" i="12" s="1"/>
  <c r="D218" i="12"/>
  <c r="AP218" i="7"/>
  <c r="AQ218" i="7"/>
  <c r="AF84" i="7"/>
  <c r="AD84" i="7"/>
  <c r="J228" i="7"/>
  <c r="K228" i="7"/>
  <c r="AA160" i="12"/>
  <c r="AF98" i="7"/>
  <c r="AD98" i="7"/>
  <c r="P210" i="7"/>
  <c r="AA37" i="12"/>
  <c r="P128" i="7"/>
  <c r="AD79" i="7"/>
  <c r="AF79" i="7"/>
  <c r="AF179" i="7"/>
  <c r="AD179" i="7"/>
  <c r="P27" i="7"/>
  <c r="AH115" i="7"/>
  <c r="F115" i="12" s="1"/>
  <c r="AP115" i="7"/>
  <c r="D115" i="12"/>
  <c r="AM115" i="7"/>
  <c r="AQ115" i="7"/>
  <c r="AA29" i="12"/>
  <c r="J269" i="7"/>
  <c r="K269" i="7"/>
  <c r="K297" i="7"/>
  <c r="J297" i="7"/>
  <c r="P22" i="7"/>
  <c r="AF147" i="7"/>
  <c r="AD147" i="7"/>
  <c r="BH284" i="11"/>
  <c r="BM273" i="11"/>
  <c r="AF70" i="7"/>
  <c r="AD70" i="7"/>
  <c r="Y198" i="12"/>
  <c r="O130" i="7"/>
  <c r="S130" i="7"/>
  <c r="V130" i="7"/>
  <c r="Z130" i="7"/>
  <c r="AC130" i="7" s="1"/>
  <c r="AA130" i="12"/>
  <c r="AF130" i="12"/>
  <c r="AF152" i="7"/>
  <c r="AD152" i="7"/>
  <c r="O20" i="7"/>
  <c r="S20" i="7"/>
  <c r="V20" i="7"/>
  <c r="Z20" i="7"/>
  <c r="AC20" i="7" s="1"/>
  <c r="AM138" i="7"/>
  <c r="AH138" i="7"/>
  <c r="F138" i="12" s="1"/>
  <c r="AP138" i="7"/>
  <c r="D138" i="12"/>
  <c r="AQ138" i="7"/>
  <c r="AF114" i="7"/>
  <c r="AD114" i="7"/>
  <c r="D105" i="12"/>
  <c r="AH105" i="7"/>
  <c r="F105" i="12" s="1"/>
  <c r="AP105" i="7"/>
  <c r="AM105" i="7"/>
  <c r="AQ105" i="7"/>
  <c r="AF150" i="7"/>
  <c r="AD150" i="7"/>
  <c r="AM119" i="7"/>
  <c r="D119" i="12"/>
  <c r="AP119" i="7"/>
  <c r="AH119" i="7"/>
  <c r="F119" i="12" s="1"/>
  <c r="AQ119" i="7"/>
  <c r="P144" i="7"/>
  <c r="Y195" i="12"/>
  <c r="AM45" i="7"/>
  <c r="D45" i="12"/>
  <c r="AP45" i="7"/>
  <c r="AH45" i="7"/>
  <c r="F45" i="12" s="1"/>
  <c r="AQ45" i="7"/>
  <c r="J315" i="7"/>
  <c r="K315" i="7"/>
  <c r="AQ5" i="11"/>
  <c r="F33" i="4" s="1"/>
  <c r="R9" i="30"/>
  <c r="D220" i="12"/>
  <c r="AP220" i="7"/>
  <c r="AM220" i="7"/>
  <c r="AH220" i="7"/>
  <c r="F220" i="12" s="1"/>
  <c r="AQ220" i="7"/>
  <c r="AP53" i="7"/>
  <c r="AH53" i="7"/>
  <c r="F53" i="12" s="1"/>
  <c r="AM53" i="7"/>
  <c r="D53" i="12"/>
  <c r="AQ53" i="7"/>
  <c r="D222" i="7"/>
  <c r="K270" i="7"/>
  <c r="J270" i="7"/>
  <c r="BM270" i="11"/>
  <c r="W198" i="12"/>
  <c r="AA43" i="12"/>
  <c r="J286" i="7"/>
  <c r="K286" i="7"/>
  <c r="BM287" i="11"/>
  <c r="D289" i="7"/>
  <c r="AH205" i="7"/>
  <c r="F205" i="12" s="1"/>
  <c r="D205" i="12"/>
  <c r="AP205" i="7"/>
  <c r="AM205" i="7"/>
  <c r="AQ205" i="7"/>
  <c r="AN185" i="7"/>
  <c r="AI185" i="7"/>
  <c r="G185" i="12" s="1"/>
  <c r="AD178" i="7"/>
  <c r="AF178" i="7"/>
  <c r="AD196" i="7"/>
  <c r="AF196" i="7"/>
  <c r="BM209" i="11"/>
  <c r="Z112" i="7"/>
  <c r="AC112" i="7" s="1"/>
  <c r="O112" i="7"/>
  <c r="S112" i="7"/>
  <c r="V112" i="7"/>
  <c r="AA112" i="12"/>
  <c r="AD181" i="7"/>
  <c r="AF181" i="7"/>
  <c r="AD106" i="7"/>
  <c r="AF106" i="7"/>
  <c r="AF207" i="7"/>
  <c r="AD207" i="7"/>
  <c r="P78" i="7"/>
  <c r="AF145" i="7"/>
  <c r="AD145" i="7"/>
  <c r="O175" i="7"/>
  <c r="S175" i="7"/>
  <c r="V175" i="7"/>
  <c r="Z175" i="7"/>
  <c r="AC175" i="7" s="1"/>
  <c r="AD177" i="7"/>
  <c r="AF177" i="7"/>
  <c r="Y164" i="12"/>
  <c r="AF173" i="7"/>
  <c r="AD173" i="7"/>
  <c r="AP188" i="7"/>
  <c r="AH188" i="7"/>
  <c r="F188" i="12" s="1"/>
  <c r="AM188" i="7"/>
  <c r="D188" i="12"/>
  <c r="AQ188" i="7"/>
  <c r="W42" i="12"/>
  <c r="AD46" i="7"/>
  <c r="AF46" i="7"/>
  <c r="J256" i="7"/>
  <c r="K256" i="7"/>
  <c r="P30" i="7"/>
  <c r="J287" i="7"/>
  <c r="K287" i="7"/>
  <c r="P182" i="7"/>
  <c r="D324" i="7"/>
  <c r="J312" i="7"/>
  <c r="K312" i="7"/>
  <c r="K20" i="31"/>
  <c r="P100" i="7"/>
  <c r="K250" i="7"/>
  <c r="J250" i="7"/>
  <c r="K266" i="7"/>
  <c r="J266" i="7"/>
  <c r="P213" i="7"/>
  <c r="AD183" i="7"/>
  <c r="AF183" i="7"/>
  <c r="P142" i="7"/>
  <c r="AF99" i="12"/>
  <c r="O167" i="7"/>
  <c r="S167" i="7"/>
  <c r="V167" i="7"/>
  <c r="Z167" i="7"/>
  <c r="AC167" i="7" s="1"/>
  <c r="P174" i="7"/>
  <c r="AF155" i="7"/>
  <c r="AD155" i="7"/>
  <c r="P171" i="7"/>
  <c r="W36" i="12"/>
  <c r="D59" i="12"/>
  <c r="AH59" i="7"/>
  <c r="F59" i="12" s="1"/>
  <c r="AM59" i="7"/>
  <c r="AP59" i="7"/>
  <c r="AQ59" i="7"/>
  <c r="AF66" i="7"/>
  <c r="AD66" i="7"/>
  <c r="AB289" i="7"/>
  <c r="AF148" i="7"/>
  <c r="AD148" i="7"/>
  <c r="AD134" i="7"/>
  <c r="AF134" i="7"/>
  <c r="AD35" i="7"/>
  <c r="AF35" i="7"/>
  <c r="BJ232" i="11"/>
  <c r="U8" i="30"/>
  <c r="Y151" i="12"/>
  <c r="AD208" i="7"/>
  <c r="AF208" i="7"/>
  <c r="AF217" i="7"/>
  <c r="AD217" i="7"/>
  <c r="P172" i="7"/>
  <c r="P26" i="7"/>
  <c r="P122" i="7"/>
  <c r="P143" i="7"/>
  <c r="AF131" i="7"/>
  <c r="AD131" i="7"/>
  <c r="AD74" i="7"/>
  <c r="AF74" i="7"/>
  <c r="AD176" i="7"/>
  <c r="AF176" i="7"/>
  <c r="AD184" i="7"/>
  <c r="AF184" i="7"/>
  <c r="AF60" i="7"/>
  <c r="AD60" i="7"/>
  <c r="X16" i="7"/>
  <c r="AI211" i="7"/>
  <c r="G211" i="12" s="1"/>
  <c r="AN211" i="7"/>
  <c r="J281" i="7"/>
  <c r="K281" i="7"/>
  <c r="K236" i="7"/>
  <c r="J236" i="7"/>
  <c r="W195" i="12"/>
  <c r="BM101" i="11"/>
  <c r="L51" i="12"/>
  <c r="S51" i="12"/>
  <c r="K51" i="12"/>
  <c r="AN92" i="7"/>
  <c r="AI92" i="7"/>
  <c r="G92" i="12" s="1"/>
  <c r="AD149" i="7"/>
  <c r="AF149" i="7"/>
  <c r="K318" i="7"/>
  <c r="J318" i="7"/>
  <c r="AF89" i="7"/>
  <c r="AD89" i="7"/>
  <c r="J322" i="7"/>
  <c r="K322" i="7"/>
  <c r="X123" i="12"/>
  <c r="Y103" i="12"/>
  <c r="AB222" i="7"/>
  <c r="AB8" i="7" s="1"/>
  <c r="AD215" i="7"/>
  <c r="AF215" i="7"/>
  <c r="K267" i="7"/>
  <c r="J267" i="7"/>
  <c r="AI190" i="7"/>
  <c r="G190" i="12" s="1"/>
  <c r="AN190" i="7"/>
  <c r="O29" i="7"/>
  <c r="S29" i="7"/>
  <c r="V29" i="7"/>
  <c r="Z29" i="7"/>
  <c r="AC29" i="7" s="1"/>
  <c r="BM280" i="11"/>
  <c r="AF71" i="7"/>
  <c r="AD71" i="7"/>
  <c r="AN129" i="7"/>
  <c r="AI129" i="7"/>
  <c r="G129" i="12" s="1"/>
  <c r="BH307" i="11"/>
  <c r="BM307" i="11"/>
  <c r="P17" i="7"/>
  <c r="J237" i="7"/>
  <c r="K237" i="7"/>
  <c r="AF124" i="7"/>
  <c r="AD124" i="7"/>
  <c r="P23" i="7"/>
  <c r="Y146" i="12"/>
  <c r="X20" i="12"/>
  <c r="O42" i="7"/>
  <c r="S42" i="7"/>
  <c r="V42" i="7"/>
  <c r="Z42" i="7"/>
  <c r="AC42" i="7" s="1"/>
  <c r="J304" i="7"/>
  <c r="K304" i="7"/>
  <c r="AD163" i="7"/>
  <c r="AF163" i="7"/>
  <c r="P102" i="7"/>
  <c r="AF73" i="7"/>
  <c r="AD73" i="7"/>
  <c r="BM279" i="11"/>
  <c r="AF40" i="7"/>
  <c r="AD40" i="7"/>
  <c r="K245" i="7"/>
  <c r="J245" i="7"/>
  <c r="J268" i="7"/>
  <c r="K268" i="7"/>
  <c r="BM274" i="11"/>
  <c r="S7" i="30"/>
  <c r="AF154" i="7"/>
  <c r="AD154" i="7"/>
  <c r="AP214" i="7"/>
  <c r="D214" i="12"/>
  <c r="AM214" i="7"/>
  <c r="AH214" i="7"/>
  <c r="F214" i="12" s="1"/>
  <c r="AQ214" i="7"/>
  <c r="K235" i="7"/>
  <c r="J235" i="7"/>
  <c r="K310" i="7"/>
  <c r="J310" i="7"/>
  <c r="K283" i="7"/>
  <c r="J283" i="7"/>
  <c r="BK228" i="11"/>
  <c r="W151" i="12"/>
  <c r="AF63" i="7"/>
  <c r="AD63" i="7"/>
  <c r="X43" i="12"/>
  <c r="AQ290" i="11"/>
  <c r="AA145" i="12"/>
  <c r="Y48" i="12"/>
  <c r="AF201" i="7"/>
  <c r="AD201" i="7"/>
  <c r="W146" i="12"/>
  <c r="X146" i="12"/>
  <c r="J209" i="7"/>
  <c r="W209" i="7" s="1"/>
  <c r="K209" i="7"/>
  <c r="K4" i="7" s="1"/>
  <c r="G35" i="4" s="1"/>
  <c r="D261" i="7"/>
  <c r="J244" i="7"/>
  <c r="K244" i="7"/>
  <c r="X175" i="12"/>
  <c r="AF32" i="7"/>
  <c r="AD32" i="7"/>
  <c r="AD87" i="7"/>
  <c r="AF87" i="7"/>
  <c r="AI186" i="7"/>
  <c r="G186" i="12" s="1"/>
  <c r="AN186" i="7"/>
  <c r="J273" i="7"/>
  <c r="K273" i="7"/>
  <c r="P120" i="7"/>
  <c r="J246" i="7"/>
  <c r="K246" i="7"/>
  <c r="AP121" i="7"/>
  <c r="D121" i="12"/>
  <c r="AH121" i="7"/>
  <c r="F121" i="12" s="1"/>
  <c r="AM121" i="7"/>
  <c r="AQ121" i="7"/>
  <c r="J302" i="7"/>
  <c r="K302" i="7"/>
  <c r="X167" i="12"/>
  <c r="J279" i="7"/>
  <c r="K279" i="7"/>
  <c r="AA175" i="12"/>
  <c r="J264" i="7"/>
  <c r="K264" i="7"/>
  <c r="D275" i="7"/>
  <c r="AB275" i="7"/>
  <c r="AH161" i="7"/>
  <c r="F161" i="12" s="1"/>
  <c r="D161" i="12"/>
  <c r="AP161" i="7"/>
  <c r="AM161" i="7"/>
  <c r="AQ161" i="7"/>
  <c r="P56" i="7"/>
  <c r="AF197" i="7"/>
  <c r="AD197" i="7"/>
  <c r="AN76" i="7"/>
  <c r="AI76" i="7"/>
  <c r="G76" i="12" s="1"/>
  <c r="AN133" i="7"/>
  <c r="AI133" i="7"/>
  <c r="G133" i="12" s="1"/>
  <c r="P108" i="7"/>
  <c r="K254" i="7"/>
  <c r="J254" i="7"/>
  <c r="AP58" i="7"/>
  <c r="AH58" i="7"/>
  <c r="F58" i="12" s="1"/>
  <c r="AM58" i="7"/>
  <c r="D58" i="12"/>
  <c r="AQ58" i="7"/>
  <c r="AH96" i="7"/>
  <c r="F96" i="12" s="1"/>
  <c r="AM96" i="7"/>
  <c r="D96" i="12"/>
  <c r="AP96" i="7"/>
  <c r="AQ96" i="7"/>
  <c r="K295" i="7"/>
  <c r="J295" i="7"/>
  <c r="BM283" i="11"/>
  <c r="J313" i="7"/>
  <c r="K313" i="7"/>
  <c r="BM288" i="11"/>
  <c r="AQ325" i="11"/>
  <c r="BK286" i="11"/>
  <c r="K300" i="7"/>
  <c r="J300" i="7"/>
  <c r="D72" i="12"/>
  <c r="AH72" i="7"/>
  <c r="F72" i="12" s="1"/>
  <c r="AP72" i="7"/>
  <c r="AM72" i="7"/>
  <c r="AQ72" i="7"/>
  <c r="J303" i="7"/>
  <c r="K303" i="7"/>
  <c r="BE262" i="11"/>
  <c r="BB262" i="11"/>
  <c r="BJ262" i="11"/>
  <c r="S211" i="12"/>
  <c r="K211" i="12"/>
  <c r="L211" i="12"/>
  <c r="J294" i="7"/>
  <c r="K294" i="7"/>
  <c r="D86" i="12"/>
  <c r="AH86" i="7"/>
  <c r="F86" i="12" s="1"/>
  <c r="AM86" i="7"/>
  <c r="AP86" i="7"/>
  <c r="AQ86" i="7"/>
  <c r="AI51" i="7"/>
  <c r="G51" i="12" s="1"/>
  <c r="AN51" i="7"/>
  <c r="AF180" i="7"/>
  <c r="AD180" i="7"/>
  <c r="P139" i="7"/>
  <c r="Z160" i="7"/>
  <c r="AC160" i="7" s="1"/>
  <c r="O160" i="7"/>
  <c r="S160" i="7"/>
  <c r="V160" i="7"/>
  <c r="J258" i="7"/>
  <c r="K258" i="7"/>
  <c r="O37" i="7"/>
  <c r="S37" i="7"/>
  <c r="V37" i="7"/>
  <c r="Z37" i="7"/>
  <c r="AC37" i="7" s="1"/>
  <c r="AA123" i="12"/>
  <c r="W162" i="12"/>
  <c r="AH118" i="7"/>
  <c r="F118" i="12" s="1"/>
  <c r="AM118" i="7"/>
  <c r="D118" i="12"/>
  <c r="AP118" i="7"/>
  <c r="AQ118" i="7"/>
  <c r="L14" i="31"/>
  <c r="W48" i="12"/>
  <c r="X48" i="12"/>
  <c r="AD94" i="7"/>
  <c r="AF94" i="7"/>
  <c r="AF158" i="7"/>
  <c r="AD158" i="7"/>
  <c r="BF232" i="11"/>
  <c r="AF104" i="7"/>
  <c r="AD104" i="7"/>
  <c r="AP127" i="7"/>
  <c r="AH127" i="7"/>
  <c r="F127" i="12" s="1"/>
  <c r="D127" i="12"/>
  <c r="AM127" i="7"/>
  <c r="AQ127" i="7"/>
  <c r="AF67" i="7"/>
  <c r="AD67" i="7"/>
  <c r="L129" i="12"/>
  <c r="S129" i="12"/>
  <c r="K129" i="12"/>
  <c r="K280" i="7"/>
  <c r="J280" i="7"/>
  <c r="AF111" i="7"/>
  <c r="AD111" i="7"/>
  <c r="Y157" i="12"/>
  <c r="D85" i="12"/>
  <c r="AP85" i="7"/>
  <c r="AM85" i="7"/>
  <c r="AH85" i="7"/>
  <c r="F85" i="12" s="1"/>
  <c r="AQ85" i="7"/>
  <c r="AD68" i="7"/>
  <c r="AF68" i="7"/>
  <c r="AB261" i="7"/>
  <c r="W103" i="12"/>
  <c r="AF135" i="7"/>
  <c r="AD135" i="7"/>
  <c r="AD216" i="7"/>
  <c r="AF216" i="7"/>
  <c r="X42" i="12"/>
  <c r="K240" i="7"/>
  <c r="J240" i="7"/>
  <c r="J249" i="7"/>
  <c r="K249" i="7"/>
  <c r="AH91" i="7"/>
  <c r="F91" i="12" s="1"/>
  <c r="D91" i="12"/>
  <c r="AP91" i="7"/>
  <c r="AM91" i="7"/>
  <c r="AQ91" i="7"/>
  <c r="P80" i="7"/>
  <c r="BH266" i="11"/>
  <c r="O44" i="7"/>
  <c r="S44" i="7"/>
  <c r="V44" i="7"/>
  <c r="Z44" i="7"/>
  <c r="AC44" i="7" s="1"/>
  <c r="AA44" i="12"/>
  <c r="AF126" i="7"/>
  <c r="AD126" i="7"/>
  <c r="AD61" i="7"/>
  <c r="AF61" i="7"/>
  <c r="AA39" i="12"/>
  <c r="AF39" i="12"/>
  <c r="AB231" i="7"/>
  <c r="D231" i="7"/>
  <c r="K226" i="7"/>
  <c r="J226" i="7"/>
  <c r="P12" i="7"/>
  <c r="K5" i="7"/>
  <c r="W157" i="12"/>
  <c r="AD141" i="7"/>
  <c r="AF141" i="7"/>
  <c r="AD187" i="7"/>
  <c r="AF187" i="7"/>
  <c r="AD57" i="7"/>
  <c r="AF57" i="7"/>
  <c r="Z43" i="7"/>
  <c r="AC43" i="7" s="1"/>
  <c r="O43" i="7"/>
  <c r="S43" i="7"/>
  <c r="V43" i="7"/>
  <c r="BH265" i="11"/>
  <c r="AQ276" i="11"/>
  <c r="P18" i="7"/>
  <c r="D204" i="12"/>
  <c r="AH204" i="7"/>
  <c r="F204" i="12" s="1"/>
  <c r="AP204" i="7"/>
  <c r="AM204" i="7"/>
  <c r="AQ204" i="7"/>
  <c r="J272" i="7"/>
  <c r="K272" i="7"/>
  <c r="AF189" i="7"/>
  <c r="AD189" i="7"/>
  <c r="O39" i="7"/>
  <c r="S39" i="7"/>
  <c r="V39" i="7"/>
  <c r="Z39" i="7"/>
  <c r="AC39" i="7" s="1"/>
  <c r="AF206" i="7"/>
  <c r="AD206" i="7"/>
  <c r="AF64" i="7"/>
  <c r="AD64" i="7"/>
  <c r="AD212" i="7"/>
  <c r="AF212" i="7"/>
  <c r="AI203" i="7"/>
  <c r="G203" i="12" s="1"/>
  <c r="AN203" i="7"/>
  <c r="S203" i="12"/>
  <c r="L203" i="12"/>
  <c r="K203" i="12"/>
  <c r="AB324" i="7"/>
  <c r="BM258" i="11"/>
  <c r="BH258" i="11"/>
  <c r="AF132" i="7"/>
  <c r="AD132" i="7"/>
  <c r="AF170" i="7"/>
  <c r="AD170" i="7"/>
  <c r="K314" i="7"/>
  <c r="J314" i="7"/>
  <c r="AF28" i="7"/>
  <c r="AD28" i="7"/>
  <c r="AB306" i="7"/>
  <c r="AD47" i="7"/>
  <c r="AF47" i="7"/>
  <c r="S186" i="12"/>
  <c r="L186" i="12"/>
  <c r="K186" i="12"/>
  <c r="U9" i="30"/>
  <c r="U10" i="30" l="1"/>
  <c r="U11" i="30" s="1"/>
  <c r="U12" i="30" s="1"/>
  <c r="M10" i="31" s="1"/>
  <c r="X162" i="12"/>
  <c r="X164" i="12"/>
  <c r="K289" i="7"/>
  <c r="J289" i="7"/>
  <c r="K261" i="7"/>
  <c r="J261" i="7"/>
  <c r="AD39" i="7"/>
  <c r="AF39" i="7"/>
  <c r="AI204" i="7"/>
  <c r="G204" i="12" s="1"/>
  <c r="AN204" i="7"/>
  <c r="S204" i="12"/>
  <c r="L204" i="12"/>
  <c r="K204" i="12"/>
  <c r="BM276" i="11"/>
  <c r="BH276" i="11"/>
  <c r="AA157" i="12"/>
  <c r="J231" i="7"/>
  <c r="K231" i="7"/>
  <c r="AP61" i="7"/>
  <c r="AM61" i="7"/>
  <c r="D61" i="12"/>
  <c r="AH61" i="7"/>
  <c r="F61" i="12" s="1"/>
  <c r="AQ61" i="7"/>
  <c r="D216" i="12"/>
  <c r="AP216" i="7"/>
  <c r="AM216" i="7"/>
  <c r="AH216" i="7"/>
  <c r="F216" i="12" s="1"/>
  <c r="AQ216" i="7"/>
  <c r="D135" i="12"/>
  <c r="AP135" i="7"/>
  <c r="AH135" i="7"/>
  <c r="F135" i="12" s="1"/>
  <c r="AM135" i="7"/>
  <c r="AQ135" i="7"/>
  <c r="AA103" i="12"/>
  <c r="AH67" i="7"/>
  <c r="F67" i="12" s="1"/>
  <c r="AM67" i="7"/>
  <c r="AP67" i="7"/>
  <c r="D67" i="12"/>
  <c r="AQ67" i="7"/>
  <c r="D104" i="12"/>
  <c r="AM104" i="7"/>
  <c r="AH104" i="7"/>
  <c r="F104" i="12" s="1"/>
  <c r="AP104" i="7"/>
  <c r="AQ104" i="7"/>
  <c r="S118" i="12"/>
  <c r="K118" i="12"/>
  <c r="L118" i="12"/>
  <c r="AH180" i="7"/>
  <c r="F180" i="12" s="1"/>
  <c r="AP180" i="7"/>
  <c r="AM180" i="7"/>
  <c r="D180" i="12"/>
  <c r="AQ180" i="7"/>
  <c r="AC211" i="12"/>
  <c r="AG211" i="12" s="1"/>
  <c r="AI72" i="7"/>
  <c r="G72" i="12" s="1"/>
  <c r="AN72" i="7"/>
  <c r="AN96" i="7"/>
  <c r="AI96" i="7"/>
  <c r="G96" i="12" s="1"/>
  <c r="L161" i="12"/>
  <c r="K161" i="12"/>
  <c r="S161" i="12"/>
  <c r="AA146" i="12"/>
  <c r="Z151" i="7"/>
  <c r="AC151" i="7" s="1"/>
  <c r="O151" i="7"/>
  <c r="S151" i="7"/>
  <c r="V151" i="7"/>
  <c r="S214" i="12"/>
  <c r="L214" i="12"/>
  <c r="K214" i="12"/>
  <c r="D154" i="12"/>
  <c r="AP154" i="7"/>
  <c r="AH154" i="7"/>
  <c r="F154" i="12" s="1"/>
  <c r="AM154" i="7"/>
  <c r="AQ154" i="7"/>
  <c r="T102" i="7"/>
  <c r="AP163" i="7"/>
  <c r="D163" i="12"/>
  <c r="AH163" i="7"/>
  <c r="F163" i="12" s="1"/>
  <c r="AM163" i="7"/>
  <c r="AQ163" i="7"/>
  <c r="T17" i="7"/>
  <c r="AA51" i="12"/>
  <c r="AC51" i="12" s="1"/>
  <c r="AG51" i="12" s="1"/>
  <c r="Z195" i="7"/>
  <c r="AC195" i="7" s="1"/>
  <c r="O195" i="7"/>
  <c r="S195" i="7"/>
  <c r="V195" i="7"/>
  <c r="D184" i="12"/>
  <c r="AH184" i="7"/>
  <c r="F184" i="12" s="1"/>
  <c r="AM184" i="7"/>
  <c r="AP184" i="7"/>
  <c r="AQ184" i="7"/>
  <c r="AM74" i="7"/>
  <c r="AP74" i="7"/>
  <c r="D74" i="12"/>
  <c r="AH74" i="7"/>
  <c r="F74" i="12" s="1"/>
  <c r="AQ74" i="7"/>
  <c r="AP134" i="7"/>
  <c r="AH134" i="7"/>
  <c r="F134" i="12" s="1"/>
  <c r="D134" i="12"/>
  <c r="AM134" i="7"/>
  <c r="AQ134" i="7"/>
  <c r="D66" i="12"/>
  <c r="AH66" i="7"/>
  <c r="F66" i="12" s="1"/>
  <c r="AP66" i="7"/>
  <c r="AM66" i="7"/>
  <c r="AQ66" i="7"/>
  <c r="S59" i="12"/>
  <c r="L59" i="12"/>
  <c r="K59" i="12"/>
  <c r="AP177" i="7"/>
  <c r="AH177" i="7"/>
  <c r="F177" i="12" s="1"/>
  <c r="AM177" i="7"/>
  <c r="D177" i="12"/>
  <c r="AQ177" i="7"/>
  <c r="AD175" i="7"/>
  <c r="AF175" i="7"/>
  <c r="D207" i="12"/>
  <c r="AH207" i="7"/>
  <c r="F207" i="12" s="1"/>
  <c r="AP207" i="7"/>
  <c r="AM207" i="7"/>
  <c r="AQ207" i="7"/>
  <c r="AF112" i="7"/>
  <c r="AD112" i="7"/>
  <c r="AA198" i="12"/>
  <c r="AI53" i="7"/>
  <c r="G53" i="12" s="1"/>
  <c r="AN53" i="7"/>
  <c r="AN220" i="7"/>
  <c r="AI220" i="7"/>
  <c r="G220" i="12" s="1"/>
  <c r="K220" i="12"/>
  <c r="L220" i="12"/>
  <c r="S220" i="12"/>
  <c r="AN119" i="7"/>
  <c r="AI119" i="7"/>
  <c r="G119" i="12" s="1"/>
  <c r="AN105" i="7"/>
  <c r="AI105" i="7"/>
  <c r="G105" i="12" s="1"/>
  <c r="T22" i="7"/>
  <c r="AI115" i="7"/>
  <c r="G115" i="12" s="1"/>
  <c r="AN115" i="7"/>
  <c r="K248" i="7"/>
  <c r="J248" i="7"/>
  <c r="T14" i="7"/>
  <c r="AN25" i="7"/>
  <c r="AI25" i="7"/>
  <c r="G25" i="12" s="1"/>
  <c r="L25" i="12"/>
  <c r="K25" i="12"/>
  <c r="S25" i="12"/>
  <c r="D202" i="12"/>
  <c r="AP202" i="7"/>
  <c r="AH202" i="7"/>
  <c r="F202" i="12" s="1"/>
  <c r="AM202" i="7"/>
  <c r="AQ202" i="7"/>
  <c r="AP95" i="7"/>
  <c r="AM95" i="7"/>
  <c r="D95" i="12"/>
  <c r="AH95" i="7"/>
  <c r="F95" i="12" s="1"/>
  <c r="AQ95" i="7"/>
  <c r="T81" i="7"/>
  <c r="S52" i="12"/>
  <c r="L52" i="12"/>
  <c r="K52" i="12"/>
  <c r="T19" i="7"/>
  <c r="AM153" i="7"/>
  <c r="D153" i="12"/>
  <c r="AH153" i="7"/>
  <c r="F153" i="12" s="1"/>
  <c r="AP153" i="7"/>
  <c r="AQ153" i="7"/>
  <c r="AA185" i="12"/>
  <c r="AC185" i="12" s="1"/>
  <c r="AG185" i="12" s="1"/>
  <c r="T13" i="7"/>
  <c r="K306" i="7"/>
  <c r="J306" i="7"/>
  <c r="AM166" i="7"/>
  <c r="AP166" i="7"/>
  <c r="D166" i="12"/>
  <c r="AH166" i="7"/>
  <c r="F166" i="12" s="1"/>
  <c r="AQ166" i="7"/>
  <c r="D199" i="12"/>
  <c r="AM199" i="7"/>
  <c r="AP199" i="7"/>
  <c r="AH199" i="7"/>
  <c r="F199" i="12" s="1"/>
  <c r="AQ199" i="7"/>
  <c r="AH140" i="7"/>
  <c r="F140" i="12" s="1"/>
  <c r="AP140" i="7"/>
  <c r="AM140" i="7"/>
  <c r="D140" i="12"/>
  <c r="AQ140" i="7"/>
  <c r="T65" i="7"/>
  <c r="BM232" i="11"/>
  <c r="T41" i="7"/>
  <c r="D28" i="12"/>
  <c r="AP28" i="7"/>
  <c r="AH28" i="7"/>
  <c r="F28" i="12" s="1"/>
  <c r="AM28" i="7"/>
  <c r="AQ28" i="7"/>
  <c r="AH170" i="7"/>
  <c r="F170" i="12" s="1"/>
  <c r="AM170" i="7"/>
  <c r="D170" i="12"/>
  <c r="AP170" i="7"/>
  <c r="AQ170" i="7"/>
  <c r="AM47" i="7"/>
  <c r="D47" i="12"/>
  <c r="AH47" i="7"/>
  <c r="F47" i="12" s="1"/>
  <c r="AP47" i="7"/>
  <c r="AQ47" i="7"/>
  <c r="AM64" i="7"/>
  <c r="AH64" i="7"/>
  <c r="F64" i="12" s="1"/>
  <c r="AP64" i="7"/>
  <c r="D64" i="12"/>
  <c r="AQ64" i="7"/>
  <c r="D189" i="12"/>
  <c r="AP189" i="7"/>
  <c r="AM189" i="7"/>
  <c r="AH189" i="7"/>
  <c r="F189" i="12" s="1"/>
  <c r="AQ189" i="7"/>
  <c r="AM187" i="7"/>
  <c r="AH187" i="7"/>
  <c r="F187" i="12" s="1"/>
  <c r="AP187" i="7"/>
  <c r="D187" i="12"/>
  <c r="AQ187" i="7"/>
  <c r="O157" i="7"/>
  <c r="S157" i="7"/>
  <c r="V157" i="7"/>
  <c r="Z157" i="7"/>
  <c r="AC157" i="7" s="1"/>
  <c r="T12" i="7"/>
  <c r="AN91" i="7"/>
  <c r="AI91" i="7"/>
  <c r="G91" i="12" s="1"/>
  <c r="X103" i="12"/>
  <c r="AA129" i="12"/>
  <c r="AC129" i="12" s="1"/>
  <c r="AG129" i="12" s="1"/>
  <c r="AI127" i="7"/>
  <c r="G127" i="12" s="1"/>
  <c r="AN127" i="7"/>
  <c r="O162" i="7"/>
  <c r="S162" i="7"/>
  <c r="V162" i="7"/>
  <c r="Z162" i="7"/>
  <c r="AC162" i="7" s="1"/>
  <c r="K72" i="12"/>
  <c r="L72" i="12"/>
  <c r="S72" i="12"/>
  <c r="AI58" i="7"/>
  <c r="G58" i="12" s="1"/>
  <c r="AN58" i="7"/>
  <c r="D197" i="12"/>
  <c r="AH197" i="7"/>
  <c r="F197" i="12" s="1"/>
  <c r="AP197" i="7"/>
  <c r="AM197" i="7"/>
  <c r="AQ197" i="7"/>
  <c r="S121" i="12"/>
  <c r="L121" i="12"/>
  <c r="K121" i="12"/>
  <c r="BH290" i="11"/>
  <c r="BM290" i="11"/>
  <c r="AA151" i="12"/>
  <c r="AI214" i="7"/>
  <c r="G214" i="12" s="1"/>
  <c r="AN214" i="7"/>
  <c r="S8" i="30"/>
  <c r="S9" i="30" s="1"/>
  <c r="S10" i="30" s="1"/>
  <c r="AH40" i="7"/>
  <c r="F40" i="12" s="1"/>
  <c r="AM40" i="7"/>
  <c r="D40" i="12"/>
  <c r="AP40" i="7"/>
  <c r="AQ40" i="7"/>
  <c r="AM73" i="7"/>
  <c r="AH73" i="7"/>
  <c r="F73" i="12" s="1"/>
  <c r="AP73" i="7"/>
  <c r="D73" i="12"/>
  <c r="AQ73" i="7"/>
  <c r="T23" i="7"/>
  <c r="AP124" i="7"/>
  <c r="AH124" i="7"/>
  <c r="F124" i="12" s="1"/>
  <c r="AM124" i="7"/>
  <c r="D124" i="12"/>
  <c r="AQ124" i="7"/>
  <c r="AM71" i="7"/>
  <c r="D71" i="12"/>
  <c r="AP71" i="7"/>
  <c r="AH71" i="7"/>
  <c r="F71" i="12" s="1"/>
  <c r="AQ71" i="7"/>
  <c r="AP89" i="7"/>
  <c r="AH89" i="7"/>
  <c r="F89" i="12" s="1"/>
  <c r="D89" i="12"/>
  <c r="AM89" i="7"/>
  <c r="AQ89" i="7"/>
  <c r="X195" i="12"/>
  <c r="T122" i="7"/>
  <c r="T26" i="7"/>
  <c r="AP217" i="7"/>
  <c r="AM217" i="7"/>
  <c r="D217" i="12"/>
  <c r="AH217" i="7"/>
  <c r="F217" i="12" s="1"/>
  <c r="AQ217" i="7"/>
  <c r="AF167" i="7"/>
  <c r="AD167" i="7"/>
  <c r="K324" i="7"/>
  <c r="J324" i="7"/>
  <c r="AP46" i="7"/>
  <c r="AM46" i="7"/>
  <c r="D46" i="12"/>
  <c r="AH46" i="7"/>
  <c r="F46" i="12" s="1"/>
  <c r="AQ46" i="7"/>
  <c r="L188" i="12"/>
  <c r="S188" i="12"/>
  <c r="K188" i="12"/>
  <c r="AM145" i="7"/>
  <c r="AP145" i="7"/>
  <c r="D145" i="12"/>
  <c r="AH145" i="7"/>
  <c r="F145" i="12" s="1"/>
  <c r="AQ145" i="7"/>
  <c r="T78" i="7"/>
  <c r="AH106" i="7"/>
  <c r="F106" i="12" s="1"/>
  <c r="AM106" i="7"/>
  <c r="AP106" i="7"/>
  <c r="D106" i="12"/>
  <c r="AQ106" i="7"/>
  <c r="K205" i="12"/>
  <c r="L205" i="12"/>
  <c r="S205" i="12"/>
  <c r="K285" i="7"/>
  <c r="J285" i="7"/>
  <c r="O198" i="7"/>
  <c r="S198" i="7"/>
  <c r="V198" i="7"/>
  <c r="Z198" i="7"/>
  <c r="AC198" i="7" s="1"/>
  <c r="L53" i="12"/>
  <c r="K53" i="12"/>
  <c r="S53" i="12"/>
  <c r="S45" i="12"/>
  <c r="L45" i="12"/>
  <c r="K45" i="12"/>
  <c r="M11" i="31"/>
  <c r="L138" i="12"/>
  <c r="K138" i="12"/>
  <c r="S138" i="12"/>
  <c r="AI138" i="7"/>
  <c r="G138" i="12" s="1"/>
  <c r="AN138" i="7"/>
  <c r="AP179" i="7"/>
  <c r="D179" i="12"/>
  <c r="AH179" i="7"/>
  <c r="F179" i="12" s="1"/>
  <c r="AM179" i="7"/>
  <c r="AQ179" i="7"/>
  <c r="T210" i="7"/>
  <c r="S218" i="12"/>
  <c r="L218" i="12"/>
  <c r="K218" i="12"/>
  <c r="AD192" i="7"/>
  <c r="AF192" i="7"/>
  <c r="AI219" i="7"/>
  <c r="G219" i="12" s="1"/>
  <c r="AN219" i="7"/>
  <c r="T24" i="7"/>
  <c r="AI107" i="7"/>
  <c r="G107" i="12" s="1"/>
  <c r="AN107" i="7"/>
  <c r="AH88" i="7"/>
  <c r="F88" i="12" s="1"/>
  <c r="AP88" i="7"/>
  <c r="AM88" i="7"/>
  <c r="D88" i="12"/>
  <c r="AQ88" i="7"/>
  <c r="AI52" i="7"/>
  <c r="G52" i="12" s="1"/>
  <c r="AN52" i="7"/>
  <c r="T31" i="7"/>
  <c r="D116" i="12"/>
  <c r="AH116" i="7"/>
  <c r="F116" i="12" s="1"/>
  <c r="AM116" i="7"/>
  <c r="AP116" i="7"/>
  <c r="AQ116" i="7"/>
  <c r="BM286" i="11"/>
  <c r="AP117" i="7"/>
  <c r="AM117" i="7"/>
  <c r="D117" i="12"/>
  <c r="AH117" i="7"/>
  <c r="F117" i="12" s="1"/>
  <c r="AQ117" i="7"/>
  <c r="AH77" i="7"/>
  <c r="F77" i="12" s="1"/>
  <c r="AP77" i="7"/>
  <c r="AM77" i="7"/>
  <c r="D77" i="12"/>
  <c r="AQ77" i="7"/>
  <c r="T33" i="7"/>
  <c r="AM200" i="7"/>
  <c r="D200" i="12"/>
  <c r="AP200" i="7"/>
  <c r="AH200" i="7"/>
  <c r="F200" i="12" s="1"/>
  <c r="AQ200" i="7"/>
  <c r="AC190" i="12"/>
  <c r="AG190" i="12" s="1"/>
  <c r="AM194" i="7"/>
  <c r="AH194" i="7"/>
  <c r="F194" i="12" s="1"/>
  <c r="D194" i="12"/>
  <c r="AP194" i="7"/>
  <c r="AQ194" i="7"/>
  <c r="AD123" i="7"/>
  <c r="AF123" i="7"/>
  <c r="AM159" i="7"/>
  <c r="AP159" i="7"/>
  <c r="D159" i="12"/>
  <c r="AH159" i="7"/>
  <c r="F159" i="12" s="1"/>
  <c r="AQ159" i="7"/>
  <c r="AH54" i="7"/>
  <c r="F54" i="12" s="1"/>
  <c r="AP54" i="7"/>
  <c r="D54" i="12"/>
  <c r="AM54" i="7"/>
  <c r="AQ54" i="7"/>
  <c r="AC76" i="12"/>
  <c r="AF76" i="12"/>
  <c r="D82" i="12"/>
  <c r="AM82" i="7"/>
  <c r="AP82" i="7"/>
  <c r="AH82" i="7"/>
  <c r="F82" i="12" s="1"/>
  <c r="AQ82" i="7"/>
  <c r="AP212" i="7"/>
  <c r="AM212" i="7"/>
  <c r="AH212" i="7"/>
  <c r="F212" i="12" s="1"/>
  <c r="D212" i="12"/>
  <c r="AQ212" i="7"/>
  <c r="BM265" i="11"/>
  <c r="AF43" i="7"/>
  <c r="AD43" i="7"/>
  <c r="AM141" i="7"/>
  <c r="AH141" i="7"/>
  <c r="F141" i="12" s="1"/>
  <c r="D141" i="12"/>
  <c r="AP141" i="7"/>
  <c r="AQ141" i="7"/>
  <c r="X157" i="12"/>
  <c r="D126" i="12"/>
  <c r="AH126" i="7"/>
  <c r="F126" i="12" s="1"/>
  <c r="AM126" i="7"/>
  <c r="AP126" i="7"/>
  <c r="AQ126" i="7"/>
  <c r="AF44" i="7"/>
  <c r="AD44" i="7"/>
  <c r="O103" i="7"/>
  <c r="S103" i="7"/>
  <c r="V103" i="7"/>
  <c r="Z103" i="7"/>
  <c r="AC103" i="7" s="1"/>
  <c r="AI85" i="7"/>
  <c r="G85" i="12" s="1"/>
  <c r="AN85" i="7"/>
  <c r="K85" i="12"/>
  <c r="L85" i="12"/>
  <c r="S85" i="12"/>
  <c r="AP111" i="7"/>
  <c r="AM111" i="7"/>
  <c r="AH111" i="7"/>
  <c r="F111" i="12" s="1"/>
  <c r="D111" i="12"/>
  <c r="AQ111" i="7"/>
  <c r="AH158" i="7"/>
  <c r="F158" i="12" s="1"/>
  <c r="AM158" i="7"/>
  <c r="D158" i="12"/>
  <c r="AP158" i="7"/>
  <c r="AQ158" i="7"/>
  <c r="AI118" i="7"/>
  <c r="G118" i="12" s="1"/>
  <c r="AN118" i="7"/>
  <c r="AA162" i="12"/>
  <c r="AF160" i="7"/>
  <c r="AD160" i="7"/>
  <c r="T139" i="7"/>
  <c r="AN86" i="7"/>
  <c r="AI86" i="7"/>
  <c r="G86" i="12" s="1"/>
  <c r="BM325" i="11"/>
  <c r="BH325" i="11"/>
  <c r="K96" i="12"/>
  <c r="L96" i="12"/>
  <c r="S96" i="12"/>
  <c r="AN161" i="7"/>
  <c r="AI161" i="7"/>
  <c r="G161" i="12" s="1"/>
  <c r="AH32" i="7"/>
  <c r="F32" i="12" s="1"/>
  <c r="D32" i="12"/>
  <c r="AP32" i="7"/>
  <c r="AM32" i="7"/>
  <c r="AQ32" i="7"/>
  <c r="K257" i="7"/>
  <c r="J257" i="7"/>
  <c r="O146" i="7"/>
  <c r="S146" i="7"/>
  <c r="V146" i="7"/>
  <c r="Z146" i="7"/>
  <c r="AC146" i="7" s="1"/>
  <c r="AM201" i="7"/>
  <c r="AH201" i="7"/>
  <c r="F201" i="12" s="1"/>
  <c r="D201" i="12"/>
  <c r="AP201" i="7"/>
  <c r="AQ201" i="7"/>
  <c r="AH63" i="7"/>
  <c r="F63" i="12" s="1"/>
  <c r="AP63" i="7"/>
  <c r="D63" i="12"/>
  <c r="AM63" i="7"/>
  <c r="AQ63" i="7"/>
  <c r="AH149" i="7"/>
  <c r="F149" i="12" s="1"/>
  <c r="AM149" i="7"/>
  <c r="AP149" i="7"/>
  <c r="D149" i="12"/>
  <c r="AQ149" i="7"/>
  <c r="AA195" i="12"/>
  <c r="AH176" i="7"/>
  <c r="F176" i="12" s="1"/>
  <c r="AP176" i="7"/>
  <c r="AM176" i="7"/>
  <c r="D176" i="12"/>
  <c r="AQ176" i="7"/>
  <c r="T143" i="7"/>
  <c r="D208" i="12"/>
  <c r="AH208" i="7"/>
  <c r="F208" i="12" s="1"/>
  <c r="AP208" i="7"/>
  <c r="AM208" i="7"/>
  <c r="AQ208" i="7"/>
  <c r="D35" i="12"/>
  <c r="AP35" i="7"/>
  <c r="AH35" i="7"/>
  <c r="F35" i="12" s="1"/>
  <c r="AM35" i="7"/>
  <c r="AQ35" i="7"/>
  <c r="Z36" i="7"/>
  <c r="AC36" i="7" s="1"/>
  <c r="O36" i="7"/>
  <c r="S36" i="7"/>
  <c r="V36" i="7"/>
  <c r="AA36" i="12"/>
  <c r="T171" i="7"/>
  <c r="AH155" i="7"/>
  <c r="F155" i="12" s="1"/>
  <c r="D155" i="12"/>
  <c r="AP155" i="7"/>
  <c r="AM155" i="7"/>
  <c r="AQ155" i="7"/>
  <c r="T174" i="7"/>
  <c r="T142" i="7"/>
  <c r="AP183" i="7"/>
  <c r="D183" i="12"/>
  <c r="AM183" i="7"/>
  <c r="AH183" i="7"/>
  <c r="F183" i="12" s="1"/>
  <c r="AQ183" i="7"/>
  <c r="T213" i="7"/>
  <c r="AA42" i="12"/>
  <c r="AP173" i="7"/>
  <c r="D173" i="12"/>
  <c r="AM173" i="7"/>
  <c r="AH173" i="7"/>
  <c r="F173" i="12" s="1"/>
  <c r="AQ173" i="7"/>
  <c r="K227" i="7"/>
  <c r="J227" i="7"/>
  <c r="X198" i="12"/>
  <c r="J222" i="7"/>
  <c r="J8" i="7" s="1"/>
  <c r="D8" i="7"/>
  <c r="T144" i="7"/>
  <c r="S119" i="12"/>
  <c r="L119" i="12"/>
  <c r="K119" i="12"/>
  <c r="AM150" i="7"/>
  <c r="D150" i="12"/>
  <c r="AP150" i="7"/>
  <c r="AH150" i="7"/>
  <c r="F150" i="12" s="1"/>
  <c r="AQ150" i="7"/>
  <c r="AH114" i="7"/>
  <c r="F114" i="12" s="1"/>
  <c r="D114" i="12"/>
  <c r="AP114" i="7"/>
  <c r="AM114" i="7"/>
  <c r="AQ114" i="7"/>
  <c r="AD20" i="7"/>
  <c r="AF20" i="7"/>
  <c r="D147" i="12"/>
  <c r="AH147" i="7"/>
  <c r="F147" i="12" s="1"/>
  <c r="AP147" i="7"/>
  <c r="AM147" i="7"/>
  <c r="AQ147" i="7"/>
  <c r="L115" i="12"/>
  <c r="S115" i="12"/>
  <c r="K115" i="12"/>
  <c r="D79" i="12"/>
  <c r="AM79" i="7"/>
  <c r="AH79" i="7"/>
  <c r="F79" i="12" s="1"/>
  <c r="AP79" i="7"/>
  <c r="AQ79" i="7"/>
  <c r="T128" i="7"/>
  <c r="AP84" i="7"/>
  <c r="AM84" i="7"/>
  <c r="AH84" i="7"/>
  <c r="F84" i="12" s="1"/>
  <c r="D84" i="12"/>
  <c r="AQ84" i="7"/>
  <c r="AA92" i="12"/>
  <c r="AC92" i="12" s="1"/>
  <c r="AG92" i="12" s="1"/>
  <c r="AA113" i="12"/>
  <c r="AC113" i="12" s="1"/>
  <c r="AG113" i="12" s="1"/>
  <c r="L219" i="12"/>
  <c r="S219" i="12"/>
  <c r="K219" i="12"/>
  <c r="AA133" i="12"/>
  <c r="AC133" i="12" s="1"/>
  <c r="AG133" i="12" s="1"/>
  <c r="AP156" i="7"/>
  <c r="AH156" i="7"/>
  <c r="F156" i="12" s="1"/>
  <c r="AM156" i="7"/>
  <c r="D156" i="12"/>
  <c r="AQ156" i="7"/>
  <c r="AH193" i="7"/>
  <c r="F193" i="12" s="1"/>
  <c r="AM193" i="7"/>
  <c r="D193" i="12"/>
  <c r="AP193" i="7"/>
  <c r="AQ193" i="7"/>
  <c r="T38" i="7"/>
  <c r="S69" i="12"/>
  <c r="L69" i="12"/>
  <c r="K69" i="12"/>
  <c r="L110" i="12"/>
  <c r="S110" i="12"/>
  <c r="K110" i="12"/>
  <c r="D165" i="12"/>
  <c r="AM165" i="7"/>
  <c r="AP165" i="7"/>
  <c r="AH165" i="7"/>
  <c r="F165" i="12" s="1"/>
  <c r="AQ165" i="7"/>
  <c r="Z164" i="7"/>
  <c r="AC164" i="7" s="1"/>
  <c r="O164" i="7"/>
  <c r="S164" i="7"/>
  <c r="V164" i="7"/>
  <c r="L20" i="31"/>
  <c r="AH34" i="7"/>
  <c r="F34" i="12" s="1"/>
  <c r="D34" i="12"/>
  <c r="AP34" i="7"/>
  <c r="AM34" i="7"/>
  <c r="AQ34" i="7"/>
  <c r="AM75" i="7"/>
  <c r="D75" i="12"/>
  <c r="AP75" i="7"/>
  <c r="AH75" i="7"/>
  <c r="F75" i="12" s="1"/>
  <c r="AQ75" i="7"/>
  <c r="D191" i="12"/>
  <c r="AP191" i="7"/>
  <c r="AM191" i="7"/>
  <c r="AH191" i="7"/>
  <c r="F191" i="12" s="1"/>
  <c r="AQ191" i="7"/>
  <c r="AM83" i="7"/>
  <c r="D83" i="12"/>
  <c r="AH83" i="7"/>
  <c r="F83" i="12" s="1"/>
  <c r="AP83" i="7"/>
  <c r="AQ83" i="7"/>
  <c r="AI137" i="7"/>
  <c r="G137" i="12" s="1"/>
  <c r="AN137" i="7"/>
  <c r="X62" i="7"/>
  <c r="D125" i="12"/>
  <c r="AH125" i="7"/>
  <c r="F125" i="12" s="1"/>
  <c r="AP125" i="7"/>
  <c r="AM125" i="7"/>
  <c r="AQ125" i="7"/>
  <c r="AA186" i="12"/>
  <c r="AC186" i="12" s="1"/>
  <c r="AG186" i="12" s="1"/>
  <c r="AH132" i="7"/>
  <c r="F132" i="12" s="1"/>
  <c r="D132" i="12"/>
  <c r="AM132" i="7"/>
  <c r="AP132" i="7"/>
  <c r="AQ132" i="7"/>
  <c r="AC203" i="12"/>
  <c r="AG203" i="12" s="1"/>
  <c r="AH206" i="7"/>
  <c r="F206" i="12" s="1"/>
  <c r="AP206" i="7"/>
  <c r="AM206" i="7"/>
  <c r="D206" i="12"/>
  <c r="AQ206" i="7"/>
  <c r="T18" i="7"/>
  <c r="AM57" i="7"/>
  <c r="AP57" i="7"/>
  <c r="AH57" i="7"/>
  <c r="F57" i="12" s="1"/>
  <c r="D57" i="12"/>
  <c r="AQ57" i="7"/>
  <c r="BM266" i="11"/>
  <c r="T80" i="7"/>
  <c r="S91" i="12"/>
  <c r="K91" i="12"/>
  <c r="L91" i="12"/>
  <c r="D68" i="12"/>
  <c r="AH68" i="7"/>
  <c r="F68" i="12" s="1"/>
  <c r="AM68" i="7"/>
  <c r="AP68" i="7"/>
  <c r="AQ68" i="7"/>
  <c r="L127" i="12"/>
  <c r="S127" i="12"/>
  <c r="K127" i="12"/>
  <c r="BK232" i="11"/>
  <c r="AP94" i="7"/>
  <c r="AM94" i="7"/>
  <c r="AH94" i="7"/>
  <c r="F94" i="12" s="1"/>
  <c r="D94" i="12"/>
  <c r="AQ94" i="7"/>
  <c r="O48" i="7"/>
  <c r="S48" i="7"/>
  <c r="V48" i="7"/>
  <c r="Z48" i="7"/>
  <c r="AC48" i="7" s="1"/>
  <c r="AF48" i="12"/>
  <c r="AA48" i="12"/>
  <c r="AD37" i="7"/>
  <c r="AF37" i="7"/>
  <c r="K86" i="12"/>
  <c r="S86" i="12"/>
  <c r="L86" i="12"/>
  <c r="S58" i="12"/>
  <c r="K58" i="12"/>
  <c r="L58" i="12"/>
  <c r="T108" i="7"/>
  <c r="T56" i="7"/>
  <c r="J275" i="7"/>
  <c r="K275" i="7"/>
  <c r="AI121" i="7"/>
  <c r="G121" i="12" s="1"/>
  <c r="AN121" i="7"/>
  <c r="T120" i="7"/>
  <c r="AP87" i="7"/>
  <c r="AM87" i="7"/>
  <c r="AH87" i="7"/>
  <c r="F87" i="12" s="1"/>
  <c r="D87" i="12"/>
  <c r="AQ87" i="7"/>
  <c r="P209" i="7"/>
  <c r="X151" i="12"/>
  <c r="AF42" i="7"/>
  <c r="AD42" i="7"/>
  <c r="AF29" i="7"/>
  <c r="AD29" i="7"/>
  <c r="D215" i="12"/>
  <c r="AP215" i="7"/>
  <c r="AM215" i="7"/>
  <c r="AH215" i="7"/>
  <c r="F215" i="12" s="1"/>
  <c r="AQ215" i="7"/>
  <c r="AH60" i="7"/>
  <c r="F60" i="12" s="1"/>
  <c r="AP60" i="7"/>
  <c r="AM60" i="7"/>
  <c r="D60" i="12"/>
  <c r="AQ60" i="7"/>
  <c r="AM131" i="7"/>
  <c r="D131" i="12"/>
  <c r="AP131" i="7"/>
  <c r="AH131" i="7"/>
  <c r="F131" i="12" s="1"/>
  <c r="AQ131" i="7"/>
  <c r="T172" i="7"/>
  <c r="AM148" i="7"/>
  <c r="AH148" i="7"/>
  <c r="F148" i="12" s="1"/>
  <c r="AP148" i="7"/>
  <c r="D148" i="12"/>
  <c r="AQ148" i="7"/>
  <c r="AI59" i="7"/>
  <c r="G59" i="12" s="1"/>
  <c r="AN59" i="7"/>
  <c r="X36" i="12"/>
  <c r="T100" i="7"/>
  <c r="T182" i="7"/>
  <c r="T30" i="7"/>
  <c r="Y42" i="12"/>
  <c r="AI188" i="7"/>
  <c r="G188" i="12" s="1"/>
  <c r="AN188" i="7"/>
  <c r="AM181" i="7"/>
  <c r="AH181" i="7"/>
  <c r="F181" i="12" s="1"/>
  <c r="D181" i="12"/>
  <c r="AP181" i="7"/>
  <c r="AQ181" i="7"/>
  <c r="AP196" i="7"/>
  <c r="D196" i="12"/>
  <c r="AM196" i="7"/>
  <c r="AH196" i="7"/>
  <c r="F196" i="12" s="1"/>
  <c r="AQ196" i="7"/>
  <c r="AM178" i="7"/>
  <c r="AH178" i="7"/>
  <c r="F178" i="12" s="1"/>
  <c r="D178" i="12"/>
  <c r="AP178" i="7"/>
  <c r="AQ178" i="7"/>
  <c r="AI205" i="7"/>
  <c r="G205" i="12" s="1"/>
  <c r="AN205" i="7"/>
  <c r="R10" i="30"/>
  <c r="AN45" i="7"/>
  <c r="AI45" i="7"/>
  <c r="G45" i="12" s="1"/>
  <c r="L105" i="12"/>
  <c r="S105" i="12"/>
  <c r="K105" i="12"/>
  <c r="AP152" i="7"/>
  <c r="AH152" i="7"/>
  <c r="F152" i="12" s="1"/>
  <c r="AM152" i="7"/>
  <c r="D152" i="12"/>
  <c r="AQ152" i="7"/>
  <c r="AD130" i="7"/>
  <c r="AF130" i="7"/>
  <c r="D70" i="12"/>
  <c r="AP70" i="7"/>
  <c r="AM70" i="7"/>
  <c r="AH70" i="7"/>
  <c r="F70" i="12" s="1"/>
  <c r="AQ70" i="7"/>
  <c r="BM284" i="11"/>
  <c r="T27" i="7"/>
  <c r="D98" i="12"/>
  <c r="AM98" i="7"/>
  <c r="AP98" i="7"/>
  <c r="AH98" i="7"/>
  <c r="F98" i="12" s="1"/>
  <c r="AQ98" i="7"/>
  <c r="AN218" i="7"/>
  <c r="AI218" i="7"/>
  <c r="G218" i="12" s="1"/>
  <c r="AM49" i="7"/>
  <c r="AP49" i="7"/>
  <c r="AH49" i="7"/>
  <c r="F49" i="12" s="1"/>
  <c r="D49" i="12"/>
  <c r="AQ49" i="7"/>
  <c r="P101" i="7"/>
  <c r="T55" i="7"/>
  <c r="AH109" i="7"/>
  <c r="F109" i="12" s="1"/>
  <c r="AP109" i="7"/>
  <c r="D109" i="12"/>
  <c r="AM109" i="7"/>
  <c r="AQ109" i="7"/>
  <c r="T15" i="7"/>
  <c r="L107" i="12"/>
  <c r="K107" i="12"/>
  <c r="S107" i="12"/>
  <c r="AD99" i="7"/>
  <c r="AF99" i="7"/>
  <c r="D50" i="12"/>
  <c r="AP50" i="7"/>
  <c r="AH50" i="7"/>
  <c r="F50" i="12" s="1"/>
  <c r="AM50" i="7"/>
  <c r="AQ50" i="7"/>
  <c r="AN69" i="7"/>
  <c r="AI69" i="7"/>
  <c r="G69" i="12" s="1"/>
  <c r="AN110" i="7"/>
  <c r="AI110" i="7"/>
  <c r="G110" i="12" s="1"/>
  <c r="T21" i="7"/>
  <c r="AW9" i="11"/>
  <c r="BM222" i="11"/>
  <c r="BM9" i="11" s="1"/>
  <c r="AM97" i="7"/>
  <c r="AP97" i="7"/>
  <c r="AH97" i="7"/>
  <c r="F97" i="12" s="1"/>
  <c r="D97" i="12"/>
  <c r="AQ97" i="7"/>
  <c r="AP90" i="7"/>
  <c r="AH90" i="7"/>
  <c r="F90" i="12" s="1"/>
  <c r="D90" i="12"/>
  <c r="AM90" i="7"/>
  <c r="AQ90" i="7"/>
  <c r="AP136" i="7"/>
  <c r="AH136" i="7"/>
  <c r="F136" i="12" s="1"/>
  <c r="D136" i="12"/>
  <c r="AM136" i="7"/>
  <c r="AQ136" i="7"/>
  <c r="AA164" i="12"/>
  <c r="D93" i="12"/>
  <c r="AP93" i="7"/>
  <c r="AM93" i="7"/>
  <c r="AH93" i="7"/>
  <c r="F93" i="12" s="1"/>
  <c r="AQ93" i="7"/>
  <c r="D169" i="12"/>
  <c r="AP169" i="7"/>
  <c r="AH169" i="7"/>
  <c r="F169" i="12" s="1"/>
  <c r="AM169" i="7"/>
  <c r="AQ169" i="7"/>
  <c r="D168" i="12"/>
  <c r="AH168" i="7"/>
  <c r="F168" i="12" s="1"/>
  <c r="AM168" i="7"/>
  <c r="AP168" i="7"/>
  <c r="AQ168" i="7"/>
  <c r="K137" i="12"/>
  <c r="S137" i="12"/>
  <c r="L137" i="12"/>
  <c r="U13" i="30" l="1"/>
  <c r="U14" i="30" s="1"/>
  <c r="M8" i="31" s="1"/>
  <c r="AI113" i="12"/>
  <c r="AM113" i="12" s="1"/>
  <c r="AJ113" i="12"/>
  <c r="AN113" i="12" s="1"/>
  <c r="AJ92" i="12"/>
  <c r="AN92" i="12" s="1"/>
  <c r="AI92" i="12"/>
  <c r="AI133" i="12"/>
  <c r="AJ133" i="12"/>
  <c r="AN133" i="12" s="1"/>
  <c r="AI129" i="12"/>
  <c r="AJ129" i="12"/>
  <c r="AN129" i="12" s="1"/>
  <c r="AA137" i="12"/>
  <c r="AC137" i="12" s="1"/>
  <c r="AG137" i="12" s="1"/>
  <c r="L90" i="12"/>
  <c r="K90" i="12"/>
  <c r="S90" i="12"/>
  <c r="S178" i="12"/>
  <c r="L178" i="12"/>
  <c r="K178" i="12"/>
  <c r="AN196" i="7"/>
  <c r="AI196" i="7"/>
  <c r="G196" i="12" s="1"/>
  <c r="S181" i="12"/>
  <c r="K181" i="12"/>
  <c r="L181" i="12"/>
  <c r="X120" i="7"/>
  <c r="AI57" i="7"/>
  <c r="G57" i="12" s="1"/>
  <c r="AN57" i="7"/>
  <c r="AI206" i="7"/>
  <c r="G206" i="12" s="1"/>
  <c r="AN206" i="7"/>
  <c r="L132" i="12"/>
  <c r="S132" i="12"/>
  <c r="K132" i="12"/>
  <c r="AI186" i="12"/>
  <c r="AM186" i="12" s="1"/>
  <c r="AJ186" i="12"/>
  <c r="AN186" i="12" s="1"/>
  <c r="S83" i="12"/>
  <c r="L83" i="12"/>
  <c r="K83" i="12"/>
  <c r="AI191" i="7"/>
  <c r="G191" i="12" s="1"/>
  <c r="AN191" i="7"/>
  <c r="L75" i="12"/>
  <c r="K75" i="12"/>
  <c r="S75" i="12"/>
  <c r="AI165" i="7"/>
  <c r="G165" i="12" s="1"/>
  <c r="AN165" i="7"/>
  <c r="AA110" i="12"/>
  <c r="AC110" i="12" s="1"/>
  <c r="AG110" i="12" s="1"/>
  <c r="AN156" i="7"/>
  <c r="AI156" i="7"/>
  <c r="G156" i="12" s="1"/>
  <c r="AA115" i="12"/>
  <c r="AC115" i="12" s="1"/>
  <c r="AG115" i="12" s="1"/>
  <c r="AN147" i="7"/>
  <c r="AI147" i="7"/>
  <c r="G147" i="12" s="1"/>
  <c r="L147" i="12"/>
  <c r="K147" i="12"/>
  <c r="S147" i="12"/>
  <c r="AI114" i="7"/>
  <c r="G114" i="12" s="1"/>
  <c r="AN114" i="7"/>
  <c r="AC119" i="12"/>
  <c r="AG119" i="12" s="1"/>
  <c r="AN173" i="7"/>
  <c r="AI173" i="7"/>
  <c r="G173" i="12" s="1"/>
  <c r="AI155" i="7"/>
  <c r="G155" i="12" s="1"/>
  <c r="AN155" i="7"/>
  <c r="AI208" i="7"/>
  <c r="G208" i="12" s="1"/>
  <c r="AN208" i="7"/>
  <c r="X143" i="7"/>
  <c r="AD146" i="7"/>
  <c r="AF146" i="7"/>
  <c r="S32" i="12"/>
  <c r="AC32" i="12" s="1"/>
  <c r="AG32" i="12" s="1"/>
  <c r="L32" i="12"/>
  <c r="K32" i="12"/>
  <c r="AN111" i="7"/>
  <c r="AI111" i="7"/>
  <c r="G111" i="12" s="1"/>
  <c r="D44" i="12"/>
  <c r="AH44" i="7"/>
  <c r="F44" i="12" s="1"/>
  <c r="AM44" i="7"/>
  <c r="AP44" i="7"/>
  <c r="AQ44" i="7"/>
  <c r="AN54" i="7"/>
  <c r="AI54" i="7"/>
  <c r="G54" i="12" s="1"/>
  <c r="AM123" i="7"/>
  <c r="AP123" i="7"/>
  <c r="D123" i="12"/>
  <c r="AH123" i="7"/>
  <c r="F123" i="12" s="1"/>
  <c r="AQ123" i="7"/>
  <c r="K194" i="12"/>
  <c r="L194" i="12"/>
  <c r="S194" i="12"/>
  <c r="AI190" i="12"/>
  <c r="AJ190" i="12"/>
  <c r="AN190" i="12" s="1"/>
  <c r="X210" i="7"/>
  <c r="AA53" i="12"/>
  <c r="AC53" i="12" s="1"/>
  <c r="AG53" i="12" s="1"/>
  <c r="X78" i="7"/>
  <c r="L145" i="12"/>
  <c r="S145" i="12"/>
  <c r="K145" i="12"/>
  <c r="AC188" i="12"/>
  <c r="AG188" i="12" s="1"/>
  <c r="L46" i="12"/>
  <c r="K46" i="12"/>
  <c r="S46" i="12"/>
  <c r="AI217" i="7"/>
  <c r="G217" i="12" s="1"/>
  <c r="AN217" i="7"/>
  <c r="X122" i="7"/>
  <c r="L73" i="12"/>
  <c r="S73" i="12"/>
  <c r="K73" i="12"/>
  <c r="AI40" i="7"/>
  <c r="G40" i="12" s="1"/>
  <c r="AN40" i="7"/>
  <c r="AC121" i="12"/>
  <c r="AG121" i="12" s="1"/>
  <c r="AC72" i="12"/>
  <c r="AF72" i="12"/>
  <c r="X12" i="7"/>
  <c r="L187" i="12"/>
  <c r="S187" i="12"/>
  <c r="K187" i="12"/>
  <c r="AI47" i="7"/>
  <c r="G47" i="12" s="1"/>
  <c r="AN47" i="7"/>
  <c r="AN28" i="7"/>
  <c r="AI28" i="7"/>
  <c r="G28" i="12" s="1"/>
  <c r="AN166" i="7"/>
  <c r="AI166" i="7"/>
  <c r="G166" i="12" s="1"/>
  <c r="AJ185" i="12"/>
  <c r="AN185" i="12" s="1"/>
  <c r="AI185" i="12"/>
  <c r="AM185" i="12" s="1"/>
  <c r="AC52" i="12"/>
  <c r="AF52" i="12"/>
  <c r="AC25" i="12"/>
  <c r="AG25" i="12" s="1"/>
  <c r="S11" i="30"/>
  <c r="S12" i="30" s="1"/>
  <c r="AN207" i="7"/>
  <c r="AI207" i="7"/>
  <c r="G207" i="12" s="1"/>
  <c r="K74" i="12"/>
  <c r="S74" i="12"/>
  <c r="L74" i="12"/>
  <c r="AI184" i="7"/>
  <c r="G184" i="12" s="1"/>
  <c r="AN184" i="7"/>
  <c r="AD195" i="7"/>
  <c r="AF195" i="7"/>
  <c r="K154" i="12"/>
  <c r="L154" i="12"/>
  <c r="S154" i="12"/>
  <c r="AC214" i="12"/>
  <c r="AG214" i="12" s="1"/>
  <c r="AF151" i="7"/>
  <c r="AD151" i="7"/>
  <c r="AJ211" i="12"/>
  <c r="AN211" i="12" s="1"/>
  <c r="AI211" i="12"/>
  <c r="L67" i="12"/>
  <c r="S67" i="12"/>
  <c r="K67" i="12"/>
  <c r="L61" i="12"/>
  <c r="S61" i="12"/>
  <c r="K61" i="12"/>
  <c r="AP39" i="7"/>
  <c r="D39" i="12"/>
  <c r="AM39" i="7"/>
  <c r="AH39" i="7"/>
  <c r="F39" i="12" s="1"/>
  <c r="AQ39" i="7"/>
  <c r="AM99" i="7"/>
  <c r="D99" i="12"/>
  <c r="AP99" i="7"/>
  <c r="AH99" i="7"/>
  <c r="F99" i="12" s="1"/>
  <c r="AQ99" i="7"/>
  <c r="AN152" i="7"/>
  <c r="AI152" i="7"/>
  <c r="G152" i="12" s="1"/>
  <c r="X100" i="7"/>
  <c r="AI87" i="7"/>
  <c r="G87" i="12" s="1"/>
  <c r="AN87" i="7"/>
  <c r="AI94" i="7"/>
  <c r="G94" i="12" s="1"/>
  <c r="AN94" i="7"/>
  <c r="AA127" i="12"/>
  <c r="AC127" i="12" s="1"/>
  <c r="AG127" i="12" s="1"/>
  <c r="K168" i="12"/>
  <c r="L168" i="12"/>
  <c r="S168" i="12"/>
  <c r="AI169" i="7"/>
  <c r="G169" i="12" s="1"/>
  <c r="AN169" i="7"/>
  <c r="AI93" i="7"/>
  <c r="G93" i="12" s="1"/>
  <c r="AN93" i="7"/>
  <c r="AN97" i="7"/>
  <c r="AI97" i="7"/>
  <c r="G97" i="12" s="1"/>
  <c r="S50" i="12"/>
  <c r="L50" i="12"/>
  <c r="K50" i="12"/>
  <c r="AA107" i="12"/>
  <c r="AC107" i="12" s="1"/>
  <c r="AG107" i="12" s="1"/>
  <c r="X15" i="7"/>
  <c r="AN109" i="7"/>
  <c r="AI109" i="7"/>
  <c r="G109" i="12" s="1"/>
  <c r="K49" i="12"/>
  <c r="S49" i="12"/>
  <c r="L49" i="12"/>
  <c r="AN98" i="7"/>
  <c r="AI98" i="7"/>
  <c r="G98" i="12" s="1"/>
  <c r="X27" i="7"/>
  <c r="S152" i="12"/>
  <c r="K152" i="12"/>
  <c r="L152" i="12"/>
  <c r="X30" i="7"/>
  <c r="S148" i="12"/>
  <c r="L148" i="12"/>
  <c r="K148" i="12"/>
  <c r="AI148" i="7"/>
  <c r="G148" i="12" s="1"/>
  <c r="AN148" i="7"/>
  <c r="K215" i="12"/>
  <c r="L215" i="12"/>
  <c r="S215" i="12"/>
  <c r="AM29" i="7"/>
  <c r="AH29" i="7"/>
  <c r="F29" i="12" s="1"/>
  <c r="D29" i="12"/>
  <c r="AP29" i="7"/>
  <c r="AQ29" i="7"/>
  <c r="T209" i="7"/>
  <c r="AH37" i="7"/>
  <c r="F37" i="12" s="1"/>
  <c r="AP37" i="7"/>
  <c r="AM37" i="7"/>
  <c r="D37" i="12"/>
  <c r="AQ37" i="7"/>
  <c r="AD48" i="7"/>
  <c r="AF48" i="7"/>
  <c r="X80" i="7"/>
  <c r="K57" i="12"/>
  <c r="L57" i="12"/>
  <c r="S57" i="12"/>
  <c r="AN75" i="7"/>
  <c r="AI75" i="7"/>
  <c r="G75" i="12" s="1"/>
  <c r="K34" i="12"/>
  <c r="S34" i="12"/>
  <c r="L34" i="12"/>
  <c r="AN193" i="7"/>
  <c r="AI193" i="7"/>
  <c r="G193" i="12" s="1"/>
  <c r="AI84" i="7"/>
  <c r="G84" i="12" s="1"/>
  <c r="AN84" i="7"/>
  <c r="AN79" i="7"/>
  <c r="AI79" i="7"/>
  <c r="G79" i="12" s="1"/>
  <c r="S79" i="12"/>
  <c r="K79" i="12"/>
  <c r="L79" i="12"/>
  <c r="D20" i="12"/>
  <c r="AH20" i="7"/>
  <c r="F20" i="12" s="1"/>
  <c r="AM20" i="7"/>
  <c r="AP20" i="7"/>
  <c r="AQ20" i="7"/>
  <c r="K150" i="12"/>
  <c r="L150" i="12"/>
  <c r="S150" i="12"/>
  <c r="K222" i="7"/>
  <c r="K8" i="7" s="1"/>
  <c r="E8" i="7"/>
  <c r="X213" i="7"/>
  <c r="X174" i="7"/>
  <c r="AD36" i="7"/>
  <c r="AF36" i="7"/>
  <c r="K208" i="12"/>
  <c r="S208" i="12"/>
  <c r="L208" i="12"/>
  <c r="AI176" i="7"/>
  <c r="G176" i="12" s="1"/>
  <c r="AN176" i="7"/>
  <c r="AI63" i="7"/>
  <c r="G63" i="12" s="1"/>
  <c r="AN63" i="7"/>
  <c r="L201" i="12"/>
  <c r="S201" i="12"/>
  <c r="K201" i="12"/>
  <c r="X139" i="7"/>
  <c r="S158" i="12"/>
  <c r="K158" i="12"/>
  <c r="L158" i="12"/>
  <c r="S111" i="12"/>
  <c r="L111" i="12"/>
  <c r="K111" i="12"/>
  <c r="AC85" i="12"/>
  <c r="AF85" i="12"/>
  <c r="AI126" i="7"/>
  <c r="G126" i="12" s="1"/>
  <c r="AN126" i="7"/>
  <c r="K141" i="12"/>
  <c r="L141" i="12"/>
  <c r="S141" i="12"/>
  <c r="AN212" i="7"/>
  <c r="AI212" i="7"/>
  <c r="G212" i="12" s="1"/>
  <c r="S54" i="12"/>
  <c r="L54" i="12"/>
  <c r="K54" i="12"/>
  <c r="L159" i="12"/>
  <c r="K159" i="12"/>
  <c r="S159" i="12"/>
  <c r="K200" i="12"/>
  <c r="S200" i="12"/>
  <c r="L200" i="12"/>
  <c r="S77" i="12"/>
  <c r="L77" i="12"/>
  <c r="K77" i="12"/>
  <c r="AN77" i="7"/>
  <c r="AI77" i="7"/>
  <c r="G77" i="12" s="1"/>
  <c r="S117" i="12"/>
  <c r="L117" i="12"/>
  <c r="K117" i="12"/>
  <c r="AI88" i="7"/>
  <c r="G88" i="12" s="1"/>
  <c r="AN88" i="7"/>
  <c r="X24" i="7"/>
  <c r="AD198" i="7"/>
  <c r="AF198" i="7"/>
  <c r="AA205" i="12"/>
  <c r="AC205" i="12" s="1"/>
  <c r="AG205" i="12" s="1"/>
  <c r="S106" i="12"/>
  <c r="L106" i="12"/>
  <c r="K106" i="12"/>
  <c r="L217" i="12"/>
  <c r="K217" i="12"/>
  <c r="S217" i="12"/>
  <c r="AN71" i="7"/>
  <c r="AI71" i="7"/>
  <c r="G71" i="12" s="1"/>
  <c r="S197" i="12"/>
  <c r="L197" i="12"/>
  <c r="K197" i="12"/>
  <c r="AF162" i="7"/>
  <c r="AD162" i="7"/>
  <c r="AI170" i="7"/>
  <c r="G170" i="12" s="1"/>
  <c r="AN170" i="7"/>
  <c r="X65" i="7"/>
  <c r="AI199" i="7"/>
  <c r="G199" i="12" s="1"/>
  <c r="AN199" i="7"/>
  <c r="S166" i="12"/>
  <c r="K166" i="12"/>
  <c r="L166" i="12"/>
  <c r="X13" i="7"/>
  <c r="S153" i="12"/>
  <c r="K153" i="12"/>
  <c r="L153" i="12"/>
  <c r="X19" i="7"/>
  <c r="K95" i="12"/>
  <c r="L95" i="12"/>
  <c r="S95" i="12"/>
  <c r="AI202" i="7"/>
  <c r="G202" i="12" s="1"/>
  <c r="AN202" i="7"/>
  <c r="X14" i="7"/>
  <c r="AC220" i="12"/>
  <c r="AG220" i="12" s="1"/>
  <c r="AN177" i="7"/>
  <c r="AI177" i="7"/>
  <c r="G177" i="12" s="1"/>
  <c r="AI66" i="7"/>
  <c r="G66" i="12" s="1"/>
  <c r="AN66" i="7"/>
  <c r="L66" i="12"/>
  <c r="K66" i="12"/>
  <c r="S66" i="12"/>
  <c r="S134" i="12"/>
  <c r="K134" i="12"/>
  <c r="L134" i="12"/>
  <c r="X17" i="7"/>
  <c r="AI163" i="7"/>
  <c r="G163" i="12" s="1"/>
  <c r="AN163" i="7"/>
  <c r="AI154" i="7"/>
  <c r="G154" i="12" s="1"/>
  <c r="AN154" i="7"/>
  <c r="AC118" i="12"/>
  <c r="AG118" i="12" s="1"/>
  <c r="AN104" i="7"/>
  <c r="AI104" i="7"/>
  <c r="G104" i="12" s="1"/>
  <c r="AI67" i="7"/>
  <c r="G67" i="12" s="1"/>
  <c r="AN67" i="7"/>
  <c r="AN216" i="7"/>
  <c r="AI216" i="7"/>
  <c r="G216" i="12" s="1"/>
  <c r="S216" i="12"/>
  <c r="L216" i="12"/>
  <c r="K216" i="12"/>
  <c r="AC204" i="12"/>
  <c r="AF204" i="12"/>
  <c r="X21" i="7"/>
  <c r="AN50" i="7"/>
  <c r="AI50" i="7"/>
  <c r="G50" i="12" s="1"/>
  <c r="AI49" i="7"/>
  <c r="G49" i="12" s="1"/>
  <c r="AN49" i="7"/>
  <c r="AN168" i="7"/>
  <c r="AI168" i="7"/>
  <c r="G168" i="12" s="1"/>
  <c r="AI136" i="7"/>
  <c r="G136" i="12" s="1"/>
  <c r="AN136" i="7"/>
  <c r="AN90" i="7"/>
  <c r="AI90" i="7"/>
  <c r="G90" i="12" s="1"/>
  <c r="S97" i="12"/>
  <c r="K97" i="12"/>
  <c r="L97" i="12"/>
  <c r="L109" i="12"/>
  <c r="S109" i="12"/>
  <c r="K109" i="12"/>
  <c r="X55" i="7"/>
  <c r="T101" i="7"/>
  <c r="L98" i="12"/>
  <c r="K98" i="12"/>
  <c r="S98" i="12"/>
  <c r="AN70" i="7"/>
  <c r="AI70" i="7"/>
  <c r="G70" i="12" s="1"/>
  <c r="AH130" i="7"/>
  <c r="F130" i="12" s="1"/>
  <c r="AM130" i="7"/>
  <c r="AP130" i="7"/>
  <c r="D130" i="12"/>
  <c r="AQ130" i="7"/>
  <c r="AA105" i="12"/>
  <c r="AC105" i="12" s="1"/>
  <c r="AG105" i="12" s="1"/>
  <c r="R11" i="30"/>
  <c r="K11" i="31" s="1"/>
  <c r="AN178" i="7"/>
  <c r="AI178" i="7"/>
  <c r="G178" i="12" s="1"/>
  <c r="S196" i="12"/>
  <c r="K196" i="12"/>
  <c r="L196" i="12"/>
  <c r="L131" i="12"/>
  <c r="S131" i="12"/>
  <c r="K131" i="12"/>
  <c r="S60" i="12"/>
  <c r="L60" i="12"/>
  <c r="K60" i="12"/>
  <c r="AN60" i="7"/>
  <c r="AI60" i="7"/>
  <c r="G60" i="12" s="1"/>
  <c r="AP42" i="7"/>
  <c r="AH42" i="7"/>
  <c r="F42" i="12" s="1"/>
  <c r="D42" i="12"/>
  <c r="AM42" i="7"/>
  <c r="AQ42" i="7"/>
  <c r="S87" i="12"/>
  <c r="K87" i="12"/>
  <c r="L87" i="12"/>
  <c r="X56" i="7"/>
  <c r="AA58" i="12"/>
  <c r="AC58" i="12" s="1"/>
  <c r="AG58" i="12" s="1"/>
  <c r="K94" i="12"/>
  <c r="S94" i="12"/>
  <c r="L94" i="12"/>
  <c r="AI68" i="7"/>
  <c r="G68" i="12" s="1"/>
  <c r="AN68" i="7"/>
  <c r="S206" i="12"/>
  <c r="K206" i="12"/>
  <c r="L206" i="12"/>
  <c r="AN132" i="7"/>
  <c r="AI132" i="7"/>
  <c r="G132" i="12" s="1"/>
  <c r="AI125" i="7"/>
  <c r="G125" i="12" s="1"/>
  <c r="AN125" i="7"/>
  <c r="S165" i="12"/>
  <c r="K165" i="12"/>
  <c r="L165" i="12"/>
  <c r="AC69" i="12"/>
  <c r="AF69" i="12"/>
  <c r="X38" i="7"/>
  <c r="AC219" i="12"/>
  <c r="AG219" i="12" s="1"/>
  <c r="L84" i="12"/>
  <c r="S84" i="12"/>
  <c r="K84" i="12"/>
  <c r="K114" i="12"/>
  <c r="L114" i="12"/>
  <c r="S114" i="12"/>
  <c r="AN150" i="7"/>
  <c r="AI150" i="7"/>
  <c r="G150" i="12" s="1"/>
  <c r="S183" i="12"/>
  <c r="L183" i="12"/>
  <c r="K183" i="12"/>
  <c r="X142" i="7"/>
  <c r="L155" i="12"/>
  <c r="S155" i="12"/>
  <c r="K155" i="12"/>
  <c r="AN35" i="7"/>
  <c r="AI35" i="7"/>
  <c r="G35" i="12" s="1"/>
  <c r="AN149" i="7"/>
  <c r="AI149" i="7"/>
  <c r="G149" i="12" s="1"/>
  <c r="AI32" i="7"/>
  <c r="G32" i="12" s="1"/>
  <c r="AN32" i="7"/>
  <c r="AC96" i="12"/>
  <c r="AF96" i="12"/>
  <c r="AD103" i="7"/>
  <c r="AF103" i="7"/>
  <c r="L126" i="12"/>
  <c r="S126" i="12"/>
  <c r="K126" i="12"/>
  <c r="AI141" i="7"/>
  <c r="G141" i="12" s="1"/>
  <c r="AN141" i="7"/>
  <c r="D43" i="12"/>
  <c r="AP43" i="7"/>
  <c r="AH43" i="7"/>
  <c r="F43" i="12" s="1"/>
  <c r="AM43" i="7"/>
  <c r="AQ43" i="7"/>
  <c r="L82" i="12"/>
  <c r="S82" i="12"/>
  <c r="K82" i="12"/>
  <c r="AI200" i="7"/>
  <c r="G200" i="12" s="1"/>
  <c r="AN200" i="7"/>
  <c r="X33" i="7"/>
  <c r="AN117" i="7"/>
  <c r="AI117" i="7"/>
  <c r="G117" i="12" s="1"/>
  <c r="AH192" i="7"/>
  <c r="F192" i="12" s="1"/>
  <c r="D192" i="12"/>
  <c r="AP192" i="7"/>
  <c r="AM192" i="7"/>
  <c r="AQ192" i="7"/>
  <c r="AA218" i="12"/>
  <c r="AC218" i="12" s="1"/>
  <c r="AG218" i="12" s="1"/>
  <c r="L179" i="12"/>
  <c r="K179" i="12"/>
  <c r="S179" i="12"/>
  <c r="AI106" i="7"/>
  <c r="G106" i="12" s="1"/>
  <c r="AN106" i="7"/>
  <c r="D167" i="12"/>
  <c r="AH167" i="7"/>
  <c r="F167" i="12" s="1"/>
  <c r="AP167" i="7"/>
  <c r="AM167" i="7"/>
  <c r="AQ167" i="7"/>
  <c r="X26" i="7"/>
  <c r="AN89" i="7"/>
  <c r="AI89" i="7"/>
  <c r="G89" i="12" s="1"/>
  <c r="S124" i="12"/>
  <c r="L124" i="12"/>
  <c r="K124" i="12"/>
  <c r="AI124" i="7"/>
  <c r="G124" i="12" s="1"/>
  <c r="AN124" i="7"/>
  <c r="K40" i="12"/>
  <c r="S40" i="12"/>
  <c r="L40" i="12"/>
  <c r="AI197" i="7"/>
  <c r="G197" i="12" s="1"/>
  <c r="AN197" i="7"/>
  <c r="AN187" i="7"/>
  <c r="AI187" i="7"/>
  <c r="G187" i="12" s="1"/>
  <c r="K189" i="12"/>
  <c r="S189" i="12"/>
  <c r="L189" i="12"/>
  <c r="S64" i="12"/>
  <c r="L64" i="12"/>
  <c r="K64" i="12"/>
  <c r="AN64" i="7"/>
  <c r="AI64" i="7"/>
  <c r="G64" i="12" s="1"/>
  <c r="K47" i="12"/>
  <c r="L47" i="12"/>
  <c r="S47" i="12"/>
  <c r="X41" i="7"/>
  <c r="K140" i="12"/>
  <c r="L140" i="12"/>
  <c r="S140" i="12"/>
  <c r="K199" i="12"/>
  <c r="S199" i="12"/>
  <c r="L199" i="12"/>
  <c r="AI153" i="7"/>
  <c r="G153" i="12" s="1"/>
  <c r="AN153" i="7"/>
  <c r="X81" i="7"/>
  <c r="AI95" i="7"/>
  <c r="G95" i="12" s="1"/>
  <c r="AN95" i="7"/>
  <c r="K202" i="12"/>
  <c r="S202" i="12"/>
  <c r="L202" i="12"/>
  <c r="AH112" i="7"/>
  <c r="F112" i="12" s="1"/>
  <c r="D112" i="12"/>
  <c r="AP112" i="7"/>
  <c r="AM112" i="7"/>
  <c r="AQ112" i="7"/>
  <c r="AP175" i="7"/>
  <c r="D175" i="12"/>
  <c r="AM175" i="7"/>
  <c r="AH175" i="7"/>
  <c r="F175" i="12" s="1"/>
  <c r="AQ175" i="7"/>
  <c r="L177" i="12"/>
  <c r="K177" i="12"/>
  <c r="S177" i="12"/>
  <c r="AN74" i="7"/>
  <c r="AI74" i="7"/>
  <c r="G74" i="12" s="1"/>
  <c r="AN180" i="7"/>
  <c r="AI180" i="7"/>
  <c r="G180" i="12" s="1"/>
  <c r="L104" i="12"/>
  <c r="S104" i="12"/>
  <c r="K104" i="12"/>
  <c r="AN61" i="7"/>
  <c r="AI61" i="7"/>
  <c r="G61" i="12" s="1"/>
  <c r="K169" i="12"/>
  <c r="L169" i="12"/>
  <c r="S169" i="12"/>
  <c r="L93" i="12"/>
  <c r="K93" i="12"/>
  <c r="S93" i="12"/>
  <c r="K136" i="12"/>
  <c r="L136" i="12"/>
  <c r="S136" i="12"/>
  <c r="L70" i="12"/>
  <c r="K70" i="12"/>
  <c r="S70" i="12"/>
  <c r="AI181" i="7"/>
  <c r="G181" i="12" s="1"/>
  <c r="AN181" i="7"/>
  <c r="X182" i="7"/>
  <c r="X172" i="7"/>
  <c r="AN131" i="7"/>
  <c r="AI131" i="7"/>
  <c r="G131" i="12" s="1"/>
  <c r="AI215" i="7"/>
  <c r="G215" i="12" s="1"/>
  <c r="AN215" i="7"/>
  <c r="X108" i="7"/>
  <c r="AA86" i="12"/>
  <c r="AC86" i="12" s="1"/>
  <c r="AG86" i="12" s="1"/>
  <c r="L68" i="12"/>
  <c r="K68" i="12"/>
  <c r="S68" i="12"/>
  <c r="AA91" i="12"/>
  <c r="AC91" i="12" s="1"/>
  <c r="AG91" i="12" s="1"/>
  <c r="X18" i="7"/>
  <c r="AJ203" i="12"/>
  <c r="AN203" i="12" s="1"/>
  <c r="AI203" i="12"/>
  <c r="K125" i="12"/>
  <c r="L125" i="12"/>
  <c r="S125" i="12"/>
  <c r="AI83" i="7"/>
  <c r="G83" i="12" s="1"/>
  <c r="AN83" i="7"/>
  <c r="K191" i="12"/>
  <c r="S191" i="12"/>
  <c r="L191" i="12"/>
  <c r="AN34" i="7"/>
  <c r="AI34" i="7"/>
  <c r="G34" i="12" s="1"/>
  <c r="AD164" i="7"/>
  <c r="AF164" i="7"/>
  <c r="S193" i="12"/>
  <c r="L193" i="12"/>
  <c r="K193" i="12"/>
  <c r="S156" i="12"/>
  <c r="L156" i="12"/>
  <c r="K156" i="12"/>
  <c r="X128" i="7"/>
  <c r="X144" i="7"/>
  <c r="AK7" i="7"/>
  <c r="K173" i="12"/>
  <c r="L173" i="12"/>
  <c r="S173" i="12"/>
  <c r="AN183" i="7"/>
  <c r="AI183" i="7"/>
  <c r="G183" i="12" s="1"/>
  <c r="X171" i="7"/>
  <c r="L35" i="12"/>
  <c r="K35" i="12"/>
  <c r="S35" i="12"/>
  <c r="S176" i="12"/>
  <c r="K176" i="12"/>
  <c r="L176" i="12"/>
  <c r="S149" i="12"/>
  <c r="L149" i="12"/>
  <c r="K149" i="12"/>
  <c r="S63" i="12"/>
  <c r="K63" i="12"/>
  <c r="L63" i="12"/>
  <c r="AI201" i="7"/>
  <c r="G201" i="12" s="1"/>
  <c r="AN201" i="7"/>
  <c r="AP160" i="7"/>
  <c r="AM160" i="7"/>
  <c r="AH160" i="7"/>
  <c r="F160" i="12" s="1"/>
  <c r="D160" i="12"/>
  <c r="AQ160" i="7"/>
  <c r="AN158" i="7"/>
  <c r="AI158" i="7"/>
  <c r="G158" i="12" s="1"/>
  <c r="L212" i="12"/>
  <c r="K212" i="12"/>
  <c r="S212" i="12"/>
  <c r="AN82" i="7"/>
  <c r="AI82" i="7"/>
  <c r="G82" i="12" s="1"/>
  <c r="AG76" i="12"/>
  <c r="AN159" i="7"/>
  <c r="AI159" i="7"/>
  <c r="G159" i="12" s="1"/>
  <c r="AN194" i="7"/>
  <c r="AI194" i="7"/>
  <c r="G194" i="12" s="1"/>
  <c r="AN116" i="7"/>
  <c r="AI116" i="7"/>
  <c r="G116" i="12" s="1"/>
  <c r="K116" i="12"/>
  <c r="S116" i="12"/>
  <c r="L116" i="12"/>
  <c r="X31" i="7"/>
  <c r="K88" i="12"/>
  <c r="L88" i="12"/>
  <c r="S88" i="12"/>
  <c r="AN179" i="7"/>
  <c r="AI179" i="7"/>
  <c r="G179" i="12" s="1"/>
  <c r="AA138" i="12"/>
  <c r="AC138" i="12" s="1"/>
  <c r="AG138" i="12" s="1"/>
  <c r="AC45" i="12"/>
  <c r="AG45" i="12" s="1"/>
  <c r="AI145" i="7"/>
  <c r="G145" i="12" s="1"/>
  <c r="AN145" i="7"/>
  <c r="AI46" i="7"/>
  <c r="G46" i="12" s="1"/>
  <c r="AN46" i="7"/>
  <c r="L89" i="12"/>
  <c r="S89" i="12"/>
  <c r="K89" i="12"/>
  <c r="S71" i="12"/>
  <c r="K71" i="12"/>
  <c r="L71" i="12"/>
  <c r="X23" i="7"/>
  <c r="AN73" i="7"/>
  <c r="AI73" i="7"/>
  <c r="G73" i="12" s="1"/>
  <c r="AF157" i="7"/>
  <c r="AD157" i="7"/>
  <c r="AI189" i="7"/>
  <c r="G189" i="12" s="1"/>
  <c r="AN189" i="7"/>
  <c r="L170" i="12"/>
  <c r="K170" i="12"/>
  <c r="S170" i="12"/>
  <c r="K28" i="12"/>
  <c r="S28" i="12"/>
  <c r="L28" i="12"/>
  <c r="AI140" i="7"/>
  <c r="G140" i="12" s="1"/>
  <c r="AN140" i="7"/>
  <c r="X22" i="7"/>
  <c r="K207" i="12"/>
  <c r="L207" i="12"/>
  <c r="S207" i="12"/>
  <c r="AA59" i="12"/>
  <c r="AC59" i="12" s="1"/>
  <c r="AG59" i="12" s="1"/>
  <c r="AI134" i="7"/>
  <c r="G134" i="12" s="1"/>
  <c r="AN134" i="7"/>
  <c r="S184" i="12"/>
  <c r="K184" i="12"/>
  <c r="L184" i="12"/>
  <c r="AI51" i="12"/>
  <c r="AJ51" i="12"/>
  <c r="AN51" i="12" s="1"/>
  <c r="L163" i="12"/>
  <c r="S163" i="12"/>
  <c r="K163" i="12"/>
  <c r="X102" i="7"/>
  <c r="AA161" i="12"/>
  <c r="AC161" i="12" s="1"/>
  <c r="AG161" i="12" s="1"/>
  <c r="S180" i="12"/>
  <c r="K180" i="12"/>
  <c r="L180" i="12"/>
  <c r="AI135" i="7"/>
  <c r="G135" i="12" s="1"/>
  <c r="AN135" i="7"/>
  <c r="K135" i="12"/>
  <c r="L135" i="12"/>
  <c r="S135" i="12"/>
  <c r="M9" i="31"/>
  <c r="U27" i="30" l="1"/>
  <c r="L11" i="31"/>
  <c r="AK113" i="12"/>
  <c r="AG96" i="12"/>
  <c r="AJ96" i="12" s="1"/>
  <c r="AN96" i="12" s="1"/>
  <c r="U15" i="30"/>
  <c r="U16" i="30" s="1"/>
  <c r="U17" i="30" s="1"/>
  <c r="U18" i="30" s="1"/>
  <c r="U19" i="30" s="1"/>
  <c r="U20" i="30" s="1"/>
  <c r="U23" i="30" s="1"/>
  <c r="AG204" i="12"/>
  <c r="AI204" i="12" s="1"/>
  <c r="AM204" i="12" s="1"/>
  <c r="S13" i="30"/>
  <c r="AG72" i="12"/>
  <c r="AJ72" i="12" s="1"/>
  <c r="AN72" i="12" s="1"/>
  <c r="AJ86" i="12"/>
  <c r="AN86" i="12" s="1"/>
  <c r="AI86" i="12"/>
  <c r="AI58" i="12"/>
  <c r="AM58" i="12" s="1"/>
  <c r="AJ58" i="12"/>
  <c r="AN58" i="12" s="1"/>
  <c r="AJ138" i="12"/>
  <c r="AN138" i="12" s="1"/>
  <c r="AI138" i="12"/>
  <c r="AM138" i="12" s="1"/>
  <c r="AJ59" i="12"/>
  <c r="AN59" i="12" s="1"/>
  <c r="AI59" i="12"/>
  <c r="AJ53" i="12"/>
  <c r="AN53" i="12" s="1"/>
  <c r="AI53" i="12"/>
  <c r="AM53" i="12" s="1"/>
  <c r="AM51" i="12"/>
  <c r="AK51" i="12"/>
  <c r="AC71" i="12"/>
  <c r="AF71" i="12"/>
  <c r="AA88" i="12"/>
  <c r="AI160" i="7"/>
  <c r="G160" i="12" s="1"/>
  <c r="AN160" i="7"/>
  <c r="AC63" i="12"/>
  <c r="AG63" i="12" s="1"/>
  <c r="AC193" i="12"/>
  <c r="AG193" i="12" s="1"/>
  <c r="AI91" i="12"/>
  <c r="AJ91" i="12"/>
  <c r="AN91" i="12" s="1"/>
  <c r="AC70" i="12"/>
  <c r="AG70" i="12" s="1"/>
  <c r="AC136" i="12"/>
  <c r="AG136" i="12" s="1"/>
  <c r="AC104" i="12"/>
  <c r="AG104" i="12" s="1"/>
  <c r="AN112" i="7"/>
  <c r="AI112" i="7"/>
  <c r="G112" i="12" s="1"/>
  <c r="AC202" i="12"/>
  <c r="AG202" i="12" s="1"/>
  <c r="AC47" i="12"/>
  <c r="AG47" i="12" s="1"/>
  <c r="AN167" i="7"/>
  <c r="AI167" i="7"/>
  <c r="G167" i="12" s="1"/>
  <c r="S167" i="12"/>
  <c r="L167" i="12"/>
  <c r="K167" i="12"/>
  <c r="AI218" i="12"/>
  <c r="AJ218" i="12"/>
  <c r="AN218" i="12" s="1"/>
  <c r="AI43" i="7"/>
  <c r="G43" i="12" s="1"/>
  <c r="AN43" i="7"/>
  <c r="AJ219" i="12"/>
  <c r="AN219" i="12" s="1"/>
  <c r="AI219" i="12"/>
  <c r="S130" i="12"/>
  <c r="K130" i="12"/>
  <c r="L130" i="12"/>
  <c r="X101" i="7"/>
  <c r="AA216" i="12"/>
  <c r="AC216" i="12" s="1"/>
  <c r="AG216" i="12" s="1"/>
  <c r="AI118" i="12"/>
  <c r="AJ118" i="12"/>
  <c r="AN118" i="12" s="1"/>
  <c r="AA166" i="12"/>
  <c r="AC166" i="12" s="1"/>
  <c r="AG166" i="12" s="1"/>
  <c r="AC217" i="12"/>
  <c r="AF217" i="12"/>
  <c r="AI205" i="12"/>
  <c r="AJ205" i="12"/>
  <c r="AN205" i="12" s="1"/>
  <c r="AC117" i="12"/>
  <c r="AG117" i="12" s="1"/>
  <c r="AC159" i="12"/>
  <c r="AG159" i="12" s="1"/>
  <c r="AC141" i="12"/>
  <c r="AG141" i="12" s="1"/>
  <c r="AA158" i="12"/>
  <c r="AC158" i="12" s="1"/>
  <c r="AG158" i="12" s="1"/>
  <c r="AC208" i="12"/>
  <c r="AF208" i="12"/>
  <c r="AC150" i="12"/>
  <c r="AG150" i="12" s="1"/>
  <c r="AI20" i="7"/>
  <c r="G20" i="12" s="1"/>
  <c r="AN20" i="7"/>
  <c r="S20" i="12"/>
  <c r="K20" i="12"/>
  <c r="L20" i="12"/>
  <c r="AC34" i="12"/>
  <c r="AG34" i="12" s="1"/>
  <c r="AC49" i="12"/>
  <c r="AG49" i="12" s="1"/>
  <c r="AC50" i="12"/>
  <c r="AG50" i="12" s="1"/>
  <c r="AJ127" i="12"/>
  <c r="AN127" i="12" s="1"/>
  <c r="AI127" i="12"/>
  <c r="AC67" i="12"/>
  <c r="AF67" i="12"/>
  <c r="AC154" i="12"/>
  <c r="AG154" i="12" s="1"/>
  <c r="AM195" i="7"/>
  <c r="D195" i="12"/>
  <c r="AH195" i="7"/>
  <c r="F195" i="12" s="1"/>
  <c r="AP195" i="7"/>
  <c r="AQ195" i="7"/>
  <c r="AC74" i="12"/>
  <c r="AF74" i="12"/>
  <c r="L10" i="31"/>
  <c r="BB185" i="12"/>
  <c r="BE185" i="12"/>
  <c r="BJ185" i="12"/>
  <c r="AQ185" i="12"/>
  <c r="AC145" i="12"/>
  <c r="AF145" i="12"/>
  <c r="AA194" i="12"/>
  <c r="AC194" i="12" s="1"/>
  <c r="AG194" i="12" s="1"/>
  <c r="AJ119" i="12"/>
  <c r="AN119" i="12" s="1"/>
  <c r="AI119" i="12"/>
  <c r="AC75" i="12"/>
  <c r="AF75" i="12"/>
  <c r="BF186" i="12"/>
  <c r="BK186" i="12"/>
  <c r="AC178" i="12"/>
  <c r="AG178" i="12" s="1"/>
  <c r="AK186" i="12"/>
  <c r="AJ161" i="12"/>
  <c r="AN161" i="12" s="1"/>
  <c r="AI161" i="12"/>
  <c r="AM161" i="12" s="1"/>
  <c r="BK51" i="12"/>
  <c r="BF51" i="12"/>
  <c r="AC184" i="12"/>
  <c r="AF184" i="12"/>
  <c r="AC135" i="12"/>
  <c r="AG135" i="12" s="1"/>
  <c r="AC163" i="12"/>
  <c r="AG163" i="12" s="1"/>
  <c r="AC176" i="12"/>
  <c r="AG176" i="12" s="1"/>
  <c r="AC156" i="12"/>
  <c r="AG156" i="12" s="1"/>
  <c r="AC125" i="12"/>
  <c r="AF125" i="12"/>
  <c r="AC68" i="12"/>
  <c r="AG68" i="12" s="1"/>
  <c r="AC177" i="12"/>
  <c r="AG177" i="12" s="1"/>
  <c r="AN175" i="7"/>
  <c r="AI175" i="7"/>
  <c r="G175" i="12" s="1"/>
  <c r="AA199" i="12"/>
  <c r="AC199" i="12" s="1"/>
  <c r="AG199" i="12" s="1"/>
  <c r="AC189" i="12"/>
  <c r="AG189" i="12" s="1"/>
  <c r="AC40" i="12"/>
  <c r="AG40" i="12" s="1"/>
  <c r="L192" i="12"/>
  <c r="K192" i="12"/>
  <c r="S192" i="12"/>
  <c r="AC183" i="12"/>
  <c r="AG183" i="12" s="1"/>
  <c r="AC114" i="12"/>
  <c r="AG114" i="12" s="1"/>
  <c r="AI42" i="7"/>
  <c r="G42" i="12" s="1"/>
  <c r="AN42" i="7"/>
  <c r="AC131" i="12"/>
  <c r="AG131" i="12" s="1"/>
  <c r="AA196" i="12"/>
  <c r="AC196" i="12" s="1"/>
  <c r="AG196" i="12" s="1"/>
  <c r="R12" i="30"/>
  <c r="AI105" i="12"/>
  <c r="AJ105" i="12"/>
  <c r="AN105" i="12" s="1"/>
  <c r="AN130" i="7"/>
  <c r="AI130" i="7"/>
  <c r="G130" i="12" s="1"/>
  <c r="AC109" i="12"/>
  <c r="AG109" i="12" s="1"/>
  <c r="AC134" i="12"/>
  <c r="AG134" i="12" s="1"/>
  <c r="AI220" i="12"/>
  <c r="AJ220" i="12"/>
  <c r="AN220" i="12" s="1"/>
  <c r="AA95" i="12"/>
  <c r="AC95" i="12" s="1"/>
  <c r="AG95" i="12" s="1"/>
  <c r="AC197" i="12"/>
  <c r="AG197" i="12" s="1"/>
  <c r="AC106" i="12"/>
  <c r="AF106" i="12"/>
  <c r="AP198" i="7"/>
  <c r="AH198" i="7"/>
  <c r="F198" i="12" s="1"/>
  <c r="AM198" i="7"/>
  <c r="D198" i="12"/>
  <c r="AQ198" i="7"/>
  <c r="AC77" i="12"/>
  <c r="AG77" i="12" s="1"/>
  <c r="AC54" i="12"/>
  <c r="AG54" i="12" s="1"/>
  <c r="AC111" i="12"/>
  <c r="AG111" i="12" s="1"/>
  <c r="AC57" i="12"/>
  <c r="AG57" i="12" s="1"/>
  <c r="L37" i="12"/>
  <c r="K37" i="12"/>
  <c r="S37" i="12"/>
  <c r="AI37" i="7"/>
  <c r="G37" i="12" s="1"/>
  <c r="AN37" i="7"/>
  <c r="L29" i="12"/>
  <c r="K29" i="12"/>
  <c r="S29" i="12"/>
  <c r="AC148" i="12"/>
  <c r="AG148" i="12" s="1"/>
  <c r="AC152" i="12"/>
  <c r="AG152" i="12" s="1"/>
  <c r="AI107" i="12"/>
  <c r="AM107" i="12" s="1"/>
  <c r="AJ107" i="12"/>
  <c r="AN107" i="12" s="1"/>
  <c r="AN99" i="7"/>
  <c r="AI99" i="7"/>
  <c r="G99" i="12" s="1"/>
  <c r="AH151" i="7"/>
  <c r="F151" i="12" s="1"/>
  <c r="AP151" i="7"/>
  <c r="AM151" i="7"/>
  <c r="D151" i="12"/>
  <c r="AQ151" i="7"/>
  <c r="BK185" i="12"/>
  <c r="BF185" i="12"/>
  <c r="AI121" i="12"/>
  <c r="AJ121" i="12"/>
  <c r="AN121" i="12" s="1"/>
  <c r="BE186" i="12"/>
  <c r="BJ186" i="12"/>
  <c r="AQ186" i="12"/>
  <c r="BB186" i="12"/>
  <c r="BF133" i="12"/>
  <c r="BK133" i="12"/>
  <c r="AM92" i="12"/>
  <c r="AK92" i="12"/>
  <c r="BK113" i="12"/>
  <c r="BF113" i="12"/>
  <c r="AC207" i="12"/>
  <c r="AG207" i="12" s="1"/>
  <c r="AC28" i="12"/>
  <c r="AG28" i="12" s="1"/>
  <c r="AC180" i="12"/>
  <c r="AG180" i="12" s="1"/>
  <c r="AJ45" i="12"/>
  <c r="AN45" i="12" s="1"/>
  <c r="AI45" i="12"/>
  <c r="AC212" i="12"/>
  <c r="AG212" i="12" s="1"/>
  <c r="K160" i="12"/>
  <c r="L160" i="12"/>
  <c r="S160" i="12"/>
  <c r="AC149" i="12"/>
  <c r="AG149" i="12" s="1"/>
  <c r="AC35" i="12"/>
  <c r="AG35" i="12" s="1"/>
  <c r="AM164" i="7"/>
  <c r="AP164" i="7"/>
  <c r="AH164" i="7"/>
  <c r="F164" i="12" s="1"/>
  <c r="D164" i="12"/>
  <c r="AQ164" i="7"/>
  <c r="AM203" i="12"/>
  <c r="AK203" i="12"/>
  <c r="AC169" i="12"/>
  <c r="AF169" i="12"/>
  <c r="K112" i="12"/>
  <c r="L112" i="12"/>
  <c r="S112" i="12"/>
  <c r="AM103" i="7"/>
  <c r="AP103" i="7"/>
  <c r="AH103" i="7"/>
  <c r="F103" i="12" s="1"/>
  <c r="D103" i="12"/>
  <c r="AQ103" i="7"/>
  <c r="AC155" i="12"/>
  <c r="AG155" i="12" s="1"/>
  <c r="AC84" i="12"/>
  <c r="AG84" i="12" s="1"/>
  <c r="AG69" i="12"/>
  <c r="AC165" i="12"/>
  <c r="AF165" i="12"/>
  <c r="AC87" i="12"/>
  <c r="AG87" i="12" s="1"/>
  <c r="AC66" i="12"/>
  <c r="AF66" i="12"/>
  <c r="AC153" i="12"/>
  <c r="AG153" i="12" s="1"/>
  <c r="AG85" i="12"/>
  <c r="D36" i="12"/>
  <c r="AH36" i="7"/>
  <c r="F36" i="12" s="1"/>
  <c r="AP36" i="7"/>
  <c r="AM36" i="7"/>
  <c r="AQ36" i="7"/>
  <c r="AP48" i="7"/>
  <c r="AM48" i="7"/>
  <c r="D48" i="12"/>
  <c r="AH48" i="7"/>
  <c r="F48" i="12" s="1"/>
  <c r="AQ48" i="7"/>
  <c r="X209" i="7"/>
  <c r="AN29" i="7"/>
  <c r="AI29" i="7"/>
  <c r="G29" i="12" s="1"/>
  <c r="AC215" i="12"/>
  <c r="AG215" i="12" s="1"/>
  <c r="AC168" i="12"/>
  <c r="AG168" i="12" s="1"/>
  <c r="L39" i="12"/>
  <c r="S39" i="12"/>
  <c r="K39" i="12"/>
  <c r="AM211" i="12"/>
  <c r="AK211" i="12"/>
  <c r="AJ25" i="12"/>
  <c r="AN25" i="12" s="1"/>
  <c r="AI25" i="12"/>
  <c r="AC73" i="12"/>
  <c r="AG73" i="12" s="1"/>
  <c r="AC46" i="12"/>
  <c r="AG46" i="12" s="1"/>
  <c r="AJ188" i="12"/>
  <c r="AN188" i="12" s="1"/>
  <c r="AI188" i="12"/>
  <c r="BF190" i="12"/>
  <c r="BK190" i="12"/>
  <c r="AN123" i="7"/>
  <c r="AI123" i="7"/>
  <c r="G123" i="12" s="1"/>
  <c r="AN44" i="7"/>
  <c r="AI44" i="7"/>
  <c r="G44" i="12" s="1"/>
  <c r="S44" i="12"/>
  <c r="K44" i="12"/>
  <c r="L44" i="12"/>
  <c r="D146" i="12"/>
  <c r="AP146" i="7"/>
  <c r="AH146" i="7"/>
  <c r="F146" i="12" s="1"/>
  <c r="AM146" i="7"/>
  <c r="AQ146" i="7"/>
  <c r="AI115" i="12"/>
  <c r="AJ115" i="12"/>
  <c r="AN115" i="12" s="1"/>
  <c r="AJ110" i="12"/>
  <c r="AN110" i="12" s="1"/>
  <c r="AI110" i="12"/>
  <c r="AI137" i="12"/>
  <c r="AJ137" i="12"/>
  <c r="AN137" i="12" s="1"/>
  <c r="AK185" i="12"/>
  <c r="BF129" i="12"/>
  <c r="BK129" i="12"/>
  <c r="AM133" i="12"/>
  <c r="AK133" i="12"/>
  <c r="BF92" i="12"/>
  <c r="BK92" i="12"/>
  <c r="AQ113" i="12"/>
  <c r="BE113" i="12"/>
  <c r="BJ113" i="12"/>
  <c r="BB113" i="12"/>
  <c r="AC170" i="12"/>
  <c r="AG170" i="12" s="1"/>
  <c r="AH157" i="7"/>
  <c r="F157" i="12" s="1"/>
  <c r="AM157" i="7"/>
  <c r="D157" i="12"/>
  <c r="AP157" i="7"/>
  <c r="AQ157" i="7"/>
  <c r="AC89" i="12"/>
  <c r="AG89" i="12" s="1"/>
  <c r="AC116" i="12"/>
  <c r="AG116" i="12" s="1"/>
  <c r="AI76" i="12"/>
  <c r="AM76" i="12" s="1"/>
  <c r="AJ76" i="12"/>
  <c r="AC173" i="12"/>
  <c r="AG173" i="12" s="1"/>
  <c r="AC191" i="12"/>
  <c r="AG191" i="12" s="1"/>
  <c r="BF203" i="12"/>
  <c r="BK203" i="12"/>
  <c r="AA93" i="12"/>
  <c r="AC93" i="12" s="1"/>
  <c r="AG93" i="12" s="1"/>
  <c r="L175" i="12"/>
  <c r="S175" i="12"/>
  <c r="K175" i="12"/>
  <c r="AC140" i="12"/>
  <c r="AG140" i="12" s="1"/>
  <c r="AC64" i="12"/>
  <c r="AG64" i="12" s="1"/>
  <c r="AC124" i="12"/>
  <c r="AG124" i="12" s="1"/>
  <c r="AC179" i="12"/>
  <c r="AG179" i="12" s="1"/>
  <c r="AI192" i="7"/>
  <c r="G192" i="12" s="1"/>
  <c r="AN192" i="7"/>
  <c r="AC82" i="12"/>
  <c r="AG82" i="12" s="1"/>
  <c r="L43" i="12"/>
  <c r="S43" i="12"/>
  <c r="K43" i="12"/>
  <c r="AC126" i="12"/>
  <c r="AG126" i="12" s="1"/>
  <c r="AA206" i="12"/>
  <c r="AC206" i="12" s="1"/>
  <c r="AG206" i="12" s="1"/>
  <c r="AC94" i="12"/>
  <c r="AG94" i="12" s="1"/>
  <c r="K42" i="12"/>
  <c r="S42" i="12"/>
  <c r="L42" i="12"/>
  <c r="AC60" i="12"/>
  <c r="AF60" i="12"/>
  <c r="R13" i="30"/>
  <c r="AC98" i="12"/>
  <c r="AG98" i="12" s="1"/>
  <c r="AC97" i="12"/>
  <c r="AG97" i="12" s="1"/>
  <c r="AM162" i="7"/>
  <c r="AH162" i="7"/>
  <c r="F162" i="12" s="1"/>
  <c r="D162" i="12"/>
  <c r="AP162" i="7"/>
  <c r="AQ162" i="7"/>
  <c r="AC200" i="12"/>
  <c r="AG200" i="12" s="1"/>
  <c r="AC201" i="12"/>
  <c r="AG201" i="12" s="1"/>
  <c r="AC79" i="12"/>
  <c r="AG79" i="12" s="1"/>
  <c r="S99" i="12"/>
  <c r="L99" i="12"/>
  <c r="K99" i="12"/>
  <c r="AN39" i="7"/>
  <c r="AI39" i="7"/>
  <c r="G39" i="12" s="1"/>
  <c r="AC61" i="12"/>
  <c r="AF61" i="12"/>
  <c r="BK211" i="12"/>
  <c r="BF211" i="12"/>
  <c r="AJ214" i="12"/>
  <c r="AN214" i="12" s="1"/>
  <c r="AI214" i="12"/>
  <c r="L9" i="31"/>
  <c r="S14" i="30"/>
  <c r="AG52" i="12"/>
  <c r="AC187" i="12"/>
  <c r="AF187" i="12"/>
  <c r="W16" i="12"/>
  <c r="X16" i="12"/>
  <c r="AM190" i="12"/>
  <c r="AK190" i="12"/>
  <c r="K123" i="12"/>
  <c r="L123" i="12"/>
  <c r="S123" i="12"/>
  <c r="AI32" i="12"/>
  <c r="AM32" i="12" s="1"/>
  <c r="AJ32" i="12"/>
  <c r="AC147" i="12"/>
  <c r="AG147" i="12" s="1"/>
  <c r="AA83" i="12"/>
  <c r="AC83" i="12" s="1"/>
  <c r="AG83" i="12" s="1"/>
  <c r="AA132" i="12"/>
  <c r="AC132" i="12" s="1"/>
  <c r="AG132" i="12" s="1"/>
  <c r="AC181" i="12"/>
  <c r="AG181" i="12" s="1"/>
  <c r="AC90" i="12"/>
  <c r="AG90" i="12" s="1"/>
  <c r="AM129" i="12"/>
  <c r="AK129" i="12"/>
  <c r="AI96" i="12" l="1"/>
  <c r="AM96" i="12" s="1"/>
  <c r="AI72" i="12"/>
  <c r="AM72" i="12" s="1"/>
  <c r="AQ72" i="12" s="1"/>
  <c r="U26" i="30"/>
  <c r="AK58" i="12"/>
  <c r="M7" i="31"/>
  <c r="AJ204" i="12"/>
  <c r="AN204" i="12" s="1"/>
  <c r="BF204" i="12" s="1"/>
  <c r="AK53" i="12"/>
  <c r="AG125" i="12"/>
  <c r="AJ125" i="12" s="1"/>
  <c r="AN125" i="12" s="1"/>
  <c r="AG61" i="12"/>
  <c r="AJ61" i="12" s="1"/>
  <c r="AG184" i="12"/>
  <c r="AJ184" i="12" s="1"/>
  <c r="AN184" i="12" s="1"/>
  <c r="AG67" i="12"/>
  <c r="AI67" i="12" s="1"/>
  <c r="AG208" i="12"/>
  <c r="AJ208" i="12" s="1"/>
  <c r="AG60" i="12"/>
  <c r="AI60" i="12" s="1"/>
  <c r="AM60" i="12" s="1"/>
  <c r="AG74" i="12"/>
  <c r="AI74" i="12" s="1"/>
  <c r="AG75" i="12"/>
  <c r="AJ75" i="12" s="1"/>
  <c r="AN75" i="12" s="1"/>
  <c r="AI95" i="12"/>
  <c r="AM95" i="12" s="1"/>
  <c r="AJ95" i="12"/>
  <c r="AN95" i="12" s="1"/>
  <c r="AI194" i="12"/>
  <c r="AM194" i="12" s="1"/>
  <c r="AJ194" i="12"/>
  <c r="BK204" i="12"/>
  <c r="AI199" i="12"/>
  <c r="AM199" i="12" s="1"/>
  <c r="AJ199" i="12"/>
  <c r="AN199" i="12" s="1"/>
  <c r="AI83" i="12"/>
  <c r="AM83" i="12" s="1"/>
  <c r="AJ83" i="12"/>
  <c r="AN83" i="12" s="1"/>
  <c r="AN162" i="7"/>
  <c r="AI162" i="7"/>
  <c r="AI206" i="12"/>
  <c r="AM206" i="12" s="1"/>
  <c r="AJ206" i="12"/>
  <c r="AN206" i="12" s="1"/>
  <c r="AJ179" i="12"/>
  <c r="AN179" i="12" s="1"/>
  <c r="AI179" i="12"/>
  <c r="AJ64" i="12"/>
  <c r="AN64" i="12" s="1"/>
  <c r="AI64" i="12"/>
  <c r="AJ140" i="12"/>
  <c r="AN140" i="12" s="1"/>
  <c r="AI140" i="12"/>
  <c r="AJ93" i="12"/>
  <c r="AN93" i="12" s="1"/>
  <c r="AI93" i="12"/>
  <c r="AM93" i="12" s="1"/>
  <c r="AK76" i="12"/>
  <c r="AN76" i="12"/>
  <c r="BB76" i="12" s="1"/>
  <c r="K157" i="12"/>
  <c r="L157" i="12"/>
  <c r="S157" i="12"/>
  <c r="AM137" i="12"/>
  <c r="AK137" i="12"/>
  <c r="BK110" i="12"/>
  <c r="BF110" i="12"/>
  <c r="AM115" i="12"/>
  <c r="AK115" i="12"/>
  <c r="K146" i="12"/>
  <c r="S146" i="12"/>
  <c r="L146" i="12"/>
  <c r="BK188" i="12"/>
  <c r="BF188" i="12"/>
  <c r="AJ73" i="12"/>
  <c r="AN73" i="12" s="1"/>
  <c r="AI73" i="12"/>
  <c r="AM25" i="12"/>
  <c r="AK25" i="12"/>
  <c r="AN48" i="7"/>
  <c r="AI48" i="7"/>
  <c r="AI85" i="12"/>
  <c r="AM85" i="12" s="1"/>
  <c r="AJ85" i="12"/>
  <c r="AJ69" i="12"/>
  <c r="AN69" i="12" s="1"/>
  <c r="AI69" i="12"/>
  <c r="AI84" i="12"/>
  <c r="AJ84" i="12"/>
  <c r="AN84" i="12" s="1"/>
  <c r="S103" i="12"/>
  <c r="K103" i="12"/>
  <c r="L103" i="12"/>
  <c r="AC160" i="12"/>
  <c r="AF160" i="12"/>
  <c r="AJ212" i="12"/>
  <c r="AN212" i="12" s="1"/>
  <c r="AI212" i="12"/>
  <c r="BF45" i="12"/>
  <c r="BK45" i="12"/>
  <c r="AJ180" i="12"/>
  <c r="AN180" i="12" s="1"/>
  <c r="AI180" i="12"/>
  <c r="AJ28" i="12"/>
  <c r="AN28" i="12" s="1"/>
  <c r="AI28" i="12"/>
  <c r="BF121" i="12"/>
  <c r="BK121" i="12"/>
  <c r="AI111" i="12"/>
  <c r="AJ111" i="12"/>
  <c r="AN111" i="12" s="1"/>
  <c r="S198" i="12"/>
  <c r="K198" i="12"/>
  <c r="L198" i="12"/>
  <c r="AI198" i="7"/>
  <c r="AN198" i="7"/>
  <c r="AJ134" i="12"/>
  <c r="AN134" i="12" s="1"/>
  <c r="AI134" i="12"/>
  <c r="BJ204" i="12"/>
  <c r="BE204" i="12"/>
  <c r="AJ196" i="12"/>
  <c r="AN196" i="12" s="1"/>
  <c r="AI196" i="12"/>
  <c r="AM196" i="12" s="1"/>
  <c r="AJ183" i="12"/>
  <c r="AN183" i="12" s="1"/>
  <c r="AI183" i="12"/>
  <c r="AI68" i="12"/>
  <c r="AJ68" i="12"/>
  <c r="AN68" i="12" s="1"/>
  <c r="BE161" i="12"/>
  <c r="AQ161" i="12"/>
  <c r="BB161" i="12"/>
  <c r="BJ161" i="12"/>
  <c r="BK119" i="12"/>
  <c r="BF119" i="12"/>
  <c r="D185" i="8"/>
  <c r="BH185" i="12"/>
  <c r="AM127" i="12"/>
  <c r="AK127" i="12"/>
  <c r="BF118" i="12"/>
  <c r="BK118" i="12"/>
  <c r="AJ216" i="12"/>
  <c r="AN216" i="12" s="1"/>
  <c r="AI216" i="12"/>
  <c r="AM216" i="12" s="1"/>
  <c r="BK219" i="12"/>
  <c r="BF219" i="12"/>
  <c r="AM218" i="12"/>
  <c r="AK218" i="12"/>
  <c r="AI47" i="12"/>
  <c r="AJ47" i="12"/>
  <c r="AN47" i="12" s="1"/>
  <c r="AI202" i="12"/>
  <c r="AJ202" i="12"/>
  <c r="AN202" i="12" s="1"/>
  <c r="AJ104" i="12"/>
  <c r="AN104" i="12" s="1"/>
  <c r="AI104" i="12"/>
  <c r="AC88" i="12"/>
  <c r="AG88" i="12" s="1"/>
  <c r="AQ53" i="12"/>
  <c r="BE53" i="12"/>
  <c r="BJ53" i="12"/>
  <c r="BB53" i="12"/>
  <c r="AM59" i="12"/>
  <c r="AK59" i="12"/>
  <c r="M6" i="31"/>
  <c r="BF138" i="12"/>
  <c r="BK138" i="12"/>
  <c r="BK58" i="12"/>
  <c r="BF58" i="12"/>
  <c r="AK96" i="12"/>
  <c r="AI90" i="12"/>
  <c r="AJ90" i="12"/>
  <c r="AN90" i="12" s="1"/>
  <c r="AI147" i="12"/>
  <c r="AJ147" i="12"/>
  <c r="AN147" i="12" s="1"/>
  <c r="AA99" i="12"/>
  <c r="AC99" i="12" s="1"/>
  <c r="AG99" i="12" s="1"/>
  <c r="AI98" i="12"/>
  <c r="AJ98" i="12"/>
  <c r="AN98" i="12" s="1"/>
  <c r="AI126" i="12"/>
  <c r="AJ126" i="12"/>
  <c r="AN126" i="12" s="1"/>
  <c r="AI191" i="12"/>
  <c r="AJ191" i="12"/>
  <c r="AN191" i="12" s="1"/>
  <c r="BJ76" i="12"/>
  <c r="BE76" i="12"/>
  <c r="AI89" i="12"/>
  <c r="AJ89" i="12"/>
  <c r="AN89" i="12" s="1"/>
  <c r="AI170" i="12"/>
  <c r="AJ170" i="12"/>
  <c r="AN170" i="12" s="1"/>
  <c r="BJ133" i="12"/>
  <c r="AQ133" i="12"/>
  <c r="BB133" i="12"/>
  <c r="BE133" i="12"/>
  <c r="BF25" i="12"/>
  <c r="BK25" i="12"/>
  <c r="AC39" i="12"/>
  <c r="AG39" i="12" s="1"/>
  <c r="AN36" i="7"/>
  <c r="AI36" i="7"/>
  <c r="BE203" i="12"/>
  <c r="BB203" i="12"/>
  <c r="AQ203" i="12"/>
  <c r="BJ203" i="12"/>
  <c r="AN164" i="7"/>
  <c r="AI164" i="7"/>
  <c r="AI35" i="12"/>
  <c r="AJ35" i="12"/>
  <c r="AN35" i="12" s="1"/>
  <c r="W62" i="12"/>
  <c r="AI207" i="12"/>
  <c r="AJ207" i="12"/>
  <c r="AN207" i="12" s="1"/>
  <c r="AA186" i="8"/>
  <c r="AB186" i="8" s="1"/>
  <c r="AM121" i="12"/>
  <c r="AK121" i="12"/>
  <c r="BF107" i="12"/>
  <c r="BK107" i="12"/>
  <c r="AJ57" i="12"/>
  <c r="AN57" i="12" s="1"/>
  <c r="AI57" i="12"/>
  <c r="AJ197" i="12"/>
  <c r="AN197" i="12" s="1"/>
  <c r="AI197" i="12"/>
  <c r="BK220" i="12"/>
  <c r="BF220" i="12"/>
  <c r="BF105" i="12"/>
  <c r="BK105" i="12"/>
  <c r="K10" i="31"/>
  <c r="BB96" i="12"/>
  <c r="BE96" i="12"/>
  <c r="BJ96" i="12"/>
  <c r="AQ96" i="12"/>
  <c r="AJ177" i="12"/>
  <c r="AN177" i="12" s="1"/>
  <c r="AI177" i="12"/>
  <c r="AI156" i="12"/>
  <c r="AJ156" i="12"/>
  <c r="AN156" i="12" s="1"/>
  <c r="AI135" i="12"/>
  <c r="AJ135" i="12"/>
  <c r="AN135" i="12" s="1"/>
  <c r="BK161" i="12"/>
  <c r="BF161" i="12"/>
  <c r="AJ154" i="12"/>
  <c r="AN154" i="12" s="1"/>
  <c r="AI154" i="12"/>
  <c r="BK127" i="12"/>
  <c r="BF127" i="12"/>
  <c r="AC20" i="12"/>
  <c r="AF20" i="12"/>
  <c r="AJ150" i="12"/>
  <c r="AN150" i="12" s="1"/>
  <c r="AI150" i="12"/>
  <c r="AI158" i="12"/>
  <c r="AJ158" i="12"/>
  <c r="AN158" i="12" s="1"/>
  <c r="AJ159" i="12"/>
  <c r="AN159" i="12" s="1"/>
  <c r="AI159" i="12"/>
  <c r="AI166" i="12"/>
  <c r="AJ166" i="12"/>
  <c r="AN166" i="12" s="1"/>
  <c r="AM118" i="12"/>
  <c r="AK118" i="12"/>
  <c r="BF91" i="12"/>
  <c r="BK91" i="12"/>
  <c r="AI193" i="12"/>
  <c r="AJ193" i="12"/>
  <c r="AN193" i="12" s="1"/>
  <c r="AJ63" i="12"/>
  <c r="AN63" i="12" s="1"/>
  <c r="AI63" i="12"/>
  <c r="AK138" i="12"/>
  <c r="AG71" i="12"/>
  <c r="BK53" i="12"/>
  <c r="BF53" i="12"/>
  <c r="BF59" i="12"/>
  <c r="BK59" i="12"/>
  <c r="BB58" i="12"/>
  <c r="AQ58" i="12"/>
  <c r="BE58" i="12"/>
  <c r="BJ58" i="12"/>
  <c r="AM214" i="12"/>
  <c r="AK214" i="12"/>
  <c r="BE190" i="12"/>
  <c r="BJ190" i="12"/>
  <c r="AQ190" i="12"/>
  <c r="BB190" i="12"/>
  <c r="L8" i="31"/>
  <c r="S15" i="30"/>
  <c r="BF214" i="12"/>
  <c r="BK214" i="12"/>
  <c r="AJ79" i="12"/>
  <c r="AN79" i="12" s="1"/>
  <c r="AI79" i="12"/>
  <c r="AJ201" i="12"/>
  <c r="AN201" i="12" s="1"/>
  <c r="AI201" i="12"/>
  <c r="AJ200" i="12"/>
  <c r="AN200" i="12" s="1"/>
  <c r="AI200" i="12"/>
  <c r="S162" i="12"/>
  <c r="L162" i="12"/>
  <c r="K162" i="12"/>
  <c r="AI97" i="12"/>
  <c r="AJ97" i="12"/>
  <c r="AN97" i="12" s="1"/>
  <c r="K9" i="31"/>
  <c r="AC42" i="12"/>
  <c r="AF42" i="12"/>
  <c r="AJ82" i="12"/>
  <c r="AN82" i="12" s="1"/>
  <c r="AI82" i="12"/>
  <c r="AI124" i="12"/>
  <c r="AJ124" i="12"/>
  <c r="AN124" i="12" s="1"/>
  <c r="AC175" i="12"/>
  <c r="AF175" i="12"/>
  <c r="AA113" i="8"/>
  <c r="AB113" i="8" s="1"/>
  <c r="D113" i="8"/>
  <c r="BH113" i="12"/>
  <c r="AN146" i="7"/>
  <c r="AI146" i="7"/>
  <c r="AJ46" i="12"/>
  <c r="AN46" i="12" s="1"/>
  <c r="AI46" i="12"/>
  <c r="AJ168" i="12"/>
  <c r="AN168" i="12" s="1"/>
  <c r="AI168" i="12"/>
  <c r="L48" i="12"/>
  <c r="S48" i="12"/>
  <c r="K48" i="12"/>
  <c r="AJ153" i="12"/>
  <c r="AN153" i="12" s="1"/>
  <c r="AI153" i="12"/>
  <c r="AG66" i="12"/>
  <c r="AJ155" i="12"/>
  <c r="AN155" i="12" s="1"/>
  <c r="AI155" i="12"/>
  <c r="AG169" i="12"/>
  <c r="D186" i="8"/>
  <c r="BH186" i="12"/>
  <c r="L151" i="12"/>
  <c r="K151" i="12"/>
  <c r="S151" i="12"/>
  <c r="AQ107" i="12"/>
  <c r="BE107" i="12"/>
  <c r="BJ107" i="12"/>
  <c r="BB107" i="12"/>
  <c r="AI152" i="12"/>
  <c r="AJ152" i="12"/>
  <c r="AN152" i="12" s="1"/>
  <c r="AC29" i="12"/>
  <c r="AF29" i="12"/>
  <c r="AJ77" i="12"/>
  <c r="AN77" i="12" s="1"/>
  <c r="AI77" i="12"/>
  <c r="AM220" i="12"/>
  <c r="AK220" i="12"/>
  <c r="AI109" i="12"/>
  <c r="AJ109" i="12"/>
  <c r="AN109" i="12" s="1"/>
  <c r="AM105" i="12"/>
  <c r="AK105" i="12"/>
  <c r="AJ131" i="12"/>
  <c r="AN131" i="12" s="1"/>
  <c r="AI131" i="12"/>
  <c r="AJ114" i="12"/>
  <c r="AN114" i="12" s="1"/>
  <c r="AI114" i="12"/>
  <c r="S195" i="12"/>
  <c r="L195" i="12"/>
  <c r="K195" i="12"/>
  <c r="AJ34" i="12"/>
  <c r="AN34" i="12" s="1"/>
  <c r="AI34" i="12"/>
  <c r="BK205" i="12"/>
  <c r="BF205" i="12"/>
  <c r="AG217" i="12"/>
  <c r="AJ136" i="12"/>
  <c r="AN136" i="12" s="1"/>
  <c r="AI136" i="12"/>
  <c r="AJ70" i="12"/>
  <c r="AN70" i="12" s="1"/>
  <c r="AI70" i="12"/>
  <c r="AM91" i="12"/>
  <c r="AK91" i="12"/>
  <c r="AK107" i="12"/>
  <c r="AM86" i="12"/>
  <c r="AK86" i="12"/>
  <c r="AJ132" i="12"/>
  <c r="AN132" i="12" s="1"/>
  <c r="AI132" i="12"/>
  <c r="AI181" i="12"/>
  <c r="AJ181" i="12"/>
  <c r="AN181" i="12" s="1"/>
  <c r="AK32" i="12"/>
  <c r="AN32" i="12"/>
  <c r="AQ32" i="12" s="1"/>
  <c r="O16" i="7"/>
  <c r="S16" i="7"/>
  <c r="V16" i="7"/>
  <c r="Z16" i="7"/>
  <c r="AC16" i="7" s="1"/>
  <c r="AF16" i="12"/>
  <c r="AA16" i="12"/>
  <c r="AG187" i="12"/>
  <c r="BB129" i="12"/>
  <c r="BJ129" i="12"/>
  <c r="AQ129" i="12"/>
  <c r="BE129" i="12"/>
  <c r="BE32" i="12"/>
  <c r="BJ32" i="12"/>
  <c r="AC123" i="12"/>
  <c r="AF123" i="12"/>
  <c r="BK72" i="12"/>
  <c r="BF72" i="12"/>
  <c r="AI52" i="12"/>
  <c r="AJ52" i="12"/>
  <c r="AN52" i="12" s="1"/>
  <c r="S27" i="30"/>
  <c r="AJ94" i="12"/>
  <c r="AN94" i="12" s="1"/>
  <c r="AI94" i="12"/>
  <c r="BK96" i="12"/>
  <c r="BF96" i="12"/>
  <c r="AC43" i="12"/>
  <c r="AF43" i="12"/>
  <c r="AI173" i="12"/>
  <c r="AJ173" i="12"/>
  <c r="AN173" i="12" s="1"/>
  <c r="AI116" i="12"/>
  <c r="AJ116" i="12"/>
  <c r="AN116" i="12" s="1"/>
  <c r="AN157" i="7"/>
  <c r="AI157" i="7"/>
  <c r="BK137" i="12"/>
  <c r="BF137" i="12"/>
  <c r="AM110" i="12"/>
  <c r="AK110" i="12"/>
  <c r="BF115" i="12"/>
  <c r="BK115" i="12"/>
  <c r="AC44" i="12"/>
  <c r="AF44" i="12"/>
  <c r="AM188" i="12"/>
  <c r="AK188" i="12"/>
  <c r="BE211" i="12"/>
  <c r="BB211" i="12"/>
  <c r="AQ211" i="12"/>
  <c r="BJ211" i="12"/>
  <c r="AJ215" i="12"/>
  <c r="AN215" i="12" s="1"/>
  <c r="AI215" i="12"/>
  <c r="L36" i="12"/>
  <c r="K36" i="12"/>
  <c r="S36" i="12"/>
  <c r="AI87" i="12"/>
  <c r="AJ87" i="12"/>
  <c r="AN87" i="12" s="1"/>
  <c r="AG165" i="12"/>
  <c r="AI103" i="7"/>
  <c r="AN103" i="7"/>
  <c r="AC112" i="12"/>
  <c r="AF112" i="12"/>
  <c r="S164" i="12"/>
  <c r="K164" i="12"/>
  <c r="L164" i="12"/>
  <c r="AJ149" i="12"/>
  <c r="AN149" i="12" s="1"/>
  <c r="AI149" i="12"/>
  <c r="AM45" i="12"/>
  <c r="AK45" i="12"/>
  <c r="BB92" i="12"/>
  <c r="AQ92" i="12"/>
  <c r="BJ92" i="12"/>
  <c r="BE92" i="12"/>
  <c r="Y16" i="12"/>
  <c r="BE72" i="12"/>
  <c r="BJ72" i="12"/>
  <c r="BB72" i="12"/>
  <c r="AN151" i="7"/>
  <c r="AI151" i="7"/>
  <c r="AI148" i="12"/>
  <c r="AJ148" i="12"/>
  <c r="AN148" i="12" s="1"/>
  <c r="AC37" i="12"/>
  <c r="AF37" i="12"/>
  <c r="AJ54" i="12"/>
  <c r="AN54" i="12" s="1"/>
  <c r="AI54" i="12"/>
  <c r="AG106" i="12"/>
  <c r="Y62" i="12"/>
  <c r="R14" i="30"/>
  <c r="R27" i="30" s="1"/>
  <c r="AA192" i="12"/>
  <c r="AC192" i="12" s="1"/>
  <c r="AG192" i="12" s="1"/>
  <c r="AJ40" i="12"/>
  <c r="AN40" i="12" s="1"/>
  <c r="AI40" i="12"/>
  <c r="AJ189" i="12"/>
  <c r="AN189" i="12" s="1"/>
  <c r="AI189" i="12"/>
  <c r="AI176" i="12"/>
  <c r="AJ176" i="12"/>
  <c r="AN176" i="12" s="1"/>
  <c r="AJ163" i="12"/>
  <c r="AN163" i="12" s="1"/>
  <c r="AI163" i="12"/>
  <c r="AJ178" i="12"/>
  <c r="AN178" i="12" s="1"/>
  <c r="AI178" i="12"/>
  <c r="AM119" i="12"/>
  <c r="AK119" i="12"/>
  <c r="AG145" i="12"/>
  <c r="AA185" i="8"/>
  <c r="AB185" i="8" s="1"/>
  <c r="AN195" i="7"/>
  <c r="AI195" i="7"/>
  <c r="AI50" i="12"/>
  <c r="AJ50" i="12"/>
  <c r="AN50" i="12" s="1"/>
  <c r="AJ49" i="12"/>
  <c r="AN49" i="12" s="1"/>
  <c r="AI49" i="12"/>
  <c r="AI141" i="12"/>
  <c r="AJ141" i="12"/>
  <c r="AN141" i="12" s="1"/>
  <c r="AI117" i="12"/>
  <c r="AJ117" i="12"/>
  <c r="AN117" i="12" s="1"/>
  <c r="AM205" i="12"/>
  <c r="AK205" i="12"/>
  <c r="AC130" i="12"/>
  <c r="AG130" i="12" s="1"/>
  <c r="AM219" i="12"/>
  <c r="AK219" i="12"/>
  <c r="BF218" i="12"/>
  <c r="BK218" i="12"/>
  <c r="AC167" i="12"/>
  <c r="AF167" i="12"/>
  <c r="AQ51" i="12"/>
  <c r="BE51" i="12"/>
  <c r="BB51" i="12"/>
  <c r="BJ51" i="12"/>
  <c r="AK161" i="12"/>
  <c r="U25" i="30"/>
  <c r="BE138" i="12"/>
  <c r="AQ138" i="12"/>
  <c r="BJ138" i="12"/>
  <c r="BB138" i="12"/>
  <c r="BF86" i="12"/>
  <c r="BK86" i="12"/>
  <c r="AI125" i="12" l="1"/>
  <c r="AJ67" i="12"/>
  <c r="AN67" i="12" s="1"/>
  <c r="AK72" i="12"/>
  <c r="AI184" i="12"/>
  <c r="AM184" i="12" s="1"/>
  <c r="BB184" i="12" s="1"/>
  <c r="AJ74" i="12"/>
  <c r="AN74" i="12" s="1"/>
  <c r="BF74" i="12" s="1"/>
  <c r="AK204" i="12"/>
  <c r="AQ204" i="12"/>
  <c r="BH204" i="12" s="1"/>
  <c r="AI61" i="12"/>
  <c r="AM61" i="12" s="1"/>
  <c r="AJ60" i="12"/>
  <c r="AN60" i="12" s="1"/>
  <c r="AQ60" i="12" s="1"/>
  <c r="BB204" i="12"/>
  <c r="AA204" i="8" s="1"/>
  <c r="AB204" i="8" s="1"/>
  <c r="AI75" i="12"/>
  <c r="AM75" i="12" s="1"/>
  <c r="AN208" i="12"/>
  <c r="BF208" i="12" s="1"/>
  <c r="AI208" i="12"/>
  <c r="AM208" i="12" s="1"/>
  <c r="AK95" i="12"/>
  <c r="AK199" i="12"/>
  <c r="AQ76" i="12"/>
  <c r="D76" i="8" s="1"/>
  <c r="AM67" i="12"/>
  <c r="BB67" i="12" s="1"/>
  <c r="AK67" i="12"/>
  <c r="AN61" i="12"/>
  <c r="BF61" i="12" s="1"/>
  <c r="AK184" i="12"/>
  <c r="AG167" i="12"/>
  <c r="AI167" i="12" s="1"/>
  <c r="AM167" i="12" s="1"/>
  <c r="BB32" i="12"/>
  <c r="AA32" i="8" s="1"/>
  <c r="AB32" i="8" s="1"/>
  <c r="AG37" i="12"/>
  <c r="AJ37" i="12" s="1"/>
  <c r="AN37" i="12" s="1"/>
  <c r="AG44" i="12"/>
  <c r="AJ44" i="12" s="1"/>
  <c r="AN44" i="12" s="1"/>
  <c r="AG123" i="12"/>
  <c r="AJ123" i="12" s="1"/>
  <c r="AN123" i="12" s="1"/>
  <c r="AG175" i="12"/>
  <c r="AI175" i="12" s="1"/>
  <c r="AI192" i="12"/>
  <c r="AJ192" i="12"/>
  <c r="AN192" i="12" s="1"/>
  <c r="AJ99" i="12"/>
  <c r="AN99" i="12" s="1"/>
  <c r="AI99" i="12"/>
  <c r="AM99" i="12" s="1"/>
  <c r="D138" i="8"/>
  <c r="BH138" i="12"/>
  <c r="BJ219" i="12"/>
  <c r="BE219" i="12"/>
  <c r="BB219" i="12"/>
  <c r="AQ219" i="12"/>
  <c r="AM49" i="12"/>
  <c r="AK49" i="12"/>
  <c r="AM178" i="12"/>
  <c r="AK178" i="12"/>
  <c r="AM176" i="12"/>
  <c r="AK176" i="12"/>
  <c r="BK40" i="12"/>
  <c r="BF40" i="12"/>
  <c r="BK54" i="12"/>
  <c r="BF54" i="12"/>
  <c r="D72" i="8"/>
  <c r="BH72" i="12"/>
  <c r="AA92" i="8"/>
  <c r="AB92" i="8" s="1"/>
  <c r="AM149" i="12"/>
  <c r="AK149" i="12"/>
  <c r="AG112" i="12"/>
  <c r="BF87" i="12"/>
  <c r="BK87" i="12"/>
  <c r="BE110" i="12"/>
  <c r="AQ110" i="12"/>
  <c r="BB110" i="12"/>
  <c r="BJ110" i="12"/>
  <c r="G157" i="12"/>
  <c r="AM116" i="12"/>
  <c r="AK116" i="12"/>
  <c r="D32" i="8"/>
  <c r="BH32" i="12"/>
  <c r="D129" i="8"/>
  <c r="BH129" i="12"/>
  <c r="AJ187" i="12"/>
  <c r="AN187" i="12" s="1"/>
  <c r="AI187" i="12"/>
  <c r="BJ91" i="12"/>
  <c r="BE91" i="12"/>
  <c r="BB91" i="12"/>
  <c r="AQ91" i="12"/>
  <c r="BK136" i="12"/>
  <c r="BF136" i="12"/>
  <c r="AM131" i="12"/>
  <c r="AK131" i="12"/>
  <c r="BF109" i="12"/>
  <c r="BK109" i="12"/>
  <c r="AM77" i="12"/>
  <c r="AK77" i="12"/>
  <c r="AA107" i="8"/>
  <c r="AB107" i="8" s="1"/>
  <c r="D107" i="8"/>
  <c r="BH107" i="12"/>
  <c r="BF155" i="12"/>
  <c r="BK155" i="12"/>
  <c r="BK153" i="12"/>
  <c r="BF153" i="12"/>
  <c r="AC48" i="12"/>
  <c r="AG48" i="12" s="1"/>
  <c r="BK168" i="12"/>
  <c r="BF168" i="12"/>
  <c r="G146" i="12"/>
  <c r="BM113" i="12"/>
  <c r="AM82" i="12"/>
  <c r="AK82" i="12"/>
  <c r="BF200" i="12"/>
  <c r="BK200" i="12"/>
  <c r="BK79" i="12"/>
  <c r="BF79" i="12"/>
  <c r="L7" i="31"/>
  <c r="S16" i="30"/>
  <c r="D58" i="8"/>
  <c r="BH58" i="12"/>
  <c r="AI71" i="12"/>
  <c r="AM71" i="12" s="1"/>
  <c r="AJ71" i="12"/>
  <c r="AM193" i="12"/>
  <c r="AK193" i="12"/>
  <c r="BJ118" i="12"/>
  <c r="BB118" i="12"/>
  <c r="BE118" i="12"/>
  <c r="AQ118" i="12"/>
  <c r="BK159" i="12"/>
  <c r="BF159" i="12"/>
  <c r="BK150" i="12"/>
  <c r="BF150" i="12"/>
  <c r="AM74" i="12"/>
  <c r="AM135" i="12"/>
  <c r="AK135" i="12"/>
  <c r="BK156" i="12"/>
  <c r="BF156" i="12"/>
  <c r="AM197" i="12"/>
  <c r="AK197" i="12"/>
  <c r="AM57" i="12"/>
  <c r="AK57" i="12"/>
  <c r="X62" i="12"/>
  <c r="BF35" i="12"/>
  <c r="BK35" i="12"/>
  <c r="AA133" i="8"/>
  <c r="AB133" i="8" s="1"/>
  <c r="BK89" i="12"/>
  <c r="BF89" i="12"/>
  <c r="AM98" i="12"/>
  <c r="AK98" i="12"/>
  <c r="AA53" i="8"/>
  <c r="AB53" i="8" s="1"/>
  <c r="D53" i="8"/>
  <c r="BH53" i="12"/>
  <c r="AM202" i="12"/>
  <c r="AK202" i="12"/>
  <c r="BJ218" i="12"/>
  <c r="BE218" i="12"/>
  <c r="BB218" i="12"/>
  <c r="AQ218" i="12"/>
  <c r="AQ216" i="12"/>
  <c r="BJ216" i="12"/>
  <c r="BE216" i="12"/>
  <c r="BB216" i="12"/>
  <c r="BJ208" i="12"/>
  <c r="BE127" i="12"/>
  <c r="BB127" i="12"/>
  <c r="BJ127" i="12"/>
  <c r="AQ127" i="12"/>
  <c r="AM68" i="12"/>
  <c r="AK68" i="12"/>
  <c r="BF183" i="12"/>
  <c r="BK183" i="12"/>
  <c r="AC198" i="12"/>
  <c r="AF198" i="12"/>
  <c r="AM111" i="12"/>
  <c r="AK111" i="12"/>
  <c r="AM180" i="12"/>
  <c r="AK180" i="12"/>
  <c r="AC103" i="12"/>
  <c r="AF103" i="12"/>
  <c r="BK69" i="12"/>
  <c r="BF69" i="12"/>
  <c r="W27" i="12"/>
  <c r="BB137" i="12"/>
  <c r="AQ137" i="12"/>
  <c r="BE137" i="12"/>
  <c r="BJ137" i="12"/>
  <c r="BK76" i="12"/>
  <c r="BF76" i="12"/>
  <c r="BF93" i="12"/>
  <c r="BK93" i="12"/>
  <c r="BF64" i="12"/>
  <c r="BK64" i="12"/>
  <c r="BE206" i="12"/>
  <c r="BJ206" i="12"/>
  <c r="AQ206" i="12"/>
  <c r="BB206" i="12"/>
  <c r="G162" i="12"/>
  <c r="BK199" i="12"/>
  <c r="BF199" i="12"/>
  <c r="BE95" i="12"/>
  <c r="BJ95" i="12"/>
  <c r="BB95" i="12"/>
  <c r="AQ95" i="12"/>
  <c r="BF117" i="12"/>
  <c r="BK117" i="12"/>
  <c r="BK141" i="12"/>
  <c r="BF141" i="12"/>
  <c r="G195" i="12"/>
  <c r="BE205" i="12"/>
  <c r="BB205" i="12"/>
  <c r="BJ205" i="12"/>
  <c r="AQ205" i="12"/>
  <c r="AM141" i="12"/>
  <c r="AK141" i="12"/>
  <c r="BF49" i="12"/>
  <c r="BK49" i="12"/>
  <c r="BF178" i="12"/>
  <c r="BK178" i="12"/>
  <c r="AM163" i="12"/>
  <c r="AK163" i="12"/>
  <c r="BK125" i="12"/>
  <c r="BF125" i="12"/>
  <c r="AM189" i="12"/>
  <c r="AK189" i="12"/>
  <c r="AA72" i="8"/>
  <c r="AB72" i="8" s="1"/>
  <c r="BK149" i="12"/>
  <c r="BF149" i="12"/>
  <c r="AM87" i="12"/>
  <c r="AK87" i="12"/>
  <c r="AC36" i="12"/>
  <c r="AF36" i="12"/>
  <c r="D211" i="8"/>
  <c r="BH211" i="12"/>
  <c r="BK173" i="12"/>
  <c r="BF173" i="12"/>
  <c r="AM94" i="12"/>
  <c r="AK94" i="12"/>
  <c r="W14" i="12"/>
  <c r="BJ86" i="12"/>
  <c r="AQ86" i="12"/>
  <c r="BE86" i="12"/>
  <c r="BB86" i="12"/>
  <c r="AM70" i="12"/>
  <c r="AK70" i="12"/>
  <c r="AI217" i="12"/>
  <c r="AJ217" i="12"/>
  <c r="AN217" i="12" s="1"/>
  <c r="W15" i="12"/>
  <c r="AM34" i="12"/>
  <c r="AK34" i="12"/>
  <c r="AC195" i="12"/>
  <c r="AF195" i="12"/>
  <c r="BK184" i="12"/>
  <c r="BF184" i="12"/>
  <c r="BK131" i="12"/>
  <c r="BF131" i="12"/>
  <c r="AM109" i="12"/>
  <c r="AK109" i="12"/>
  <c r="BF77" i="12"/>
  <c r="BK77" i="12"/>
  <c r="AG29" i="12"/>
  <c r="AM46" i="12"/>
  <c r="AK46" i="12"/>
  <c r="K113" i="8"/>
  <c r="J113" i="8"/>
  <c r="W113" i="8" s="1"/>
  <c r="BF82" i="12"/>
  <c r="BK82" i="12"/>
  <c r="AM201" i="12"/>
  <c r="AK201" i="12"/>
  <c r="D190" i="8"/>
  <c r="BH190" i="12"/>
  <c r="BE214" i="12"/>
  <c r="AQ214" i="12"/>
  <c r="BB214" i="12"/>
  <c r="BJ214" i="12"/>
  <c r="AM63" i="12"/>
  <c r="AK63" i="12"/>
  <c r="BK166" i="12"/>
  <c r="BF166" i="12"/>
  <c r="BF158" i="12"/>
  <c r="BK158" i="12"/>
  <c r="W56" i="12"/>
  <c r="AM156" i="12"/>
  <c r="AK156" i="12"/>
  <c r="D96" i="8"/>
  <c r="BH96" i="12"/>
  <c r="BK197" i="12"/>
  <c r="BF197" i="12"/>
  <c r="BF57" i="12"/>
  <c r="BK57" i="12"/>
  <c r="O62" i="7"/>
  <c r="S62" i="7"/>
  <c r="V62" i="7"/>
  <c r="Z62" i="7"/>
  <c r="W213" i="12"/>
  <c r="AM35" i="12"/>
  <c r="AK35" i="12"/>
  <c r="D203" i="8"/>
  <c r="BH203" i="12"/>
  <c r="D133" i="8"/>
  <c r="BH133" i="12"/>
  <c r="AM89" i="12"/>
  <c r="AK89" i="12"/>
  <c r="BF191" i="12"/>
  <c r="BK191" i="12"/>
  <c r="BJ61" i="12"/>
  <c r="AI88" i="12"/>
  <c r="AJ88" i="12"/>
  <c r="AN88" i="12" s="1"/>
  <c r="W13" i="12"/>
  <c r="AM104" i="12"/>
  <c r="AK104" i="12"/>
  <c r="BF47" i="12"/>
  <c r="BK47" i="12"/>
  <c r="BK216" i="12"/>
  <c r="BF216" i="12"/>
  <c r="BJ184" i="12"/>
  <c r="AQ196" i="12"/>
  <c r="BE196" i="12"/>
  <c r="BB196" i="12"/>
  <c r="BJ196" i="12"/>
  <c r="G198" i="12"/>
  <c r="BK180" i="12"/>
  <c r="BF180" i="12"/>
  <c r="BF84" i="12"/>
  <c r="BK84" i="12"/>
  <c r="AK85" i="12"/>
  <c r="AN85" i="12"/>
  <c r="AQ85" i="12" s="1"/>
  <c r="W31" i="12"/>
  <c r="BB25" i="12"/>
  <c r="BE25" i="12"/>
  <c r="AQ25" i="12"/>
  <c r="BJ25" i="12"/>
  <c r="AC157" i="12"/>
  <c r="AF157" i="12"/>
  <c r="AM140" i="12"/>
  <c r="AK140" i="12"/>
  <c r="AM179" i="12"/>
  <c r="AK179" i="12"/>
  <c r="AK60" i="12"/>
  <c r="BK83" i="12"/>
  <c r="BF83" i="12"/>
  <c r="AQ199" i="12"/>
  <c r="BJ199" i="12"/>
  <c r="BB199" i="12"/>
  <c r="BE199" i="12"/>
  <c r="AK216" i="12"/>
  <c r="AK93" i="12"/>
  <c r="AA138" i="8"/>
  <c r="AB138" i="8" s="1"/>
  <c r="AI130" i="12"/>
  <c r="AJ130" i="12"/>
  <c r="AN130" i="12" s="1"/>
  <c r="AJ145" i="12"/>
  <c r="AN145" i="12" s="1"/>
  <c r="AI145" i="12"/>
  <c r="BJ119" i="12"/>
  <c r="AQ119" i="12"/>
  <c r="BB119" i="12"/>
  <c r="BE119" i="12"/>
  <c r="BK163" i="12"/>
  <c r="BF163" i="12"/>
  <c r="BK189" i="12"/>
  <c r="BF189" i="12"/>
  <c r="K8" i="31"/>
  <c r="R15" i="30"/>
  <c r="AJ106" i="12"/>
  <c r="AN106" i="12" s="1"/>
  <c r="AI106" i="12"/>
  <c r="BF148" i="12"/>
  <c r="BK148" i="12"/>
  <c r="G103" i="12"/>
  <c r="AM215" i="12"/>
  <c r="AK215" i="12"/>
  <c r="AM173" i="12"/>
  <c r="AK173" i="12"/>
  <c r="BK94" i="12"/>
  <c r="BF94" i="12"/>
  <c r="BK52" i="12"/>
  <c r="BF52" i="12"/>
  <c r="AA129" i="8"/>
  <c r="AB129" i="8" s="1"/>
  <c r="BK181" i="12"/>
  <c r="BF181" i="12"/>
  <c r="AM132" i="12"/>
  <c r="AK132" i="12"/>
  <c r="BK70" i="12"/>
  <c r="BF70" i="12"/>
  <c r="BK208" i="12"/>
  <c r="BK34" i="12"/>
  <c r="BF34" i="12"/>
  <c r="BF67" i="12"/>
  <c r="BK67" i="12"/>
  <c r="AM114" i="12"/>
  <c r="AK114" i="12"/>
  <c r="BK152" i="12"/>
  <c r="BF152" i="12"/>
  <c r="Y21" i="12"/>
  <c r="BM186" i="12"/>
  <c r="W26" i="12"/>
  <c r="W38" i="12"/>
  <c r="AJ66" i="12"/>
  <c r="AN66" i="12" s="1"/>
  <c r="AI66" i="12"/>
  <c r="BF46" i="12"/>
  <c r="BK46" i="12"/>
  <c r="BF124" i="12"/>
  <c r="BK124" i="12"/>
  <c r="BF97" i="12"/>
  <c r="BK97" i="12"/>
  <c r="AC162" i="12"/>
  <c r="AF162" i="12"/>
  <c r="BK201" i="12"/>
  <c r="BF201" i="12"/>
  <c r="AA58" i="8"/>
  <c r="AB58" i="8" s="1"/>
  <c r="BK63" i="12"/>
  <c r="BF63" i="12"/>
  <c r="AM166" i="12"/>
  <c r="AK166" i="12"/>
  <c r="AM158" i="12"/>
  <c r="AK158" i="12"/>
  <c r="AM154" i="12"/>
  <c r="AK154" i="12"/>
  <c r="AM177" i="12"/>
  <c r="AK177" i="12"/>
  <c r="AA96" i="8"/>
  <c r="AB96" i="8" s="1"/>
  <c r="BF207" i="12"/>
  <c r="BK207" i="12"/>
  <c r="AA62" i="12"/>
  <c r="G164" i="12"/>
  <c r="AA203" i="8"/>
  <c r="AB203" i="8" s="1"/>
  <c r="AI39" i="12"/>
  <c r="AJ39" i="12"/>
  <c r="AN39" i="12" s="1"/>
  <c r="BF170" i="12"/>
  <c r="BK170" i="12"/>
  <c r="AM191" i="12"/>
  <c r="AK191" i="12"/>
  <c r="BF126" i="12"/>
  <c r="BK126" i="12"/>
  <c r="BF147" i="12"/>
  <c r="BK147" i="12"/>
  <c r="BF90" i="12"/>
  <c r="BK90" i="12"/>
  <c r="BK104" i="12"/>
  <c r="BF104" i="12"/>
  <c r="AM47" i="12"/>
  <c r="AK47" i="12"/>
  <c r="BJ67" i="12"/>
  <c r="BM185" i="12"/>
  <c r="AA161" i="8"/>
  <c r="AB161" i="8" s="1"/>
  <c r="BF196" i="12"/>
  <c r="BK196" i="12"/>
  <c r="AM134" i="12"/>
  <c r="AK134" i="12"/>
  <c r="AM28" i="12"/>
  <c r="AK28" i="12"/>
  <c r="AM212" i="12"/>
  <c r="AK212" i="12"/>
  <c r="AG160" i="12"/>
  <c r="AM84" i="12"/>
  <c r="AK84" i="12"/>
  <c r="BJ85" i="12"/>
  <c r="BE85" i="12"/>
  <c r="G48" i="12"/>
  <c r="AM73" i="12"/>
  <c r="AK73" i="12"/>
  <c r="BE115" i="12"/>
  <c r="BJ115" i="12"/>
  <c r="AQ115" i="12"/>
  <c r="BB115" i="12"/>
  <c r="BK140" i="12"/>
  <c r="BF140" i="12"/>
  <c r="BF179" i="12"/>
  <c r="BK179" i="12"/>
  <c r="BJ60" i="12"/>
  <c r="BE60" i="12"/>
  <c r="BJ83" i="12"/>
  <c r="AQ83" i="12"/>
  <c r="BB83" i="12"/>
  <c r="BE83" i="12"/>
  <c r="AK196" i="12"/>
  <c r="AK194" i="12"/>
  <c r="AN194" i="12"/>
  <c r="BB194" i="12" s="1"/>
  <c r="AK206" i="12"/>
  <c r="AK83" i="12"/>
  <c r="D51" i="8"/>
  <c r="BH51" i="12"/>
  <c r="BF50" i="12"/>
  <c r="BK50" i="12"/>
  <c r="BK74" i="12"/>
  <c r="AA51" i="8"/>
  <c r="AB51" i="8" s="1"/>
  <c r="AM117" i="12"/>
  <c r="AK117" i="12"/>
  <c r="AM50" i="12"/>
  <c r="AK50" i="12"/>
  <c r="BK75" i="12"/>
  <c r="BF75" i="12"/>
  <c r="BF176" i="12"/>
  <c r="BK176" i="12"/>
  <c r="AM40" i="12"/>
  <c r="AK40" i="12"/>
  <c r="AM54" i="12"/>
  <c r="AK54" i="12"/>
  <c r="AM148" i="12"/>
  <c r="AK148" i="12"/>
  <c r="G151" i="12"/>
  <c r="D92" i="8"/>
  <c r="BH92" i="12"/>
  <c r="BE45" i="12"/>
  <c r="BB45" i="12"/>
  <c r="AQ45" i="12"/>
  <c r="BJ45" i="12"/>
  <c r="AC164" i="12"/>
  <c r="AF164" i="12"/>
  <c r="AI165" i="12"/>
  <c r="AJ165" i="12"/>
  <c r="AN165" i="12" s="1"/>
  <c r="BK215" i="12"/>
  <c r="BF215" i="12"/>
  <c r="AA211" i="8"/>
  <c r="AB211" i="8" s="1"/>
  <c r="AQ188" i="12"/>
  <c r="BE188" i="12"/>
  <c r="BB188" i="12"/>
  <c r="BJ188" i="12"/>
  <c r="BK116" i="12"/>
  <c r="BF116" i="12"/>
  <c r="AG43" i="12"/>
  <c r="BK60" i="12"/>
  <c r="BF60" i="12"/>
  <c r="BK61" i="12"/>
  <c r="AM52" i="12"/>
  <c r="AK52" i="12"/>
  <c r="AD16" i="7"/>
  <c r="AF16" i="7"/>
  <c r="BK32" i="12"/>
  <c r="BF32" i="12"/>
  <c r="AM181" i="12"/>
  <c r="AK181" i="12"/>
  <c r="BK132" i="12"/>
  <c r="BF132" i="12"/>
  <c r="AM136" i="12"/>
  <c r="AK136" i="12"/>
  <c r="W19" i="12"/>
  <c r="X19" i="12"/>
  <c r="BF114" i="12"/>
  <c r="BK114" i="12"/>
  <c r="AQ105" i="12"/>
  <c r="BE105" i="12"/>
  <c r="BJ105" i="12"/>
  <c r="BB105" i="12"/>
  <c r="AQ220" i="12"/>
  <c r="BB220" i="12"/>
  <c r="BJ220" i="12"/>
  <c r="BE220" i="12"/>
  <c r="AM152" i="12"/>
  <c r="AK152" i="12"/>
  <c r="AC151" i="12"/>
  <c r="AF151" i="12"/>
  <c r="W78" i="12"/>
  <c r="J186" i="8"/>
  <c r="W186" i="8" s="1"/>
  <c r="K186" i="8"/>
  <c r="AI169" i="12"/>
  <c r="AJ169" i="12"/>
  <c r="AN169" i="12" s="1"/>
  <c r="AM155" i="12"/>
  <c r="AK155" i="12"/>
  <c r="AM153" i="12"/>
  <c r="AK153" i="12"/>
  <c r="AM168" i="12"/>
  <c r="AK168" i="12"/>
  <c r="AM124" i="12"/>
  <c r="AK124" i="12"/>
  <c r="W21" i="12"/>
  <c r="AG42" i="12"/>
  <c r="AM97" i="12"/>
  <c r="AK97" i="12"/>
  <c r="AM200" i="12"/>
  <c r="AK200" i="12"/>
  <c r="AM79" i="12"/>
  <c r="AK79" i="12"/>
  <c r="AA190" i="8"/>
  <c r="AB190" i="8" s="1"/>
  <c r="W30" i="12"/>
  <c r="BF193" i="12"/>
  <c r="BK193" i="12"/>
  <c r="AM159" i="12"/>
  <c r="AK159" i="12"/>
  <c r="AM150" i="12"/>
  <c r="AK150" i="12"/>
  <c r="AG20" i="12"/>
  <c r="BK154" i="12"/>
  <c r="BF154" i="12"/>
  <c r="BF135" i="12"/>
  <c r="BK135" i="12"/>
  <c r="W142" i="12"/>
  <c r="AM125" i="12"/>
  <c r="AK125" i="12"/>
  <c r="BK177" i="12"/>
  <c r="BF177" i="12"/>
  <c r="BB121" i="12"/>
  <c r="BJ121" i="12"/>
  <c r="AQ121" i="12"/>
  <c r="BE121" i="12"/>
  <c r="AM207" i="12"/>
  <c r="AK207" i="12"/>
  <c r="G36" i="12"/>
  <c r="AM170" i="12"/>
  <c r="AK170" i="12"/>
  <c r="AA76" i="8"/>
  <c r="AB76" i="8" s="1"/>
  <c r="AM126" i="12"/>
  <c r="AK126" i="12"/>
  <c r="BK98" i="12"/>
  <c r="BF98" i="12"/>
  <c r="AM147" i="12"/>
  <c r="AK147" i="12"/>
  <c r="AM90" i="12"/>
  <c r="AK90" i="12"/>
  <c r="BE59" i="12"/>
  <c r="BB59" i="12"/>
  <c r="AQ59" i="12"/>
  <c r="BJ59" i="12"/>
  <c r="BF202" i="12"/>
  <c r="BK202" i="12"/>
  <c r="J185" i="8"/>
  <c r="W185" i="8" s="1"/>
  <c r="K185" i="8"/>
  <c r="D161" i="8"/>
  <c r="BH161" i="12"/>
  <c r="BK68" i="12"/>
  <c r="BF68" i="12"/>
  <c r="AM183" i="12"/>
  <c r="AK183" i="12"/>
  <c r="BF134" i="12"/>
  <c r="BK134" i="12"/>
  <c r="BK111" i="12"/>
  <c r="BF111" i="12"/>
  <c r="W18" i="12"/>
  <c r="BK28" i="12"/>
  <c r="BF28" i="12"/>
  <c r="BK212" i="12"/>
  <c r="BF212" i="12"/>
  <c r="AM69" i="12"/>
  <c r="AK69" i="12"/>
  <c r="BK73" i="12"/>
  <c r="BF73" i="12"/>
  <c r="AC146" i="12"/>
  <c r="AF146" i="12"/>
  <c r="AQ93" i="12"/>
  <c r="BE93" i="12"/>
  <c r="BB93" i="12"/>
  <c r="BJ93" i="12"/>
  <c r="AM64" i="12"/>
  <c r="AK64" i="12"/>
  <c r="BF206" i="12"/>
  <c r="BK206" i="12"/>
  <c r="BJ194" i="12"/>
  <c r="BE194" i="12"/>
  <c r="BF95" i="12"/>
  <c r="BK95" i="12"/>
  <c r="S26" i="30"/>
  <c r="AQ184" i="12" l="1"/>
  <c r="BH184" i="12" s="1"/>
  <c r="BB60" i="12"/>
  <c r="AK74" i="12"/>
  <c r="AQ67" i="12"/>
  <c r="D67" i="8" s="1"/>
  <c r="BE184" i="12"/>
  <c r="D204" i="8"/>
  <c r="J204" i="8" s="1"/>
  <c r="W204" i="8" s="1"/>
  <c r="AK75" i="12"/>
  <c r="AJ175" i="12"/>
  <c r="AN175" i="12" s="1"/>
  <c r="BF175" i="12" s="1"/>
  <c r="AQ61" i="12"/>
  <c r="D61" i="8" s="1"/>
  <c r="BE61" i="12"/>
  <c r="AK61" i="12"/>
  <c r="AQ208" i="12"/>
  <c r="BH208" i="12" s="1"/>
  <c r="BH76" i="12"/>
  <c r="AI37" i="12"/>
  <c r="AM37" i="12" s="1"/>
  <c r="BB85" i="12"/>
  <c r="AA85" i="8" s="1"/>
  <c r="AB85" i="8" s="1"/>
  <c r="BB208" i="12"/>
  <c r="AA208" i="8" s="1"/>
  <c r="AB208" i="8" s="1"/>
  <c r="BE208" i="12"/>
  <c r="BE67" i="12"/>
  <c r="AI123" i="12"/>
  <c r="AM123" i="12" s="1"/>
  <c r="BE123" i="12" s="1"/>
  <c r="AI44" i="12"/>
  <c r="AM44" i="12" s="1"/>
  <c r="BB44" i="12" s="1"/>
  <c r="AJ167" i="12"/>
  <c r="AN167" i="12" s="1"/>
  <c r="BF167" i="12" s="1"/>
  <c r="AK99" i="12"/>
  <c r="AK208" i="12"/>
  <c r="BB61" i="12"/>
  <c r="AA61" i="8" s="1"/>
  <c r="AB61" i="8" s="1"/>
  <c r="AQ194" i="12"/>
  <c r="D194" i="8" s="1"/>
  <c r="AG103" i="12"/>
  <c r="AI103" i="12" s="1"/>
  <c r="W143" i="12"/>
  <c r="AG146" i="12"/>
  <c r="AJ146" i="12" s="1"/>
  <c r="AN146" i="12" s="1"/>
  <c r="AG151" i="12"/>
  <c r="AI151" i="12" s="1"/>
  <c r="W139" i="12"/>
  <c r="AG157" i="12"/>
  <c r="AJ157" i="12" s="1"/>
  <c r="AN157" i="12" s="1"/>
  <c r="W122" i="12"/>
  <c r="W55" i="12"/>
  <c r="W128" i="12"/>
  <c r="AG198" i="12"/>
  <c r="AJ198" i="12" s="1"/>
  <c r="AN198" i="12" s="1"/>
  <c r="BK44" i="12"/>
  <c r="BF44" i="12"/>
  <c r="X65" i="12"/>
  <c r="AA18" i="12"/>
  <c r="AF18" i="12"/>
  <c r="Y143" i="12"/>
  <c r="BJ200" i="12"/>
  <c r="BB200" i="12"/>
  <c r="AQ200" i="12"/>
  <c r="BE200" i="12"/>
  <c r="X21" i="12"/>
  <c r="AF21" i="12"/>
  <c r="AA21" i="12"/>
  <c r="BK175" i="12"/>
  <c r="AA93" i="8"/>
  <c r="AB93" i="8" s="1"/>
  <c r="Y172" i="12"/>
  <c r="O18" i="7"/>
  <c r="S18" i="7"/>
  <c r="V18" i="7"/>
  <c r="Z18" i="7"/>
  <c r="K204" i="8"/>
  <c r="BM161" i="12"/>
  <c r="P185" i="8"/>
  <c r="BE147" i="12"/>
  <c r="AQ147" i="12"/>
  <c r="BB147" i="12"/>
  <c r="BJ147" i="12"/>
  <c r="AQ207" i="12"/>
  <c r="BJ207" i="12"/>
  <c r="BE207" i="12"/>
  <c r="BB207" i="12"/>
  <c r="AA142" i="12"/>
  <c r="O41" i="7"/>
  <c r="S41" i="7"/>
  <c r="V41" i="7"/>
  <c r="Z41" i="7"/>
  <c r="BB150" i="12"/>
  <c r="BE150" i="12"/>
  <c r="AQ150" i="12"/>
  <c r="BJ150" i="12"/>
  <c r="X23" i="12"/>
  <c r="O21" i="7"/>
  <c r="S21" i="7"/>
  <c r="V21" i="7"/>
  <c r="Z21" i="7"/>
  <c r="BB168" i="12"/>
  <c r="BJ168" i="12"/>
  <c r="BE168" i="12"/>
  <c r="AQ168" i="12"/>
  <c r="BB155" i="12"/>
  <c r="BJ155" i="12"/>
  <c r="AQ155" i="12"/>
  <c r="BE155" i="12"/>
  <c r="X78" i="12"/>
  <c r="AF78" i="12"/>
  <c r="AA78" i="12"/>
  <c r="O19" i="7"/>
  <c r="S19" i="7"/>
  <c r="V19" i="7"/>
  <c r="Z19" i="7"/>
  <c r="AC19" i="7" s="1"/>
  <c r="Y55" i="12"/>
  <c r="X55" i="12"/>
  <c r="AA188" i="8"/>
  <c r="AB188" i="8" s="1"/>
  <c r="AM165" i="12"/>
  <c r="AK165" i="12"/>
  <c r="AG164" i="12"/>
  <c r="D45" i="8"/>
  <c r="BH45" i="12"/>
  <c r="O80" i="7"/>
  <c r="S80" i="7"/>
  <c r="V80" i="7"/>
  <c r="Z80" i="7"/>
  <c r="BK37" i="12"/>
  <c r="BF37" i="12"/>
  <c r="BB40" i="12"/>
  <c r="BE40" i="12"/>
  <c r="BJ40" i="12"/>
  <c r="AQ40" i="12"/>
  <c r="BB50" i="12"/>
  <c r="BE50" i="12"/>
  <c r="AQ50" i="12"/>
  <c r="BJ50" i="12"/>
  <c r="Y144" i="12"/>
  <c r="O81" i="7"/>
  <c r="M246" i="7" s="1"/>
  <c r="S81" i="7"/>
  <c r="Q246" i="7" s="1"/>
  <c r="V81" i="7"/>
  <c r="T246" i="7" s="1"/>
  <c r="Z81" i="7"/>
  <c r="BM51" i="12"/>
  <c r="BF194" i="12"/>
  <c r="BK194" i="12"/>
  <c r="AA60" i="8"/>
  <c r="AB60" i="8" s="1"/>
  <c r="AA115" i="8"/>
  <c r="AB115" i="8" s="1"/>
  <c r="BE212" i="12"/>
  <c r="AQ212" i="12"/>
  <c r="BJ212" i="12"/>
  <c r="BB212" i="12"/>
  <c r="Y33" i="12"/>
  <c r="Y108" i="12"/>
  <c r="Y139" i="12"/>
  <c r="X38" i="12"/>
  <c r="BJ123" i="12"/>
  <c r="BJ44" i="12"/>
  <c r="Y128" i="12"/>
  <c r="AM106" i="12"/>
  <c r="AK106" i="12"/>
  <c r="AA119" i="8"/>
  <c r="AB119" i="8" s="1"/>
  <c r="AM145" i="12"/>
  <c r="AK145" i="12"/>
  <c r="BK167" i="12"/>
  <c r="X144" i="12"/>
  <c r="O31" i="7"/>
  <c r="S31" i="7"/>
  <c r="V31" i="7"/>
  <c r="Z31" i="7"/>
  <c r="AF31" i="12"/>
  <c r="AA31" i="12"/>
  <c r="X174" i="12"/>
  <c r="D184" i="8"/>
  <c r="AA184" i="8"/>
  <c r="AB184" i="8" s="1"/>
  <c r="O13" i="7"/>
  <c r="S13" i="7"/>
  <c r="V13" i="7"/>
  <c r="Z13" i="7"/>
  <c r="X122" i="12"/>
  <c r="BE89" i="12"/>
  <c r="BB89" i="12"/>
  <c r="AQ89" i="12"/>
  <c r="BJ89" i="12"/>
  <c r="X17" i="12"/>
  <c r="AQ35" i="12"/>
  <c r="BB35" i="12"/>
  <c r="BE35" i="12"/>
  <c r="BJ35" i="12"/>
  <c r="J96" i="8"/>
  <c r="W96" i="8" s="1"/>
  <c r="K96" i="8"/>
  <c r="J190" i="8"/>
  <c r="W190" i="8" s="1"/>
  <c r="K190" i="8"/>
  <c r="AQ201" i="12"/>
  <c r="BB201" i="12"/>
  <c r="BE201" i="12"/>
  <c r="BJ201" i="12"/>
  <c r="P113" i="8"/>
  <c r="O182" i="7"/>
  <c r="S182" i="7"/>
  <c r="V182" i="7"/>
  <c r="Z182" i="7"/>
  <c r="X15" i="12"/>
  <c r="AM217" i="12"/>
  <c r="AK217" i="12"/>
  <c r="Y38" i="12"/>
  <c r="Y122" i="12"/>
  <c r="Y56" i="12"/>
  <c r="O120" i="7"/>
  <c r="M250" i="7" s="1"/>
  <c r="S120" i="7"/>
  <c r="V120" i="7"/>
  <c r="Z120" i="7"/>
  <c r="D205" i="8"/>
  <c r="BH205" i="12"/>
  <c r="AA137" i="8"/>
  <c r="AB137" i="8" s="1"/>
  <c r="X27" i="12"/>
  <c r="W65" i="12"/>
  <c r="AA127" i="8"/>
  <c r="AB127" i="8" s="1"/>
  <c r="D218" i="8"/>
  <c r="BH218" i="12"/>
  <c r="AQ98" i="12"/>
  <c r="BE98" i="12"/>
  <c r="BJ98" i="12"/>
  <c r="BB98" i="12"/>
  <c r="Y142" i="12"/>
  <c r="Y31" i="12"/>
  <c r="D118" i="8"/>
  <c r="BH118" i="12"/>
  <c r="O33" i="7"/>
  <c r="M240" i="7" s="1"/>
  <c r="S33" i="7"/>
  <c r="Q240" i="7" s="1"/>
  <c r="V33" i="7"/>
  <c r="T240" i="7" s="1"/>
  <c r="Z33" i="7"/>
  <c r="Y30" i="12"/>
  <c r="S17" i="30"/>
  <c r="S18" i="30" s="1"/>
  <c r="S19" i="30" s="1"/>
  <c r="S20" i="30" s="1"/>
  <c r="S23" i="30" s="1"/>
  <c r="BJ82" i="12"/>
  <c r="BE82" i="12"/>
  <c r="AQ82" i="12"/>
  <c r="BB82" i="12"/>
  <c r="BM107" i="12"/>
  <c r="BJ131" i="12"/>
  <c r="BB131" i="12"/>
  <c r="BE131" i="12"/>
  <c r="AQ131" i="12"/>
  <c r="X100" i="12"/>
  <c r="W100" i="12"/>
  <c r="BK187" i="12"/>
  <c r="BF187" i="12"/>
  <c r="K32" i="8"/>
  <c r="J32" i="8"/>
  <c r="W32" i="8" s="1"/>
  <c r="Y78" i="12"/>
  <c r="BJ116" i="12"/>
  <c r="BE116" i="12"/>
  <c r="BB116" i="12"/>
  <c r="AQ116" i="12"/>
  <c r="BH110" i="12"/>
  <c r="D110" i="8"/>
  <c r="K72" i="8"/>
  <c r="J72" i="8"/>
  <c r="W72" i="8" s="1"/>
  <c r="BM138" i="12"/>
  <c r="AA194" i="8"/>
  <c r="AB194" i="8" s="1"/>
  <c r="BJ64" i="12"/>
  <c r="BB64" i="12"/>
  <c r="BE64" i="12"/>
  <c r="AQ64" i="12"/>
  <c r="K161" i="8"/>
  <c r="J161" i="8"/>
  <c r="W161" i="8" s="1"/>
  <c r="X143" i="12"/>
  <c r="D59" i="8"/>
  <c r="BH59" i="12"/>
  <c r="BB170" i="12"/>
  <c r="BJ170" i="12"/>
  <c r="BE170" i="12"/>
  <c r="AQ170" i="12"/>
  <c r="BJ125" i="12"/>
  <c r="BE125" i="12"/>
  <c r="AQ125" i="12"/>
  <c r="BB125" i="12"/>
  <c r="W23" i="12"/>
  <c r="O30" i="7"/>
  <c r="S30" i="7"/>
  <c r="V30" i="7"/>
  <c r="Z30" i="7"/>
  <c r="BJ79" i="12"/>
  <c r="BE79" i="12"/>
  <c r="AQ79" i="12"/>
  <c r="BB79" i="12"/>
  <c r="BE97" i="12"/>
  <c r="AQ97" i="12"/>
  <c r="BJ97" i="12"/>
  <c r="BB97" i="12"/>
  <c r="Y210" i="12"/>
  <c r="BF169" i="12"/>
  <c r="BK169" i="12"/>
  <c r="O78" i="7"/>
  <c r="S78" i="7"/>
  <c r="V78" i="7"/>
  <c r="Z78" i="7"/>
  <c r="BB152" i="12"/>
  <c r="BJ152" i="12"/>
  <c r="BE152" i="12"/>
  <c r="AQ152" i="12"/>
  <c r="AA220" i="8"/>
  <c r="AB220" i="8" s="1"/>
  <c r="AA105" i="8"/>
  <c r="AB105" i="8" s="1"/>
  <c r="AH16" i="7"/>
  <c r="F16" i="12" s="1"/>
  <c r="D16" i="12"/>
  <c r="AM16" i="7"/>
  <c r="AP16" i="7"/>
  <c r="AQ16" i="7"/>
  <c r="AI43" i="12"/>
  <c r="AJ43" i="12"/>
  <c r="AN43" i="12" s="1"/>
  <c r="AA45" i="8"/>
  <c r="AB45" i="8" s="1"/>
  <c r="X80" i="12"/>
  <c r="K92" i="8"/>
  <c r="J92" i="8"/>
  <c r="W92" i="8" s="1"/>
  <c r="X81" i="12"/>
  <c r="J51" i="8"/>
  <c r="W51" i="8" s="1"/>
  <c r="K51" i="8"/>
  <c r="AA83" i="8"/>
  <c r="AB83" i="8" s="1"/>
  <c r="D115" i="8"/>
  <c r="BH115" i="12"/>
  <c r="BB73" i="12"/>
  <c r="BJ73" i="12"/>
  <c r="BE73" i="12"/>
  <c r="AQ73" i="12"/>
  <c r="BE84" i="12"/>
  <c r="AQ84" i="12"/>
  <c r="BB84" i="12"/>
  <c r="BJ84" i="12"/>
  <c r="Y174" i="12"/>
  <c r="BB191" i="12"/>
  <c r="BJ191" i="12"/>
  <c r="BE191" i="12"/>
  <c r="AQ191" i="12"/>
  <c r="J76" i="8"/>
  <c r="W76" i="8" s="1"/>
  <c r="K76" i="8"/>
  <c r="BK39" i="12"/>
  <c r="BF39" i="12"/>
  <c r="BJ75" i="12"/>
  <c r="AQ75" i="12"/>
  <c r="BE75" i="12"/>
  <c r="BB75" i="12"/>
  <c r="AQ158" i="12"/>
  <c r="BB158" i="12"/>
  <c r="BJ158" i="12"/>
  <c r="BE158" i="12"/>
  <c r="AG162" i="12"/>
  <c r="AM66" i="12"/>
  <c r="AK66" i="12"/>
  <c r="X26" i="12"/>
  <c r="BE114" i="12"/>
  <c r="BJ114" i="12"/>
  <c r="AQ114" i="12"/>
  <c r="BB114" i="12"/>
  <c r="BF123" i="12"/>
  <c r="BK123" i="12"/>
  <c r="BJ173" i="12"/>
  <c r="AQ173" i="12"/>
  <c r="BB173" i="12"/>
  <c r="BE173" i="12"/>
  <c r="BE215" i="12"/>
  <c r="AQ215" i="12"/>
  <c r="BB215" i="12"/>
  <c r="BJ215" i="12"/>
  <c r="BK106" i="12"/>
  <c r="BF106" i="12"/>
  <c r="D119" i="8"/>
  <c r="BH119" i="12"/>
  <c r="BK145" i="12"/>
  <c r="BF145" i="12"/>
  <c r="BJ167" i="12"/>
  <c r="BE167" i="12"/>
  <c r="Y120" i="12"/>
  <c r="BE179" i="12"/>
  <c r="BB179" i="12"/>
  <c r="AQ179" i="12"/>
  <c r="BJ179" i="12"/>
  <c r="AA25" i="8"/>
  <c r="AB25" i="8" s="1"/>
  <c r="O144" i="7"/>
  <c r="M304" i="7" s="1"/>
  <c r="S144" i="7"/>
  <c r="Q304" i="7" s="1"/>
  <c r="V144" i="7"/>
  <c r="T304" i="7" s="1"/>
  <c r="Z144" i="7"/>
  <c r="BF85" i="12"/>
  <c r="BK85" i="12"/>
  <c r="Y19" i="12"/>
  <c r="D196" i="8"/>
  <c r="BH196" i="12"/>
  <c r="BE104" i="12"/>
  <c r="BB104" i="12"/>
  <c r="BJ104" i="12"/>
  <c r="AQ104" i="12"/>
  <c r="AF13" i="12"/>
  <c r="AA13" i="12"/>
  <c r="BK88" i="12"/>
  <c r="BF88" i="12"/>
  <c r="BM133" i="12"/>
  <c r="O17" i="7"/>
  <c r="S17" i="7"/>
  <c r="V17" i="7"/>
  <c r="Z17" i="7"/>
  <c r="BM203" i="12"/>
  <c r="X213" i="12"/>
  <c r="O56" i="7"/>
  <c r="M242" i="7" s="1"/>
  <c r="S56" i="7"/>
  <c r="Q242" i="7" s="1"/>
  <c r="V56" i="7"/>
  <c r="T242" i="7" s="1"/>
  <c r="Z56" i="7"/>
  <c r="AA214" i="8"/>
  <c r="AB214" i="8" s="1"/>
  <c r="AI29" i="12"/>
  <c r="AM29" i="12" s="1"/>
  <c r="AJ29" i="12"/>
  <c r="BB34" i="12"/>
  <c r="AQ34" i="12"/>
  <c r="BJ34" i="12"/>
  <c r="BE34" i="12"/>
  <c r="O15" i="7"/>
  <c r="S15" i="7"/>
  <c r="V15" i="7"/>
  <c r="Z15" i="7"/>
  <c r="O14" i="7"/>
  <c r="S14" i="7"/>
  <c r="V14" i="7"/>
  <c r="Z14" i="7"/>
  <c r="AA14" i="12"/>
  <c r="BM211" i="12"/>
  <c r="BJ87" i="12"/>
  <c r="BE87" i="12"/>
  <c r="BB87" i="12"/>
  <c r="AQ87" i="12"/>
  <c r="Y14" i="12"/>
  <c r="X120" i="12"/>
  <c r="W171" i="12"/>
  <c r="D95" i="8"/>
  <c r="BH95" i="12"/>
  <c r="O27" i="7"/>
  <c r="S27" i="7"/>
  <c r="V27" i="7"/>
  <c r="Z27" i="7"/>
  <c r="AA27" i="12"/>
  <c r="AQ111" i="12"/>
  <c r="BB111" i="12"/>
  <c r="BJ111" i="12"/>
  <c r="BE111" i="12"/>
  <c r="BH127" i="12"/>
  <c r="D127" i="8"/>
  <c r="D216" i="8"/>
  <c r="BH216" i="12"/>
  <c r="AA218" i="8"/>
  <c r="AB218" i="8" s="1"/>
  <c r="BM53" i="12"/>
  <c r="X33" i="12"/>
  <c r="W33" i="12"/>
  <c r="K58" i="8"/>
  <c r="J58" i="8"/>
  <c r="W58" i="8" s="1"/>
  <c r="J107" i="8"/>
  <c r="W107" i="8" s="1"/>
  <c r="K107" i="8"/>
  <c r="X210" i="12"/>
  <c r="O108" i="7"/>
  <c r="M299" i="7" s="1"/>
  <c r="S108" i="7"/>
  <c r="Q299" i="7" s="1"/>
  <c r="V108" i="7"/>
  <c r="T299" i="7" s="1"/>
  <c r="Z108" i="7"/>
  <c r="D91" i="8"/>
  <c r="BH91" i="12"/>
  <c r="O100" i="7"/>
  <c r="S100" i="7"/>
  <c r="V100" i="7"/>
  <c r="Z100" i="7"/>
  <c r="BM129" i="12"/>
  <c r="Y27" i="12"/>
  <c r="W209" i="12"/>
  <c r="AQ178" i="12"/>
  <c r="BE178" i="12"/>
  <c r="BB178" i="12"/>
  <c r="BJ178" i="12"/>
  <c r="D219" i="8"/>
  <c r="BH219" i="12"/>
  <c r="J138" i="8"/>
  <c r="W138" i="8" s="1"/>
  <c r="K138" i="8"/>
  <c r="O65" i="7"/>
  <c r="S65" i="7"/>
  <c r="V65" i="7"/>
  <c r="Z65" i="7"/>
  <c r="Y182" i="12"/>
  <c r="D93" i="8"/>
  <c r="BH93" i="12"/>
  <c r="BJ69" i="12"/>
  <c r="AQ69" i="12"/>
  <c r="BB69" i="12"/>
  <c r="BE69" i="12"/>
  <c r="X18" i="12"/>
  <c r="BM204" i="12"/>
  <c r="AQ183" i="12"/>
  <c r="BJ183" i="12"/>
  <c r="BE183" i="12"/>
  <c r="BB183" i="12"/>
  <c r="O143" i="7"/>
  <c r="M303" i="7" s="1"/>
  <c r="S143" i="7"/>
  <c r="Q303" i="7" s="1"/>
  <c r="V143" i="7"/>
  <c r="T303" i="7" s="1"/>
  <c r="Z143" i="7"/>
  <c r="AA143" i="12"/>
  <c r="AF143" i="12"/>
  <c r="AA59" i="8"/>
  <c r="AB59" i="8" s="1"/>
  <c r="BJ90" i="12"/>
  <c r="BB90" i="12"/>
  <c r="AQ90" i="12"/>
  <c r="BE90" i="12"/>
  <c r="O142" i="7"/>
  <c r="M302" i="7" s="1"/>
  <c r="S142" i="7"/>
  <c r="Q302" i="7" s="1"/>
  <c r="V142" i="7"/>
  <c r="T302" i="7" s="1"/>
  <c r="Z142" i="7"/>
  <c r="Y41" i="12"/>
  <c r="W41" i="12"/>
  <c r="AI20" i="12"/>
  <c r="AJ20" i="12"/>
  <c r="AN20" i="12" s="1"/>
  <c r="BJ159" i="12"/>
  <c r="BE159" i="12"/>
  <c r="AQ159" i="12"/>
  <c r="BB159" i="12"/>
  <c r="X30" i="12"/>
  <c r="AF30" i="12"/>
  <c r="AJ42" i="12"/>
  <c r="AN42" i="12" s="1"/>
  <c r="AI42" i="12"/>
  <c r="BJ124" i="12"/>
  <c r="BE124" i="12"/>
  <c r="AQ124" i="12"/>
  <c r="BB124" i="12"/>
  <c r="Y24" i="12"/>
  <c r="BB153" i="12"/>
  <c r="BE153" i="12"/>
  <c r="BJ153" i="12"/>
  <c r="AQ153" i="12"/>
  <c r="AM169" i="12"/>
  <c r="AK169" i="12"/>
  <c r="P186" i="8"/>
  <c r="Y23" i="12"/>
  <c r="D220" i="8"/>
  <c r="BH220" i="12"/>
  <c r="D105" i="8"/>
  <c r="BH105" i="12"/>
  <c r="AA19" i="12"/>
  <c r="AF19" i="12"/>
  <c r="AQ136" i="12"/>
  <c r="BJ136" i="12"/>
  <c r="BB136" i="12"/>
  <c r="BE136" i="12"/>
  <c r="Y81" i="12"/>
  <c r="BJ52" i="12"/>
  <c r="BE52" i="12"/>
  <c r="BB52" i="12"/>
  <c r="AQ52" i="12"/>
  <c r="AF55" i="12"/>
  <c r="AA55" i="12"/>
  <c r="BB54" i="12"/>
  <c r="BJ54" i="12"/>
  <c r="AQ54" i="12"/>
  <c r="BE54" i="12"/>
  <c r="BB117" i="12"/>
  <c r="AQ117" i="12"/>
  <c r="BE117" i="12"/>
  <c r="BJ117" i="12"/>
  <c r="AJ160" i="12"/>
  <c r="AN160" i="12" s="1"/>
  <c r="AI160" i="12"/>
  <c r="AQ28" i="12"/>
  <c r="BE28" i="12"/>
  <c r="BB28" i="12"/>
  <c r="BJ28" i="12"/>
  <c r="BJ134" i="12"/>
  <c r="BB134" i="12"/>
  <c r="AQ134" i="12"/>
  <c r="BE134" i="12"/>
  <c r="O24" i="7"/>
  <c r="S24" i="7"/>
  <c r="V24" i="7"/>
  <c r="Z24" i="7"/>
  <c r="W24" i="12"/>
  <c r="O128" i="7"/>
  <c r="M301" i="7" s="1"/>
  <c r="S128" i="7"/>
  <c r="Q301" i="7" s="1"/>
  <c r="V128" i="7"/>
  <c r="T301" i="7" s="1"/>
  <c r="Z128" i="7"/>
  <c r="AM39" i="12"/>
  <c r="AK39" i="12"/>
  <c r="BJ177" i="12"/>
  <c r="BB177" i="12"/>
  <c r="AQ177" i="12"/>
  <c r="BE177" i="12"/>
  <c r="BK66" i="12"/>
  <c r="BF66" i="12"/>
  <c r="O26" i="7"/>
  <c r="S26" i="7"/>
  <c r="V26" i="7"/>
  <c r="Z26" i="7"/>
  <c r="AF26" i="12"/>
  <c r="AA26" i="12"/>
  <c r="Y12" i="12"/>
  <c r="X139" i="12"/>
  <c r="Y17" i="12"/>
  <c r="K7" i="31"/>
  <c r="R16" i="30"/>
  <c r="BF130" i="12"/>
  <c r="BK130" i="12"/>
  <c r="D199" i="8"/>
  <c r="BH199" i="12"/>
  <c r="X172" i="12"/>
  <c r="W144" i="12"/>
  <c r="AA196" i="8"/>
  <c r="AB196" i="8" s="1"/>
  <c r="AM88" i="12"/>
  <c r="AK88" i="12"/>
  <c r="Y102" i="12"/>
  <c r="K203" i="8"/>
  <c r="J203" i="8"/>
  <c r="W203" i="8" s="1"/>
  <c r="O213" i="7"/>
  <c r="M259" i="7" s="1"/>
  <c r="S213" i="7"/>
  <c r="Q259" i="7" s="1"/>
  <c r="V213" i="7"/>
  <c r="T259" i="7" s="1"/>
  <c r="Z213" i="7"/>
  <c r="BJ156" i="12"/>
  <c r="AQ156" i="12"/>
  <c r="BE156" i="12"/>
  <c r="BB156" i="12"/>
  <c r="Y18" i="12"/>
  <c r="X56" i="12"/>
  <c r="AQ63" i="12"/>
  <c r="BE63" i="12"/>
  <c r="BJ63" i="12"/>
  <c r="BB63" i="12"/>
  <c r="D214" i="8"/>
  <c r="BH214" i="12"/>
  <c r="BM190" i="12"/>
  <c r="AM175" i="12"/>
  <c r="AQ46" i="12"/>
  <c r="BB46" i="12"/>
  <c r="BE46" i="12"/>
  <c r="BJ46" i="12"/>
  <c r="W182" i="12"/>
  <c r="Y13" i="12"/>
  <c r="Y171" i="12"/>
  <c r="AG195" i="12"/>
  <c r="AF15" i="12"/>
  <c r="AA15" i="12"/>
  <c r="BE70" i="12"/>
  <c r="BB70" i="12"/>
  <c r="AQ70" i="12"/>
  <c r="BJ70" i="12"/>
  <c r="D86" i="8"/>
  <c r="BH86" i="12"/>
  <c r="X14" i="12"/>
  <c r="W120" i="12"/>
  <c r="AA205" i="8"/>
  <c r="AB205" i="8" s="1"/>
  <c r="X171" i="12"/>
  <c r="O102" i="7"/>
  <c r="M249" i="7" s="1"/>
  <c r="S102" i="7"/>
  <c r="Q249" i="7" s="1"/>
  <c r="V102" i="7"/>
  <c r="T249" i="7" s="1"/>
  <c r="Z102" i="7"/>
  <c r="AA95" i="8"/>
  <c r="AB95" i="8" s="1"/>
  <c r="AA206" i="8"/>
  <c r="AB206" i="8" s="1"/>
  <c r="AQ180" i="12"/>
  <c r="BJ180" i="12"/>
  <c r="BE180" i="12"/>
  <c r="BB180" i="12"/>
  <c r="Y65" i="12"/>
  <c r="BE68" i="12"/>
  <c r="AQ68" i="12"/>
  <c r="BB68" i="12"/>
  <c r="BJ68" i="12"/>
  <c r="AA216" i="8"/>
  <c r="AB216" i="8" s="1"/>
  <c r="K53" i="8"/>
  <c r="J53" i="8"/>
  <c r="W53" i="8" s="1"/>
  <c r="O22" i="7"/>
  <c r="S22" i="7"/>
  <c r="V22" i="7"/>
  <c r="Z22" i="7"/>
  <c r="W22" i="12"/>
  <c r="BE57" i="12"/>
  <c r="BJ57" i="12"/>
  <c r="BB57" i="12"/>
  <c r="AQ57" i="12"/>
  <c r="W80" i="12"/>
  <c r="BB197" i="12"/>
  <c r="BE197" i="12"/>
  <c r="AQ197" i="12"/>
  <c r="BJ197" i="12"/>
  <c r="R26" i="30"/>
  <c r="AQ74" i="12"/>
  <c r="BE74" i="12"/>
  <c r="BJ74" i="12"/>
  <c r="BB74" i="12"/>
  <c r="AA118" i="8"/>
  <c r="AB118" i="8" s="1"/>
  <c r="AK71" i="12"/>
  <c r="AN71" i="12"/>
  <c r="BB71" i="12" s="1"/>
  <c r="Y213" i="12"/>
  <c r="BJ77" i="12"/>
  <c r="AQ77" i="12"/>
  <c r="BB77" i="12"/>
  <c r="BE77" i="12"/>
  <c r="O210" i="7"/>
  <c r="S210" i="7"/>
  <c r="V210" i="7"/>
  <c r="Z210" i="7"/>
  <c r="X108" i="12"/>
  <c r="AA91" i="8"/>
  <c r="AB91" i="8" s="1"/>
  <c r="AJ112" i="12"/>
  <c r="AN112" i="12" s="1"/>
  <c r="AI112" i="12"/>
  <c r="BB149" i="12"/>
  <c r="AQ149" i="12"/>
  <c r="BJ149" i="12"/>
  <c r="BE149" i="12"/>
  <c r="AA219" i="8"/>
  <c r="AB219" i="8" s="1"/>
  <c r="BJ99" i="12"/>
  <c r="BB99" i="12"/>
  <c r="BE99" i="12"/>
  <c r="AQ99" i="12"/>
  <c r="BK192" i="12"/>
  <c r="BF192" i="12"/>
  <c r="AQ126" i="12"/>
  <c r="BE126" i="12"/>
  <c r="BB126" i="12"/>
  <c r="BJ126" i="12"/>
  <c r="D121" i="8"/>
  <c r="BH121" i="12"/>
  <c r="AA121" i="8"/>
  <c r="AB121" i="8" s="1"/>
  <c r="X142" i="12"/>
  <c r="X41" i="12"/>
  <c r="O23" i="7"/>
  <c r="S23" i="7"/>
  <c r="V23" i="7"/>
  <c r="Z23" i="7"/>
  <c r="BE181" i="12"/>
  <c r="AQ181" i="12"/>
  <c r="BB181" i="12"/>
  <c r="BJ181" i="12"/>
  <c r="O55" i="7"/>
  <c r="S55" i="7"/>
  <c r="V55" i="7"/>
  <c r="Z55" i="7"/>
  <c r="D188" i="8"/>
  <c r="BH188" i="12"/>
  <c r="Y22" i="12"/>
  <c r="BF165" i="12"/>
  <c r="BK165" i="12"/>
  <c r="BM92" i="12"/>
  <c r="BB148" i="12"/>
  <c r="BE148" i="12"/>
  <c r="BJ148" i="12"/>
  <c r="AQ148" i="12"/>
  <c r="W81" i="12"/>
  <c r="D83" i="8"/>
  <c r="BH83" i="12"/>
  <c r="BH60" i="12"/>
  <c r="D60" i="8"/>
  <c r="D85" i="8"/>
  <c r="BH85" i="12"/>
  <c r="AA67" i="8"/>
  <c r="AB67" i="8" s="1"/>
  <c r="BJ47" i="12"/>
  <c r="BB47" i="12"/>
  <c r="AQ47" i="12"/>
  <c r="BE47" i="12"/>
  <c r="X24" i="12"/>
  <c r="BM76" i="12"/>
  <c r="X128" i="12"/>
  <c r="AF128" i="12"/>
  <c r="AA128" i="12"/>
  <c r="BE154" i="12"/>
  <c r="BB154" i="12"/>
  <c r="AQ154" i="12"/>
  <c r="BJ154" i="12"/>
  <c r="BJ166" i="12"/>
  <c r="BE166" i="12"/>
  <c r="BB166" i="12"/>
  <c r="AQ166" i="12"/>
  <c r="W101" i="12"/>
  <c r="L222" i="7"/>
  <c r="L8" i="7" s="1"/>
  <c r="O38" i="7"/>
  <c r="S38" i="7"/>
  <c r="V38" i="7"/>
  <c r="Z38" i="7"/>
  <c r="AF38" i="12"/>
  <c r="AA38" i="12"/>
  <c r="Y100" i="12"/>
  <c r="O139" i="7"/>
  <c r="S139" i="7"/>
  <c r="V139" i="7"/>
  <c r="Z139" i="7"/>
  <c r="AA139" i="12"/>
  <c r="BE132" i="12"/>
  <c r="BB132" i="12"/>
  <c r="AQ132" i="12"/>
  <c r="BJ132" i="12"/>
  <c r="AM130" i="12"/>
  <c r="AK130" i="12"/>
  <c r="AA199" i="8"/>
  <c r="AB199" i="8" s="1"/>
  <c r="BE140" i="12"/>
  <c r="AQ140" i="12"/>
  <c r="BJ140" i="12"/>
  <c r="BB140" i="12"/>
  <c r="O172" i="7"/>
  <c r="S172" i="7"/>
  <c r="V172" i="7"/>
  <c r="Z172" i="7"/>
  <c r="W172" i="12"/>
  <c r="D25" i="8"/>
  <c r="BH25" i="12"/>
  <c r="X31" i="12"/>
  <c r="O174" i="7"/>
  <c r="M255" i="7" s="1"/>
  <c r="S174" i="7"/>
  <c r="Q255" i="7" s="1"/>
  <c r="V174" i="7"/>
  <c r="T255" i="7" s="1"/>
  <c r="Z174" i="7"/>
  <c r="W174" i="12"/>
  <c r="X13" i="12"/>
  <c r="O122" i="7"/>
  <c r="S122" i="7"/>
  <c r="V122" i="7"/>
  <c r="Z122" i="7"/>
  <c r="AF122" i="12"/>
  <c r="J133" i="8"/>
  <c r="W133" i="8" s="1"/>
  <c r="K133" i="8"/>
  <c r="W17" i="12"/>
  <c r="AA213" i="12"/>
  <c r="AF213" i="12"/>
  <c r="X243" i="7"/>
  <c r="AC62" i="7"/>
  <c r="BM96" i="12"/>
  <c r="AA56" i="12"/>
  <c r="X182" i="12"/>
  <c r="BE109" i="12"/>
  <c r="AQ109" i="12"/>
  <c r="BB109" i="12"/>
  <c r="BJ109" i="12"/>
  <c r="BF217" i="12"/>
  <c r="BK217" i="12"/>
  <c r="AA86" i="8"/>
  <c r="AB86" i="8" s="1"/>
  <c r="BJ94" i="12"/>
  <c r="BE94" i="12"/>
  <c r="AQ94" i="12"/>
  <c r="BB94" i="12"/>
  <c r="K211" i="8"/>
  <c r="J211" i="8"/>
  <c r="W211" i="8" s="1"/>
  <c r="AG36" i="12"/>
  <c r="BB189" i="12"/>
  <c r="AQ189" i="12"/>
  <c r="BJ189" i="12"/>
  <c r="BE189" i="12"/>
  <c r="BJ163" i="12"/>
  <c r="BE163" i="12"/>
  <c r="AQ163" i="12"/>
  <c r="BB163" i="12"/>
  <c r="BJ141" i="12"/>
  <c r="BB141" i="12"/>
  <c r="AQ141" i="12"/>
  <c r="BE141" i="12"/>
  <c r="O171" i="7"/>
  <c r="S171" i="7"/>
  <c r="V171" i="7"/>
  <c r="Z171" i="7"/>
  <c r="X102" i="12"/>
  <c r="W102" i="12"/>
  <c r="BH206" i="12"/>
  <c r="D206" i="8"/>
  <c r="D137" i="8"/>
  <c r="BH137" i="12"/>
  <c r="BE202" i="12"/>
  <c r="AQ202" i="12"/>
  <c r="BJ202" i="12"/>
  <c r="BB202" i="12"/>
  <c r="X22" i="12"/>
  <c r="Y80" i="12"/>
  <c r="Y26" i="12"/>
  <c r="BE135" i="12"/>
  <c r="BJ135" i="12"/>
  <c r="AQ135" i="12"/>
  <c r="BB135" i="12"/>
  <c r="BB193" i="12"/>
  <c r="AQ193" i="12"/>
  <c r="BJ193" i="12"/>
  <c r="BE193" i="12"/>
  <c r="BE71" i="12"/>
  <c r="BJ71" i="12"/>
  <c r="BM58" i="12"/>
  <c r="Y15" i="12"/>
  <c r="AJ48" i="12"/>
  <c r="AN48" i="12" s="1"/>
  <c r="AI48" i="12"/>
  <c r="W210" i="12"/>
  <c r="O12" i="7"/>
  <c r="S12" i="7"/>
  <c r="V12" i="7"/>
  <c r="Z12" i="7"/>
  <c r="W108" i="12"/>
  <c r="AM187" i="12"/>
  <c r="AK187" i="12"/>
  <c r="K129" i="8"/>
  <c r="J129" i="8"/>
  <c r="W129" i="8" s="1"/>
  <c r="BM32" i="12"/>
  <c r="AA110" i="8"/>
  <c r="AB110" i="8" s="1"/>
  <c r="BM72" i="12"/>
  <c r="BE176" i="12"/>
  <c r="BB176" i="12"/>
  <c r="BJ176" i="12"/>
  <c r="AQ176" i="12"/>
  <c r="AQ49" i="12"/>
  <c r="BJ49" i="12"/>
  <c r="BE49" i="12"/>
  <c r="BB49" i="12"/>
  <c r="BK99" i="12"/>
  <c r="BF99" i="12"/>
  <c r="AM192" i="12"/>
  <c r="AK192" i="12"/>
  <c r="AJ151" i="12" l="1"/>
  <c r="AN151" i="12" s="1"/>
  <c r="D208" i="8"/>
  <c r="AK175" i="12"/>
  <c r="BH67" i="12"/>
  <c r="AJ103" i="12"/>
  <c r="AN103" i="12" s="1"/>
  <c r="BF103" i="12" s="1"/>
  <c r="AK37" i="12"/>
  <c r="BH61" i="12"/>
  <c r="AQ123" i="12"/>
  <c r="BH123" i="12" s="1"/>
  <c r="AK123" i="12"/>
  <c r="AK44" i="12"/>
  <c r="AQ44" i="12"/>
  <c r="BH44" i="12" s="1"/>
  <c r="BB123" i="12"/>
  <c r="AA123" i="8" s="1"/>
  <c r="AB123" i="8" s="1"/>
  <c r="BE44" i="12"/>
  <c r="BH194" i="12"/>
  <c r="AQ71" i="12"/>
  <c r="D71" i="8" s="1"/>
  <c r="AI146" i="12"/>
  <c r="AK146" i="12" s="1"/>
  <c r="BB167" i="12"/>
  <c r="AA167" i="8" s="1"/>
  <c r="AB167" i="8" s="1"/>
  <c r="AQ167" i="12"/>
  <c r="D167" i="8" s="1"/>
  <c r="AK167" i="12"/>
  <c r="AI157" i="12"/>
  <c r="AM157" i="12" s="1"/>
  <c r="BE157" i="12" s="1"/>
  <c r="AI198" i="12"/>
  <c r="AM198" i="12" s="1"/>
  <c r="Q298" i="7"/>
  <c r="O276" i="12"/>
  <c r="M279" i="7"/>
  <c r="M298" i="7"/>
  <c r="BF146" i="12"/>
  <c r="BK146" i="12"/>
  <c r="BF151" i="12"/>
  <c r="BK151" i="12"/>
  <c r="AA49" i="8"/>
  <c r="AB49" i="8" s="1"/>
  <c r="D176" i="8"/>
  <c r="BH176" i="12"/>
  <c r="T270" i="7"/>
  <c r="T284" i="7"/>
  <c r="L7" i="7"/>
  <c r="D202" i="8"/>
  <c r="BH202" i="12"/>
  <c r="AA176" i="8"/>
  <c r="AB176" i="8" s="1"/>
  <c r="P129" i="8"/>
  <c r="AA108" i="12"/>
  <c r="AF108" i="12"/>
  <c r="M270" i="7"/>
  <c r="M284" i="7"/>
  <c r="AA210" i="12"/>
  <c r="BF48" i="12"/>
  <c r="BK48" i="12"/>
  <c r="AA71" i="8"/>
  <c r="AB71" i="8" s="1"/>
  <c r="AA135" i="8"/>
  <c r="AB135" i="8" s="1"/>
  <c r="AA202" i="8"/>
  <c r="AB202" i="8" s="1"/>
  <c r="K206" i="8"/>
  <c r="J206" i="8"/>
  <c r="W206" i="8" s="1"/>
  <c r="Q253" i="7"/>
  <c r="Q319" i="7"/>
  <c r="AA189" i="8"/>
  <c r="AB189" i="8" s="1"/>
  <c r="P211" i="8"/>
  <c r="D94" i="8"/>
  <c r="BH94" i="12"/>
  <c r="AA109" i="8"/>
  <c r="AB109" i="8" s="1"/>
  <c r="AF62" i="7"/>
  <c r="AD62" i="7"/>
  <c r="AA17" i="12"/>
  <c r="T251" i="7"/>
  <c r="T300" i="7"/>
  <c r="AA174" i="12"/>
  <c r="AF172" i="12"/>
  <c r="M254" i="7"/>
  <c r="AA140" i="8"/>
  <c r="AB140" i="8" s="1"/>
  <c r="AA132" i="8"/>
  <c r="AB132" i="8" s="1"/>
  <c r="X252" i="7"/>
  <c r="X318" i="7"/>
  <c r="X228" i="7"/>
  <c r="AC139" i="7"/>
  <c r="Q279" i="7"/>
  <c r="O101" i="7"/>
  <c r="S101" i="7"/>
  <c r="Q248" i="7" s="1"/>
  <c r="V101" i="7"/>
  <c r="T248" i="7" s="1"/>
  <c r="Z101" i="7"/>
  <c r="BM85" i="12"/>
  <c r="D148" i="8"/>
  <c r="BH148" i="12"/>
  <c r="AA148" i="8"/>
  <c r="AB148" i="8" s="1"/>
  <c r="M241" i="7"/>
  <c r="M313" i="7"/>
  <c r="T298" i="7"/>
  <c r="AA99" i="8"/>
  <c r="AB99" i="8" s="1"/>
  <c r="Q322" i="7"/>
  <c r="Q258" i="7"/>
  <c r="AA57" i="8"/>
  <c r="AB57" i="8" s="1"/>
  <c r="T280" i="7"/>
  <c r="T237" i="7"/>
  <c r="T311" i="7"/>
  <c r="T297" i="7"/>
  <c r="P53" i="8"/>
  <c r="AA68" i="8"/>
  <c r="AB68" i="8" s="1"/>
  <c r="BM86" i="12"/>
  <c r="D70" i="8"/>
  <c r="BH70" i="12"/>
  <c r="AA182" i="12"/>
  <c r="AF182" i="12"/>
  <c r="AA46" i="8"/>
  <c r="AB46" i="8" s="1"/>
  <c r="BJ175" i="12"/>
  <c r="BE175" i="12"/>
  <c r="AQ175" i="12"/>
  <c r="BB175" i="12"/>
  <c r="O307" i="12"/>
  <c r="AA156" i="8"/>
  <c r="AB156" i="8" s="1"/>
  <c r="O222" i="12"/>
  <c r="O8" i="12" s="1"/>
  <c r="AA177" i="8"/>
  <c r="AB177" i="8" s="1"/>
  <c r="AA24" i="12"/>
  <c r="AF24" i="12"/>
  <c r="M238" i="7"/>
  <c r="AM160" i="12"/>
  <c r="AK160" i="12"/>
  <c r="D54" i="8"/>
  <c r="BH54" i="12"/>
  <c r="AA52" i="8"/>
  <c r="AB52" i="8" s="1"/>
  <c r="AA136" i="8"/>
  <c r="AB136" i="8" s="1"/>
  <c r="BM105" i="12"/>
  <c r="AM151" i="12"/>
  <c r="AK151" i="12"/>
  <c r="AA124" i="8"/>
  <c r="AB124" i="8" s="1"/>
  <c r="AM20" i="12"/>
  <c r="AK20" i="12"/>
  <c r="AA90" i="8"/>
  <c r="AB90" i="8" s="1"/>
  <c r="X303" i="7"/>
  <c r="AC143" i="7"/>
  <c r="D69" i="8"/>
  <c r="BH69" i="12"/>
  <c r="AC65" i="7"/>
  <c r="AD243" i="7" s="1"/>
  <c r="D178" i="8"/>
  <c r="BH178" i="12"/>
  <c r="O209" i="7"/>
  <c r="M257" i="7" s="1"/>
  <c r="S209" i="7"/>
  <c r="Q257" i="7" s="1"/>
  <c r="V209" i="7"/>
  <c r="T257" i="7" s="1"/>
  <c r="Z209" i="7"/>
  <c r="Q247" i="7"/>
  <c r="Q316" i="7"/>
  <c r="K91" i="8"/>
  <c r="J91" i="8"/>
  <c r="W91" i="8" s="1"/>
  <c r="J216" i="8"/>
  <c r="W216" i="8" s="1"/>
  <c r="K216" i="8"/>
  <c r="BM127" i="12"/>
  <c r="M267" i="7"/>
  <c r="M294" i="7"/>
  <c r="M236" i="7"/>
  <c r="M281" i="7"/>
  <c r="M271" i="7"/>
  <c r="M282" i="7"/>
  <c r="M295" i="7"/>
  <c r="M269" i="7"/>
  <c r="BM61" i="12"/>
  <c r="D104" i="8"/>
  <c r="BH104" i="12"/>
  <c r="AA104" i="8"/>
  <c r="AB104" i="8" s="1"/>
  <c r="BM196" i="12"/>
  <c r="BJ157" i="12"/>
  <c r="AA179" i="8"/>
  <c r="AB179" i="8" s="1"/>
  <c r="K119" i="8"/>
  <c r="J119" i="8"/>
  <c r="W119" i="8" s="1"/>
  <c r="D173" i="8"/>
  <c r="BH173" i="12"/>
  <c r="D75" i="8"/>
  <c r="BH75" i="12"/>
  <c r="K115" i="8"/>
  <c r="J115" i="8"/>
  <c r="W115" i="8" s="1"/>
  <c r="P51" i="8"/>
  <c r="AM43" i="12"/>
  <c r="AK43" i="12"/>
  <c r="L16" i="12"/>
  <c r="S16" i="12"/>
  <c r="K16" i="12"/>
  <c r="M244" i="7"/>
  <c r="M314" i="7"/>
  <c r="M227" i="7"/>
  <c r="AA97" i="8"/>
  <c r="AB97" i="8" s="1"/>
  <c r="M239" i="7"/>
  <c r="M312" i="7"/>
  <c r="M265" i="7"/>
  <c r="AA23" i="12"/>
  <c r="AF23" i="12"/>
  <c r="D125" i="8"/>
  <c r="BH125" i="12"/>
  <c r="P161" i="8"/>
  <c r="D64" i="8"/>
  <c r="BH64" i="12"/>
  <c r="P72" i="8"/>
  <c r="J110" i="8"/>
  <c r="W110" i="8" s="1"/>
  <c r="K110" i="8"/>
  <c r="AA100" i="12"/>
  <c r="AF100" i="12"/>
  <c r="D131" i="8"/>
  <c r="BH131" i="12"/>
  <c r="L6" i="31"/>
  <c r="D98" i="8"/>
  <c r="BH98" i="12"/>
  <c r="BM218" i="12"/>
  <c r="BM205" i="12"/>
  <c r="Q250" i="7"/>
  <c r="Q317" i="7"/>
  <c r="X321" i="7"/>
  <c r="X256" i="7"/>
  <c r="AC182" i="7"/>
  <c r="T113" i="8"/>
  <c r="P190" i="8"/>
  <c r="AA35" i="8"/>
  <c r="AB35" i="8" s="1"/>
  <c r="Q272" i="7"/>
  <c r="Q285" i="7"/>
  <c r="BM184" i="12"/>
  <c r="M287" i="7"/>
  <c r="AA50" i="8"/>
  <c r="AB50" i="8" s="1"/>
  <c r="X268" i="7"/>
  <c r="X245" i="7"/>
  <c r="X315" i="7"/>
  <c r="AC80" i="7"/>
  <c r="BM45" i="12"/>
  <c r="BJ165" i="12"/>
  <c r="BE165" i="12"/>
  <c r="AQ165" i="12"/>
  <c r="BB165" i="12"/>
  <c r="T283" i="7"/>
  <c r="AA150" i="8"/>
  <c r="AB150" i="8" s="1"/>
  <c r="Q266" i="7"/>
  <c r="D207" i="8"/>
  <c r="BH207" i="12"/>
  <c r="AA147" i="8"/>
  <c r="AB147" i="8" s="1"/>
  <c r="T185" i="8"/>
  <c r="M296" i="7"/>
  <c r="M286" i="7"/>
  <c r="M268" i="7"/>
  <c r="J194" i="8"/>
  <c r="W194" i="8" s="1"/>
  <c r="K194" i="8"/>
  <c r="AA193" i="8"/>
  <c r="AB193" i="8" s="1"/>
  <c r="D135" i="8"/>
  <c r="BH135" i="12"/>
  <c r="AF102" i="12"/>
  <c r="AA102" i="12"/>
  <c r="M253" i="7"/>
  <c r="M319" i="7"/>
  <c r="M229" i="7"/>
  <c r="D141" i="8"/>
  <c r="BH141" i="12"/>
  <c r="P133" i="8"/>
  <c r="Q251" i="7"/>
  <c r="Q300" i="7"/>
  <c r="X255" i="7"/>
  <c r="AC174" i="7"/>
  <c r="BM25" i="12"/>
  <c r="X254" i="7"/>
  <c r="X320" i="7"/>
  <c r="AC172" i="7"/>
  <c r="T252" i="7"/>
  <c r="T228" i="7"/>
  <c r="T318" i="7"/>
  <c r="X101" i="12"/>
  <c r="D166" i="8"/>
  <c r="BH166" i="12"/>
  <c r="D154" i="8"/>
  <c r="BH154" i="12"/>
  <c r="J60" i="8"/>
  <c r="W60" i="8" s="1"/>
  <c r="K60" i="8"/>
  <c r="BM83" i="12"/>
  <c r="AA81" i="12"/>
  <c r="AF81" i="12"/>
  <c r="X313" i="7"/>
  <c r="X241" i="7"/>
  <c r="AC55" i="7"/>
  <c r="AA181" i="8"/>
  <c r="AB181" i="8" s="1"/>
  <c r="AA126" i="8"/>
  <c r="AB126" i="8" s="1"/>
  <c r="M322" i="7"/>
  <c r="M258" i="7"/>
  <c r="AA74" i="8"/>
  <c r="AB74" i="8" s="1"/>
  <c r="D74" i="8"/>
  <c r="BH74" i="12"/>
  <c r="D197" i="8"/>
  <c r="BH197" i="12"/>
  <c r="AF80" i="12"/>
  <c r="Q273" i="7"/>
  <c r="Q280" i="7"/>
  <c r="Q311" i="7"/>
  <c r="Q297" i="7"/>
  <c r="Q237" i="7"/>
  <c r="BM208" i="12"/>
  <c r="D68" i="8"/>
  <c r="BH68" i="12"/>
  <c r="AA120" i="12"/>
  <c r="AF120" i="12"/>
  <c r="AA70" i="8"/>
  <c r="AB70" i="8" s="1"/>
  <c r="D46" i="8"/>
  <c r="BH46" i="12"/>
  <c r="J214" i="8"/>
  <c r="W214" i="8" s="1"/>
  <c r="K214" i="8"/>
  <c r="X259" i="7"/>
  <c r="AC213" i="7"/>
  <c r="BM199" i="12"/>
  <c r="R17" i="30"/>
  <c r="R18" i="30" s="1"/>
  <c r="R19" i="30" s="1"/>
  <c r="R20" i="30" s="1"/>
  <c r="R23" i="30" s="1"/>
  <c r="X238" i="7"/>
  <c r="AC24" i="7"/>
  <c r="BK160" i="12"/>
  <c r="BF160" i="12"/>
  <c r="K105" i="8"/>
  <c r="J105" i="8"/>
  <c r="W105" i="8" s="1"/>
  <c r="J220" i="8"/>
  <c r="W220" i="8" s="1"/>
  <c r="K220" i="8"/>
  <c r="T186" i="8"/>
  <c r="AA153" i="8"/>
  <c r="AB153" i="8" s="1"/>
  <c r="D124" i="8"/>
  <c r="BH124" i="12"/>
  <c r="AM42" i="12"/>
  <c r="AK42" i="12"/>
  <c r="AA159" i="8"/>
  <c r="AB159" i="8" s="1"/>
  <c r="AF41" i="12"/>
  <c r="BM93" i="12"/>
  <c r="T243" i="7"/>
  <c r="P138" i="8"/>
  <c r="BM219" i="12"/>
  <c r="X209" i="12"/>
  <c r="AF209" i="12"/>
  <c r="M247" i="7"/>
  <c r="AA111" i="8"/>
  <c r="AB111" i="8" s="1"/>
  <c r="X267" i="7"/>
  <c r="AC27" i="7"/>
  <c r="BM95" i="12"/>
  <c r="AA171" i="12"/>
  <c r="AF171" i="12"/>
  <c r="D87" i="8"/>
  <c r="BH87" i="12"/>
  <c r="X294" i="7"/>
  <c r="X236" i="7"/>
  <c r="X271" i="7"/>
  <c r="X281" i="7"/>
  <c r="AC14" i="7"/>
  <c r="X295" i="7"/>
  <c r="X282" i="7"/>
  <c r="AC15" i="7"/>
  <c r="X269" i="7"/>
  <c r="AC17" i="7"/>
  <c r="J61" i="8"/>
  <c r="W61" i="8" s="1"/>
  <c r="K61" i="8"/>
  <c r="BK157" i="12"/>
  <c r="BF157" i="12"/>
  <c r="AA158" i="8"/>
  <c r="AB158" i="8" s="1"/>
  <c r="AA75" i="8"/>
  <c r="AB75" i="8" s="1"/>
  <c r="D191" i="8"/>
  <c r="BH191" i="12"/>
  <c r="AA191" i="8"/>
  <c r="AB191" i="8" s="1"/>
  <c r="P92" i="8"/>
  <c r="AI16" i="7"/>
  <c r="AN16" i="7"/>
  <c r="X244" i="7"/>
  <c r="X314" i="7"/>
  <c r="X227" i="7"/>
  <c r="AC78" i="7"/>
  <c r="L231" i="7"/>
  <c r="X312" i="7"/>
  <c r="X239" i="7"/>
  <c r="X265" i="7"/>
  <c r="AC30" i="7"/>
  <c r="L275" i="7"/>
  <c r="X240" i="7"/>
  <c r="AC33" i="7"/>
  <c r="K118" i="8"/>
  <c r="J118" i="8"/>
  <c r="W118" i="8" s="1"/>
  <c r="AA98" i="8"/>
  <c r="AB98" i="8" s="1"/>
  <c r="J218" i="8"/>
  <c r="W218" i="8" s="1"/>
  <c r="K218" i="8"/>
  <c r="AF65" i="12"/>
  <c r="AA65" i="12"/>
  <c r="J205" i="8"/>
  <c r="W205" i="8" s="1"/>
  <c r="K205" i="8"/>
  <c r="BB217" i="12"/>
  <c r="BJ217" i="12"/>
  <c r="BE217" i="12"/>
  <c r="AQ217" i="12"/>
  <c r="T321" i="7"/>
  <c r="T256" i="7"/>
  <c r="AA201" i="8"/>
  <c r="AB201" i="8" s="1"/>
  <c r="D89" i="8"/>
  <c r="BH89" i="12"/>
  <c r="M272" i="7"/>
  <c r="M285" i="7"/>
  <c r="J184" i="8"/>
  <c r="W184" i="8" s="1"/>
  <c r="K184" i="8"/>
  <c r="X287" i="7"/>
  <c r="AC31" i="7"/>
  <c r="BE106" i="12"/>
  <c r="BB106" i="12"/>
  <c r="BJ106" i="12"/>
  <c r="AQ106" i="12"/>
  <c r="AA44" i="8"/>
  <c r="AB44" i="8" s="1"/>
  <c r="J67" i="8"/>
  <c r="W67" i="8" s="1"/>
  <c r="K67" i="8"/>
  <c r="D212" i="8"/>
  <c r="BH212" i="12"/>
  <c r="D50" i="8"/>
  <c r="BH50" i="12"/>
  <c r="T268" i="7"/>
  <c r="T245" i="7"/>
  <c r="T315" i="7"/>
  <c r="J45" i="8"/>
  <c r="W45" i="8" s="1"/>
  <c r="K45" i="8"/>
  <c r="AF19" i="7"/>
  <c r="AD19" i="7"/>
  <c r="N232" i="12"/>
  <c r="AA155" i="8"/>
  <c r="AB155" i="8" s="1"/>
  <c r="Q283" i="7"/>
  <c r="M266" i="7"/>
  <c r="AA207" i="8"/>
  <c r="AB207" i="8" s="1"/>
  <c r="D147" i="8"/>
  <c r="BH147" i="12"/>
  <c r="AC18" i="7"/>
  <c r="X286" i="7"/>
  <c r="X296" i="7"/>
  <c r="L306" i="7"/>
  <c r="N290" i="12"/>
  <c r="D200" i="8"/>
  <c r="BH200" i="12"/>
  <c r="BJ187" i="12"/>
  <c r="AQ187" i="12"/>
  <c r="BE187" i="12"/>
  <c r="BB187" i="12"/>
  <c r="BM137" i="12"/>
  <c r="X253" i="7"/>
  <c r="X319" i="7"/>
  <c r="X229" i="7"/>
  <c r="AC171" i="7"/>
  <c r="AA141" i="8"/>
  <c r="AB141" i="8" s="1"/>
  <c r="AA94" i="8"/>
  <c r="AB94" i="8" s="1"/>
  <c r="D109" i="8"/>
  <c r="BH109" i="12"/>
  <c r="M317" i="7"/>
  <c r="M251" i="7"/>
  <c r="M300" i="7"/>
  <c r="T229" i="7"/>
  <c r="T254" i="7"/>
  <c r="T320" i="7"/>
  <c r="D140" i="8"/>
  <c r="BH140" i="12"/>
  <c r="AQ130" i="12"/>
  <c r="BE130" i="12"/>
  <c r="BJ130" i="12"/>
  <c r="BB130" i="12"/>
  <c r="Q318" i="7"/>
  <c r="Q252" i="7"/>
  <c r="Q228" i="7"/>
  <c r="X279" i="7"/>
  <c r="AC38" i="7"/>
  <c r="AA166" i="8"/>
  <c r="AB166" i="8" s="1"/>
  <c r="AA154" i="8"/>
  <c r="AB154" i="8" s="1"/>
  <c r="D47" i="8"/>
  <c r="BH47" i="12"/>
  <c r="J85" i="8"/>
  <c r="W85" i="8" s="1"/>
  <c r="K85" i="8"/>
  <c r="K83" i="8"/>
  <c r="J83" i="8"/>
  <c r="W83" i="8" s="1"/>
  <c r="BM188" i="12"/>
  <c r="T241" i="7"/>
  <c r="T313" i="7"/>
  <c r="D181" i="8"/>
  <c r="BH181" i="12"/>
  <c r="BM121" i="12"/>
  <c r="D99" i="8"/>
  <c r="BH99" i="12"/>
  <c r="D149" i="8"/>
  <c r="BH149" i="12"/>
  <c r="AM112" i="12"/>
  <c r="AK112" i="12"/>
  <c r="X322" i="7"/>
  <c r="X258" i="7"/>
  <c r="AC210" i="7"/>
  <c r="AA77" i="8"/>
  <c r="AB77" i="8" s="1"/>
  <c r="M273" i="7"/>
  <c r="M237" i="7"/>
  <c r="M311" i="7"/>
  <c r="M280" i="7"/>
  <c r="M297" i="7"/>
  <c r="X249" i="7"/>
  <c r="AC102" i="7"/>
  <c r="J86" i="8"/>
  <c r="W86" i="8" s="1"/>
  <c r="K86" i="8"/>
  <c r="P203" i="8"/>
  <c r="AA144" i="12"/>
  <c r="J199" i="8"/>
  <c r="W199" i="8" s="1"/>
  <c r="K199" i="8"/>
  <c r="AQ39" i="12"/>
  <c r="BJ39" i="12"/>
  <c r="BB39" i="12"/>
  <c r="BE39" i="12"/>
  <c r="X301" i="7"/>
  <c r="AC128" i="7"/>
  <c r="T238" i="7"/>
  <c r="D134" i="8"/>
  <c r="BH134" i="12"/>
  <c r="D28" i="8"/>
  <c r="BH28" i="12"/>
  <c r="D117" i="8"/>
  <c r="BH117" i="12"/>
  <c r="D153" i="8"/>
  <c r="BH153" i="12"/>
  <c r="BK42" i="12"/>
  <c r="BF42" i="12"/>
  <c r="D159" i="8"/>
  <c r="BH159" i="12"/>
  <c r="D183" i="8"/>
  <c r="BH183" i="12"/>
  <c r="N307" i="12"/>
  <c r="K93" i="8"/>
  <c r="J93" i="8"/>
  <c r="W93" i="8" s="1"/>
  <c r="Q243" i="7"/>
  <c r="AA178" i="8"/>
  <c r="AB178" i="8" s="1"/>
  <c r="X247" i="7"/>
  <c r="AC100" i="7"/>
  <c r="BM91" i="12"/>
  <c r="P107" i="8"/>
  <c r="P58" i="8"/>
  <c r="D111" i="8"/>
  <c r="BH111" i="12"/>
  <c r="AM103" i="12"/>
  <c r="T267" i="7"/>
  <c r="T236" i="7"/>
  <c r="T294" i="7"/>
  <c r="T271" i="7"/>
  <c r="T281" i="7"/>
  <c r="T282" i="7"/>
  <c r="T295" i="7"/>
  <c r="D34" i="8"/>
  <c r="BH34" i="12"/>
  <c r="AK29" i="12"/>
  <c r="AN29" i="12"/>
  <c r="AQ29" i="12" s="1"/>
  <c r="T269" i="7"/>
  <c r="K196" i="8"/>
  <c r="J196" i="8"/>
  <c r="W196" i="8" s="1"/>
  <c r="X304" i="7"/>
  <c r="AC144" i="7"/>
  <c r="AA215" i="8"/>
  <c r="AB215" i="8" s="1"/>
  <c r="V4" i="12"/>
  <c r="V5" i="12"/>
  <c r="AA114" i="8"/>
  <c r="AB114" i="8" s="1"/>
  <c r="AJ162" i="12"/>
  <c r="AN162" i="12" s="1"/>
  <c r="AI162" i="12"/>
  <c r="AA84" i="8"/>
  <c r="AB84" i="8" s="1"/>
  <c r="D73" i="8"/>
  <c r="BH73" i="12"/>
  <c r="T244" i="7"/>
  <c r="T314" i="7"/>
  <c r="T227" i="7"/>
  <c r="AA79" i="8"/>
  <c r="AB79" i="8" s="1"/>
  <c r="T312" i="7"/>
  <c r="T239" i="7"/>
  <c r="T265" i="7"/>
  <c r="AA170" i="8"/>
  <c r="AB170" i="8" s="1"/>
  <c r="BM59" i="12"/>
  <c r="AA64" i="8"/>
  <c r="AB64" i="8" s="1"/>
  <c r="BM110" i="12"/>
  <c r="D116" i="8"/>
  <c r="BH116" i="12"/>
  <c r="N325" i="12"/>
  <c r="AA131" i="8"/>
  <c r="AB131" i="8" s="1"/>
  <c r="AA82" i="8"/>
  <c r="AB82" i="8" s="1"/>
  <c r="X250" i="7"/>
  <c r="X317" i="7"/>
  <c r="AC120" i="7"/>
  <c r="Q256" i="7"/>
  <c r="Q321" i="7"/>
  <c r="D201" i="8"/>
  <c r="BH201" i="12"/>
  <c r="D35" i="8"/>
  <c r="BH35" i="12"/>
  <c r="AA89" i="8"/>
  <c r="AB89" i="8" s="1"/>
  <c r="X272" i="7"/>
  <c r="X285" i="7"/>
  <c r="AC13" i="7"/>
  <c r="T287" i="7"/>
  <c r="BE145" i="12"/>
  <c r="BB145" i="12"/>
  <c r="BJ145" i="12"/>
  <c r="AQ145" i="12"/>
  <c r="AA212" i="8"/>
  <c r="AB212" i="8" s="1"/>
  <c r="X246" i="7"/>
  <c r="AC81" i="7"/>
  <c r="Y209" i="12"/>
  <c r="O290" i="12"/>
  <c r="D40" i="8"/>
  <c r="BH40" i="12"/>
  <c r="AA40" i="8"/>
  <c r="AB40" i="8" s="1"/>
  <c r="Q268" i="7"/>
  <c r="Q245" i="7"/>
  <c r="Q315" i="7"/>
  <c r="AI164" i="12"/>
  <c r="AJ164" i="12"/>
  <c r="AN164" i="12" s="1"/>
  <c r="T273" i="7"/>
  <c r="M283" i="7"/>
  <c r="D150" i="8"/>
  <c r="BH150" i="12"/>
  <c r="X266" i="7"/>
  <c r="AC41" i="7"/>
  <c r="T286" i="7"/>
  <c r="T296" i="7"/>
  <c r="BM194" i="12"/>
  <c r="AA200" i="8"/>
  <c r="AB200" i="8" s="1"/>
  <c r="N276" i="12"/>
  <c r="X270" i="7"/>
  <c r="X284" i="7"/>
  <c r="AC12" i="7"/>
  <c r="D49" i="8"/>
  <c r="BH49" i="12"/>
  <c r="BM206" i="12"/>
  <c r="AA163" i="8"/>
  <c r="AB163" i="8" s="1"/>
  <c r="BB192" i="12"/>
  <c r="BE192" i="12"/>
  <c r="AQ192" i="12"/>
  <c r="BJ192" i="12"/>
  <c r="Q270" i="7"/>
  <c r="Q284" i="7"/>
  <c r="L324" i="7"/>
  <c r="AM48" i="12"/>
  <c r="AK48" i="12"/>
  <c r="D193" i="8"/>
  <c r="BH193" i="12"/>
  <c r="BK103" i="12"/>
  <c r="J137" i="8"/>
  <c r="W137" i="8" s="1"/>
  <c r="K137" i="8"/>
  <c r="T319" i="7"/>
  <c r="T253" i="7"/>
  <c r="D163" i="8"/>
  <c r="BH163" i="12"/>
  <c r="D189" i="8"/>
  <c r="BH189" i="12"/>
  <c r="AJ36" i="12"/>
  <c r="AN36" i="12" s="1"/>
  <c r="AI36" i="12"/>
  <c r="X251" i="7"/>
  <c r="X300" i="7"/>
  <c r="AC122" i="7"/>
  <c r="J25" i="8"/>
  <c r="W25" i="8" s="1"/>
  <c r="K25" i="8"/>
  <c r="Q229" i="7"/>
  <c r="Q320" i="7"/>
  <c r="Q254" i="7"/>
  <c r="BH132" i="12"/>
  <c r="D132" i="8"/>
  <c r="M318" i="7"/>
  <c r="M228" i="7"/>
  <c r="M252" i="7"/>
  <c r="T279" i="7"/>
  <c r="AF101" i="12"/>
  <c r="AA47" i="8"/>
  <c r="AB47" i="8" s="1"/>
  <c r="BM60" i="12"/>
  <c r="J188" i="8"/>
  <c r="W188" i="8" s="1"/>
  <c r="K188" i="8"/>
  <c r="Q313" i="7"/>
  <c r="Q241" i="7"/>
  <c r="X298" i="7"/>
  <c r="AC23" i="7"/>
  <c r="J121" i="8"/>
  <c r="W121" i="8" s="1"/>
  <c r="K121" i="8"/>
  <c r="D126" i="8"/>
  <c r="BH126" i="12"/>
  <c r="AA149" i="8"/>
  <c r="AB149" i="8" s="1"/>
  <c r="BK112" i="12"/>
  <c r="BF112" i="12"/>
  <c r="Y101" i="12"/>
  <c r="O262" i="12"/>
  <c r="X12" i="12"/>
  <c r="W12" i="12"/>
  <c r="U5" i="12"/>
  <c r="U4" i="12"/>
  <c r="T322" i="7"/>
  <c r="T258" i="7"/>
  <c r="D77" i="8"/>
  <c r="BH77" i="12"/>
  <c r="BF71" i="12"/>
  <c r="BK71" i="12"/>
  <c r="AA197" i="8"/>
  <c r="AB197" i="8" s="1"/>
  <c r="D57" i="8"/>
  <c r="BH57" i="12"/>
  <c r="AF22" i="12"/>
  <c r="X273" i="7"/>
  <c r="X280" i="7"/>
  <c r="X237" i="7"/>
  <c r="X297" i="7"/>
  <c r="X311" i="7"/>
  <c r="AC22" i="7"/>
  <c r="J208" i="8"/>
  <c r="W208" i="8" s="1"/>
  <c r="K208" i="8"/>
  <c r="BK198" i="12"/>
  <c r="BF198" i="12"/>
  <c r="AA180" i="8"/>
  <c r="AB180" i="8" s="1"/>
  <c r="D180" i="8"/>
  <c r="BH180" i="12"/>
  <c r="AJ195" i="12"/>
  <c r="AN195" i="12" s="1"/>
  <c r="AI195" i="12"/>
  <c r="BM214" i="12"/>
  <c r="AA63" i="8"/>
  <c r="AB63" i="8" s="1"/>
  <c r="D63" i="8"/>
  <c r="BH63" i="12"/>
  <c r="D156" i="8"/>
  <c r="BH156" i="12"/>
  <c r="BE88" i="12"/>
  <c r="BJ88" i="12"/>
  <c r="BB88" i="12"/>
  <c r="AQ88" i="12"/>
  <c r="O232" i="12"/>
  <c r="AC26" i="7"/>
  <c r="D177" i="8"/>
  <c r="BH177" i="12"/>
  <c r="Q238" i="7"/>
  <c r="AA134" i="8"/>
  <c r="AB134" i="8" s="1"/>
  <c r="AA28" i="8"/>
  <c r="AB28" i="8" s="1"/>
  <c r="AA117" i="8"/>
  <c r="AB117" i="8" s="1"/>
  <c r="AA54" i="8"/>
  <c r="AB54" i="8" s="1"/>
  <c r="D52" i="8"/>
  <c r="BH52" i="12"/>
  <c r="D136" i="8"/>
  <c r="BH136" i="12"/>
  <c r="BM220" i="12"/>
  <c r="BE169" i="12"/>
  <c r="BJ169" i="12"/>
  <c r="AQ169" i="12"/>
  <c r="BB169" i="12"/>
  <c r="N262" i="12"/>
  <c r="BK20" i="12"/>
  <c r="BF20" i="12"/>
  <c r="X302" i="7"/>
  <c r="AC142" i="7"/>
  <c r="D90" i="8"/>
  <c r="BH90" i="12"/>
  <c r="AA183" i="8"/>
  <c r="AB183" i="8" s="1"/>
  <c r="AA69" i="8"/>
  <c r="AB69" i="8" s="1"/>
  <c r="M243" i="7"/>
  <c r="K219" i="8"/>
  <c r="J219" i="8"/>
  <c r="W219" i="8" s="1"/>
  <c r="T247" i="7"/>
  <c r="T316" i="7"/>
  <c r="X299" i="7"/>
  <c r="AC108" i="7"/>
  <c r="AA33" i="12"/>
  <c r="BM216" i="12"/>
  <c r="K127" i="8"/>
  <c r="J127" i="8"/>
  <c r="W127" i="8" s="1"/>
  <c r="Q267" i="7"/>
  <c r="J95" i="8"/>
  <c r="W95" i="8" s="1"/>
  <c r="K95" i="8"/>
  <c r="BB37" i="12"/>
  <c r="AQ37" i="12"/>
  <c r="BE37" i="12"/>
  <c r="BJ37" i="12"/>
  <c r="AA87" i="8"/>
  <c r="AB87" i="8" s="1"/>
  <c r="Q236" i="7"/>
  <c r="Q294" i="7"/>
  <c r="Q281" i="7"/>
  <c r="Q271" i="7"/>
  <c r="Q282" i="7"/>
  <c r="Q295" i="7"/>
  <c r="AA34" i="8"/>
  <c r="AB34" i="8" s="1"/>
  <c r="BE29" i="12"/>
  <c r="BJ29" i="12"/>
  <c r="X242" i="7"/>
  <c r="AC56" i="7"/>
  <c r="Q269" i="7"/>
  <c r="D179" i="8"/>
  <c r="BH179" i="12"/>
  <c r="BM119" i="12"/>
  <c r="D215" i="8"/>
  <c r="BH215" i="12"/>
  <c r="AA173" i="8"/>
  <c r="AB173" i="8" s="1"/>
  <c r="D114" i="8"/>
  <c r="BH114" i="12"/>
  <c r="BB66" i="12"/>
  <c r="AQ66" i="12"/>
  <c r="BJ66" i="12"/>
  <c r="BE66" i="12"/>
  <c r="D158" i="8"/>
  <c r="BH158" i="12"/>
  <c r="P76" i="8"/>
  <c r="D84" i="8"/>
  <c r="BH84" i="12"/>
  <c r="AA73" i="8"/>
  <c r="AB73" i="8" s="1"/>
  <c r="BM115" i="12"/>
  <c r="BK43" i="12"/>
  <c r="BF43" i="12"/>
  <c r="D152" i="8"/>
  <c r="BH152" i="12"/>
  <c r="AA152" i="8"/>
  <c r="AB152" i="8" s="1"/>
  <c r="Q314" i="7"/>
  <c r="Q244" i="7"/>
  <c r="Q227" i="7"/>
  <c r="D97" i="8"/>
  <c r="BH97" i="12"/>
  <c r="D79" i="8"/>
  <c r="BH79" i="12"/>
  <c r="Q239" i="7"/>
  <c r="Q312" i="7"/>
  <c r="Q265" i="7"/>
  <c r="L261" i="7"/>
  <c r="AA125" i="8"/>
  <c r="AB125" i="8" s="1"/>
  <c r="D170" i="8"/>
  <c r="BH170" i="12"/>
  <c r="J59" i="8"/>
  <c r="W59" i="8" s="1"/>
  <c r="K59" i="8"/>
  <c r="AA116" i="8"/>
  <c r="AB116" i="8" s="1"/>
  <c r="P32" i="8"/>
  <c r="N222" i="12"/>
  <c r="N8" i="12" s="1"/>
  <c r="D82" i="8"/>
  <c r="BH82" i="12"/>
  <c r="S25" i="30"/>
  <c r="BM118" i="12"/>
  <c r="T250" i="7"/>
  <c r="T317" i="7"/>
  <c r="M256" i="7"/>
  <c r="M321" i="7"/>
  <c r="P96" i="8"/>
  <c r="T272" i="7"/>
  <c r="T285" i="7"/>
  <c r="Q287" i="7"/>
  <c r="BM67" i="12"/>
  <c r="M245" i="7"/>
  <c r="M315" i="7"/>
  <c r="D155" i="8"/>
  <c r="BH155" i="12"/>
  <c r="D168" i="8"/>
  <c r="BH168" i="12"/>
  <c r="AA168" i="8"/>
  <c r="AB168" i="8" s="1"/>
  <c r="X283" i="7"/>
  <c r="AC21" i="7"/>
  <c r="L289" i="7"/>
  <c r="T266" i="7"/>
  <c r="P204" i="8"/>
  <c r="Q296" i="7"/>
  <c r="Q286" i="7"/>
  <c r="O325" i="12"/>
  <c r="AK103" i="12" l="1"/>
  <c r="AM146" i="12"/>
  <c r="BE146" i="12" s="1"/>
  <c r="D123" i="8"/>
  <c r="BB157" i="12"/>
  <c r="AA157" i="8" s="1"/>
  <c r="AB157" i="8" s="1"/>
  <c r="D44" i="8"/>
  <c r="J44" i="8" s="1"/>
  <c r="W44" i="8" s="1"/>
  <c r="BH71" i="12"/>
  <c r="Z222" i="7"/>
  <c r="X222" i="7" s="1"/>
  <c r="X8" i="7" s="1"/>
  <c r="BH167" i="12"/>
  <c r="AK157" i="12"/>
  <c r="BB29" i="12"/>
  <c r="AA29" i="8" s="1"/>
  <c r="AB29" i="8" s="1"/>
  <c r="AQ157" i="12"/>
  <c r="BH157" i="12" s="1"/>
  <c r="AK198" i="12"/>
  <c r="S222" i="7"/>
  <c r="S8" i="7" s="1"/>
  <c r="R25" i="30"/>
  <c r="AD273" i="7"/>
  <c r="J168" i="8"/>
  <c r="W168" i="8" s="1"/>
  <c r="K168" i="8"/>
  <c r="J97" i="8"/>
  <c r="W97" i="8" s="1"/>
  <c r="K97" i="8"/>
  <c r="BM136" i="12"/>
  <c r="BM177" i="12"/>
  <c r="BM156" i="12"/>
  <c r="P208" i="8"/>
  <c r="K57" i="8"/>
  <c r="J57" i="8"/>
  <c r="W57" i="8" s="1"/>
  <c r="K77" i="8"/>
  <c r="J77" i="8"/>
  <c r="W77" i="8" s="1"/>
  <c r="BM126" i="12"/>
  <c r="P121" i="8"/>
  <c r="AM36" i="12"/>
  <c r="AK36" i="12"/>
  <c r="K189" i="8"/>
  <c r="J189" i="8"/>
  <c r="W189" i="8" s="1"/>
  <c r="P137" i="8"/>
  <c r="BM193" i="12"/>
  <c r="BM71" i="12"/>
  <c r="BB48" i="12"/>
  <c r="BE48" i="12"/>
  <c r="AQ48" i="12"/>
  <c r="BJ48" i="12"/>
  <c r="Q310" i="7"/>
  <c r="S324" i="7"/>
  <c r="Q324" i="7" s="1"/>
  <c r="BM49" i="12"/>
  <c r="BM150" i="12"/>
  <c r="BM40" i="12"/>
  <c r="K44" i="8"/>
  <c r="BM35" i="12"/>
  <c r="J111" i="8"/>
  <c r="W111" i="8" s="1"/>
  <c r="K111" i="8"/>
  <c r="T107" i="8"/>
  <c r="J183" i="8"/>
  <c r="W183" i="8" s="1"/>
  <c r="K183" i="8"/>
  <c r="K153" i="8"/>
  <c r="J153" i="8"/>
  <c r="W153" i="8" s="1"/>
  <c r="BM117" i="12"/>
  <c r="J28" i="8"/>
  <c r="W28" i="8" s="1"/>
  <c r="K28" i="8"/>
  <c r="BM134" i="12"/>
  <c r="AF128" i="7"/>
  <c r="AD301" i="7"/>
  <c r="AD128" i="7"/>
  <c r="BM149" i="12"/>
  <c r="BM99" i="12"/>
  <c r="BM181" i="12"/>
  <c r="J47" i="8"/>
  <c r="W47" i="8" s="1"/>
  <c r="K47" i="8"/>
  <c r="BM109" i="12"/>
  <c r="AD319" i="7"/>
  <c r="AD253" i="7"/>
  <c r="AF171" i="7"/>
  <c r="AD171" i="7"/>
  <c r="D187" i="8"/>
  <c r="BH187" i="12"/>
  <c r="AF18" i="7"/>
  <c r="AD18" i="7"/>
  <c r="AD286" i="7"/>
  <c r="AD268" i="7"/>
  <c r="BM147" i="12"/>
  <c r="BM50" i="12"/>
  <c r="K212" i="8"/>
  <c r="J212" i="8"/>
  <c r="W212" i="8" s="1"/>
  <c r="P67" i="8"/>
  <c r="K123" i="8"/>
  <c r="J123" i="8"/>
  <c r="W123" i="8" s="1"/>
  <c r="AA106" i="8"/>
  <c r="AB106" i="8" s="1"/>
  <c r="K89" i="8"/>
  <c r="J89" i="8"/>
  <c r="W89" i="8" s="1"/>
  <c r="G16" i="12"/>
  <c r="AD269" i="7"/>
  <c r="AD17" i="7"/>
  <c r="AF17" i="7"/>
  <c r="AD282" i="7"/>
  <c r="AD295" i="7"/>
  <c r="AF15" i="7"/>
  <c r="AD15" i="7"/>
  <c r="X186" i="8"/>
  <c r="BM46" i="12"/>
  <c r="J154" i="8"/>
  <c r="W154" i="8" s="1"/>
  <c r="K154" i="8"/>
  <c r="K141" i="8"/>
  <c r="J141" i="8"/>
  <c r="W141" i="8" s="1"/>
  <c r="X113" i="8"/>
  <c r="BM131" i="12"/>
  <c r="BM125" i="12"/>
  <c r="J104" i="8"/>
  <c r="W104" i="8" s="1"/>
  <c r="K104" i="8"/>
  <c r="BM178" i="12"/>
  <c r="J69" i="8"/>
  <c r="W69" i="8" s="1"/>
  <c r="K69" i="8"/>
  <c r="BM54" i="12"/>
  <c r="D175" i="8"/>
  <c r="BH175" i="12"/>
  <c r="K148" i="8"/>
  <c r="J148" i="8"/>
  <c r="W148" i="8" s="1"/>
  <c r="M320" i="7"/>
  <c r="P206" i="8"/>
  <c r="BM202" i="12"/>
  <c r="T235" i="7"/>
  <c r="V261" i="7"/>
  <c r="T261" i="7" s="1"/>
  <c r="J82" i="8"/>
  <c r="W82" i="8" s="1"/>
  <c r="K82" i="8"/>
  <c r="P59" i="8"/>
  <c r="J84" i="8"/>
  <c r="W84" i="8" s="1"/>
  <c r="K84" i="8"/>
  <c r="BM158" i="12"/>
  <c r="D66" i="8"/>
  <c r="BH66" i="12"/>
  <c r="D37" i="8"/>
  <c r="BH37" i="12"/>
  <c r="P95" i="8"/>
  <c r="BM170" i="12"/>
  <c r="Q226" i="7"/>
  <c r="S231" i="7"/>
  <c r="Q231" i="7" s="1"/>
  <c r="J79" i="8"/>
  <c r="W79" i="8" s="1"/>
  <c r="K79" i="8"/>
  <c r="J158" i="8"/>
  <c r="W158" i="8" s="1"/>
  <c r="K158" i="8"/>
  <c r="AA66" i="8"/>
  <c r="AB66" i="8" s="1"/>
  <c r="BM167" i="12"/>
  <c r="BM179" i="12"/>
  <c r="AA37" i="8"/>
  <c r="AB37" i="8" s="1"/>
  <c r="AF108" i="7"/>
  <c r="AD299" i="7"/>
  <c r="AD108" i="7"/>
  <c r="J136" i="8"/>
  <c r="W136" i="8" s="1"/>
  <c r="K136" i="8"/>
  <c r="BM52" i="12"/>
  <c r="AA88" i="8"/>
  <c r="AB88" i="8" s="1"/>
  <c r="BM63" i="12"/>
  <c r="BM180" i="12"/>
  <c r="AA12" i="12"/>
  <c r="K126" i="8"/>
  <c r="J126" i="8"/>
  <c r="W126" i="8" s="1"/>
  <c r="BM132" i="12"/>
  <c r="BF36" i="12"/>
  <c r="BK36" i="12"/>
  <c r="K163" i="8"/>
  <c r="J163" i="8"/>
  <c r="W163" i="8" s="1"/>
  <c r="J193" i="8"/>
  <c r="W193" i="8" s="1"/>
  <c r="K193" i="8"/>
  <c r="X226" i="7"/>
  <c r="Z231" i="7"/>
  <c r="X231" i="7" s="1"/>
  <c r="K150" i="8"/>
  <c r="J150" i="8"/>
  <c r="W150" i="8" s="1"/>
  <c r="BF164" i="12"/>
  <c r="BK164" i="12"/>
  <c r="AD246" i="7"/>
  <c r="AD81" i="7"/>
  <c r="AF81" i="7"/>
  <c r="D145" i="8"/>
  <c r="BH145" i="12"/>
  <c r="J35" i="8"/>
  <c r="W35" i="8" s="1"/>
  <c r="K35" i="8"/>
  <c r="BM201" i="12"/>
  <c r="AD250" i="7"/>
  <c r="AD120" i="7"/>
  <c r="AF120" i="7"/>
  <c r="AD317" i="7"/>
  <c r="K116" i="8"/>
  <c r="J116" i="8"/>
  <c r="W116" i="8" s="1"/>
  <c r="BM73" i="12"/>
  <c r="AM162" i="12"/>
  <c r="AK162" i="12"/>
  <c r="P196" i="8"/>
  <c r="BM34" i="12"/>
  <c r="BB103" i="12"/>
  <c r="BE103" i="12"/>
  <c r="BJ103" i="12"/>
  <c r="AQ103" i="12"/>
  <c r="T58" i="8"/>
  <c r="AF100" i="7"/>
  <c r="AD100" i="7"/>
  <c r="AD247" i="7"/>
  <c r="Q264" i="7"/>
  <c r="S275" i="7"/>
  <c r="Q275" i="7" s="1"/>
  <c r="AQ146" i="12"/>
  <c r="BJ146" i="12"/>
  <c r="K134" i="8"/>
  <c r="J134" i="8"/>
  <c r="W134" i="8" s="1"/>
  <c r="J149" i="8"/>
  <c r="W149" i="8" s="1"/>
  <c r="K149" i="8"/>
  <c r="J181" i="8"/>
  <c r="W181" i="8" s="1"/>
  <c r="K181" i="8"/>
  <c r="J109" i="8"/>
  <c r="W109" i="8" s="1"/>
  <c r="K109" i="8"/>
  <c r="P45" i="8"/>
  <c r="J50" i="8"/>
  <c r="W50" i="8" s="1"/>
  <c r="K50" i="8"/>
  <c r="P218" i="8"/>
  <c r="P118" i="8"/>
  <c r="AD78" i="7"/>
  <c r="AD244" i="7"/>
  <c r="AF78" i="7"/>
  <c r="AD314" i="7"/>
  <c r="T92" i="8"/>
  <c r="BM191" i="12"/>
  <c r="BM87" i="12"/>
  <c r="T138" i="8"/>
  <c r="BJ42" i="12"/>
  <c r="BB42" i="12"/>
  <c r="BE42" i="12"/>
  <c r="AQ42" i="12"/>
  <c r="BM124" i="12"/>
  <c r="P105" i="8"/>
  <c r="K6" i="31"/>
  <c r="AD213" i="7"/>
  <c r="AD259" i="7"/>
  <c r="AF213" i="7"/>
  <c r="BM68" i="12"/>
  <c r="BM197" i="12"/>
  <c r="BM74" i="12"/>
  <c r="AD241" i="7"/>
  <c r="AD313" i="7"/>
  <c r="AF55" i="7"/>
  <c r="AD55" i="7"/>
  <c r="J166" i="8"/>
  <c r="W166" i="8" s="1"/>
  <c r="K166" i="8"/>
  <c r="T133" i="8"/>
  <c r="BM135" i="12"/>
  <c r="AF182" i="7"/>
  <c r="AD321" i="7"/>
  <c r="AD256" i="7"/>
  <c r="AD182" i="7"/>
  <c r="BM98" i="12"/>
  <c r="K131" i="8"/>
  <c r="J131" i="8"/>
  <c r="W131" i="8" s="1"/>
  <c r="P110" i="8"/>
  <c r="T72" i="8"/>
  <c r="BM64" i="12"/>
  <c r="T161" i="8"/>
  <c r="AC16" i="12"/>
  <c r="J75" i="8"/>
  <c r="W75" i="8" s="1"/>
  <c r="K75" i="8"/>
  <c r="J173" i="8"/>
  <c r="W173" i="8" s="1"/>
  <c r="K173" i="8"/>
  <c r="M235" i="7"/>
  <c r="K178" i="8"/>
  <c r="J178" i="8"/>
  <c r="W178" i="8" s="1"/>
  <c r="BE20" i="12"/>
  <c r="BJ20" i="12"/>
  <c r="BB20" i="12"/>
  <c r="AQ20" i="12"/>
  <c r="J54" i="8"/>
  <c r="W54" i="8" s="1"/>
  <c r="K54" i="8"/>
  <c r="T278" i="7"/>
  <c r="V289" i="7"/>
  <c r="T289" i="7" s="1"/>
  <c r="J70" i="8"/>
  <c r="W70" i="8" s="1"/>
  <c r="K70" i="8"/>
  <c r="AD228" i="7"/>
  <c r="AF139" i="7"/>
  <c r="AD252" i="7"/>
  <c r="AD318" i="7"/>
  <c r="AD139" i="7"/>
  <c r="M310" i="7"/>
  <c r="T293" i="7"/>
  <c r="V306" i="7"/>
  <c r="T306" i="7" s="1"/>
  <c r="T76" i="8"/>
  <c r="BM114" i="12"/>
  <c r="J215" i="8"/>
  <c r="W215" i="8" s="1"/>
  <c r="K215" i="8"/>
  <c r="P127" i="8"/>
  <c r="BM90" i="12"/>
  <c r="BM155" i="12"/>
  <c r="T96" i="8"/>
  <c r="BM82" i="12"/>
  <c r="J170" i="8"/>
  <c r="W170" i="8" s="1"/>
  <c r="K170" i="8"/>
  <c r="BM152" i="12"/>
  <c r="BM84" i="12"/>
  <c r="J114" i="8"/>
  <c r="W114" i="8" s="1"/>
  <c r="K114" i="8"/>
  <c r="BM215" i="12"/>
  <c r="D29" i="8"/>
  <c r="BH29" i="12"/>
  <c r="P219" i="8"/>
  <c r="J90" i="8"/>
  <c r="W90" i="8" s="1"/>
  <c r="K90" i="8"/>
  <c r="AA169" i="8"/>
  <c r="AB169" i="8" s="1"/>
  <c r="K52" i="8"/>
  <c r="J52" i="8"/>
  <c r="W52" i="8" s="1"/>
  <c r="K177" i="8"/>
  <c r="J177" i="8"/>
  <c r="W177" i="8" s="1"/>
  <c r="AF26" i="7"/>
  <c r="AD26" i="7"/>
  <c r="J156" i="8"/>
  <c r="W156" i="8" s="1"/>
  <c r="K156" i="8"/>
  <c r="J63" i="8"/>
  <c r="W63" i="8" s="1"/>
  <c r="K63" i="8"/>
  <c r="AM195" i="12"/>
  <c r="AK195" i="12"/>
  <c r="K180" i="8"/>
  <c r="J180" i="8"/>
  <c r="W180" i="8" s="1"/>
  <c r="AD22" i="7"/>
  <c r="AD311" i="7"/>
  <c r="AD280" i="7"/>
  <c r="AD237" i="7"/>
  <c r="AD297" i="7"/>
  <c r="AF22" i="7"/>
  <c r="AD23" i="7"/>
  <c r="AD298" i="7"/>
  <c r="AF23" i="7"/>
  <c r="P188" i="8"/>
  <c r="P25" i="8"/>
  <c r="AF122" i="7"/>
  <c r="AD300" i="7"/>
  <c r="AD251" i="7"/>
  <c r="AD122" i="7"/>
  <c r="BM189" i="12"/>
  <c r="K71" i="8"/>
  <c r="J71" i="8"/>
  <c r="W71" i="8" s="1"/>
  <c r="Q293" i="7"/>
  <c r="S306" i="7"/>
  <c r="Q306" i="7" s="1"/>
  <c r="AA192" i="8"/>
  <c r="AB192" i="8" s="1"/>
  <c r="K49" i="8"/>
  <c r="J49" i="8"/>
  <c r="W49" i="8" s="1"/>
  <c r="X235" i="7"/>
  <c r="X293" i="7"/>
  <c r="Z306" i="7"/>
  <c r="X306" i="7" s="1"/>
  <c r="AM164" i="12"/>
  <c r="AK164" i="12"/>
  <c r="J40" i="8"/>
  <c r="W40" i="8" s="1"/>
  <c r="K40" i="8"/>
  <c r="AD13" i="7"/>
  <c r="AF13" i="7"/>
  <c r="AD272" i="7"/>
  <c r="K201" i="8"/>
  <c r="J201" i="8"/>
  <c r="W201" i="8" s="1"/>
  <c r="BF162" i="12"/>
  <c r="BK162" i="12"/>
  <c r="T310" i="7"/>
  <c r="V324" i="7"/>
  <c r="T324" i="7" s="1"/>
  <c r="BM159" i="12"/>
  <c r="BM153" i="12"/>
  <c r="J117" i="8"/>
  <c r="W117" i="8" s="1"/>
  <c r="K117" i="8"/>
  <c r="T203" i="8"/>
  <c r="P86" i="8"/>
  <c r="AD249" i="7"/>
  <c r="AF102" i="7"/>
  <c r="AD102" i="7"/>
  <c r="AQ112" i="12"/>
  <c r="BJ112" i="12"/>
  <c r="BB112" i="12"/>
  <c r="BE112" i="12"/>
  <c r="K99" i="8"/>
  <c r="J99" i="8"/>
  <c r="W99" i="8" s="1"/>
  <c r="P83" i="8"/>
  <c r="BM47" i="12"/>
  <c r="AD279" i="7"/>
  <c r="AD38" i="7"/>
  <c r="AF38" i="7"/>
  <c r="AA130" i="8"/>
  <c r="AB130" i="8" s="1"/>
  <c r="D130" i="8"/>
  <c r="BH130" i="12"/>
  <c r="BM140" i="12"/>
  <c r="AA187" i="8"/>
  <c r="AB187" i="8" s="1"/>
  <c r="BM200" i="12"/>
  <c r="J147" i="8"/>
  <c r="W147" i="8" s="1"/>
  <c r="K147" i="8"/>
  <c r="D106" i="8"/>
  <c r="BH106" i="12"/>
  <c r="AD287" i="7"/>
  <c r="AD31" i="7"/>
  <c r="AF31" i="7"/>
  <c r="P184" i="8"/>
  <c r="BM89" i="12"/>
  <c r="AF33" i="7"/>
  <c r="AD240" i="7"/>
  <c r="AD33" i="7"/>
  <c r="AD312" i="7"/>
  <c r="AF30" i="7"/>
  <c r="AD239" i="7"/>
  <c r="AD30" i="7"/>
  <c r="J191" i="8"/>
  <c r="W191" i="8" s="1"/>
  <c r="K191" i="8"/>
  <c r="P61" i="8"/>
  <c r="T264" i="7"/>
  <c r="V275" i="7"/>
  <c r="T275" i="7" s="1"/>
  <c r="J124" i="8"/>
  <c r="W124" i="8" s="1"/>
  <c r="K124" i="8"/>
  <c r="AF24" i="7"/>
  <c r="AD238" i="7"/>
  <c r="AD24" i="7"/>
  <c r="Q278" i="7"/>
  <c r="S289" i="7"/>
  <c r="Q289" i="7" s="1"/>
  <c r="P214" i="8"/>
  <c r="J46" i="8"/>
  <c r="W46" i="8" s="1"/>
  <c r="K46" i="8"/>
  <c r="J68" i="8"/>
  <c r="W68" i="8" s="1"/>
  <c r="K68" i="8"/>
  <c r="J74" i="8"/>
  <c r="W74" i="8" s="1"/>
  <c r="K74" i="8"/>
  <c r="P60" i="8"/>
  <c r="AF172" i="7"/>
  <c r="AD172" i="7"/>
  <c r="AD254" i="7"/>
  <c r="BM141" i="12"/>
  <c r="K135" i="8"/>
  <c r="J135" i="8"/>
  <c r="W135" i="8" s="1"/>
  <c r="P194" i="8"/>
  <c r="BM207" i="12"/>
  <c r="AA165" i="8"/>
  <c r="AB165" i="8" s="1"/>
  <c r="AD245" i="7"/>
  <c r="AD315" i="7"/>
  <c r="AF80" i="7"/>
  <c r="AD80" i="7"/>
  <c r="K98" i="8"/>
  <c r="J98" i="8"/>
  <c r="W98" i="8" s="1"/>
  <c r="J64" i="8"/>
  <c r="W64" i="8" s="1"/>
  <c r="K64" i="8"/>
  <c r="BE43" i="12"/>
  <c r="BJ43" i="12"/>
  <c r="BB43" i="12"/>
  <c r="AQ43" i="12"/>
  <c r="T51" i="8"/>
  <c r="P119" i="8"/>
  <c r="BM104" i="12"/>
  <c r="P216" i="8"/>
  <c r="P91" i="8"/>
  <c r="X257" i="7"/>
  <c r="AC209" i="7"/>
  <c r="AD320" i="7" s="1"/>
  <c r="X264" i="7"/>
  <c r="Z275" i="7"/>
  <c r="X275" i="7" s="1"/>
  <c r="AD303" i="7"/>
  <c r="AD143" i="7"/>
  <c r="AF143" i="7"/>
  <c r="BB151" i="12"/>
  <c r="BE151" i="12"/>
  <c r="AQ151" i="12"/>
  <c r="BJ151" i="12"/>
  <c r="BB160" i="12"/>
  <c r="BE160" i="12"/>
  <c r="BJ160" i="12"/>
  <c r="AQ160" i="12"/>
  <c r="T53" i="8"/>
  <c r="BM148" i="12"/>
  <c r="M316" i="7"/>
  <c r="M248" i="7"/>
  <c r="BM94" i="12"/>
  <c r="T211" i="8"/>
  <c r="O231" i="7"/>
  <c r="M231" i="7" s="1"/>
  <c r="M226" i="7"/>
  <c r="M293" i="7"/>
  <c r="O306" i="7"/>
  <c r="M306" i="7" s="1"/>
  <c r="T129" i="8"/>
  <c r="K202" i="8"/>
  <c r="J202" i="8"/>
  <c r="W202" i="8" s="1"/>
  <c r="V222" i="7"/>
  <c r="BM176" i="12"/>
  <c r="AD21" i="7"/>
  <c r="AF21" i="7"/>
  <c r="AD283" i="7"/>
  <c r="T204" i="8"/>
  <c r="BM168" i="12"/>
  <c r="K155" i="8"/>
  <c r="J155" i="8"/>
  <c r="W155" i="8" s="1"/>
  <c r="BB198" i="12"/>
  <c r="BJ198" i="12"/>
  <c r="BE198" i="12"/>
  <c r="AQ198" i="12"/>
  <c r="T32" i="8"/>
  <c r="BM79" i="12"/>
  <c r="BM97" i="12"/>
  <c r="K152" i="8"/>
  <c r="J152" i="8"/>
  <c r="W152" i="8" s="1"/>
  <c r="K167" i="8"/>
  <c r="J167" i="8"/>
  <c r="W167" i="8" s="1"/>
  <c r="K179" i="8"/>
  <c r="J179" i="8"/>
  <c r="W179" i="8" s="1"/>
  <c r="AF56" i="7"/>
  <c r="AD56" i="7"/>
  <c r="AD242" i="7"/>
  <c r="M264" i="7"/>
  <c r="O275" i="7"/>
  <c r="M275" i="7" s="1"/>
  <c r="AD302" i="7"/>
  <c r="AD142" i="7"/>
  <c r="AF142" i="7"/>
  <c r="D169" i="8"/>
  <c r="BH169" i="12"/>
  <c r="X278" i="7"/>
  <c r="Z289" i="7"/>
  <c r="X289" i="7" s="1"/>
  <c r="D88" i="8"/>
  <c r="BH88" i="12"/>
  <c r="BF195" i="12"/>
  <c r="BK195" i="12"/>
  <c r="BM57" i="12"/>
  <c r="BM77" i="12"/>
  <c r="K132" i="8"/>
  <c r="J132" i="8"/>
  <c r="W132" i="8" s="1"/>
  <c r="BM163" i="12"/>
  <c r="Q235" i="7"/>
  <c r="S261" i="7"/>
  <c r="Q261" i="7" s="1"/>
  <c r="D192" i="8"/>
  <c r="BH192" i="12"/>
  <c r="AD12" i="7"/>
  <c r="AF12" i="7"/>
  <c r="AD270" i="7"/>
  <c r="AD284" i="7"/>
  <c r="X310" i="7"/>
  <c r="AD41" i="7"/>
  <c r="AF41" i="7"/>
  <c r="AD266" i="7"/>
  <c r="BM44" i="12"/>
  <c r="AA145" i="8"/>
  <c r="AB145" i="8" s="1"/>
  <c r="BM116" i="12"/>
  <c r="T226" i="7"/>
  <c r="V231" i="7"/>
  <c r="T231" i="7" s="1"/>
  <c r="J73" i="8"/>
  <c r="W73" i="8" s="1"/>
  <c r="K73" i="8"/>
  <c r="AF144" i="7"/>
  <c r="AD144" i="7"/>
  <c r="AD304" i="7"/>
  <c r="BF29" i="12"/>
  <c r="BK29" i="12"/>
  <c r="J34" i="8"/>
  <c r="W34" i="8" s="1"/>
  <c r="K34" i="8"/>
  <c r="BM111" i="12"/>
  <c r="P93" i="8"/>
  <c r="BM183" i="12"/>
  <c r="J159" i="8"/>
  <c r="W159" i="8" s="1"/>
  <c r="K159" i="8"/>
  <c r="BM28" i="12"/>
  <c r="AA39" i="8"/>
  <c r="AB39" i="8" s="1"/>
  <c r="D39" i="8"/>
  <c r="BH39" i="12"/>
  <c r="M278" i="7"/>
  <c r="O289" i="7"/>
  <c r="M289" i="7" s="1"/>
  <c r="P199" i="8"/>
  <c r="AD322" i="7"/>
  <c r="AD210" i="7"/>
  <c r="AD258" i="7"/>
  <c r="AF210" i="7"/>
  <c r="P85" i="8"/>
  <c r="K140" i="8"/>
  <c r="J140" i="8"/>
  <c r="W140" i="8" s="1"/>
  <c r="J200" i="8"/>
  <c r="W200" i="8" s="1"/>
  <c r="K200" i="8"/>
  <c r="AP19" i="7"/>
  <c r="AM19" i="7"/>
  <c r="D19" i="12"/>
  <c r="AH19" i="7"/>
  <c r="F19" i="12" s="1"/>
  <c r="AQ19" i="7"/>
  <c r="BM212" i="12"/>
  <c r="BM123" i="12"/>
  <c r="D217" i="8"/>
  <c r="BH217" i="12"/>
  <c r="AA217" i="8"/>
  <c r="AB217" i="8" s="1"/>
  <c r="P205" i="8"/>
  <c r="AD294" i="7"/>
  <c r="AF14" i="7"/>
  <c r="AD14" i="7"/>
  <c r="AD236" i="7"/>
  <c r="AD281" i="7"/>
  <c r="AD271" i="7"/>
  <c r="J87" i="8"/>
  <c r="W87" i="8" s="1"/>
  <c r="K87" i="8"/>
  <c r="AD267" i="7"/>
  <c r="AD27" i="7"/>
  <c r="AF27" i="7"/>
  <c r="P220" i="8"/>
  <c r="K197" i="8"/>
  <c r="J197" i="8"/>
  <c r="W197" i="8" s="1"/>
  <c r="BM154" i="12"/>
  <c r="BM166" i="12"/>
  <c r="AD174" i="7"/>
  <c r="AD255" i="7"/>
  <c r="AF174" i="7"/>
  <c r="X185" i="8"/>
  <c r="J207" i="8"/>
  <c r="W207" i="8" s="1"/>
  <c r="K207" i="8"/>
  <c r="D165" i="8"/>
  <c r="BH165" i="12"/>
  <c r="T190" i="8"/>
  <c r="K125" i="8"/>
  <c r="J125" i="8"/>
  <c r="W125" i="8" s="1"/>
  <c r="P115" i="8"/>
  <c r="BM75" i="12"/>
  <c r="BM173" i="12"/>
  <c r="AF65" i="7"/>
  <c r="AD65" i="7"/>
  <c r="BM69" i="12"/>
  <c r="AA175" i="8"/>
  <c r="AB175" i="8" s="1"/>
  <c r="BM70" i="12"/>
  <c r="X316" i="7"/>
  <c r="X248" i="7"/>
  <c r="AC101" i="7"/>
  <c r="AD285" i="7" s="1"/>
  <c r="AP62" i="7"/>
  <c r="AM62" i="7"/>
  <c r="D62" i="12"/>
  <c r="AH62" i="7"/>
  <c r="F62" i="12" s="1"/>
  <c r="AQ62" i="7"/>
  <c r="J94" i="8"/>
  <c r="W94" i="8" s="1"/>
  <c r="K94" i="8"/>
  <c r="O222" i="7"/>
  <c r="J176" i="8"/>
  <c r="W176" i="8" s="1"/>
  <c r="K176" i="8"/>
  <c r="BB146" i="12" l="1"/>
  <c r="D157" i="8"/>
  <c r="J157" i="8" s="1"/>
  <c r="W157" i="8" s="1"/>
  <c r="Q222" i="7"/>
  <c r="Q8" i="7" s="1"/>
  <c r="Z8" i="7"/>
  <c r="Z7" i="7" s="1"/>
  <c r="AH243" i="7"/>
  <c r="F244" i="12" s="1"/>
  <c r="AM243" i="7"/>
  <c r="P207" i="8"/>
  <c r="AH174" i="7"/>
  <c r="F174" i="12" s="1"/>
  <c r="AP174" i="7"/>
  <c r="AM174" i="7"/>
  <c r="D174" i="12"/>
  <c r="AQ174" i="7"/>
  <c r="P197" i="8"/>
  <c r="P87" i="8"/>
  <c r="AN19" i="7"/>
  <c r="AI19" i="7"/>
  <c r="P34" i="8"/>
  <c r="AD226" i="7"/>
  <c r="AH12" i="7"/>
  <c r="AP12" i="7"/>
  <c r="AM12" i="7"/>
  <c r="D12" i="12"/>
  <c r="AQ12" i="7"/>
  <c r="BM88" i="12"/>
  <c r="AM56" i="7"/>
  <c r="AH56" i="7"/>
  <c r="F56" i="12" s="1"/>
  <c r="AP56" i="7"/>
  <c r="D56" i="12"/>
  <c r="AQ56" i="7"/>
  <c r="P179" i="8"/>
  <c r="P152" i="8"/>
  <c r="X32" i="8"/>
  <c r="V8" i="7"/>
  <c r="T222" i="7"/>
  <c r="T8" i="7" s="1"/>
  <c r="P202" i="8"/>
  <c r="X51" i="8"/>
  <c r="D24" i="12"/>
  <c r="AM24" i="7"/>
  <c r="AH24" i="7"/>
  <c r="F24" i="12" s="1"/>
  <c r="AP24" i="7"/>
  <c r="AQ24" i="7"/>
  <c r="AM30" i="7"/>
  <c r="AP30" i="7"/>
  <c r="AH30" i="7"/>
  <c r="D30" i="12"/>
  <c r="AQ30" i="7"/>
  <c r="AM33" i="7"/>
  <c r="AP33" i="7"/>
  <c r="D33" i="12"/>
  <c r="AH33" i="7"/>
  <c r="F33" i="12" s="1"/>
  <c r="AQ33" i="7"/>
  <c r="AP38" i="7"/>
  <c r="D38" i="12"/>
  <c r="AH38" i="7"/>
  <c r="F38" i="12" s="1"/>
  <c r="AM38" i="7"/>
  <c r="AQ38" i="7"/>
  <c r="T83" i="8"/>
  <c r="X203" i="8"/>
  <c r="P40" i="8"/>
  <c r="AH23" i="7"/>
  <c r="F23" i="12" s="1"/>
  <c r="D23" i="12"/>
  <c r="AP23" i="7"/>
  <c r="AM23" i="7"/>
  <c r="AQ23" i="7"/>
  <c r="AP22" i="7"/>
  <c r="D22" i="12"/>
  <c r="AM22" i="7"/>
  <c r="AH22" i="7"/>
  <c r="F22" i="12" s="1"/>
  <c r="AQ22" i="7"/>
  <c r="BJ195" i="12"/>
  <c r="BB195" i="12"/>
  <c r="AQ195" i="12"/>
  <c r="BE195" i="12"/>
  <c r="AP26" i="7"/>
  <c r="AM26" i="7"/>
  <c r="D26" i="12"/>
  <c r="AH26" i="7"/>
  <c r="F26" i="12" s="1"/>
  <c r="AQ26" i="7"/>
  <c r="P114" i="8"/>
  <c r="X96" i="8"/>
  <c r="T127" i="8"/>
  <c r="AP139" i="7"/>
  <c r="AH139" i="7"/>
  <c r="F139" i="12" s="1"/>
  <c r="AM139" i="7"/>
  <c r="D139" i="12"/>
  <c r="AQ139" i="7"/>
  <c r="D20" i="8"/>
  <c r="BH20" i="12"/>
  <c r="X161" i="8"/>
  <c r="T110" i="8"/>
  <c r="AM55" i="7"/>
  <c r="D55" i="12"/>
  <c r="AH55" i="7"/>
  <c r="F55" i="12" s="1"/>
  <c r="AP55" i="7"/>
  <c r="AQ55" i="7"/>
  <c r="P50" i="8"/>
  <c r="P109" i="8"/>
  <c r="AH100" i="7"/>
  <c r="F100" i="12" s="1"/>
  <c r="AM100" i="7"/>
  <c r="AP100" i="7"/>
  <c r="D100" i="12"/>
  <c r="AQ100" i="7"/>
  <c r="D103" i="8"/>
  <c r="BH103" i="12"/>
  <c r="P116" i="8"/>
  <c r="P35" i="8"/>
  <c r="K145" i="8"/>
  <c r="J145" i="8"/>
  <c r="W145" i="8" s="1"/>
  <c r="AM81" i="7"/>
  <c r="AH81" i="7"/>
  <c r="F81" i="12" s="1"/>
  <c r="AP81" i="7"/>
  <c r="D81" i="12"/>
  <c r="AQ81" i="7"/>
  <c r="P126" i="8"/>
  <c r="T95" i="8"/>
  <c r="K66" i="8"/>
  <c r="J66" i="8"/>
  <c r="W66" i="8" s="1"/>
  <c r="T206" i="8"/>
  <c r="P148" i="8"/>
  <c r="J175" i="8"/>
  <c r="W175" i="8" s="1"/>
  <c r="K175" i="8"/>
  <c r="P141" i="8"/>
  <c r="P89" i="8"/>
  <c r="P123" i="8"/>
  <c r="BM187" i="12"/>
  <c r="P111" i="8"/>
  <c r="P44" i="8"/>
  <c r="AA48" i="8"/>
  <c r="AB48" i="8" s="1"/>
  <c r="BJ36" i="12"/>
  <c r="AQ36" i="12"/>
  <c r="BB36" i="12"/>
  <c r="BE36" i="12"/>
  <c r="T121" i="8"/>
  <c r="P77" i="8"/>
  <c r="T208" i="8"/>
  <c r="P94" i="8"/>
  <c r="S62" i="12"/>
  <c r="L62" i="12"/>
  <c r="K62" i="12"/>
  <c r="AD248" i="7"/>
  <c r="AD101" i="7"/>
  <c r="AF101" i="7"/>
  <c r="AI62" i="7"/>
  <c r="AN62" i="7"/>
  <c r="P176" i="8"/>
  <c r="T115" i="8"/>
  <c r="K165" i="8"/>
  <c r="J165" i="8"/>
  <c r="W165" i="8" s="1"/>
  <c r="BM217" i="12"/>
  <c r="AH273" i="7"/>
  <c r="F274" i="12" s="1"/>
  <c r="AM273" i="7"/>
  <c r="T85" i="8"/>
  <c r="BM39" i="12"/>
  <c r="P159" i="8"/>
  <c r="P73" i="8"/>
  <c r="BM192" i="12"/>
  <c r="AM142" i="7"/>
  <c r="AP142" i="7"/>
  <c r="AH142" i="7"/>
  <c r="F142" i="12" s="1"/>
  <c r="D142" i="12"/>
  <c r="AQ142" i="7"/>
  <c r="AM21" i="7"/>
  <c r="AH21" i="7"/>
  <c r="F21" i="12" s="1"/>
  <c r="D21" i="12"/>
  <c r="AP21" i="7"/>
  <c r="AQ21" i="7"/>
  <c r="X211" i="8"/>
  <c r="D151" i="8"/>
  <c r="BH151" i="12"/>
  <c r="T216" i="8"/>
  <c r="T194" i="8"/>
  <c r="T60" i="8"/>
  <c r="P68" i="8"/>
  <c r="P46" i="8"/>
  <c r="T214" i="8"/>
  <c r="P124" i="8"/>
  <c r="K106" i="8"/>
  <c r="J106" i="8"/>
  <c r="W106" i="8" s="1"/>
  <c r="P147" i="8"/>
  <c r="J130" i="8"/>
  <c r="W130" i="8" s="1"/>
  <c r="K130" i="8"/>
  <c r="P99" i="8"/>
  <c r="P117" i="8"/>
  <c r="Z261" i="7"/>
  <c r="X261" i="7" s="1"/>
  <c r="P71" i="8"/>
  <c r="AM122" i="7"/>
  <c r="AH122" i="7"/>
  <c r="F122" i="12" s="1"/>
  <c r="AP122" i="7"/>
  <c r="D122" i="12"/>
  <c r="AQ122" i="7"/>
  <c r="P63" i="8"/>
  <c r="P177" i="8"/>
  <c r="P52" i="8"/>
  <c r="J29" i="8"/>
  <c r="W29" i="8" s="1"/>
  <c r="K29" i="8"/>
  <c r="O324" i="7"/>
  <c r="M324" i="7" s="1"/>
  <c r="AA20" i="8"/>
  <c r="AB20" i="8" s="1"/>
  <c r="AG16" i="12"/>
  <c r="X72" i="8"/>
  <c r="P166" i="8"/>
  <c r="AA42" i="8"/>
  <c r="AB42" i="8" s="1"/>
  <c r="AD227" i="7"/>
  <c r="T45" i="8"/>
  <c r="P181" i="8"/>
  <c r="P149" i="8"/>
  <c r="AA146" i="8"/>
  <c r="AB146" i="8" s="1"/>
  <c r="AD316" i="7"/>
  <c r="BB162" i="12"/>
  <c r="BE162" i="12"/>
  <c r="BJ162" i="12"/>
  <c r="AQ162" i="12"/>
  <c r="P193" i="8"/>
  <c r="P136" i="8"/>
  <c r="AP108" i="7"/>
  <c r="AH108" i="7"/>
  <c r="F108" i="12" s="1"/>
  <c r="AM108" i="7"/>
  <c r="D108" i="12"/>
  <c r="AQ108" i="7"/>
  <c r="K157" i="8"/>
  <c r="AD310" i="7"/>
  <c r="T67" i="8"/>
  <c r="AH18" i="7"/>
  <c r="F18" i="12" s="1"/>
  <c r="AM18" i="7"/>
  <c r="AP18" i="7"/>
  <c r="D18" i="12"/>
  <c r="AQ18" i="7"/>
  <c r="AH171" i="7"/>
  <c r="F171" i="12" s="1"/>
  <c r="AP171" i="7"/>
  <c r="D171" i="12"/>
  <c r="AM171" i="7"/>
  <c r="AQ171" i="7"/>
  <c r="AP128" i="7"/>
  <c r="AM128" i="7"/>
  <c r="AH128" i="7"/>
  <c r="F128" i="12" s="1"/>
  <c r="D128" i="12"/>
  <c r="AQ128" i="7"/>
  <c r="X107" i="8"/>
  <c r="D48" i="8"/>
  <c r="BH48" i="12"/>
  <c r="T137" i="8"/>
  <c r="P57" i="8"/>
  <c r="M222" i="7"/>
  <c r="O8" i="7"/>
  <c r="AH65" i="7"/>
  <c r="F65" i="12" s="1"/>
  <c r="AP65" i="7"/>
  <c r="D65" i="12"/>
  <c r="AM65" i="7"/>
  <c r="AQ65" i="7"/>
  <c r="D27" i="12"/>
  <c r="AM27" i="7"/>
  <c r="AH27" i="7"/>
  <c r="F27" i="12" s="1"/>
  <c r="AP27" i="7"/>
  <c r="AQ27" i="7"/>
  <c r="D14" i="12"/>
  <c r="AM14" i="7"/>
  <c r="AP14" i="7"/>
  <c r="AH14" i="7"/>
  <c r="F14" i="12" s="1"/>
  <c r="AQ14" i="7"/>
  <c r="T205" i="8"/>
  <c r="K217" i="8"/>
  <c r="J217" i="8"/>
  <c r="W217" i="8" s="1"/>
  <c r="P200" i="8"/>
  <c r="AP210" i="7"/>
  <c r="D210" i="12"/>
  <c r="AM210" i="7"/>
  <c r="AH210" i="7"/>
  <c r="F210" i="12" s="1"/>
  <c r="AQ210" i="7"/>
  <c r="T199" i="8"/>
  <c r="J39" i="8"/>
  <c r="W39" i="8" s="1"/>
  <c r="K39" i="8"/>
  <c r="AM41" i="7"/>
  <c r="AP41" i="7"/>
  <c r="D41" i="12"/>
  <c r="AH41" i="7"/>
  <c r="F41" i="12" s="1"/>
  <c r="AQ41" i="7"/>
  <c r="Z324" i="7"/>
  <c r="X324" i="7" s="1"/>
  <c r="AD235" i="7"/>
  <c r="AD293" i="7"/>
  <c r="K192" i="8"/>
  <c r="J192" i="8"/>
  <c r="W192" i="8" s="1"/>
  <c r="K88" i="8"/>
  <c r="J88" i="8"/>
  <c r="W88" i="8" s="1"/>
  <c r="J169" i="8"/>
  <c r="W169" i="8" s="1"/>
  <c r="K169" i="8"/>
  <c r="P167" i="8"/>
  <c r="P155" i="8"/>
  <c r="D160" i="8"/>
  <c r="BH160" i="12"/>
  <c r="AA160" i="8"/>
  <c r="AB160" i="8" s="1"/>
  <c r="D43" i="8"/>
  <c r="BH43" i="12"/>
  <c r="P64" i="8"/>
  <c r="D80" i="12"/>
  <c r="AM80" i="7"/>
  <c r="AH80" i="7"/>
  <c r="F80" i="12" s="1"/>
  <c r="AP80" i="7"/>
  <c r="AQ80" i="7"/>
  <c r="P135" i="8"/>
  <c r="AH172" i="7"/>
  <c r="F172" i="12" s="1"/>
  <c r="D172" i="12"/>
  <c r="AP172" i="7"/>
  <c r="AM172" i="7"/>
  <c r="AQ172" i="7"/>
  <c r="P74" i="8"/>
  <c r="T61" i="8"/>
  <c r="AC222" i="7"/>
  <c r="AM31" i="7"/>
  <c r="AH31" i="7"/>
  <c r="F31" i="12" s="1"/>
  <c r="AP31" i="7"/>
  <c r="D31" i="12"/>
  <c r="AQ31" i="7"/>
  <c r="D112" i="8"/>
  <c r="BH112" i="12"/>
  <c r="AP102" i="7"/>
  <c r="AH102" i="7"/>
  <c r="F102" i="12" s="1"/>
  <c r="D102" i="12"/>
  <c r="AM102" i="7"/>
  <c r="AQ102" i="7"/>
  <c r="T86" i="8"/>
  <c r="P201" i="8"/>
  <c r="AP13" i="7"/>
  <c r="AM13" i="7"/>
  <c r="D13" i="12"/>
  <c r="AH13" i="7"/>
  <c r="F13" i="12" s="1"/>
  <c r="AQ13" i="7"/>
  <c r="P180" i="8"/>
  <c r="P90" i="8"/>
  <c r="P170" i="8"/>
  <c r="X76" i="8"/>
  <c r="P178" i="8"/>
  <c r="P173" i="8"/>
  <c r="P75" i="8"/>
  <c r="AP213" i="7"/>
  <c r="AM213" i="7"/>
  <c r="AH213" i="7"/>
  <c r="F213" i="12" s="1"/>
  <c r="D213" i="12"/>
  <c r="AQ213" i="7"/>
  <c r="D42" i="8"/>
  <c r="BH42" i="12"/>
  <c r="X138" i="8"/>
  <c r="T218" i="8"/>
  <c r="P134" i="8"/>
  <c r="X58" i="8"/>
  <c r="P79" i="8"/>
  <c r="BM37" i="12"/>
  <c r="BM66" i="12"/>
  <c r="P84" i="8"/>
  <c r="P69" i="8"/>
  <c r="D15" i="12"/>
  <c r="AM15" i="7"/>
  <c r="AP15" i="7"/>
  <c r="AH15" i="7"/>
  <c r="F15" i="12" s="1"/>
  <c r="AQ15" i="7"/>
  <c r="D17" i="12"/>
  <c r="AP17" i="7"/>
  <c r="AM17" i="7"/>
  <c r="AH17" i="7"/>
  <c r="F17" i="12" s="1"/>
  <c r="AQ17" i="7"/>
  <c r="P212" i="8"/>
  <c r="AD296" i="7"/>
  <c r="J187" i="8"/>
  <c r="W187" i="8" s="1"/>
  <c r="K187" i="8"/>
  <c r="P28" i="8"/>
  <c r="P153" i="8"/>
  <c r="P189" i="8"/>
  <c r="P97" i="8"/>
  <c r="P125" i="8"/>
  <c r="X190" i="8"/>
  <c r="BM165" i="12"/>
  <c r="T220" i="8"/>
  <c r="K19" i="12"/>
  <c r="L19" i="12"/>
  <c r="S19" i="12"/>
  <c r="P140" i="8"/>
  <c r="T93" i="8"/>
  <c r="AH144" i="7"/>
  <c r="F144" i="12" s="1"/>
  <c r="D144" i="12"/>
  <c r="AM144" i="7"/>
  <c r="AP144" i="7"/>
  <c r="AQ144" i="7"/>
  <c r="P132" i="8"/>
  <c r="BM169" i="12"/>
  <c r="D198" i="8"/>
  <c r="BH198" i="12"/>
  <c r="AA198" i="8"/>
  <c r="AB198" i="8" s="1"/>
  <c r="X204" i="8"/>
  <c r="X129" i="8"/>
  <c r="X53" i="8"/>
  <c r="AA151" i="8"/>
  <c r="AB151" i="8" s="1"/>
  <c r="AP143" i="7"/>
  <c r="AH143" i="7"/>
  <c r="F143" i="12" s="1"/>
  <c r="D143" i="12"/>
  <c r="AM143" i="7"/>
  <c r="AQ143" i="7"/>
  <c r="AF209" i="7"/>
  <c r="AD257" i="7"/>
  <c r="AD209" i="7"/>
  <c r="T91" i="8"/>
  <c r="T119" i="8"/>
  <c r="AA43" i="8"/>
  <c r="AB43" i="8" s="1"/>
  <c r="P98" i="8"/>
  <c r="P191" i="8"/>
  <c r="AD265" i="7"/>
  <c r="T184" i="8"/>
  <c r="BM106" i="12"/>
  <c r="BM130" i="12"/>
  <c r="AA112" i="8"/>
  <c r="AB112" i="8" s="1"/>
  <c r="AQ164" i="12"/>
  <c r="BE164" i="12"/>
  <c r="BB164" i="12"/>
  <c r="BJ164" i="12"/>
  <c r="P49" i="8"/>
  <c r="S7" i="7"/>
  <c r="T25" i="8"/>
  <c r="T188" i="8"/>
  <c r="P156" i="8"/>
  <c r="AD278" i="7"/>
  <c r="AC289" i="7"/>
  <c r="AD289" i="7" s="1"/>
  <c r="T219" i="8"/>
  <c r="BM29" i="12"/>
  <c r="P215" i="8"/>
  <c r="P70" i="8"/>
  <c r="P54" i="8"/>
  <c r="O261" i="7"/>
  <c r="M261" i="7" s="1"/>
  <c r="P131" i="8"/>
  <c r="D182" i="12"/>
  <c r="AM182" i="7"/>
  <c r="AH182" i="7"/>
  <c r="F182" i="12" s="1"/>
  <c r="AP182" i="7"/>
  <c r="AQ182" i="7"/>
  <c r="X133" i="8"/>
  <c r="T105" i="8"/>
  <c r="X92" i="8"/>
  <c r="AH78" i="7"/>
  <c r="F78" i="12" s="1"/>
  <c r="D78" i="12"/>
  <c r="AM78" i="7"/>
  <c r="AP78" i="7"/>
  <c r="AQ78" i="7"/>
  <c r="T118" i="8"/>
  <c r="D146" i="8"/>
  <c r="BH146" i="12"/>
  <c r="AA103" i="8"/>
  <c r="AB103" i="8" s="1"/>
  <c r="T196" i="8"/>
  <c r="D120" i="12"/>
  <c r="AP120" i="7"/>
  <c r="AH120" i="7"/>
  <c r="F120" i="12" s="1"/>
  <c r="AM120" i="7"/>
  <c r="AQ120" i="7"/>
  <c r="BM145" i="12"/>
  <c r="P150" i="8"/>
  <c r="P163" i="8"/>
  <c r="P158" i="8"/>
  <c r="K37" i="8"/>
  <c r="J37" i="8"/>
  <c r="W37" i="8" s="1"/>
  <c r="T59" i="8"/>
  <c r="P82" i="8"/>
  <c r="BM175" i="12"/>
  <c r="P104" i="8"/>
  <c r="BM157" i="12"/>
  <c r="P154" i="8"/>
  <c r="AD229" i="7"/>
  <c r="P47" i="8"/>
  <c r="P183" i="8"/>
  <c r="P168" i="8"/>
  <c r="AC324" i="7" l="1"/>
  <c r="AD324" i="7" s="1"/>
  <c r="L244" i="12"/>
  <c r="K244" i="12"/>
  <c r="AM265" i="7"/>
  <c r="AH265" i="7"/>
  <c r="F266" i="12" s="1"/>
  <c r="T168" i="8"/>
  <c r="T154" i="8"/>
  <c r="T82" i="8"/>
  <c r="T158" i="8"/>
  <c r="AM317" i="7"/>
  <c r="AH317" i="7"/>
  <c r="F318" i="12" s="1"/>
  <c r="AH244" i="7"/>
  <c r="F245" i="12" s="1"/>
  <c r="AM244" i="7"/>
  <c r="AI182" i="7"/>
  <c r="AN182" i="7"/>
  <c r="T131" i="8"/>
  <c r="T215" i="8"/>
  <c r="X25" i="8"/>
  <c r="T49" i="8"/>
  <c r="AA164" i="8"/>
  <c r="AB164" i="8" s="1"/>
  <c r="X91" i="8"/>
  <c r="BM198" i="12"/>
  <c r="X93" i="8"/>
  <c r="X220" i="8"/>
  <c r="T212" i="8"/>
  <c r="AH282" i="7"/>
  <c r="F283" i="12" s="1"/>
  <c r="AM282" i="7"/>
  <c r="T79" i="8"/>
  <c r="X218" i="8"/>
  <c r="J42" i="8"/>
  <c r="W42" i="8" s="1"/>
  <c r="K42" i="8"/>
  <c r="T173" i="8"/>
  <c r="T170" i="8"/>
  <c r="T180" i="8"/>
  <c r="T201" i="8"/>
  <c r="K102" i="12"/>
  <c r="S102" i="12"/>
  <c r="L102" i="12"/>
  <c r="T74" i="8"/>
  <c r="AI80" i="7"/>
  <c r="AN80" i="7"/>
  <c r="J43" i="8"/>
  <c r="W43" i="8" s="1"/>
  <c r="K43" i="8"/>
  <c r="K160" i="8"/>
  <c r="J160" i="8"/>
  <c r="W160" i="8" s="1"/>
  <c r="AC261" i="7"/>
  <c r="AD261" i="7" s="1"/>
  <c r="S41" i="12"/>
  <c r="K41" i="12"/>
  <c r="L41" i="12"/>
  <c r="P39" i="8"/>
  <c r="X199" i="8"/>
  <c r="AN27" i="7"/>
  <c r="AI27" i="7"/>
  <c r="K48" i="8"/>
  <c r="J48" i="8"/>
  <c r="W48" i="8" s="1"/>
  <c r="AI128" i="7"/>
  <c r="AN128" i="7"/>
  <c r="AN171" i="7"/>
  <c r="AI171" i="7"/>
  <c r="AI108" i="7"/>
  <c r="AN108" i="7"/>
  <c r="T193" i="8"/>
  <c r="T149" i="8"/>
  <c r="X45" i="8"/>
  <c r="AI16" i="12"/>
  <c r="AJ16" i="12"/>
  <c r="T177" i="8"/>
  <c r="AN122" i="7"/>
  <c r="AI122" i="7"/>
  <c r="T71" i="8"/>
  <c r="T99" i="8"/>
  <c r="P130" i="8"/>
  <c r="T147" i="8"/>
  <c r="T68" i="8"/>
  <c r="BM151" i="12"/>
  <c r="AN142" i="7"/>
  <c r="AI142" i="7"/>
  <c r="T73" i="8"/>
  <c r="T159" i="8"/>
  <c r="X85" i="8"/>
  <c r="P165" i="8"/>
  <c r="T176" i="8"/>
  <c r="X121" i="8"/>
  <c r="AA36" i="8"/>
  <c r="AB36" i="8" s="1"/>
  <c r="T44" i="8"/>
  <c r="X206" i="8"/>
  <c r="T126" i="8"/>
  <c r="AN81" i="7"/>
  <c r="AI81" i="7"/>
  <c r="J103" i="8"/>
  <c r="W103" i="8" s="1"/>
  <c r="K103" i="8"/>
  <c r="AH247" i="7"/>
  <c r="F248" i="12" s="1"/>
  <c r="AM247" i="7"/>
  <c r="BM20" i="12"/>
  <c r="AM318" i="7"/>
  <c r="AH318" i="7"/>
  <c r="T114" i="8"/>
  <c r="AH237" i="7"/>
  <c r="F238" i="12" s="1"/>
  <c r="AM237" i="7"/>
  <c r="AI23" i="7"/>
  <c r="AN23" i="7"/>
  <c r="L23" i="12"/>
  <c r="K23" i="12"/>
  <c r="S23" i="12"/>
  <c r="T40" i="8"/>
  <c r="AI30" i="7"/>
  <c r="AN30" i="7"/>
  <c r="AM238" i="7"/>
  <c r="AH238" i="7"/>
  <c r="F239" i="12" s="1"/>
  <c r="V7" i="7"/>
  <c r="AH235" i="7"/>
  <c r="F236" i="12" s="1"/>
  <c r="AM235" i="7"/>
  <c r="AH270" i="7"/>
  <c r="F271" i="12" s="1"/>
  <c r="AM270" i="7"/>
  <c r="AC231" i="7"/>
  <c r="AD231" i="7" s="1"/>
  <c r="S174" i="12"/>
  <c r="L174" i="12"/>
  <c r="K174" i="12"/>
  <c r="AH255" i="7"/>
  <c r="F256" i="12" s="1"/>
  <c r="AM255" i="7"/>
  <c r="S120" i="12"/>
  <c r="L120" i="12"/>
  <c r="K120" i="12"/>
  <c r="X196" i="8"/>
  <c r="BM146" i="12"/>
  <c r="X118" i="8"/>
  <c r="X188" i="8"/>
  <c r="AH303" i="7"/>
  <c r="F304" i="12" s="1"/>
  <c r="AM303" i="7"/>
  <c r="AN17" i="7"/>
  <c r="AI17" i="7"/>
  <c r="L17" i="12"/>
  <c r="S17" i="12"/>
  <c r="K17" i="12"/>
  <c r="AH295" i="7"/>
  <c r="F296" i="12" s="1"/>
  <c r="AM295" i="7"/>
  <c r="K15" i="12"/>
  <c r="S15" i="12"/>
  <c r="L15" i="12"/>
  <c r="T69" i="8"/>
  <c r="T84" i="8"/>
  <c r="K213" i="12"/>
  <c r="L213" i="12"/>
  <c r="S213" i="12"/>
  <c r="AI213" i="7"/>
  <c r="AN213" i="7"/>
  <c r="T90" i="8"/>
  <c r="AM272" i="7"/>
  <c r="AH272" i="7"/>
  <c r="F273" i="12" s="1"/>
  <c r="AI13" i="7"/>
  <c r="AN13" i="7"/>
  <c r="X86" i="8"/>
  <c r="AI102" i="7"/>
  <c r="AN102" i="7"/>
  <c r="S31" i="12"/>
  <c r="L31" i="12"/>
  <c r="K31" i="12"/>
  <c r="X61" i="8"/>
  <c r="AM245" i="7"/>
  <c r="AH245" i="7"/>
  <c r="F246" i="12" s="1"/>
  <c r="T64" i="8"/>
  <c r="P169" i="8"/>
  <c r="P192" i="8"/>
  <c r="AH266" i="7"/>
  <c r="F267" i="12" s="1"/>
  <c r="AM266" i="7"/>
  <c r="AN210" i="7"/>
  <c r="AI210" i="7"/>
  <c r="AH258" i="7"/>
  <c r="F259" i="12" s="1"/>
  <c r="AM258" i="7"/>
  <c r="T200" i="8"/>
  <c r="P217" i="8"/>
  <c r="S14" i="12"/>
  <c r="L14" i="12"/>
  <c r="K14" i="12"/>
  <c r="L27" i="12"/>
  <c r="K27" i="12"/>
  <c r="S27" i="12"/>
  <c r="S65" i="12"/>
  <c r="K65" i="12"/>
  <c r="L65" i="12"/>
  <c r="AH319" i="7"/>
  <c r="F320" i="12" s="1"/>
  <c r="AM319" i="7"/>
  <c r="AM268" i="7"/>
  <c r="AH268" i="7"/>
  <c r="F269" i="12" s="1"/>
  <c r="L18" i="12"/>
  <c r="K18" i="12"/>
  <c r="S18" i="12"/>
  <c r="AI18" i="7"/>
  <c r="AN18" i="7"/>
  <c r="X67" i="8"/>
  <c r="T181" i="8"/>
  <c r="T52" i="8"/>
  <c r="AH300" i="7"/>
  <c r="F301" i="12" s="1"/>
  <c r="AM300" i="7"/>
  <c r="T117" i="8"/>
  <c r="T46" i="8"/>
  <c r="S21" i="12"/>
  <c r="K21" i="12"/>
  <c r="L21" i="12"/>
  <c r="L142" i="12"/>
  <c r="K142" i="12"/>
  <c r="S142" i="12"/>
  <c r="G62" i="12"/>
  <c r="X208" i="8"/>
  <c r="T77" i="8"/>
  <c r="D36" i="8"/>
  <c r="BH36" i="12"/>
  <c r="P66" i="8"/>
  <c r="L81" i="12"/>
  <c r="K81" i="12"/>
  <c r="S81" i="12"/>
  <c r="T116" i="8"/>
  <c r="S55" i="12"/>
  <c r="L55" i="12"/>
  <c r="K55" i="12"/>
  <c r="J20" i="8"/>
  <c r="W20" i="8" s="1"/>
  <c r="K20" i="8"/>
  <c r="AI139" i="7"/>
  <c r="AN139" i="7"/>
  <c r="AN22" i="7"/>
  <c r="AI22" i="7"/>
  <c r="AM279" i="7"/>
  <c r="AH279" i="7"/>
  <c r="F280" i="12" s="1"/>
  <c r="AI33" i="7"/>
  <c r="AN33" i="7"/>
  <c r="AH312" i="7"/>
  <c r="F313" i="12" s="1"/>
  <c r="AM312" i="7"/>
  <c r="AN24" i="7"/>
  <c r="AI24" i="7"/>
  <c r="K56" i="12"/>
  <c r="S56" i="12"/>
  <c r="L56" i="12"/>
  <c r="AM242" i="7"/>
  <c r="AH242" i="7"/>
  <c r="F243" i="12" s="1"/>
  <c r="AM226" i="7"/>
  <c r="AF231" i="7"/>
  <c r="AH226" i="7"/>
  <c r="F227" i="12" s="1"/>
  <c r="L12" i="12"/>
  <c r="K12" i="12"/>
  <c r="S12" i="12"/>
  <c r="T34" i="8"/>
  <c r="T183" i="8"/>
  <c r="X59" i="8"/>
  <c r="AN78" i="7"/>
  <c r="AI78" i="7"/>
  <c r="T47" i="8"/>
  <c r="T104" i="8"/>
  <c r="T150" i="8"/>
  <c r="AI120" i="7"/>
  <c r="AN120" i="7"/>
  <c r="AM314" i="7"/>
  <c r="AH314" i="7"/>
  <c r="F315" i="12" s="1"/>
  <c r="AH256" i="7"/>
  <c r="AM256" i="7"/>
  <c r="X219" i="8"/>
  <c r="D164" i="8"/>
  <c r="BH164" i="12"/>
  <c r="X184" i="8"/>
  <c r="T98" i="8"/>
  <c r="AI143" i="7"/>
  <c r="AN143" i="7"/>
  <c r="K198" i="8"/>
  <c r="J198" i="8"/>
  <c r="W198" i="8" s="1"/>
  <c r="S144" i="12"/>
  <c r="L144" i="12"/>
  <c r="K144" i="12"/>
  <c r="T140" i="8"/>
  <c r="T125" i="8"/>
  <c r="T97" i="8"/>
  <c r="T28" i="8"/>
  <c r="AH269" i="7"/>
  <c r="F270" i="12" s="1"/>
  <c r="AM269" i="7"/>
  <c r="T134" i="8"/>
  <c r="BM42" i="12"/>
  <c r="AM259" i="7"/>
  <c r="AH259" i="7"/>
  <c r="F260" i="12" s="1"/>
  <c r="T75" i="8"/>
  <c r="K13" i="12"/>
  <c r="L13" i="12"/>
  <c r="S13" i="12"/>
  <c r="BM112" i="12"/>
  <c r="AI31" i="7"/>
  <c r="AN31" i="7"/>
  <c r="AM287" i="7"/>
  <c r="AH287" i="7"/>
  <c r="F288" i="12" s="1"/>
  <c r="AI172" i="7"/>
  <c r="AN172" i="7"/>
  <c r="T135" i="8"/>
  <c r="AH315" i="7"/>
  <c r="F316" i="12" s="1"/>
  <c r="AM315" i="7"/>
  <c r="L80" i="12"/>
  <c r="S80" i="12"/>
  <c r="K80" i="12"/>
  <c r="BM160" i="12"/>
  <c r="T167" i="8"/>
  <c r="AC306" i="7"/>
  <c r="AD306" i="7" s="1"/>
  <c r="AN41" i="7"/>
  <c r="AI41" i="7"/>
  <c r="AH322" i="7"/>
  <c r="F323" i="12" s="1"/>
  <c r="AM322" i="7"/>
  <c r="AM271" i="7"/>
  <c r="AH271" i="7"/>
  <c r="F272" i="12" s="1"/>
  <c r="AM236" i="7"/>
  <c r="AH236" i="7"/>
  <c r="F237" i="12" s="1"/>
  <c r="AM294" i="7"/>
  <c r="AH294" i="7"/>
  <c r="F295" i="12" s="1"/>
  <c r="O7" i="7"/>
  <c r="S128" i="12"/>
  <c r="K128" i="12"/>
  <c r="L128" i="12"/>
  <c r="AH253" i="7"/>
  <c r="F254" i="12" s="1"/>
  <c r="AM253" i="7"/>
  <c r="T136" i="8"/>
  <c r="D162" i="8"/>
  <c r="BH162" i="12"/>
  <c r="AA162" i="8"/>
  <c r="AB162" i="8" s="1"/>
  <c r="T166" i="8"/>
  <c r="P29" i="8"/>
  <c r="T63" i="8"/>
  <c r="AM251" i="7"/>
  <c r="AH251" i="7"/>
  <c r="F252" i="12" s="1"/>
  <c r="P106" i="8"/>
  <c r="X214" i="8"/>
  <c r="X60" i="8"/>
  <c r="X194" i="8"/>
  <c r="X216" i="8"/>
  <c r="K151" i="8"/>
  <c r="J151" i="8"/>
  <c r="W151" i="8" s="1"/>
  <c r="AI21" i="7"/>
  <c r="AN21" i="7"/>
  <c r="D101" i="12"/>
  <c r="AH101" i="7"/>
  <c r="F101" i="12" s="1"/>
  <c r="AM101" i="7"/>
  <c r="AP101" i="7"/>
  <c r="AQ101" i="7"/>
  <c r="T111" i="8"/>
  <c r="T89" i="8"/>
  <c r="P175" i="8"/>
  <c r="T148" i="8"/>
  <c r="AM246" i="7"/>
  <c r="AH246" i="7"/>
  <c r="F247" i="12" s="1"/>
  <c r="T35" i="8"/>
  <c r="T50" i="8"/>
  <c r="W113" i="13"/>
  <c r="AI55" i="7"/>
  <c r="AN55" i="7"/>
  <c r="AM241" i="7"/>
  <c r="AH241" i="7"/>
  <c r="F242" i="12" s="1"/>
  <c r="X110" i="8"/>
  <c r="K139" i="12"/>
  <c r="S139" i="12"/>
  <c r="L139" i="12"/>
  <c r="X127" i="8"/>
  <c r="S26" i="12"/>
  <c r="K26" i="12"/>
  <c r="L26" i="12"/>
  <c r="AN26" i="7"/>
  <c r="AI26" i="7"/>
  <c r="BH195" i="12"/>
  <c r="D195" i="8"/>
  <c r="AH280" i="7"/>
  <c r="F281" i="12" s="1"/>
  <c r="AM280" i="7"/>
  <c r="L22" i="12"/>
  <c r="S22" i="12"/>
  <c r="K22" i="12"/>
  <c r="X83" i="8"/>
  <c r="AI38" i="7"/>
  <c r="AN38" i="7"/>
  <c r="AM240" i="7"/>
  <c r="AH240" i="7"/>
  <c r="F241" i="12" s="1"/>
  <c r="F30" i="12"/>
  <c r="S24" i="12"/>
  <c r="L24" i="12"/>
  <c r="K24" i="12"/>
  <c r="T202" i="8"/>
  <c r="T152" i="8"/>
  <c r="AH284" i="7"/>
  <c r="F285" i="12" s="1"/>
  <c r="AM284" i="7"/>
  <c r="AI12" i="7"/>
  <c r="AN12" i="7"/>
  <c r="F12" i="12"/>
  <c r="T197" i="8"/>
  <c r="AD264" i="7"/>
  <c r="AC275" i="7"/>
  <c r="AD275" i="7" s="1"/>
  <c r="W185" i="13"/>
  <c r="P37" i="8"/>
  <c r="T163" i="8"/>
  <c r="AH250" i="7"/>
  <c r="F251" i="12" s="1"/>
  <c r="AM250" i="7"/>
  <c r="K146" i="8"/>
  <c r="J146" i="8"/>
  <c r="W146" i="8" s="1"/>
  <c r="AH227" i="7"/>
  <c r="F228" i="12" s="1"/>
  <c r="AM227" i="7"/>
  <c r="L78" i="12"/>
  <c r="S78" i="12"/>
  <c r="K78" i="12"/>
  <c r="X105" i="8"/>
  <c r="AH321" i="7"/>
  <c r="AM321" i="7"/>
  <c r="S182" i="12"/>
  <c r="L182" i="12"/>
  <c r="K182" i="12"/>
  <c r="T54" i="8"/>
  <c r="T70" i="8"/>
  <c r="T156" i="8"/>
  <c r="T191" i="8"/>
  <c r="X119" i="8"/>
  <c r="AH209" i="7"/>
  <c r="F209" i="12" s="1"/>
  <c r="AM209" i="7"/>
  <c r="AL4" i="7" s="1"/>
  <c r="G36" i="4" s="1"/>
  <c r="AP209" i="7"/>
  <c r="D209" i="12"/>
  <c r="AQ209" i="7"/>
  <c r="K143" i="12"/>
  <c r="L143" i="12"/>
  <c r="S143" i="12"/>
  <c r="T132" i="8"/>
  <c r="AI144" i="7"/>
  <c r="AN144" i="7"/>
  <c r="AH304" i="7"/>
  <c r="F305" i="12" s="1"/>
  <c r="AM304" i="7"/>
  <c r="AC19" i="12"/>
  <c r="AG19" i="12" s="1"/>
  <c r="T189" i="8"/>
  <c r="T153" i="8"/>
  <c r="P187" i="8"/>
  <c r="AI15" i="7"/>
  <c r="AN15" i="7"/>
  <c r="T178" i="8"/>
  <c r="AH285" i="7"/>
  <c r="F286" i="12" s="1"/>
  <c r="AM285" i="7"/>
  <c r="AM249" i="7"/>
  <c r="AH249" i="7"/>
  <c r="F250" i="12" s="1"/>
  <c r="K112" i="8"/>
  <c r="J112" i="8"/>
  <c r="W112" i="8" s="1"/>
  <c r="AC8" i="7"/>
  <c r="AD222" i="7"/>
  <c r="AD8" i="7" s="1"/>
  <c r="AH254" i="7"/>
  <c r="F255" i="12" s="1"/>
  <c r="AM254" i="7"/>
  <c r="K172" i="12"/>
  <c r="S172" i="12"/>
  <c r="L172" i="12"/>
  <c r="BM43" i="12"/>
  <c r="T155" i="8"/>
  <c r="P88" i="8"/>
  <c r="L210" i="12"/>
  <c r="S210" i="12"/>
  <c r="K210" i="12"/>
  <c r="X205" i="8"/>
  <c r="AM281" i="7"/>
  <c r="AH281" i="7"/>
  <c r="F282" i="12" s="1"/>
  <c r="AI14" i="7"/>
  <c r="AN14" i="7"/>
  <c r="AM267" i="7"/>
  <c r="AH267" i="7"/>
  <c r="F268" i="12" s="1"/>
  <c r="AH264" i="7"/>
  <c r="F265" i="12" s="1"/>
  <c r="AM264" i="7"/>
  <c r="AF275" i="7"/>
  <c r="AN65" i="7"/>
  <c r="AI65" i="7"/>
  <c r="T57" i="8"/>
  <c r="X137" i="8"/>
  <c r="BM48" i="12"/>
  <c r="AH301" i="7"/>
  <c r="F302" i="12" s="1"/>
  <c r="AM301" i="7"/>
  <c r="S171" i="12"/>
  <c r="L171" i="12"/>
  <c r="K171" i="12"/>
  <c r="AM286" i="7"/>
  <c r="AH286" i="7"/>
  <c r="F287" i="12" s="1"/>
  <c r="P157" i="8"/>
  <c r="K108" i="12"/>
  <c r="L108" i="12"/>
  <c r="S108" i="12"/>
  <c r="AH299" i="7"/>
  <c r="F300" i="12" s="1"/>
  <c r="AM299" i="7"/>
  <c r="K122" i="12"/>
  <c r="S122" i="12"/>
  <c r="L122" i="12"/>
  <c r="T124" i="8"/>
  <c r="AH302" i="7"/>
  <c r="F303" i="12" s="1"/>
  <c r="AM302" i="7"/>
  <c r="AN273" i="7"/>
  <c r="AI273" i="7"/>
  <c r="G274" i="12" s="1"/>
  <c r="X115" i="8"/>
  <c r="AC62" i="12"/>
  <c r="AF62" i="12"/>
  <c r="T94" i="8"/>
  <c r="T123" i="8"/>
  <c r="T141" i="8"/>
  <c r="X95" i="8"/>
  <c r="P145" i="8"/>
  <c r="BM103" i="12"/>
  <c r="S100" i="12"/>
  <c r="K100" i="12"/>
  <c r="L100" i="12"/>
  <c r="AI100" i="7"/>
  <c r="AN100" i="7"/>
  <c r="T109" i="8"/>
  <c r="AH313" i="7"/>
  <c r="F314" i="12" s="1"/>
  <c r="AM313" i="7"/>
  <c r="AH252" i="7"/>
  <c r="AM252" i="7"/>
  <c r="AM228" i="7"/>
  <c r="AH228" i="7"/>
  <c r="AH278" i="7"/>
  <c r="F279" i="12" s="1"/>
  <c r="AM278" i="7"/>
  <c r="AA195" i="8"/>
  <c r="AB195" i="8" s="1"/>
  <c r="AM311" i="7"/>
  <c r="AH311" i="7"/>
  <c r="F312" i="12" s="1"/>
  <c r="AH297" i="7"/>
  <c r="F298" i="12" s="1"/>
  <c r="AM297" i="7"/>
  <c r="AH298" i="7"/>
  <c r="F299" i="12" s="1"/>
  <c r="AM298" i="7"/>
  <c r="K38" i="12"/>
  <c r="S38" i="12"/>
  <c r="L38" i="12"/>
  <c r="K33" i="12"/>
  <c r="L33" i="12"/>
  <c r="S33" i="12"/>
  <c r="K30" i="12"/>
  <c r="S30" i="12"/>
  <c r="L30" i="12"/>
  <c r="AH239" i="7"/>
  <c r="F240" i="12" s="1"/>
  <c r="AM239" i="7"/>
  <c r="AF222" i="7"/>
  <c r="T179" i="8"/>
  <c r="AI56" i="7"/>
  <c r="AN56" i="7"/>
  <c r="AM310" i="7"/>
  <c r="AH310" i="7"/>
  <c r="F311" i="12" s="1"/>
  <c r="AF324" i="7"/>
  <c r="AM293" i="7"/>
  <c r="AH293" i="7"/>
  <c r="F294" i="12" s="1"/>
  <c r="G19" i="12"/>
  <c r="T87" i="8"/>
  <c r="AN174" i="7"/>
  <c r="AI174" i="7"/>
  <c r="T207" i="8"/>
  <c r="AN243" i="7"/>
  <c r="AI243" i="7"/>
  <c r="G244" i="12" s="1"/>
  <c r="AL5" i="7" l="1"/>
  <c r="G37" i="4" s="1"/>
  <c r="AF261" i="7"/>
  <c r="X186" i="13"/>
  <c r="L284" i="12"/>
  <c r="K284" i="12"/>
  <c r="AM261" i="7"/>
  <c r="G56" i="12"/>
  <c r="Y51" i="13"/>
  <c r="X94" i="8"/>
  <c r="AN310" i="7"/>
  <c r="AI310" i="7"/>
  <c r="G311" i="12" s="1"/>
  <c r="AA30" i="12"/>
  <c r="AC33" i="12"/>
  <c r="AF33" i="12"/>
  <c r="AC38" i="12"/>
  <c r="AI278" i="7"/>
  <c r="G279" i="12" s="1"/>
  <c r="AN278" i="7"/>
  <c r="K317" i="12"/>
  <c r="L317" i="12"/>
  <c r="AC100" i="12"/>
  <c r="Y190" i="13"/>
  <c r="AC108" i="12"/>
  <c r="T157" i="8"/>
  <c r="AN301" i="7"/>
  <c r="AI301" i="7"/>
  <c r="G302" i="12" s="1"/>
  <c r="AA172" i="12"/>
  <c r="AC172" i="12" s="1"/>
  <c r="L230" i="12"/>
  <c r="K230" i="12"/>
  <c r="P112" i="8"/>
  <c r="X178" i="8"/>
  <c r="AI19" i="12"/>
  <c r="AJ19" i="12"/>
  <c r="X132" i="8"/>
  <c r="X191" i="8"/>
  <c r="X70" i="8"/>
  <c r="K322" i="12"/>
  <c r="L322" i="12"/>
  <c r="AC78" i="12"/>
  <c r="P146" i="8"/>
  <c r="AN250" i="7"/>
  <c r="AI250" i="7"/>
  <c r="G251" i="12" s="1"/>
  <c r="Y185" i="13"/>
  <c r="W129" i="13"/>
  <c r="P16" i="31"/>
  <c r="P17" i="31" s="1"/>
  <c r="K238" i="12"/>
  <c r="L238" i="12"/>
  <c r="K298" i="12"/>
  <c r="L298" i="12"/>
  <c r="BM195" i="12"/>
  <c r="L279" i="12"/>
  <c r="K279" i="12"/>
  <c r="L229" i="12"/>
  <c r="K229" i="12"/>
  <c r="X113" i="13"/>
  <c r="AM316" i="7"/>
  <c r="AH316" i="7"/>
  <c r="F317" i="12" s="1"/>
  <c r="AP261" i="7"/>
  <c r="D290" i="12"/>
  <c r="L101" i="12"/>
  <c r="S101" i="12"/>
  <c r="K101" i="12"/>
  <c r="J4" i="12" s="1"/>
  <c r="X63" i="8"/>
  <c r="T29" i="8"/>
  <c r="J162" i="8"/>
  <c r="W162" i="8" s="1"/>
  <c r="K162" i="8"/>
  <c r="AP306" i="7"/>
  <c r="AI271" i="7"/>
  <c r="G272" i="12" s="1"/>
  <c r="AN271" i="7"/>
  <c r="AN315" i="7"/>
  <c r="AI315" i="7"/>
  <c r="G316" i="12" s="1"/>
  <c r="X135" i="8"/>
  <c r="G31" i="12"/>
  <c r="L273" i="12"/>
  <c r="K273" i="12"/>
  <c r="AN269" i="7"/>
  <c r="AI269" i="7"/>
  <c r="G270" i="12" s="1"/>
  <c r="X140" i="8"/>
  <c r="AC144" i="12"/>
  <c r="AF144" i="12"/>
  <c r="G143" i="12"/>
  <c r="X98" i="8"/>
  <c r="AI256" i="7"/>
  <c r="AN256" i="7"/>
  <c r="G120" i="12"/>
  <c r="X47" i="8"/>
  <c r="X34" i="8"/>
  <c r="K227" i="12"/>
  <c r="D232" i="12"/>
  <c r="L227" i="12"/>
  <c r="K311" i="12"/>
  <c r="L311" i="12"/>
  <c r="L5" i="12"/>
  <c r="AH231" i="7"/>
  <c r="AM231" i="7"/>
  <c r="AN312" i="7"/>
  <c r="AI312" i="7"/>
  <c r="G313" i="12" s="1"/>
  <c r="AI279" i="7"/>
  <c r="G280" i="12" s="1"/>
  <c r="AN279" i="7"/>
  <c r="L314" i="12"/>
  <c r="K314" i="12"/>
  <c r="T66" i="8"/>
  <c r="X77" i="8"/>
  <c r="AC142" i="12"/>
  <c r="AF142" i="12"/>
  <c r="X52" i="8"/>
  <c r="X138" i="13"/>
  <c r="AI319" i="7"/>
  <c r="G320" i="12" s="1"/>
  <c r="AN319" i="7"/>
  <c r="AC27" i="12"/>
  <c r="AF27" i="12"/>
  <c r="AC31" i="12"/>
  <c r="G13" i="12"/>
  <c r="L260" i="12"/>
  <c r="K260" i="12"/>
  <c r="L296" i="12"/>
  <c r="K296" i="12"/>
  <c r="K272" i="12"/>
  <c r="L272" i="12"/>
  <c r="G17" i="12"/>
  <c r="L251" i="12"/>
  <c r="K251" i="12"/>
  <c r="AN255" i="7"/>
  <c r="AI255" i="7"/>
  <c r="G256" i="12" s="1"/>
  <c r="AQ222" i="7"/>
  <c r="AQ8" i="7" s="1"/>
  <c r="AI237" i="7"/>
  <c r="G238" i="12" s="1"/>
  <c r="AN237" i="7"/>
  <c r="AN247" i="7"/>
  <c r="AI247" i="7"/>
  <c r="G248" i="12" s="1"/>
  <c r="X44" i="8"/>
  <c r="T165" i="8"/>
  <c r="X71" i="8"/>
  <c r="AN16" i="12"/>
  <c r="X193" i="8"/>
  <c r="K250" i="12"/>
  <c r="L250" i="12"/>
  <c r="W203" i="13"/>
  <c r="X79" i="8"/>
  <c r="X49" i="8"/>
  <c r="W204" i="13"/>
  <c r="AN244" i="7"/>
  <c r="AI244" i="7"/>
  <c r="G245" i="12" s="1"/>
  <c r="K241" i="12"/>
  <c r="L241" i="12"/>
  <c r="AN297" i="7"/>
  <c r="AI297" i="7"/>
  <c r="G298" i="12" s="1"/>
  <c r="AI313" i="7"/>
  <c r="G314" i="12" s="1"/>
  <c r="AN313" i="7"/>
  <c r="G174" i="12"/>
  <c r="X179" i="8"/>
  <c r="T145" i="8"/>
  <c r="X141" i="8"/>
  <c r="X123" i="8"/>
  <c r="AM283" i="7"/>
  <c r="AH283" i="7"/>
  <c r="F284" i="12" s="1"/>
  <c r="L252" i="12"/>
  <c r="K252" i="12"/>
  <c r="K254" i="12"/>
  <c r="L254" i="12"/>
  <c r="X207" i="8"/>
  <c r="X87" i="8"/>
  <c r="AN293" i="7"/>
  <c r="AI293" i="7"/>
  <c r="G294" i="12" s="1"/>
  <c r="AM324" i="7"/>
  <c r="AH324" i="7"/>
  <c r="K240" i="12"/>
  <c r="L240" i="12"/>
  <c r="L280" i="12"/>
  <c r="K280" i="12"/>
  <c r="AF289" i="7"/>
  <c r="F229" i="12"/>
  <c r="F319" i="12"/>
  <c r="F253" i="12"/>
  <c r="X109" i="8"/>
  <c r="AN302" i="7"/>
  <c r="AI302" i="7"/>
  <c r="G303" i="12" s="1"/>
  <c r="K301" i="12"/>
  <c r="L301" i="12"/>
  <c r="AI286" i="7"/>
  <c r="G287" i="12" s="1"/>
  <c r="AN286" i="7"/>
  <c r="AH275" i="7"/>
  <c r="AM275" i="7"/>
  <c r="AC210" i="12"/>
  <c r="AF210" i="12"/>
  <c r="T88" i="8"/>
  <c r="AN285" i="7"/>
  <c r="AI285" i="7"/>
  <c r="G286" i="12" s="1"/>
  <c r="T187" i="8"/>
  <c r="X189" i="8"/>
  <c r="G144" i="12"/>
  <c r="AC143" i="12"/>
  <c r="AI209" i="7"/>
  <c r="AN209" i="7"/>
  <c r="X156" i="8"/>
  <c r="AI321" i="7"/>
  <c r="AN321" i="7"/>
  <c r="L315" i="12"/>
  <c r="K315" i="12"/>
  <c r="X163" i="8"/>
  <c r="G12" i="12"/>
  <c r="G38" i="12"/>
  <c r="AA22" i="12"/>
  <c r="AC22" i="12" s="1"/>
  <c r="L281" i="12"/>
  <c r="K281" i="12"/>
  <c r="G26" i="12"/>
  <c r="L253" i="12"/>
  <c r="K253" i="12"/>
  <c r="O113" i="8"/>
  <c r="S113" i="8"/>
  <c r="V113" i="8"/>
  <c r="Z113" i="8"/>
  <c r="AC113" i="8" s="1"/>
  <c r="T175" i="8"/>
  <c r="X89" i="8"/>
  <c r="X111" i="8"/>
  <c r="L302" i="12"/>
  <c r="K302" i="12"/>
  <c r="AQ275" i="7"/>
  <c r="AN294" i="7"/>
  <c r="AI294" i="7"/>
  <c r="G295" i="12" s="1"/>
  <c r="L246" i="12"/>
  <c r="K246" i="12"/>
  <c r="AC13" i="12"/>
  <c r="AI259" i="7"/>
  <c r="G260" i="12" s="1"/>
  <c r="AN259" i="7"/>
  <c r="X134" i="8"/>
  <c r="X28" i="8"/>
  <c r="X97" i="8"/>
  <c r="L305" i="12"/>
  <c r="K305" i="12"/>
  <c r="W211" i="13"/>
  <c r="D222" i="12"/>
  <c r="K294" i="12"/>
  <c r="L294" i="12"/>
  <c r="L271" i="12"/>
  <c r="K271" i="12"/>
  <c r="G24" i="12"/>
  <c r="K247" i="12"/>
  <c r="L247" i="12"/>
  <c r="K36" i="8"/>
  <c r="J36" i="8"/>
  <c r="W36" i="8" s="1"/>
  <c r="X58" i="13"/>
  <c r="X117" i="8"/>
  <c r="K287" i="12"/>
  <c r="L287" i="12"/>
  <c r="L282" i="12"/>
  <c r="K282" i="12"/>
  <c r="AC14" i="12"/>
  <c r="AF14" i="12"/>
  <c r="X200" i="8"/>
  <c r="AI266" i="7"/>
  <c r="G267" i="12" s="1"/>
  <c r="AN266" i="7"/>
  <c r="T192" i="8"/>
  <c r="L288" i="12"/>
  <c r="K288" i="12"/>
  <c r="X84" i="8"/>
  <c r="X69" i="8"/>
  <c r="AC15" i="12"/>
  <c r="AC17" i="12"/>
  <c r="AF17" i="12"/>
  <c r="AI303" i="7"/>
  <c r="G304" i="12" s="1"/>
  <c r="AN303" i="7"/>
  <c r="K256" i="12"/>
  <c r="L256" i="12"/>
  <c r="AN235" i="7"/>
  <c r="AI235" i="7"/>
  <c r="G236" i="12" s="1"/>
  <c r="AI238" i="7"/>
  <c r="G239" i="12" s="1"/>
  <c r="AN238" i="7"/>
  <c r="AP222" i="7"/>
  <c r="AP8" i="7" s="1"/>
  <c r="Y133" i="13"/>
  <c r="AC23" i="12"/>
  <c r="X73" i="8"/>
  <c r="Y129" i="13"/>
  <c r="X68" i="8"/>
  <c r="X99" i="8"/>
  <c r="G122" i="12"/>
  <c r="W72" i="13"/>
  <c r="AM16" i="12"/>
  <c r="AK16" i="12"/>
  <c r="X149" i="8"/>
  <c r="G27" i="12"/>
  <c r="AN282" i="7"/>
  <c r="AI282" i="7"/>
  <c r="G283" i="12" s="1"/>
  <c r="X212" i="8"/>
  <c r="Y203" i="13"/>
  <c r="W133" i="13"/>
  <c r="X131" i="8"/>
  <c r="AN317" i="7"/>
  <c r="AI317" i="7"/>
  <c r="G318" i="12" s="1"/>
  <c r="X158" i="8"/>
  <c r="X154" i="8"/>
  <c r="AN265" i="7"/>
  <c r="AI265" i="7"/>
  <c r="G266" i="12" s="1"/>
  <c r="AM222" i="7"/>
  <c r="AM8" i="7" s="1"/>
  <c r="AF8" i="7"/>
  <c r="AF7" i="7" s="1"/>
  <c r="AH222" i="7"/>
  <c r="L248" i="12"/>
  <c r="K248" i="12"/>
  <c r="X124" i="8"/>
  <c r="AC171" i="12"/>
  <c r="X57" i="8"/>
  <c r="AN264" i="7"/>
  <c r="AI264" i="7"/>
  <c r="G265" i="12" s="1"/>
  <c r="AN267" i="7"/>
  <c r="AI267" i="7"/>
  <c r="G268" i="12" s="1"/>
  <c r="G14" i="12"/>
  <c r="L255" i="12"/>
  <c r="K255" i="12"/>
  <c r="AI249" i="7"/>
  <c r="G250" i="12" s="1"/>
  <c r="AN249" i="7"/>
  <c r="AI304" i="7"/>
  <c r="G305" i="12" s="1"/>
  <c r="AN304" i="7"/>
  <c r="L209" i="12"/>
  <c r="S209" i="12"/>
  <c r="K209" i="12"/>
  <c r="W107" i="13"/>
  <c r="X54" i="8"/>
  <c r="L257" i="12"/>
  <c r="K257" i="12"/>
  <c r="L228" i="12"/>
  <c r="K228" i="12"/>
  <c r="AI227" i="7"/>
  <c r="G228" i="12" s="1"/>
  <c r="AN227" i="7"/>
  <c r="Y211" i="13"/>
  <c r="T37" i="8"/>
  <c r="X197" i="8"/>
  <c r="P15" i="31"/>
  <c r="P13" i="31"/>
  <c r="AI284" i="7"/>
  <c r="G285" i="12" s="1"/>
  <c r="AN284" i="7"/>
  <c r="K239" i="12"/>
  <c r="L239" i="12"/>
  <c r="AI240" i="7"/>
  <c r="G241" i="12" s="1"/>
  <c r="AN240" i="7"/>
  <c r="L312" i="12"/>
  <c r="K312" i="12"/>
  <c r="K274" i="12"/>
  <c r="L274" i="12"/>
  <c r="K195" i="8"/>
  <c r="J195" i="8"/>
  <c r="W195" i="8" s="1"/>
  <c r="AC26" i="12"/>
  <c r="K319" i="12"/>
  <c r="L319" i="12"/>
  <c r="X50" i="8"/>
  <c r="X35" i="8"/>
  <c r="AI246" i="7"/>
  <c r="G247" i="12" s="1"/>
  <c r="AN246" i="7"/>
  <c r="X148" i="8"/>
  <c r="W51" i="13"/>
  <c r="T106" i="8"/>
  <c r="X166" i="8"/>
  <c r="BM162" i="12"/>
  <c r="AQ306" i="7"/>
  <c r="AN253" i="7"/>
  <c r="AI253" i="7"/>
  <c r="G254" i="12" s="1"/>
  <c r="AC128" i="12"/>
  <c r="AI236" i="7"/>
  <c r="G237" i="12" s="1"/>
  <c r="AN236" i="7"/>
  <c r="X167" i="8"/>
  <c r="K316" i="12"/>
  <c r="L316" i="12"/>
  <c r="AN287" i="7"/>
  <c r="AI287" i="7"/>
  <c r="G288" i="12" s="1"/>
  <c r="X75" i="8"/>
  <c r="BM164" i="12"/>
  <c r="F322" i="12"/>
  <c r="F257" i="12"/>
  <c r="AI314" i="7"/>
  <c r="G315" i="12" s="1"/>
  <c r="AN314" i="7"/>
  <c r="X104" i="8"/>
  <c r="K285" i="12"/>
  <c r="L285" i="12"/>
  <c r="AC12" i="12"/>
  <c r="S222" i="12"/>
  <c r="S8" i="12" s="1"/>
  <c r="AF12" i="12"/>
  <c r="AC56" i="12"/>
  <c r="AF56" i="12"/>
  <c r="P20" i="8"/>
  <c r="X116" i="8"/>
  <c r="AC18" i="12"/>
  <c r="L237" i="12"/>
  <c r="K237" i="12"/>
  <c r="G210" i="12"/>
  <c r="T169" i="8"/>
  <c r="X64" i="8"/>
  <c r="AN245" i="7"/>
  <c r="AI245" i="7"/>
  <c r="G246" i="12" s="1"/>
  <c r="X90" i="8"/>
  <c r="G213" i="12"/>
  <c r="L283" i="12"/>
  <c r="K283" i="12"/>
  <c r="W190" i="13"/>
  <c r="W186" i="13"/>
  <c r="AC174" i="12"/>
  <c r="AF174" i="12"/>
  <c r="X40" i="8"/>
  <c r="K299" i="12"/>
  <c r="L299" i="12"/>
  <c r="G23" i="12"/>
  <c r="P103" i="8"/>
  <c r="X176" i="8"/>
  <c r="X159" i="8"/>
  <c r="G142" i="12"/>
  <c r="X147" i="8"/>
  <c r="T130" i="8"/>
  <c r="X177" i="8"/>
  <c r="G108" i="12"/>
  <c r="AF306" i="7"/>
  <c r="AH296" i="7"/>
  <c r="F297" i="12" s="1"/>
  <c r="AM296" i="7"/>
  <c r="G128" i="12"/>
  <c r="P48" i="8"/>
  <c r="AA41" i="12"/>
  <c r="P160" i="8"/>
  <c r="G80" i="12"/>
  <c r="AC102" i="12"/>
  <c r="X201" i="8"/>
  <c r="X180" i="8"/>
  <c r="X170" i="8"/>
  <c r="G182" i="12"/>
  <c r="O185" i="8"/>
  <c r="S185" i="8"/>
  <c r="V185" i="8"/>
  <c r="Z185" i="8"/>
  <c r="AC185" i="8" s="1"/>
  <c r="X168" i="8"/>
  <c r="L4" i="12"/>
  <c r="AN298" i="7"/>
  <c r="AI298" i="7"/>
  <c r="G299" i="12" s="1"/>
  <c r="AI252" i="7"/>
  <c r="AN252" i="7"/>
  <c r="AN239" i="7"/>
  <c r="AI239" i="7"/>
  <c r="G240" i="12" s="1"/>
  <c r="L313" i="12"/>
  <c r="K313" i="12"/>
  <c r="D276" i="12"/>
  <c r="K266" i="12"/>
  <c r="L266" i="12"/>
  <c r="AN311" i="7"/>
  <c r="AI311" i="7"/>
  <c r="G312" i="12" s="1"/>
  <c r="AI228" i="7"/>
  <c r="AN228" i="7"/>
  <c r="G100" i="12"/>
  <c r="AG62" i="12"/>
  <c r="AA122" i="12"/>
  <c r="AC122" i="12" s="1"/>
  <c r="AN299" i="7"/>
  <c r="AI299" i="7"/>
  <c r="G300" i="12" s="1"/>
  <c r="L300" i="12"/>
  <c r="K300" i="12"/>
  <c r="L320" i="12"/>
  <c r="K320" i="12"/>
  <c r="G65" i="12"/>
  <c r="AI281" i="7"/>
  <c r="G282" i="12" s="1"/>
  <c r="AN281" i="7"/>
  <c r="L323" i="12"/>
  <c r="K323" i="12"/>
  <c r="K259" i="12"/>
  <c r="L259" i="12"/>
  <c r="X155" i="8"/>
  <c r="D325" i="12"/>
  <c r="AI254" i="7"/>
  <c r="G255" i="12" s="1"/>
  <c r="AN254" i="7"/>
  <c r="AC7" i="7"/>
  <c r="G15" i="12"/>
  <c r="X153" i="8"/>
  <c r="K304" i="12"/>
  <c r="L304" i="12"/>
  <c r="AH257" i="7"/>
  <c r="F258" i="12" s="1"/>
  <c r="AM257" i="7"/>
  <c r="AC182" i="12"/>
  <c r="L245" i="12"/>
  <c r="K245" i="12"/>
  <c r="AF185" i="13"/>
  <c r="X152" i="8"/>
  <c r="X202" i="8"/>
  <c r="AC24" i="12"/>
  <c r="AQ261" i="7"/>
  <c r="AN280" i="7"/>
  <c r="AI280" i="7"/>
  <c r="G281" i="12" s="1"/>
  <c r="AC139" i="12"/>
  <c r="AF139" i="12"/>
  <c r="AI241" i="7"/>
  <c r="G242" i="12" s="1"/>
  <c r="AN241" i="7"/>
  <c r="G55" i="12"/>
  <c r="AF113" i="13"/>
  <c r="AM248" i="7"/>
  <c r="AH248" i="7"/>
  <c r="F249" i="12" s="1"/>
  <c r="AI101" i="7"/>
  <c r="AN101" i="7"/>
  <c r="AN4" i="7" s="1"/>
  <c r="G38" i="4" s="1"/>
  <c r="G21" i="12"/>
  <c r="P151" i="8"/>
  <c r="AI251" i="7"/>
  <c r="G252" i="12" s="1"/>
  <c r="AN251" i="7"/>
  <c r="X136" i="8"/>
  <c r="Y186" i="13"/>
  <c r="AQ289" i="7"/>
  <c r="AI322" i="7"/>
  <c r="G323" i="12" s="1"/>
  <c r="AN322" i="7"/>
  <c r="G41" i="12"/>
  <c r="AA80" i="12"/>
  <c r="AC80" i="12" s="1"/>
  <c r="L269" i="12"/>
  <c r="K269" i="12"/>
  <c r="G172" i="12"/>
  <c r="X125" i="8"/>
  <c r="P198" i="8"/>
  <c r="K164" i="8"/>
  <c r="J164" i="8"/>
  <c r="W164" i="8" s="1"/>
  <c r="Y92" i="13"/>
  <c r="X150" i="8"/>
  <c r="G78" i="12"/>
  <c r="X183" i="8"/>
  <c r="AP231" i="7"/>
  <c r="L236" i="12"/>
  <c r="K236" i="12"/>
  <c r="AN226" i="7"/>
  <c r="AI226" i="7"/>
  <c r="G227" i="12" s="1"/>
  <c r="AN242" i="7"/>
  <c r="AI242" i="7"/>
  <c r="G243" i="12" s="1"/>
  <c r="K243" i="12"/>
  <c r="L243" i="12"/>
  <c r="G33" i="12"/>
  <c r="G22" i="12"/>
  <c r="G139" i="12"/>
  <c r="L242" i="12"/>
  <c r="K242" i="12"/>
  <c r="AC55" i="12"/>
  <c r="AC81" i="12"/>
  <c r="BM36" i="12"/>
  <c r="K303" i="12"/>
  <c r="L303" i="12"/>
  <c r="AC21" i="12"/>
  <c r="X46" i="8"/>
  <c r="AN300" i="7"/>
  <c r="AI300" i="7"/>
  <c r="G301" i="12" s="1"/>
  <c r="X181" i="8"/>
  <c r="G18" i="12"/>
  <c r="AI268" i="7"/>
  <c r="G269" i="12" s="1"/>
  <c r="AN268" i="7"/>
  <c r="AM229" i="7"/>
  <c r="AH229" i="7"/>
  <c r="F230" i="12" s="1"/>
  <c r="AC65" i="12"/>
  <c r="L268" i="12"/>
  <c r="K268" i="12"/>
  <c r="K295" i="12"/>
  <c r="L295" i="12"/>
  <c r="T217" i="8"/>
  <c r="AN258" i="7"/>
  <c r="AI258" i="7"/>
  <c r="G259" i="12" s="1"/>
  <c r="G102" i="12"/>
  <c r="AI272" i="7"/>
  <c r="G273" i="12" s="1"/>
  <c r="AN272" i="7"/>
  <c r="AC213" i="12"/>
  <c r="AI295" i="7"/>
  <c r="G296" i="12" s="1"/>
  <c r="AN295" i="7"/>
  <c r="K270" i="12"/>
  <c r="L270" i="12"/>
  <c r="L318" i="12"/>
  <c r="K318" i="12"/>
  <c r="AC120" i="12"/>
  <c r="O186" i="8"/>
  <c r="S186" i="8"/>
  <c r="V186" i="8"/>
  <c r="Z186" i="8"/>
  <c r="AC186" i="8" s="1"/>
  <c r="AN270" i="7"/>
  <c r="AI270" i="7"/>
  <c r="G271" i="12" s="1"/>
  <c r="AP275" i="7"/>
  <c r="G30" i="12"/>
  <c r="X114" i="8"/>
  <c r="AI318" i="7"/>
  <c r="AN318" i="7"/>
  <c r="G81" i="12"/>
  <c r="X126" i="8"/>
  <c r="AP289" i="7"/>
  <c r="Y113" i="13"/>
  <c r="G171" i="12"/>
  <c r="W53" i="13"/>
  <c r="T39" i="8"/>
  <c r="K267" i="12"/>
  <c r="L267" i="12"/>
  <c r="P43" i="8"/>
  <c r="AH320" i="7"/>
  <c r="F321" i="12" s="1"/>
  <c r="AM320" i="7"/>
  <c r="X74" i="8"/>
  <c r="X173" i="8"/>
  <c r="P42" i="8"/>
  <c r="W92" i="13"/>
  <c r="X215" i="8"/>
  <c r="X185" i="13"/>
  <c r="X82" i="8"/>
  <c r="AH261" i="7" l="1"/>
  <c r="X51" i="13"/>
  <c r="AQ231" i="7"/>
  <c r="L290" i="12"/>
  <c r="K290" i="12"/>
  <c r="AG172" i="12"/>
  <c r="K325" i="12"/>
  <c r="L325" i="12"/>
  <c r="AI320" i="7"/>
  <c r="G321" i="12" s="1"/>
  <c r="AN320" i="7"/>
  <c r="X39" i="8"/>
  <c r="AF53" i="13"/>
  <c r="Y214" i="13"/>
  <c r="Y86" i="13"/>
  <c r="AG65" i="12"/>
  <c r="AG81" i="12"/>
  <c r="AN248" i="7"/>
  <c r="AI248" i="7"/>
  <c r="G249" i="12" s="1"/>
  <c r="AI257" i="7"/>
  <c r="G258" i="12" s="1"/>
  <c r="AN257" i="7"/>
  <c r="AG122" i="12"/>
  <c r="AJ62" i="12"/>
  <c r="AI62" i="12"/>
  <c r="L276" i="12"/>
  <c r="K276" i="12"/>
  <c r="AH306" i="7"/>
  <c r="AM306" i="7"/>
  <c r="W86" i="13"/>
  <c r="X110" i="13"/>
  <c r="AG174" i="12"/>
  <c r="X169" i="8"/>
  <c r="AG18" i="12"/>
  <c r="Y138" i="13"/>
  <c r="W76" i="13"/>
  <c r="AG128" i="12"/>
  <c r="X106" i="8"/>
  <c r="AG26" i="12"/>
  <c r="Y119" i="13"/>
  <c r="F232" i="12"/>
  <c r="F290" i="12"/>
  <c r="AH8" i="7"/>
  <c r="F325" i="12"/>
  <c r="F262" i="12"/>
  <c r="F307" i="12"/>
  <c r="F276" i="12"/>
  <c r="Z72" i="8"/>
  <c r="AC72" i="8" s="1"/>
  <c r="O72" i="8"/>
  <c r="S72" i="8"/>
  <c r="V72" i="8"/>
  <c r="AA72" i="13"/>
  <c r="Y188" i="13"/>
  <c r="Y218" i="13"/>
  <c r="Y91" i="13"/>
  <c r="AG14" i="12"/>
  <c r="AG22" i="12"/>
  <c r="W25" i="13"/>
  <c r="X25" i="13"/>
  <c r="X32" i="13"/>
  <c r="AI275" i="7"/>
  <c r="AN275" i="7"/>
  <c r="Y59" i="13"/>
  <c r="AG31" i="12"/>
  <c r="L232" i="12"/>
  <c r="K232" i="12"/>
  <c r="G257" i="12"/>
  <c r="G322" i="12"/>
  <c r="W214" i="13"/>
  <c r="X214" i="13"/>
  <c r="Y53" i="13"/>
  <c r="AA101" i="12"/>
  <c r="AC101" i="12" s="1"/>
  <c r="AN316" i="7"/>
  <c r="AI316" i="7"/>
  <c r="G317" i="12" s="1"/>
  <c r="AN5" i="7"/>
  <c r="G39" i="4" s="1"/>
  <c r="AF129" i="13"/>
  <c r="W161" i="13"/>
  <c r="S232" i="12"/>
  <c r="X76" i="13"/>
  <c r="X157" i="8"/>
  <c r="Z53" i="8"/>
  <c r="AC53" i="8" s="1"/>
  <c r="O53" i="8"/>
  <c r="S53" i="8"/>
  <c r="V53" i="8"/>
  <c r="AI229" i="7"/>
  <c r="G230" i="12" s="1"/>
  <c r="AN229" i="7"/>
  <c r="Y25" i="13"/>
  <c r="T42" i="8"/>
  <c r="T43" i="8"/>
  <c r="X53" i="13"/>
  <c r="AG120" i="12"/>
  <c r="Y127" i="13"/>
  <c r="AG213" i="12"/>
  <c r="X217" i="8"/>
  <c r="Y110" i="13"/>
  <c r="AG21" i="12"/>
  <c r="AG55" i="12"/>
  <c r="AG80" i="12"/>
  <c r="G101" i="12"/>
  <c r="G253" i="12"/>
  <c r="G229" i="12"/>
  <c r="G319" i="12"/>
  <c r="AG102" i="12"/>
  <c r="AI296" i="7"/>
  <c r="G297" i="12" s="1"/>
  <c r="AN296" i="7"/>
  <c r="O190" i="8"/>
  <c r="S190" i="8"/>
  <c r="V190" i="8"/>
  <c r="Z190" i="8"/>
  <c r="AC190" i="8" s="1"/>
  <c r="AF190" i="13"/>
  <c r="AA190" i="13"/>
  <c r="S290" i="12"/>
  <c r="T20" i="8"/>
  <c r="AG56" i="12"/>
  <c r="AG12" i="12"/>
  <c r="P195" i="8"/>
  <c r="AF107" i="13"/>
  <c r="W199" i="13"/>
  <c r="Y107" i="13"/>
  <c r="O96" i="8"/>
  <c r="S96" i="8"/>
  <c r="V96" i="8"/>
  <c r="Z96" i="8"/>
  <c r="AC96" i="8" s="1"/>
  <c r="AF133" i="13"/>
  <c r="Y96" i="13"/>
  <c r="X72" i="13"/>
  <c r="AG23" i="12"/>
  <c r="W115" i="13"/>
  <c r="X192" i="8"/>
  <c r="W83" i="13"/>
  <c r="AA211" i="13"/>
  <c r="AF211" i="13"/>
  <c r="AG13" i="12"/>
  <c r="X175" i="8"/>
  <c r="P21" i="31"/>
  <c r="AG143" i="12"/>
  <c r="AN283" i="7"/>
  <c r="AI283" i="7"/>
  <c r="G284" i="12" s="1"/>
  <c r="Y45" i="13"/>
  <c r="AA204" i="13"/>
  <c r="AA203" i="13"/>
  <c r="AF203" i="13"/>
  <c r="BK16" i="12"/>
  <c r="BF16" i="12"/>
  <c r="X165" i="8"/>
  <c r="AG27" i="12"/>
  <c r="W138" i="13"/>
  <c r="AG142" i="12"/>
  <c r="X66" i="8"/>
  <c r="AI231" i="7"/>
  <c r="AN231" i="7"/>
  <c r="Y118" i="13"/>
  <c r="T146" i="8"/>
  <c r="T112" i="8"/>
  <c r="AG108" i="12"/>
  <c r="Y219" i="13"/>
  <c r="X85" i="13"/>
  <c r="AF92" i="13"/>
  <c r="Y137" i="13"/>
  <c r="W208" i="13"/>
  <c r="W110" i="13"/>
  <c r="T198" i="8"/>
  <c r="Y105" i="13"/>
  <c r="AG139" i="12"/>
  <c r="AC41" i="12"/>
  <c r="T48" i="8"/>
  <c r="X130" i="8"/>
  <c r="X67" i="13"/>
  <c r="W67" i="13"/>
  <c r="Y161" i="13"/>
  <c r="AF186" i="13"/>
  <c r="X190" i="13"/>
  <c r="Y121" i="13"/>
  <c r="V107" i="8"/>
  <c r="O107" i="8"/>
  <c r="S107" i="8"/>
  <c r="Z107" i="8"/>
  <c r="AC107" i="8" s="1"/>
  <c r="K258" i="12"/>
  <c r="L258" i="12"/>
  <c r="AG171" i="12"/>
  <c r="AG8" i="7"/>
  <c r="AI222" i="7"/>
  <c r="AN222" i="7"/>
  <c r="AN8" i="7" s="1"/>
  <c r="X96" i="13"/>
  <c r="O133" i="8"/>
  <c r="S133" i="8"/>
  <c r="V133" i="8"/>
  <c r="Z133" i="8"/>
  <c r="AC133" i="8" s="1"/>
  <c r="W91" i="13"/>
  <c r="W137" i="13"/>
  <c r="X137" i="13"/>
  <c r="BB16" i="12"/>
  <c r="BE16" i="12"/>
  <c r="AQ16" i="12"/>
  <c r="BJ16" i="12"/>
  <c r="W205" i="13"/>
  <c r="AG15" i="12"/>
  <c r="Y58" i="13"/>
  <c r="Z58" i="8"/>
  <c r="AC58" i="8" s="1"/>
  <c r="O58" i="8"/>
  <c r="S58" i="8"/>
  <c r="V58" i="8"/>
  <c r="P36" i="8"/>
  <c r="Z211" i="8"/>
  <c r="AC211" i="8" s="1"/>
  <c r="O211" i="8"/>
  <c r="S211" i="8"/>
  <c r="V211" i="8"/>
  <c r="W127" i="13"/>
  <c r="AF113" i="8"/>
  <c r="AD113" i="8"/>
  <c r="P22" i="31"/>
  <c r="P23" i="31" s="1"/>
  <c r="X187" i="8"/>
  <c r="X88" i="8"/>
  <c r="Y115" i="13"/>
  <c r="AH289" i="7"/>
  <c r="AM289" i="7"/>
  <c r="D262" i="12"/>
  <c r="AI324" i="7"/>
  <c r="AN324" i="7"/>
  <c r="W218" i="13"/>
  <c r="X218" i="13"/>
  <c r="X203" i="13"/>
  <c r="W45" i="13"/>
  <c r="Y220" i="13"/>
  <c r="O204" i="8"/>
  <c r="S204" i="8"/>
  <c r="V204" i="8"/>
  <c r="Z204" i="8"/>
  <c r="AC204" i="8" s="1"/>
  <c r="Y72" i="13"/>
  <c r="K265" i="12"/>
  <c r="L265" i="12"/>
  <c r="D307" i="12"/>
  <c r="L297" i="12"/>
  <c r="K297" i="12"/>
  <c r="AG144" i="12"/>
  <c r="X29" i="8"/>
  <c r="K249" i="12"/>
  <c r="L249" i="12"/>
  <c r="Z129" i="8"/>
  <c r="AC129" i="8" s="1"/>
  <c r="O129" i="8"/>
  <c r="S129" i="8"/>
  <c r="V129" i="8"/>
  <c r="Z161" i="8"/>
  <c r="AC161" i="8" s="1"/>
  <c r="O161" i="8"/>
  <c r="S161" i="8"/>
  <c r="V161" i="8"/>
  <c r="AG78" i="12"/>
  <c r="AN19" i="12"/>
  <c r="AG33" i="12"/>
  <c r="AC30" i="12"/>
  <c r="X92" i="13"/>
  <c r="O92" i="8"/>
  <c r="S92" i="8"/>
  <c r="V92" i="8"/>
  <c r="Z92" i="8"/>
  <c r="AC92" i="8" s="1"/>
  <c r="AD186" i="8"/>
  <c r="AF186" i="8"/>
  <c r="P164" i="8"/>
  <c r="W216" i="13"/>
  <c r="X216" i="13"/>
  <c r="T151" i="8"/>
  <c r="AG24" i="12"/>
  <c r="AG182" i="12"/>
  <c r="L321" i="12"/>
  <c r="K321" i="12"/>
  <c r="AF185" i="8"/>
  <c r="AD185" i="8"/>
  <c r="T160" i="8"/>
  <c r="T103" i="8"/>
  <c r="S307" i="12"/>
  <c r="W220" i="13"/>
  <c r="Z51" i="8"/>
  <c r="AC51" i="8" s="1"/>
  <c r="O51" i="8"/>
  <c r="S51" i="8"/>
  <c r="V51" i="8"/>
  <c r="AF51" i="13"/>
  <c r="X37" i="8"/>
  <c r="X107" i="13"/>
  <c r="AA209" i="12"/>
  <c r="W96" i="13"/>
  <c r="X133" i="13"/>
  <c r="AG17" i="12"/>
  <c r="W219" i="13"/>
  <c r="X219" i="13"/>
  <c r="W58" i="13"/>
  <c r="W121" i="13"/>
  <c r="K222" i="12"/>
  <c r="K8" i="12" s="1"/>
  <c r="D8" i="12"/>
  <c r="X211" i="13"/>
  <c r="W59" i="13"/>
  <c r="W188" i="13"/>
  <c r="X188" i="13"/>
  <c r="P19" i="31"/>
  <c r="O32" i="8"/>
  <c r="S32" i="8"/>
  <c r="V32" i="8"/>
  <c r="Z32" i="8"/>
  <c r="AC32" i="8" s="1"/>
  <c r="G209" i="12"/>
  <c r="AG210" i="12"/>
  <c r="X145" i="8"/>
  <c r="Y204" i="13"/>
  <c r="Y205" i="13"/>
  <c r="Z203" i="8"/>
  <c r="AC203" i="8" s="1"/>
  <c r="O203" i="8"/>
  <c r="S203" i="8"/>
  <c r="V203" i="8"/>
  <c r="X204" i="13"/>
  <c r="W32" i="13"/>
  <c r="O138" i="8"/>
  <c r="S138" i="8"/>
  <c r="V138" i="8"/>
  <c r="Z138" i="8"/>
  <c r="AC138" i="8" s="1"/>
  <c r="P162" i="8"/>
  <c r="K286" i="12"/>
  <c r="L286" i="12"/>
  <c r="W105" i="13"/>
  <c r="X129" i="13"/>
  <c r="X161" i="13"/>
  <c r="AM19" i="12"/>
  <c r="AK19" i="12"/>
  <c r="W118" i="13"/>
  <c r="AG100" i="12"/>
  <c r="AG38" i="12"/>
  <c r="S276" i="12"/>
  <c r="AI261" i="7"/>
  <c r="AN261" i="7"/>
  <c r="X105" i="13" l="1"/>
  <c r="X61" i="13"/>
  <c r="Y76" i="13"/>
  <c r="S262" i="12"/>
  <c r="X194" i="13"/>
  <c r="X59" i="13"/>
  <c r="X121" i="13"/>
  <c r="X220" i="13"/>
  <c r="X205" i="13"/>
  <c r="W93" i="13"/>
  <c r="AF93" i="13" s="1"/>
  <c r="X118" i="13"/>
  <c r="S325" i="12"/>
  <c r="AF276" i="12"/>
  <c r="X45" i="13"/>
  <c r="X115" i="13"/>
  <c r="X86" i="13"/>
  <c r="Y199" i="13"/>
  <c r="AF127" i="13"/>
  <c r="O194" i="8"/>
  <c r="S194" i="8"/>
  <c r="V194" i="8"/>
  <c r="Z194" i="8"/>
  <c r="AC194" i="8" s="1"/>
  <c r="AQ19" i="12"/>
  <c r="BJ19" i="12"/>
  <c r="BB19" i="12"/>
  <c r="BE19" i="12"/>
  <c r="Z118" i="8"/>
  <c r="AC118" i="8" s="1"/>
  <c r="O118" i="8"/>
  <c r="S118" i="8"/>
  <c r="V118" i="8"/>
  <c r="AA118" i="13"/>
  <c r="AF118" i="13"/>
  <c r="AD138" i="8"/>
  <c r="AF138" i="8"/>
  <c r="W94" i="13"/>
  <c r="Y32" i="13"/>
  <c r="Y111" i="13"/>
  <c r="W156" i="13"/>
  <c r="W47" i="13"/>
  <c r="O121" i="8"/>
  <c r="S121" i="8"/>
  <c r="V121" i="8"/>
  <c r="Z121" i="8"/>
  <c r="AC121" i="8" s="1"/>
  <c r="AA121" i="13"/>
  <c r="AF121" i="13"/>
  <c r="Z219" i="8"/>
  <c r="AC219" i="8" s="1"/>
  <c r="O219" i="8"/>
  <c r="S219" i="8"/>
  <c r="V219" i="8"/>
  <c r="W49" i="13"/>
  <c r="X49" i="13"/>
  <c r="Y49" i="13"/>
  <c r="Y180" i="13"/>
  <c r="Y90" i="13"/>
  <c r="W201" i="13"/>
  <c r="W64" i="13"/>
  <c r="Y150" i="13"/>
  <c r="AH185" i="8"/>
  <c r="F185" i="13" s="1"/>
  <c r="AM185" i="8"/>
  <c r="AP185" i="8"/>
  <c r="D185" i="13"/>
  <c r="AQ185" i="8"/>
  <c r="W170" i="13"/>
  <c r="O216" i="8"/>
  <c r="S216" i="8"/>
  <c r="V216" i="8"/>
  <c r="Z216" i="8"/>
  <c r="AC216" i="8" s="1"/>
  <c r="Y166" i="13"/>
  <c r="AP186" i="8"/>
  <c r="AM186" i="8"/>
  <c r="D186" i="13"/>
  <c r="AH186" i="8"/>
  <c r="F186" i="13" s="1"/>
  <c r="AQ186" i="8"/>
  <c r="Y168" i="13"/>
  <c r="Y200" i="13"/>
  <c r="AG30" i="12"/>
  <c r="W179" i="13"/>
  <c r="AF45" i="13"/>
  <c r="AA45" i="13"/>
  <c r="L262" i="12"/>
  <c r="K262" i="12"/>
  <c r="Y197" i="13"/>
  <c r="W28" i="13"/>
  <c r="AF205" i="13"/>
  <c r="D16" i="8"/>
  <c r="BH16" i="12"/>
  <c r="X91" i="13"/>
  <c r="AJ171" i="12"/>
  <c r="AI171" i="12"/>
  <c r="Y47" i="13"/>
  <c r="O119" i="8"/>
  <c r="S119" i="8"/>
  <c r="V119" i="8"/>
  <c r="Z119" i="8"/>
  <c r="AC119" i="8" s="1"/>
  <c r="X119" i="13"/>
  <c r="W119" i="13"/>
  <c r="AF325" i="12"/>
  <c r="W34" i="13"/>
  <c r="W95" i="13"/>
  <c r="W68" i="13"/>
  <c r="X68" i="13"/>
  <c r="Y178" i="13"/>
  <c r="W163" i="13"/>
  <c r="W85" i="13"/>
  <c r="W57" i="13"/>
  <c r="W60" i="13"/>
  <c r="Y176" i="13"/>
  <c r="Y35" i="13"/>
  <c r="AJ143" i="12"/>
  <c r="AI143" i="12"/>
  <c r="W177" i="13"/>
  <c r="Y147" i="13"/>
  <c r="Y126" i="13"/>
  <c r="W173" i="13"/>
  <c r="X173" i="13"/>
  <c r="Y46" i="13"/>
  <c r="W200" i="13"/>
  <c r="AF115" i="13"/>
  <c r="AJ23" i="12"/>
  <c r="AI23" i="12"/>
  <c r="AD96" i="8"/>
  <c r="AF96" i="8"/>
  <c r="Y215" i="13"/>
  <c r="X20" i="8"/>
  <c r="W50" i="13"/>
  <c r="Y201" i="13"/>
  <c r="W87" i="13"/>
  <c r="AI80" i="12"/>
  <c r="AJ80" i="12"/>
  <c r="Y152" i="13"/>
  <c r="Y149" i="13"/>
  <c r="X196" i="13"/>
  <c r="AJ120" i="12"/>
  <c r="AI120" i="12"/>
  <c r="W52" i="13"/>
  <c r="W90" i="13"/>
  <c r="X42" i="8"/>
  <c r="Y154" i="13"/>
  <c r="AD53" i="8"/>
  <c r="AF53" i="8"/>
  <c r="AF214" i="13"/>
  <c r="AA214" i="13"/>
  <c r="Y74" i="13"/>
  <c r="Y109" i="13"/>
  <c r="W61" i="13"/>
  <c r="X208" i="13"/>
  <c r="W202" i="13"/>
  <c r="X202" i="13"/>
  <c r="Y217" i="13"/>
  <c r="AJ26" i="12"/>
  <c r="AI26" i="12"/>
  <c r="W126" i="13"/>
  <c r="O110" i="8"/>
  <c r="S110" i="8"/>
  <c r="V110" i="8"/>
  <c r="Z110" i="8"/>
  <c r="AC110" i="8" s="1"/>
  <c r="Z86" i="8"/>
  <c r="AC86" i="8" s="1"/>
  <c r="O86" i="8"/>
  <c r="S86" i="8"/>
  <c r="V86" i="8"/>
  <c r="AF86" i="13"/>
  <c r="AM62" i="12"/>
  <c r="AK62" i="12"/>
  <c r="AI122" i="12"/>
  <c r="AJ122" i="12"/>
  <c r="W193" i="13"/>
  <c r="X193" i="13"/>
  <c r="Y82" i="13"/>
  <c r="AI81" i="12"/>
  <c r="AJ81" i="12"/>
  <c r="AJ65" i="12"/>
  <c r="AI65" i="12"/>
  <c r="AI38" i="12"/>
  <c r="AJ38" i="12"/>
  <c r="W104" i="13"/>
  <c r="AD203" i="8"/>
  <c r="AF203" i="8"/>
  <c r="AJ100" i="12"/>
  <c r="AI100" i="12"/>
  <c r="AF105" i="13"/>
  <c r="Y158" i="13"/>
  <c r="AF32" i="8"/>
  <c r="AD32" i="8"/>
  <c r="Y196" i="13"/>
  <c r="Z95" i="8"/>
  <c r="AC95" i="8" s="1"/>
  <c r="O95" i="8"/>
  <c r="S95" i="8"/>
  <c r="V95" i="8"/>
  <c r="Y135" i="13"/>
  <c r="W191" i="13"/>
  <c r="X191" i="13"/>
  <c r="AC209" i="12"/>
  <c r="X71" i="13"/>
  <c r="Y61" i="13"/>
  <c r="Y104" i="13"/>
  <c r="W82" i="13"/>
  <c r="AI33" i="12"/>
  <c r="AJ33" i="12"/>
  <c r="Y131" i="13"/>
  <c r="AJ78" i="12"/>
  <c r="AI78" i="12"/>
  <c r="AD161" i="8"/>
  <c r="AF161" i="8"/>
  <c r="AF129" i="8"/>
  <c r="AD129" i="8"/>
  <c r="Y179" i="13"/>
  <c r="Y75" i="13"/>
  <c r="AD204" i="8"/>
  <c r="AF204" i="8"/>
  <c r="Z45" i="8"/>
  <c r="AC45" i="8" s="1"/>
  <c r="O45" i="8"/>
  <c r="S45" i="8"/>
  <c r="V45" i="8"/>
  <c r="Y69" i="13"/>
  <c r="AF218" i="13"/>
  <c r="W178" i="13"/>
  <c r="O127" i="8"/>
  <c r="S127" i="8"/>
  <c r="V127" i="8"/>
  <c r="Z127" i="8"/>
  <c r="AC127" i="8" s="1"/>
  <c r="T36" i="8"/>
  <c r="W207" i="13"/>
  <c r="X207" i="13"/>
  <c r="W98" i="13"/>
  <c r="G262" i="12"/>
  <c r="AI8" i="7"/>
  <c r="G290" i="12"/>
  <c r="G325" i="12"/>
  <c r="G276" i="12"/>
  <c r="G307" i="12"/>
  <c r="G232" i="12"/>
  <c r="O60" i="8"/>
  <c r="S60" i="8"/>
  <c r="V60" i="8"/>
  <c r="Z60" i="8"/>
  <c r="AC60" i="8" s="1"/>
  <c r="AF262" i="12"/>
  <c r="Y68" i="13"/>
  <c r="AA67" i="13"/>
  <c r="O67" i="8"/>
  <c r="S67" i="8"/>
  <c r="V67" i="8"/>
  <c r="Z67" i="8"/>
  <c r="AC67" i="8" s="1"/>
  <c r="X48" i="8"/>
  <c r="W141" i="13"/>
  <c r="X141" i="13"/>
  <c r="Y208" i="13"/>
  <c r="Y117" i="13"/>
  <c r="W109" i="13"/>
  <c r="Y163" i="13"/>
  <c r="AF138" i="13"/>
  <c r="Y93" i="13"/>
  <c r="Y202" i="13"/>
  <c r="X83" i="13"/>
  <c r="AF199" i="13"/>
  <c r="W125" i="13"/>
  <c r="X125" i="13"/>
  <c r="AJ56" i="12"/>
  <c r="AI56" i="12"/>
  <c r="Y52" i="13"/>
  <c r="Y87" i="13"/>
  <c r="Y155" i="13"/>
  <c r="AI55" i="12"/>
  <c r="AJ55" i="12"/>
  <c r="Z196" i="8"/>
  <c r="AC196" i="8" s="1"/>
  <c r="O196" i="8"/>
  <c r="S196" i="8"/>
  <c r="V196" i="8"/>
  <c r="Y98" i="13"/>
  <c r="Y73" i="13"/>
  <c r="Y28" i="13"/>
  <c r="Y141" i="13"/>
  <c r="X93" i="13"/>
  <c r="Y40" i="13"/>
  <c r="AA290" i="12"/>
  <c r="O214" i="8"/>
  <c r="S214" i="8"/>
  <c r="V214" i="8"/>
  <c r="Z214" i="8"/>
  <c r="AC214" i="8" s="1"/>
  <c r="Y212" i="13"/>
  <c r="AA25" i="13"/>
  <c r="AF25" i="13"/>
  <c r="Z208" i="8"/>
  <c r="AC208" i="8" s="1"/>
  <c r="O208" i="8"/>
  <c r="S208" i="8"/>
  <c r="V208" i="8"/>
  <c r="W140" i="13"/>
  <c r="X140" i="13"/>
  <c r="AD72" i="8"/>
  <c r="AF72" i="8"/>
  <c r="Y116" i="13"/>
  <c r="Y83" i="13"/>
  <c r="AJ18" i="12"/>
  <c r="AI18" i="12"/>
  <c r="AI174" i="12"/>
  <c r="AJ174" i="12"/>
  <c r="AN62" i="12"/>
  <c r="Y125" i="13"/>
  <c r="W158" i="13"/>
  <c r="W35" i="13"/>
  <c r="AJ210" i="12"/>
  <c r="AI210" i="12"/>
  <c r="O59" i="8"/>
  <c r="S59" i="8"/>
  <c r="V59" i="8"/>
  <c r="Z59" i="8"/>
  <c r="AC59" i="8" s="1"/>
  <c r="W134" i="13"/>
  <c r="T162" i="8"/>
  <c r="AA32" i="13"/>
  <c r="Y173" i="13"/>
  <c r="AA232" i="12"/>
  <c r="Z105" i="8"/>
  <c r="AC105" i="8" s="1"/>
  <c r="O105" i="8"/>
  <c r="S105" i="8"/>
  <c r="V105" i="8"/>
  <c r="Y134" i="13"/>
  <c r="W189" i="13"/>
  <c r="Y70" i="13"/>
  <c r="Y79" i="13"/>
  <c r="Z188" i="8"/>
  <c r="AC188" i="8" s="1"/>
  <c r="O188" i="8"/>
  <c r="S188" i="8"/>
  <c r="V188" i="8"/>
  <c r="AA188" i="13"/>
  <c r="AF188" i="13"/>
  <c r="AF59" i="13"/>
  <c r="E8" i="12"/>
  <c r="L222" i="12"/>
  <c r="L8" i="12" s="1"/>
  <c r="X95" i="13"/>
  <c r="AF58" i="13"/>
  <c r="Y206" i="13"/>
  <c r="AA219" i="13"/>
  <c r="AF219" i="13"/>
  <c r="AJ17" i="12"/>
  <c r="AI17" i="12"/>
  <c r="Y183" i="13"/>
  <c r="W69" i="13"/>
  <c r="AF51" i="8"/>
  <c r="AD51" i="8"/>
  <c r="AF220" i="13"/>
  <c r="AA220" i="13"/>
  <c r="X103" i="8"/>
  <c r="X160" i="8"/>
  <c r="W148" i="13"/>
  <c r="AJ182" i="12"/>
  <c r="AI182" i="12"/>
  <c r="X151" i="8"/>
  <c r="Y184" i="13"/>
  <c r="AF92" i="8"/>
  <c r="AD92" i="8"/>
  <c r="BK19" i="12"/>
  <c r="BF19" i="12"/>
  <c r="Y177" i="13"/>
  <c r="Z218" i="8"/>
  <c r="AC218" i="8" s="1"/>
  <c r="O218" i="8"/>
  <c r="S218" i="8"/>
  <c r="V218" i="8"/>
  <c r="Y170" i="13"/>
  <c r="W215" i="13"/>
  <c r="W77" i="13"/>
  <c r="Y136" i="13"/>
  <c r="X127" i="13"/>
  <c r="AF211" i="8"/>
  <c r="AD211" i="8"/>
  <c r="W131" i="13"/>
  <c r="X131" i="13"/>
  <c r="AI15" i="12"/>
  <c r="AJ15" i="12"/>
  <c r="W79" i="13"/>
  <c r="AF137" i="13"/>
  <c r="AA137" i="13"/>
  <c r="AF91" i="13"/>
  <c r="AD133" i="8"/>
  <c r="AF133" i="8"/>
  <c r="AD107" i="8"/>
  <c r="AF107" i="8"/>
  <c r="Y84" i="13"/>
  <c r="X60" i="13"/>
  <c r="W70" i="13"/>
  <c r="X70" i="13"/>
  <c r="AF232" i="12"/>
  <c r="Y67" i="13"/>
  <c r="Y114" i="13"/>
  <c r="Y95" i="13"/>
  <c r="W194" i="13"/>
  <c r="Y194" i="13"/>
  <c r="W153" i="13"/>
  <c r="X153" i="13"/>
  <c r="X198" i="8"/>
  <c r="AA208" i="13"/>
  <c r="AF208" i="13"/>
  <c r="X112" i="8"/>
  <c r="W54" i="13"/>
  <c r="W181" i="13"/>
  <c r="X181" i="13"/>
  <c r="Y60" i="13"/>
  <c r="AJ27" i="12"/>
  <c r="AI27" i="12"/>
  <c r="AJ13" i="12"/>
  <c r="AI13" i="12"/>
  <c r="W150" i="13"/>
  <c r="O83" i="8"/>
  <c r="S83" i="8"/>
  <c r="V83" i="8"/>
  <c r="Z83" i="8"/>
  <c r="AC83" i="8" s="1"/>
  <c r="W212" i="13"/>
  <c r="Z115" i="8"/>
  <c r="AC115" i="8" s="1"/>
  <c r="O115" i="8"/>
  <c r="S115" i="8"/>
  <c r="V115" i="8"/>
  <c r="O184" i="8"/>
  <c r="S184" i="8"/>
  <c r="V184" i="8"/>
  <c r="Z184" i="8"/>
  <c r="AC184" i="8" s="1"/>
  <c r="W135" i="13"/>
  <c r="Y216" i="13"/>
  <c r="W154" i="13"/>
  <c r="X199" i="13"/>
  <c r="T195" i="8"/>
  <c r="AJ12" i="12"/>
  <c r="AI12" i="12"/>
  <c r="AD190" i="8"/>
  <c r="AF190" i="8"/>
  <c r="AJ102" i="12"/>
  <c r="AI102" i="12"/>
  <c r="Y50" i="13"/>
  <c r="Y207" i="13"/>
  <c r="W89" i="13"/>
  <c r="AI21" i="12"/>
  <c r="AJ21" i="12"/>
  <c r="W176" i="13"/>
  <c r="W132" i="13"/>
  <c r="X43" i="8"/>
  <c r="Y189" i="13"/>
  <c r="W75" i="13"/>
  <c r="Z93" i="8"/>
  <c r="AC93" i="8" s="1"/>
  <c r="O93" i="8"/>
  <c r="S93" i="8"/>
  <c r="V93" i="8"/>
  <c r="W152" i="13"/>
  <c r="Y193" i="13"/>
  <c r="AJ31" i="12"/>
  <c r="AI31" i="12"/>
  <c r="W147" i="13"/>
  <c r="Z25" i="8"/>
  <c r="AC25" i="8" s="1"/>
  <c r="O25" i="8"/>
  <c r="S25" i="8"/>
  <c r="V25" i="8"/>
  <c r="O61" i="8"/>
  <c r="S61" i="8"/>
  <c r="V61" i="8"/>
  <c r="Z61" i="8"/>
  <c r="AC61" i="8" s="1"/>
  <c r="W117" i="13"/>
  <c r="W116" i="13"/>
  <c r="W97" i="13"/>
  <c r="W183" i="13"/>
  <c r="AA76" i="13"/>
  <c r="W63" i="13"/>
  <c r="W155" i="13"/>
  <c r="Y64" i="13"/>
  <c r="Y159" i="13"/>
  <c r="Y77" i="13"/>
  <c r="O76" i="8"/>
  <c r="S76" i="8"/>
  <c r="V76" i="8"/>
  <c r="Z76" i="8"/>
  <c r="AC76" i="8" s="1"/>
  <c r="AA96" i="13"/>
  <c r="Y124" i="13"/>
  <c r="Z220" i="8"/>
  <c r="AC220" i="8" s="1"/>
  <c r="O220" i="8"/>
  <c r="S220" i="8"/>
  <c r="V220" i="8"/>
  <c r="AI24" i="12"/>
  <c r="AJ24" i="12"/>
  <c r="AF216" i="13"/>
  <c r="T164" i="8"/>
  <c r="W111" i="13"/>
  <c r="W44" i="13"/>
  <c r="X44" i="13"/>
  <c r="W166" i="13"/>
  <c r="Y132" i="13"/>
  <c r="AI144" i="12"/>
  <c r="AJ144" i="12"/>
  <c r="W136" i="13"/>
  <c r="W46" i="13"/>
  <c r="X46" i="13"/>
  <c r="L307" i="12"/>
  <c r="K307" i="12"/>
  <c r="W168" i="13"/>
  <c r="X168" i="13"/>
  <c r="AI289" i="7"/>
  <c r="AN289" i="7"/>
  <c r="Y34" i="13"/>
  <c r="W84" i="13"/>
  <c r="D113" i="13"/>
  <c r="AH113" i="8"/>
  <c r="F113" i="13" s="1"/>
  <c r="AM113" i="8"/>
  <c r="AP113" i="8"/>
  <c r="AQ113" i="8"/>
  <c r="Y140" i="13"/>
  <c r="Y57" i="13"/>
  <c r="AF58" i="8"/>
  <c r="AD58" i="8"/>
  <c r="Z205" i="8"/>
  <c r="AC205" i="8" s="1"/>
  <c r="O205" i="8"/>
  <c r="S205" i="8"/>
  <c r="V205" i="8"/>
  <c r="AA16" i="8"/>
  <c r="AB16" i="8" s="1"/>
  <c r="O137" i="8"/>
  <c r="S137" i="8"/>
  <c r="V137" i="8"/>
  <c r="Z137" i="8"/>
  <c r="AC137" i="8" s="1"/>
  <c r="Z91" i="8"/>
  <c r="AC91" i="8" s="1"/>
  <c r="O91" i="8"/>
  <c r="S91" i="8"/>
  <c r="V91" i="8"/>
  <c r="Y97" i="13"/>
  <c r="AF307" i="12"/>
  <c r="AG41" i="12"/>
  <c r="AJ139" i="12"/>
  <c r="AI139" i="12"/>
  <c r="AF110" i="13"/>
  <c r="Y148" i="13"/>
  <c r="AJ108" i="12"/>
  <c r="AI108" i="12"/>
  <c r="X146" i="8"/>
  <c r="Y63" i="13"/>
  <c r="AJ142" i="12"/>
  <c r="AI142" i="12"/>
  <c r="W159" i="13"/>
  <c r="Y89" i="13"/>
  <c r="W149" i="13"/>
  <c r="AF83" i="13"/>
  <c r="W74" i="13"/>
  <c r="X184" i="13"/>
  <c r="W184" i="13"/>
  <c r="O199" i="8"/>
  <c r="S199" i="8"/>
  <c r="V199" i="8"/>
  <c r="Z199" i="8"/>
  <c r="AC199" i="8" s="1"/>
  <c r="W124" i="13"/>
  <c r="X124" i="13"/>
  <c r="O206" i="8"/>
  <c r="S206" i="8"/>
  <c r="V206" i="8"/>
  <c r="Z206" i="8"/>
  <c r="AC206" i="8" s="1"/>
  <c r="X206" i="13"/>
  <c r="W206" i="13"/>
  <c r="W73" i="13"/>
  <c r="Y94" i="13"/>
  <c r="W197" i="13"/>
  <c r="AF290" i="12"/>
  <c r="W196" i="13"/>
  <c r="AJ213" i="12"/>
  <c r="AI213" i="12"/>
  <c r="AA307" i="12"/>
  <c r="AA325" i="12"/>
  <c r="AF161" i="13"/>
  <c r="AG101" i="12"/>
  <c r="Y191" i="13"/>
  <c r="W114" i="13"/>
  <c r="AJ22" i="12"/>
  <c r="AI22" i="12"/>
  <c r="AI14" i="12"/>
  <c r="AJ14" i="12"/>
  <c r="Y181" i="13"/>
  <c r="P14" i="31"/>
  <c r="AI128" i="12"/>
  <c r="AJ128" i="12"/>
  <c r="Y54" i="13"/>
  <c r="AC307" i="12"/>
  <c r="AN306" i="7"/>
  <c r="AI306" i="7"/>
  <c r="Y156" i="13"/>
  <c r="W40" i="13"/>
  <c r="Y153" i="13"/>
  <c r="AI172" i="12"/>
  <c r="AJ172" i="12"/>
  <c r="X147" i="13" l="1"/>
  <c r="Y123" i="13"/>
  <c r="X54" i="13"/>
  <c r="X69" i="13"/>
  <c r="X109" i="13"/>
  <c r="X50" i="13"/>
  <c r="X57" i="13"/>
  <c r="X156" i="13"/>
  <c r="AA262" i="12"/>
  <c r="X135" i="13"/>
  <c r="X215" i="13"/>
  <c r="X189" i="13"/>
  <c r="X158" i="13"/>
  <c r="X149" i="13"/>
  <c r="X111" i="13"/>
  <c r="X97" i="13"/>
  <c r="X117" i="13"/>
  <c r="AA276" i="12"/>
  <c r="X98" i="13"/>
  <c r="X126" i="13"/>
  <c r="X40" i="13"/>
  <c r="X84" i="13"/>
  <c r="X132" i="13"/>
  <c r="X123" i="13"/>
  <c r="AC276" i="12"/>
  <c r="X136" i="13"/>
  <c r="X212" i="13"/>
  <c r="X177" i="13"/>
  <c r="X34" i="13"/>
  <c r="AF132" i="13"/>
  <c r="AK172" i="12"/>
  <c r="AM172" i="12"/>
  <c r="AN172" i="12"/>
  <c r="Y187" i="13"/>
  <c r="Z40" i="8"/>
  <c r="AC40" i="8" s="1"/>
  <c r="O40" i="8"/>
  <c r="S40" i="8"/>
  <c r="V40" i="8"/>
  <c r="AN128" i="12"/>
  <c r="AN14" i="12"/>
  <c r="AN213" i="12"/>
  <c r="Z197" i="8"/>
  <c r="AC197" i="8" s="1"/>
  <c r="O197" i="8"/>
  <c r="S197" i="8"/>
  <c r="V197" i="8"/>
  <c r="O124" i="8"/>
  <c r="S124" i="8"/>
  <c r="V124" i="8"/>
  <c r="Z124" i="8"/>
  <c r="AC124" i="8" s="1"/>
  <c r="Y37" i="13"/>
  <c r="AN142" i="12"/>
  <c r="AF166" i="13"/>
  <c r="Z44" i="8"/>
  <c r="AC44" i="8" s="1"/>
  <c r="O44" i="8"/>
  <c r="S44" i="8"/>
  <c r="V44" i="8"/>
  <c r="X164" i="8"/>
  <c r="AN24" i="12"/>
  <c r="AA155" i="13"/>
  <c r="AF155" i="13"/>
  <c r="AA63" i="13"/>
  <c r="Z152" i="8"/>
  <c r="AC152" i="8" s="1"/>
  <c r="O152" i="8"/>
  <c r="S152" i="8"/>
  <c r="V152" i="8"/>
  <c r="V75" i="8"/>
  <c r="O75" i="8"/>
  <c r="S75" i="8"/>
  <c r="Z75" i="8"/>
  <c r="AC75" i="8" s="1"/>
  <c r="O176" i="8"/>
  <c r="S176" i="8"/>
  <c r="V176" i="8"/>
  <c r="Z176" i="8"/>
  <c r="AC176" i="8" s="1"/>
  <c r="X89" i="13"/>
  <c r="D190" i="13"/>
  <c r="AH190" i="8"/>
  <c r="F190" i="13" s="1"/>
  <c r="AP190" i="8"/>
  <c r="AM190" i="8"/>
  <c r="AQ190" i="8"/>
  <c r="AM12" i="12"/>
  <c r="AK12" i="12"/>
  <c r="X195" i="8"/>
  <c r="Z154" i="8"/>
  <c r="AC154" i="8" s="1"/>
  <c r="O154" i="8"/>
  <c r="S154" i="8"/>
  <c r="V154" i="8"/>
  <c r="AA135" i="13"/>
  <c r="AF135" i="13"/>
  <c r="AF83" i="8"/>
  <c r="AD83" i="8"/>
  <c r="X150" i="13"/>
  <c r="AM13" i="12"/>
  <c r="AK13" i="12"/>
  <c r="Z153" i="8"/>
  <c r="AC153" i="8" s="1"/>
  <c r="O153" i="8"/>
  <c r="S153" i="8"/>
  <c r="V153" i="8"/>
  <c r="W37" i="13"/>
  <c r="X79" i="13"/>
  <c r="AF77" i="13"/>
  <c r="AA77" i="13"/>
  <c r="AA215" i="13"/>
  <c r="AF215" i="13"/>
  <c r="AD218" i="8"/>
  <c r="AF218" i="8"/>
  <c r="Z134" i="8"/>
  <c r="AC134" i="8" s="1"/>
  <c r="O134" i="8"/>
  <c r="S134" i="8"/>
  <c r="V134" i="8"/>
  <c r="AN210" i="12"/>
  <c r="AF35" i="13"/>
  <c r="AA35" i="13"/>
  <c r="AM174" i="12"/>
  <c r="AK174" i="12"/>
  <c r="AM18" i="12"/>
  <c r="AK18" i="12"/>
  <c r="Y145" i="13"/>
  <c r="AH72" i="8"/>
  <c r="F72" i="13" s="1"/>
  <c r="AM72" i="8"/>
  <c r="AP72" i="8"/>
  <c r="D72" i="13"/>
  <c r="AQ72" i="8"/>
  <c r="Y106" i="13"/>
  <c r="AD214" i="8"/>
  <c r="AF214" i="8"/>
  <c r="AD196" i="8"/>
  <c r="AF196" i="8"/>
  <c r="O125" i="8"/>
  <c r="S125" i="8"/>
  <c r="V125" i="8"/>
  <c r="Z125" i="8"/>
  <c r="AC125" i="8" s="1"/>
  <c r="W88" i="13"/>
  <c r="AF141" i="13"/>
  <c r="AA141" i="13"/>
  <c r="AD67" i="8"/>
  <c r="AF67" i="8"/>
  <c r="X36" i="8"/>
  <c r="O178" i="8"/>
  <c r="S178" i="8"/>
  <c r="V178" i="8"/>
  <c r="Z178" i="8"/>
  <c r="AC178" i="8" s="1"/>
  <c r="AN33" i="12"/>
  <c r="AF82" i="13"/>
  <c r="AA82" i="13"/>
  <c r="Z191" i="8"/>
  <c r="AC191" i="8" s="1"/>
  <c r="O191" i="8"/>
  <c r="S191" i="8"/>
  <c r="V191" i="8"/>
  <c r="AM100" i="12"/>
  <c r="AK100" i="12"/>
  <c r="AN38" i="12"/>
  <c r="AN65" i="12"/>
  <c r="Z193" i="8"/>
  <c r="AC193" i="8" s="1"/>
  <c r="O193" i="8"/>
  <c r="S193" i="8"/>
  <c r="V193" i="8"/>
  <c r="AF193" i="13"/>
  <c r="AA193" i="13"/>
  <c r="AM122" i="12"/>
  <c r="AK122" i="12"/>
  <c r="AF110" i="8"/>
  <c r="AD110" i="8"/>
  <c r="AA61" i="13"/>
  <c r="O99" i="8"/>
  <c r="S99" i="8"/>
  <c r="V99" i="8"/>
  <c r="Z99" i="8"/>
  <c r="AC99" i="8" s="1"/>
  <c r="Z90" i="8"/>
  <c r="AC90" i="8" s="1"/>
  <c r="O90" i="8"/>
  <c r="S90" i="8"/>
  <c r="V90" i="8"/>
  <c r="O52" i="8"/>
  <c r="S52" i="8"/>
  <c r="V52" i="8"/>
  <c r="Z52" i="8"/>
  <c r="AC52" i="8" s="1"/>
  <c r="AN120" i="12"/>
  <c r="X87" i="13"/>
  <c r="O50" i="8"/>
  <c r="S50" i="8"/>
  <c r="V50" i="8"/>
  <c r="Z50" i="8"/>
  <c r="AC50" i="8" s="1"/>
  <c r="AP96" i="8"/>
  <c r="AM96" i="8"/>
  <c r="D96" i="13"/>
  <c r="AH96" i="8"/>
  <c r="F96" i="13" s="1"/>
  <c r="AQ96" i="8"/>
  <c r="AN23" i="12"/>
  <c r="X200" i="13"/>
  <c r="AA173" i="13"/>
  <c r="AF173" i="13"/>
  <c r="AM143" i="12"/>
  <c r="AK143" i="12"/>
  <c r="X163" i="13"/>
  <c r="Z68" i="8"/>
  <c r="AC68" i="8" s="1"/>
  <c r="O68" i="8"/>
  <c r="S68" i="8"/>
  <c r="V68" i="8"/>
  <c r="AF95" i="13"/>
  <c r="BM16" i="12"/>
  <c r="X179" i="13"/>
  <c r="Y66" i="13"/>
  <c r="AI30" i="12"/>
  <c r="AJ30" i="12"/>
  <c r="AA170" i="13"/>
  <c r="AF170" i="13"/>
  <c r="O64" i="8"/>
  <c r="S64" i="8"/>
  <c r="V64" i="8"/>
  <c r="Z64" i="8"/>
  <c r="AC64" i="8" s="1"/>
  <c r="AA64" i="13"/>
  <c r="AF64" i="13"/>
  <c r="AA201" i="13"/>
  <c r="AF201" i="13"/>
  <c r="AF47" i="13"/>
  <c r="AA47" i="13"/>
  <c r="AF118" i="8"/>
  <c r="AD118" i="8"/>
  <c r="O114" i="8"/>
  <c r="S114" i="8"/>
  <c r="V114" i="8"/>
  <c r="Z114" i="8"/>
  <c r="AC114" i="8" s="1"/>
  <c r="O167" i="8"/>
  <c r="S167" i="8"/>
  <c r="V167" i="8"/>
  <c r="Z167" i="8"/>
  <c r="AC167" i="8" s="1"/>
  <c r="X73" i="13"/>
  <c r="AF199" i="8"/>
  <c r="AD199" i="8"/>
  <c r="AA74" i="13"/>
  <c r="AF159" i="13"/>
  <c r="AA159" i="13"/>
  <c r="AN108" i="12"/>
  <c r="AM58" i="8"/>
  <c r="AH58" i="8"/>
  <c r="F58" i="13" s="1"/>
  <c r="D58" i="13"/>
  <c r="AP58" i="8"/>
  <c r="AQ58" i="8"/>
  <c r="AM128" i="12"/>
  <c r="AK128" i="12"/>
  <c r="AM14" i="12"/>
  <c r="AK14" i="12"/>
  <c r="AM22" i="12"/>
  <c r="AK22" i="12"/>
  <c r="X114" i="13"/>
  <c r="AF196" i="13"/>
  <c r="W165" i="13"/>
  <c r="W167" i="13"/>
  <c r="X197" i="13"/>
  <c r="AF206" i="13"/>
  <c r="AA206" i="13"/>
  <c r="X74" i="13"/>
  <c r="O159" i="8"/>
  <c r="S159" i="8"/>
  <c r="V159" i="8"/>
  <c r="Z159" i="8"/>
  <c r="AC159" i="8" s="1"/>
  <c r="AM139" i="12"/>
  <c r="AK139" i="12"/>
  <c r="AA46" i="13"/>
  <c r="AF46" i="13"/>
  <c r="AM144" i="12"/>
  <c r="AK144" i="12"/>
  <c r="AA111" i="13"/>
  <c r="AF111" i="13"/>
  <c r="AD220" i="8"/>
  <c r="AF220" i="8"/>
  <c r="W175" i="13"/>
  <c r="X155" i="13"/>
  <c r="O183" i="8"/>
  <c r="S183" i="8"/>
  <c r="V183" i="8"/>
  <c r="Z183" i="8"/>
  <c r="AC183" i="8" s="1"/>
  <c r="O97" i="8"/>
  <c r="S97" i="8"/>
  <c r="V97" i="8"/>
  <c r="Z97" i="8"/>
  <c r="AC97" i="8" s="1"/>
  <c r="AA97" i="13"/>
  <c r="AF97" i="13"/>
  <c r="Z117" i="8"/>
  <c r="AC117" i="8" s="1"/>
  <c r="O117" i="8"/>
  <c r="S117" i="8"/>
  <c r="V117" i="8"/>
  <c r="AF117" i="13"/>
  <c r="AA117" i="13"/>
  <c r="Z147" i="8"/>
  <c r="AC147" i="8" s="1"/>
  <c r="O147" i="8"/>
  <c r="S147" i="8"/>
  <c r="V147" i="8"/>
  <c r="AN31" i="12"/>
  <c r="X152" i="13"/>
  <c r="X176" i="13"/>
  <c r="Z89" i="8"/>
  <c r="AC89" i="8" s="1"/>
  <c r="O89" i="8"/>
  <c r="S89" i="8"/>
  <c r="V89" i="8"/>
  <c r="AM102" i="12"/>
  <c r="AK102" i="12"/>
  <c r="AN12" i="12"/>
  <c r="X154" i="13"/>
  <c r="AF212" i="13"/>
  <c r="AA212" i="13"/>
  <c r="Z150" i="8"/>
  <c r="AC150" i="8" s="1"/>
  <c r="O150" i="8"/>
  <c r="S150" i="8"/>
  <c r="V150" i="8"/>
  <c r="AN13" i="12"/>
  <c r="AM27" i="12"/>
  <c r="AK27" i="12"/>
  <c r="AF181" i="13"/>
  <c r="AA181" i="13"/>
  <c r="W71" i="13"/>
  <c r="AM107" i="8"/>
  <c r="AP107" i="8"/>
  <c r="AH107" i="8"/>
  <c r="F107" i="13" s="1"/>
  <c r="D107" i="13"/>
  <c r="AQ107" i="8"/>
  <c r="AM133" i="8"/>
  <c r="AH133" i="8"/>
  <c r="F133" i="13" s="1"/>
  <c r="AP133" i="8"/>
  <c r="D133" i="13"/>
  <c r="AQ133" i="8"/>
  <c r="AA131" i="13"/>
  <c r="AF131" i="13"/>
  <c r="Z77" i="8"/>
  <c r="AC77" i="8" s="1"/>
  <c r="O77" i="8"/>
  <c r="S77" i="8"/>
  <c r="V77" i="8"/>
  <c r="AM182" i="12"/>
  <c r="AK182" i="12"/>
  <c r="X148" i="13"/>
  <c r="AM51" i="8"/>
  <c r="D51" i="13"/>
  <c r="AH51" i="8"/>
  <c r="F51" i="13" s="1"/>
  <c r="AP51" i="8"/>
  <c r="AQ51" i="8"/>
  <c r="AM17" i="12"/>
  <c r="AK17" i="12"/>
  <c r="AD188" i="8"/>
  <c r="AF188" i="8"/>
  <c r="Y169" i="13"/>
  <c r="AA189" i="13"/>
  <c r="AF189" i="13"/>
  <c r="X162" i="8"/>
  <c r="X134" i="13"/>
  <c r="O116" i="8"/>
  <c r="S116" i="8"/>
  <c r="V116" i="8"/>
  <c r="Z116" i="8"/>
  <c r="AC116" i="8" s="1"/>
  <c r="AF158" i="13"/>
  <c r="BK62" i="12"/>
  <c r="BF62" i="12"/>
  <c r="AN18" i="12"/>
  <c r="AN55" i="12"/>
  <c r="AM56" i="12"/>
  <c r="AK56" i="12"/>
  <c r="Z109" i="8"/>
  <c r="AC109" i="8" s="1"/>
  <c r="O109" i="8"/>
  <c r="S109" i="8"/>
  <c r="V109" i="8"/>
  <c r="AF109" i="13"/>
  <c r="AA109" i="13"/>
  <c r="O141" i="8"/>
  <c r="S141" i="8"/>
  <c r="V141" i="8"/>
  <c r="Z141" i="8"/>
  <c r="AC141" i="8" s="1"/>
  <c r="P20" i="31"/>
  <c r="Z98" i="8"/>
  <c r="AC98" i="8" s="1"/>
  <c r="O98" i="8"/>
  <c r="S98" i="8"/>
  <c r="V98" i="8"/>
  <c r="X178" i="13"/>
  <c r="O123" i="8"/>
  <c r="S123" i="8"/>
  <c r="V123" i="8"/>
  <c r="Z123" i="8"/>
  <c r="AC123" i="8" s="1"/>
  <c r="AD45" i="8"/>
  <c r="AF45" i="8"/>
  <c r="AH129" i="8"/>
  <c r="F129" i="13" s="1"/>
  <c r="AM129" i="8"/>
  <c r="AP129" i="8"/>
  <c r="D129" i="13"/>
  <c r="AQ129" i="8"/>
  <c r="AM33" i="12"/>
  <c r="AK33" i="12"/>
  <c r="Y130" i="13"/>
  <c r="AF95" i="8"/>
  <c r="AD95" i="8"/>
  <c r="D32" i="13"/>
  <c r="AP32" i="8"/>
  <c r="AM32" i="8"/>
  <c r="AH32" i="8"/>
  <c r="F32" i="13" s="1"/>
  <c r="AQ32" i="8"/>
  <c r="AN100" i="12"/>
  <c r="AM38" i="12"/>
  <c r="AK38" i="12"/>
  <c r="AN122" i="12"/>
  <c r="X99" i="13"/>
  <c r="X52" i="13"/>
  <c r="AN80" i="12"/>
  <c r="AA87" i="13"/>
  <c r="AF87" i="13"/>
  <c r="AF200" i="13"/>
  <c r="AA200" i="13"/>
  <c r="Z173" i="8"/>
  <c r="AC173" i="8" s="1"/>
  <c r="O173" i="8"/>
  <c r="S173" i="8"/>
  <c r="V173" i="8"/>
  <c r="S177" i="8"/>
  <c r="O177" i="8"/>
  <c r="V177" i="8"/>
  <c r="Z177" i="8"/>
  <c r="AC177" i="8" s="1"/>
  <c r="AF57" i="13"/>
  <c r="AA57" i="13"/>
  <c r="Z163" i="8"/>
  <c r="AC163" i="8" s="1"/>
  <c r="O163" i="8"/>
  <c r="S163" i="8"/>
  <c r="V163" i="8"/>
  <c r="AF34" i="13"/>
  <c r="AA34" i="13"/>
  <c r="AD119" i="8"/>
  <c r="AF119" i="8"/>
  <c r="AN171" i="12"/>
  <c r="X28" i="13"/>
  <c r="L186" i="13"/>
  <c r="K186" i="13"/>
  <c r="S186" i="13"/>
  <c r="AF216" i="8"/>
  <c r="AD216" i="8"/>
  <c r="X170" i="13"/>
  <c r="X64" i="13"/>
  <c r="Y44" i="13"/>
  <c r="AA49" i="13"/>
  <c r="AF49" i="13"/>
  <c r="AF219" i="8"/>
  <c r="AD219" i="8"/>
  <c r="AF156" i="13"/>
  <c r="AA156" i="13"/>
  <c r="AA94" i="13"/>
  <c r="Y192" i="13"/>
  <c r="AA19" i="8"/>
  <c r="AB19" i="8" s="1"/>
  <c r="AF194" i="8"/>
  <c r="AD194" i="8"/>
  <c r="AF40" i="13"/>
  <c r="AA40" i="13"/>
  <c r="AN22" i="12"/>
  <c r="AF114" i="13"/>
  <c r="AA114" i="13"/>
  <c r="AM213" i="12"/>
  <c r="AK213" i="12"/>
  <c r="AA73" i="13"/>
  <c r="AF73" i="13"/>
  <c r="AA184" i="13"/>
  <c r="Z74" i="8"/>
  <c r="AC74" i="8" s="1"/>
  <c r="O74" i="8"/>
  <c r="S74" i="8"/>
  <c r="V74" i="8"/>
  <c r="Z149" i="8"/>
  <c r="AC149" i="8" s="1"/>
  <c r="O149" i="8"/>
  <c r="S149" i="8"/>
  <c r="V149" i="8"/>
  <c r="AF149" i="13"/>
  <c r="AA149" i="13"/>
  <c r="X159" i="13"/>
  <c r="Y167" i="13"/>
  <c r="AM142" i="12"/>
  <c r="AK142" i="12"/>
  <c r="AF91" i="8"/>
  <c r="AD91" i="8"/>
  <c r="AF205" i="8"/>
  <c r="AD205" i="8"/>
  <c r="AI113" i="8"/>
  <c r="G113" i="13" s="1"/>
  <c r="AN113" i="8"/>
  <c r="K113" i="13"/>
  <c r="S113" i="13"/>
  <c r="L113" i="13"/>
  <c r="AF84" i="13"/>
  <c r="AA84" i="13"/>
  <c r="AF168" i="13"/>
  <c r="AA168" i="13"/>
  <c r="O46" i="8"/>
  <c r="S46" i="8"/>
  <c r="V46" i="8"/>
  <c r="Z46" i="8"/>
  <c r="AC46" i="8" s="1"/>
  <c r="O136" i="8"/>
  <c r="S136" i="8"/>
  <c r="V136" i="8"/>
  <c r="Z136" i="8"/>
  <c r="AC136" i="8" s="1"/>
  <c r="AF136" i="13"/>
  <c r="AA136" i="13"/>
  <c r="X166" i="13"/>
  <c r="AA44" i="13"/>
  <c r="AM24" i="12"/>
  <c r="AK24" i="12"/>
  <c r="AF76" i="8"/>
  <c r="AD76" i="8"/>
  <c r="Z155" i="8"/>
  <c r="AC155" i="8" s="1"/>
  <c r="O155" i="8"/>
  <c r="S155" i="8"/>
  <c r="V155" i="8"/>
  <c r="O63" i="8"/>
  <c r="S63" i="8"/>
  <c r="V63" i="8"/>
  <c r="Z63" i="8"/>
  <c r="AC63" i="8" s="1"/>
  <c r="X183" i="13"/>
  <c r="AF116" i="13"/>
  <c r="AA116" i="13"/>
  <c r="AD61" i="8"/>
  <c r="AF61" i="8"/>
  <c r="AF147" i="13"/>
  <c r="AA147" i="13"/>
  <c r="AD93" i="8"/>
  <c r="AF93" i="8"/>
  <c r="X75" i="13"/>
  <c r="AA176" i="13"/>
  <c r="AF176" i="13"/>
  <c r="AN21" i="12"/>
  <c r="AN102" i="12"/>
  <c r="Z180" i="8"/>
  <c r="AC180" i="8" s="1"/>
  <c r="O180" i="8"/>
  <c r="S180" i="8"/>
  <c r="V180" i="8"/>
  <c r="X180" i="13"/>
  <c r="W180" i="13"/>
  <c r="AA154" i="13"/>
  <c r="AF154" i="13"/>
  <c r="O135" i="8"/>
  <c r="S135" i="8"/>
  <c r="V135" i="8"/>
  <c r="Z135" i="8"/>
  <c r="AC135" i="8" s="1"/>
  <c r="AD115" i="8"/>
  <c r="AF115" i="8"/>
  <c r="Y39" i="13"/>
  <c r="AA54" i="13"/>
  <c r="AF54" i="13"/>
  <c r="Y99" i="13"/>
  <c r="Z70" i="8"/>
  <c r="AC70" i="8" s="1"/>
  <c r="O70" i="8"/>
  <c r="S70" i="8"/>
  <c r="V70" i="8"/>
  <c r="AA70" i="13"/>
  <c r="AF70" i="13"/>
  <c r="AN15" i="12"/>
  <c r="Z131" i="8"/>
  <c r="AC131" i="8" s="1"/>
  <c r="O131" i="8"/>
  <c r="S131" i="8"/>
  <c r="V131" i="8"/>
  <c r="X77" i="13"/>
  <c r="O215" i="8"/>
  <c r="S215" i="8"/>
  <c r="V215" i="8"/>
  <c r="Z215" i="8"/>
  <c r="AC215" i="8" s="1"/>
  <c r="AM92" i="8"/>
  <c r="AH92" i="8"/>
  <c r="F92" i="13" s="1"/>
  <c r="D92" i="13"/>
  <c r="AP92" i="8"/>
  <c r="AQ92" i="8"/>
  <c r="AN182" i="12"/>
  <c r="Z148" i="8"/>
  <c r="AC148" i="8" s="1"/>
  <c r="O148" i="8"/>
  <c r="S148" i="8"/>
  <c r="V148" i="8"/>
  <c r="AA69" i="13"/>
  <c r="AN17" i="12"/>
  <c r="W169" i="13"/>
  <c r="X116" i="13"/>
  <c r="AD59" i="8"/>
  <c r="AF59" i="8"/>
  <c r="AM210" i="12"/>
  <c r="AK210" i="12"/>
  <c r="O35" i="8"/>
  <c r="S35" i="8"/>
  <c r="V35" i="8"/>
  <c r="Z35" i="8"/>
  <c r="AC35" i="8" s="1"/>
  <c r="AN174" i="12"/>
  <c r="AF140" i="13"/>
  <c r="AA140" i="13"/>
  <c r="AD208" i="8"/>
  <c r="AF208" i="8"/>
  <c r="AM55" i="12"/>
  <c r="AK55" i="12"/>
  <c r="W39" i="13"/>
  <c r="AN56" i="12"/>
  <c r="AF60" i="8"/>
  <c r="AD60" i="8"/>
  <c r="O207" i="8"/>
  <c r="S207" i="8"/>
  <c r="V207" i="8"/>
  <c r="Z207" i="8"/>
  <c r="AC207" i="8" s="1"/>
  <c r="AF207" i="13"/>
  <c r="AA207" i="13"/>
  <c r="AF127" i="8"/>
  <c r="AD127" i="8"/>
  <c r="W123" i="13"/>
  <c r="AM204" i="8"/>
  <c r="D204" i="13"/>
  <c r="AH204" i="8"/>
  <c r="F204" i="13" s="1"/>
  <c r="AP204" i="8"/>
  <c r="AQ204" i="8"/>
  <c r="Y165" i="13"/>
  <c r="AM161" i="8"/>
  <c r="AH161" i="8"/>
  <c r="F161" i="13" s="1"/>
  <c r="AP161" i="8"/>
  <c r="D161" i="13"/>
  <c r="AQ161" i="8"/>
  <c r="AM78" i="12"/>
  <c r="AK78" i="12"/>
  <c r="X82" i="13"/>
  <c r="AG209" i="12"/>
  <c r="AC232" i="12"/>
  <c r="AC290" i="12"/>
  <c r="AH203" i="8"/>
  <c r="F203" i="13" s="1"/>
  <c r="D203" i="13"/>
  <c r="AM203" i="8"/>
  <c r="AP203" i="8"/>
  <c r="AQ203" i="8"/>
  <c r="O104" i="8"/>
  <c r="S104" i="8"/>
  <c r="V104" i="8"/>
  <c r="Z104" i="8"/>
  <c r="AC104" i="8" s="1"/>
  <c r="AF104" i="13"/>
  <c r="AA104" i="13"/>
  <c r="AN81" i="12"/>
  <c r="Z126" i="8"/>
  <c r="AC126" i="8" s="1"/>
  <c r="O126" i="8"/>
  <c r="S126" i="8"/>
  <c r="V126" i="8"/>
  <c r="AM26" i="12"/>
  <c r="AK26" i="12"/>
  <c r="AA202" i="13"/>
  <c r="AF202" i="13"/>
  <c r="W130" i="13"/>
  <c r="AP53" i="8"/>
  <c r="AM53" i="8"/>
  <c r="D53" i="13"/>
  <c r="AH53" i="8"/>
  <c r="F53" i="13" s="1"/>
  <c r="AQ53" i="8"/>
  <c r="AF90" i="13"/>
  <c r="AA90" i="13"/>
  <c r="AA52" i="13"/>
  <c r="AM120" i="12"/>
  <c r="AK120" i="12"/>
  <c r="AN143" i="12"/>
  <c r="AA60" i="13"/>
  <c r="AM171" i="12"/>
  <c r="AK171" i="12"/>
  <c r="J16" i="8"/>
  <c r="W16" i="8" s="1"/>
  <c r="K16" i="8"/>
  <c r="Z28" i="8"/>
  <c r="AC28" i="8" s="1"/>
  <c r="O28" i="8"/>
  <c r="S28" i="8"/>
  <c r="V28" i="8"/>
  <c r="Y85" i="13"/>
  <c r="AF179" i="13"/>
  <c r="AA179" i="13"/>
  <c r="AC325" i="12"/>
  <c r="AN186" i="8"/>
  <c r="AI186" i="8"/>
  <c r="G186" i="13" s="1"/>
  <c r="Z170" i="8"/>
  <c r="AC170" i="8" s="1"/>
  <c r="O170" i="8"/>
  <c r="S170" i="8"/>
  <c r="V170" i="8"/>
  <c r="Z201" i="8"/>
  <c r="AC201" i="8" s="1"/>
  <c r="O201" i="8"/>
  <c r="S201" i="8"/>
  <c r="V201" i="8"/>
  <c r="O49" i="8"/>
  <c r="S49" i="8"/>
  <c r="V49" i="8"/>
  <c r="Z49" i="8"/>
  <c r="AC49" i="8" s="1"/>
  <c r="AD121" i="8"/>
  <c r="AF121" i="8"/>
  <c r="O47" i="8"/>
  <c r="S47" i="8"/>
  <c r="V47" i="8"/>
  <c r="Z47" i="8"/>
  <c r="AC47" i="8" s="1"/>
  <c r="O94" i="8"/>
  <c r="S94" i="8"/>
  <c r="V94" i="8"/>
  <c r="Z94" i="8"/>
  <c r="AC94" i="8" s="1"/>
  <c r="AJ101" i="12"/>
  <c r="AI101" i="12"/>
  <c r="X167" i="13"/>
  <c r="AA197" i="13"/>
  <c r="AF197" i="13"/>
  <c r="O73" i="8"/>
  <c r="S73" i="8"/>
  <c r="V73" i="8"/>
  <c r="Z73" i="8"/>
  <c r="AC73" i="8" s="1"/>
  <c r="AF206" i="8"/>
  <c r="AD206" i="8"/>
  <c r="AA124" i="13"/>
  <c r="AF124" i="13"/>
  <c r="AM108" i="12"/>
  <c r="AK108" i="12"/>
  <c r="AN139" i="12"/>
  <c r="AI41" i="12"/>
  <c r="AJ41" i="12"/>
  <c r="AF137" i="8"/>
  <c r="AD137" i="8"/>
  <c r="Y175" i="13"/>
  <c r="Z84" i="8"/>
  <c r="AC84" i="8" s="1"/>
  <c r="O84" i="8"/>
  <c r="S84" i="8"/>
  <c r="V84" i="8"/>
  <c r="O168" i="8"/>
  <c r="S168" i="8"/>
  <c r="V168" i="8"/>
  <c r="Z168" i="8"/>
  <c r="AC168" i="8" s="1"/>
  <c r="AN144" i="12"/>
  <c r="Z166" i="8"/>
  <c r="AC166" i="8" s="1"/>
  <c r="O166" i="8"/>
  <c r="S166" i="8"/>
  <c r="V166" i="8"/>
  <c r="V111" i="8"/>
  <c r="O111" i="8"/>
  <c r="S111" i="8"/>
  <c r="Z111" i="8"/>
  <c r="AC111" i="8" s="1"/>
  <c r="X63" i="13"/>
  <c r="AA183" i="13"/>
  <c r="AF183" i="13"/>
  <c r="AF25" i="8"/>
  <c r="AD25" i="8"/>
  <c r="AM31" i="12"/>
  <c r="AK31" i="12"/>
  <c r="AA152" i="13"/>
  <c r="AF152" i="13"/>
  <c r="AA75" i="13"/>
  <c r="O132" i="8"/>
  <c r="S132" i="8"/>
  <c r="V132" i="8"/>
  <c r="Z132" i="8"/>
  <c r="AC132" i="8" s="1"/>
  <c r="AM21" i="12"/>
  <c r="AK21" i="12"/>
  <c r="AF89" i="13"/>
  <c r="AA89" i="13"/>
  <c r="AD184" i="8"/>
  <c r="AF184" i="8"/>
  <c r="Z212" i="8"/>
  <c r="AC212" i="8" s="1"/>
  <c r="O212" i="8"/>
  <c r="S212" i="8"/>
  <c r="V212" i="8"/>
  <c r="AF150" i="13"/>
  <c r="AA150" i="13"/>
  <c r="AN27" i="12"/>
  <c r="Z181" i="8"/>
  <c r="AC181" i="8" s="1"/>
  <c r="O181" i="8"/>
  <c r="S181" i="8"/>
  <c r="V181" i="8"/>
  <c r="Z54" i="8"/>
  <c r="AC54" i="8" s="1"/>
  <c r="O54" i="8"/>
  <c r="S54" i="8"/>
  <c r="V54" i="8"/>
  <c r="O85" i="8"/>
  <c r="S85" i="8"/>
  <c r="V85" i="8"/>
  <c r="Z85" i="8"/>
  <c r="AC85" i="8" s="1"/>
  <c r="AF153" i="13"/>
  <c r="AA153" i="13"/>
  <c r="AF194" i="13"/>
  <c r="W145" i="13"/>
  <c r="O79" i="8"/>
  <c r="S79" i="8"/>
  <c r="V79" i="8"/>
  <c r="Z79" i="8"/>
  <c r="AC79" i="8" s="1"/>
  <c r="AA79" i="13"/>
  <c r="AF79" i="13"/>
  <c r="AM15" i="12"/>
  <c r="AK15" i="12"/>
  <c r="AH211" i="8"/>
  <c r="F211" i="13" s="1"/>
  <c r="D211" i="13"/>
  <c r="AP211" i="8"/>
  <c r="AM211" i="8"/>
  <c r="AQ211" i="8"/>
  <c r="AF148" i="13"/>
  <c r="AA148" i="13"/>
  <c r="Z69" i="8"/>
  <c r="AC69" i="8" s="1"/>
  <c r="O69" i="8"/>
  <c r="S69" i="8"/>
  <c r="V69" i="8"/>
  <c r="O189" i="8"/>
  <c r="S189" i="8"/>
  <c r="V189" i="8"/>
  <c r="Z189" i="8"/>
  <c r="AC189" i="8" s="1"/>
  <c r="AF105" i="8"/>
  <c r="AD105" i="8"/>
  <c r="AF134" i="13"/>
  <c r="AA134" i="13"/>
  <c r="X35" i="13"/>
  <c r="O158" i="8"/>
  <c r="S158" i="8"/>
  <c r="V158" i="8"/>
  <c r="Z158" i="8"/>
  <c r="AC158" i="8" s="1"/>
  <c r="Z140" i="8"/>
  <c r="AC140" i="8" s="1"/>
  <c r="O140" i="8"/>
  <c r="S140" i="8"/>
  <c r="V140" i="8"/>
  <c r="AA125" i="13"/>
  <c r="W217" i="13"/>
  <c r="AF98" i="13"/>
  <c r="AA98" i="13"/>
  <c r="AF178" i="13"/>
  <c r="AA178" i="13"/>
  <c r="W106" i="13"/>
  <c r="X106" i="13"/>
  <c r="AN78" i="12"/>
  <c r="Z82" i="8"/>
  <c r="AC82" i="8" s="1"/>
  <c r="O82" i="8"/>
  <c r="S82" i="8"/>
  <c r="V82" i="8"/>
  <c r="AA191" i="13"/>
  <c r="AF191" i="13"/>
  <c r="X104" i="13"/>
  <c r="AM65" i="12"/>
  <c r="AK65" i="12"/>
  <c r="AM81" i="12"/>
  <c r="AK81" i="12"/>
  <c r="BE62" i="12"/>
  <c r="BJ62" i="12"/>
  <c r="AQ62" i="12"/>
  <c r="BB62" i="12"/>
  <c r="AF86" i="8"/>
  <c r="AD86" i="8"/>
  <c r="AA126" i="13"/>
  <c r="AF126" i="13"/>
  <c r="AN26" i="12"/>
  <c r="O202" i="8"/>
  <c r="S202" i="8"/>
  <c r="V202" i="8"/>
  <c r="Z202" i="8"/>
  <c r="AC202" i="8" s="1"/>
  <c r="W99" i="13"/>
  <c r="X90" i="13"/>
  <c r="AM80" i="12"/>
  <c r="AK80" i="12"/>
  <c r="O87" i="8"/>
  <c r="S87" i="8"/>
  <c r="V87" i="8"/>
  <c r="Z87" i="8"/>
  <c r="AC87" i="8" s="1"/>
  <c r="AA50" i="13"/>
  <c r="AF50" i="13"/>
  <c r="W66" i="13"/>
  <c r="AM23" i="12"/>
  <c r="AK23" i="12"/>
  <c r="O200" i="8"/>
  <c r="S200" i="8"/>
  <c r="V200" i="8"/>
  <c r="Z200" i="8"/>
  <c r="AC200" i="8" s="1"/>
  <c r="AA177" i="13"/>
  <c r="AF177" i="13"/>
  <c r="W187" i="13"/>
  <c r="Z57" i="8"/>
  <c r="AC57" i="8" s="1"/>
  <c r="O57" i="8"/>
  <c r="S57" i="8"/>
  <c r="V57" i="8"/>
  <c r="AA85" i="13"/>
  <c r="AA163" i="13"/>
  <c r="AF163" i="13"/>
  <c r="AA68" i="13"/>
  <c r="AF68" i="13"/>
  <c r="Z34" i="8"/>
  <c r="AC34" i="8" s="1"/>
  <c r="O34" i="8"/>
  <c r="S34" i="8"/>
  <c r="V34" i="8"/>
  <c r="AF119" i="13"/>
  <c r="AA119" i="13"/>
  <c r="AF28" i="13"/>
  <c r="AA28" i="13"/>
  <c r="O179" i="8"/>
  <c r="S179" i="8"/>
  <c r="V179" i="8"/>
  <c r="Z179" i="8"/>
  <c r="AC179" i="8" s="1"/>
  <c r="AC262" i="12"/>
  <c r="K185" i="13"/>
  <c r="L185" i="13"/>
  <c r="S185" i="13"/>
  <c r="AN185" i="8"/>
  <c r="AI185" i="8"/>
  <c r="G185" i="13" s="1"/>
  <c r="X201" i="13"/>
  <c r="X47" i="13"/>
  <c r="O156" i="8"/>
  <c r="S156" i="8"/>
  <c r="V156" i="8"/>
  <c r="Z156" i="8"/>
  <c r="AC156" i="8" s="1"/>
  <c r="X94" i="13"/>
  <c r="AH138" i="8"/>
  <c r="F138" i="13" s="1"/>
  <c r="AM138" i="8"/>
  <c r="AP138" i="8"/>
  <c r="D138" i="13"/>
  <c r="AQ138" i="8"/>
  <c r="Y88" i="13"/>
  <c r="D19" i="8"/>
  <c r="BH19" i="12"/>
  <c r="X187" i="13" l="1"/>
  <c r="AG276" i="12"/>
  <c r="X175" i="13"/>
  <c r="X88" i="13"/>
  <c r="X130" i="13"/>
  <c r="AA175" i="13"/>
  <c r="AA185" i="13"/>
  <c r="AC185" i="13" s="1"/>
  <c r="AG185" i="13" s="1"/>
  <c r="AD200" i="8"/>
  <c r="AF200" i="8"/>
  <c r="X29" i="13"/>
  <c r="AA106" i="13"/>
  <c r="AA217" i="13"/>
  <c r="AF158" i="8"/>
  <c r="AD158" i="8"/>
  <c r="D105" i="13"/>
  <c r="AP105" i="8"/>
  <c r="AH105" i="8"/>
  <c r="F105" i="13" s="1"/>
  <c r="AM105" i="8"/>
  <c r="AQ105" i="8"/>
  <c r="AQ15" i="12"/>
  <c r="BB15" i="12"/>
  <c r="BJ15" i="12"/>
  <c r="BE15" i="12"/>
  <c r="Z145" i="8"/>
  <c r="AC145" i="8" s="1"/>
  <c r="O145" i="8"/>
  <c r="S145" i="8"/>
  <c r="V145" i="8"/>
  <c r="AA145" i="13"/>
  <c r="AF54" i="8"/>
  <c r="AD54" i="8"/>
  <c r="AD181" i="8"/>
  <c r="AF181" i="8"/>
  <c r="AD132" i="8"/>
  <c r="AF132" i="8"/>
  <c r="BJ31" i="12"/>
  <c r="AQ31" i="12"/>
  <c r="BB31" i="12"/>
  <c r="BE31" i="12"/>
  <c r="AP25" i="8"/>
  <c r="D25" i="13"/>
  <c r="AH25" i="8"/>
  <c r="F25" i="13" s="1"/>
  <c r="AM25" i="8"/>
  <c r="AQ25" i="8"/>
  <c r="AD111" i="8"/>
  <c r="AF111" i="8"/>
  <c r="AF168" i="8"/>
  <c r="AD168" i="8"/>
  <c r="AD73" i="8"/>
  <c r="AF73" i="8"/>
  <c r="AD201" i="8"/>
  <c r="AF201" i="8"/>
  <c r="AD170" i="8"/>
  <c r="AF170" i="8"/>
  <c r="BE171" i="12"/>
  <c r="BB171" i="12"/>
  <c r="AQ171" i="12"/>
  <c r="BJ171" i="12"/>
  <c r="BK143" i="12"/>
  <c r="BF143" i="12"/>
  <c r="Z130" i="8"/>
  <c r="AC130" i="8" s="1"/>
  <c r="O130" i="8"/>
  <c r="S130" i="8"/>
  <c r="V130" i="8"/>
  <c r="BK81" i="12"/>
  <c r="BF81" i="12"/>
  <c r="K161" i="13"/>
  <c r="S161" i="13"/>
  <c r="L161" i="13"/>
  <c r="AF207" i="8"/>
  <c r="AD207" i="8"/>
  <c r="BF56" i="12"/>
  <c r="BK56" i="12"/>
  <c r="AA39" i="13"/>
  <c r="AF39" i="13"/>
  <c r="AD35" i="8"/>
  <c r="AF35" i="8"/>
  <c r="D59" i="13"/>
  <c r="AM59" i="8"/>
  <c r="AP59" i="8"/>
  <c r="AH59" i="8"/>
  <c r="F59" i="13" s="1"/>
  <c r="AQ59" i="8"/>
  <c r="Y112" i="13"/>
  <c r="BF17" i="12"/>
  <c r="BK17" i="12"/>
  <c r="AD148" i="8"/>
  <c r="AF148" i="8"/>
  <c r="AI92" i="8"/>
  <c r="G92" i="13" s="1"/>
  <c r="AN92" i="8"/>
  <c r="BK15" i="12"/>
  <c r="BF15" i="12"/>
  <c r="AF70" i="8"/>
  <c r="AD70" i="8"/>
  <c r="AP205" i="8"/>
  <c r="AH205" i="8"/>
  <c r="F205" i="13" s="1"/>
  <c r="D205" i="13"/>
  <c r="AM205" i="8"/>
  <c r="AQ205" i="8"/>
  <c r="AM91" i="8"/>
  <c r="AP91" i="8"/>
  <c r="AH91" i="8"/>
  <c r="F91" i="13" s="1"/>
  <c r="D91" i="13"/>
  <c r="AQ91" i="8"/>
  <c r="BJ142" i="12"/>
  <c r="BB142" i="12"/>
  <c r="AQ142" i="12"/>
  <c r="BE142" i="12"/>
  <c r="AM194" i="8"/>
  <c r="AP194" i="8"/>
  <c r="D194" i="13"/>
  <c r="AH194" i="8"/>
  <c r="F194" i="13" s="1"/>
  <c r="AQ194" i="8"/>
  <c r="AF173" i="8"/>
  <c r="AD173" i="8"/>
  <c r="AN32" i="8"/>
  <c r="AI32" i="8"/>
  <c r="G32" i="13" s="1"/>
  <c r="BJ33" i="12"/>
  <c r="AQ33" i="12"/>
  <c r="BE33" i="12"/>
  <c r="BB33" i="12"/>
  <c r="AF123" i="8"/>
  <c r="AD123" i="8"/>
  <c r="AN51" i="8"/>
  <c r="AI51" i="8"/>
  <c r="G51" i="13" s="1"/>
  <c r="BE182" i="12"/>
  <c r="BB182" i="12"/>
  <c r="BJ182" i="12"/>
  <c r="AQ182" i="12"/>
  <c r="AN133" i="8"/>
  <c r="AI133" i="8"/>
  <c r="G133" i="13" s="1"/>
  <c r="BB102" i="12"/>
  <c r="BJ102" i="12"/>
  <c r="AQ102" i="12"/>
  <c r="BE102" i="12"/>
  <c r="AD89" i="8"/>
  <c r="AF89" i="8"/>
  <c r="AD183" i="8"/>
  <c r="AF183" i="8"/>
  <c r="AQ144" i="12"/>
  <c r="BJ144" i="12"/>
  <c r="BE144" i="12"/>
  <c r="BB144" i="12"/>
  <c r="Z165" i="8"/>
  <c r="AC165" i="8" s="1"/>
  <c r="O165" i="8"/>
  <c r="S165" i="8"/>
  <c r="V165" i="8"/>
  <c r="BJ22" i="12"/>
  <c r="BB22" i="12"/>
  <c r="BE22" i="12"/>
  <c r="AQ22" i="12"/>
  <c r="S58" i="13"/>
  <c r="K58" i="13"/>
  <c r="L58" i="13"/>
  <c r="O157" i="8"/>
  <c r="S157" i="8"/>
  <c r="V157" i="8"/>
  <c r="Z157" i="8"/>
  <c r="AC157" i="8" s="1"/>
  <c r="AH199" i="8"/>
  <c r="F199" i="13" s="1"/>
  <c r="D199" i="13"/>
  <c r="AM199" i="8"/>
  <c r="AP199" i="8"/>
  <c r="AQ199" i="8"/>
  <c r="AD64" i="8"/>
  <c r="AF64" i="8"/>
  <c r="W112" i="13"/>
  <c r="AF68" i="8"/>
  <c r="AD68" i="8"/>
  <c r="S96" i="13"/>
  <c r="K96" i="13"/>
  <c r="L96" i="13"/>
  <c r="W103" i="13"/>
  <c r="X103" i="13"/>
  <c r="BF120" i="12"/>
  <c r="BK120" i="12"/>
  <c r="Y103" i="13"/>
  <c r="Z88" i="8"/>
  <c r="AC88" i="8" s="1"/>
  <c r="O88" i="8"/>
  <c r="S88" i="8"/>
  <c r="V88" i="8"/>
  <c r="AD125" i="8"/>
  <c r="AF125" i="8"/>
  <c r="AP196" i="8"/>
  <c r="AM196" i="8"/>
  <c r="AH196" i="8"/>
  <c r="F196" i="13" s="1"/>
  <c r="D196" i="13"/>
  <c r="AQ196" i="8"/>
  <c r="BE18" i="12"/>
  <c r="BJ18" i="12"/>
  <c r="BB18" i="12"/>
  <c r="AQ18" i="12"/>
  <c r="BK210" i="12"/>
  <c r="BF210" i="12"/>
  <c r="AF134" i="8"/>
  <c r="AD134" i="8"/>
  <c r="X37" i="13"/>
  <c r="AH83" i="8"/>
  <c r="F83" i="13" s="1"/>
  <c r="AM83" i="8"/>
  <c r="AP83" i="8"/>
  <c r="D83" i="13"/>
  <c r="AQ83" i="8"/>
  <c r="AF154" i="8"/>
  <c r="AD154" i="8"/>
  <c r="AD44" i="8"/>
  <c r="AF44" i="8"/>
  <c r="BK142" i="12"/>
  <c r="BF142" i="12"/>
  <c r="BK213" i="12"/>
  <c r="BF213" i="12"/>
  <c r="O187" i="8"/>
  <c r="S187" i="8"/>
  <c r="V187" i="8"/>
  <c r="Z187" i="8"/>
  <c r="AC187" i="8" s="1"/>
  <c r="AF87" i="8"/>
  <c r="AD87" i="8"/>
  <c r="AA66" i="13"/>
  <c r="AQ65" i="12"/>
  <c r="BB65" i="12"/>
  <c r="BJ65" i="12"/>
  <c r="BE65" i="12"/>
  <c r="W151" i="13"/>
  <c r="BM19" i="12"/>
  <c r="AN138" i="8"/>
  <c r="AI138" i="8"/>
  <c r="G138" i="13" s="1"/>
  <c r="AD156" i="8"/>
  <c r="AF156" i="8"/>
  <c r="AA187" i="13"/>
  <c r="X66" i="13"/>
  <c r="W198" i="13"/>
  <c r="AA62" i="8"/>
  <c r="AB62" i="8" s="1"/>
  <c r="BE81" i="12"/>
  <c r="AQ81" i="12"/>
  <c r="BJ81" i="12"/>
  <c r="BB81" i="12"/>
  <c r="O106" i="8"/>
  <c r="S106" i="8"/>
  <c r="V106" i="8"/>
  <c r="Z106" i="8"/>
  <c r="AC106" i="8" s="1"/>
  <c r="X217" i="13"/>
  <c r="AF189" i="8"/>
  <c r="AD189" i="8"/>
  <c r="AD69" i="8"/>
  <c r="AF69" i="8"/>
  <c r="L211" i="13"/>
  <c r="S211" i="13"/>
  <c r="K211" i="13"/>
  <c r="AD79" i="8"/>
  <c r="AF79" i="8"/>
  <c r="X145" i="13"/>
  <c r="AF85" i="8"/>
  <c r="AD85" i="8"/>
  <c r="AD212" i="8"/>
  <c r="AF212" i="8"/>
  <c r="BB21" i="12"/>
  <c r="BE21" i="12"/>
  <c r="BJ21" i="12"/>
  <c r="AQ21" i="12"/>
  <c r="Y198" i="13"/>
  <c r="AD166" i="8"/>
  <c r="AF166" i="8"/>
  <c r="AN41" i="12"/>
  <c r="AQ108" i="12"/>
  <c r="BB108" i="12"/>
  <c r="BE108" i="12"/>
  <c r="BJ108" i="12"/>
  <c r="AM101" i="12"/>
  <c r="AK101" i="12"/>
  <c r="AD94" i="8"/>
  <c r="AF94" i="8"/>
  <c r="AF47" i="8"/>
  <c r="AD47" i="8"/>
  <c r="AH121" i="8"/>
  <c r="F121" i="13" s="1"/>
  <c r="D121" i="13"/>
  <c r="AP121" i="8"/>
  <c r="AM121" i="8"/>
  <c r="AQ121" i="8"/>
  <c r="P16" i="8"/>
  <c r="Y20" i="13"/>
  <c r="AI53" i="8"/>
  <c r="G53" i="13" s="1"/>
  <c r="AN53" i="8"/>
  <c r="AF130" i="13"/>
  <c r="AA130" i="13"/>
  <c r="AI209" i="12"/>
  <c r="AJ209" i="12"/>
  <c r="AJ307" i="12" s="1"/>
  <c r="AG325" i="12"/>
  <c r="AG290" i="12"/>
  <c r="AA123" i="13"/>
  <c r="AM127" i="8"/>
  <c r="AP127" i="8"/>
  <c r="D127" i="13"/>
  <c r="AH127" i="8"/>
  <c r="F127" i="13" s="1"/>
  <c r="AQ127" i="8"/>
  <c r="AH60" i="8"/>
  <c r="F60" i="13" s="1"/>
  <c r="AP60" i="8"/>
  <c r="AM60" i="8"/>
  <c r="D60" i="13"/>
  <c r="AQ60" i="8"/>
  <c r="X39" i="13"/>
  <c r="BB55" i="12"/>
  <c r="AQ55" i="12"/>
  <c r="BE55" i="12"/>
  <c r="BJ55" i="12"/>
  <c r="BK174" i="12"/>
  <c r="BF174" i="12"/>
  <c r="AF215" i="8"/>
  <c r="AD215" i="8"/>
  <c r="AF131" i="8"/>
  <c r="AD131" i="8"/>
  <c r="AH115" i="8"/>
  <c r="F115" i="13" s="1"/>
  <c r="AP115" i="8"/>
  <c r="AM115" i="8"/>
  <c r="D115" i="13"/>
  <c r="AQ115" i="8"/>
  <c r="AA180" i="13"/>
  <c r="AF180" i="13"/>
  <c r="BF102" i="12"/>
  <c r="BK102" i="12"/>
  <c r="BF21" i="12"/>
  <c r="BK21" i="12"/>
  <c r="AP93" i="8"/>
  <c r="AH93" i="8"/>
  <c r="F93" i="13" s="1"/>
  <c r="D93" i="13"/>
  <c r="AM93" i="8"/>
  <c r="AQ93" i="8"/>
  <c r="D61" i="13"/>
  <c r="AP61" i="8"/>
  <c r="AM61" i="8"/>
  <c r="AH61" i="8"/>
  <c r="F61" i="13" s="1"/>
  <c r="AQ61" i="8"/>
  <c r="AD155" i="8"/>
  <c r="AF155" i="8"/>
  <c r="BE213" i="12"/>
  <c r="BJ213" i="12"/>
  <c r="AQ213" i="12"/>
  <c r="BB213" i="12"/>
  <c r="AD177" i="8"/>
  <c r="AF177" i="8"/>
  <c r="BK100" i="12"/>
  <c r="BF100" i="12"/>
  <c r="Z71" i="8"/>
  <c r="AC71" i="8" s="1"/>
  <c r="O71" i="8"/>
  <c r="S71" i="8"/>
  <c r="V71" i="8"/>
  <c r="D45" i="13"/>
  <c r="AM45" i="8"/>
  <c r="AP45" i="8"/>
  <c r="AH45" i="8"/>
  <c r="F45" i="13" s="1"/>
  <c r="AQ45" i="8"/>
  <c r="AF141" i="8"/>
  <c r="AD141" i="8"/>
  <c r="BB56" i="12"/>
  <c r="AQ56" i="12"/>
  <c r="BE56" i="12"/>
  <c r="BJ56" i="12"/>
  <c r="AD116" i="8"/>
  <c r="AF116" i="8"/>
  <c r="AP188" i="8"/>
  <c r="D188" i="13"/>
  <c r="AM188" i="8"/>
  <c r="AH188" i="8"/>
  <c r="F188" i="13" s="1"/>
  <c r="AQ188" i="8"/>
  <c r="BE17" i="12"/>
  <c r="AQ17" i="12"/>
  <c r="BB17" i="12"/>
  <c r="BJ17" i="12"/>
  <c r="L107" i="13"/>
  <c r="K107" i="13"/>
  <c r="S107" i="13"/>
  <c r="BK13" i="12"/>
  <c r="BF13" i="12"/>
  <c r="AD150" i="8"/>
  <c r="AF150" i="8"/>
  <c r="BK12" i="12"/>
  <c r="BF12" i="12"/>
  <c r="X169" i="13"/>
  <c r="W48" i="13"/>
  <c r="AF147" i="8"/>
  <c r="AD147" i="8"/>
  <c r="O175" i="8"/>
  <c r="S175" i="8"/>
  <c r="V175" i="8"/>
  <c r="Z175" i="8"/>
  <c r="AC175" i="8" s="1"/>
  <c r="X165" i="13"/>
  <c r="Y146" i="13"/>
  <c r="BJ128" i="12"/>
  <c r="AQ128" i="12"/>
  <c r="BE128" i="12"/>
  <c r="BB128" i="12"/>
  <c r="AN58" i="8"/>
  <c r="AI58" i="8"/>
  <c r="G58" i="13" s="1"/>
  <c r="BF108" i="12"/>
  <c r="BK108" i="12"/>
  <c r="X157" i="13"/>
  <c r="AG262" i="12"/>
  <c r="BK23" i="12"/>
  <c r="BF23" i="12"/>
  <c r="AN96" i="8"/>
  <c r="AI96" i="8"/>
  <c r="G96" i="13" s="1"/>
  <c r="AD50" i="8"/>
  <c r="AF50" i="8"/>
  <c r="AF99" i="8"/>
  <c r="AD99" i="8"/>
  <c r="D110" i="13"/>
  <c r="AM110" i="8"/>
  <c r="AP110" i="8"/>
  <c r="AH110" i="8"/>
  <c r="F110" i="13" s="1"/>
  <c r="AQ110" i="8"/>
  <c r="BJ122" i="12"/>
  <c r="AQ122" i="12"/>
  <c r="BB122" i="12"/>
  <c r="BE122" i="12"/>
  <c r="BF65" i="12"/>
  <c r="BK65" i="12"/>
  <c r="BB100" i="12"/>
  <c r="BJ100" i="12"/>
  <c r="BE100" i="12"/>
  <c r="AQ100" i="12"/>
  <c r="AF191" i="8"/>
  <c r="AD191" i="8"/>
  <c r="AF178" i="8"/>
  <c r="AD178" i="8"/>
  <c r="AH67" i="8"/>
  <c r="F67" i="13" s="1"/>
  <c r="D67" i="13"/>
  <c r="AM67" i="8"/>
  <c r="AP67" i="8"/>
  <c r="AQ67" i="8"/>
  <c r="AF88" i="13"/>
  <c r="Y43" i="13"/>
  <c r="S72" i="13"/>
  <c r="K72" i="13"/>
  <c r="L72" i="13"/>
  <c r="W146" i="13"/>
  <c r="AA37" i="13"/>
  <c r="BB12" i="12"/>
  <c r="BJ12" i="12"/>
  <c r="AQ12" i="12"/>
  <c r="BE12" i="12"/>
  <c r="AF176" i="8"/>
  <c r="AD176" i="8"/>
  <c r="AD75" i="8"/>
  <c r="AF75" i="8"/>
  <c r="BK128" i="12"/>
  <c r="BF128" i="12"/>
  <c r="AD40" i="8"/>
  <c r="AF40" i="8"/>
  <c r="AD179" i="8"/>
  <c r="AF179" i="8"/>
  <c r="O29" i="8"/>
  <c r="S29" i="8"/>
  <c r="V29" i="8"/>
  <c r="Z29" i="8"/>
  <c r="AC29" i="8" s="1"/>
  <c r="AD34" i="8"/>
  <c r="AF34" i="8"/>
  <c r="Z66" i="8"/>
  <c r="AC66" i="8" s="1"/>
  <c r="O66" i="8"/>
  <c r="S66" i="8"/>
  <c r="V66" i="8"/>
  <c r="K19" i="8"/>
  <c r="J19" i="8"/>
  <c r="W19" i="8" s="1"/>
  <c r="AD57" i="8"/>
  <c r="AF57" i="8"/>
  <c r="BE23" i="12"/>
  <c r="BB23" i="12"/>
  <c r="AQ23" i="12"/>
  <c r="BJ23" i="12"/>
  <c r="BJ80" i="12"/>
  <c r="AQ80" i="12"/>
  <c r="BE80" i="12"/>
  <c r="BB80" i="12"/>
  <c r="X192" i="13"/>
  <c r="W192" i="13"/>
  <c r="AD202" i="8"/>
  <c r="AF202" i="8"/>
  <c r="W42" i="13"/>
  <c r="Y48" i="13"/>
  <c r="O217" i="8"/>
  <c r="S217" i="8"/>
  <c r="V217" i="8"/>
  <c r="Z217" i="8"/>
  <c r="AC217" i="8" s="1"/>
  <c r="Y157" i="13"/>
  <c r="AD140" i="8"/>
  <c r="AF140" i="8"/>
  <c r="BF27" i="12"/>
  <c r="BK27" i="12"/>
  <c r="D184" i="13"/>
  <c r="AP184" i="8"/>
  <c r="AH184" i="8"/>
  <c r="F184" i="13" s="1"/>
  <c r="AM184" i="8"/>
  <c r="AQ184" i="8"/>
  <c r="AM41" i="12"/>
  <c r="AK41" i="12"/>
  <c r="BF139" i="12"/>
  <c r="BK139" i="12"/>
  <c r="AN101" i="12"/>
  <c r="BJ26" i="12"/>
  <c r="BE26" i="12"/>
  <c r="AQ26" i="12"/>
  <c r="BB26" i="12"/>
  <c r="AD126" i="8"/>
  <c r="AF126" i="8"/>
  <c r="AN203" i="8"/>
  <c r="AI203" i="8"/>
  <c r="G203" i="13" s="1"/>
  <c r="BE78" i="12"/>
  <c r="BB78" i="12"/>
  <c r="AQ78" i="12"/>
  <c r="BJ78" i="12"/>
  <c r="AI161" i="8"/>
  <c r="G161" i="13" s="1"/>
  <c r="AN161" i="8"/>
  <c r="AN204" i="8"/>
  <c r="AI204" i="8"/>
  <c r="G204" i="13" s="1"/>
  <c r="Z39" i="8"/>
  <c r="AC39" i="8" s="1"/>
  <c r="O39" i="8"/>
  <c r="S39" i="8"/>
  <c r="V39" i="8"/>
  <c r="D208" i="13"/>
  <c r="AM208" i="8"/>
  <c r="AH208" i="8"/>
  <c r="F208" i="13" s="1"/>
  <c r="AP208" i="8"/>
  <c r="AQ208" i="8"/>
  <c r="AA169" i="13"/>
  <c r="K92" i="13"/>
  <c r="S92" i="13"/>
  <c r="L92" i="13"/>
  <c r="AF180" i="8"/>
  <c r="AD180" i="8"/>
  <c r="AD63" i="8"/>
  <c r="AF63" i="8"/>
  <c r="Y42" i="13"/>
  <c r="BJ24" i="12"/>
  <c r="AQ24" i="12"/>
  <c r="BB24" i="12"/>
  <c r="BE24" i="12"/>
  <c r="AF136" i="8"/>
  <c r="AD136" i="8"/>
  <c r="AF46" i="8"/>
  <c r="AD46" i="8"/>
  <c r="AD149" i="8"/>
  <c r="AF149" i="8"/>
  <c r="AD74" i="8"/>
  <c r="AF74" i="8"/>
  <c r="BF22" i="12"/>
  <c r="BK22" i="12"/>
  <c r="AP219" i="8"/>
  <c r="D219" i="13"/>
  <c r="AM219" i="8"/>
  <c r="AH219" i="8"/>
  <c r="F219" i="13" s="1"/>
  <c r="AQ219" i="8"/>
  <c r="AH216" i="8"/>
  <c r="F216" i="13" s="1"/>
  <c r="AM216" i="8"/>
  <c r="AP216" i="8"/>
  <c r="D216" i="13"/>
  <c r="AQ216" i="8"/>
  <c r="BK171" i="12"/>
  <c r="BF171" i="12"/>
  <c r="AD163" i="8"/>
  <c r="AF163" i="8"/>
  <c r="BE38" i="12"/>
  <c r="BJ38" i="12"/>
  <c r="BB38" i="12"/>
  <c r="AQ38" i="12"/>
  <c r="AH95" i="8"/>
  <c r="F95" i="13" s="1"/>
  <c r="AP95" i="8"/>
  <c r="AM95" i="8"/>
  <c r="D95" i="13"/>
  <c r="AQ95" i="8"/>
  <c r="S129" i="13"/>
  <c r="L129" i="13"/>
  <c r="K129" i="13"/>
  <c r="AI129" i="8"/>
  <c r="G129" i="13" s="1"/>
  <c r="AN129" i="8"/>
  <c r="AF98" i="8"/>
  <c r="AD98" i="8"/>
  <c r="AF109" i="8"/>
  <c r="AD109" i="8"/>
  <c r="BK55" i="12"/>
  <c r="BF55" i="12"/>
  <c r="BK18" i="12"/>
  <c r="BF18" i="12"/>
  <c r="AN107" i="8"/>
  <c r="AI107" i="8"/>
  <c r="G107" i="13" s="1"/>
  <c r="Y71" i="13"/>
  <c r="BB27" i="12"/>
  <c r="BE27" i="12"/>
  <c r="AQ27" i="12"/>
  <c r="BJ27" i="12"/>
  <c r="Z169" i="8"/>
  <c r="AC169" i="8" s="1"/>
  <c r="O169" i="8"/>
  <c r="S169" i="8"/>
  <c r="V169" i="8"/>
  <c r="AF97" i="8"/>
  <c r="AD97" i="8"/>
  <c r="D220" i="13"/>
  <c r="AH220" i="8"/>
  <c r="F220" i="13" s="1"/>
  <c r="AM220" i="8"/>
  <c r="AP220" i="8"/>
  <c r="AQ220" i="8"/>
  <c r="BB139" i="12"/>
  <c r="AQ139" i="12"/>
  <c r="BJ139" i="12"/>
  <c r="BE139" i="12"/>
  <c r="AQ14" i="12"/>
  <c r="BJ14" i="12"/>
  <c r="BB14" i="12"/>
  <c r="BE14" i="12"/>
  <c r="AN30" i="12"/>
  <c r="AJ276" i="12"/>
  <c r="BB143" i="12"/>
  <c r="BJ143" i="12"/>
  <c r="BE143" i="12"/>
  <c r="AQ143" i="12"/>
  <c r="AF90" i="8"/>
  <c r="AD90" i="8"/>
  <c r="AH214" i="8"/>
  <c r="F214" i="13" s="1"/>
  <c r="AM214" i="8"/>
  <c r="AP214" i="8"/>
  <c r="D214" i="13"/>
  <c r="AQ214" i="8"/>
  <c r="AN190" i="8"/>
  <c r="AI190" i="8"/>
  <c r="G190" i="13" s="1"/>
  <c r="AD152" i="8"/>
  <c r="AF152" i="8"/>
  <c r="AD197" i="8"/>
  <c r="AF197" i="8"/>
  <c r="BK172" i="12"/>
  <c r="BF172" i="12"/>
  <c r="AG307" i="12"/>
  <c r="K138" i="13"/>
  <c r="S138" i="13"/>
  <c r="L138" i="13"/>
  <c r="V192" i="8"/>
  <c r="O192" i="8"/>
  <c r="S192" i="8"/>
  <c r="Z192" i="8"/>
  <c r="AC192" i="8" s="1"/>
  <c r="AF99" i="13"/>
  <c r="BF26" i="12"/>
  <c r="BK26" i="12"/>
  <c r="AM86" i="8"/>
  <c r="AP86" i="8"/>
  <c r="AH86" i="8"/>
  <c r="F86" i="13" s="1"/>
  <c r="D86" i="13"/>
  <c r="AQ86" i="8"/>
  <c r="D62" i="8"/>
  <c r="BH62" i="12"/>
  <c r="AD82" i="8"/>
  <c r="AF82" i="8"/>
  <c r="BF78" i="12"/>
  <c r="BK78" i="12"/>
  <c r="Y151" i="13"/>
  <c r="AI211" i="8"/>
  <c r="G211" i="13" s="1"/>
  <c r="AN211" i="8"/>
  <c r="BF144" i="12"/>
  <c r="BK144" i="12"/>
  <c r="AF84" i="8"/>
  <c r="AD84" i="8"/>
  <c r="AM137" i="8"/>
  <c r="AH137" i="8"/>
  <c r="F137" i="13" s="1"/>
  <c r="AP137" i="8"/>
  <c r="D137" i="13"/>
  <c r="AQ137" i="8"/>
  <c r="AH206" i="8"/>
  <c r="F206" i="13" s="1"/>
  <c r="AP206" i="8"/>
  <c r="AM206" i="8"/>
  <c r="D206" i="13"/>
  <c r="AQ206" i="8"/>
  <c r="AD49" i="8"/>
  <c r="AF49" i="8"/>
  <c r="AF28" i="8"/>
  <c r="AD28" i="8"/>
  <c r="AQ120" i="12"/>
  <c r="BB120" i="12"/>
  <c r="BE120" i="12"/>
  <c r="BJ120" i="12"/>
  <c r="L53" i="13"/>
  <c r="K53" i="13"/>
  <c r="S53" i="13"/>
  <c r="AF104" i="8"/>
  <c r="AD104" i="8"/>
  <c r="K203" i="13"/>
  <c r="L203" i="13"/>
  <c r="S203" i="13"/>
  <c r="S204" i="13"/>
  <c r="K204" i="13"/>
  <c r="L204" i="13"/>
  <c r="W160" i="13"/>
  <c r="X160" i="13"/>
  <c r="BB210" i="12"/>
  <c r="BJ210" i="12"/>
  <c r="AQ210" i="12"/>
  <c r="BE210" i="12"/>
  <c r="W43" i="13"/>
  <c r="BK182" i="12"/>
  <c r="BF182" i="12"/>
  <c r="AD135" i="8"/>
  <c r="AF135" i="8"/>
  <c r="AG232" i="12"/>
  <c r="AP76" i="8"/>
  <c r="AH76" i="8"/>
  <c r="F76" i="13" s="1"/>
  <c r="AM76" i="8"/>
  <c r="D76" i="13"/>
  <c r="AQ76" i="8"/>
  <c r="AA113" i="13"/>
  <c r="AC113" i="13" s="1"/>
  <c r="AG113" i="13" s="1"/>
  <c r="AA186" i="13"/>
  <c r="AC186" i="13" s="1"/>
  <c r="AG186" i="13" s="1"/>
  <c r="AM119" i="8"/>
  <c r="AP119" i="8"/>
  <c r="D119" i="13"/>
  <c r="AH119" i="8"/>
  <c r="F119" i="13" s="1"/>
  <c r="AQ119" i="8"/>
  <c r="BK80" i="12"/>
  <c r="BF80" i="12"/>
  <c r="BK122" i="12"/>
  <c r="BF122" i="12"/>
  <c r="K32" i="13"/>
  <c r="S32" i="13"/>
  <c r="L32" i="13"/>
  <c r="BK244" i="12"/>
  <c r="BF244" i="12"/>
  <c r="S51" i="13"/>
  <c r="L51" i="13"/>
  <c r="K51" i="13"/>
  <c r="AD77" i="8"/>
  <c r="AF77" i="8"/>
  <c r="L133" i="13"/>
  <c r="K133" i="13"/>
  <c r="S133" i="13"/>
  <c r="AA71" i="13"/>
  <c r="BK31" i="12"/>
  <c r="BF31" i="12"/>
  <c r="AD117" i="8"/>
  <c r="AF117" i="8"/>
  <c r="AD159" i="8"/>
  <c r="AF159" i="8"/>
  <c r="AA167" i="13"/>
  <c r="AA165" i="13"/>
  <c r="W20" i="13"/>
  <c r="W157" i="13"/>
  <c r="AD167" i="8"/>
  <c r="AF167" i="8"/>
  <c r="AF114" i="8"/>
  <c r="AD114" i="8"/>
  <c r="D118" i="13"/>
  <c r="AP118" i="8"/>
  <c r="AH118" i="8"/>
  <c r="F118" i="13" s="1"/>
  <c r="AM118" i="8"/>
  <c r="AQ118" i="8"/>
  <c r="W29" i="13"/>
  <c r="AM30" i="12"/>
  <c r="AI276" i="12"/>
  <c r="AK30" i="12"/>
  <c r="Y160" i="13"/>
  <c r="AD52" i="8"/>
  <c r="AF52" i="8"/>
  <c r="AF193" i="8"/>
  <c r="AD193" i="8"/>
  <c r="BF38" i="12"/>
  <c r="BK38" i="12"/>
  <c r="BK33" i="12"/>
  <c r="BF33" i="12"/>
  <c r="AN72" i="8"/>
  <c r="AI72" i="8"/>
  <c r="G72" i="13" s="1"/>
  <c r="BJ174" i="12"/>
  <c r="AQ174" i="12"/>
  <c r="BE174" i="12"/>
  <c r="BB174" i="12"/>
  <c r="D218" i="13"/>
  <c r="AP218" i="8"/>
  <c r="AH218" i="8"/>
  <c r="F218" i="13" s="1"/>
  <c r="AM218" i="8"/>
  <c r="AQ218" i="8"/>
  <c r="Z37" i="8"/>
  <c r="AC37" i="8" s="1"/>
  <c r="O37" i="8"/>
  <c r="S37" i="8"/>
  <c r="V37" i="8"/>
  <c r="AD153" i="8"/>
  <c r="AF153" i="8"/>
  <c r="AQ13" i="12"/>
  <c r="BE13" i="12"/>
  <c r="BB13" i="12"/>
  <c r="BJ13" i="12"/>
  <c r="L190" i="13"/>
  <c r="K190" i="13"/>
  <c r="S190" i="13"/>
  <c r="BK24" i="12"/>
  <c r="BF24" i="12"/>
  <c r="AF124" i="8"/>
  <c r="AD124" i="8"/>
  <c r="BF14" i="12"/>
  <c r="BK14" i="12"/>
  <c r="BB172" i="12"/>
  <c r="BE172" i="12"/>
  <c r="AQ172" i="12"/>
  <c r="BJ172" i="12"/>
  <c r="X20" i="13" l="1"/>
  <c r="X43" i="13"/>
  <c r="AJ185" i="13"/>
  <c r="AN185" i="13" s="1"/>
  <c r="AI185" i="13"/>
  <c r="BF265" i="12"/>
  <c r="D172" i="8"/>
  <c r="BH172" i="12"/>
  <c r="S218" i="13"/>
  <c r="L218" i="13"/>
  <c r="K218" i="13"/>
  <c r="Y29" i="13"/>
  <c r="AM114" i="8"/>
  <c r="AP114" i="8"/>
  <c r="D114" i="13"/>
  <c r="AH114" i="8"/>
  <c r="F114" i="13" s="1"/>
  <c r="AQ114" i="8"/>
  <c r="AH77" i="8"/>
  <c r="F77" i="13" s="1"/>
  <c r="AP77" i="8"/>
  <c r="AM77" i="8"/>
  <c r="D77" i="13"/>
  <c r="AQ77" i="8"/>
  <c r="BK246" i="12"/>
  <c r="BF246" i="12"/>
  <c r="AI76" i="8"/>
  <c r="G76" i="13" s="1"/>
  <c r="AN76" i="8"/>
  <c r="AA210" i="8"/>
  <c r="AB210" i="8" s="1"/>
  <c r="AA160" i="13"/>
  <c r="AC204" i="13"/>
  <c r="AF204" i="13"/>
  <c r="AA53" i="13"/>
  <c r="AC53" i="13" s="1"/>
  <c r="AG53" i="13" s="1"/>
  <c r="AA120" i="8"/>
  <c r="AB120" i="8" s="1"/>
  <c r="S137" i="13"/>
  <c r="L137" i="13"/>
  <c r="K137" i="13"/>
  <c r="K62" i="8"/>
  <c r="J62" i="8"/>
  <c r="W62" i="8" s="1"/>
  <c r="BF279" i="12"/>
  <c r="AA138" i="13"/>
  <c r="AC138" i="13" s="1"/>
  <c r="AG138" i="13" s="1"/>
  <c r="AI214" i="8"/>
  <c r="G214" i="13" s="1"/>
  <c r="AN214" i="8"/>
  <c r="D90" i="13"/>
  <c r="AH90" i="8"/>
  <c r="F90" i="13" s="1"/>
  <c r="AM90" i="8"/>
  <c r="AP90" i="8"/>
  <c r="AQ90" i="8"/>
  <c r="BE295" i="12"/>
  <c r="BB295" i="12"/>
  <c r="BJ295" i="12"/>
  <c r="BB229" i="12"/>
  <c r="BE229" i="12"/>
  <c r="BB319" i="12"/>
  <c r="BE319" i="12"/>
  <c r="BJ319" i="12"/>
  <c r="AI220" i="8"/>
  <c r="G220" i="13" s="1"/>
  <c r="AN220" i="8"/>
  <c r="D27" i="8"/>
  <c r="BH27" i="12"/>
  <c r="AA27" i="8"/>
  <c r="AB27" i="8" s="1"/>
  <c r="BF242" i="12"/>
  <c r="BK242" i="12"/>
  <c r="AM98" i="8"/>
  <c r="AH98" i="8"/>
  <c r="F98" i="13" s="1"/>
  <c r="D98" i="13"/>
  <c r="AP98" i="8"/>
  <c r="AQ98" i="8"/>
  <c r="AI95" i="8"/>
  <c r="G95" i="13" s="1"/>
  <c r="AN95" i="8"/>
  <c r="D38" i="8"/>
  <c r="BH38" i="12"/>
  <c r="AH74" i="8"/>
  <c r="F74" i="13" s="1"/>
  <c r="D74" i="13"/>
  <c r="AM74" i="8"/>
  <c r="AP74" i="8"/>
  <c r="AQ74" i="8"/>
  <c r="AM136" i="8"/>
  <c r="AH136" i="8"/>
  <c r="F136" i="13" s="1"/>
  <c r="D136" i="13"/>
  <c r="AP136" i="8"/>
  <c r="AQ136" i="8"/>
  <c r="D24" i="8"/>
  <c r="BH24" i="12"/>
  <c r="AM180" i="8"/>
  <c r="AH180" i="8"/>
  <c r="F180" i="13" s="1"/>
  <c r="D180" i="13"/>
  <c r="AP180" i="8"/>
  <c r="AQ180" i="8"/>
  <c r="D26" i="8"/>
  <c r="BH26" i="12"/>
  <c r="BF253" i="12"/>
  <c r="BK253" i="12"/>
  <c r="AN184" i="8"/>
  <c r="AI184" i="8"/>
  <c r="G184" i="13" s="1"/>
  <c r="AH140" i="8"/>
  <c r="F140" i="13" s="1"/>
  <c r="AM140" i="8"/>
  <c r="D140" i="13"/>
  <c r="AP140" i="8"/>
  <c r="AQ140" i="8"/>
  <c r="AF192" i="13"/>
  <c r="BE246" i="12"/>
  <c r="BJ246" i="12"/>
  <c r="BB246" i="12"/>
  <c r="D80" i="8"/>
  <c r="BH80" i="12"/>
  <c r="D23" i="8"/>
  <c r="BH23" i="12"/>
  <c r="P19" i="8"/>
  <c r="AP75" i="8"/>
  <c r="D75" i="13"/>
  <c r="AM75" i="8"/>
  <c r="AH75" i="8"/>
  <c r="F75" i="13" s="1"/>
  <c r="AQ75" i="8"/>
  <c r="BJ236" i="12"/>
  <c r="BB236" i="12"/>
  <c r="BE236" i="12"/>
  <c r="D12" i="8"/>
  <c r="BH12" i="12"/>
  <c r="AA12" i="8"/>
  <c r="AB12" i="8" s="1"/>
  <c r="O146" i="8"/>
  <c r="S146" i="8"/>
  <c r="V146" i="8"/>
  <c r="Z146" i="8"/>
  <c r="AC146" i="8" s="1"/>
  <c r="AN67" i="8"/>
  <c r="AI67" i="8"/>
  <c r="G67" i="13" s="1"/>
  <c r="D100" i="8"/>
  <c r="BH100" i="12"/>
  <c r="AA100" i="8"/>
  <c r="AB100" i="8" s="1"/>
  <c r="BB301" i="12"/>
  <c r="BJ301" i="12"/>
  <c r="BE301" i="12"/>
  <c r="BJ302" i="12"/>
  <c r="BB302" i="12"/>
  <c r="BE302" i="12"/>
  <c r="Z48" i="8"/>
  <c r="AC48" i="8" s="1"/>
  <c r="O48" i="8"/>
  <c r="S48" i="8"/>
  <c r="V48" i="8"/>
  <c r="BF285" i="12"/>
  <c r="BF271" i="12"/>
  <c r="BE270" i="12"/>
  <c r="BB270" i="12"/>
  <c r="K188" i="13"/>
  <c r="L188" i="13"/>
  <c r="S188" i="13"/>
  <c r="K45" i="13"/>
  <c r="S45" i="13"/>
  <c r="L45" i="13"/>
  <c r="AD71" i="8"/>
  <c r="AF71" i="8"/>
  <c r="BF248" i="12"/>
  <c r="BK248" i="12"/>
  <c r="D213" i="8"/>
  <c r="BH213" i="12"/>
  <c r="AM155" i="8"/>
  <c r="AH155" i="8"/>
  <c r="F155" i="13" s="1"/>
  <c r="AP155" i="8"/>
  <c r="D155" i="13"/>
  <c r="AQ155" i="8"/>
  <c r="AN115" i="8"/>
  <c r="AI115" i="8"/>
  <c r="G115" i="13" s="1"/>
  <c r="AH215" i="8"/>
  <c r="F215" i="13" s="1"/>
  <c r="AM215" i="8"/>
  <c r="D215" i="13"/>
  <c r="AP215" i="8"/>
  <c r="AQ215" i="8"/>
  <c r="BF256" i="12"/>
  <c r="BK256" i="12"/>
  <c r="BE314" i="12"/>
  <c r="BB314" i="12"/>
  <c r="AN121" i="8"/>
  <c r="AI121" i="8"/>
  <c r="G121" i="13" s="1"/>
  <c r="AH94" i="8"/>
  <c r="F94" i="13" s="1"/>
  <c r="D94" i="13"/>
  <c r="AP94" i="8"/>
  <c r="AM94" i="8"/>
  <c r="AQ94" i="8"/>
  <c r="BB101" i="12"/>
  <c r="AQ101" i="12"/>
  <c r="BE101" i="12"/>
  <c r="BJ101" i="12"/>
  <c r="AH212" i="8"/>
  <c r="F212" i="13" s="1"/>
  <c r="AP212" i="8"/>
  <c r="AM212" i="8"/>
  <c r="D212" i="13"/>
  <c r="AQ212" i="8"/>
  <c r="AC211" i="13"/>
  <c r="AG211" i="13" s="1"/>
  <c r="BB247" i="12"/>
  <c r="BE247" i="12"/>
  <c r="BJ247" i="12"/>
  <c r="Z198" i="8"/>
  <c r="AC198" i="8" s="1"/>
  <c r="O198" i="8"/>
  <c r="S198" i="8"/>
  <c r="V198" i="8"/>
  <c r="AA151" i="13"/>
  <c r="AD187" i="8"/>
  <c r="AF187" i="8"/>
  <c r="BF303" i="12"/>
  <c r="BK303" i="12"/>
  <c r="L83" i="13"/>
  <c r="S83" i="13"/>
  <c r="K83" i="13"/>
  <c r="S196" i="13"/>
  <c r="K196" i="13"/>
  <c r="L196" i="13"/>
  <c r="AF88" i="8"/>
  <c r="AD88" i="8"/>
  <c r="BK251" i="12"/>
  <c r="BF251" i="12"/>
  <c r="AM68" i="8"/>
  <c r="D68" i="13"/>
  <c r="AP68" i="8"/>
  <c r="AH68" i="8"/>
  <c r="F68" i="13" s="1"/>
  <c r="AQ68" i="8"/>
  <c r="AA58" i="13"/>
  <c r="AC58" i="13" s="1"/>
  <c r="AG58" i="13" s="1"/>
  <c r="BB298" i="12"/>
  <c r="BE298" i="12"/>
  <c r="BJ298" i="12"/>
  <c r="AA144" i="8"/>
  <c r="AB144" i="8" s="1"/>
  <c r="BJ305" i="12"/>
  <c r="BB305" i="12"/>
  <c r="BE305" i="12"/>
  <c r="AM183" i="8"/>
  <c r="D183" i="13"/>
  <c r="AH183" i="8"/>
  <c r="F183" i="13" s="1"/>
  <c r="AP183" i="8"/>
  <c r="AQ183" i="8"/>
  <c r="D102" i="8"/>
  <c r="BH102" i="12"/>
  <c r="AA102" i="8"/>
  <c r="AB102" i="8" s="1"/>
  <c r="BE257" i="12"/>
  <c r="BB257" i="12"/>
  <c r="AA33" i="8"/>
  <c r="AB33" i="8" s="1"/>
  <c r="D33" i="8"/>
  <c r="BH33" i="12"/>
  <c r="AM173" i="8"/>
  <c r="D173" i="13"/>
  <c r="AP173" i="8"/>
  <c r="AH173" i="8"/>
  <c r="F173" i="13" s="1"/>
  <c r="AQ173" i="8"/>
  <c r="AA142" i="8"/>
  <c r="AB142" i="8" s="1"/>
  <c r="BF283" i="12"/>
  <c r="Y36" i="13"/>
  <c r="AM148" i="8"/>
  <c r="AP148" i="8"/>
  <c r="D148" i="13"/>
  <c r="AH148" i="8"/>
  <c r="F148" i="13" s="1"/>
  <c r="AQ148" i="8"/>
  <c r="BF243" i="12"/>
  <c r="BK243" i="12"/>
  <c r="BB254" i="12"/>
  <c r="BE254" i="12"/>
  <c r="BJ254" i="12"/>
  <c r="L25" i="13"/>
  <c r="S25" i="13"/>
  <c r="K25" i="13"/>
  <c r="BB288" i="12"/>
  <c r="BE288" i="12"/>
  <c r="D54" i="13"/>
  <c r="AM54" i="8"/>
  <c r="AH54" i="8"/>
  <c r="F54" i="13" s="1"/>
  <c r="AP54" i="8"/>
  <c r="AQ54" i="8"/>
  <c r="BE283" i="12"/>
  <c r="BB283" i="12"/>
  <c r="AH158" i="8"/>
  <c r="F158" i="13" s="1"/>
  <c r="AP158" i="8"/>
  <c r="AM158" i="8"/>
  <c r="D158" i="13"/>
  <c r="AQ158" i="8"/>
  <c r="BF239" i="12"/>
  <c r="BK239" i="12"/>
  <c r="AA13" i="8"/>
  <c r="AB13" i="8" s="1"/>
  <c r="AH153" i="8"/>
  <c r="F153" i="13" s="1"/>
  <c r="D153" i="13"/>
  <c r="AP153" i="8"/>
  <c r="AM153" i="8"/>
  <c r="AQ153" i="8"/>
  <c r="D13" i="8"/>
  <c r="BH13" i="12"/>
  <c r="BB255" i="12"/>
  <c r="BE255" i="12"/>
  <c r="BJ255" i="12"/>
  <c r="BF282" i="12"/>
  <c r="BF237" i="12"/>
  <c r="BK237" i="12"/>
  <c r="AC190" i="13"/>
  <c r="AG190" i="13" s="1"/>
  <c r="BE286" i="12"/>
  <c r="BB286" i="12"/>
  <c r="AN218" i="8"/>
  <c r="AI218" i="8"/>
  <c r="G218" i="13" s="1"/>
  <c r="BJ256" i="12"/>
  <c r="BB256" i="12"/>
  <c r="BE256" i="12"/>
  <c r="BF241" i="12"/>
  <c r="BK241" i="12"/>
  <c r="D193" i="13"/>
  <c r="AP193" i="8"/>
  <c r="AM193" i="8"/>
  <c r="AH193" i="8"/>
  <c r="F193" i="13" s="1"/>
  <c r="AQ193" i="8"/>
  <c r="AP167" i="8"/>
  <c r="AM167" i="8"/>
  <c r="D167" i="13"/>
  <c r="AH167" i="8"/>
  <c r="F167" i="13" s="1"/>
  <c r="AQ167" i="8"/>
  <c r="AA20" i="13"/>
  <c r="AA133" i="13"/>
  <c r="AC133" i="13" s="1"/>
  <c r="AG133" i="13" s="1"/>
  <c r="AC32" i="13"/>
  <c r="AF32" i="13"/>
  <c r="BK301" i="12"/>
  <c r="BF301" i="12"/>
  <c r="L119" i="13"/>
  <c r="S119" i="13"/>
  <c r="K119" i="13"/>
  <c r="D135" i="13"/>
  <c r="AH135" i="8"/>
  <c r="F135" i="13" s="1"/>
  <c r="AM135" i="8"/>
  <c r="AP135" i="8"/>
  <c r="AQ135" i="8"/>
  <c r="AA43" i="13"/>
  <c r="D210" i="8"/>
  <c r="BH210" i="12"/>
  <c r="BB323" i="12"/>
  <c r="BE323" i="12"/>
  <c r="O160" i="8"/>
  <c r="S160" i="8"/>
  <c r="V160" i="8"/>
  <c r="Z160" i="8"/>
  <c r="AC160" i="8" s="1"/>
  <c r="AC203" i="13"/>
  <c r="AG203" i="13" s="1"/>
  <c r="AH104" i="8"/>
  <c r="F104" i="13" s="1"/>
  <c r="D104" i="13"/>
  <c r="AP104" i="8"/>
  <c r="AM104" i="8"/>
  <c r="AQ104" i="8"/>
  <c r="BE318" i="12"/>
  <c r="BB318" i="12"/>
  <c r="D120" i="8"/>
  <c r="BH120" i="12"/>
  <c r="X162" i="13"/>
  <c r="BK245" i="12"/>
  <c r="BF245" i="12"/>
  <c r="D82" i="13"/>
  <c r="AP82" i="8"/>
  <c r="AM82" i="8"/>
  <c r="AH82" i="8"/>
  <c r="F82" i="13" s="1"/>
  <c r="AQ82" i="8"/>
  <c r="D152" i="13"/>
  <c r="AH152" i="8"/>
  <c r="F152" i="13" s="1"/>
  <c r="AM152" i="8"/>
  <c r="AP152" i="8"/>
  <c r="AQ152" i="8"/>
  <c r="BJ237" i="12"/>
  <c r="BE237" i="12"/>
  <c r="BB237" i="12"/>
  <c r="AA139" i="8"/>
  <c r="AB139" i="8" s="1"/>
  <c r="D97" i="13"/>
  <c r="AP97" i="8"/>
  <c r="AH97" i="8"/>
  <c r="F97" i="13" s="1"/>
  <c r="AM97" i="8"/>
  <c r="AQ97" i="8"/>
  <c r="AD169" i="8"/>
  <c r="AF169" i="8"/>
  <c r="BF314" i="12"/>
  <c r="AP109" i="8"/>
  <c r="AM109" i="8"/>
  <c r="AH109" i="8"/>
  <c r="F109" i="13" s="1"/>
  <c r="D109" i="13"/>
  <c r="AQ109" i="8"/>
  <c r="AA129" i="13"/>
  <c r="AC129" i="13" s="1"/>
  <c r="AG129" i="13" s="1"/>
  <c r="BE280" i="12"/>
  <c r="BB280" i="12"/>
  <c r="AM163" i="8"/>
  <c r="AP163" i="8"/>
  <c r="D163" i="13"/>
  <c r="AH163" i="8"/>
  <c r="F163" i="13" s="1"/>
  <c r="AQ163" i="8"/>
  <c r="BF254" i="12"/>
  <c r="BK254" i="12"/>
  <c r="AN216" i="8"/>
  <c r="AI216" i="8"/>
  <c r="G216" i="13" s="1"/>
  <c r="BF312" i="12"/>
  <c r="BE239" i="12"/>
  <c r="BB239" i="12"/>
  <c r="BJ239" i="12"/>
  <c r="AP63" i="8"/>
  <c r="AH63" i="8"/>
  <c r="F63" i="13" s="1"/>
  <c r="AM63" i="8"/>
  <c r="D63" i="13"/>
  <c r="AQ63" i="8"/>
  <c r="AF39" i="8"/>
  <c r="AD39" i="8"/>
  <c r="D78" i="8"/>
  <c r="BH78" i="12"/>
  <c r="BJ245" i="12"/>
  <c r="BB245" i="12"/>
  <c r="BE245" i="12"/>
  <c r="D126" i="13"/>
  <c r="AP126" i="8"/>
  <c r="AM126" i="8"/>
  <c r="AH126" i="8"/>
  <c r="F126" i="13" s="1"/>
  <c r="AQ126" i="8"/>
  <c r="BB279" i="12"/>
  <c r="BE279" i="12"/>
  <c r="BF319" i="12"/>
  <c r="BK319" i="12"/>
  <c r="BB41" i="12"/>
  <c r="BJ41" i="12"/>
  <c r="BE41" i="12"/>
  <c r="AQ41" i="12"/>
  <c r="AA42" i="13"/>
  <c r="BB244" i="12"/>
  <c r="BE244" i="12"/>
  <c r="BJ244" i="12"/>
  <c r="BB299" i="12"/>
  <c r="BE299" i="12"/>
  <c r="BJ299" i="12"/>
  <c r="AA23" i="8"/>
  <c r="AB23" i="8" s="1"/>
  <c r="BB271" i="12"/>
  <c r="BE271" i="12"/>
  <c r="AA146" i="13"/>
  <c r="D191" i="13"/>
  <c r="AP191" i="8"/>
  <c r="AM191" i="8"/>
  <c r="AH191" i="8"/>
  <c r="F191" i="13" s="1"/>
  <c r="AQ191" i="8"/>
  <c r="D122" i="8"/>
  <c r="BH122" i="12"/>
  <c r="S110" i="13"/>
  <c r="L110" i="13"/>
  <c r="K110" i="13"/>
  <c r="BF299" i="12"/>
  <c r="BK299" i="12"/>
  <c r="BK300" i="12"/>
  <c r="BF300" i="12"/>
  <c r="AF175" i="8"/>
  <c r="AD175" i="8"/>
  <c r="AA48" i="13"/>
  <c r="AF48" i="13"/>
  <c r="BF311" i="12"/>
  <c r="BF236" i="12"/>
  <c r="BK236" i="12"/>
  <c r="BF273" i="12"/>
  <c r="D17" i="8"/>
  <c r="BH17" i="12"/>
  <c r="BJ243" i="12"/>
  <c r="BE243" i="12"/>
  <c r="BB243" i="12"/>
  <c r="AI45" i="8"/>
  <c r="G45" i="13" s="1"/>
  <c r="AN45" i="8"/>
  <c r="BJ260" i="12"/>
  <c r="BB260" i="12"/>
  <c r="BE260" i="12"/>
  <c r="AN93" i="8"/>
  <c r="AI93" i="8"/>
  <c r="G93" i="13" s="1"/>
  <c r="K115" i="13"/>
  <c r="L115" i="13"/>
  <c r="S115" i="13"/>
  <c r="AA55" i="8"/>
  <c r="AB55" i="8" s="1"/>
  <c r="AM209" i="12"/>
  <c r="AK209" i="12"/>
  <c r="AI325" i="12"/>
  <c r="AI232" i="12"/>
  <c r="AA108" i="8"/>
  <c r="AB108" i="8" s="1"/>
  <c r="Y162" i="13"/>
  <c r="AP79" i="8"/>
  <c r="AH79" i="8"/>
  <c r="F79" i="13" s="1"/>
  <c r="AM79" i="8"/>
  <c r="D79" i="13"/>
  <c r="AQ79" i="8"/>
  <c r="AP189" i="8"/>
  <c r="D189" i="13"/>
  <c r="AH189" i="8"/>
  <c r="F189" i="13" s="1"/>
  <c r="AM189" i="8"/>
  <c r="AQ189" i="8"/>
  <c r="X198" i="13"/>
  <c r="Z151" i="8"/>
  <c r="AC151" i="8" s="1"/>
  <c r="O151" i="8"/>
  <c r="S151" i="8"/>
  <c r="V151" i="8"/>
  <c r="AA65" i="8"/>
  <c r="AB65" i="8" s="1"/>
  <c r="BF323" i="12"/>
  <c r="BE269" i="12"/>
  <c r="BB269" i="12"/>
  <c r="D18" i="8"/>
  <c r="BH18" i="12"/>
  <c r="AI196" i="8"/>
  <c r="G196" i="13" s="1"/>
  <c r="AN196" i="8"/>
  <c r="BF318" i="12"/>
  <c r="X112" i="13"/>
  <c r="AN199" i="8"/>
  <c r="AI199" i="8"/>
  <c r="G199" i="13" s="1"/>
  <c r="BE274" i="12"/>
  <c r="BB274" i="12"/>
  <c r="BE312" i="12"/>
  <c r="BB312" i="12"/>
  <c r="AM89" i="8"/>
  <c r="D89" i="13"/>
  <c r="AH89" i="8"/>
  <c r="F89" i="13" s="1"/>
  <c r="AP89" i="8"/>
  <c r="AQ89" i="8"/>
  <c r="D182" i="8"/>
  <c r="BH182" i="12"/>
  <c r="AA182" i="8"/>
  <c r="AB182" i="8" s="1"/>
  <c r="L194" i="13"/>
  <c r="K194" i="13"/>
  <c r="S194" i="13"/>
  <c r="AI91" i="8"/>
  <c r="G91" i="13" s="1"/>
  <c r="AN91" i="8"/>
  <c r="S205" i="13"/>
  <c r="L205" i="13"/>
  <c r="K205" i="13"/>
  <c r="AA161" i="13"/>
  <c r="AC161" i="13" s="1"/>
  <c r="AG161" i="13" s="1"/>
  <c r="AF130" i="8"/>
  <c r="AD130" i="8"/>
  <c r="BE320" i="12"/>
  <c r="BB320" i="12"/>
  <c r="AA171" i="8"/>
  <c r="AB171" i="8" s="1"/>
  <c r="AM201" i="8"/>
  <c r="AP201" i="8"/>
  <c r="D201" i="13"/>
  <c r="AH201" i="8"/>
  <c r="F201" i="13" s="1"/>
  <c r="AQ201" i="8"/>
  <c r="AM73" i="8"/>
  <c r="AH73" i="8"/>
  <c r="F73" i="13" s="1"/>
  <c r="D73" i="13"/>
  <c r="AP73" i="8"/>
  <c r="AQ73" i="8"/>
  <c r="AH168" i="8"/>
  <c r="F168" i="13" s="1"/>
  <c r="D168" i="13"/>
  <c r="AM168" i="8"/>
  <c r="AP168" i="8"/>
  <c r="AQ168" i="8"/>
  <c r="D31" i="8"/>
  <c r="BH31" i="12"/>
  <c r="AH181" i="8"/>
  <c r="F181" i="13" s="1"/>
  <c r="D181" i="13"/>
  <c r="AP181" i="8"/>
  <c r="AM181" i="8"/>
  <c r="AQ181" i="8"/>
  <c r="BJ296" i="12"/>
  <c r="BE296" i="12"/>
  <c r="BF295" i="12"/>
  <c r="BK295" i="12"/>
  <c r="AI290" i="12"/>
  <c r="BF280" i="12"/>
  <c r="L118" i="13"/>
  <c r="K118" i="13"/>
  <c r="S118" i="13"/>
  <c r="AP159" i="8"/>
  <c r="AM159" i="8"/>
  <c r="AH159" i="8"/>
  <c r="F159" i="13" s="1"/>
  <c r="D159" i="13"/>
  <c r="AQ159" i="8"/>
  <c r="AH117" i="8"/>
  <c r="F117" i="13" s="1"/>
  <c r="AM117" i="8"/>
  <c r="AP117" i="8"/>
  <c r="D117" i="13"/>
  <c r="AQ117" i="8"/>
  <c r="BF252" i="12"/>
  <c r="BK252" i="12"/>
  <c r="BF316" i="12"/>
  <c r="AN119" i="8"/>
  <c r="AI119" i="8"/>
  <c r="G119" i="13" s="1"/>
  <c r="K76" i="13"/>
  <c r="S76" i="13"/>
  <c r="L76" i="13"/>
  <c r="BF257" i="12"/>
  <c r="BB259" i="12"/>
  <c r="BJ259" i="12"/>
  <c r="BE259" i="12"/>
  <c r="BJ251" i="12"/>
  <c r="BE251" i="12"/>
  <c r="BB251" i="12"/>
  <c r="AM28" i="8"/>
  <c r="AP28" i="8"/>
  <c r="AH28" i="8"/>
  <c r="F28" i="13" s="1"/>
  <c r="D28" i="13"/>
  <c r="AQ28" i="8"/>
  <c r="S206" i="13"/>
  <c r="K206" i="13"/>
  <c r="L206" i="13"/>
  <c r="AN137" i="8"/>
  <c r="AI137" i="8"/>
  <c r="G137" i="13" s="1"/>
  <c r="AM84" i="8"/>
  <c r="AH84" i="8"/>
  <c r="F84" i="13" s="1"/>
  <c r="AP84" i="8"/>
  <c r="D84" i="13"/>
  <c r="AQ84" i="8"/>
  <c r="BF228" i="12"/>
  <c r="BM244" i="12"/>
  <c r="BH244" i="12"/>
  <c r="AN86" i="8"/>
  <c r="AI86" i="8"/>
  <c r="G86" i="13" s="1"/>
  <c r="BF255" i="12"/>
  <c r="BK255" i="12"/>
  <c r="AP197" i="8"/>
  <c r="D197" i="13"/>
  <c r="AH197" i="8"/>
  <c r="F197" i="13" s="1"/>
  <c r="AM197" i="8"/>
  <c r="AQ197" i="8"/>
  <c r="K214" i="13"/>
  <c r="S214" i="13"/>
  <c r="L214" i="13"/>
  <c r="BJ304" i="12"/>
  <c r="BB304" i="12"/>
  <c r="BE304" i="12"/>
  <c r="AA143" i="8"/>
  <c r="AB143" i="8" s="1"/>
  <c r="BB282" i="12"/>
  <c r="BE282" i="12"/>
  <c r="BE253" i="12"/>
  <c r="BJ253" i="12"/>
  <c r="BB253" i="12"/>
  <c r="BE268" i="12"/>
  <c r="BB268" i="12"/>
  <c r="W36" i="13"/>
  <c r="AA38" i="8"/>
  <c r="AB38" i="8" s="1"/>
  <c r="L216" i="13"/>
  <c r="K216" i="13"/>
  <c r="S216" i="13"/>
  <c r="K219" i="13"/>
  <c r="S219" i="13"/>
  <c r="L219" i="13"/>
  <c r="BF274" i="12"/>
  <c r="BF298" i="12"/>
  <c r="BK298" i="12"/>
  <c r="BF281" i="12"/>
  <c r="AH149" i="8"/>
  <c r="F149" i="13" s="1"/>
  <c r="D149" i="13"/>
  <c r="AM149" i="8"/>
  <c r="AP149" i="8"/>
  <c r="AQ149" i="8"/>
  <c r="D46" i="13"/>
  <c r="AH46" i="8"/>
  <c r="F46" i="13" s="1"/>
  <c r="AM46" i="8"/>
  <c r="AP46" i="8"/>
  <c r="AQ46" i="8"/>
  <c r="AA92" i="13"/>
  <c r="AC92" i="13" s="1"/>
  <c r="AG92" i="13" s="1"/>
  <c r="BB228" i="12"/>
  <c r="BE228" i="12"/>
  <c r="AA78" i="8"/>
  <c r="AB78" i="8" s="1"/>
  <c r="BF229" i="12"/>
  <c r="Y164" i="13"/>
  <c r="L184" i="13"/>
  <c r="K184" i="13"/>
  <c r="S184" i="13"/>
  <c r="X42" i="13"/>
  <c r="AM202" i="8"/>
  <c r="AH202" i="8"/>
  <c r="F202" i="13" s="1"/>
  <c r="D202" i="13"/>
  <c r="AP202" i="8"/>
  <c r="AQ202" i="8"/>
  <c r="AD66" i="8"/>
  <c r="AF66" i="8"/>
  <c r="AF29" i="8"/>
  <c r="AD29" i="8"/>
  <c r="D40" i="13"/>
  <c r="AH40" i="8"/>
  <c r="F40" i="13" s="1"/>
  <c r="AM40" i="8"/>
  <c r="AP40" i="8"/>
  <c r="AQ40" i="8"/>
  <c r="BK302" i="12"/>
  <c r="BF302" i="12"/>
  <c r="AC72" i="13"/>
  <c r="AF72" i="13"/>
  <c r="AH178" i="8"/>
  <c r="F178" i="13" s="1"/>
  <c r="D178" i="13"/>
  <c r="AM178" i="8"/>
  <c r="AP178" i="8"/>
  <c r="AQ178" i="8"/>
  <c r="BB317" i="12"/>
  <c r="BE317" i="12"/>
  <c r="BE252" i="12"/>
  <c r="BJ252" i="12"/>
  <c r="BB252" i="12"/>
  <c r="AN110" i="8"/>
  <c r="AI110" i="8"/>
  <c r="G110" i="13" s="1"/>
  <c r="AM99" i="8"/>
  <c r="AP99" i="8"/>
  <c r="AH99" i="8"/>
  <c r="F99" i="13" s="1"/>
  <c r="D99" i="13"/>
  <c r="AQ99" i="8"/>
  <c r="D128" i="8"/>
  <c r="BH128" i="12"/>
  <c r="AM147" i="8"/>
  <c r="AH147" i="8"/>
  <c r="F147" i="13" s="1"/>
  <c r="D147" i="13"/>
  <c r="AP147" i="8"/>
  <c r="AQ147" i="8"/>
  <c r="AM150" i="8"/>
  <c r="D150" i="13"/>
  <c r="AH150" i="8"/>
  <c r="F150" i="13" s="1"/>
  <c r="AP150" i="8"/>
  <c r="AQ150" i="8"/>
  <c r="D56" i="8"/>
  <c r="BH56" i="12"/>
  <c r="AH141" i="8"/>
  <c r="F141" i="13" s="1"/>
  <c r="AM141" i="8"/>
  <c r="AP141" i="8"/>
  <c r="D141" i="13"/>
  <c r="AQ141" i="8"/>
  <c r="S61" i="13"/>
  <c r="K61" i="13"/>
  <c r="L61" i="13"/>
  <c r="BK250" i="12"/>
  <c r="BF250" i="12"/>
  <c r="D131" i="13"/>
  <c r="AH131" i="8"/>
  <c r="F131" i="13" s="1"/>
  <c r="AP131" i="8"/>
  <c r="AM131" i="8"/>
  <c r="AQ131" i="8"/>
  <c r="BJ242" i="12"/>
  <c r="BB242" i="12"/>
  <c r="BE242" i="12"/>
  <c r="AI60" i="8"/>
  <c r="G60" i="13" s="1"/>
  <c r="AN60" i="8"/>
  <c r="AI127" i="8"/>
  <c r="G127" i="13" s="1"/>
  <c r="AN127" i="8"/>
  <c r="T16" i="8"/>
  <c r="D108" i="8"/>
  <c r="BH108" i="12"/>
  <c r="BK41" i="12"/>
  <c r="BF41" i="12"/>
  <c r="D21" i="8"/>
  <c r="BH21" i="12"/>
  <c r="AA21" i="8"/>
  <c r="AB21" i="8" s="1"/>
  <c r="AH69" i="8"/>
  <c r="F69" i="13" s="1"/>
  <c r="AP69" i="8"/>
  <c r="AM69" i="8"/>
  <c r="D69" i="13"/>
  <c r="AQ69" i="8"/>
  <c r="AD106" i="8"/>
  <c r="AF106" i="8"/>
  <c r="X151" i="13"/>
  <c r="D65" i="8"/>
  <c r="BH65" i="12"/>
  <c r="BK260" i="12"/>
  <c r="BF260" i="12"/>
  <c r="AP44" i="8"/>
  <c r="AM44" i="8"/>
  <c r="AH44" i="8"/>
  <c r="F44" i="13" s="1"/>
  <c r="D44" i="13"/>
  <c r="AQ44" i="8"/>
  <c r="AM154" i="8"/>
  <c r="D154" i="13"/>
  <c r="AH154" i="8"/>
  <c r="F154" i="13" s="1"/>
  <c r="AP154" i="8"/>
  <c r="AQ154" i="8"/>
  <c r="AH134" i="8"/>
  <c r="F134" i="13" s="1"/>
  <c r="AP134" i="8"/>
  <c r="AM134" i="8"/>
  <c r="D134" i="13"/>
  <c r="AQ134" i="8"/>
  <c r="AA18" i="8"/>
  <c r="AB18" i="8" s="1"/>
  <c r="AA103" i="13"/>
  <c r="AC96" i="13"/>
  <c r="AF96" i="13"/>
  <c r="Z112" i="8"/>
  <c r="AC112" i="8" s="1"/>
  <c r="O112" i="8"/>
  <c r="S112" i="8"/>
  <c r="V112" i="8"/>
  <c r="AM64" i="8"/>
  <c r="AP64" i="8"/>
  <c r="AH64" i="8"/>
  <c r="F64" i="13" s="1"/>
  <c r="D64" i="13"/>
  <c r="AQ64" i="8"/>
  <c r="S199" i="13"/>
  <c r="L199" i="13"/>
  <c r="K199" i="13"/>
  <c r="AF157" i="8"/>
  <c r="AD157" i="8"/>
  <c r="BB238" i="12"/>
  <c r="BJ238" i="12"/>
  <c r="BE238" i="12"/>
  <c r="AA22" i="8"/>
  <c r="AB22" i="8" s="1"/>
  <c r="AF165" i="8"/>
  <c r="AD165" i="8"/>
  <c r="BB250" i="12"/>
  <c r="BE250" i="12"/>
  <c r="BJ250" i="12"/>
  <c r="D142" i="8"/>
  <c r="BH142" i="12"/>
  <c r="BE303" i="12"/>
  <c r="BJ303" i="12"/>
  <c r="BB303" i="12"/>
  <c r="L91" i="13"/>
  <c r="S91" i="13"/>
  <c r="K91" i="13"/>
  <c r="AP70" i="8"/>
  <c r="D70" i="13"/>
  <c r="AH70" i="8"/>
  <c r="F70" i="13" s="1"/>
  <c r="AM70" i="8"/>
  <c r="AQ70" i="8"/>
  <c r="BF270" i="12"/>
  <c r="K59" i="13"/>
  <c r="L59" i="13"/>
  <c r="S59" i="13"/>
  <c r="AM35" i="8"/>
  <c r="AH35" i="8"/>
  <c r="F35" i="13" s="1"/>
  <c r="AP35" i="8"/>
  <c r="D35" i="13"/>
  <c r="AQ35" i="8"/>
  <c r="BF304" i="12"/>
  <c r="BK304" i="12"/>
  <c r="AP111" i="8"/>
  <c r="AH111" i="8"/>
  <c r="F111" i="13" s="1"/>
  <c r="AM111" i="8"/>
  <c r="D111" i="13"/>
  <c r="AQ111" i="8"/>
  <c r="AN25" i="8"/>
  <c r="AI25" i="8"/>
  <c r="G25" i="13" s="1"/>
  <c r="AA15" i="8"/>
  <c r="AB15" i="8" s="1"/>
  <c r="S105" i="13"/>
  <c r="K105" i="13"/>
  <c r="L105" i="13"/>
  <c r="AI262" i="12"/>
  <c r="AA172" i="8"/>
  <c r="AB172" i="8" s="1"/>
  <c r="BF272" i="12"/>
  <c r="AH124" i="8"/>
  <c r="F124" i="13" s="1"/>
  <c r="AP124" i="8"/>
  <c r="AM124" i="8"/>
  <c r="D124" i="13"/>
  <c r="AQ124" i="8"/>
  <c r="BE273" i="12"/>
  <c r="BB273" i="12"/>
  <c r="AF37" i="8"/>
  <c r="AD37" i="8"/>
  <c r="AA174" i="8"/>
  <c r="AB174" i="8" s="1"/>
  <c r="D174" i="8"/>
  <c r="BH174" i="12"/>
  <c r="AH52" i="8"/>
  <c r="F52" i="13" s="1"/>
  <c r="D52" i="13"/>
  <c r="AM52" i="8"/>
  <c r="AP52" i="8"/>
  <c r="AQ52" i="8"/>
  <c r="AK276" i="12"/>
  <c r="AQ30" i="12"/>
  <c r="BB30" i="12"/>
  <c r="BE30" i="12"/>
  <c r="BJ30" i="12"/>
  <c r="AA29" i="13"/>
  <c r="AI118" i="8"/>
  <c r="G118" i="13" s="1"/>
  <c r="AN118" i="8"/>
  <c r="AA157" i="13"/>
  <c r="O20" i="8"/>
  <c r="S20" i="8"/>
  <c r="V20" i="8"/>
  <c r="Z20" i="8"/>
  <c r="AC20" i="8" s="1"/>
  <c r="BF288" i="12"/>
  <c r="AA51" i="13"/>
  <c r="AC51" i="13" s="1"/>
  <c r="AG51" i="13" s="1"/>
  <c r="AI186" i="13"/>
  <c r="AJ186" i="13"/>
  <c r="AN186" i="13" s="1"/>
  <c r="AJ113" i="13"/>
  <c r="AN113" i="13" s="1"/>
  <c r="AI113" i="13"/>
  <c r="BF322" i="12"/>
  <c r="BK322" i="12"/>
  <c r="O43" i="8"/>
  <c r="S43" i="8"/>
  <c r="V43" i="8"/>
  <c r="Z43" i="8"/>
  <c r="AC43" i="8" s="1"/>
  <c r="AM49" i="8"/>
  <c r="AH49" i="8"/>
  <c r="F49" i="13" s="1"/>
  <c r="AP49" i="8"/>
  <c r="D49" i="13"/>
  <c r="AQ49" i="8"/>
  <c r="AN206" i="8"/>
  <c r="AI206" i="8"/>
  <c r="G206" i="13" s="1"/>
  <c r="BK305" i="12"/>
  <c r="BF305" i="12"/>
  <c r="BF315" i="12"/>
  <c r="BM62" i="12"/>
  <c r="S86" i="13"/>
  <c r="L86" i="13"/>
  <c r="K86" i="13"/>
  <c r="AF192" i="8"/>
  <c r="AD192" i="8"/>
  <c r="D143" i="8"/>
  <c r="BH143" i="12"/>
  <c r="BK30" i="12"/>
  <c r="BF30" i="12"/>
  <c r="BB272" i="12"/>
  <c r="BE272" i="12"/>
  <c r="AA14" i="8"/>
  <c r="AB14" i="8" s="1"/>
  <c r="D14" i="8"/>
  <c r="BH14" i="12"/>
  <c r="D139" i="8"/>
  <c r="BH139" i="12"/>
  <c r="S220" i="13"/>
  <c r="L220" i="13"/>
  <c r="K220" i="13"/>
  <c r="BF269" i="12"/>
  <c r="S95" i="13"/>
  <c r="L95" i="13"/>
  <c r="K95" i="13"/>
  <c r="BF320" i="12"/>
  <c r="AI219" i="8"/>
  <c r="G219" i="13" s="1"/>
  <c r="AN219" i="8"/>
  <c r="BK238" i="12"/>
  <c r="BF238" i="12"/>
  <c r="AA24" i="8"/>
  <c r="AB24" i="8" s="1"/>
  <c r="AI208" i="8"/>
  <c r="G208" i="13" s="1"/>
  <c r="AN208" i="8"/>
  <c r="K208" i="13"/>
  <c r="L208" i="13"/>
  <c r="S208" i="13"/>
  <c r="BB315" i="12"/>
  <c r="BE315" i="12"/>
  <c r="AA26" i="8"/>
  <c r="AB26" i="8" s="1"/>
  <c r="BK101" i="12"/>
  <c r="BF101" i="12"/>
  <c r="BF268" i="12"/>
  <c r="AD217" i="8"/>
  <c r="AF217" i="8"/>
  <c r="O42" i="8"/>
  <c r="S42" i="8"/>
  <c r="V42" i="8"/>
  <c r="Z42" i="8"/>
  <c r="AC42" i="8" s="1"/>
  <c r="AA80" i="8"/>
  <c r="AB80" i="8" s="1"/>
  <c r="BB316" i="12"/>
  <c r="BE316" i="12"/>
  <c r="AH57" i="8"/>
  <c r="F57" i="13" s="1"/>
  <c r="AM57" i="8"/>
  <c r="D57" i="13"/>
  <c r="AP57" i="8"/>
  <c r="AQ57" i="8"/>
  <c r="AM34" i="8"/>
  <c r="AH34" i="8"/>
  <c r="F34" i="13" s="1"/>
  <c r="AP34" i="8"/>
  <c r="D34" i="13"/>
  <c r="AQ34" i="8"/>
  <c r="AH179" i="8"/>
  <c r="F179" i="13" s="1"/>
  <c r="AM179" i="8"/>
  <c r="D179" i="13"/>
  <c r="AP179" i="8"/>
  <c r="AQ179" i="8"/>
  <c r="AP176" i="8"/>
  <c r="D176" i="13"/>
  <c r="AM176" i="8"/>
  <c r="AH176" i="8"/>
  <c r="F176" i="13" s="1"/>
  <c r="AQ176" i="8"/>
  <c r="BB311" i="12"/>
  <c r="BE311" i="12"/>
  <c r="BB294" i="12"/>
  <c r="BJ294" i="12"/>
  <c r="BE294" i="12"/>
  <c r="X146" i="13"/>
  <c r="S67" i="13"/>
  <c r="L67" i="13"/>
  <c r="K67" i="13"/>
  <c r="BB248" i="12"/>
  <c r="BE248" i="12"/>
  <c r="BJ248" i="12"/>
  <c r="AA122" i="8"/>
  <c r="AB122" i="8" s="1"/>
  <c r="D50" i="13"/>
  <c r="AM50" i="8"/>
  <c r="AH50" i="8"/>
  <c r="F50" i="13" s="1"/>
  <c r="AP50" i="8"/>
  <c r="AQ50" i="8"/>
  <c r="AA128" i="8"/>
  <c r="AB128" i="8" s="1"/>
  <c r="X48" i="13"/>
  <c r="BK294" i="12"/>
  <c r="BF294" i="12"/>
  <c r="AA107" i="13"/>
  <c r="AA17" i="8"/>
  <c r="AB17" i="8" s="1"/>
  <c r="AI188" i="8"/>
  <c r="G188" i="13" s="1"/>
  <c r="AN188" i="8"/>
  <c r="AM116" i="8"/>
  <c r="D116" i="13"/>
  <c r="AH116" i="8"/>
  <c r="F116" i="13" s="1"/>
  <c r="AP116" i="8"/>
  <c r="AQ116" i="8"/>
  <c r="AA56" i="8"/>
  <c r="AB56" i="8" s="1"/>
  <c r="D177" i="13"/>
  <c r="AP177" i="8"/>
  <c r="AM177" i="8"/>
  <c r="AH177" i="8"/>
  <c r="F177" i="13" s="1"/>
  <c r="AQ177" i="8"/>
  <c r="AA213" i="8"/>
  <c r="AB213" i="8" s="1"/>
  <c r="AN61" i="8"/>
  <c r="AI61" i="8"/>
  <c r="G61" i="13" s="1"/>
  <c r="L93" i="13"/>
  <c r="S93" i="13"/>
  <c r="K93" i="13"/>
  <c r="D55" i="8"/>
  <c r="BH55" i="12"/>
  <c r="K60" i="13"/>
  <c r="S60" i="13"/>
  <c r="L60" i="13"/>
  <c r="K127" i="13"/>
  <c r="S127" i="13"/>
  <c r="L127" i="13"/>
  <c r="AN209" i="12"/>
  <c r="AJ262" i="12"/>
  <c r="AJ232" i="12"/>
  <c r="AJ325" i="12"/>
  <c r="AJ290" i="12"/>
  <c r="S121" i="13"/>
  <c r="L121" i="13"/>
  <c r="K121" i="13"/>
  <c r="D47" i="13"/>
  <c r="AP47" i="8"/>
  <c r="AM47" i="8"/>
  <c r="AH47" i="8"/>
  <c r="F47" i="13" s="1"/>
  <c r="AQ47" i="8"/>
  <c r="BE300" i="12"/>
  <c r="BB300" i="12"/>
  <c r="BJ300" i="12"/>
  <c r="AM166" i="8"/>
  <c r="D166" i="13"/>
  <c r="AH166" i="8"/>
  <c r="F166" i="13" s="1"/>
  <c r="AP166" i="8"/>
  <c r="AQ166" i="8"/>
  <c r="AP85" i="8"/>
  <c r="AM85" i="8"/>
  <c r="AH85" i="8"/>
  <c r="F85" i="13" s="1"/>
  <c r="D85" i="13"/>
  <c r="AQ85" i="8"/>
  <c r="W162" i="13"/>
  <c r="W164" i="13"/>
  <c r="AA81" i="8"/>
  <c r="AB81" i="8" s="1"/>
  <c r="D81" i="8"/>
  <c r="BH81" i="12"/>
  <c r="AA198" i="13"/>
  <c r="D156" i="13"/>
  <c r="AP156" i="8"/>
  <c r="AH156" i="8"/>
  <c r="F156" i="13" s="1"/>
  <c r="AM156" i="8"/>
  <c r="AQ156" i="8"/>
  <c r="W195" i="13"/>
  <c r="AM87" i="8"/>
  <c r="D87" i="13"/>
  <c r="AP87" i="8"/>
  <c r="AH87" i="8"/>
  <c r="F87" i="13" s="1"/>
  <c r="AQ87" i="8"/>
  <c r="AI83" i="8"/>
  <c r="G83" i="13" s="1"/>
  <c r="AN83" i="8"/>
  <c r="BK259" i="12"/>
  <c r="BF259" i="12"/>
  <c r="AP125" i="8"/>
  <c r="AH125" i="8"/>
  <c r="F125" i="13" s="1"/>
  <c r="D125" i="13"/>
  <c r="AM125" i="8"/>
  <c r="AQ125" i="8"/>
  <c r="Y195" i="13"/>
  <c r="Z103" i="8"/>
  <c r="AC103" i="8" s="1"/>
  <c r="O103" i="8"/>
  <c r="S103" i="8"/>
  <c r="V103" i="8"/>
  <c r="AA112" i="13"/>
  <c r="D22" i="8"/>
  <c r="BH22" i="12"/>
  <c r="BB281" i="12"/>
  <c r="BE281" i="12"/>
  <c r="D144" i="8"/>
  <c r="BH144" i="12"/>
  <c r="BE322" i="12"/>
  <c r="BJ322" i="12"/>
  <c r="BB322" i="12"/>
  <c r="AP123" i="8"/>
  <c r="D123" i="13"/>
  <c r="AM123" i="8"/>
  <c r="AH123" i="8"/>
  <c r="F123" i="13" s="1"/>
  <c r="AQ123" i="8"/>
  <c r="BE241" i="12"/>
  <c r="BJ241" i="12"/>
  <c r="BB241" i="12"/>
  <c r="AN194" i="8"/>
  <c r="AI194" i="8"/>
  <c r="G194" i="13" s="1"/>
  <c r="AI205" i="8"/>
  <c r="G205" i="13" s="1"/>
  <c r="AN205" i="8"/>
  <c r="BB296" i="12"/>
  <c r="BF296" i="12"/>
  <c r="BK296" i="12"/>
  <c r="AN59" i="8"/>
  <c r="AI59" i="8"/>
  <c r="G59" i="13" s="1"/>
  <c r="AP207" i="8"/>
  <c r="D207" i="13"/>
  <c r="AM207" i="8"/>
  <c r="AH207" i="8"/>
  <c r="F207" i="13" s="1"/>
  <c r="AQ207" i="8"/>
  <c r="BK247" i="12"/>
  <c r="BF247" i="12"/>
  <c r="D171" i="8"/>
  <c r="BH171" i="12"/>
  <c r="D170" i="13"/>
  <c r="AM170" i="8"/>
  <c r="AP170" i="8"/>
  <c r="AH170" i="8"/>
  <c r="F170" i="13" s="1"/>
  <c r="AQ170" i="8"/>
  <c r="AA31" i="8"/>
  <c r="AB31" i="8" s="1"/>
  <c r="AM132" i="8"/>
  <c r="AP132" i="8"/>
  <c r="D132" i="13"/>
  <c r="AH132" i="8"/>
  <c r="F132" i="13" s="1"/>
  <c r="AQ132" i="8"/>
  <c r="AD145" i="8"/>
  <c r="AF145" i="8"/>
  <c r="D15" i="8"/>
  <c r="BH15" i="12"/>
  <c r="AN105" i="8"/>
  <c r="AI105" i="8"/>
  <c r="G105" i="13" s="1"/>
  <c r="AM200" i="8"/>
  <c r="AP200" i="8"/>
  <c r="D200" i="13"/>
  <c r="AH200" i="8"/>
  <c r="F200" i="13" s="1"/>
  <c r="AQ200" i="8"/>
  <c r="AI307" i="12"/>
  <c r="AG72" i="13" l="1"/>
  <c r="AI72" i="13" s="1"/>
  <c r="AG32" i="13"/>
  <c r="AJ32" i="13" s="1"/>
  <c r="AN32" i="13" s="1"/>
  <c r="X195" i="13"/>
  <c r="AG204" i="13"/>
  <c r="AI204" i="13" s="1"/>
  <c r="K243" i="8"/>
  <c r="J243" i="8"/>
  <c r="AJ133" i="13"/>
  <c r="AN133" i="13" s="1"/>
  <c r="AI133" i="13"/>
  <c r="AM133" i="13" s="1"/>
  <c r="BM317" i="12"/>
  <c r="BH317" i="12"/>
  <c r="AJ51" i="13"/>
  <c r="AN51" i="13" s="1"/>
  <c r="AI51" i="13"/>
  <c r="AM51" i="13" s="1"/>
  <c r="AI129" i="13"/>
  <c r="AM129" i="13" s="1"/>
  <c r="AJ129" i="13"/>
  <c r="AN129" i="13" s="1"/>
  <c r="AI200" i="8"/>
  <c r="G200" i="13" s="1"/>
  <c r="AN200" i="8"/>
  <c r="BM15" i="12"/>
  <c r="BH254" i="12"/>
  <c r="BM254" i="12"/>
  <c r="S125" i="13"/>
  <c r="L125" i="13"/>
  <c r="K125" i="13"/>
  <c r="AI87" i="8"/>
  <c r="G87" i="13" s="1"/>
  <c r="AN87" i="8"/>
  <c r="S200" i="13"/>
  <c r="L200" i="13"/>
  <c r="K200" i="13"/>
  <c r="K170" i="13"/>
  <c r="S170" i="13"/>
  <c r="L170" i="13"/>
  <c r="BM320" i="12"/>
  <c r="BH320" i="12"/>
  <c r="L123" i="13"/>
  <c r="S123" i="13"/>
  <c r="K123" i="13"/>
  <c r="BJ281" i="12"/>
  <c r="BM312" i="12"/>
  <c r="BH312" i="12"/>
  <c r="K22" i="8"/>
  <c r="J22" i="8"/>
  <c r="W22" i="8" s="1"/>
  <c r="AF103" i="8"/>
  <c r="AD103" i="8"/>
  <c r="AI125" i="8"/>
  <c r="G125" i="13" s="1"/>
  <c r="AN125" i="8"/>
  <c r="AA195" i="13"/>
  <c r="Z195" i="8"/>
  <c r="AC195" i="8" s="1"/>
  <c r="O195" i="8"/>
  <c r="S195" i="8"/>
  <c r="V195" i="8"/>
  <c r="K81" i="8"/>
  <c r="J81" i="8"/>
  <c r="W81" i="8" s="1"/>
  <c r="O164" i="8"/>
  <c r="S164" i="8"/>
  <c r="V164" i="8"/>
  <c r="Z164" i="8"/>
  <c r="AC164" i="8" s="1"/>
  <c r="AA162" i="13"/>
  <c r="AN166" i="8"/>
  <c r="AI166" i="8"/>
  <c r="G166" i="13" s="1"/>
  <c r="S47" i="13"/>
  <c r="L47" i="13"/>
  <c r="K47" i="13"/>
  <c r="BM55" i="12"/>
  <c r="J55" i="8"/>
  <c r="W55" i="8" s="1"/>
  <c r="K55" i="8"/>
  <c r="K177" i="13"/>
  <c r="L177" i="13"/>
  <c r="S177" i="13"/>
  <c r="AN116" i="8"/>
  <c r="AI116" i="8"/>
  <c r="G116" i="13" s="1"/>
  <c r="AC107" i="13"/>
  <c r="AG107" i="13" s="1"/>
  <c r="L179" i="13"/>
  <c r="S179" i="13"/>
  <c r="K179" i="13"/>
  <c r="S57" i="13"/>
  <c r="L57" i="13"/>
  <c r="K57" i="13"/>
  <c r="BK320" i="12"/>
  <c r="AC220" i="13"/>
  <c r="AG220" i="13" s="1"/>
  <c r="BH319" i="12"/>
  <c r="BM319" i="12"/>
  <c r="BK240" i="12"/>
  <c r="BF240" i="12"/>
  <c r="BH304" i="12"/>
  <c r="BM304" i="12"/>
  <c r="AA86" i="13"/>
  <c r="AC86" i="13" s="1"/>
  <c r="AG86" i="13" s="1"/>
  <c r="AK113" i="13"/>
  <c r="D30" i="8"/>
  <c r="BH30" i="12"/>
  <c r="BJ273" i="12"/>
  <c r="AI111" i="8"/>
  <c r="G111" i="13" s="1"/>
  <c r="AN111" i="8"/>
  <c r="S35" i="13"/>
  <c r="L35" i="13"/>
  <c r="K35" i="13"/>
  <c r="BM142" i="12"/>
  <c r="AP165" i="8"/>
  <c r="AM165" i="8"/>
  <c r="D165" i="13"/>
  <c r="AH165" i="8"/>
  <c r="F165" i="13" s="1"/>
  <c r="AQ165" i="8"/>
  <c r="AH157" i="8"/>
  <c r="F157" i="13" s="1"/>
  <c r="D157" i="13"/>
  <c r="AP157" i="8"/>
  <c r="AM157" i="8"/>
  <c r="AQ157" i="8"/>
  <c r="AG96" i="13"/>
  <c r="L134" i="13"/>
  <c r="K134" i="13"/>
  <c r="S134" i="13"/>
  <c r="L44" i="13"/>
  <c r="K44" i="13"/>
  <c r="S44" i="13"/>
  <c r="BH265" i="12"/>
  <c r="BB265" i="12"/>
  <c r="BE265" i="12"/>
  <c r="AM276" i="12"/>
  <c r="AN131" i="8"/>
  <c r="AI131" i="8"/>
  <c r="G131" i="13" s="1"/>
  <c r="L131" i="13"/>
  <c r="K131" i="13"/>
  <c r="S131" i="13"/>
  <c r="L141" i="13"/>
  <c r="K141" i="13"/>
  <c r="S141" i="13"/>
  <c r="K150" i="13"/>
  <c r="L150" i="13"/>
  <c r="S150" i="13"/>
  <c r="BM302" i="12"/>
  <c r="BH302" i="12"/>
  <c r="K99" i="13"/>
  <c r="S99" i="13"/>
  <c r="L99" i="13"/>
  <c r="AN40" i="8"/>
  <c r="AI40" i="8"/>
  <c r="G40" i="13" s="1"/>
  <c r="K40" i="13"/>
  <c r="L40" i="13"/>
  <c r="S40" i="13"/>
  <c r="S202" i="13"/>
  <c r="L202" i="13"/>
  <c r="K202" i="13"/>
  <c r="BK229" i="12"/>
  <c r="BJ228" i="12"/>
  <c r="K149" i="13"/>
  <c r="S149" i="13"/>
  <c r="L149" i="13"/>
  <c r="AA216" i="13"/>
  <c r="AC216" i="13" s="1"/>
  <c r="AG216" i="13" s="1"/>
  <c r="S84" i="13"/>
  <c r="K84" i="13"/>
  <c r="L84" i="13"/>
  <c r="AC206" i="13"/>
  <c r="AG206" i="13" s="1"/>
  <c r="AI159" i="8"/>
  <c r="G159" i="13" s="1"/>
  <c r="AN159" i="8"/>
  <c r="BH288" i="12"/>
  <c r="AN73" i="8"/>
  <c r="AI73" i="8"/>
  <c r="G73" i="13" s="1"/>
  <c r="AH130" i="8"/>
  <c r="F130" i="13" s="1"/>
  <c r="AM130" i="8"/>
  <c r="AP130" i="8"/>
  <c r="D130" i="13"/>
  <c r="AQ130" i="8"/>
  <c r="AA194" i="13"/>
  <c r="AC194" i="13" s="1"/>
  <c r="AG194" i="13" s="1"/>
  <c r="BM182" i="12"/>
  <c r="AI89" i="8"/>
  <c r="G89" i="13" s="1"/>
  <c r="AN89" i="8"/>
  <c r="BJ274" i="12"/>
  <c r="BM18" i="12"/>
  <c r="K189" i="13"/>
  <c r="S189" i="13"/>
  <c r="L189" i="13"/>
  <c r="L79" i="13"/>
  <c r="K79" i="13"/>
  <c r="S79" i="13"/>
  <c r="AK262" i="12"/>
  <c r="AK290" i="12"/>
  <c r="K17" i="8"/>
  <c r="J17" i="8"/>
  <c r="W17" i="8" s="1"/>
  <c r="AH175" i="8"/>
  <c r="F175" i="13" s="1"/>
  <c r="AM175" i="8"/>
  <c r="D175" i="13"/>
  <c r="AP175" i="8"/>
  <c r="AQ175" i="8"/>
  <c r="AA110" i="13"/>
  <c r="AC110" i="13" s="1"/>
  <c r="AG110" i="13" s="1"/>
  <c r="BM252" i="12"/>
  <c r="BH252" i="12"/>
  <c r="AN191" i="8"/>
  <c r="AI191" i="8"/>
  <c r="G191" i="13" s="1"/>
  <c r="BE227" i="12"/>
  <c r="BB227" i="12"/>
  <c r="D41" i="8"/>
  <c r="BH41" i="12"/>
  <c r="AA41" i="8"/>
  <c r="AB41" i="8" s="1"/>
  <c r="BM78" i="12"/>
  <c r="BK312" i="12"/>
  <c r="AN163" i="8"/>
  <c r="AI163" i="8"/>
  <c r="G163" i="13" s="1"/>
  <c r="BF287" i="12"/>
  <c r="AN97" i="8"/>
  <c r="AI97" i="8"/>
  <c r="G97" i="13" s="1"/>
  <c r="S97" i="13"/>
  <c r="L97" i="13"/>
  <c r="K97" i="13"/>
  <c r="AK232" i="12"/>
  <c r="BH318" i="12"/>
  <c r="BM318" i="12"/>
  <c r="J120" i="8"/>
  <c r="W120" i="8" s="1"/>
  <c r="K120" i="8"/>
  <c r="AI104" i="8"/>
  <c r="G104" i="13" s="1"/>
  <c r="AN104" i="8"/>
  <c r="BM210" i="12"/>
  <c r="AC119" i="13"/>
  <c r="AG119" i="13" s="1"/>
  <c r="BJ286" i="12"/>
  <c r="BM13" i="12"/>
  <c r="AN153" i="8"/>
  <c r="AI153" i="8"/>
  <c r="G153" i="13" s="1"/>
  <c r="K158" i="13"/>
  <c r="L158" i="13"/>
  <c r="S158" i="13"/>
  <c r="AN173" i="8"/>
  <c r="AI173" i="8"/>
  <c r="G173" i="13" s="1"/>
  <c r="BM102" i="12"/>
  <c r="AI68" i="8"/>
  <c r="G68" i="13" s="1"/>
  <c r="AN68" i="8"/>
  <c r="D88" i="13"/>
  <c r="AH88" i="8"/>
  <c r="F88" i="13" s="1"/>
  <c r="AM88" i="8"/>
  <c r="AP88" i="8"/>
  <c r="AQ88" i="8"/>
  <c r="BJ249" i="12"/>
  <c r="BB249" i="12"/>
  <c r="BE249" i="12"/>
  <c r="AA101" i="8"/>
  <c r="AB101" i="8" s="1"/>
  <c r="K213" i="8"/>
  <c r="J213" i="8"/>
  <c r="W213" i="8" s="1"/>
  <c r="AM71" i="8"/>
  <c r="AP71" i="8"/>
  <c r="AH71" i="8"/>
  <c r="F71" i="13" s="1"/>
  <c r="D71" i="13"/>
  <c r="AQ71" i="8"/>
  <c r="BM100" i="12"/>
  <c r="AF146" i="8"/>
  <c r="AD146" i="8"/>
  <c r="BM12" i="12"/>
  <c r="J12" i="8"/>
  <c r="W12" i="8" s="1"/>
  <c r="K12" i="8"/>
  <c r="J23" i="8"/>
  <c r="W23" i="8" s="1"/>
  <c r="K23" i="8"/>
  <c r="J80" i="8"/>
  <c r="W80" i="8" s="1"/>
  <c r="K80" i="8"/>
  <c r="L140" i="13"/>
  <c r="K140" i="13"/>
  <c r="S140" i="13"/>
  <c r="S180" i="13"/>
  <c r="L180" i="13"/>
  <c r="K180" i="13"/>
  <c r="BH239" i="12"/>
  <c r="BM239" i="12"/>
  <c r="BM38" i="12"/>
  <c r="BH268" i="12"/>
  <c r="L77" i="13"/>
  <c r="S77" i="13"/>
  <c r="K77" i="13"/>
  <c r="AA218" i="13"/>
  <c r="K172" i="8"/>
  <c r="J172" i="8"/>
  <c r="W172" i="8" s="1"/>
  <c r="AM185" i="13"/>
  <c r="AK185" i="13"/>
  <c r="BM305" i="12"/>
  <c r="BH305" i="12"/>
  <c r="BH274" i="12"/>
  <c r="BM238" i="12"/>
  <c r="BH238" i="12"/>
  <c r="S87" i="13"/>
  <c r="L87" i="13"/>
  <c r="K87" i="13"/>
  <c r="BH247" i="12"/>
  <c r="BM247" i="12"/>
  <c r="AA164" i="13"/>
  <c r="BF209" i="12"/>
  <c r="O15" i="31" s="1"/>
  <c r="AN262" i="12"/>
  <c r="BK209" i="12"/>
  <c r="AN232" i="12"/>
  <c r="BM242" i="12"/>
  <c r="BH242" i="12"/>
  <c r="AA93" i="13"/>
  <c r="AC93" i="13" s="1"/>
  <c r="AG93" i="13" s="1"/>
  <c r="AI177" i="8"/>
  <c r="G177" i="13" s="1"/>
  <c r="AN177" i="8"/>
  <c r="L116" i="13"/>
  <c r="S116" i="13"/>
  <c r="K116" i="13"/>
  <c r="BF227" i="12"/>
  <c r="K176" i="13"/>
  <c r="S176" i="13"/>
  <c r="L176" i="13"/>
  <c r="AN179" i="8"/>
  <c r="AI179" i="8"/>
  <c r="G179" i="13" s="1"/>
  <c r="AN34" i="8"/>
  <c r="AI34" i="8"/>
  <c r="G34" i="13" s="1"/>
  <c r="AI57" i="8"/>
  <c r="G57" i="13" s="1"/>
  <c r="AN57" i="8"/>
  <c r="AF42" i="8"/>
  <c r="AD42" i="8"/>
  <c r="AH217" i="8"/>
  <c r="F217" i="13" s="1"/>
  <c r="AP217" i="8"/>
  <c r="D217" i="13"/>
  <c r="AM217" i="8"/>
  <c r="AQ217" i="8"/>
  <c r="BM253" i="12"/>
  <c r="BH253" i="12"/>
  <c r="BH282" i="12"/>
  <c r="BM14" i="12"/>
  <c r="BJ272" i="12"/>
  <c r="BB266" i="12"/>
  <c r="J143" i="8"/>
  <c r="W143" i="8" s="1"/>
  <c r="K143" i="8"/>
  <c r="AF43" i="8"/>
  <c r="AD43" i="8"/>
  <c r="BF113" i="13"/>
  <c r="BK113" i="13"/>
  <c r="BE266" i="12"/>
  <c r="K52" i="13"/>
  <c r="S52" i="13"/>
  <c r="L52" i="13"/>
  <c r="BH256" i="12"/>
  <c r="BM256" i="12"/>
  <c r="AN124" i="8"/>
  <c r="AI124" i="8"/>
  <c r="G124" i="13" s="1"/>
  <c r="S111" i="13"/>
  <c r="K111" i="13"/>
  <c r="L111" i="13"/>
  <c r="AA59" i="13"/>
  <c r="AC59" i="13" s="1"/>
  <c r="AG59" i="13" s="1"/>
  <c r="AN70" i="8"/>
  <c r="AI70" i="8"/>
  <c r="G70" i="13" s="1"/>
  <c r="AA91" i="13"/>
  <c r="AC91" i="13" s="1"/>
  <c r="AG91" i="13" s="1"/>
  <c r="K64" i="13"/>
  <c r="L64" i="13"/>
  <c r="S64" i="13"/>
  <c r="AD112" i="8"/>
  <c r="AF112" i="8"/>
  <c r="AI134" i="8"/>
  <c r="G134" i="13" s="1"/>
  <c r="AN134" i="8"/>
  <c r="S154" i="13"/>
  <c r="L154" i="13"/>
  <c r="K154" i="13"/>
  <c r="BM65" i="12"/>
  <c r="AN69" i="8"/>
  <c r="AI69" i="8"/>
  <c r="G69" i="13" s="1"/>
  <c r="J21" i="8"/>
  <c r="W21" i="8" s="1"/>
  <c r="K21" i="8"/>
  <c r="BM108" i="12"/>
  <c r="X16" i="8"/>
  <c r="BH243" i="12"/>
  <c r="BM243" i="12"/>
  <c r="K147" i="13"/>
  <c r="S147" i="13"/>
  <c r="L147" i="13"/>
  <c r="L178" i="13"/>
  <c r="K178" i="13"/>
  <c r="S178" i="13"/>
  <c r="AC184" i="13"/>
  <c r="AF184" i="13"/>
  <c r="X36" i="13"/>
  <c r="BJ268" i="12"/>
  <c r="BJ282" i="12"/>
  <c r="AI197" i="8"/>
  <c r="G197" i="13" s="1"/>
  <c r="AN197" i="8"/>
  <c r="L159" i="13"/>
  <c r="K159" i="13"/>
  <c r="S159" i="13"/>
  <c r="BK280" i="12"/>
  <c r="AI181" i="8"/>
  <c r="G181" i="13" s="1"/>
  <c r="AN181" i="8"/>
  <c r="AN201" i="8"/>
  <c r="AI201" i="8"/>
  <c r="G201" i="13" s="1"/>
  <c r="K182" i="8"/>
  <c r="J182" i="8"/>
  <c r="W182" i="8" s="1"/>
  <c r="BH269" i="12"/>
  <c r="BJ269" i="12"/>
  <c r="BK323" i="12"/>
  <c r="BH270" i="12"/>
  <c r="K122" i="8"/>
  <c r="J122" i="8"/>
  <c r="W122" i="8" s="1"/>
  <c r="BE267" i="12"/>
  <c r="BB267" i="12"/>
  <c r="S126" i="13"/>
  <c r="L126" i="13"/>
  <c r="K126" i="13"/>
  <c r="BM245" i="12"/>
  <c r="BH245" i="12"/>
  <c r="AP39" i="8"/>
  <c r="D39" i="13"/>
  <c r="AH39" i="8"/>
  <c r="F39" i="13" s="1"/>
  <c r="AM39" i="8"/>
  <c r="AQ39" i="8"/>
  <c r="BK314" i="12"/>
  <c r="AM169" i="8"/>
  <c r="AP169" i="8"/>
  <c r="D169" i="13"/>
  <c r="AH169" i="8"/>
  <c r="F169" i="13" s="1"/>
  <c r="AQ169" i="8"/>
  <c r="AI203" i="13"/>
  <c r="AJ203" i="13"/>
  <c r="AN203" i="13" s="1"/>
  <c r="BJ323" i="12"/>
  <c r="BH259" i="12"/>
  <c r="BM259" i="12"/>
  <c r="S135" i="13"/>
  <c r="L135" i="13"/>
  <c r="K135" i="13"/>
  <c r="AI167" i="8"/>
  <c r="G167" i="13" s="1"/>
  <c r="AN167" i="8"/>
  <c r="K193" i="13"/>
  <c r="S193" i="13"/>
  <c r="L193" i="13"/>
  <c r="AJ190" i="13"/>
  <c r="AN190" i="13" s="1"/>
  <c r="AI190" i="13"/>
  <c r="L54" i="13"/>
  <c r="K54" i="13"/>
  <c r="S54" i="13"/>
  <c r="AC25" i="13"/>
  <c r="AG25" i="13" s="1"/>
  <c r="AN148" i="8"/>
  <c r="AI148" i="8"/>
  <c r="G148" i="13" s="1"/>
  <c r="BK283" i="12"/>
  <c r="S173" i="13"/>
  <c r="L173" i="13"/>
  <c r="K173" i="13"/>
  <c r="BH241" i="12"/>
  <c r="BM241" i="12"/>
  <c r="AI58" i="13"/>
  <c r="AM58" i="13" s="1"/>
  <c r="AJ58" i="13"/>
  <c r="AJ211" i="13"/>
  <c r="AN211" i="13" s="1"/>
  <c r="AI211" i="13"/>
  <c r="AN94" i="8"/>
  <c r="AI94" i="8"/>
  <c r="G94" i="13" s="1"/>
  <c r="AN155" i="8"/>
  <c r="AI155" i="8"/>
  <c r="G155" i="13" s="1"/>
  <c r="AZ4" i="12"/>
  <c r="G44" i="4" s="1"/>
  <c r="BK271" i="12"/>
  <c r="J100" i="8"/>
  <c r="W100" i="8" s="1"/>
  <c r="K100" i="8"/>
  <c r="BM23" i="12"/>
  <c r="BH246" i="12"/>
  <c r="BM246" i="12"/>
  <c r="BM316" i="12"/>
  <c r="BH316" i="12"/>
  <c r="BM26" i="12"/>
  <c r="AN180" i="8"/>
  <c r="AI180" i="8"/>
  <c r="G180" i="13" s="1"/>
  <c r="L74" i="13"/>
  <c r="K74" i="13"/>
  <c r="S74" i="13"/>
  <c r="BH280" i="12"/>
  <c r="BM27" i="12"/>
  <c r="AC137" i="13"/>
  <c r="AG137" i="13" s="1"/>
  <c r="AI114" i="8"/>
  <c r="G114" i="13" s="1"/>
  <c r="AN114" i="8"/>
  <c r="BF185" i="13"/>
  <c r="BK185" i="13"/>
  <c r="AN123" i="8"/>
  <c r="AI123" i="8"/>
  <c r="G123" i="13" s="1"/>
  <c r="BM144" i="12"/>
  <c r="K156" i="13"/>
  <c r="S156" i="13"/>
  <c r="L156" i="13"/>
  <c r="BM81" i="12"/>
  <c r="AI85" i="8"/>
  <c r="G85" i="13" s="1"/>
  <c r="AN85" i="8"/>
  <c r="AI47" i="8"/>
  <c r="G47" i="13" s="1"/>
  <c r="AN47" i="8"/>
  <c r="AC60" i="13"/>
  <c r="AF60" i="13"/>
  <c r="BH314" i="12"/>
  <c r="BM314" i="12"/>
  <c r="AI50" i="8"/>
  <c r="G50" i="13" s="1"/>
  <c r="AN50" i="8"/>
  <c r="K50" i="13"/>
  <c r="S50" i="13"/>
  <c r="L50" i="13"/>
  <c r="BJ311" i="12"/>
  <c r="K34" i="13"/>
  <c r="L34" i="13"/>
  <c r="S34" i="13"/>
  <c r="BJ316" i="12"/>
  <c r="BK268" i="12"/>
  <c r="AC208" i="13"/>
  <c r="AG208" i="13" s="1"/>
  <c r="BK269" i="12"/>
  <c r="BH229" i="12"/>
  <c r="BM229" i="12"/>
  <c r="K139" i="8"/>
  <c r="J139" i="8"/>
  <c r="W139" i="8" s="1"/>
  <c r="BH272" i="12"/>
  <c r="BM295" i="12"/>
  <c r="BH295" i="12"/>
  <c r="AN49" i="8"/>
  <c r="AI49" i="8"/>
  <c r="G49" i="13" s="1"/>
  <c r="BK186" i="13"/>
  <c r="BF186" i="13"/>
  <c r="BB313" i="12"/>
  <c r="BE313" i="12"/>
  <c r="AA30" i="8"/>
  <c r="AB30" i="8" s="1"/>
  <c r="AN52" i="8"/>
  <c r="AI52" i="8"/>
  <c r="G52" i="13" s="1"/>
  <c r="J174" i="8"/>
  <c r="W174" i="8" s="1"/>
  <c r="K174" i="8"/>
  <c r="D37" i="13"/>
  <c r="AP37" i="8"/>
  <c r="AH37" i="8"/>
  <c r="F37" i="13" s="1"/>
  <c r="AM37" i="8"/>
  <c r="AQ37" i="8"/>
  <c r="K124" i="13"/>
  <c r="L124" i="13"/>
  <c r="S124" i="13"/>
  <c r="AI35" i="8"/>
  <c r="G35" i="13" s="1"/>
  <c r="AN35" i="8"/>
  <c r="K70" i="13"/>
  <c r="S70" i="13"/>
  <c r="L70" i="13"/>
  <c r="J142" i="8"/>
  <c r="W142" i="8" s="1"/>
  <c r="K142" i="8"/>
  <c r="AI64" i="8"/>
  <c r="G64" i="13" s="1"/>
  <c r="AN64" i="8"/>
  <c r="AN154" i="8"/>
  <c r="AI154" i="8"/>
  <c r="G154" i="13" s="1"/>
  <c r="AH106" i="8"/>
  <c r="F106" i="13" s="1"/>
  <c r="AM106" i="8"/>
  <c r="D106" i="13"/>
  <c r="AP106" i="8"/>
  <c r="AQ106" i="8"/>
  <c r="K69" i="13"/>
  <c r="S69" i="13"/>
  <c r="L69" i="13"/>
  <c r="BF267" i="12"/>
  <c r="BM300" i="12"/>
  <c r="BH300" i="12"/>
  <c r="AC61" i="13"/>
  <c r="AF61" i="13"/>
  <c r="BM56" i="12"/>
  <c r="BM128" i="12"/>
  <c r="BJ317" i="12"/>
  <c r="AI178" i="8"/>
  <c r="G178" i="13" s="1"/>
  <c r="AN178" i="8"/>
  <c r="AP29" i="8"/>
  <c r="AH29" i="8"/>
  <c r="F29" i="13" s="1"/>
  <c r="AM29" i="8"/>
  <c r="D29" i="13"/>
  <c r="AQ29" i="8"/>
  <c r="AN202" i="8"/>
  <c r="AI202" i="8"/>
  <c r="G202" i="13" s="1"/>
  <c r="AN149" i="8"/>
  <c r="AI149" i="8"/>
  <c r="G149" i="13" s="1"/>
  <c r="AC219" i="13"/>
  <c r="AG219" i="13" s="1"/>
  <c r="AA36" i="13"/>
  <c r="AC214" i="13"/>
  <c r="AG214" i="13" s="1"/>
  <c r="K28" i="13"/>
  <c r="S28" i="13"/>
  <c r="L28" i="13"/>
  <c r="AI28" i="8"/>
  <c r="G28" i="13" s="1"/>
  <c r="AN28" i="8"/>
  <c r="BK257" i="12"/>
  <c r="AC76" i="13"/>
  <c r="AF76" i="13"/>
  <c r="BK316" i="12"/>
  <c r="AI117" i="8"/>
  <c r="G117" i="13" s="1"/>
  <c r="AN117" i="8"/>
  <c r="J31" i="8"/>
  <c r="W31" i="8" s="1"/>
  <c r="K31" i="8"/>
  <c r="L168" i="13"/>
  <c r="K168" i="13"/>
  <c r="S168" i="13"/>
  <c r="K201" i="13"/>
  <c r="L201" i="13"/>
  <c r="S201" i="13"/>
  <c r="BJ320" i="12"/>
  <c r="BH322" i="12"/>
  <c r="BM322" i="12"/>
  <c r="BJ312" i="12"/>
  <c r="BK318" i="12"/>
  <c r="J18" i="8"/>
  <c r="W18" i="8" s="1"/>
  <c r="K18" i="8"/>
  <c r="AF151" i="8"/>
  <c r="AD151" i="8"/>
  <c r="AI189" i="8"/>
  <c r="G189" i="13" s="1"/>
  <c r="AN189" i="8"/>
  <c r="BE209" i="12"/>
  <c r="N15" i="31" s="1"/>
  <c r="BJ209" i="12"/>
  <c r="AM262" i="12"/>
  <c r="AQ209" i="12"/>
  <c r="BB209" i="12"/>
  <c r="BB5" i="12" s="1"/>
  <c r="BF317" i="12"/>
  <c r="BM17" i="12"/>
  <c r="BK273" i="12"/>
  <c r="BK311" i="12"/>
  <c r="BH301" i="12"/>
  <c r="BM301" i="12"/>
  <c r="K191" i="13"/>
  <c r="L191" i="13"/>
  <c r="S191" i="13"/>
  <c r="BJ271" i="12"/>
  <c r="AI126" i="8"/>
  <c r="G126" i="13" s="1"/>
  <c r="AN126" i="8"/>
  <c r="BM228" i="12"/>
  <c r="BH228" i="12"/>
  <c r="AN63" i="8"/>
  <c r="AI63" i="8"/>
  <c r="G63" i="13" s="1"/>
  <c r="K163" i="13"/>
  <c r="L163" i="13"/>
  <c r="S163" i="13"/>
  <c r="BJ280" i="12"/>
  <c r="S152" i="13"/>
  <c r="K152" i="13"/>
  <c r="L152" i="13"/>
  <c r="L82" i="13"/>
  <c r="S82" i="13"/>
  <c r="K82" i="13"/>
  <c r="Z162" i="8"/>
  <c r="AC162" i="8" s="1"/>
  <c r="O162" i="8"/>
  <c r="S162" i="8"/>
  <c r="V162" i="8"/>
  <c r="BM120" i="12"/>
  <c r="BJ318" i="12"/>
  <c r="K104" i="13"/>
  <c r="L104" i="13"/>
  <c r="S104" i="13"/>
  <c r="AF160" i="8"/>
  <c r="AD160" i="8"/>
  <c r="BM323" i="12"/>
  <c r="BH323" i="12"/>
  <c r="AI135" i="8"/>
  <c r="G135" i="13" s="1"/>
  <c r="AN135" i="8"/>
  <c r="AM113" i="13"/>
  <c r="BK282" i="12"/>
  <c r="BH286" i="12"/>
  <c r="J13" i="8"/>
  <c r="W13" i="8" s="1"/>
  <c r="K13" i="8"/>
  <c r="S153" i="13"/>
  <c r="K153" i="13"/>
  <c r="L153" i="13"/>
  <c r="AN158" i="8"/>
  <c r="AI158" i="8"/>
  <c r="G158" i="13" s="1"/>
  <c r="K148" i="13"/>
  <c r="L148" i="13"/>
  <c r="S148" i="13"/>
  <c r="K33" i="8"/>
  <c r="J33" i="8"/>
  <c r="W33" i="8" s="1"/>
  <c r="J102" i="8"/>
  <c r="W102" i="8" s="1"/>
  <c r="K102" i="8"/>
  <c r="AI183" i="8"/>
  <c r="G183" i="13" s="1"/>
  <c r="AN183" i="8"/>
  <c r="S68" i="13"/>
  <c r="L68" i="13"/>
  <c r="K68" i="13"/>
  <c r="D187" i="13"/>
  <c r="AP187" i="8"/>
  <c r="AH187" i="8"/>
  <c r="F187" i="13" s="1"/>
  <c r="AM187" i="8"/>
  <c r="AQ187" i="8"/>
  <c r="AI212" i="8"/>
  <c r="G212" i="13" s="1"/>
  <c r="AN212" i="8"/>
  <c r="D101" i="8"/>
  <c r="BH101" i="12"/>
  <c r="L94" i="13"/>
  <c r="S94" i="13"/>
  <c r="K94" i="13"/>
  <c r="K215" i="13"/>
  <c r="L215" i="13"/>
  <c r="S215" i="13"/>
  <c r="K155" i="13"/>
  <c r="S155" i="13"/>
  <c r="L155" i="13"/>
  <c r="BM260" i="12"/>
  <c r="BH260" i="12"/>
  <c r="BJ270" i="12"/>
  <c r="E32" i="30"/>
  <c r="BH311" i="12"/>
  <c r="BM311" i="12"/>
  <c r="BH271" i="12"/>
  <c r="AM222" i="12"/>
  <c r="S75" i="13"/>
  <c r="L75" i="13"/>
  <c r="K75" i="13"/>
  <c r="T19" i="8"/>
  <c r="BH299" i="12"/>
  <c r="BM299" i="12"/>
  <c r="BH279" i="12"/>
  <c r="BM24" i="12"/>
  <c r="AI136" i="8"/>
  <c r="G136" i="13" s="1"/>
  <c r="AN136" i="8"/>
  <c r="J38" i="8"/>
  <c r="W38" i="8" s="1"/>
  <c r="K38" i="8"/>
  <c r="AN98" i="8"/>
  <c r="AI98" i="8"/>
  <c r="G98" i="13" s="1"/>
  <c r="BJ229" i="12"/>
  <c r="AI90" i="8"/>
  <c r="G90" i="13" s="1"/>
  <c r="AN90" i="8"/>
  <c r="L90" i="13"/>
  <c r="S90" i="13"/>
  <c r="K90" i="13"/>
  <c r="BK279" i="12"/>
  <c r="P62" i="8"/>
  <c r="S114" i="13"/>
  <c r="L114" i="13"/>
  <c r="K114" i="13"/>
  <c r="BM172" i="12"/>
  <c r="AN222" i="12"/>
  <c r="AN207" i="8"/>
  <c r="AI207" i="8"/>
  <c r="G207" i="13" s="1"/>
  <c r="BM296" i="12"/>
  <c r="BH296" i="12"/>
  <c r="J15" i="8"/>
  <c r="W15" i="8" s="1"/>
  <c r="K15" i="8"/>
  <c r="AN132" i="8"/>
  <c r="AI132" i="8"/>
  <c r="G132" i="13" s="1"/>
  <c r="J171" i="8"/>
  <c r="W171" i="8" s="1"/>
  <c r="K171" i="8"/>
  <c r="BH281" i="12"/>
  <c r="AI156" i="8"/>
  <c r="G156" i="13" s="1"/>
  <c r="AN156" i="8"/>
  <c r="BH283" i="12"/>
  <c r="D145" i="13"/>
  <c r="AH145" i="8"/>
  <c r="F145" i="13" s="1"/>
  <c r="AM145" i="8"/>
  <c r="AP145" i="8"/>
  <c r="AQ145" i="8"/>
  <c r="K132" i="13"/>
  <c r="L132" i="13"/>
  <c r="S132" i="13"/>
  <c r="AI170" i="8"/>
  <c r="G170" i="13" s="1"/>
  <c r="AN170" i="8"/>
  <c r="BM171" i="12"/>
  <c r="L207" i="13"/>
  <c r="S207" i="13"/>
  <c r="K207" i="13"/>
  <c r="K144" i="8"/>
  <c r="J144" i="8"/>
  <c r="W144" i="8" s="1"/>
  <c r="BM22" i="12"/>
  <c r="BH298" i="12"/>
  <c r="BM298" i="12"/>
  <c r="BB287" i="12"/>
  <c r="BE287" i="12"/>
  <c r="X164" i="13"/>
  <c r="S85" i="13"/>
  <c r="L85" i="13"/>
  <c r="K85" i="13"/>
  <c r="S166" i="13"/>
  <c r="L166" i="13"/>
  <c r="K166" i="13"/>
  <c r="AC121" i="13"/>
  <c r="AG121" i="13" s="1"/>
  <c r="AA127" i="13"/>
  <c r="AC127" i="13" s="1"/>
  <c r="AG127" i="13" s="1"/>
  <c r="AC67" i="13"/>
  <c r="AF67" i="13"/>
  <c r="AN176" i="8"/>
  <c r="AI176" i="8"/>
  <c r="G176" i="13" s="1"/>
  <c r="BF249" i="12"/>
  <c r="BK249" i="12"/>
  <c r="BJ315" i="12"/>
  <c r="AA95" i="13"/>
  <c r="AC95" i="13" s="1"/>
  <c r="AG95" i="13" s="1"/>
  <c r="BM139" i="12"/>
  <c r="BH237" i="12"/>
  <c r="BM237" i="12"/>
  <c r="K14" i="8"/>
  <c r="J14" i="8"/>
  <c r="W14" i="8" s="1"/>
  <c r="BF313" i="12"/>
  <c r="BM143" i="12"/>
  <c r="AP192" i="8"/>
  <c r="D192" i="13"/>
  <c r="AM192" i="8"/>
  <c r="AH192" i="8"/>
  <c r="F192" i="13" s="1"/>
  <c r="AQ192" i="8"/>
  <c r="BK315" i="12"/>
  <c r="S49" i="13"/>
  <c r="K49" i="13"/>
  <c r="L49" i="13"/>
  <c r="AM186" i="13"/>
  <c r="AK186" i="13"/>
  <c r="BK288" i="12"/>
  <c r="AF20" i="8"/>
  <c r="AD20" i="8"/>
  <c r="BB240" i="12"/>
  <c r="BE240" i="12"/>
  <c r="BJ240" i="12"/>
  <c r="AK325" i="12"/>
  <c r="BM174" i="12"/>
  <c r="BK272" i="12"/>
  <c r="AA105" i="13"/>
  <c r="AC105" i="13" s="1"/>
  <c r="AG105" i="13" s="1"/>
  <c r="BK270" i="12"/>
  <c r="BH303" i="12"/>
  <c r="BM303" i="12"/>
  <c r="AA199" i="13"/>
  <c r="AC199" i="13" s="1"/>
  <c r="AG199" i="13" s="1"/>
  <c r="AN44" i="8"/>
  <c r="AI44" i="8"/>
  <c r="G44" i="13" s="1"/>
  <c r="K65" i="8"/>
  <c r="J65" i="8"/>
  <c r="W65" i="8" s="1"/>
  <c r="BM21" i="12"/>
  <c r="J108" i="8"/>
  <c r="W108" i="8" s="1"/>
  <c r="K108" i="8"/>
  <c r="AN141" i="8"/>
  <c r="AI141" i="8"/>
  <c r="G141" i="13" s="1"/>
  <c r="K56" i="8"/>
  <c r="J56" i="8"/>
  <c r="W56" i="8" s="1"/>
  <c r="AN150" i="8"/>
  <c r="AI150" i="8"/>
  <c r="G150" i="13" s="1"/>
  <c r="AN147" i="8"/>
  <c r="AI147" i="8"/>
  <c r="G147" i="13" s="1"/>
  <c r="K128" i="8"/>
  <c r="J128" i="8"/>
  <c r="W128" i="8" s="1"/>
  <c r="AI99" i="8"/>
  <c r="G99" i="13" s="1"/>
  <c r="AN99" i="8"/>
  <c r="BB285" i="12"/>
  <c r="BE285" i="12"/>
  <c r="AP66" i="8"/>
  <c r="D66" i="13"/>
  <c r="AM66" i="8"/>
  <c r="AH66" i="8"/>
  <c r="F66" i="13" s="1"/>
  <c r="AQ66" i="8"/>
  <c r="AJ92" i="13"/>
  <c r="AN92" i="13" s="1"/>
  <c r="AI92" i="13"/>
  <c r="AI46" i="8"/>
  <c r="G46" i="13" s="1"/>
  <c r="AN46" i="8"/>
  <c r="L46" i="13"/>
  <c r="K46" i="13"/>
  <c r="S46" i="13"/>
  <c r="BK281" i="12"/>
  <c r="BK274" i="12"/>
  <c r="Z36" i="8"/>
  <c r="AC36" i="8" s="1"/>
  <c r="O36" i="8"/>
  <c r="S36" i="8"/>
  <c r="V36" i="8"/>
  <c r="L197" i="13"/>
  <c r="K197" i="13"/>
  <c r="S197" i="13"/>
  <c r="BK228" i="12"/>
  <c r="AN84" i="8"/>
  <c r="AI84" i="8"/>
  <c r="G84" i="13" s="1"/>
  <c r="L117" i="13"/>
  <c r="S117" i="13"/>
  <c r="K117" i="13"/>
  <c r="AC118" i="13"/>
  <c r="AG118" i="13" s="1"/>
  <c r="L181" i="13"/>
  <c r="S181" i="13"/>
  <c r="K181" i="13"/>
  <c r="BM31" i="12"/>
  <c r="AN168" i="8"/>
  <c r="AI168" i="8"/>
  <c r="G168" i="13" s="1"/>
  <c r="K73" i="13"/>
  <c r="S73" i="13"/>
  <c r="L73" i="13"/>
  <c r="AJ161" i="13"/>
  <c r="AN161" i="13" s="1"/>
  <c r="AI161" i="13"/>
  <c r="AA205" i="13"/>
  <c r="AC205" i="13" s="1"/>
  <c r="AG205" i="13" s="1"/>
  <c r="BM257" i="12"/>
  <c r="BH257" i="12"/>
  <c r="L89" i="13"/>
  <c r="K89" i="13"/>
  <c r="S89" i="13"/>
  <c r="AN79" i="8"/>
  <c r="AI79" i="8"/>
  <c r="G79" i="13" s="1"/>
  <c r="AA115" i="13"/>
  <c r="AC115" i="13" s="1"/>
  <c r="AG115" i="13" s="1"/>
  <c r="BM122" i="12"/>
  <c r="BJ279" i="12"/>
  <c r="BH315" i="12"/>
  <c r="BM315" i="12"/>
  <c r="J78" i="8"/>
  <c r="W78" i="8" s="1"/>
  <c r="K78" i="8"/>
  <c r="L63" i="13"/>
  <c r="K63" i="13"/>
  <c r="S63" i="13"/>
  <c r="S109" i="13"/>
  <c r="L109" i="13"/>
  <c r="K109" i="13"/>
  <c r="AI109" i="8"/>
  <c r="G109" i="13" s="1"/>
  <c r="AN109" i="8"/>
  <c r="AI152" i="8"/>
  <c r="G152" i="13" s="1"/>
  <c r="AN152" i="8"/>
  <c r="AN82" i="8"/>
  <c r="AI82" i="8"/>
  <c r="G82" i="13" s="1"/>
  <c r="BM251" i="12"/>
  <c r="BH251" i="12"/>
  <c r="J210" i="8"/>
  <c r="W210" i="8" s="1"/>
  <c r="K210" i="8"/>
  <c r="L167" i="13"/>
  <c r="S167" i="13"/>
  <c r="K167" i="13"/>
  <c r="AN193" i="8"/>
  <c r="AI193" i="8"/>
  <c r="G193" i="13" s="1"/>
  <c r="BH273" i="12"/>
  <c r="BJ283" i="12"/>
  <c r="AI54" i="8"/>
  <c r="G54" i="13" s="1"/>
  <c r="AN54" i="8"/>
  <c r="BJ288" i="12"/>
  <c r="BM33" i="12"/>
  <c r="BJ257" i="12"/>
  <c r="BM250" i="12"/>
  <c r="BH250" i="12"/>
  <c r="K183" i="13"/>
  <c r="S183" i="13"/>
  <c r="L183" i="13"/>
  <c r="AA196" i="13"/>
  <c r="AC196" i="13" s="1"/>
  <c r="AG196" i="13" s="1"/>
  <c r="AA83" i="13"/>
  <c r="AC83" i="13" s="1"/>
  <c r="AG83" i="13" s="1"/>
  <c r="AF198" i="8"/>
  <c r="AD198" i="8"/>
  <c r="S212" i="13"/>
  <c r="L212" i="13"/>
  <c r="K212" i="13"/>
  <c r="BJ314" i="12"/>
  <c r="AI215" i="8"/>
  <c r="G215" i="13" s="1"/>
  <c r="AN215" i="8"/>
  <c r="BM213" i="12"/>
  <c r="AC45" i="13"/>
  <c r="AG45" i="13" s="1"/>
  <c r="AC188" i="13"/>
  <c r="AG188" i="13" s="1"/>
  <c r="BF286" i="12"/>
  <c r="AZ5" i="12"/>
  <c r="G45" i="4" s="1"/>
  <c r="BK285" i="12"/>
  <c r="AD48" i="8"/>
  <c r="AF48" i="8"/>
  <c r="BM248" i="12"/>
  <c r="BH248" i="12"/>
  <c r="BM236" i="12"/>
  <c r="BH236" i="12"/>
  <c r="BH294" i="12"/>
  <c r="BM294" i="12"/>
  <c r="AQ307" i="12"/>
  <c r="AI75" i="8"/>
  <c r="G75" i="13" s="1"/>
  <c r="AN75" i="8"/>
  <c r="BM80" i="12"/>
  <c r="AI140" i="8"/>
  <c r="G140" i="13" s="1"/>
  <c r="AN140" i="8"/>
  <c r="J26" i="8"/>
  <c r="W26" i="8" s="1"/>
  <c r="K26" i="8"/>
  <c r="K24" i="8"/>
  <c r="J24" i="8"/>
  <c r="W24" i="8" s="1"/>
  <c r="S136" i="13"/>
  <c r="L136" i="13"/>
  <c r="K136" i="13"/>
  <c r="AN74" i="8"/>
  <c r="AI74" i="8"/>
  <c r="G74" i="13" s="1"/>
  <c r="L98" i="13"/>
  <c r="K98" i="13"/>
  <c r="S98" i="13"/>
  <c r="J27" i="8"/>
  <c r="W27" i="8" s="1"/>
  <c r="K27" i="8"/>
  <c r="AI138" i="13"/>
  <c r="AJ138" i="13"/>
  <c r="AN138" i="13" s="1"/>
  <c r="AJ53" i="13"/>
  <c r="AN53" i="13" s="1"/>
  <c r="AI53" i="13"/>
  <c r="AM53" i="13" s="1"/>
  <c r="AI77" i="8"/>
  <c r="G77" i="13" s="1"/>
  <c r="AN77" i="8"/>
  <c r="BM255" i="12"/>
  <c r="BH255" i="12"/>
  <c r="AK307" i="12"/>
  <c r="BK265" i="12"/>
  <c r="AI32" i="13" l="1"/>
  <c r="BB4" i="12"/>
  <c r="AJ72" i="13"/>
  <c r="AN72" i="13" s="1"/>
  <c r="BF72" i="13" s="1"/>
  <c r="N16" i="31"/>
  <c r="N17" i="31" s="1"/>
  <c r="AK129" i="13"/>
  <c r="G47" i="30"/>
  <c r="O16" i="31"/>
  <c r="O17" i="31" s="1"/>
  <c r="AJ204" i="13"/>
  <c r="AN204" i="13" s="1"/>
  <c r="BF204" i="13" s="1"/>
  <c r="AK51" i="13"/>
  <c r="AK133" i="13"/>
  <c r="O13" i="31"/>
  <c r="AG76" i="13"/>
  <c r="AI76" i="13" s="1"/>
  <c r="BK32" i="13"/>
  <c r="BF32" i="13"/>
  <c r="AI196" i="13"/>
  <c r="AJ196" i="13"/>
  <c r="AN196" i="13" s="1"/>
  <c r="AI205" i="13"/>
  <c r="AM205" i="13" s="1"/>
  <c r="AJ205" i="13"/>
  <c r="AJ105" i="13"/>
  <c r="AN105" i="13" s="1"/>
  <c r="AI105" i="13"/>
  <c r="AI93" i="13"/>
  <c r="AM93" i="13" s="1"/>
  <c r="AJ93" i="13"/>
  <c r="AN93" i="13" s="1"/>
  <c r="BF232" i="12"/>
  <c r="AI216" i="13"/>
  <c r="AM216" i="13" s="1"/>
  <c r="AJ216" i="13"/>
  <c r="AN216" i="13" s="1"/>
  <c r="AJ115" i="13"/>
  <c r="AN115" i="13" s="1"/>
  <c r="AI115" i="13"/>
  <c r="AM115" i="13" s="1"/>
  <c r="K285" i="8"/>
  <c r="J285" i="8"/>
  <c r="BE262" i="12"/>
  <c r="BJ262" i="12"/>
  <c r="BB262" i="12"/>
  <c r="BF262" i="12"/>
  <c r="BK262" i="12"/>
  <c r="BK138" i="13"/>
  <c r="BF138" i="13"/>
  <c r="K278" i="8"/>
  <c r="J278" i="8"/>
  <c r="AM138" i="13"/>
  <c r="AK138" i="13"/>
  <c r="K267" i="8"/>
  <c r="J267" i="8"/>
  <c r="AC98" i="13"/>
  <c r="AG98" i="13" s="1"/>
  <c r="P26" i="8"/>
  <c r="BM227" i="12"/>
  <c r="BH227" i="12"/>
  <c r="BK286" i="12"/>
  <c r="AJ188" i="13"/>
  <c r="AN188" i="13" s="1"/>
  <c r="AI188" i="13"/>
  <c r="AJ45" i="13"/>
  <c r="AN45" i="13" s="1"/>
  <c r="AI45" i="13"/>
  <c r="AH198" i="8"/>
  <c r="F198" i="13" s="1"/>
  <c r="AM198" i="8"/>
  <c r="AP198" i="8"/>
  <c r="D198" i="13"/>
  <c r="AQ198" i="8"/>
  <c r="AC109" i="13"/>
  <c r="AG109" i="13" s="1"/>
  <c r="J244" i="8"/>
  <c r="K244" i="8"/>
  <c r="AC73" i="13"/>
  <c r="AG73" i="13" s="1"/>
  <c r="AC117" i="13"/>
  <c r="AG117" i="13" s="1"/>
  <c r="AC197" i="13"/>
  <c r="AG197" i="13" s="1"/>
  <c r="AC46" i="13"/>
  <c r="AG46" i="13" s="1"/>
  <c r="L66" i="13"/>
  <c r="S66" i="13"/>
  <c r="K66" i="13"/>
  <c r="P128" i="8"/>
  <c r="K242" i="8"/>
  <c r="J242" i="8"/>
  <c r="P108" i="8"/>
  <c r="AG67" i="13"/>
  <c r="AJ121" i="13"/>
  <c r="AN121" i="13" s="1"/>
  <c r="AI121" i="13"/>
  <c r="J304" i="8"/>
  <c r="K304" i="8"/>
  <c r="AI145" i="8"/>
  <c r="G145" i="13" s="1"/>
  <c r="AN145" i="8"/>
  <c r="K319" i="8"/>
  <c r="J319" i="8"/>
  <c r="P15" i="8"/>
  <c r="AC114" i="13"/>
  <c r="AG114" i="13" s="1"/>
  <c r="AM204" i="13"/>
  <c r="P38" i="8"/>
  <c r="BM271" i="12"/>
  <c r="E33" i="30"/>
  <c r="BH249" i="12"/>
  <c r="BM249" i="12"/>
  <c r="P33" i="8"/>
  <c r="AC148" i="13"/>
  <c r="AG148" i="13" s="1"/>
  <c r="AC104" i="13"/>
  <c r="AG104" i="13" s="1"/>
  <c r="AC82" i="13"/>
  <c r="AG82" i="13" s="1"/>
  <c r="AC152" i="13"/>
  <c r="AG152" i="13" s="1"/>
  <c r="AC191" i="13"/>
  <c r="AG191" i="13" s="1"/>
  <c r="BK317" i="12"/>
  <c r="BB230" i="12"/>
  <c r="BE230" i="12"/>
  <c r="D209" i="8"/>
  <c r="D222" i="8" s="1"/>
  <c r="BH209" i="12"/>
  <c r="J268" i="8"/>
  <c r="K268" i="8"/>
  <c r="AC201" i="13"/>
  <c r="AG201" i="13" s="1"/>
  <c r="K287" i="8"/>
  <c r="J287" i="8"/>
  <c r="AM72" i="13"/>
  <c r="AG61" i="13"/>
  <c r="J302" i="8"/>
  <c r="K302" i="8"/>
  <c r="AC124" i="13"/>
  <c r="AG124" i="13" s="1"/>
  <c r="L37" i="13"/>
  <c r="K37" i="13"/>
  <c r="S37" i="13"/>
  <c r="BM272" i="12"/>
  <c r="J228" i="8"/>
  <c r="K228" i="8"/>
  <c r="AG60" i="13"/>
  <c r="AC156" i="13"/>
  <c r="AG156" i="13" s="1"/>
  <c r="G32" i="30"/>
  <c r="J247" i="8"/>
  <c r="K247" i="8"/>
  <c r="AJ25" i="13"/>
  <c r="AN25" i="13" s="1"/>
  <c r="AI25" i="13"/>
  <c r="BK190" i="13"/>
  <c r="BF190" i="13"/>
  <c r="AC193" i="13"/>
  <c r="AG193" i="13" s="1"/>
  <c r="AM203" i="13"/>
  <c r="AK203" i="13"/>
  <c r="L39" i="13"/>
  <c r="S39" i="13"/>
  <c r="K39" i="13"/>
  <c r="N13" i="31"/>
  <c r="K300" i="8"/>
  <c r="J300" i="8"/>
  <c r="J256" i="8"/>
  <c r="K256" i="8"/>
  <c r="P21" i="8"/>
  <c r="AC64" i="13"/>
  <c r="AG64" i="13" s="1"/>
  <c r="K303" i="8"/>
  <c r="J303" i="8"/>
  <c r="L217" i="13"/>
  <c r="S217" i="13"/>
  <c r="K217" i="13"/>
  <c r="AC116" i="13"/>
  <c r="AG116" i="13" s="1"/>
  <c r="BF321" i="12"/>
  <c r="O19" i="31"/>
  <c r="O22" i="31"/>
  <c r="O23" i="31" s="1"/>
  <c r="O21" i="31"/>
  <c r="BE185" i="13"/>
  <c r="AQ185" i="13"/>
  <c r="BB185" i="13"/>
  <c r="BJ185" i="13"/>
  <c r="J254" i="8"/>
  <c r="K254" i="8"/>
  <c r="AC218" i="13"/>
  <c r="AG218" i="13" s="1"/>
  <c r="AC77" i="13"/>
  <c r="AG77" i="13" s="1"/>
  <c r="AC140" i="13"/>
  <c r="AG140" i="13" s="1"/>
  <c r="P80" i="8"/>
  <c r="J226" i="8"/>
  <c r="K226" i="8"/>
  <c r="J270" i="8"/>
  <c r="K270" i="8"/>
  <c r="P213" i="8"/>
  <c r="AA158" i="13"/>
  <c r="AC158" i="13" s="1"/>
  <c r="AG158" i="13" s="1"/>
  <c r="AI119" i="13"/>
  <c r="AJ119" i="13"/>
  <c r="AN119" i="13" s="1"/>
  <c r="BK287" i="12"/>
  <c r="K41" i="8"/>
  <c r="J41" i="8"/>
  <c r="W41" i="8" s="1"/>
  <c r="AI206" i="13"/>
  <c r="AJ206" i="13"/>
  <c r="AN206" i="13" s="1"/>
  <c r="AC141" i="13"/>
  <c r="AG141" i="13" s="1"/>
  <c r="BJ265" i="12"/>
  <c r="AN157" i="8"/>
  <c r="AI157" i="8"/>
  <c r="G157" i="13" s="1"/>
  <c r="S165" i="13"/>
  <c r="L165" i="13"/>
  <c r="K165" i="13"/>
  <c r="J30" i="8"/>
  <c r="W30" i="8" s="1"/>
  <c r="K30" i="8"/>
  <c r="AC179" i="13"/>
  <c r="AG179" i="13" s="1"/>
  <c r="J241" i="8"/>
  <c r="K241" i="8"/>
  <c r="AC47" i="13"/>
  <c r="AG47" i="13" s="1"/>
  <c r="AP103" i="8"/>
  <c r="D103" i="13"/>
  <c r="AM103" i="8"/>
  <c r="AH103" i="8"/>
  <c r="F103" i="13" s="1"/>
  <c r="AQ103" i="8"/>
  <c r="K280" i="8"/>
  <c r="J280" i="8"/>
  <c r="AC125" i="13"/>
  <c r="AF125" i="13"/>
  <c r="BE133" i="13"/>
  <c r="AQ133" i="13"/>
  <c r="BJ133" i="13"/>
  <c r="BB133" i="13"/>
  <c r="AC167" i="13"/>
  <c r="AF167" i="13"/>
  <c r="J258" i="8"/>
  <c r="K258" i="8"/>
  <c r="P78" i="8"/>
  <c r="BM297" i="12"/>
  <c r="BH297" i="12"/>
  <c r="AM161" i="13"/>
  <c r="AK161" i="13"/>
  <c r="AM92" i="13"/>
  <c r="AK92" i="13"/>
  <c r="AI66" i="8"/>
  <c r="G66" i="13" s="1"/>
  <c r="AN66" i="8"/>
  <c r="P65" i="8"/>
  <c r="S192" i="13"/>
  <c r="K192" i="13"/>
  <c r="L192" i="13"/>
  <c r="BK313" i="12"/>
  <c r="J271" i="8"/>
  <c r="K271" i="8"/>
  <c r="AJ95" i="13"/>
  <c r="AN95" i="13" s="1"/>
  <c r="AI95" i="13"/>
  <c r="AM95" i="13" s="1"/>
  <c r="K253" i="8"/>
  <c r="J253" i="8"/>
  <c r="J282" i="8"/>
  <c r="K282" i="8"/>
  <c r="AC90" i="13"/>
  <c r="AG90" i="13" s="1"/>
  <c r="AC75" i="13"/>
  <c r="AF75" i="13"/>
  <c r="AC155" i="13"/>
  <c r="AG155" i="13" s="1"/>
  <c r="AC215" i="13"/>
  <c r="AG215" i="13" s="1"/>
  <c r="AN187" i="8"/>
  <c r="AI187" i="8"/>
  <c r="G187" i="13" s="1"/>
  <c r="S187" i="13"/>
  <c r="K187" i="13"/>
  <c r="L187" i="13"/>
  <c r="AC68" i="13"/>
  <c r="AG68" i="13" s="1"/>
  <c r="AC153" i="13"/>
  <c r="AG153" i="13" s="1"/>
  <c r="K272" i="8"/>
  <c r="J272" i="8"/>
  <c r="BJ258" i="12"/>
  <c r="BE258" i="12"/>
  <c r="BB258" i="12"/>
  <c r="D151" i="13"/>
  <c r="AP151" i="8"/>
  <c r="AM151" i="8"/>
  <c r="AH151" i="8"/>
  <c r="F151" i="13" s="1"/>
  <c r="AQ151" i="8"/>
  <c r="AQ290" i="12"/>
  <c r="BH287" i="12"/>
  <c r="BK72" i="13"/>
  <c r="BK267" i="12"/>
  <c r="AC69" i="13"/>
  <c r="AF69" i="13"/>
  <c r="AN106" i="8"/>
  <c r="AI106" i="8"/>
  <c r="G106" i="13" s="1"/>
  <c r="P174" i="8"/>
  <c r="BJ313" i="12"/>
  <c r="P139" i="8"/>
  <c r="BH285" i="12"/>
  <c r="AK58" i="13"/>
  <c r="AN58" i="13"/>
  <c r="BB58" i="13" s="1"/>
  <c r="AC173" i="13"/>
  <c r="AG173" i="13" s="1"/>
  <c r="AC54" i="13"/>
  <c r="AG54" i="13" s="1"/>
  <c r="AN39" i="8"/>
  <c r="AI39" i="8"/>
  <c r="G39" i="13" s="1"/>
  <c r="J251" i="8"/>
  <c r="K251" i="8"/>
  <c r="BM270" i="12"/>
  <c r="BM269" i="12"/>
  <c r="K321" i="8"/>
  <c r="J321" i="8"/>
  <c r="AC159" i="13"/>
  <c r="AG159" i="13" s="1"/>
  <c r="AG184" i="13"/>
  <c r="AC111" i="13"/>
  <c r="AG111" i="13" s="1"/>
  <c r="AC52" i="13"/>
  <c r="AF52" i="13"/>
  <c r="BJ266" i="12"/>
  <c r="P143" i="8"/>
  <c r="AP42" i="8"/>
  <c r="D42" i="13"/>
  <c r="AH42" i="8"/>
  <c r="F42" i="13" s="1"/>
  <c r="AM42" i="8"/>
  <c r="AQ42" i="8"/>
  <c r="BF230" i="12"/>
  <c r="K245" i="8"/>
  <c r="J245" i="8"/>
  <c r="J298" i="8"/>
  <c r="K298" i="8"/>
  <c r="K284" i="8"/>
  <c r="J284" i="8"/>
  <c r="P12" i="8"/>
  <c r="J259" i="8"/>
  <c r="K259" i="8"/>
  <c r="K317" i="8"/>
  <c r="J317" i="8"/>
  <c r="BH267" i="12"/>
  <c r="AM232" i="12"/>
  <c r="AN175" i="8"/>
  <c r="AI175" i="8"/>
  <c r="G175" i="13" s="1"/>
  <c r="P17" i="8"/>
  <c r="AC131" i="13"/>
  <c r="AG131" i="13" s="1"/>
  <c r="AC35" i="13"/>
  <c r="AG35" i="13" s="1"/>
  <c r="AJ220" i="13"/>
  <c r="AN220" i="13" s="1"/>
  <c r="AI220" i="13"/>
  <c r="P55" i="8"/>
  <c r="AD164" i="8"/>
  <c r="AF164" i="8"/>
  <c r="K273" i="8"/>
  <c r="J273" i="8"/>
  <c r="K297" i="8"/>
  <c r="J297" i="8"/>
  <c r="AC123" i="13"/>
  <c r="AF123" i="13"/>
  <c r="AK53" i="13"/>
  <c r="AQ51" i="13"/>
  <c r="BJ51" i="13"/>
  <c r="BE51" i="13"/>
  <c r="BB51" i="13"/>
  <c r="BK133" i="13"/>
  <c r="BF133" i="13"/>
  <c r="D48" i="13"/>
  <c r="AH48" i="8"/>
  <c r="F48" i="13" s="1"/>
  <c r="AP48" i="8"/>
  <c r="AM48" i="8"/>
  <c r="AQ48" i="8"/>
  <c r="BF53" i="13"/>
  <c r="BK53" i="13"/>
  <c r="P27" i="8"/>
  <c r="P24" i="8"/>
  <c r="BH307" i="12"/>
  <c r="BM307" i="12"/>
  <c r="AC212" i="13"/>
  <c r="AG212" i="13" s="1"/>
  <c r="AC183" i="13"/>
  <c r="AG183" i="13" s="1"/>
  <c r="J322" i="8"/>
  <c r="K322" i="8"/>
  <c r="K227" i="8"/>
  <c r="J227" i="8"/>
  <c r="AC89" i="13"/>
  <c r="AG89" i="13" s="1"/>
  <c r="BF161" i="13"/>
  <c r="BK161" i="13"/>
  <c r="AJ118" i="13"/>
  <c r="AN118" i="13" s="1"/>
  <c r="AI118" i="13"/>
  <c r="BF92" i="13"/>
  <c r="BK92" i="13"/>
  <c r="BJ285" i="12"/>
  <c r="AH20" i="8"/>
  <c r="F20" i="13" s="1"/>
  <c r="AM20" i="8"/>
  <c r="AP20" i="8"/>
  <c r="D20" i="13"/>
  <c r="AQ20" i="8"/>
  <c r="BJ186" i="13"/>
  <c r="BB186" i="13"/>
  <c r="BE186" i="13"/>
  <c r="AQ186" i="13"/>
  <c r="AC49" i="13"/>
  <c r="AG49" i="13" s="1"/>
  <c r="K281" i="8"/>
  <c r="J281" i="8"/>
  <c r="P14" i="8"/>
  <c r="AJ127" i="13"/>
  <c r="AN127" i="13" s="1"/>
  <c r="AI127" i="13"/>
  <c r="AC85" i="13"/>
  <c r="AF85" i="13"/>
  <c r="P144" i="8"/>
  <c r="AA132" i="13"/>
  <c r="AC132" i="13" s="1"/>
  <c r="AG132" i="13" s="1"/>
  <c r="L145" i="13"/>
  <c r="K145" i="13"/>
  <c r="S145" i="13"/>
  <c r="P171" i="8"/>
  <c r="BE297" i="12"/>
  <c r="BB297" i="12"/>
  <c r="BJ297" i="12"/>
  <c r="AM307" i="12"/>
  <c r="T62" i="8"/>
  <c r="K279" i="8"/>
  <c r="J279" i="8"/>
  <c r="X19" i="8"/>
  <c r="AM9" i="12"/>
  <c r="BE222" i="12"/>
  <c r="BE9" i="12" s="1"/>
  <c r="BB222" i="12"/>
  <c r="BB9" i="12" s="1"/>
  <c r="AY9" i="12"/>
  <c r="AC94" i="13"/>
  <c r="AF94" i="13"/>
  <c r="BM101" i="12"/>
  <c r="P102" i="8"/>
  <c r="BM286" i="12"/>
  <c r="AF162" i="8"/>
  <c r="AD162" i="8"/>
  <c r="BE321" i="12"/>
  <c r="BB321" i="12"/>
  <c r="AM325" i="12"/>
  <c r="AA209" i="8"/>
  <c r="AB209" i="8" s="1"/>
  <c r="J286" i="8"/>
  <c r="K286" i="8"/>
  <c r="P31" i="8"/>
  <c r="AI214" i="13"/>
  <c r="AJ214" i="13"/>
  <c r="AN214" i="13" s="1"/>
  <c r="AJ219" i="13"/>
  <c r="AN219" i="13" s="1"/>
  <c r="AI219" i="13"/>
  <c r="S29" i="13"/>
  <c r="L29" i="13"/>
  <c r="K29" i="13"/>
  <c r="AN29" i="8"/>
  <c r="AI29" i="8"/>
  <c r="G29" i="13" s="1"/>
  <c r="N22" i="31"/>
  <c r="N23" i="31" s="1"/>
  <c r="L106" i="13"/>
  <c r="S106" i="13"/>
  <c r="K106" i="13"/>
  <c r="P142" i="8"/>
  <c r="AC70" i="13"/>
  <c r="AG70" i="13" s="1"/>
  <c r="AN37" i="8"/>
  <c r="AI37" i="8"/>
  <c r="G37" i="13" s="1"/>
  <c r="K252" i="8"/>
  <c r="J252" i="8"/>
  <c r="K318" i="8"/>
  <c r="J318" i="8"/>
  <c r="AI208" i="13"/>
  <c r="AJ208" i="13"/>
  <c r="AN208" i="13" s="1"/>
  <c r="BM280" i="12"/>
  <c r="AC74" i="13"/>
  <c r="AF74" i="13"/>
  <c r="P100" i="8"/>
  <c r="AM211" i="13"/>
  <c r="AK211" i="13"/>
  <c r="BE58" i="13"/>
  <c r="BJ58" i="13"/>
  <c r="AC135" i="13"/>
  <c r="AG135" i="13" s="1"/>
  <c r="K169" i="13"/>
  <c r="S169" i="13"/>
  <c r="L169" i="13"/>
  <c r="P122" i="8"/>
  <c r="AC178" i="13"/>
  <c r="AG178" i="13" s="1"/>
  <c r="AC147" i="13"/>
  <c r="AG147" i="13" s="1"/>
  <c r="AH112" i="8"/>
  <c r="F112" i="13" s="1"/>
  <c r="AP112" i="8"/>
  <c r="D112" i="13"/>
  <c r="AM112" i="8"/>
  <c r="AQ112" i="8"/>
  <c r="AI91" i="13"/>
  <c r="AJ91" i="13"/>
  <c r="AN91" i="13" s="1"/>
  <c r="BM282" i="12"/>
  <c r="BF284" i="12"/>
  <c r="AN290" i="12"/>
  <c r="BF258" i="12"/>
  <c r="BK258" i="12"/>
  <c r="AC87" i="13"/>
  <c r="AG87" i="13" s="1"/>
  <c r="BM268" i="12"/>
  <c r="AC180" i="13"/>
  <c r="AG180" i="13" s="1"/>
  <c r="K310" i="8"/>
  <c r="J310" i="8"/>
  <c r="AQ222" i="12"/>
  <c r="AH146" i="8"/>
  <c r="F146" i="13" s="1"/>
  <c r="AM146" i="8"/>
  <c r="AP146" i="8"/>
  <c r="D146" i="13"/>
  <c r="AQ146" i="8"/>
  <c r="E47" i="30"/>
  <c r="L71" i="13"/>
  <c r="S71" i="13"/>
  <c r="K71" i="13"/>
  <c r="AN71" i="8"/>
  <c r="AI71" i="8"/>
  <c r="G71" i="13" s="1"/>
  <c r="AI88" i="8"/>
  <c r="G88" i="13" s="1"/>
  <c r="AN88" i="8"/>
  <c r="P120" i="8"/>
  <c r="AC97" i="13"/>
  <c r="AG97" i="13" s="1"/>
  <c r="BJ227" i="12"/>
  <c r="AJ110" i="13"/>
  <c r="AN110" i="13" s="1"/>
  <c r="AI110" i="13"/>
  <c r="AM110" i="13" s="1"/>
  <c r="S175" i="13"/>
  <c r="K175" i="13"/>
  <c r="L175" i="13"/>
  <c r="AI130" i="8"/>
  <c r="G130" i="13" s="1"/>
  <c r="AN130" i="8"/>
  <c r="BM288" i="12"/>
  <c r="AC202" i="13"/>
  <c r="AG202" i="13" s="1"/>
  <c r="AC40" i="13"/>
  <c r="AG40" i="13" s="1"/>
  <c r="AA99" i="13"/>
  <c r="AC99" i="13" s="1"/>
  <c r="AG99" i="13" s="1"/>
  <c r="AC150" i="13"/>
  <c r="AG150" i="13" s="1"/>
  <c r="AC134" i="13"/>
  <c r="AG134" i="13" s="1"/>
  <c r="AJ96" i="13"/>
  <c r="AN96" i="13" s="1"/>
  <c r="AI96" i="13"/>
  <c r="BM240" i="12"/>
  <c r="BH240" i="12"/>
  <c r="AC57" i="13"/>
  <c r="AG57" i="13" s="1"/>
  <c r="AJ107" i="13"/>
  <c r="AN107" i="13" s="1"/>
  <c r="AI107" i="13"/>
  <c r="AC177" i="13"/>
  <c r="AG177" i="13" s="1"/>
  <c r="K313" i="8"/>
  <c r="J313" i="8"/>
  <c r="P81" i="8"/>
  <c r="J311" i="8"/>
  <c r="K311" i="8"/>
  <c r="J237" i="8"/>
  <c r="K237" i="8"/>
  <c r="BK129" i="13"/>
  <c r="BF129" i="13"/>
  <c r="BF51" i="13"/>
  <c r="BK51" i="13"/>
  <c r="AQ53" i="13"/>
  <c r="BB53" i="13"/>
  <c r="BJ53" i="13"/>
  <c r="BE53" i="13"/>
  <c r="K238" i="8"/>
  <c r="J238" i="8"/>
  <c r="AC136" i="13"/>
  <c r="AG136" i="13" s="1"/>
  <c r="AJ83" i="13"/>
  <c r="AN83" i="13" s="1"/>
  <c r="AI83" i="13"/>
  <c r="AM83" i="13" s="1"/>
  <c r="BM273" i="12"/>
  <c r="P210" i="8"/>
  <c r="AC63" i="13"/>
  <c r="AF63" i="13"/>
  <c r="K314" i="8"/>
  <c r="J314" i="8"/>
  <c r="AC181" i="13"/>
  <c r="AG181" i="13" s="1"/>
  <c r="AD36" i="8"/>
  <c r="AF36" i="8"/>
  <c r="K301" i="8"/>
  <c r="J301" i="8"/>
  <c r="P56" i="8"/>
  <c r="J299" i="8"/>
  <c r="K299" i="8"/>
  <c r="K264" i="8"/>
  <c r="J264" i="8"/>
  <c r="D275" i="8"/>
  <c r="AI199" i="13"/>
  <c r="AJ199" i="13"/>
  <c r="AN199" i="13" s="1"/>
  <c r="AI192" i="8"/>
  <c r="G192" i="13" s="1"/>
  <c r="AN192" i="8"/>
  <c r="K236" i="8"/>
  <c r="J236" i="8"/>
  <c r="J294" i="8"/>
  <c r="K294" i="8"/>
  <c r="AA166" i="13"/>
  <c r="AC166" i="13" s="1"/>
  <c r="AG166" i="13" s="1"/>
  <c r="BJ287" i="12"/>
  <c r="AC207" i="13"/>
  <c r="AG207" i="13" s="1"/>
  <c r="BM283" i="12"/>
  <c r="BM281" i="12"/>
  <c r="K295" i="8"/>
  <c r="J295" i="8"/>
  <c r="BF222" i="12"/>
  <c r="BF9" i="12" s="1"/>
  <c r="AZ9" i="12"/>
  <c r="AN9" i="12"/>
  <c r="BK204" i="13"/>
  <c r="BM279" i="12"/>
  <c r="J101" i="8"/>
  <c r="W101" i="8" s="1"/>
  <c r="K101" i="8"/>
  <c r="J249" i="8"/>
  <c r="K249" i="8"/>
  <c r="K240" i="8"/>
  <c r="J240" i="8"/>
  <c r="P13" i="8"/>
  <c r="AM32" i="13"/>
  <c r="AK32" i="13"/>
  <c r="BJ113" i="13"/>
  <c r="BE113" i="13"/>
  <c r="AQ113" i="13"/>
  <c r="BB113" i="13"/>
  <c r="AM160" i="8"/>
  <c r="D160" i="13"/>
  <c r="AP160" i="8"/>
  <c r="AH160" i="8"/>
  <c r="F160" i="13" s="1"/>
  <c r="AQ160" i="8"/>
  <c r="AC163" i="13"/>
  <c r="AG163" i="13" s="1"/>
  <c r="BB284" i="12"/>
  <c r="BE284" i="12"/>
  <c r="AM290" i="12"/>
  <c r="D47" i="30"/>
  <c r="AY4" i="12"/>
  <c r="G41" i="4" s="1"/>
  <c r="D32" i="30"/>
  <c r="AY5" i="12"/>
  <c r="G42" i="4" s="1"/>
  <c r="P18" i="8"/>
  <c r="AC168" i="13"/>
  <c r="AG168" i="13" s="1"/>
  <c r="AC28" i="13"/>
  <c r="AG28" i="13" s="1"/>
  <c r="N19" i="31"/>
  <c r="K255" i="8"/>
  <c r="J255" i="8"/>
  <c r="AC34" i="13"/>
  <c r="AG34" i="13" s="1"/>
  <c r="AC50" i="13"/>
  <c r="AG50" i="13" s="1"/>
  <c r="AI137" i="13"/>
  <c r="AJ137" i="13"/>
  <c r="AN137" i="13" s="1"/>
  <c r="BK211" i="13"/>
  <c r="BF211" i="13"/>
  <c r="AM190" i="13"/>
  <c r="AK190" i="13"/>
  <c r="BK203" i="13"/>
  <c r="BF203" i="13"/>
  <c r="AI169" i="8"/>
  <c r="G169" i="13" s="1"/>
  <c r="AN169" i="8"/>
  <c r="AC126" i="13"/>
  <c r="AG126" i="13" s="1"/>
  <c r="BJ267" i="12"/>
  <c r="P182" i="8"/>
  <c r="AC154" i="13"/>
  <c r="AG154" i="13" s="1"/>
  <c r="AI59" i="13"/>
  <c r="AJ59" i="13"/>
  <c r="AN59" i="13" s="1"/>
  <c r="AM43" i="8"/>
  <c r="AP43" i="8"/>
  <c r="D43" i="13"/>
  <c r="AH43" i="8"/>
  <c r="F43" i="13" s="1"/>
  <c r="AQ43" i="8"/>
  <c r="AN276" i="12"/>
  <c r="BB276" i="12" s="1"/>
  <c r="BF266" i="12"/>
  <c r="AN217" i="8"/>
  <c r="AI217" i="8"/>
  <c r="G217" i="13" s="1"/>
  <c r="AC176" i="13"/>
  <c r="AG176" i="13" s="1"/>
  <c r="BK227" i="12"/>
  <c r="BK297" i="12"/>
  <c r="BF297" i="12"/>
  <c r="AN307" i="12"/>
  <c r="BM274" i="12"/>
  <c r="P172" i="8"/>
  <c r="J315" i="8"/>
  <c r="K315" i="8"/>
  <c r="P23" i="8"/>
  <c r="K235" i="8"/>
  <c r="J235" i="8"/>
  <c r="J293" i="8"/>
  <c r="K293" i="8"/>
  <c r="D306" i="8"/>
  <c r="L88" i="13"/>
  <c r="S88" i="13"/>
  <c r="K88" i="13"/>
  <c r="K250" i="8"/>
  <c r="J250" i="8"/>
  <c r="BM41" i="12"/>
  <c r="K269" i="8"/>
  <c r="J269" i="8"/>
  <c r="AC79" i="13"/>
  <c r="AG79" i="13" s="1"/>
  <c r="AC189" i="13"/>
  <c r="AG189" i="13" s="1"/>
  <c r="AI194" i="13"/>
  <c r="AJ194" i="13"/>
  <c r="AN194" i="13" s="1"/>
  <c r="L130" i="13"/>
  <c r="K130" i="13"/>
  <c r="S130" i="13"/>
  <c r="AC84" i="13"/>
  <c r="AG84" i="13" s="1"/>
  <c r="AC149" i="13"/>
  <c r="AG149" i="13" s="1"/>
  <c r="N21" i="31"/>
  <c r="BJ276" i="12"/>
  <c r="BE276" i="12"/>
  <c r="BM265" i="12"/>
  <c r="AC44" i="13"/>
  <c r="AF44" i="13"/>
  <c r="S157" i="13"/>
  <c r="L157" i="13"/>
  <c r="K157" i="13"/>
  <c r="AI165" i="8"/>
  <c r="G165" i="13" s="1"/>
  <c r="AN165" i="8"/>
  <c r="BM30" i="12"/>
  <c r="BH313" i="12"/>
  <c r="BM313" i="12"/>
  <c r="AI86" i="13"/>
  <c r="AJ86" i="13"/>
  <c r="AN86" i="13" s="1"/>
  <c r="J246" i="8"/>
  <c r="K246" i="8"/>
  <c r="AD195" i="8"/>
  <c r="AF195" i="8"/>
  <c r="P22" i="8"/>
  <c r="AC170" i="13"/>
  <c r="AG170" i="13" s="1"/>
  <c r="AC200" i="13"/>
  <c r="AG200" i="13" s="1"/>
  <c r="BE129" i="13"/>
  <c r="AQ129" i="13"/>
  <c r="BB129" i="13"/>
  <c r="BJ129" i="13"/>
  <c r="AN325" i="12"/>
  <c r="AK72" i="13" l="1"/>
  <c r="AJ76" i="13"/>
  <c r="AN76" i="13" s="1"/>
  <c r="AK204" i="13"/>
  <c r="AG125" i="13"/>
  <c r="AI125" i="13" s="1"/>
  <c r="AK216" i="13"/>
  <c r="AK93" i="13"/>
  <c r="AQ58" i="13"/>
  <c r="BH58" i="13" s="1"/>
  <c r="AK115" i="13"/>
  <c r="AG167" i="13"/>
  <c r="AJ167" i="13" s="1"/>
  <c r="AN167" i="13" s="1"/>
  <c r="AG63" i="13"/>
  <c r="AI63" i="13" s="1"/>
  <c r="AM63" i="13" s="1"/>
  <c r="AG74" i="13"/>
  <c r="AI74" i="13" s="1"/>
  <c r="AM74" i="13" s="1"/>
  <c r="AG52" i="13"/>
  <c r="AI52" i="13" s="1"/>
  <c r="AG69" i="13"/>
  <c r="AJ69" i="13" s="1"/>
  <c r="AN69" i="13" s="1"/>
  <c r="AG75" i="13"/>
  <c r="AI75" i="13" s="1"/>
  <c r="AM75" i="13" s="1"/>
  <c r="AK199" i="13"/>
  <c r="AG123" i="13"/>
  <c r="AJ123" i="13" s="1"/>
  <c r="AN123" i="13" s="1"/>
  <c r="AJ99" i="13"/>
  <c r="AN99" i="13" s="1"/>
  <c r="AI99" i="13"/>
  <c r="AI132" i="13"/>
  <c r="AM132" i="13" s="1"/>
  <c r="AJ132" i="13"/>
  <c r="AN132" i="13" s="1"/>
  <c r="AI158" i="13"/>
  <c r="AM158" i="13" s="1"/>
  <c r="AJ158" i="13"/>
  <c r="AN158" i="13" s="1"/>
  <c r="AI79" i="13"/>
  <c r="AJ79" i="13"/>
  <c r="AN79" i="13" s="1"/>
  <c r="BK325" i="12"/>
  <c r="BF325" i="12"/>
  <c r="T22" i="8"/>
  <c r="AG44" i="13"/>
  <c r="AI84" i="13"/>
  <c r="AJ84" i="13"/>
  <c r="AN84" i="13" s="1"/>
  <c r="AC130" i="13"/>
  <c r="AG130" i="13" s="1"/>
  <c r="AM194" i="13"/>
  <c r="AK194" i="13"/>
  <c r="AA88" i="13"/>
  <c r="AC88" i="13" s="1"/>
  <c r="AG88" i="13" s="1"/>
  <c r="T23" i="8"/>
  <c r="T172" i="8"/>
  <c r="L43" i="13"/>
  <c r="K43" i="13"/>
  <c r="S43" i="13"/>
  <c r="AM59" i="13"/>
  <c r="AK59" i="13"/>
  <c r="AQ190" i="13"/>
  <c r="BE190" i="13"/>
  <c r="BB190" i="13"/>
  <c r="BJ190" i="13"/>
  <c r="AI168" i="13"/>
  <c r="AJ168" i="13"/>
  <c r="AN168" i="13" s="1"/>
  <c r="D33" i="30"/>
  <c r="BJ284" i="12"/>
  <c r="AJ163" i="13"/>
  <c r="AN163" i="13" s="1"/>
  <c r="AI163" i="13"/>
  <c r="S160" i="13"/>
  <c r="L160" i="13"/>
  <c r="K160" i="13"/>
  <c r="D113" i="9"/>
  <c r="BH113" i="13"/>
  <c r="BJ83" i="13"/>
  <c r="AQ83" i="13"/>
  <c r="BB83" i="13"/>
  <c r="BE83" i="13"/>
  <c r="AJ202" i="13"/>
  <c r="AN202" i="13" s="1"/>
  <c r="AI202" i="13"/>
  <c r="BK110" i="13"/>
  <c r="BF110" i="13"/>
  <c r="T120" i="8"/>
  <c r="AC71" i="13"/>
  <c r="AF71" i="13"/>
  <c r="AI146" i="8"/>
  <c r="G146" i="13" s="1"/>
  <c r="AN146" i="8"/>
  <c r="AQ9" i="12"/>
  <c r="BH222" i="12"/>
  <c r="BH9" i="12" s="1"/>
  <c r="AC169" i="13"/>
  <c r="AF169" i="13"/>
  <c r="T100" i="8"/>
  <c r="BF208" i="13"/>
  <c r="BK208" i="13"/>
  <c r="BK76" i="13"/>
  <c r="BF76" i="13"/>
  <c r="T31" i="8"/>
  <c r="AB306" i="8"/>
  <c r="AB289" i="8"/>
  <c r="AQ5" i="12"/>
  <c r="G33" i="4" s="1"/>
  <c r="BJ307" i="12"/>
  <c r="BB307" i="12"/>
  <c r="BE307" i="12"/>
  <c r="AC145" i="13"/>
  <c r="AF145" i="13"/>
  <c r="AI20" i="8"/>
  <c r="G20" i="13" s="1"/>
  <c r="AN20" i="8"/>
  <c r="AI89" i="13"/>
  <c r="AJ89" i="13"/>
  <c r="AN89" i="13" s="1"/>
  <c r="AJ212" i="13"/>
  <c r="AN212" i="13" s="1"/>
  <c r="AI212" i="13"/>
  <c r="T27" i="8"/>
  <c r="AN48" i="8"/>
  <c r="AI48" i="8"/>
  <c r="G48" i="13" s="1"/>
  <c r="BB232" i="12"/>
  <c r="BE232" i="12"/>
  <c r="S42" i="13"/>
  <c r="K42" i="13"/>
  <c r="L42" i="13"/>
  <c r="BM285" i="12"/>
  <c r="T139" i="8"/>
  <c r="BH290" i="12"/>
  <c r="BM290" i="12"/>
  <c r="AJ153" i="13"/>
  <c r="AN153" i="13" s="1"/>
  <c r="AI153" i="13"/>
  <c r="AI155" i="13"/>
  <c r="AJ155" i="13"/>
  <c r="AN155" i="13" s="1"/>
  <c r="AM199" i="13"/>
  <c r="D133" i="9"/>
  <c r="BH133" i="13"/>
  <c r="AI103" i="8"/>
  <c r="G103" i="13" s="1"/>
  <c r="AN103" i="8"/>
  <c r="P30" i="8"/>
  <c r="AC165" i="13"/>
  <c r="AF165" i="13"/>
  <c r="BF206" i="13"/>
  <c r="BK206" i="13"/>
  <c r="K266" i="8"/>
  <c r="J266" i="8"/>
  <c r="BF119" i="13"/>
  <c r="BK119" i="13"/>
  <c r="AJ140" i="13"/>
  <c r="AN140" i="13" s="1"/>
  <c r="AI140" i="13"/>
  <c r="AJ218" i="13"/>
  <c r="AN218" i="13" s="1"/>
  <c r="AI218" i="13"/>
  <c r="AA185" i="9"/>
  <c r="AB185" i="9" s="1"/>
  <c r="AJ116" i="13"/>
  <c r="AN116" i="13" s="1"/>
  <c r="AI116" i="13"/>
  <c r="AI193" i="13"/>
  <c r="AJ193" i="13"/>
  <c r="AN193" i="13" s="1"/>
  <c r="BK25" i="13"/>
  <c r="BF25" i="13"/>
  <c r="AI156" i="13"/>
  <c r="AJ156" i="13"/>
  <c r="AN156" i="13" s="1"/>
  <c r="AB261" i="8"/>
  <c r="AI61" i="13"/>
  <c r="AJ61" i="13"/>
  <c r="AN61" i="13" s="1"/>
  <c r="BJ230" i="12"/>
  <c r="T38" i="8"/>
  <c r="T15" i="8"/>
  <c r="AM121" i="13"/>
  <c r="AK121" i="13"/>
  <c r="T128" i="8"/>
  <c r="AJ46" i="13"/>
  <c r="AN46" i="13" s="1"/>
  <c r="AI46" i="13"/>
  <c r="AJ117" i="13"/>
  <c r="AN117" i="13" s="1"/>
  <c r="AI117" i="13"/>
  <c r="BF45" i="13"/>
  <c r="BK45" i="13"/>
  <c r="BK115" i="13"/>
  <c r="BF115" i="13"/>
  <c r="BE93" i="13"/>
  <c r="BJ93" i="13"/>
  <c r="AQ93" i="13"/>
  <c r="BB93" i="13"/>
  <c r="AK95" i="13"/>
  <c r="AK83" i="13"/>
  <c r="BE205" i="13"/>
  <c r="BJ205" i="13"/>
  <c r="K306" i="8"/>
  <c r="J306" i="8"/>
  <c r="AA129" i="9"/>
  <c r="AB129" i="9" s="1"/>
  <c r="BK86" i="13"/>
  <c r="BF86" i="13"/>
  <c r="AB231" i="8"/>
  <c r="D8" i="8"/>
  <c r="J222" i="8"/>
  <c r="J8" i="8" s="1"/>
  <c r="BF307" i="12"/>
  <c r="BK307" i="12"/>
  <c r="AJ176" i="13"/>
  <c r="AN176" i="13" s="1"/>
  <c r="AI176" i="13"/>
  <c r="BK266" i="12"/>
  <c r="BF276" i="12"/>
  <c r="BK276" i="12"/>
  <c r="AI34" i="13"/>
  <c r="AJ34" i="13"/>
  <c r="AN34" i="13" s="1"/>
  <c r="T13" i="8"/>
  <c r="P101" i="8"/>
  <c r="BK222" i="12"/>
  <c r="BK9" i="12" s="1"/>
  <c r="AT9" i="12"/>
  <c r="T210" i="8"/>
  <c r="BF83" i="13"/>
  <c r="BK83" i="13"/>
  <c r="T81" i="8"/>
  <c r="AI177" i="13"/>
  <c r="AJ177" i="13"/>
  <c r="AN177" i="13" s="1"/>
  <c r="AJ57" i="13"/>
  <c r="AN57" i="13" s="1"/>
  <c r="AI57" i="13"/>
  <c r="AM96" i="13"/>
  <c r="AK96" i="13"/>
  <c r="AI134" i="13"/>
  <c r="AJ134" i="13"/>
  <c r="AN134" i="13" s="1"/>
  <c r="AJ150" i="13"/>
  <c r="AN150" i="13" s="1"/>
  <c r="AI150" i="13"/>
  <c r="AI97" i="13"/>
  <c r="AJ97" i="13"/>
  <c r="AN97" i="13" s="1"/>
  <c r="AI180" i="13"/>
  <c r="AJ180" i="13"/>
  <c r="AN180" i="13" s="1"/>
  <c r="BF91" i="13"/>
  <c r="BK91" i="13"/>
  <c r="K112" i="13"/>
  <c r="S112" i="13"/>
  <c r="L112" i="13"/>
  <c r="AI147" i="13"/>
  <c r="AJ147" i="13"/>
  <c r="AN147" i="13" s="1"/>
  <c r="T122" i="8"/>
  <c r="AM208" i="13"/>
  <c r="AK208" i="13"/>
  <c r="AC106" i="13"/>
  <c r="AF106" i="13"/>
  <c r="AC29" i="13"/>
  <c r="AF29" i="13"/>
  <c r="BK214" i="13"/>
  <c r="BF214" i="13"/>
  <c r="BE325" i="12"/>
  <c r="BB325" i="12"/>
  <c r="BJ325" i="12"/>
  <c r="AH162" i="8"/>
  <c r="F162" i="13" s="1"/>
  <c r="AM162" i="8"/>
  <c r="D162" i="13"/>
  <c r="AP162" i="8"/>
  <c r="AQ162" i="8"/>
  <c r="AG94" i="13"/>
  <c r="BJ222" i="12"/>
  <c r="BJ9" i="12" s="1"/>
  <c r="AS9" i="12"/>
  <c r="AG85" i="13"/>
  <c r="D186" i="9"/>
  <c r="BH186" i="13"/>
  <c r="K20" i="13"/>
  <c r="S20" i="13"/>
  <c r="L20" i="13"/>
  <c r="AM118" i="13"/>
  <c r="AK118" i="13"/>
  <c r="T24" i="8"/>
  <c r="T55" i="8"/>
  <c r="AI35" i="13"/>
  <c r="AJ35" i="13"/>
  <c r="AN35" i="13" s="1"/>
  <c r="BM267" i="12"/>
  <c r="T12" i="8"/>
  <c r="AJ159" i="13"/>
  <c r="AN159" i="13" s="1"/>
  <c r="AI159" i="13"/>
  <c r="K296" i="8"/>
  <c r="J296" i="8"/>
  <c r="AI151" i="8"/>
  <c r="G151" i="13" s="1"/>
  <c r="AN151" i="8"/>
  <c r="AC187" i="13"/>
  <c r="AF187" i="13"/>
  <c r="AA133" i="9"/>
  <c r="AB133" i="9" s="1"/>
  <c r="AJ47" i="13"/>
  <c r="AN47" i="13" s="1"/>
  <c r="AI47" i="13"/>
  <c r="K239" i="8"/>
  <c r="J239" i="8"/>
  <c r="BH266" i="12"/>
  <c r="AQ276" i="12"/>
  <c r="AM206" i="13"/>
  <c r="AK206" i="13"/>
  <c r="AM119" i="13"/>
  <c r="AK119" i="13"/>
  <c r="AJ64" i="13"/>
  <c r="AN64" i="13" s="1"/>
  <c r="AI64" i="13"/>
  <c r="T21" i="8"/>
  <c r="AI60" i="13"/>
  <c r="AJ60" i="13"/>
  <c r="AN60" i="13" s="1"/>
  <c r="BM230" i="12"/>
  <c r="BH230" i="12"/>
  <c r="BH258" i="12"/>
  <c r="BM258" i="12"/>
  <c r="AQ262" i="12"/>
  <c r="AI152" i="13"/>
  <c r="AJ152" i="13"/>
  <c r="AN152" i="13" s="1"/>
  <c r="AI104" i="13"/>
  <c r="AJ104" i="13"/>
  <c r="AN104" i="13" s="1"/>
  <c r="AJ114" i="13"/>
  <c r="AN114" i="13" s="1"/>
  <c r="AI114" i="13"/>
  <c r="BF121" i="13"/>
  <c r="BK121" i="13"/>
  <c r="AM188" i="13"/>
  <c r="AK188" i="13"/>
  <c r="AQ232" i="12"/>
  <c r="T26" i="8"/>
  <c r="BK216" i="13"/>
  <c r="BF216" i="13"/>
  <c r="BK196" i="13"/>
  <c r="BF196" i="13"/>
  <c r="AJ200" i="13"/>
  <c r="AN200" i="13" s="1"/>
  <c r="AI200" i="13"/>
  <c r="AI170" i="13"/>
  <c r="AJ170" i="13"/>
  <c r="AN170" i="13" s="1"/>
  <c r="AI189" i="13"/>
  <c r="AJ189" i="13"/>
  <c r="AN189" i="13" s="1"/>
  <c r="D129" i="9"/>
  <c r="BH129" i="13"/>
  <c r="AM195" i="8"/>
  <c r="D195" i="13"/>
  <c r="AH195" i="8"/>
  <c r="F195" i="13" s="1"/>
  <c r="AP195" i="8"/>
  <c r="AQ195" i="8"/>
  <c r="AM86" i="13"/>
  <c r="AK86" i="13"/>
  <c r="AC157" i="13"/>
  <c r="AF157" i="13"/>
  <c r="AJ149" i="13"/>
  <c r="AN149" i="13" s="1"/>
  <c r="AI149" i="13"/>
  <c r="AN43" i="8"/>
  <c r="AI43" i="8"/>
  <c r="G43" i="13" s="1"/>
  <c r="BF137" i="13"/>
  <c r="BK137" i="13"/>
  <c r="AI28" i="13"/>
  <c r="AJ28" i="13"/>
  <c r="AN28" i="13" s="1"/>
  <c r="AI160" i="8"/>
  <c r="G160" i="13" s="1"/>
  <c r="AN160" i="8"/>
  <c r="BJ32" i="13"/>
  <c r="BE32" i="13"/>
  <c r="AQ32" i="13"/>
  <c r="BB32" i="13"/>
  <c r="AI207" i="13"/>
  <c r="AJ207" i="13"/>
  <c r="AN207" i="13" s="1"/>
  <c r="AI166" i="13"/>
  <c r="AJ166" i="13"/>
  <c r="AN166" i="13" s="1"/>
  <c r="BK199" i="13"/>
  <c r="BF199" i="13"/>
  <c r="T56" i="8"/>
  <c r="AM36" i="8"/>
  <c r="D36" i="13"/>
  <c r="AP36" i="8"/>
  <c r="AH36" i="8"/>
  <c r="F36" i="13" s="1"/>
  <c r="AQ36" i="8"/>
  <c r="AI181" i="13"/>
  <c r="AJ181" i="13"/>
  <c r="AN181" i="13" s="1"/>
  <c r="AA53" i="9"/>
  <c r="AB53" i="9" s="1"/>
  <c r="AM107" i="13"/>
  <c r="AK107" i="13"/>
  <c r="BF96" i="13"/>
  <c r="BK96" i="13"/>
  <c r="AJ40" i="13"/>
  <c r="AN40" i="13" s="1"/>
  <c r="AI40" i="13"/>
  <c r="AC175" i="13"/>
  <c r="AF175" i="13"/>
  <c r="S146" i="13"/>
  <c r="L146" i="13"/>
  <c r="K146" i="13"/>
  <c r="BK284" i="12"/>
  <c r="AM91" i="13"/>
  <c r="AK91" i="13"/>
  <c r="AI112" i="8"/>
  <c r="G112" i="13" s="1"/>
  <c r="AN112" i="8"/>
  <c r="AA58" i="9"/>
  <c r="AB58" i="9" s="1"/>
  <c r="BJ211" i="13"/>
  <c r="AQ211" i="13"/>
  <c r="BB211" i="13"/>
  <c r="BE211" i="13"/>
  <c r="T142" i="8"/>
  <c r="AM219" i="13"/>
  <c r="AK219" i="13"/>
  <c r="AM214" i="13"/>
  <c r="AK214" i="13"/>
  <c r="BJ321" i="12"/>
  <c r="AM127" i="13"/>
  <c r="AK127" i="13"/>
  <c r="BF118" i="13"/>
  <c r="BK118" i="13"/>
  <c r="AJ183" i="13"/>
  <c r="AN183" i="13" s="1"/>
  <c r="AI183" i="13"/>
  <c r="D51" i="9"/>
  <c r="BH51" i="13"/>
  <c r="AM220" i="13"/>
  <c r="AK220" i="13"/>
  <c r="AI131" i="13"/>
  <c r="AJ131" i="13"/>
  <c r="AN131" i="13" s="1"/>
  <c r="T143" i="8"/>
  <c r="AI111" i="13"/>
  <c r="AJ111" i="13"/>
  <c r="AN111" i="13" s="1"/>
  <c r="AI184" i="13"/>
  <c r="AJ184" i="13"/>
  <c r="AN184" i="13" s="1"/>
  <c r="AI173" i="13"/>
  <c r="AJ173" i="13"/>
  <c r="AN173" i="13" s="1"/>
  <c r="K316" i="8"/>
  <c r="J316" i="8"/>
  <c r="BM287" i="12"/>
  <c r="AI68" i="13"/>
  <c r="AJ68" i="13"/>
  <c r="AN68" i="13" s="1"/>
  <c r="AJ215" i="13"/>
  <c r="AN215" i="13" s="1"/>
  <c r="AI215" i="13"/>
  <c r="AI90" i="13"/>
  <c r="AJ90" i="13"/>
  <c r="AN90" i="13" s="1"/>
  <c r="AQ95" i="13"/>
  <c r="BE95" i="13"/>
  <c r="BB95" i="13"/>
  <c r="BJ95" i="13"/>
  <c r="BB161" i="13"/>
  <c r="AQ161" i="13"/>
  <c r="BE161" i="13"/>
  <c r="BJ161" i="13"/>
  <c r="S103" i="13"/>
  <c r="K103" i="13"/>
  <c r="L103" i="13"/>
  <c r="K312" i="8"/>
  <c r="J312" i="8"/>
  <c r="AI141" i="13"/>
  <c r="AJ141" i="13"/>
  <c r="AN141" i="13" s="1"/>
  <c r="P41" i="8"/>
  <c r="AB222" i="8"/>
  <c r="AB8" i="8" s="1"/>
  <c r="T80" i="8"/>
  <c r="D185" i="9"/>
  <c r="BH185" i="13"/>
  <c r="AC217" i="13"/>
  <c r="AF217" i="13"/>
  <c r="BJ203" i="13"/>
  <c r="BE203" i="13"/>
  <c r="BB203" i="13"/>
  <c r="AQ203" i="13"/>
  <c r="AB275" i="8"/>
  <c r="AC37" i="13"/>
  <c r="AF37" i="13"/>
  <c r="AI124" i="13"/>
  <c r="AJ124" i="13"/>
  <c r="AN124" i="13" s="1"/>
  <c r="BM321" i="12"/>
  <c r="BH321" i="12"/>
  <c r="AQ325" i="12"/>
  <c r="BM209" i="12"/>
  <c r="AI191" i="13"/>
  <c r="AJ191" i="13"/>
  <c r="AN191" i="13" s="1"/>
  <c r="T33" i="8"/>
  <c r="AC66" i="13"/>
  <c r="AF66" i="13"/>
  <c r="AI197" i="13"/>
  <c r="AJ197" i="13"/>
  <c r="AN197" i="13" s="1"/>
  <c r="AI73" i="13"/>
  <c r="AJ73" i="13"/>
  <c r="AN73" i="13" s="1"/>
  <c r="AJ109" i="13"/>
  <c r="AN109" i="13" s="1"/>
  <c r="AI109" i="13"/>
  <c r="AN198" i="8"/>
  <c r="AI198" i="8"/>
  <c r="G198" i="13" s="1"/>
  <c r="BK188" i="13"/>
  <c r="BF188" i="13"/>
  <c r="BJ216" i="13"/>
  <c r="BE216" i="13"/>
  <c r="AQ216" i="13"/>
  <c r="BB216" i="13"/>
  <c r="BK232" i="12"/>
  <c r="AM105" i="13"/>
  <c r="AK105" i="13"/>
  <c r="AM196" i="13"/>
  <c r="AK196" i="13"/>
  <c r="BF194" i="13"/>
  <c r="BK194" i="13"/>
  <c r="BK59" i="13"/>
  <c r="BF59" i="13"/>
  <c r="AI154" i="13"/>
  <c r="AJ154" i="13"/>
  <c r="AN154" i="13" s="1"/>
  <c r="T182" i="8"/>
  <c r="AI126" i="13"/>
  <c r="AJ126" i="13"/>
  <c r="AN126" i="13" s="1"/>
  <c r="AM137" i="13"/>
  <c r="AK137" i="13"/>
  <c r="AJ50" i="13"/>
  <c r="AN50" i="13" s="1"/>
  <c r="AI50" i="13"/>
  <c r="T18" i="8"/>
  <c r="BJ290" i="12"/>
  <c r="BB290" i="12"/>
  <c r="BE290" i="12"/>
  <c r="AA113" i="9"/>
  <c r="AB113" i="9" s="1"/>
  <c r="K248" i="8"/>
  <c r="J248" i="8"/>
  <c r="O14" i="31"/>
  <c r="J275" i="8"/>
  <c r="K275" i="8"/>
  <c r="AJ136" i="13"/>
  <c r="AN136" i="13" s="1"/>
  <c r="AI136" i="13"/>
  <c r="D53" i="9"/>
  <c r="BH53" i="13"/>
  <c r="BF107" i="13"/>
  <c r="BK107" i="13"/>
  <c r="BJ110" i="13"/>
  <c r="AQ110" i="13"/>
  <c r="BE110" i="13"/>
  <c r="BB110" i="13"/>
  <c r="AI87" i="13"/>
  <c r="AJ87" i="13"/>
  <c r="AN87" i="13" s="1"/>
  <c r="BK290" i="12"/>
  <c r="BF290" i="12"/>
  <c r="AI178" i="13"/>
  <c r="AJ178" i="13"/>
  <c r="AN178" i="13" s="1"/>
  <c r="AI135" i="13"/>
  <c r="AJ135" i="13"/>
  <c r="AN135" i="13" s="1"/>
  <c r="AI70" i="13"/>
  <c r="AJ70" i="13"/>
  <c r="AN70" i="13" s="1"/>
  <c r="BK219" i="13"/>
  <c r="BF219" i="13"/>
  <c r="AM76" i="13"/>
  <c r="AK76" i="13"/>
  <c r="T102" i="8"/>
  <c r="N14" i="31"/>
  <c r="X62" i="8"/>
  <c r="T171" i="8"/>
  <c r="T144" i="8"/>
  <c r="BF127" i="13"/>
  <c r="BK127" i="13"/>
  <c r="T14" i="8"/>
  <c r="AI49" i="13"/>
  <c r="AJ49" i="13"/>
  <c r="AN49" i="13" s="1"/>
  <c r="AA186" i="9"/>
  <c r="AB186" i="9" s="1"/>
  <c r="K48" i="13"/>
  <c r="L48" i="13"/>
  <c r="S48" i="13"/>
  <c r="AA51" i="9"/>
  <c r="AB51" i="9" s="1"/>
  <c r="D164" i="13"/>
  <c r="AP164" i="8"/>
  <c r="AH164" i="8"/>
  <c r="F164" i="13" s="1"/>
  <c r="AM164" i="8"/>
  <c r="AQ164" i="8"/>
  <c r="BK220" i="13"/>
  <c r="BF220" i="13"/>
  <c r="T17" i="8"/>
  <c r="BK230" i="12"/>
  <c r="AI42" i="8"/>
  <c r="G42" i="13" s="1"/>
  <c r="AN42" i="8"/>
  <c r="AI54" i="13"/>
  <c r="AJ54" i="13"/>
  <c r="AN54" i="13" s="1"/>
  <c r="BK58" i="13"/>
  <c r="BF58" i="13"/>
  <c r="T174" i="8"/>
  <c r="K151" i="13"/>
  <c r="S151" i="13"/>
  <c r="L151" i="13"/>
  <c r="BK95" i="13"/>
  <c r="BF95" i="13"/>
  <c r="AA192" i="13"/>
  <c r="AC192" i="13" s="1"/>
  <c r="AG192" i="13" s="1"/>
  <c r="T65" i="8"/>
  <c r="BJ92" i="13"/>
  <c r="BE92" i="13"/>
  <c r="AQ92" i="13"/>
  <c r="BB92" i="13"/>
  <c r="T78" i="8"/>
  <c r="AJ179" i="13"/>
  <c r="AN179" i="13" s="1"/>
  <c r="AI179" i="13"/>
  <c r="K265" i="8"/>
  <c r="J265" i="8"/>
  <c r="T213" i="8"/>
  <c r="AI77" i="13"/>
  <c r="AJ77" i="13"/>
  <c r="AN77" i="13" s="1"/>
  <c r="BK321" i="12"/>
  <c r="AC39" i="13"/>
  <c r="AG39" i="13" s="1"/>
  <c r="AM25" i="13"/>
  <c r="AK25" i="13"/>
  <c r="G33" i="30"/>
  <c r="AB324" i="8"/>
  <c r="BE72" i="13"/>
  <c r="AQ72" i="13"/>
  <c r="BJ72" i="13"/>
  <c r="BB72" i="13"/>
  <c r="AI201" i="13"/>
  <c r="AJ201" i="13"/>
  <c r="AN201" i="13" s="1"/>
  <c r="BH284" i="12"/>
  <c r="J209" i="8"/>
  <c r="W209" i="8" s="1"/>
  <c r="K209" i="8"/>
  <c r="AI82" i="13"/>
  <c r="AJ82" i="13"/>
  <c r="AN82" i="13" s="1"/>
  <c r="AI148" i="13"/>
  <c r="AJ148" i="13"/>
  <c r="AN148" i="13" s="1"/>
  <c r="E34" i="30"/>
  <c r="BJ204" i="13"/>
  <c r="BB204" i="13"/>
  <c r="BE204" i="13"/>
  <c r="AQ204" i="13"/>
  <c r="AJ67" i="13"/>
  <c r="AN67" i="13" s="1"/>
  <c r="AI67" i="13"/>
  <c r="T108" i="8"/>
  <c r="S198" i="13"/>
  <c r="K198" i="13"/>
  <c r="L198" i="13"/>
  <c r="AM45" i="13"/>
  <c r="AK45" i="13"/>
  <c r="AJ98" i="13"/>
  <c r="AN98" i="13" s="1"/>
  <c r="AI98" i="13"/>
  <c r="AQ138" i="13"/>
  <c r="BJ138" i="13"/>
  <c r="BE138" i="13"/>
  <c r="BB138" i="13"/>
  <c r="AQ115" i="13"/>
  <c r="BB115" i="13"/>
  <c r="BE115" i="13"/>
  <c r="BJ115" i="13"/>
  <c r="AK110" i="13"/>
  <c r="BK93" i="13"/>
  <c r="BF93" i="13"/>
  <c r="BF105" i="13"/>
  <c r="BK105" i="13"/>
  <c r="AK205" i="13"/>
  <c r="AN205" i="13"/>
  <c r="AJ74" i="13" l="1"/>
  <c r="AN74" i="13" s="1"/>
  <c r="BF74" i="13" s="1"/>
  <c r="D58" i="9"/>
  <c r="AJ52" i="13"/>
  <c r="AN52" i="13" s="1"/>
  <c r="BF52" i="13" s="1"/>
  <c r="AJ125" i="13"/>
  <c r="AN125" i="13" s="1"/>
  <c r="BF125" i="13" s="1"/>
  <c r="AI123" i="13"/>
  <c r="AK123" i="13" s="1"/>
  <c r="AI69" i="13"/>
  <c r="AM69" i="13" s="1"/>
  <c r="BE69" i="13" s="1"/>
  <c r="AI167" i="13"/>
  <c r="AM167" i="13" s="1"/>
  <c r="BE167" i="13" s="1"/>
  <c r="AJ63" i="13"/>
  <c r="AN63" i="13" s="1"/>
  <c r="AQ63" i="13" s="1"/>
  <c r="AJ75" i="13"/>
  <c r="AK75" i="13" s="1"/>
  <c r="AK158" i="13"/>
  <c r="AK132" i="13"/>
  <c r="AG169" i="13"/>
  <c r="AI169" i="13" s="1"/>
  <c r="AM169" i="13" s="1"/>
  <c r="AG217" i="13"/>
  <c r="AJ217" i="13" s="1"/>
  <c r="AN217" i="13" s="1"/>
  <c r="AG187" i="13"/>
  <c r="AI187" i="13" s="1"/>
  <c r="AM187" i="13" s="1"/>
  <c r="AG106" i="13"/>
  <c r="AI106" i="13" s="1"/>
  <c r="AM106" i="13" s="1"/>
  <c r="AG37" i="13"/>
  <c r="AI37" i="13" s="1"/>
  <c r="AM37" i="13" s="1"/>
  <c r="BK52" i="13"/>
  <c r="BK125" i="13"/>
  <c r="BF69" i="13"/>
  <c r="BK69" i="13"/>
  <c r="BK74" i="13"/>
  <c r="BK63" i="13"/>
  <c r="E35" i="30"/>
  <c r="E36" i="30" s="1"/>
  <c r="E37" i="30" s="1"/>
  <c r="O11" i="31" s="1"/>
  <c r="J229" i="8"/>
  <c r="K229" i="8"/>
  <c r="D231" i="8"/>
  <c r="AM148" i="13"/>
  <c r="AK148" i="13"/>
  <c r="BF205" i="13"/>
  <c r="BK205" i="13"/>
  <c r="AA115" i="9"/>
  <c r="AB115" i="9" s="1"/>
  <c r="BB45" i="13"/>
  <c r="BE45" i="13"/>
  <c r="BJ45" i="13"/>
  <c r="AQ45" i="13"/>
  <c r="D204" i="9"/>
  <c r="BH204" i="13"/>
  <c r="BK82" i="13"/>
  <c r="BF82" i="13"/>
  <c r="P209" i="8"/>
  <c r="BM284" i="12"/>
  <c r="X213" i="8"/>
  <c r="AM179" i="13"/>
  <c r="AK179" i="13"/>
  <c r="BJ167" i="13"/>
  <c r="X65" i="8"/>
  <c r="AM54" i="13"/>
  <c r="AK54" i="13"/>
  <c r="AM52" i="13"/>
  <c r="K5" i="8"/>
  <c r="X17" i="8"/>
  <c r="BF49" i="13"/>
  <c r="BK49" i="13"/>
  <c r="X14" i="8"/>
  <c r="X102" i="8"/>
  <c r="AM70" i="13"/>
  <c r="AK70" i="13"/>
  <c r="BK87" i="13"/>
  <c r="BF87" i="13"/>
  <c r="D110" i="9"/>
  <c r="BH110" i="13"/>
  <c r="BF136" i="13"/>
  <c r="BK136" i="13"/>
  <c r="AM126" i="13"/>
  <c r="AK126" i="13"/>
  <c r="BK154" i="13"/>
  <c r="BF154" i="13"/>
  <c r="BB105" i="13"/>
  <c r="AQ105" i="13"/>
  <c r="BE105" i="13"/>
  <c r="BJ105" i="13"/>
  <c r="BK109" i="13"/>
  <c r="BF109" i="13"/>
  <c r="BF197" i="13"/>
  <c r="BK197" i="13"/>
  <c r="X33" i="8"/>
  <c r="D203" i="9"/>
  <c r="BH203" i="13"/>
  <c r="J185" i="9"/>
  <c r="W185" i="9" s="1"/>
  <c r="K185" i="9"/>
  <c r="AM141" i="13"/>
  <c r="AK141" i="13"/>
  <c r="AC103" i="13"/>
  <c r="AF103" i="13"/>
  <c r="D161" i="9"/>
  <c r="BH161" i="13"/>
  <c r="AM68" i="13"/>
  <c r="AK68" i="13"/>
  <c r="AM184" i="13"/>
  <c r="AK184" i="13"/>
  <c r="X143" i="8"/>
  <c r="X142" i="8"/>
  <c r="AA211" i="9"/>
  <c r="AB211" i="9" s="1"/>
  <c r="AQ91" i="13"/>
  <c r="BB91" i="13"/>
  <c r="BE91" i="13"/>
  <c r="BJ91" i="13"/>
  <c r="AG175" i="13"/>
  <c r="BK40" i="13"/>
  <c r="BF40" i="13"/>
  <c r="L36" i="13"/>
  <c r="S36" i="13"/>
  <c r="K36" i="13"/>
  <c r="AM207" i="13"/>
  <c r="AK207" i="13"/>
  <c r="AM28" i="13"/>
  <c r="AK28" i="13"/>
  <c r="BF149" i="13"/>
  <c r="BK149" i="13"/>
  <c r="AG157" i="13"/>
  <c r="BF189" i="13"/>
  <c r="BK189" i="13"/>
  <c r="X26" i="8"/>
  <c r="BB188" i="13"/>
  <c r="AQ188" i="13"/>
  <c r="BJ188" i="13"/>
  <c r="BE188" i="13"/>
  <c r="BK114" i="13"/>
  <c r="BF114" i="13"/>
  <c r="AM104" i="13"/>
  <c r="AK104" i="13"/>
  <c r="AM64" i="13"/>
  <c r="AK64" i="13"/>
  <c r="BM266" i="12"/>
  <c r="BF47" i="13"/>
  <c r="BK47" i="13"/>
  <c r="AC20" i="13"/>
  <c r="AF20" i="13"/>
  <c r="AI85" i="13"/>
  <c r="AM85" i="13" s="1"/>
  <c r="AJ85" i="13"/>
  <c r="N20" i="31"/>
  <c r="AG29" i="13"/>
  <c r="BK147" i="13"/>
  <c r="BF147" i="13"/>
  <c r="BK97" i="13"/>
  <c r="BF97" i="13"/>
  <c r="BF134" i="13"/>
  <c r="BK134" i="13"/>
  <c r="AM57" i="13"/>
  <c r="AK57" i="13"/>
  <c r="X210" i="8"/>
  <c r="AM34" i="13"/>
  <c r="AK34" i="13"/>
  <c r="AK7" i="8"/>
  <c r="BF46" i="13"/>
  <c r="BK46" i="13"/>
  <c r="BF156" i="13"/>
  <c r="BK156" i="13"/>
  <c r="AM193" i="13"/>
  <c r="AK193" i="13"/>
  <c r="AM116" i="13"/>
  <c r="AK116" i="13"/>
  <c r="BK140" i="13"/>
  <c r="BF140" i="13"/>
  <c r="AG165" i="13"/>
  <c r="BM133" i="13"/>
  <c r="BB199" i="13"/>
  <c r="BE199" i="13"/>
  <c r="AQ199" i="13"/>
  <c r="BJ199" i="13"/>
  <c r="BF153" i="13"/>
  <c r="BK153" i="13"/>
  <c r="BJ232" i="12"/>
  <c r="X27" i="8"/>
  <c r="AM212" i="13"/>
  <c r="AK212" i="13"/>
  <c r="X100" i="8"/>
  <c r="AW9" i="12"/>
  <c r="BM222" i="12"/>
  <c r="BM9" i="12" s="1"/>
  <c r="BM113" i="13"/>
  <c r="AC160" i="13"/>
  <c r="AF160" i="13"/>
  <c r="BK168" i="13"/>
  <c r="BF168" i="13"/>
  <c r="AC43" i="13"/>
  <c r="AF43" i="13"/>
  <c r="X172" i="8"/>
  <c r="BE194" i="13"/>
  <c r="BB194" i="13"/>
  <c r="BJ194" i="13"/>
  <c r="AQ194" i="13"/>
  <c r="AM84" i="13"/>
  <c r="AK84" i="13"/>
  <c r="BK79" i="13"/>
  <c r="BF79" i="13"/>
  <c r="BK158" i="13"/>
  <c r="BF158" i="13"/>
  <c r="AM98" i="13"/>
  <c r="AK98" i="13"/>
  <c r="BJ25" i="13"/>
  <c r="BB25" i="13"/>
  <c r="AQ25" i="13"/>
  <c r="BE25" i="13"/>
  <c r="BK179" i="13"/>
  <c r="BF179" i="13"/>
  <c r="AA92" i="9"/>
  <c r="AB92" i="9" s="1"/>
  <c r="L164" i="13"/>
  <c r="S164" i="13"/>
  <c r="K164" i="13"/>
  <c r="AM49" i="13"/>
  <c r="AK49" i="13"/>
  <c r="X171" i="8"/>
  <c r="BJ76" i="13"/>
  <c r="BB76" i="13"/>
  <c r="AQ76" i="13"/>
  <c r="BE76" i="13"/>
  <c r="BK178" i="13"/>
  <c r="BF178" i="13"/>
  <c r="AM87" i="13"/>
  <c r="AK87" i="13"/>
  <c r="AA110" i="9"/>
  <c r="AB110" i="9" s="1"/>
  <c r="BM53" i="13"/>
  <c r="BE137" i="13"/>
  <c r="AQ137" i="13"/>
  <c r="BJ137" i="13"/>
  <c r="BB137" i="13"/>
  <c r="AM154" i="13"/>
  <c r="AK154" i="13"/>
  <c r="BB196" i="13"/>
  <c r="BE196" i="13"/>
  <c r="AQ196" i="13"/>
  <c r="BJ196" i="13"/>
  <c r="AM197" i="13"/>
  <c r="AK197" i="13"/>
  <c r="BK191" i="13"/>
  <c r="BF191" i="13"/>
  <c r="BK124" i="13"/>
  <c r="BF124" i="13"/>
  <c r="AA203" i="9"/>
  <c r="AB203" i="9" s="1"/>
  <c r="BJ75" i="13"/>
  <c r="BE75" i="13"/>
  <c r="AM215" i="13"/>
  <c r="AK215" i="13"/>
  <c r="BK111" i="13"/>
  <c r="BF111" i="13"/>
  <c r="AQ220" i="13"/>
  <c r="BJ220" i="13"/>
  <c r="BE220" i="13"/>
  <c r="BB220" i="13"/>
  <c r="BM51" i="13"/>
  <c r="BJ127" i="13"/>
  <c r="AQ127" i="13"/>
  <c r="BB127" i="13"/>
  <c r="BE127" i="13"/>
  <c r="BB219" i="13"/>
  <c r="AQ219" i="13"/>
  <c r="BJ219" i="13"/>
  <c r="BE219" i="13"/>
  <c r="AC146" i="13"/>
  <c r="AF146" i="13"/>
  <c r="AI36" i="8"/>
  <c r="G36" i="13" s="1"/>
  <c r="AN36" i="8"/>
  <c r="BK166" i="13"/>
  <c r="BF166" i="13"/>
  <c r="BE86" i="13"/>
  <c r="BJ86" i="13"/>
  <c r="AQ86" i="13"/>
  <c r="BB86" i="13"/>
  <c r="BM129" i="13"/>
  <c r="AM189" i="13"/>
  <c r="AK189" i="13"/>
  <c r="AM200" i="13"/>
  <c r="AK200" i="13"/>
  <c r="BF152" i="13"/>
  <c r="BK152" i="13"/>
  <c r="BK64" i="13"/>
  <c r="BF64" i="13"/>
  <c r="BJ206" i="13"/>
  <c r="BE206" i="13"/>
  <c r="BB206" i="13"/>
  <c r="AQ206" i="13"/>
  <c r="X24" i="8"/>
  <c r="BM186" i="13"/>
  <c r="AI94" i="13"/>
  <c r="AM94" i="13" s="1"/>
  <c r="AJ94" i="13"/>
  <c r="K162" i="13"/>
  <c r="L162" i="13"/>
  <c r="S162" i="13"/>
  <c r="AM147" i="13"/>
  <c r="AK147" i="13"/>
  <c r="AM97" i="13"/>
  <c r="AK97" i="13"/>
  <c r="AM134" i="13"/>
  <c r="AK134" i="13"/>
  <c r="BK57" i="13"/>
  <c r="BF57" i="13"/>
  <c r="T101" i="8"/>
  <c r="BB205" i="13"/>
  <c r="AA93" i="9"/>
  <c r="AB93" i="9" s="1"/>
  <c r="AM117" i="13"/>
  <c r="AK117" i="13"/>
  <c r="BJ121" i="13"/>
  <c r="BE121" i="13"/>
  <c r="AQ121" i="13"/>
  <c r="BB121" i="13"/>
  <c r="X15" i="8"/>
  <c r="BF61" i="13"/>
  <c r="BK61" i="13"/>
  <c r="AM156" i="13"/>
  <c r="AK156" i="13"/>
  <c r="BF116" i="13"/>
  <c r="BK116" i="13"/>
  <c r="AM218" i="13"/>
  <c r="AK218" i="13"/>
  <c r="J133" i="9"/>
  <c r="W133" i="9" s="1"/>
  <c r="K133" i="9"/>
  <c r="BK155" i="13"/>
  <c r="BF155" i="13"/>
  <c r="BF212" i="13"/>
  <c r="BK212" i="13"/>
  <c r="BF89" i="13"/>
  <c r="BK89" i="13"/>
  <c r="AG145" i="13"/>
  <c r="X31" i="8"/>
  <c r="AG71" i="13"/>
  <c r="X120" i="8"/>
  <c r="AM202" i="13"/>
  <c r="AK202" i="13"/>
  <c r="AA83" i="9"/>
  <c r="AB83" i="9" s="1"/>
  <c r="J113" i="9"/>
  <c r="W113" i="9" s="1"/>
  <c r="K113" i="9"/>
  <c r="AM163" i="13"/>
  <c r="AK163" i="13"/>
  <c r="D34" i="30"/>
  <c r="AM168" i="13"/>
  <c r="AK168" i="13"/>
  <c r="AA190" i="9"/>
  <c r="AB190" i="9" s="1"/>
  <c r="D190" i="9"/>
  <c r="BH190" i="13"/>
  <c r="AJ44" i="13"/>
  <c r="AN44" i="13" s="1"/>
  <c r="AI44" i="13"/>
  <c r="AM79" i="13"/>
  <c r="AK79" i="13"/>
  <c r="BE158" i="13"/>
  <c r="AQ158" i="13"/>
  <c r="BB158" i="13"/>
  <c r="BJ158" i="13"/>
  <c r="AM99" i="13"/>
  <c r="AK99" i="13"/>
  <c r="X108" i="8"/>
  <c r="AM67" i="13"/>
  <c r="AK67" i="13"/>
  <c r="AM82" i="13"/>
  <c r="AK82" i="13"/>
  <c r="BK201" i="13"/>
  <c r="BF201" i="13"/>
  <c r="D138" i="9"/>
  <c r="BH138" i="13"/>
  <c r="BK98" i="13"/>
  <c r="BF98" i="13"/>
  <c r="BF67" i="13"/>
  <c r="BK67" i="13"/>
  <c r="BK148" i="13"/>
  <c r="BF148" i="13"/>
  <c r="J320" i="8"/>
  <c r="K320" i="8"/>
  <c r="D324" i="8"/>
  <c r="K257" i="8"/>
  <c r="J257" i="8"/>
  <c r="D261" i="8"/>
  <c r="AM201" i="13"/>
  <c r="AK201" i="13"/>
  <c r="BH72" i="13"/>
  <c r="D72" i="9"/>
  <c r="G34" i="30"/>
  <c r="BF77" i="13"/>
  <c r="BK77" i="13"/>
  <c r="X78" i="8"/>
  <c r="D92" i="9"/>
  <c r="BH92" i="13"/>
  <c r="AI192" i="13"/>
  <c r="AJ192" i="13"/>
  <c r="AN192" i="13" s="1"/>
  <c r="AC151" i="13"/>
  <c r="AF151" i="13"/>
  <c r="X174" i="8"/>
  <c r="AN164" i="8"/>
  <c r="AI164" i="8"/>
  <c r="G164" i="13" s="1"/>
  <c r="AC48" i="13"/>
  <c r="AG48" i="13" s="1"/>
  <c r="BF135" i="13"/>
  <c r="BK135" i="13"/>
  <c r="AM178" i="13"/>
  <c r="AK178" i="13"/>
  <c r="J53" i="9"/>
  <c r="W53" i="9" s="1"/>
  <c r="K53" i="9"/>
  <c r="BJ63" i="13"/>
  <c r="BE63" i="13"/>
  <c r="X18" i="8"/>
  <c r="AM50" i="13"/>
  <c r="AK50" i="13"/>
  <c r="AA216" i="9"/>
  <c r="AB216" i="9" s="1"/>
  <c r="BK73" i="13"/>
  <c r="BF73" i="13"/>
  <c r="AM191" i="13"/>
  <c r="AK191" i="13"/>
  <c r="BM325" i="12"/>
  <c r="BH325" i="12"/>
  <c r="AM124" i="13"/>
  <c r="AK124" i="13"/>
  <c r="BM185" i="13"/>
  <c r="X80" i="8"/>
  <c r="T41" i="8"/>
  <c r="AM125" i="13"/>
  <c r="AA161" i="9"/>
  <c r="AB161" i="9" s="1"/>
  <c r="D95" i="9"/>
  <c r="BH95" i="13"/>
  <c r="BK90" i="13"/>
  <c r="BF90" i="13"/>
  <c r="BK215" i="13"/>
  <c r="BF215" i="13"/>
  <c r="BF173" i="13"/>
  <c r="BK173" i="13"/>
  <c r="AM111" i="13"/>
  <c r="AK111" i="13"/>
  <c r="BK131" i="13"/>
  <c r="BF131" i="13"/>
  <c r="K51" i="9"/>
  <c r="J51" i="9"/>
  <c r="W51" i="9" s="1"/>
  <c r="AM183" i="13"/>
  <c r="AK183" i="13"/>
  <c r="D211" i="9"/>
  <c r="BH211" i="13"/>
  <c r="AQ107" i="13"/>
  <c r="BJ107" i="13"/>
  <c r="BE107" i="13"/>
  <c r="BB107" i="13"/>
  <c r="BK181" i="13"/>
  <c r="BF181" i="13"/>
  <c r="AM166" i="13"/>
  <c r="AK166" i="13"/>
  <c r="AA32" i="9"/>
  <c r="AB32" i="9" s="1"/>
  <c r="K195" i="13"/>
  <c r="S195" i="13"/>
  <c r="L195" i="13"/>
  <c r="BK170" i="13"/>
  <c r="BF170" i="13"/>
  <c r="BF200" i="13"/>
  <c r="BK200" i="13"/>
  <c r="BH232" i="12"/>
  <c r="AM152" i="13"/>
  <c r="AK152" i="13"/>
  <c r="BH262" i="12"/>
  <c r="BM262" i="12"/>
  <c r="BK60" i="13"/>
  <c r="BF60" i="13"/>
  <c r="BM276" i="12"/>
  <c r="BH276" i="12"/>
  <c r="AM159" i="13"/>
  <c r="AK159" i="13"/>
  <c r="X12" i="8"/>
  <c r="BF35" i="13"/>
  <c r="BK35" i="13"/>
  <c r="X55" i="8"/>
  <c r="J186" i="9"/>
  <c r="W186" i="9" s="1"/>
  <c r="K186" i="9"/>
  <c r="BB208" i="13"/>
  <c r="BE208" i="13"/>
  <c r="BJ208" i="13"/>
  <c r="AQ208" i="13"/>
  <c r="BM58" i="13"/>
  <c r="BF180" i="13"/>
  <c r="BK180" i="13"/>
  <c r="AM150" i="13"/>
  <c r="AK150" i="13"/>
  <c r="BK177" i="13"/>
  <c r="BF177" i="13"/>
  <c r="X81" i="8"/>
  <c r="AM176" i="13"/>
  <c r="AK176" i="13"/>
  <c r="K222" i="8"/>
  <c r="K8" i="8" s="1"/>
  <c r="E8" i="8"/>
  <c r="AQ205" i="13"/>
  <c r="D93" i="9"/>
  <c r="BH93" i="13"/>
  <c r="BF117" i="13"/>
  <c r="BK117" i="13"/>
  <c r="X128" i="8"/>
  <c r="AM61" i="13"/>
  <c r="AK61" i="13"/>
  <c r="BF218" i="13"/>
  <c r="BK218" i="13"/>
  <c r="AM155" i="13"/>
  <c r="AK155" i="13"/>
  <c r="X139" i="8"/>
  <c r="AM89" i="13"/>
  <c r="AK89" i="13"/>
  <c r="BK202" i="13"/>
  <c r="BF202" i="13"/>
  <c r="BF163" i="13"/>
  <c r="BK163" i="13"/>
  <c r="X23" i="8"/>
  <c r="AJ88" i="13"/>
  <c r="AN88" i="13" s="1"/>
  <c r="AI88" i="13"/>
  <c r="AJ130" i="13"/>
  <c r="AN130" i="13" s="1"/>
  <c r="AI130" i="13"/>
  <c r="BK132" i="13"/>
  <c r="BF132" i="13"/>
  <c r="BK99" i="13"/>
  <c r="BF99" i="13"/>
  <c r="D115" i="9"/>
  <c r="BH115" i="13"/>
  <c r="AA138" i="9"/>
  <c r="AB138" i="9" s="1"/>
  <c r="AC198" i="13"/>
  <c r="AF198" i="13"/>
  <c r="AA204" i="9"/>
  <c r="AB204" i="9" s="1"/>
  <c r="J283" i="8"/>
  <c r="K283" i="8"/>
  <c r="D289" i="8"/>
  <c r="AA72" i="9"/>
  <c r="AB72" i="9" s="1"/>
  <c r="AI39" i="13"/>
  <c r="AJ39" i="13"/>
  <c r="AN39" i="13" s="1"/>
  <c r="AM77" i="13"/>
  <c r="AK77" i="13"/>
  <c r="BK167" i="13"/>
  <c r="BF167" i="13"/>
  <c r="BJ69" i="13"/>
  <c r="BF54" i="13"/>
  <c r="BK54" i="13"/>
  <c r="X144" i="8"/>
  <c r="BF70" i="13"/>
  <c r="BK70" i="13"/>
  <c r="AM135" i="13"/>
  <c r="AK135" i="13"/>
  <c r="AM136" i="13"/>
  <c r="AK136" i="13"/>
  <c r="BF50" i="13"/>
  <c r="BK50" i="13"/>
  <c r="BK126" i="13"/>
  <c r="BF126" i="13"/>
  <c r="X182" i="8"/>
  <c r="BH216" i="13"/>
  <c r="D216" i="9"/>
  <c r="AM109" i="13"/>
  <c r="AK109" i="13"/>
  <c r="AM73" i="13"/>
  <c r="AK73" i="13"/>
  <c r="AG66" i="13"/>
  <c r="BK141" i="13"/>
  <c r="BF141" i="13"/>
  <c r="AA95" i="9"/>
  <c r="AB95" i="9" s="1"/>
  <c r="AM90" i="13"/>
  <c r="AK90" i="13"/>
  <c r="BK68" i="13"/>
  <c r="BF68" i="13"/>
  <c r="AM173" i="13"/>
  <c r="AK173" i="13"/>
  <c r="BF184" i="13"/>
  <c r="BK184" i="13"/>
  <c r="K4" i="8"/>
  <c r="H35" i="4" s="1"/>
  <c r="AM131" i="13"/>
  <c r="AK131" i="13"/>
  <c r="BF123" i="13"/>
  <c r="BK123" i="13"/>
  <c r="BK183" i="13"/>
  <c r="BF183" i="13"/>
  <c r="BJ214" i="13"/>
  <c r="AQ214" i="13"/>
  <c r="BE214" i="13"/>
  <c r="BB214" i="13"/>
  <c r="BJ74" i="13"/>
  <c r="BE74" i="13"/>
  <c r="AM40" i="13"/>
  <c r="AK40" i="13"/>
  <c r="AM181" i="13"/>
  <c r="AK181" i="13"/>
  <c r="X56" i="8"/>
  <c r="BF207" i="13"/>
  <c r="BK207" i="13"/>
  <c r="D32" i="9"/>
  <c r="BH32" i="13"/>
  <c r="BF28" i="13"/>
  <c r="BK28" i="13"/>
  <c r="AM149" i="13"/>
  <c r="AK149" i="13"/>
  <c r="AN195" i="8"/>
  <c r="AI195" i="8"/>
  <c r="G195" i="13" s="1"/>
  <c r="J129" i="9"/>
  <c r="W129" i="9" s="1"/>
  <c r="K129" i="9"/>
  <c r="AM170" i="13"/>
  <c r="AK170" i="13"/>
  <c r="AM114" i="13"/>
  <c r="AK114" i="13"/>
  <c r="BF104" i="13"/>
  <c r="BK104" i="13"/>
  <c r="AM60" i="13"/>
  <c r="AK60" i="13"/>
  <c r="X21" i="8"/>
  <c r="BJ119" i="13"/>
  <c r="AQ119" i="13"/>
  <c r="BE119" i="13"/>
  <c r="BB119" i="13"/>
  <c r="AM47" i="13"/>
  <c r="AK47" i="13"/>
  <c r="BF159" i="13"/>
  <c r="BK159" i="13"/>
  <c r="AM35" i="13"/>
  <c r="AK35" i="13"/>
  <c r="BE118" i="13"/>
  <c r="BB118" i="13"/>
  <c r="AQ118" i="13"/>
  <c r="BJ118" i="13"/>
  <c r="AI162" i="8"/>
  <c r="G162" i="13" s="1"/>
  <c r="AN162" i="8"/>
  <c r="K58" i="9"/>
  <c r="J58" i="9"/>
  <c r="W58" i="9" s="1"/>
  <c r="X122" i="8"/>
  <c r="AC112" i="13"/>
  <c r="AF112" i="13"/>
  <c r="AM180" i="13"/>
  <c r="AK180" i="13"/>
  <c r="BK150" i="13"/>
  <c r="BF150" i="13"/>
  <c r="BE96" i="13"/>
  <c r="BJ96" i="13"/>
  <c r="AQ96" i="13"/>
  <c r="BB96" i="13"/>
  <c r="AM177" i="13"/>
  <c r="AK177" i="13"/>
  <c r="O20" i="31"/>
  <c r="X13" i="8"/>
  <c r="BF34" i="13"/>
  <c r="BK34" i="13"/>
  <c r="BF176" i="13"/>
  <c r="BK176" i="13"/>
  <c r="AM46" i="13"/>
  <c r="AK46" i="13"/>
  <c r="X38" i="8"/>
  <c r="BF193" i="13"/>
  <c r="BK193" i="13"/>
  <c r="AM140" i="13"/>
  <c r="AK140" i="13"/>
  <c r="T30" i="8"/>
  <c r="AM153" i="13"/>
  <c r="AK153" i="13"/>
  <c r="AC42" i="13"/>
  <c r="AF42" i="13"/>
  <c r="D83" i="9"/>
  <c r="BH83" i="13"/>
  <c r="BJ59" i="13"/>
  <c r="BE59" i="13"/>
  <c r="BB59" i="13"/>
  <c r="AQ59" i="13"/>
  <c r="BK84" i="13"/>
  <c r="BF84" i="13"/>
  <c r="X22" i="8"/>
  <c r="BB132" i="13"/>
  <c r="BE132" i="13"/>
  <c r="AQ132" i="13"/>
  <c r="BJ132" i="13"/>
  <c r="AQ74" i="13" l="1"/>
  <c r="D74" i="9" s="1"/>
  <c r="BB74" i="13"/>
  <c r="AK74" i="13"/>
  <c r="AK52" i="13"/>
  <c r="AK125" i="13"/>
  <c r="AM123" i="13"/>
  <c r="BE123" i="13" s="1"/>
  <c r="AJ187" i="13"/>
  <c r="AN187" i="13" s="1"/>
  <c r="AQ69" i="13"/>
  <c r="D69" i="9" s="1"/>
  <c r="BB69" i="13"/>
  <c r="AA69" i="9" s="1"/>
  <c r="AB69" i="9" s="1"/>
  <c r="AJ106" i="13"/>
  <c r="AN106" i="13" s="1"/>
  <c r="BF106" i="13" s="1"/>
  <c r="AK69" i="13"/>
  <c r="BB63" i="13"/>
  <c r="AA63" i="9" s="1"/>
  <c r="AB63" i="9" s="1"/>
  <c r="AJ169" i="13"/>
  <c r="AN169" i="13" s="1"/>
  <c r="BB169" i="13" s="1"/>
  <c r="AJ37" i="13"/>
  <c r="AN37" i="13" s="1"/>
  <c r="AQ37" i="13" s="1"/>
  <c r="BF63" i="13"/>
  <c r="AK63" i="13"/>
  <c r="AK167" i="13"/>
  <c r="AQ167" i="13"/>
  <c r="D167" i="9" s="1"/>
  <c r="AN75" i="13"/>
  <c r="BB75" i="13" s="1"/>
  <c r="BB167" i="13"/>
  <c r="AA167" i="9" s="1"/>
  <c r="AB167" i="9" s="1"/>
  <c r="AI217" i="13"/>
  <c r="AM217" i="13" s="1"/>
  <c r="BE217" i="13" s="1"/>
  <c r="AG42" i="13"/>
  <c r="AJ42" i="13" s="1"/>
  <c r="AN42" i="13" s="1"/>
  <c r="AK187" i="13"/>
  <c r="AG103" i="13"/>
  <c r="AJ103" i="13" s="1"/>
  <c r="AN103" i="13" s="1"/>
  <c r="BK106" i="13"/>
  <c r="BK169" i="13"/>
  <c r="BM83" i="13"/>
  <c r="X30" i="8"/>
  <c r="D132" i="9"/>
  <c r="BH132" i="13"/>
  <c r="D59" i="9"/>
  <c r="BH59" i="13"/>
  <c r="K83" i="9"/>
  <c r="J83" i="9"/>
  <c r="W83" i="9" s="1"/>
  <c r="BB177" i="13"/>
  <c r="AQ177" i="13"/>
  <c r="BJ177" i="13"/>
  <c r="BE177" i="13"/>
  <c r="BE47" i="13"/>
  <c r="AQ47" i="13"/>
  <c r="BB47" i="13"/>
  <c r="BJ47" i="13"/>
  <c r="AQ170" i="13"/>
  <c r="BE170" i="13"/>
  <c r="BJ170" i="13"/>
  <c r="BB170" i="13"/>
  <c r="BJ181" i="13"/>
  <c r="BE181" i="13"/>
  <c r="AQ181" i="13"/>
  <c r="BB181" i="13"/>
  <c r="AQ131" i="13"/>
  <c r="BE131" i="13"/>
  <c r="BJ131" i="13"/>
  <c r="BB131" i="13"/>
  <c r="AI66" i="13"/>
  <c r="AJ66" i="13"/>
  <c r="AN66" i="13" s="1"/>
  <c r="J216" i="9"/>
  <c r="W216" i="9" s="1"/>
  <c r="K216" i="9"/>
  <c r="BJ135" i="13"/>
  <c r="AQ135" i="13"/>
  <c r="BB135" i="13"/>
  <c r="BE135" i="13"/>
  <c r="AG198" i="13"/>
  <c r="BM115" i="13"/>
  <c r="BK88" i="13"/>
  <c r="BF88" i="13"/>
  <c r="BJ169" i="13"/>
  <c r="BE169" i="13"/>
  <c r="AQ176" i="13"/>
  <c r="BE176" i="13"/>
  <c r="BB176" i="13"/>
  <c r="BJ176" i="13"/>
  <c r="AA208" i="9"/>
  <c r="AB208" i="9" s="1"/>
  <c r="BB166" i="13"/>
  <c r="BJ166" i="13"/>
  <c r="BE166" i="13"/>
  <c r="AQ166" i="13"/>
  <c r="D107" i="9"/>
  <c r="BH107" i="13"/>
  <c r="BB123" i="13"/>
  <c r="BJ123" i="13"/>
  <c r="AQ123" i="13"/>
  <c r="BB50" i="13"/>
  <c r="AQ50" i="13"/>
  <c r="BJ50" i="13"/>
  <c r="BE50" i="13"/>
  <c r="P53" i="9"/>
  <c r="BE178" i="13"/>
  <c r="AQ178" i="13"/>
  <c r="BJ178" i="13"/>
  <c r="BB178" i="13"/>
  <c r="AG151" i="13"/>
  <c r="K92" i="9"/>
  <c r="J92" i="9"/>
  <c r="W92" i="9" s="1"/>
  <c r="J324" i="8"/>
  <c r="K324" i="8"/>
  <c r="BM138" i="13"/>
  <c r="BE67" i="13"/>
  <c r="AQ67" i="13"/>
  <c r="BJ67" i="13"/>
  <c r="BB67" i="13"/>
  <c r="D158" i="9"/>
  <c r="BH158" i="13"/>
  <c r="AQ79" i="13"/>
  <c r="BE79" i="13"/>
  <c r="BJ79" i="13"/>
  <c r="BB79" i="13"/>
  <c r="BK44" i="13"/>
  <c r="BF44" i="13"/>
  <c r="P113" i="9"/>
  <c r="BJ202" i="13"/>
  <c r="AQ202" i="13"/>
  <c r="BB202" i="13"/>
  <c r="BE202" i="13"/>
  <c r="AI145" i="13"/>
  <c r="AJ145" i="13"/>
  <c r="AN145" i="13" s="1"/>
  <c r="AQ218" i="13"/>
  <c r="BJ218" i="13"/>
  <c r="BE218" i="13"/>
  <c r="BB218" i="13"/>
  <c r="X101" i="8"/>
  <c r="W19" i="13"/>
  <c r="D206" i="9"/>
  <c r="BH206" i="13"/>
  <c r="BB200" i="13"/>
  <c r="BE200" i="13"/>
  <c r="BJ200" i="13"/>
  <c r="AQ200" i="13"/>
  <c r="BB215" i="13"/>
  <c r="BJ215" i="13"/>
  <c r="BE215" i="13"/>
  <c r="AQ215" i="13"/>
  <c r="BJ154" i="13"/>
  <c r="AQ154" i="13"/>
  <c r="BE154" i="13"/>
  <c r="BB154" i="13"/>
  <c r="BE49" i="13"/>
  <c r="AQ49" i="13"/>
  <c r="BB49" i="13"/>
  <c r="BJ49" i="13"/>
  <c r="AC164" i="13"/>
  <c r="AF164" i="13"/>
  <c r="D194" i="9"/>
  <c r="BH194" i="13"/>
  <c r="AG43" i="13"/>
  <c r="X16" i="13"/>
  <c r="AJ165" i="13"/>
  <c r="AN165" i="13" s="1"/>
  <c r="AI165" i="13"/>
  <c r="BE34" i="13"/>
  <c r="BJ34" i="13"/>
  <c r="BB34" i="13"/>
  <c r="AQ34" i="13"/>
  <c r="BJ57" i="13"/>
  <c r="BE57" i="13"/>
  <c r="AQ57" i="13"/>
  <c r="BB57" i="13"/>
  <c r="AQ64" i="13"/>
  <c r="BE64" i="13"/>
  <c r="BB64" i="13"/>
  <c r="BJ64" i="13"/>
  <c r="BE104" i="13"/>
  <c r="BJ104" i="13"/>
  <c r="AQ104" i="13"/>
  <c r="BB104" i="13"/>
  <c r="D188" i="9"/>
  <c r="BH188" i="13"/>
  <c r="BB207" i="13"/>
  <c r="BE207" i="13"/>
  <c r="AQ207" i="13"/>
  <c r="BJ207" i="13"/>
  <c r="AC36" i="13"/>
  <c r="AF36" i="13"/>
  <c r="D91" i="9"/>
  <c r="BH91" i="13"/>
  <c r="BJ184" i="13"/>
  <c r="AQ184" i="13"/>
  <c r="BE184" i="13"/>
  <c r="BB184" i="13"/>
  <c r="P185" i="9"/>
  <c r="J203" i="9"/>
  <c r="W203" i="9" s="1"/>
  <c r="K203" i="9"/>
  <c r="D105" i="9"/>
  <c r="BH105" i="13"/>
  <c r="BE153" i="13"/>
  <c r="BB153" i="13"/>
  <c r="BJ153" i="13"/>
  <c r="AQ153" i="13"/>
  <c r="AA96" i="9"/>
  <c r="AB96" i="9" s="1"/>
  <c r="AQ180" i="13"/>
  <c r="BE180" i="13"/>
  <c r="BJ180" i="13"/>
  <c r="BB180" i="13"/>
  <c r="AQ35" i="13"/>
  <c r="BE35" i="13"/>
  <c r="BB35" i="13"/>
  <c r="BJ35" i="13"/>
  <c r="D119" i="9"/>
  <c r="BH119" i="13"/>
  <c r="P129" i="9"/>
  <c r="BM32" i="13"/>
  <c r="BB40" i="13"/>
  <c r="BE40" i="13"/>
  <c r="BJ40" i="13"/>
  <c r="AQ40" i="13"/>
  <c r="AA214" i="9"/>
  <c r="AB214" i="9" s="1"/>
  <c r="AQ90" i="13"/>
  <c r="BJ90" i="13"/>
  <c r="BB90" i="13"/>
  <c r="BE90" i="13"/>
  <c r="AQ136" i="13"/>
  <c r="BE136" i="13"/>
  <c r="BB136" i="13"/>
  <c r="BJ136" i="13"/>
  <c r="Y16" i="13"/>
  <c r="BB77" i="13"/>
  <c r="BE77" i="13"/>
  <c r="AQ77" i="13"/>
  <c r="BJ77" i="13"/>
  <c r="AM130" i="13"/>
  <c r="AK130" i="13"/>
  <c r="AQ155" i="13"/>
  <c r="BB155" i="13"/>
  <c r="BE155" i="13"/>
  <c r="BJ155" i="13"/>
  <c r="AQ61" i="13"/>
  <c r="BB61" i="13"/>
  <c r="BE61" i="13"/>
  <c r="BJ61" i="13"/>
  <c r="BM93" i="13"/>
  <c r="D205" i="9"/>
  <c r="BH205" i="13"/>
  <c r="D208" i="9"/>
  <c r="BH208" i="13"/>
  <c r="P186" i="9"/>
  <c r="AC195" i="13"/>
  <c r="AF195" i="13"/>
  <c r="BM211" i="13"/>
  <c r="BJ183" i="13"/>
  <c r="BE183" i="13"/>
  <c r="BB183" i="13"/>
  <c r="AQ183" i="13"/>
  <c r="BB111" i="13"/>
  <c r="BE111" i="13"/>
  <c r="AQ111" i="13"/>
  <c r="BJ111" i="13"/>
  <c r="BM95" i="13"/>
  <c r="BJ191" i="13"/>
  <c r="AQ191" i="13"/>
  <c r="BE191" i="13"/>
  <c r="BB191" i="13"/>
  <c r="BF192" i="13"/>
  <c r="BK192" i="13"/>
  <c r="G35" i="30"/>
  <c r="G36" i="30" s="1"/>
  <c r="G37" i="30" s="1"/>
  <c r="G38" i="30" s="1"/>
  <c r="K261" i="8"/>
  <c r="J261" i="8"/>
  <c r="K138" i="9"/>
  <c r="J138" i="9"/>
  <c r="W138" i="9" s="1"/>
  <c r="D35" i="30"/>
  <c r="D36" i="30" s="1"/>
  <c r="D37" i="30" s="1"/>
  <c r="D38" i="30" s="1"/>
  <c r="AQ156" i="13"/>
  <c r="BE156" i="13"/>
  <c r="BB156" i="13"/>
  <c r="BJ156" i="13"/>
  <c r="BE117" i="13"/>
  <c r="AQ117" i="13"/>
  <c r="BB117" i="13"/>
  <c r="BJ117" i="13"/>
  <c r="AQ134" i="13"/>
  <c r="BE134" i="13"/>
  <c r="BJ134" i="13"/>
  <c r="BB134" i="13"/>
  <c r="BK75" i="13"/>
  <c r="AA206" i="9"/>
  <c r="AB206" i="9" s="1"/>
  <c r="AA86" i="9"/>
  <c r="AB86" i="9" s="1"/>
  <c r="AG146" i="13"/>
  <c r="D219" i="9"/>
  <c r="BH219" i="13"/>
  <c r="BJ217" i="13"/>
  <c r="AA196" i="9"/>
  <c r="AB196" i="9" s="1"/>
  <c r="AA137" i="9"/>
  <c r="AB137" i="9" s="1"/>
  <c r="BJ87" i="13"/>
  <c r="BE87" i="13"/>
  <c r="AQ87" i="13"/>
  <c r="BB87" i="13"/>
  <c r="BJ98" i="13"/>
  <c r="BE98" i="13"/>
  <c r="BB98" i="13"/>
  <c r="AQ98" i="13"/>
  <c r="AG160" i="13"/>
  <c r="AA199" i="9"/>
  <c r="AB199" i="9" s="1"/>
  <c r="BB193" i="13"/>
  <c r="BE193" i="13"/>
  <c r="AQ193" i="13"/>
  <c r="BJ193" i="13"/>
  <c r="AI29" i="13"/>
  <c r="AM29" i="13" s="1"/>
  <c r="AJ29" i="13"/>
  <c r="AK85" i="13"/>
  <c r="AN85" i="13"/>
  <c r="AQ85" i="13" s="1"/>
  <c r="AG20" i="13"/>
  <c r="AJ157" i="13"/>
  <c r="AN157" i="13" s="1"/>
  <c r="AI157" i="13"/>
  <c r="BJ68" i="13"/>
  <c r="BE68" i="13"/>
  <c r="AQ68" i="13"/>
  <c r="BB68" i="13"/>
  <c r="K161" i="9"/>
  <c r="J161" i="9"/>
  <c r="W161" i="9" s="1"/>
  <c r="AA105" i="9"/>
  <c r="AB105" i="9" s="1"/>
  <c r="BJ126" i="13"/>
  <c r="AQ126" i="13"/>
  <c r="BB126" i="13"/>
  <c r="BE126" i="13"/>
  <c r="BM110" i="13"/>
  <c r="AQ70" i="13"/>
  <c r="BB70" i="13"/>
  <c r="BE70" i="13"/>
  <c r="BJ70" i="13"/>
  <c r="AQ54" i="13"/>
  <c r="BJ54" i="13"/>
  <c r="BE54" i="13"/>
  <c r="BB54" i="13"/>
  <c r="K204" i="9"/>
  <c r="J204" i="9"/>
  <c r="W204" i="9" s="1"/>
  <c r="AA45" i="9"/>
  <c r="AB45" i="9" s="1"/>
  <c r="AQ148" i="13"/>
  <c r="BJ148" i="13"/>
  <c r="BE148" i="13"/>
  <c r="BB148" i="13"/>
  <c r="E38" i="30"/>
  <c r="O10" i="31" s="1"/>
  <c r="AA59" i="9"/>
  <c r="AB59" i="9" s="1"/>
  <c r="AA132" i="9"/>
  <c r="AB132" i="9" s="1"/>
  <c r="AG112" i="13"/>
  <c r="P58" i="9"/>
  <c r="D118" i="9"/>
  <c r="BH118" i="13"/>
  <c r="BJ187" i="13"/>
  <c r="BE187" i="13"/>
  <c r="AA119" i="9"/>
  <c r="AB119" i="9" s="1"/>
  <c r="AQ114" i="13"/>
  <c r="BJ114" i="13"/>
  <c r="BE114" i="13"/>
  <c r="BB114" i="13"/>
  <c r="J32" i="9"/>
  <c r="W32" i="9" s="1"/>
  <c r="K32" i="9"/>
  <c r="AA74" i="9"/>
  <c r="AB74" i="9" s="1"/>
  <c r="BE73" i="13"/>
  <c r="AQ73" i="13"/>
  <c r="BB73" i="13"/>
  <c r="BJ73" i="13"/>
  <c r="BM216" i="13"/>
  <c r="BK39" i="13"/>
  <c r="BF39" i="13"/>
  <c r="K289" i="8"/>
  <c r="J289" i="8"/>
  <c r="K115" i="9"/>
  <c r="J115" i="9"/>
  <c r="W115" i="9" s="1"/>
  <c r="BK130" i="13"/>
  <c r="BF130" i="13"/>
  <c r="BB150" i="13"/>
  <c r="BE150" i="13"/>
  <c r="AQ150" i="13"/>
  <c r="BJ150" i="13"/>
  <c r="BM232" i="12"/>
  <c r="P51" i="9"/>
  <c r="X41" i="8"/>
  <c r="D63" i="9"/>
  <c r="BH63" i="13"/>
  <c r="AM192" i="13"/>
  <c r="AK192" i="13"/>
  <c r="J72" i="9"/>
  <c r="W72" i="9" s="1"/>
  <c r="K72" i="9"/>
  <c r="BJ201" i="13"/>
  <c r="BE201" i="13"/>
  <c r="AQ201" i="13"/>
  <c r="BB201" i="13"/>
  <c r="BE82" i="13"/>
  <c r="AQ82" i="13"/>
  <c r="BB82" i="13"/>
  <c r="BJ82" i="13"/>
  <c r="BM190" i="13"/>
  <c r="AI71" i="13"/>
  <c r="AJ71" i="13"/>
  <c r="AN71" i="13" s="1"/>
  <c r="AA121" i="9"/>
  <c r="AB121" i="9" s="1"/>
  <c r="BJ147" i="13"/>
  <c r="BE147" i="13"/>
  <c r="BB147" i="13"/>
  <c r="AQ147" i="13"/>
  <c r="AK94" i="13"/>
  <c r="AN94" i="13"/>
  <c r="BB94" i="13" s="1"/>
  <c r="AQ189" i="13"/>
  <c r="BJ189" i="13"/>
  <c r="BB189" i="13"/>
  <c r="BE189" i="13"/>
  <c r="D86" i="9"/>
  <c r="BH86" i="13"/>
  <c r="AA219" i="9"/>
  <c r="AB219" i="9" s="1"/>
  <c r="AA127" i="9"/>
  <c r="AB127" i="9" s="1"/>
  <c r="BK217" i="13"/>
  <c r="BF217" i="13"/>
  <c r="BJ37" i="13"/>
  <c r="BE37" i="13"/>
  <c r="BE197" i="13"/>
  <c r="AQ197" i="13"/>
  <c r="BB197" i="13"/>
  <c r="BJ197" i="13"/>
  <c r="D196" i="9"/>
  <c r="BH196" i="13"/>
  <c r="BH76" i="13"/>
  <c r="D76" i="9"/>
  <c r="D25" i="9"/>
  <c r="BH25" i="13"/>
  <c r="BJ212" i="13"/>
  <c r="BE212" i="13"/>
  <c r="AQ212" i="13"/>
  <c r="BB212" i="13"/>
  <c r="BE116" i="13"/>
  <c r="AQ116" i="13"/>
  <c r="BB116" i="13"/>
  <c r="BJ116" i="13"/>
  <c r="BE85" i="13"/>
  <c r="BJ85" i="13"/>
  <c r="AA188" i="9"/>
  <c r="AB188" i="9" s="1"/>
  <c r="AQ28" i="13"/>
  <c r="BJ28" i="13"/>
  <c r="BB28" i="13"/>
  <c r="BE28" i="13"/>
  <c r="BB141" i="13"/>
  <c r="AQ141" i="13"/>
  <c r="BJ141" i="13"/>
  <c r="BE141" i="13"/>
  <c r="BM203" i="13"/>
  <c r="D45" i="9"/>
  <c r="BH45" i="13"/>
  <c r="K231" i="8"/>
  <c r="J231" i="8"/>
  <c r="BE140" i="13"/>
  <c r="BJ140" i="13"/>
  <c r="BB140" i="13"/>
  <c r="AQ140" i="13"/>
  <c r="AQ46" i="13"/>
  <c r="BJ46" i="13"/>
  <c r="BB46" i="13"/>
  <c r="BE46" i="13"/>
  <c r="D96" i="9"/>
  <c r="BH96" i="13"/>
  <c r="BJ106" i="13"/>
  <c r="BE106" i="13"/>
  <c r="AA118" i="9"/>
  <c r="AB118" i="9" s="1"/>
  <c r="AQ60" i="13"/>
  <c r="BJ60" i="13"/>
  <c r="BB60" i="13"/>
  <c r="BE60" i="13"/>
  <c r="AQ149" i="13"/>
  <c r="BE149" i="13"/>
  <c r="BJ149" i="13"/>
  <c r="BB149" i="13"/>
  <c r="BH74" i="13"/>
  <c r="D214" i="9"/>
  <c r="BH214" i="13"/>
  <c r="BE173" i="13"/>
  <c r="AQ173" i="13"/>
  <c r="BB173" i="13"/>
  <c r="BJ173" i="13"/>
  <c r="BK37" i="13"/>
  <c r="AQ109" i="13"/>
  <c r="BJ109" i="13"/>
  <c r="BB109" i="13"/>
  <c r="BE109" i="13"/>
  <c r="AM39" i="13"/>
  <c r="AK39" i="13"/>
  <c r="AM88" i="13"/>
  <c r="AK88" i="13"/>
  <c r="AQ89" i="13"/>
  <c r="BB89" i="13"/>
  <c r="BJ89" i="13"/>
  <c r="BE89" i="13"/>
  <c r="J93" i="9"/>
  <c r="W93" i="9" s="1"/>
  <c r="K93" i="9"/>
  <c r="BB159" i="13"/>
  <c r="BJ159" i="13"/>
  <c r="BE159" i="13"/>
  <c r="AQ159" i="13"/>
  <c r="BE152" i="13"/>
  <c r="AQ152" i="13"/>
  <c r="BJ152" i="13"/>
  <c r="BB152" i="13"/>
  <c r="AA107" i="9"/>
  <c r="AB107" i="9" s="1"/>
  <c r="K211" i="9"/>
  <c r="J211" i="9"/>
  <c r="W211" i="9" s="1"/>
  <c r="K95" i="9"/>
  <c r="J95" i="9"/>
  <c r="W95" i="9" s="1"/>
  <c r="BJ125" i="13"/>
  <c r="BE125" i="13"/>
  <c r="AQ125" i="13"/>
  <c r="BB125" i="13"/>
  <c r="BJ124" i="13"/>
  <c r="BB124" i="13"/>
  <c r="BE124" i="13"/>
  <c r="AQ124" i="13"/>
  <c r="AJ48" i="13"/>
  <c r="AN48" i="13" s="1"/>
  <c r="AI48" i="13"/>
  <c r="BM92" i="13"/>
  <c r="BM72" i="13"/>
  <c r="AQ99" i="13"/>
  <c r="BJ99" i="13"/>
  <c r="BE99" i="13"/>
  <c r="BB99" i="13"/>
  <c r="AA158" i="9"/>
  <c r="AB158" i="9" s="1"/>
  <c r="AM44" i="13"/>
  <c r="AK44" i="13"/>
  <c r="K190" i="9"/>
  <c r="J190" i="9"/>
  <c r="W190" i="9" s="1"/>
  <c r="BE168" i="13"/>
  <c r="BB168" i="13"/>
  <c r="AQ168" i="13"/>
  <c r="BJ168" i="13"/>
  <c r="BE163" i="13"/>
  <c r="BJ163" i="13"/>
  <c r="BB163" i="13"/>
  <c r="AQ163" i="13"/>
  <c r="P133" i="9"/>
  <c r="D121" i="9"/>
  <c r="BH121" i="13"/>
  <c r="AA205" i="9"/>
  <c r="AB205" i="9" s="1"/>
  <c r="BE97" i="13"/>
  <c r="BB97" i="13"/>
  <c r="BJ97" i="13"/>
  <c r="AQ97" i="13"/>
  <c r="AC162" i="13"/>
  <c r="AF162" i="13"/>
  <c r="BJ94" i="13"/>
  <c r="BE94" i="13"/>
  <c r="D127" i="9"/>
  <c r="BH127" i="13"/>
  <c r="AA220" i="9"/>
  <c r="AB220" i="9" s="1"/>
  <c r="D220" i="9"/>
  <c r="BH220" i="13"/>
  <c r="D137" i="9"/>
  <c r="BH137" i="13"/>
  <c r="AA76" i="9"/>
  <c r="AB76" i="9" s="1"/>
  <c r="AA25" i="9"/>
  <c r="AB25" i="9" s="1"/>
  <c r="AQ84" i="13"/>
  <c r="BJ84" i="13"/>
  <c r="BB84" i="13"/>
  <c r="BE84" i="13"/>
  <c r="AA194" i="9"/>
  <c r="AB194" i="9" s="1"/>
  <c r="O16" i="8"/>
  <c r="S16" i="8"/>
  <c r="V16" i="8"/>
  <c r="Z16" i="8"/>
  <c r="W16" i="13"/>
  <c r="BH199" i="13"/>
  <c r="D199" i="9"/>
  <c r="AI175" i="13"/>
  <c r="AM175" i="13" s="1"/>
  <c r="AJ175" i="13"/>
  <c r="AA91" i="9"/>
  <c r="AB91" i="9" s="1"/>
  <c r="BM161" i="13"/>
  <c r="K110" i="9"/>
  <c r="J110" i="9"/>
  <c r="W110" i="9" s="1"/>
  <c r="BB52" i="13"/>
  <c r="AQ52" i="13"/>
  <c r="BE52" i="13"/>
  <c r="BJ52" i="13"/>
  <c r="BE179" i="13"/>
  <c r="AQ179" i="13"/>
  <c r="BJ179" i="13"/>
  <c r="BB179" i="13"/>
  <c r="T209" i="8"/>
  <c r="BM204" i="13"/>
  <c r="AQ75" i="13" l="1"/>
  <c r="D75" i="9" s="1"/>
  <c r="BH69" i="13"/>
  <c r="BB106" i="13"/>
  <c r="AK106" i="13"/>
  <c r="BF37" i="13"/>
  <c r="AQ106" i="13"/>
  <c r="D106" i="9" s="1"/>
  <c r="AK37" i="13"/>
  <c r="AQ169" i="13"/>
  <c r="BH169" i="13" s="1"/>
  <c r="BB37" i="13"/>
  <c r="BH167" i="13"/>
  <c r="BF75" i="13"/>
  <c r="AK169" i="13"/>
  <c r="BF169" i="13"/>
  <c r="AI42" i="13"/>
  <c r="AM42" i="13" s="1"/>
  <c r="AQ42" i="13" s="1"/>
  <c r="AQ217" i="13"/>
  <c r="D217" i="9" s="1"/>
  <c r="BB217" i="13"/>
  <c r="AA217" i="9" s="1"/>
  <c r="AB217" i="9" s="1"/>
  <c r="AK217" i="13"/>
  <c r="BB85" i="13"/>
  <c r="AA85" i="9" s="1"/>
  <c r="AB85" i="9" s="1"/>
  <c r="AQ94" i="13"/>
  <c r="D94" i="9" s="1"/>
  <c r="AI103" i="13"/>
  <c r="AK103" i="13" s="1"/>
  <c r="AG195" i="13"/>
  <c r="AJ195" i="13" s="1"/>
  <c r="AN195" i="13" s="1"/>
  <c r="N11" i="31"/>
  <c r="AG36" i="13"/>
  <c r="AJ36" i="13" s="1"/>
  <c r="AG164" i="13"/>
  <c r="AI164" i="13" s="1"/>
  <c r="P110" i="9"/>
  <c r="D52" i="9"/>
  <c r="BH52" i="13"/>
  <c r="BM199" i="13"/>
  <c r="D84" i="9"/>
  <c r="BH84" i="13"/>
  <c r="BM220" i="13"/>
  <c r="D97" i="9"/>
  <c r="BH97" i="13"/>
  <c r="BM121" i="13"/>
  <c r="P190" i="9"/>
  <c r="AA125" i="9"/>
  <c r="AB125" i="9" s="1"/>
  <c r="P95" i="9"/>
  <c r="P93" i="9"/>
  <c r="AA89" i="9"/>
  <c r="AB89" i="9" s="1"/>
  <c r="AA109" i="9"/>
  <c r="AB109" i="9" s="1"/>
  <c r="D173" i="9"/>
  <c r="BH173" i="13"/>
  <c r="BM214" i="13"/>
  <c r="AA149" i="9"/>
  <c r="AB149" i="9" s="1"/>
  <c r="BJ42" i="13"/>
  <c r="D28" i="9"/>
  <c r="BH28" i="13"/>
  <c r="D212" i="9"/>
  <c r="BH212" i="13"/>
  <c r="BM196" i="13"/>
  <c r="AA189" i="9"/>
  <c r="AB189" i="9" s="1"/>
  <c r="BF94" i="13"/>
  <c r="BK94" i="13"/>
  <c r="AA147" i="9"/>
  <c r="AB147" i="9" s="1"/>
  <c r="D82" i="9"/>
  <c r="BH82" i="13"/>
  <c r="D201" i="9"/>
  <c r="BH201" i="13"/>
  <c r="P72" i="9"/>
  <c r="D73" i="9"/>
  <c r="BH73" i="13"/>
  <c r="P32" i="9"/>
  <c r="J118" i="9"/>
  <c r="W118" i="9" s="1"/>
  <c r="K118" i="9"/>
  <c r="AJ112" i="13"/>
  <c r="AN112" i="13" s="1"/>
  <c r="AI112" i="13"/>
  <c r="D148" i="9"/>
  <c r="BH148" i="13"/>
  <c r="AA54" i="9"/>
  <c r="AB54" i="9" s="1"/>
  <c r="D54" i="9"/>
  <c r="BH54" i="13"/>
  <c r="D70" i="9"/>
  <c r="BH70" i="13"/>
  <c r="D68" i="9"/>
  <c r="BH68" i="13"/>
  <c r="BK85" i="13"/>
  <c r="BF85" i="13"/>
  <c r="D193" i="9"/>
  <c r="BH193" i="13"/>
  <c r="AA98" i="9"/>
  <c r="AB98" i="9" s="1"/>
  <c r="AI146" i="13"/>
  <c r="AJ146" i="13"/>
  <c r="AN146" i="13" s="1"/>
  <c r="AA117" i="9"/>
  <c r="AB117" i="9" s="1"/>
  <c r="AA156" i="9"/>
  <c r="AB156" i="9" s="1"/>
  <c r="P10" i="31"/>
  <c r="D191" i="9"/>
  <c r="BH191" i="13"/>
  <c r="T186" i="9"/>
  <c r="BM208" i="13"/>
  <c r="D61" i="9"/>
  <c r="BH61" i="13"/>
  <c r="AA155" i="9"/>
  <c r="AB155" i="9" s="1"/>
  <c r="D77" i="9"/>
  <c r="BH77" i="13"/>
  <c r="AA40" i="9"/>
  <c r="AB40" i="9" s="1"/>
  <c r="BM119" i="13"/>
  <c r="D35" i="9"/>
  <c r="BH35" i="13"/>
  <c r="AA153" i="9"/>
  <c r="AB153" i="9" s="1"/>
  <c r="K105" i="9"/>
  <c r="J105" i="9"/>
  <c r="W105" i="9" s="1"/>
  <c r="BM91" i="13"/>
  <c r="D207" i="9"/>
  <c r="BH207" i="13"/>
  <c r="BM188" i="13"/>
  <c r="D57" i="9"/>
  <c r="BH57" i="13"/>
  <c r="D34" i="9"/>
  <c r="BH34" i="13"/>
  <c r="AJ43" i="13"/>
  <c r="AN43" i="13" s="1"/>
  <c r="AI43" i="13"/>
  <c r="AA154" i="9"/>
  <c r="AB154" i="9" s="1"/>
  <c r="D215" i="9"/>
  <c r="BH215" i="13"/>
  <c r="AA215" i="9"/>
  <c r="AB215" i="9" s="1"/>
  <c r="AM145" i="13"/>
  <c r="AK145" i="13"/>
  <c r="J158" i="9"/>
  <c r="W158" i="9" s="1"/>
  <c r="K158" i="9"/>
  <c r="D67" i="9"/>
  <c r="BH67" i="13"/>
  <c r="AI151" i="13"/>
  <c r="AM151" i="13" s="1"/>
  <c r="AJ151" i="13"/>
  <c r="D50" i="9"/>
  <c r="BH50" i="13"/>
  <c r="AA123" i="9"/>
  <c r="AB123" i="9" s="1"/>
  <c r="AA166" i="9"/>
  <c r="AB166" i="9" s="1"/>
  <c r="AI198" i="13"/>
  <c r="AM198" i="13" s="1"/>
  <c r="AJ198" i="13"/>
  <c r="D135" i="9"/>
  <c r="BH135" i="13"/>
  <c r="AA181" i="9"/>
  <c r="AB181" i="9" s="1"/>
  <c r="AA177" i="9"/>
  <c r="AB177" i="9" s="1"/>
  <c r="J59" i="9"/>
  <c r="W59" i="9" s="1"/>
  <c r="K59" i="9"/>
  <c r="AA179" i="9"/>
  <c r="AB179" i="9" s="1"/>
  <c r="AK175" i="13"/>
  <c r="AN175" i="13"/>
  <c r="BB175" i="13" s="1"/>
  <c r="K199" i="9"/>
  <c r="J199" i="9"/>
  <c r="W199" i="9" s="1"/>
  <c r="AF16" i="13"/>
  <c r="AA16" i="13"/>
  <c r="K220" i="9"/>
  <c r="J220" i="9"/>
  <c r="W220" i="9" s="1"/>
  <c r="BM127" i="13"/>
  <c r="AA94" i="9"/>
  <c r="AB94" i="9" s="1"/>
  <c r="AG162" i="13"/>
  <c r="J121" i="9"/>
  <c r="W121" i="9" s="1"/>
  <c r="K121" i="9"/>
  <c r="AA124" i="9"/>
  <c r="AB124" i="9" s="1"/>
  <c r="BH125" i="13"/>
  <c r="D125" i="9"/>
  <c r="BF187" i="13"/>
  <c r="BK187" i="13"/>
  <c r="D89" i="9"/>
  <c r="BH89" i="13"/>
  <c r="BE39" i="13"/>
  <c r="BB39" i="13"/>
  <c r="BJ39" i="13"/>
  <c r="AQ39" i="13"/>
  <c r="D60" i="9"/>
  <c r="BH60" i="13"/>
  <c r="AA106" i="9"/>
  <c r="AB106" i="9" s="1"/>
  <c r="K96" i="9"/>
  <c r="J96" i="9"/>
  <c r="W96" i="9" s="1"/>
  <c r="AA46" i="9"/>
  <c r="AB46" i="9" s="1"/>
  <c r="AA140" i="9"/>
  <c r="AB140" i="9" s="1"/>
  <c r="BK42" i="13"/>
  <c r="BF42" i="13"/>
  <c r="BM45" i="13"/>
  <c r="BF103" i="13"/>
  <c r="BK103" i="13"/>
  <c r="AA116" i="9"/>
  <c r="AB116" i="9" s="1"/>
  <c r="BM25" i="13"/>
  <c r="BM76" i="13"/>
  <c r="AA197" i="9"/>
  <c r="AB197" i="9" s="1"/>
  <c r="AA37" i="9"/>
  <c r="AB37" i="9" s="1"/>
  <c r="BM86" i="13"/>
  <c r="D150" i="9"/>
  <c r="BH150" i="13"/>
  <c r="P115" i="9"/>
  <c r="BB187" i="13"/>
  <c r="AA148" i="9"/>
  <c r="AB148" i="9" s="1"/>
  <c r="AA126" i="9"/>
  <c r="AB126" i="9" s="1"/>
  <c r="AA87" i="9"/>
  <c r="AB87" i="9" s="1"/>
  <c r="BM219" i="13"/>
  <c r="AA134" i="9"/>
  <c r="AB134" i="9" s="1"/>
  <c r="D134" i="9"/>
  <c r="BH134" i="13"/>
  <c r="D117" i="9"/>
  <c r="BH117" i="13"/>
  <c r="P11" i="31"/>
  <c r="D111" i="9"/>
  <c r="BH111" i="13"/>
  <c r="J208" i="9"/>
  <c r="W208" i="9" s="1"/>
  <c r="K208" i="9"/>
  <c r="D155" i="9"/>
  <c r="BH155" i="13"/>
  <c r="BM69" i="13"/>
  <c r="AA136" i="9"/>
  <c r="AB136" i="9" s="1"/>
  <c r="D90" i="9"/>
  <c r="BH90" i="13"/>
  <c r="D40" i="9"/>
  <c r="BH40" i="13"/>
  <c r="T129" i="9"/>
  <c r="AA180" i="9"/>
  <c r="AB180" i="9" s="1"/>
  <c r="D180" i="9"/>
  <c r="BH180" i="13"/>
  <c r="BM167" i="13"/>
  <c r="P203" i="9"/>
  <c r="T185" i="9"/>
  <c r="D184" i="9"/>
  <c r="BH184" i="13"/>
  <c r="J91" i="9"/>
  <c r="W91" i="9" s="1"/>
  <c r="K91" i="9"/>
  <c r="K188" i="9"/>
  <c r="J188" i="9"/>
  <c r="W188" i="9" s="1"/>
  <c r="AA34" i="9"/>
  <c r="AB34" i="9" s="1"/>
  <c r="BM194" i="13"/>
  <c r="AA49" i="9"/>
  <c r="AB49" i="9" s="1"/>
  <c r="D200" i="9"/>
  <c r="BH200" i="13"/>
  <c r="AA200" i="9"/>
  <c r="AB200" i="9" s="1"/>
  <c r="BM206" i="13"/>
  <c r="O19" i="8"/>
  <c r="S19" i="8"/>
  <c r="V19" i="8"/>
  <c r="Z19" i="8"/>
  <c r="T113" i="9"/>
  <c r="AA178" i="9"/>
  <c r="AB178" i="9" s="1"/>
  <c r="AA50" i="9"/>
  <c r="AB50" i="9" s="1"/>
  <c r="BH123" i="13"/>
  <c r="D123" i="9"/>
  <c r="D166" i="9"/>
  <c r="BH166" i="13"/>
  <c r="AA169" i="9"/>
  <c r="AB169" i="9" s="1"/>
  <c r="BK66" i="13"/>
  <c r="BF66" i="13"/>
  <c r="D181" i="9"/>
  <c r="BH181" i="13"/>
  <c r="D170" i="9"/>
  <c r="BH170" i="13"/>
  <c r="AA47" i="9"/>
  <c r="AB47" i="9" s="1"/>
  <c r="G39" i="30"/>
  <c r="P9" i="31" s="1"/>
  <c r="D179" i="9"/>
  <c r="BH179" i="13"/>
  <c r="X209" i="8"/>
  <c r="AA52" i="9"/>
  <c r="AB52" i="9" s="1"/>
  <c r="BE175" i="13"/>
  <c r="BJ175" i="13"/>
  <c r="AC16" i="8"/>
  <c r="AA84" i="9"/>
  <c r="AB84" i="9" s="1"/>
  <c r="BM137" i="13"/>
  <c r="K127" i="9"/>
  <c r="J127" i="9"/>
  <c r="W127" i="9" s="1"/>
  <c r="T133" i="9"/>
  <c r="D163" i="9"/>
  <c r="BH163" i="13"/>
  <c r="D168" i="9"/>
  <c r="BH168" i="13"/>
  <c r="AQ44" i="13"/>
  <c r="BB44" i="13"/>
  <c r="BE44" i="13"/>
  <c r="BJ44" i="13"/>
  <c r="AM48" i="13"/>
  <c r="AK48" i="13"/>
  <c r="P211" i="9"/>
  <c r="D152" i="9"/>
  <c r="BH152" i="13"/>
  <c r="D159" i="9"/>
  <c r="BH159" i="13"/>
  <c r="AA159" i="9"/>
  <c r="AB159" i="9" s="1"/>
  <c r="K214" i="9"/>
  <c r="J214" i="9"/>
  <c r="W214" i="9" s="1"/>
  <c r="BM74" i="13"/>
  <c r="D141" i="9"/>
  <c r="BH141" i="13"/>
  <c r="AA28" i="9"/>
  <c r="AB28" i="9" s="1"/>
  <c r="D85" i="9"/>
  <c r="BH85" i="13"/>
  <c r="D116" i="9"/>
  <c r="BH116" i="13"/>
  <c r="K25" i="9"/>
  <c r="J25" i="9"/>
  <c r="W25" i="9" s="1"/>
  <c r="J196" i="9"/>
  <c r="W196" i="9" s="1"/>
  <c r="K196" i="9"/>
  <c r="D197" i="9"/>
  <c r="BH197" i="13"/>
  <c r="D37" i="9"/>
  <c r="BH37" i="13"/>
  <c r="K86" i="9"/>
  <c r="J86" i="9"/>
  <c r="W86" i="9" s="1"/>
  <c r="BK71" i="13"/>
  <c r="BF71" i="13"/>
  <c r="AA82" i="9"/>
  <c r="AB82" i="9" s="1"/>
  <c r="AQ192" i="13"/>
  <c r="BB192" i="13"/>
  <c r="BE192" i="13"/>
  <c r="BJ192" i="13"/>
  <c r="BM63" i="13"/>
  <c r="T51" i="9"/>
  <c r="AA73" i="9"/>
  <c r="AB73" i="9" s="1"/>
  <c r="AM157" i="13"/>
  <c r="AK157" i="13"/>
  <c r="AK29" i="13"/>
  <c r="AN29" i="13"/>
  <c r="AQ29" i="13" s="1"/>
  <c r="AA193" i="9"/>
  <c r="AB193" i="9" s="1"/>
  <c r="D87" i="9"/>
  <c r="BH87" i="13"/>
  <c r="J219" i="9"/>
  <c r="W219" i="9" s="1"/>
  <c r="K219" i="9"/>
  <c r="D156" i="9"/>
  <c r="BH156" i="13"/>
  <c r="AA191" i="9"/>
  <c r="AB191" i="9" s="1"/>
  <c r="D183" i="9"/>
  <c r="BH183" i="13"/>
  <c r="BM205" i="13"/>
  <c r="AA61" i="9"/>
  <c r="AB61" i="9" s="1"/>
  <c r="BE130" i="13"/>
  <c r="BJ130" i="13"/>
  <c r="BB130" i="13"/>
  <c r="AQ130" i="13"/>
  <c r="J69" i="9"/>
  <c r="W69" i="9" s="1"/>
  <c r="K69" i="9"/>
  <c r="K119" i="9"/>
  <c r="J119" i="9"/>
  <c r="W119" i="9" s="1"/>
  <c r="AA35" i="9"/>
  <c r="AB35" i="9" s="1"/>
  <c r="D153" i="9"/>
  <c r="BH153" i="13"/>
  <c r="BM105" i="13"/>
  <c r="AA207" i="9"/>
  <c r="AB207" i="9" s="1"/>
  <c r="AA104" i="9"/>
  <c r="AB104" i="9" s="1"/>
  <c r="D64" i="9"/>
  <c r="BH64" i="13"/>
  <c r="AM165" i="13"/>
  <c r="AK165" i="13"/>
  <c r="AA19" i="13"/>
  <c r="AF19" i="13"/>
  <c r="D218" i="9"/>
  <c r="BH218" i="13"/>
  <c r="AA202" i="9"/>
  <c r="AB202" i="9" s="1"/>
  <c r="BM158" i="13"/>
  <c r="AA67" i="9"/>
  <c r="AB67" i="9" s="1"/>
  <c r="P92" i="9"/>
  <c r="W62" i="13"/>
  <c r="BM107" i="13"/>
  <c r="Y19" i="13"/>
  <c r="AA135" i="9"/>
  <c r="AB135" i="9" s="1"/>
  <c r="AM66" i="13"/>
  <c r="AK66" i="13"/>
  <c r="AA170" i="9"/>
  <c r="AB170" i="9" s="1"/>
  <c r="D47" i="9"/>
  <c r="BH47" i="13"/>
  <c r="BM59" i="13"/>
  <c r="BM132" i="13"/>
  <c r="K137" i="9"/>
  <c r="J137" i="9"/>
  <c r="W137" i="9" s="1"/>
  <c r="AA97" i="9"/>
  <c r="AB97" i="9" s="1"/>
  <c r="AA163" i="9"/>
  <c r="AB163" i="9" s="1"/>
  <c r="AA168" i="9"/>
  <c r="AB168" i="9" s="1"/>
  <c r="AA99" i="9"/>
  <c r="AB99" i="9" s="1"/>
  <c r="D99" i="9"/>
  <c r="BH99" i="13"/>
  <c r="BK48" i="13"/>
  <c r="BF48" i="13"/>
  <c r="D124" i="9"/>
  <c r="BH124" i="13"/>
  <c r="AA152" i="9"/>
  <c r="AB152" i="9" s="1"/>
  <c r="BB88" i="13"/>
  <c r="AQ88" i="13"/>
  <c r="BE88" i="13"/>
  <c r="BJ88" i="13"/>
  <c r="D109" i="9"/>
  <c r="BH109" i="13"/>
  <c r="AA173" i="9"/>
  <c r="AB173" i="9" s="1"/>
  <c r="J74" i="9"/>
  <c r="W74" i="9" s="1"/>
  <c r="K74" i="9"/>
  <c r="D149" i="9"/>
  <c r="BH149" i="13"/>
  <c r="AA60" i="9"/>
  <c r="AB60" i="9" s="1"/>
  <c r="BM96" i="13"/>
  <c r="D46" i="9"/>
  <c r="BH46" i="13"/>
  <c r="D140" i="9"/>
  <c r="BH140" i="13"/>
  <c r="J45" i="9"/>
  <c r="W45" i="9" s="1"/>
  <c r="K45" i="9"/>
  <c r="AA141" i="9"/>
  <c r="AB141" i="9" s="1"/>
  <c r="AA212" i="9"/>
  <c r="AB212" i="9" s="1"/>
  <c r="J76" i="9"/>
  <c r="W76" i="9" s="1"/>
  <c r="K76" i="9"/>
  <c r="BH75" i="13"/>
  <c r="D189" i="9"/>
  <c r="BH189" i="13"/>
  <c r="D147" i="9"/>
  <c r="BH147" i="13"/>
  <c r="AM71" i="13"/>
  <c r="AK71" i="13"/>
  <c r="AA201" i="9"/>
  <c r="AB201" i="9" s="1"/>
  <c r="J63" i="9"/>
  <c r="W63" i="9" s="1"/>
  <c r="K63" i="9"/>
  <c r="AA150" i="9"/>
  <c r="AB150" i="9" s="1"/>
  <c r="AA114" i="9"/>
  <c r="AB114" i="9" s="1"/>
  <c r="D114" i="9"/>
  <c r="BH114" i="13"/>
  <c r="AQ187" i="13"/>
  <c r="BM118" i="13"/>
  <c r="T58" i="9"/>
  <c r="P204" i="9"/>
  <c r="AA70" i="9"/>
  <c r="AB70" i="9" s="1"/>
  <c r="D126" i="9"/>
  <c r="BH126" i="13"/>
  <c r="P161" i="9"/>
  <c r="AA68" i="9"/>
  <c r="AB68" i="9" s="1"/>
  <c r="BF157" i="13"/>
  <c r="BK157" i="13"/>
  <c r="AI20" i="13"/>
  <c r="AJ20" i="13"/>
  <c r="AN20" i="13" s="1"/>
  <c r="BE29" i="13"/>
  <c r="BJ29" i="13"/>
  <c r="AJ160" i="13"/>
  <c r="AN160" i="13" s="1"/>
  <c r="AI160" i="13"/>
  <c r="D98" i="9"/>
  <c r="BH98" i="13"/>
  <c r="AA75" i="9"/>
  <c r="AB75" i="9" s="1"/>
  <c r="N10" i="31"/>
  <c r="D39" i="30"/>
  <c r="P138" i="9"/>
  <c r="AA111" i="9"/>
  <c r="AB111" i="9" s="1"/>
  <c r="AA183" i="9"/>
  <c r="AB183" i="9" s="1"/>
  <c r="K205" i="9"/>
  <c r="J205" i="9"/>
  <c r="W205" i="9" s="1"/>
  <c r="AA77" i="9"/>
  <c r="AB77" i="9" s="1"/>
  <c r="D136" i="9"/>
  <c r="BH136" i="13"/>
  <c r="AA90" i="9"/>
  <c r="AB90" i="9" s="1"/>
  <c r="K167" i="9"/>
  <c r="J167" i="9"/>
  <c r="W167" i="9" s="1"/>
  <c r="AA184" i="9"/>
  <c r="AB184" i="9" s="1"/>
  <c r="D104" i="9"/>
  <c r="BH104" i="13"/>
  <c r="AA64" i="9"/>
  <c r="AB64" i="9" s="1"/>
  <c r="AA57" i="9"/>
  <c r="AB57" i="9" s="1"/>
  <c r="BF165" i="13"/>
  <c r="BK165" i="13"/>
  <c r="K194" i="9"/>
  <c r="J194" i="9"/>
  <c r="W194" i="9" s="1"/>
  <c r="D49" i="9"/>
  <c r="BH49" i="13"/>
  <c r="D154" i="9"/>
  <c r="BH154" i="13"/>
  <c r="K206" i="9"/>
  <c r="J206" i="9"/>
  <c r="W206" i="9" s="1"/>
  <c r="X19" i="13"/>
  <c r="AA218" i="9"/>
  <c r="AB218" i="9" s="1"/>
  <c r="BK145" i="13"/>
  <c r="BF145" i="13"/>
  <c r="D202" i="9"/>
  <c r="BH202" i="13"/>
  <c r="AA79" i="9"/>
  <c r="AB79" i="9" s="1"/>
  <c r="D79" i="9"/>
  <c r="BH79" i="13"/>
  <c r="D178" i="9"/>
  <c r="BH178" i="13"/>
  <c r="T53" i="9"/>
  <c r="K107" i="9"/>
  <c r="J107" i="9"/>
  <c r="W107" i="9" s="1"/>
  <c r="AA176" i="9"/>
  <c r="AB176" i="9" s="1"/>
  <c r="D176" i="9"/>
  <c r="BH176" i="13"/>
  <c r="P216" i="9"/>
  <c r="AA131" i="9"/>
  <c r="AB131" i="9" s="1"/>
  <c r="D131" i="9"/>
  <c r="BH131" i="13"/>
  <c r="D177" i="9"/>
  <c r="BH177" i="13"/>
  <c r="P83" i="9"/>
  <c r="K132" i="9"/>
  <c r="J132" i="9"/>
  <c r="W132" i="9" s="1"/>
  <c r="E39" i="30"/>
  <c r="D169" i="9" l="1"/>
  <c r="AJ164" i="13"/>
  <c r="AN164" i="13" s="1"/>
  <c r="BF164" i="13" s="1"/>
  <c r="AM103" i="13"/>
  <c r="AQ103" i="13" s="1"/>
  <c r="BH106" i="13"/>
  <c r="AK42" i="13"/>
  <c r="BH217" i="13"/>
  <c r="BE42" i="13"/>
  <c r="BH94" i="13"/>
  <c r="BB42" i="13"/>
  <c r="AA42" i="9" s="1"/>
  <c r="AB42" i="9" s="1"/>
  <c r="AQ175" i="13"/>
  <c r="D175" i="9" s="1"/>
  <c r="BB29" i="13"/>
  <c r="AA29" i="9" s="1"/>
  <c r="AB29" i="9" s="1"/>
  <c r="AI195" i="13"/>
  <c r="AM195" i="13" s="1"/>
  <c r="G40" i="30"/>
  <c r="G41" i="30" s="1"/>
  <c r="G42" i="30" s="1"/>
  <c r="AI36" i="13"/>
  <c r="AM36" i="13" s="1"/>
  <c r="BE36" i="13" s="1"/>
  <c r="AN36" i="13"/>
  <c r="BF36" i="13" s="1"/>
  <c r="BK164" i="13"/>
  <c r="BM131" i="13"/>
  <c r="K178" i="9"/>
  <c r="J178" i="9"/>
  <c r="W178" i="9" s="1"/>
  <c r="BM104" i="13"/>
  <c r="BF160" i="13"/>
  <c r="BK160" i="13"/>
  <c r="BM114" i="13"/>
  <c r="BM147" i="13"/>
  <c r="K75" i="9"/>
  <c r="J75" i="9"/>
  <c r="W75" i="9" s="1"/>
  <c r="P76" i="9"/>
  <c r="P45" i="9"/>
  <c r="BM149" i="13"/>
  <c r="P74" i="9"/>
  <c r="D88" i="9"/>
  <c r="BH88" i="13"/>
  <c r="BM47" i="13"/>
  <c r="BM218" i="13"/>
  <c r="BJ165" i="13"/>
  <c r="BB165" i="13"/>
  <c r="BE165" i="13"/>
  <c r="AQ165" i="13"/>
  <c r="J153" i="9"/>
  <c r="W153" i="9" s="1"/>
  <c r="K153" i="9"/>
  <c r="P119" i="9"/>
  <c r="P69" i="9"/>
  <c r="D130" i="9"/>
  <c r="BH130" i="13"/>
  <c r="BM183" i="13"/>
  <c r="J87" i="9"/>
  <c r="W87" i="9" s="1"/>
  <c r="K87" i="9"/>
  <c r="BK29" i="13"/>
  <c r="BF29" i="13"/>
  <c r="X51" i="9"/>
  <c r="P86" i="9"/>
  <c r="BM37" i="13"/>
  <c r="BM197" i="13"/>
  <c r="P25" i="9"/>
  <c r="BM85" i="13"/>
  <c r="BM141" i="13"/>
  <c r="P214" i="9"/>
  <c r="BM159" i="13"/>
  <c r="AA44" i="9"/>
  <c r="AB44" i="9" s="1"/>
  <c r="BM94" i="13"/>
  <c r="BM123" i="13"/>
  <c r="X113" i="9"/>
  <c r="P188" i="9"/>
  <c r="X185" i="9"/>
  <c r="BM40" i="13"/>
  <c r="BM111" i="13"/>
  <c r="J134" i="9"/>
  <c r="W134" i="9" s="1"/>
  <c r="K134" i="9"/>
  <c r="BM150" i="13"/>
  <c r="O62" i="8"/>
  <c r="S62" i="8"/>
  <c r="V62" i="8"/>
  <c r="Z62" i="8"/>
  <c r="P199" i="9"/>
  <c r="BE145" i="13"/>
  <c r="AQ145" i="13"/>
  <c r="BB145" i="13"/>
  <c r="BJ145" i="13"/>
  <c r="BM215" i="13"/>
  <c r="BF43" i="13"/>
  <c r="BK43" i="13"/>
  <c r="BJ36" i="13"/>
  <c r="P105" i="9"/>
  <c r="BM35" i="13"/>
  <c r="BM77" i="13"/>
  <c r="AM146" i="13"/>
  <c r="AK146" i="13"/>
  <c r="BM193" i="13"/>
  <c r="J68" i="9"/>
  <c r="W68" i="9" s="1"/>
  <c r="K68" i="9"/>
  <c r="J54" i="9"/>
  <c r="W54" i="9" s="1"/>
  <c r="K54" i="9"/>
  <c r="BM148" i="13"/>
  <c r="BK112" i="13"/>
  <c r="BF112" i="13"/>
  <c r="BM73" i="13"/>
  <c r="BM201" i="13"/>
  <c r="BM82" i="13"/>
  <c r="D42" i="9"/>
  <c r="BH42" i="13"/>
  <c r="BM173" i="13"/>
  <c r="K97" i="9"/>
  <c r="J97" i="9"/>
  <c r="W97" i="9" s="1"/>
  <c r="BM84" i="13"/>
  <c r="T110" i="9"/>
  <c r="BM176" i="13"/>
  <c r="O9" i="31"/>
  <c r="E40" i="30"/>
  <c r="T83" i="9"/>
  <c r="J177" i="9"/>
  <c r="W177" i="9" s="1"/>
  <c r="K177" i="9"/>
  <c r="T216" i="9"/>
  <c r="J169" i="9"/>
  <c r="W169" i="9" s="1"/>
  <c r="K169" i="9"/>
  <c r="K176" i="9"/>
  <c r="J176" i="9"/>
  <c r="W176" i="9" s="1"/>
  <c r="BM79" i="13"/>
  <c r="P206" i="9"/>
  <c r="BM154" i="13"/>
  <c r="K49" i="9"/>
  <c r="J49" i="9"/>
  <c r="W49" i="9" s="1"/>
  <c r="J104" i="9"/>
  <c r="W104" i="9" s="1"/>
  <c r="K104" i="9"/>
  <c r="T138" i="9"/>
  <c r="BF20" i="13"/>
  <c r="BK20" i="13"/>
  <c r="K147" i="9"/>
  <c r="J147" i="9"/>
  <c r="W147" i="9" s="1"/>
  <c r="BM189" i="13"/>
  <c r="BM140" i="13"/>
  <c r="BM46" i="13"/>
  <c r="BM124" i="13"/>
  <c r="J99" i="9"/>
  <c r="W99" i="9" s="1"/>
  <c r="K99" i="9"/>
  <c r="J47" i="9"/>
  <c r="W47" i="9" s="1"/>
  <c r="K47" i="9"/>
  <c r="T92" i="9"/>
  <c r="K218" i="9"/>
  <c r="J218" i="9"/>
  <c r="W218" i="9" s="1"/>
  <c r="J64" i="9"/>
  <c r="W64" i="9" s="1"/>
  <c r="K64" i="9"/>
  <c r="AA130" i="9"/>
  <c r="AB130" i="9" s="1"/>
  <c r="J183" i="9"/>
  <c r="W183" i="9" s="1"/>
  <c r="K183" i="9"/>
  <c r="BM156" i="13"/>
  <c r="P219" i="9"/>
  <c r="AA192" i="9"/>
  <c r="AB192" i="9" s="1"/>
  <c r="J197" i="9"/>
  <c r="W197" i="9" s="1"/>
  <c r="K197" i="9"/>
  <c r="J85" i="9"/>
  <c r="W85" i="9" s="1"/>
  <c r="K85" i="9"/>
  <c r="K141" i="9"/>
  <c r="J141" i="9"/>
  <c r="W141" i="9" s="1"/>
  <c r="J152" i="9"/>
  <c r="W152" i="9" s="1"/>
  <c r="K152" i="9"/>
  <c r="BJ48" i="13"/>
  <c r="BE48" i="13"/>
  <c r="AQ48" i="13"/>
  <c r="BB48" i="13"/>
  <c r="J168" i="9"/>
  <c r="W168" i="9" s="1"/>
  <c r="K168" i="9"/>
  <c r="BM163" i="13"/>
  <c r="X133" i="9"/>
  <c r="P127" i="9"/>
  <c r="AA175" i="9"/>
  <c r="AB175" i="9" s="1"/>
  <c r="BM179" i="13"/>
  <c r="BM170" i="13"/>
  <c r="BM181" i="13"/>
  <c r="J123" i="9"/>
  <c r="W123" i="9" s="1"/>
  <c r="K123" i="9"/>
  <c r="P91" i="9"/>
  <c r="K184" i="9"/>
  <c r="J184" i="9"/>
  <c r="W184" i="9" s="1"/>
  <c r="K40" i="9"/>
  <c r="J40" i="9"/>
  <c r="W40" i="9" s="1"/>
  <c r="BM90" i="13"/>
  <c r="K155" i="9"/>
  <c r="J155" i="9"/>
  <c r="W155" i="9" s="1"/>
  <c r="P208" i="9"/>
  <c r="J117" i="9"/>
  <c r="W117" i="9" s="1"/>
  <c r="K117" i="9"/>
  <c r="AA187" i="9"/>
  <c r="AB187" i="9" s="1"/>
  <c r="K150" i="9"/>
  <c r="J150" i="9"/>
  <c r="W150" i="9" s="1"/>
  <c r="X62" i="13"/>
  <c r="P96" i="9"/>
  <c r="BM60" i="13"/>
  <c r="D39" i="9"/>
  <c r="BH39" i="13"/>
  <c r="J89" i="9"/>
  <c r="W89" i="9" s="1"/>
  <c r="K89" i="9"/>
  <c r="K125" i="9"/>
  <c r="J125" i="9"/>
  <c r="W125" i="9" s="1"/>
  <c r="P121" i="9"/>
  <c r="P220" i="9"/>
  <c r="BK175" i="13"/>
  <c r="BF175" i="13"/>
  <c r="BM135" i="13"/>
  <c r="AK198" i="13"/>
  <c r="AN198" i="13"/>
  <c r="AQ198" i="13" s="1"/>
  <c r="BM50" i="13"/>
  <c r="P158" i="9"/>
  <c r="J215" i="9"/>
  <c r="W215" i="9" s="1"/>
  <c r="K215" i="9"/>
  <c r="BM57" i="13"/>
  <c r="K77" i="9"/>
  <c r="J77" i="9"/>
  <c r="W77" i="9" s="1"/>
  <c r="BM61" i="13"/>
  <c r="BM191" i="13"/>
  <c r="BM217" i="13"/>
  <c r="K193" i="9"/>
  <c r="J193" i="9"/>
  <c r="W193" i="9" s="1"/>
  <c r="BM70" i="13"/>
  <c r="P118" i="9"/>
  <c r="W210" i="13"/>
  <c r="J82" i="9"/>
  <c r="W82" i="9" s="1"/>
  <c r="K82" i="9"/>
  <c r="BM28" i="13"/>
  <c r="K106" i="9"/>
  <c r="J106" i="9"/>
  <c r="W106" i="9" s="1"/>
  <c r="W24" i="13"/>
  <c r="T95" i="9"/>
  <c r="T190" i="9"/>
  <c r="P132" i="9"/>
  <c r="W27" i="13"/>
  <c r="J131" i="9"/>
  <c r="W131" i="9" s="1"/>
  <c r="K131" i="9"/>
  <c r="BM169" i="13"/>
  <c r="P107" i="9"/>
  <c r="X53" i="9"/>
  <c r="BM178" i="13"/>
  <c r="J79" i="9"/>
  <c r="W79" i="9" s="1"/>
  <c r="K79" i="9"/>
  <c r="BM202" i="13"/>
  <c r="K154" i="9"/>
  <c r="J154" i="9"/>
  <c r="W154" i="9" s="1"/>
  <c r="P167" i="9"/>
  <c r="BM136" i="13"/>
  <c r="P205" i="9"/>
  <c r="BM98" i="13"/>
  <c r="AM20" i="13"/>
  <c r="AK20" i="13"/>
  <c r="BM126" i="13"/>
  <c r="J114" i="9"/>
  <c r="W114" i="9" s="1"/>
  <c r="K114" i="9"/>
  <c r="BJ71" i="13"/>
  <c r="BE71" i="13"/>
  <c r="BB71" i="13"/>
  <c r="AQ71" i="13"/>
  <c r="J189" i="9"/>
  <c r="W189" i="9" s="1"/>
  <c r="K189" i="9"/>
  <c r="BM75" i="13"/>
  <c r="K46" i="9"/>
  <c r="J46" i="9"/>
  <c r="W46" i="9" s="1"/>
  <c r="J149" i="9"/>
  <c r="W149" i="9" s="1"/>
  <c r="K149" i="9"/>
  <c r="BM109" i="13"/>
  <c r="AA88" i="9"/>
  <c r="AB88" i="9" s="1"/>
  <c r="BJ66" i="13"/>
  <c r="BE66" i="13"/>
  <c r="AQ66" i="13"/>
  <c r="BB66" i="13"/>
  <c r="Y62" i="13"/>
  <c r="AA62" i="13"/>
  <c r="BK36" i="13"/>
  <c r="BJ103" i="13"/>
  <c r="BE103" i="13"/>
  <c r="BM153" i="13"/>
  <c r="K156" i="9"/>
  <c r="J156" i="9"/>
  <c r="W156" i="9" s="1"/>
  <c r="BM87" i="13"/>
  <c r="AQ157" i="13"/>
  <c r="BB157" i="13"/>
  <c r="BE157" i="13"/>
  <c r="BJ157" i="13"/>
  <c r="D192" i="9"/>
  <c r="BH192" i="13"/>
  <c r="J37" i="9"/>
  <c r="W37" i="9" s="1"/>
  <c r="K37" i="9"/>
  <c r="P196" i="9"/>
  <c r="BM116" i="13"/>
  <c r="K159" i="9"/>
  <c r="J159" i="9"/>
  <c r="W159" i="9" s="1"/>
  <c r="K163" i="9"/>
  <c r="J163" i="9"/>
  <c r="W163" i="9" s="1"/>
  <c r="J94" i="9"/>
  <c r="W94" i="9" s="1"/>
  <c r="K94" i="9"/>
  <c r="W21" i="13"/>
  <c r="J179" i="9"/>
  <c r="W179" i="9" s="1"/>
  <c r="K179" i="9"/>
  <c r="J170" i="9"/>
  <c r="W170" i="9" s="1"/>
  <c r="K170" i="9"/>
  <c r="BM166" i="13"/>
  <c r="AC19" i="8"/>
  <c r="BM200" i="13"/>
  <c r="BM180" i="13"/>
  <c r="J111" i="9"/>
  <c r="W111" i="9" s="1"/>
  <c r="K111" i="9"/>
  <c r="BM134" i="13"/>
  <c r="J60" i="9"/>
  <c r="W60" i="9" s="1"/>
  <c r="K60" i="9"/>
  <c r="AJ162" i="13"/>
  <c r="AN162" i="13" s="1"/>
  <c r="AI162" i="13"/>
  <c r="J135" i="9"/>
  <c r="W135" i="9" s="1"/>
  <c r="K135" i="9"/>
  <c r="BJ198" i="13"/>
  <c r="BE198" i="13"/>
  <c r="AK151" i="13"/>
  <c r="AN151" i="13"/>
  <c r="AQ151" i="13" s="1"/>
  <c r="BM67" i="13"/>
  <c r="BM34" i="13"/>
  <c r="K57" i="9"/>
  <c r="J57" i="9"/>
  <c r="W57" i="9" s="1"/>
  <c r="BM207" i="13"/>
  <c r="W80" i="13"/>
  <c r="K35" i="9"/>
  <c r="J35" i="9"/>
  <c r="W35" i="9" s="1"/>
  <c r="W143" i="13"/>
  <c r="K191" i="9"/>
  <c r="J191" i="9"/>
  <c r="W191" i="9" s="1"/>
  <c r="J217" i="9"/>
  <c r="W217" i="9" s="1"/>
  <c r="K217" i="9"/>
  <c r="BM68" i="13"/>
  <c r="J148" i="9"/>
  <c r="W148" i="9" s="1"/>
  <c r="K148" i="9"/>
  <c r="J73" i="9"/>
  <c r="W73" i="9" s="1"/>
  <c r="K73" i="9"/>
  <c r="T72" i="9"/>
  <c r="J201" i="9"/>
  <c r="W201" i="9" s="1"/>
  <c r="K201" i="9"/>
  <c r="BM212" i="13"/>
  <c r="K28" i="9"/>
  <c r="J28" i="9"/>
  <c r="W28" i="9" s="1"/>
  <c r="K173" i="9"/>
  <c r="J173" i="9"/>
  <c r="W173" i="9" s="1"/>
  <c r="K84" i="9"/>
  <c r="J84" i="9"/>
  <c r="W84" i="9" s="1"/>
  <c r="BM52" i="13"/>
  <c r="BM177" i="13"/>
  <c r="J202" i="9"/>
  <c r="W202" i="9" s="1"/>
  <c r="K202" i="9"/>
  <c r="BM49" i="13"/>
  <c r="AM164" i="13"/>
  <c r="P194" i="9"/>
  <c r="K136" i="9"/>
  <c r="J136" i="9"/>
  <c r="W136" i="9" s="1"/>
  <c r="BF195" i="13"/>
  <c r="BK195" i="13"/>
  <c r="N9" i="31"/>
  <c r="D40" i="30"/>
  <c r="K98" i="9"/>
  <c r="J98" i="9"/>
  <c r="W98" i="9" s="1"/>
  <c r="AM160" i="13"/>
  <c r="AK160" i="13"/>
  <c r="D29" i="9"/>
  <c r="BH29" i="13"/>
  <c r="T161" i="9"/>
  <c r="J126" i="9"/>
  <c r="W126" i="9" s="1"/>
  <c r="K126" i="9"/>
  <c r="T204" i="9"/>
  <c r="X58" i="9"/>
  <c r="D187" i="9"/>
  <c r="BH187" i="13"/>
  <c r="P63" i="9"/>
  <c r="W128" i="13"/>
  <c r="W15" i="13"/>
  <c r="W139" i="13"/>
  <c r="K140" i="9"/>
  <c r="J140" i="9"/>
  <c r="W140" i="9" s="1"/>
  <c r="J109" i="9"/>
  <c r="W109" i="9" s="1"/>
  <c r="K109" i="9"/>
  <c r="J124" i="9"/>
  <c r="W124" i="9" s="1"/>
  <c r="K124" i="9"/>
  <c r="BM99" i="13"/>
  <c r="P137" i="9"/>
  <c r="W182" i="13"/>
  <c r="BM64" i="13"/>
  <c r="J116" i="9"/>
  <c r="W116" i="9" s="1"/>
  <c r="K116" i="9"/>
  <c r="W56" i="13"/>
  <c r="BM152" i="13"/>
  <c r="T211" i="9"/>
  <c r="D44" i="9"/>
  <c r="BH44" i="13"/>
  <c r="BM168" i="13"/>
  <c r="AF16" i="8"/>
  <c r="AD16" i="8"/>
  <c r="J181" i="9"/>
  <c r="W181" i="9" s="1"/>
  <c r="K181" i="9"/>
  <c r="K166" i="9"/>
  <c r="J166" i="9"/>
  <c r="W166" i="9" s="1"/>
  <c r="K200" i="9"/>
  <c r="J200" i="9"/>
  <c r="W200" i="9" s="1"/>
  <c r="BM184" i="13"/>
  <c r="T203" i="9"/>
  <c r="K180" i="9"/>
  <c r="J180" i="9"/>
  <c r="W180" i="9" s="1"/>
  <c r="X129" i="9"/>
  <c r="J90" i="9"/>
  <c r="W90" i="9" s="1"/>
  <c r="K90" i="9"/>
  <c r="BM155" i="13"/>
  <c r="BM117" i="13"/>
  <c r="T115" i="9"/>
  <c r="W31" i="13"/>
  <c r="AA39" i="9"/>
  <c r="AB39" i="9" s="1"/>
  <c r="BM89" i="13"/>
  <c r="BM125" i="13"/>
  <c r="P59" i="9"/>
  <c r="J50" i="9"/>
  <c r="W50" i="9" s="1"/>
  <c r="K50" i="9"/>
  <c r="BE151" i="13"/>
  <c r="BJ151" i="13"/>
  <c r="J67" i="9"/>
  <c r="W67" i="9" s="1"/>
  <c r="K67" i="9"/>
  <c r="AM43" i="13"/>
  <c r="AK43" i="13"/>
  <c r="J34" i="9"/>
  <c r="W34" i="9" s="1"/>
  <c r="K34" i="9"/>
  <c r="K207" i="9"/>
  <c r="J207" i="9"/>
  <c r="W207" i="9" s="1"/>
  <c r="J61" i="9"/>
  <c r="W61" i="9" s="1"/>
  <c r="K61" i="9"/>
  <c r="X186" i="9"/>
  <c r="BF146" i="13"/>
  <c r="BK146" i="13"/>
  <c r="W22" i="13"/>
  <c r="K70" i="9"/>
  <c r="J70" i="9"/>
  <c r="W70" i="9" s="1"/>
  <c r="BM54" i="13"/>
  <c r="AM112" i="13"/>
  <c r="AK112" i="13"/>
  <c r="T32" i="9"/>
  <c r="K212" i="9"/>
  <c r="J212" i="9"/>
  <c r="W212" i="9" s="1"/>
  <c r="BM106" i="13"/>
  <c r="T93" i="9"/>
  <c r="BM97" i="13"/>
  <c r="K52" i="9"/>
  <c r="J52" i="9"/>
  <c r="W52" i="9" s="1"/>
  <c r="AK164" i="13" l="1"/>
  <c r="BB103" i="13"/>
  <c r="BH175" i="13"/>
  <c r="BB36" i="13"/>
  <c r="AA36" i="9" s="1"/>
  <c r="AB36" i="9" s="1"/>
  <c r="BB151" i="13"/>
  <c r="AA151" i="9" s="1"/>
  <c r="AB151" i="9" s="1"/>
  <c r="P8" i="31"/>
  <c r="AK195" i="13"/>
  <c r="G52" i="30"/>
  <c r="G53" i="30"/>
  <c r="P7" i="31"/>
  <c r="AQ36" i="13"/>
  <c r="D36" i="9" s="1"/>
  <c r="AK36" i="13"/>
  <c r="BB198" i="13"/>
  <c r="AA198" i="9" s="1"/>
  <c r="AB198" i="9" s="1"/>
  <c r="P52" i="9"/>
  <c r="D151" i="9"/>
  <c r="BH151" i="13"/>
  <c r="T59" i="9"/>
  <c r="X31" i="13"/>
  <c r="P200" i="9"/>
  <c r="P166" i="9"/>
  <c r="J44" i="9"/>
  <c r="W44" i="9" s="1"/>
  <c r="K44" i="9"/>
  <c r="O182" i="8"/>
  <c r="S182" i="8"/>
  <c r="V182" i="8"/>
  <c r="Z182" i="8"/>
  <c r="W172" i="13"/>
  <c r="T137" i="9"/>
  <c r="X139" i="13"/>
  <c r="O15" i="8"/>
  <c r="S15" i="8"/>
  <c r="V15" i="8"/>
  <c r="Z15" i="8"/>
  <c r="O12" i="8"/>
  <c r="S12" i="8"/>
  <c r="V12" i="8"/>
  <c r="Z12" i="8"/>
  <c r="BM187" i="13"/>
  <c r="P126" i="9"/>
  <c r="X161" i="9"/>
  <c r="BB160" i="13"/>
  <c r="BJ160" i="13"/>
  <c r="BE160" i="13"/>
  <c r="AQ160" i="13"/>
  <c r="BE164" i="13"/>
  <c r="BB164" i="13"/>
  <c r="BJ164" i="13"/>
  <c r="AQ164" i="13"/>
  <c r="X38" i="13"/>
  <c r="W38" i="13"/>
  <c r="P73" i="9"/>
  <c r="X100" i="13"/>
  <c r="P35" i="9"/>
  <c r="P57" i="9"/>
  <c r="D198" i="9"/>
  <c r="BH198" i="13"/>
  <c r="P135" i="9"/>
  <c r="O26" i="8"/>
  <c r="S26" i="8"/>
  <c r="V26" i="8"/>
  <c r="Z26" i="8"/>
  <c r="Y139" i="13"/>
  <c r="BM175" i="13"/>
  <c r="O21" i="8"/>
  <c r="S21" i="8"/>
  <c r="V21" i="8"/>
  <c r="Z21" i="8"/>
  <c r="P163" i="9"/>
  <c r="T196" i="9"/>
  <c r="AA103" i="9"/>
  <c r="AB103" i="9" s="1"/>
  <c r="O122" i="8"/>
  <c r="S122" i="8"/>
  <c r="V122" i="8"/>
  <c r="Z122" i="8"/>
  <c r="P46" i="9"/>
  <c r="T205" i="9"/>
  <c r="P154" i="9"/>
  <c r="T107" i="9"/>
  <c r="O27" i="8"/>
  <c r="S27" i="8"/>
  <c r="V27" i="8"/>
  <c r="Z27" i="8"/>
  <c r="W78" i="13"/>
  <c r="T132" i="9"/>
  <c r="X24" i="13"/>
  <c r="AA210" i="13"/>
  <c r="O142" i="8"/>
  <c r="M302" i="8" s="1"/>
  <c r="S142" i="8"/>
  <c r="Q302" i="8" s="1"/>
  <c r="V142" i="8"/>
  <c r="T302" i="8" s="1"/>
  <c r="Z142" i="8"/>
  <c r="T158" i="9"/>
  <c r="T96" i="9"/>
  <c r="T208" i="9"/>
  <c r="P184" i="9"/>
  <c r="D48" i="9"/>
  <c r="BH48" i="13"/>
  <c r="P152" i="9"/>
  <c r="X108" i="13"/>
  <c r="Y210" i="13"/>
  <c r="Y213" i="13"/>
  <c r="P47" i="9"/>
  <c r="Y23" i="13"/>
  <c r="X17" i="13"/>
  <c r="W17" i="13"/>
  <c r="W144" i="13"/>
  <c r="P104" i="9"/>
  <c r="P49" i="9"/>
  <c r="P176" i="9"/>
  <c r="P169" i="9"/>
  <c r="O65" i="8"/>
  <c r="S65" i="8"/>
  <c r="Q243" i="8" s="1"/>
  <c r="V65" i="8"/>
  <c r="Z65" i="8"/>
  <c r="E53" i="30"/>
  <c r="O8" i="31"/>
  <c r="E41" i="30"/>
  <c r="P97" i="9"/>
  <c r="Y171" i="13"/>
  <c r="O14" i="8"/>
  <c r="S14" i="8"/>
  <c r="V14" i="8"/>
  <c r="Z14" i="8"/>
  <c r="W14" i="13"/>
  <c r="X243" i="8"/>
  <c r="AC62" i="8"/>
  <c r="O23" i="8"/>
  <c r="S23" i="8"/>
  <c r="V23" i="8"/>
  <c r="Z23" i="8"/>
  <c r="W23" i="13"/>
  <c r="Y24" i="13"/>
  <c r="T69" i="9"/>
  <c r="P153" i="9"/>
  <c r="AA165" i="9"/>
  <c r="AB165" i="9" s="1"/>
  <c r="W102" i="13"/>
  <c r="BM88" i="13"/>
  <c r="T76" i="9"/>
  <c r="P75" i="9"/>
  <c r="O18" i="8"/>
  <c r="S18" i="8"/>
  <c r="V18" i="8"/>
  <c r="Z18" i="8"/>
  <c r="G43" i="30"/>
  <c r="G44" i="30" s="1"/>
  <c r="G45" i="30" s="1"/>
  <c r="G46" i="30" s="1"/>
  <c r="G49" i="30" s="1"/>
  <c r="Y21" i="13"/>
  <c r="Y22" i="13"/>
  <c r="Y17" i="13"/>
  <c r="AF22" i="13"/>
  <c r="P50" i="9"/>
  <c r="Y174" i="13"/>
  <c r="O31" i="8"/>
  <c r="S31" i="8"/>
  <c r="V31" i="8"/>
  <c r="Z31" i="8"/>
  <c r="BE195" i="13"/>
  <c r="BJ195" i="13"/>
  <c r="BB195" i="13"/>
  <c r="AQ195" i="13"/>
  <c r="P180" i="9"/>
  <c r="P181" i="9"/>
  <c r="X211" i="9"/>
  <c r="O56" i="8"/>
  <c r="M242" i="8" s="1"/>
  <c r="S56" i="8"/>
  <c r="Q242" i="8" s="1"/>
  <c r="V56" i="8"/>
  <c r="T242" i="8" s="1"/>
  <c r="Z56" i="8"/>
  <c r="X182" i="13"/>
  <c r="AF182" i="13"/>
  <c r="AA182" i="13"/>
  <c r="P124" i="9"/>
  <c r="P109" i="9"/>
  <c r="P140" i="9"/>
  <c r="O139" i="8"/>
  <c r="S139" i="8"/>
  <c r="V139" i="8"/>
  <c r="Z139" i="8"/>
  <c r="X15" i="13"/>
  <c r="AA128" i="13"/>
  <c r="AF128" i="13"/>
  <c r="BM29" i="13"/>
  <c r="P98" i="9"/>
  <c r="P84" i="9"/>
  <c r="P28" i="9"/>
  <c r="W100" i="13"/>
  <c r="P217" i="9"/>
  <c r="P191" i="9"/>
  <c r="AF80" i="13"/>
  <c r="P111" i="9"/>
  <c r="X21" i="13"/>
  <c r="P94" i="9"/>
  <c r="P159" i="9"/>
  <c r="P37" i="9"/>
  <c r="K192" i="9"/>
  <c r="J192" i="9"/>
  <c r="W192" i="9" s="1"/>
  <c r="X122" i="13"/>
  <c r="AA66" i="9"/>
  <c r="AB66" i="9" s="1"/>
  <c r="Y15" i="13"/>
  <c r="X81" i="13"/>
  <c r="D71" i="9"/>
  <c r="BH71" i="13"/>
  <c r="BJ20" i="13"/>
  <c r="BE20" i="13"/>
  <c r="AQ20" i="13"/>
  <c r="BB20" i="13"/>
  <c r="T167" i="9"/>
  <c r="X27" i="13"/>
  <c r="P82" i="9"/>
  <c r="P215" i="9"/>
  <c r="P125" i="9"/>
  <c r="Y13" i="13"/>
  <c r="BM39" i="13"/>
  <c r="P155" i="9"/>
  <c r="T127" i="9"/>
  <c r="W108" i="13"/>
  <c r="O120" i="8"/>
  <c r="S120" i="8"/>
  <c r="V120" i="8"/>
  <c r="Z120" i="8"/>
  <c r="Y65" i="13"/>
  <c r="P64" i="9"/>
  <c r="O17" i="8"/>
  <c r="S17" i="8"/>
  <c r="V17" i="8"/>
  <c r="Z17" i="8"/>
  <c r="W30" i="13"/>
  <c r="X65" i="13"/>
  <c r="X110" i="9"/>
  <c r="AA145" i="9"/>
  <c r="AB145" i="9" s="1"/>
  <c r="T199" i="9"/>
  <c r="T243" i="8"/>
  <c r="P134" i="9"/>
  <c r="T188" i="9"/>
  <c r="X23" i="13"/>
  <c r="O171" i="8"/>
  <c r="S171" i="8"/>
  <c r="V171" i="8"/>
  <c r="Z171" i="8"/>
  <c r="T86" i="9"/>
  <c r="P87" i="9"/>
  <c r="K130" i="9"/>
  <c r="J130" i="9"/>
  <c r="W130" i="9" s="1"/>
  <c r="T45" i="9"/>
  <c r="W33" i="13"/>
  <c r="O55" i="8"/>
  <c r="S55" i="8"/>
  <c r="V55" i="8"/>
  <c r="Z55" i="8"/>
  <c r="P178" i="9"/>
  <c r="P212" i="9"/>
  <c r="P61" i="9"/>
  <c r="P207" i="9"/>
  <c r="BB43" i="13"/>
  <c r="AQ43" i="13"/>
  <c r="BE43" i="13"/>
  <c r="BJ43" i="13"/>
  <c r="AQ112" i="13"/>
  <c r="BJ112" i="13"/>
  <c r="BB112" i="13"/>
  <c r="BE112" i="13"/>
  <c r="P70" i="9"/>
  <c r="X22" i="13"/>
  <c r="P34" i="9"/>
  <c r="P67" i="9"/>
  <c r="AF31" i="13"/>
  <c r="AA31" i="13"/>
  <c r="X115" i="9"/>
  <c r="Y120" i="13"/>
  <c r="Y26" i="13"/>
  <c r="Y38" i="13"/>
  <c r="AH16" i="8"/>
  <c r="F16" i="13" s="1"/>
  <c r="AP16" i="8"/>
  <c r="AM16" i="8"/>
  <c r="D16" i="13"/>
  <c r="AQ16" i="8"/>
  <c r="X174" i="13"/>
  <c r="BM44" i="13"/>
  <c r="X56" i="13"/>
  <c r="AA56" i="13"/>
  <c r="P116" i="9"/>
  <c r="Y100" i="13"/>
  <c r="X172" i="13"/>
  <c r="AA15" i="13"/>
  <c r="AF15" i="13"/>
  <c r="X128" i="13"/>
  <c r="T63" i="9"/>
  <c r="X12" i="13"/>
  <c r="K187" i="9"/>
  <c r="J187" i="9"/>
  <c r="W187" i="9" s="1"/>
  <c r="X204" i="9"/>
  <c r="P136" i="9"/>
  <c r="T194" i="9"/>
  <c r="P173" i="9"/>
  <c r="P201" i="9"/>
  <c r="X72" i="9"/>
  <c r="Y55" i="13"/>
  <c r="P148" i="9"/>
  <c r="O143" i="8"/>
  <c r="M303" i="8" s="1"/>
  <c r="S143" i="8"/>
  <c r="Q303" i="8" s="1"/>
  <c r="V143" i="8"/>
  <c r="T303" i="8" s="1"/>
  <c r="Z143" i="8"/>
  <c r="O80" i="8"/>
  <c r="S80" i="8"/>
  <c r="V80" i="8"/>
  <c r="Z80" i="8"/>
  <c r="AM162" i="13"/>
  <c r="AK162" i="13"/>
  <c r="P60" i="9"/>
  <c r="Y81" i="13"/>
  <c r="W26" i="13"/>
  <c r="AF19" i="8"/>
  <c r="AD19" i="8"/>
  <c r="K175" i="9"/>
  <c r="J175" i="9"/>
  <c r="W175" i="9" s="1"/>
  <c r="Y78" i="13"/>
  <c r="AA157" i="9"/>
  <c r="AB157" i="9" s="1"/>
  <c r="Y14" i="13"/>
  <c r="P156" i="9"/>
  <c r="D103" i="9"/>
  <c r="BH103" i="13"/>
  <c r="W122" i="13"/>
  <c r="D66" i="9"/>
  <c r="BH66" i="13"/>
  <c r="Y182" i="13"/>
  <c r="P149" i="9"/>
  <c r="O81" i="8"/>
  <c r="M246" i="8" s="1"/>
  <c r="S81" i="8"/>
  <c r="Q246" i="8" s="1"/>
  <c r="V81" i="8"/>
  <c r="T246" i="8" s="1"/>
  <c r="Z81" i="8"/>
  <c r="AA71" i="9"/>
  <c r="AB71" i="9" s="1"/>
  <c r="P131" i="9"/>
  <c r="AA27" i="13"/>
  <c r="X78" i="13"/>
  <c r="X190" i="9"/>
  <c r="X95" i="9"/>
  <c r="AA24" i="13"/>
  <c r="AF24" i="13"/>
  <c r="P106" i="9"/>
  <c r="X210" i="13"/>
  <c r="T118" i="9"/>
  <c r="P193" i="9"/>
  <c r="P77" i="9"/>
  <c r="Y31" i="13"/>
  <c r="P150" i="9"/>
  <c r="P117" i="9"/>
  <c r="P40" i="9"/>
  <c r="P123" i="9"/>
  <c r="P141" i="9"/>
  <c r="X120" i="13"/>
  <c r="X92" i="9"/>
  <c r="O13" i="8"/>
  <c r="S13" i="8"/>
  <c r="V13" i="8"/>
  <c r="Z13" i="8"/>
  <c r="W13" i="13"/>
  <c r="P99" i="9"/>
  <c r="O213" i="8"/>
  <c r="M259" i="8" s="1"/>
  <c r="S213" i="8"/>
  <c r="Q259" i="8" s="1"/>
  <c r="V213" i="8"/>
  <c r="T259" i="8" s="1"/>
  <c r="Z213" i="8"/>
  <c r="X138" i="9"/>
  <c r="X144" i="13"/>
  <c r="X216" i="9"/>
  <c r="X83" i="9"/>
  <c r="BM42" i="13"/>
  <c r="P54" i="9"/>
  <c r="T105" i="9"/>
  <c r="D145" i="9"/>
  <c r="BH145" i="13"/>
  <c r="T214" i="9"/>
  <c r="T25" i="9"/>
  <c r="X171" i="13"/>
  <c r="W171" i="13"/>
  <c r="Y27" i="13"/>
  <c r="Y128" i="13"/>
  <c r="D165" i="9"/>
  <c r="BH165" i="13"/>
  <c r="X102" i="13"/>
  <c r="K88" i="9"/>
  <c r="J88" i="9"/>
  <c r="W88" i="9" s="1"/>
  <c r="W18" i="13"/>
  <c r="X33" i="13"/>
  <c r="X55" i="13"/>
  <c r="X93" i="9"/>
  <c r="X32" i="9"/>
  <c r="O22" i="8"/>
  <c r="S22" i="8"/>
  <c r="V22" i="8"/>
  <c r="Z22" i="8"/>
  <c r="Y144" i="13"/>
  <c r="P90" i="9"/>
  <c r="X203" i="9"/>
  <c r="Y172" i="13"/>
  <c r="O174" i="8"/>
  <c r="M255" i="8" s="1"/>
  <c r="S174" i="8"/>
  <c r="Q255" i="8" s="1"/>
  <c r="V174" i="8"/>
  <c r="T255" i="8" s="1"/>
  <c r="Z174" i="8"/>
  <c r="W174" i="13"/>
  <c r="O172" i="8"/>
  <c r="S172" i="8"/>
  <c r="V172" i="8"/>
  <c r="Z172" i="8"/>
  <c r="AA139" i="13"/>
  <c r="O128" i="8"/>
  <c r="M301" i="8" s="1"/>
  <c r="S128" i="8"/>
  <c r="Q301" i="8" s="1"/>
  <c r="V128" i="8"/>
  <c r="T301" i="8" s="1"/>
  <c r="Z128" i="8"/>
  <c r="J29" i="9"/>
  <c r="W29" i="9" s="1"/>
  <c r="K29" i="9"/>
  <c r="D53" i="30"/>
  <c r="N8" i="31"/>
  <c r="D41" i="30"/>
  <c r="D52" i="30" s="1"/>
  <c r="P202" i="9"/>
  <c r="O38" i="8"/>
  <c r="S38" i="8"/>
  <c r="V38" i="8"/>
  <c r="Z38" i="8"/>
  <c r="O100" i="8"/>
  <c r="S100" i="8"/>
  <c r="V100" i="8"/>
  <c r="Z100" i="8"/>
  <c r="X143" i="13"/>
  <c r="AF143" i="13"/>
  <c r="AA143" i="13"/>
  <c r="X80" i="13"/>
  <c r="Y122" i="13"/>
  <c r="BF151" i="13"/>
  <c r="BK151" i="13"/>
  <c r="BF162" i="13"/>
  <c r="BK162" i="13"/>
  <c r="X26" i="13"/>
  <c r="P170" i="9"/>
  <c r="P179" i="9"/>
  <c r="AF21" i="13"/>
  <c r="AA21" i="13"/>
  <c r="BM192" i="13"/>
  <c r="D157" i="9"/>
  <c r="BH157" i="13"/>
  <c r="Y33" i="13"/>
  <c r="Y142" i="13"/>
  <c r="W81" i="13"/>
  <c r="W101" i="13"/>
  <c r="P189" i="9"/>
  <c r="P114" i="9"/>
  <c r="P79" i="9"/>
  <c r="O78" i="8"/>
  <c r="S78" i="8"/>
  <c r="V78" i="8"/>
  <c r="Z78" i="8"/>
  <c r="Y102" i="13"/>
  <c r="Y12" i="13"/>
  <c r="O24" i="8"/>
  <c r="M238" i="8" s="1"/>
  <c r="S24" i="8"/>
  <c r="V24" i="8"/>
  <c r="T238" i="8" s="1"/>
  <c r="Z24" i="8"/>
  <c r="O210" i="8"/>
  <c r="S210" i="8"/>
  <c r="V210" i="8"/>
  <c r="Z210" i="8"/>
  <c r="Y108" i="13"/>
  <c r="X142" i="13"/>
  <c r="W142" i="13"/>
  <c r="BF198" i="13"/>
  <c r="BK198" i="13"/>
  <c r="T220" i="9"/>
  <c r="T121" i="9"/>
  <c r="P89" i="9"/>
  <c r="J39" i="9"/>
  <c r="W39" i="9" s="1"/>
  <c r="K39" i="9"/>
  <c r="T91" i="9"/>
  <c r="P168" i="9"/>
  <c r="AA48" i="9"/>
  <c r="AB48" i="9" s="1"/>
  <c r="P85" i="9"/>
  <c r="P197" i="9"/>
  <c r="O108" i="8"/>
  <c r="S108" i="8"/>
  <c r="Q299" i="8" s="1"/>
  <c r="V108" i="8"/>
  <c r="T299" i="8" s="1"/>
  <c r="Z108" i="8"/>
  <c r="W120" i="13"/>
  <c r="T219" i="9"/>
  <c r="P183" i="9"/>
  <c r="P218" i="9"/>
  <c r="X13" i="13"/>
  <c r="P147" i="9"/>
  <c r="X213" i="13"/>
  <c r="W213" i="13"/>
  <c r="O144" i="8"/>
  <c r="M304" i="8" s="1"/>
  <c r="S144" i="8"/>
  <c r="Q304" i="8" s="1"/>
  <c r="V144" i="8"/>
  <c r="T304" i="8" s="1"/>
  <c r="Z144" i="8"/>
  <c r="T206" i="9"/>
  <c r="W65" i="13"/>
  <c r="P177" i="9"/>
  <c r="J42" i="9"/>
  <c r="W42" i="9" s="1"/>
  <c r="K42" i="9"/>
  <c r="P68" i="9"/>
  <c r="Y18" i="13"/>
  <c r="BJ146" i="13"/>
  <c r="BE146" i="13"/>
  <c r="AQ146" i="13"/>
  <c r="BB146" i="13"/>
  <c r="Y56" i="13"/>
  <c r="Y80" i="13"/>
  <c r="X14" i="13"/>
  <c r="M243" i="8"/>
  <c r="Y143" i="13"/>
  <c r="BM130" i="13"/>
  <c r="T119" i="9"/>
  <c r="O102" i="8"/>
  <c r="M249" i="8" s="1"/>
  <c r="S102" i="8"/>
  <c r="Q249" i="8" s="1"/>
  <c r="V102" i="8"/>
  <c r="T249" i="8" s="1"/>
  <c r="Z102" i="8"/>
  <c r="T74" i="9"/>
  <c r="X18" i="13"/>
  <c r="O33" i="8"/>
  <c r="M240" i="8" s="1"/>
  <c r="S33" i="8"/>
  <c r="Q240" i="8" s="1"/>
  <c r="V33" i="8"/>
  <c r="T240" i="8" s="1"/>
  <c r="Z33" i="8"/>
  <c r="W55" i="13"/>
  <c r="BH36" i="13" l="1"/>
  <c r="M299" i="8"/>
  <c r="G51" i="30"/>
  <c r="Q238" i="8"/>
  <c r="X249" i="8"/>
  <c r="AC102" i="8"/>
  <c r="X240" i="8"/>
  <c r="AC33" i="8"/>
  <c r="X74" i="9"/>
  <c r="X119" i="9"/>
  <c r="AA146" i="9"/>
  <c r="AB146" i="9" s="1"/>
  <c r="T177" i="9"/>
  <c r="X304" i="8"/>
  <c r="AC144" i="8"/>
  <c r="X219" i="9"/>
  <c r="X299" i="8"/>
  <c r="AC108" i="8"/>
  <c r="Y41" i="13"/>
  <c r="P39" i="9"/>
  <c r="T89" i="9"/>
  <c r="M258" i="8"/>
  <c r="M322" i="8"/>
  <c r="T244" i="8"/>
  <c r="T314" i="8"/>
  <c r="AF101" i="13"/>
  <c r="AF81" i="13"/>
  <c r="AA81" i="13"/>
  <c r="Q247" i="8"/>
  <c r="Q279" i="8"/>
  <c r="X282" i="8"/>
  <c r="X254" i="8"/>
  <c r="AC172" i="8"/>
  <c r="X280" i="8"/>
  <c r="X311" i="8"/>
  <c r="X297" i="8"/>
  <c r="X237" i="8"/>
  <c r="AC22" i="8"/>
  <c r="X273" i="8"/>
  <c r="P88" i="9"/>
  <c r="J165" i="9"/>
  <c r="W165" i="9" s="1"/>
  <c r="K165" i="9"/>
  <c r="X214" i="9"/>
  <c r="T99" i="9"/>
  <c r="AA13" i="13"/>
  <c r="AF13" i="13"/>
  <c r="M272" i="8"/>
  <c r="T123" i="9"/>
  <c r="T193" i="9"/>
  <c r="T106" i="9"/>
  <c r="T149" i="9"/>
  <c r="D19" i="13"/>
  <c r="AH19" i="8"/>
  <c r="F19" i="13" s="1"/>
  <c r="AP19" i="8"/>
  <c r="AM19" i="8"/>
  <c r="AQ19" i="8"/>
  <c r="T60" i="9"/>
  <c r="X295" i="8"/>
  <c r="X315" i="8"/>
  <c r="X245" i="8"/>
  <c r="AC80" i="8"/>
  <c r="T201" i="9"/>
  <c r="K16" i="13"/>
  <c r="S16" i="13"/>
  <c r="L16" i="13"/>
  <c r="X58" i="14"/>
  <c r="T67" i="9"/>
  <c r="T70" i="9"/>
  <c r="D112" i="9"/>
  <c r="BH112" i="13"/>
  <c r="D43" i="9"/>
  <c r="BH43" i="13"/>
  <c r="M313" i="8"/>
  <c r="M241" i="8"/>
  <c r="X86" i="9"/>
  <c r="Q253" i="8"/>
  <c r="Q319" i="8"/>
  <c r="X199" i="9"/>
  <c r="X269" i="8"/>
  <c r="AC17" i="8"/>
  <c r="Q250" i="8"/>
  <c r="Q317" i="8"/>
  <c r="AA108" i="13"/>
  <c r="AF108" i="13"/>
  <c r="Y30" i="13"/>
  <c r="X127" i="9"/>
  <c r="T155" i="9"/>
  <c r="BM71" i="13"/>
  <c r="T37" i="9"/>
  <c r="Q318" i="8"/>
  <c r="Q228" i="8"/>
  <c r="Q252" i="8"/>
  <c r="T124" i="9"/>
  <c r="X242" i="8"/>
  <c r="AC56" i="8"/>
  <c r="D195" i="9"/>
  <c r="BH195" i="13"/>
  <c r="M287" i="8"/>
  <c r="T50" i="9"/>
  <c r="P6" i="31"/>
  <c r="Q268" i="8"/>
  <c r="T75" i="9"/>
  <c r="O222" i="13"/>
  <c r="O8" i="13" s="1"/>
  <c r="AF23" i="13"/>
  <c r="AA23" i="13"/>
  <c r="M298" i="8"/>
  <c r="X294" i="8"/>
  <c r="X236" i="8"/>
  <c r="X271" i="8"/>
  <c r="X281" i="8"/>
  <c r="AC14" i="8"/>
  <c r="Y101" i="13"/>
  <c r="BM48" i="13"/>
  <c r="T267" i="8"/>
  <c r="X205" i="9"/>
  <c r="Q251" i="8"/>
  <c r="Q300" i="8"/>
  <c r="AC21" i="8"/>
  <c r="T35" i="9"/>
  <c r="AA160" i="9"/>
  <c r="AB160" i="9" s="1"/>
  <c r="M270" i="8"/>
  <c r="T256" i="8"/>
  <c r="T321" i="8"/>
  <c r="P44" i="9"/>
  <c r="BM151" i="13"/>
  <c r="T52" i="9"/>
  <c r="AA55" i="13"/>
  <c r="AF55" i="13"/>
  <c r="AA65" i="13"/>
  <c r="AF65" i="13"/>
  <c r="AF213" i="13"/>
  <c r="AA213" i="13"/>
  <c r="AA120" i="13"/>
  <c r="AF120" i="13"/>
  <c r="T168" i="9"/>
  <c r="X91" i="9"/>
  <c r="X220" i="9"/>
  <c r="X258" i="8"/>
  <c r="X322" i="8"/>
  <c r="AC210" i="8"/>
  <c r="X238" i="8"/>
  <c r="AC24" i="8"/>
  <c r="Q314" i="8"/>
  <c r="Q244" i="8"/>
  <c r="W41" i="13"/>
  <c r="T170" i="9"/>
  <c r="M247" i="8"/>
  <c r="M279" i="8"/>
  <c r="T254" i="8"/>
  <c r="AA174" i="13"/>
  <c r="T90" i="9"/>
  <c r="T280" i="8"/>
  <c r="T237" i="8"/>
  <c r="T311" i="8"/>
  <c r="T297" i="8"/>
  <c r="T273" i="8"/>
  <c r="AA18" i="13"/>
  <c r="AF18" i="13"/>
  <c r="AF171" i="13"/>
  <c r="AA171" i="13"/>
  <c r="X25" i="9"/>
  <c r="K145" i="9"/>
  <c r="J145" i="9"/>
  <c r="W145" i="9" s="1"/>
  <c r="BM36" i="13"/>
  <c r="X105" i="9"/>
  <c r="T54" i="9"/>
  <c r="X272" i="8"/>
  <c r="AC13" i="8"/>
  <c r="T141" i="9"/>
  <c r="T150" i="9"/>
  <c r="X118" i="9"/>
  <c r="T131" i="9"/>
  <c r="X246" i="8"/>
  <c r="AC81" i="8"/>
  <c r="J66" i="9"/>
  <c r="W66" i="9" s="1"/>
  <c r="K66" i="9"/>
  <c r="T156" i="9"/>
  <c r="P175" i="9"/>
  <c r="BJ162" i="13"/>
  <c r="BE162" i="13"/>
  <c r="AQ162" i="13"/>
  <c r="BB162" i="13"/>
  <c r="T295" i="8"/>
  <c r="T245" i="8"/>
  <c r="T315" i="8"/>
  <c r="X303" i="8"/>
  <c r="AC143" i="8"/>
  <c r="X194" i="9"/>
  <c r="Y113" i="14"/>
  <c r="AA112" i="9"/>
  <c r="AB112" i="9" s="1"/>
  <c r="AA43" i="9"/>
  <c r="AB43" i="9" s="1"/>
  <c r="T207" i="9"/>
  <c r="X313" i="8"/>
  <c r="X241" i="8"/>
  <c r="AC55" i="8"/>
  <c r="X45" i="9"/>
  <c r="T87" i="9"/>
  <c r="M319" i="8"/>
  <c r="M253" i="8"/>
  <c r="X188" i="9"/>
  <c r="T134" i="9"/>
  <c r="T269" i="8"/>
  <c r="M250" i="8"/>
  <c r="M317" i="8"/>
  <c r="X167" i="9"/>
  <c r="J71" i="9"/>
  <c r="W71" i="9" s="1"/>
  <c r="K71" i="9"/>
  <c r="P192" i="9"/>
  <c r="T94" i="9"/>
  <c r="T111" i="9"/>
  <c r="T217" i="9"/>
  <c r="T28" i="9"/>
  <c r="M228" i="8"/>
  <c r="M252" i="8"/>
  <c r="M318" i="8"/>
  <c r="T109" i="9"/>
  <c r="T181" i="9"/>
  <c r="T180" i="9"/>
  <c r="AA195" i="9"/>
  <c r="AB195" i="9" s="1"/>
  <c r="X287" i="8"/>
  <c r="AC31" i="8"/>
  <c r="AC18" i="8"/>
  <c r="X268" i="8"/>
  <c r="M268" i="8"/>
  <c r="T153" i="9"/>
  <c r="X298" i="8"/>
  <c r="AC23" i="8"/>
  <c r="T236" i="8"/>
  <c r="T294" i="8"/>
  <c r="T271" i="8"/>
  <c r="T281" i="8"/>
  <c r="T97" i="9"/>
  <c r="AC65" i="8"/>
  <c r="W51" i="14"/>
  <c r="W133" i="14"/>
  <c r="X133" i="14"/>
  <c r="T47" i="9"/>
  <c r="X208" i="9"/>
  <c r="X96" i="9"/>
  <c r="X158" i="9"/>
  <c r="AF78" i="13"/>
  <c r="AA78" i="13"/>
  <c r="Q267" i="8"/>
  <c r="X107" i="9"/>
  <c r="T46" i="9"/>
  <c r="M251" i="8"/>
  <c r="M300" i="8"/>
  <c r="T163" i="9"/>
  <c r="D164" i="9"/>
  <c r="BH164" i="13"/>
  <c r="BH160" i="13"/>
  <c r="D160" i="9"/>
  <c r="X270" i="8"/>
  <c r="AC12" i="8"/>
  <c r="AC15" i="8"/>
  <c r="X137" i="9"/>
  <c r="Q321" i="8"/>
  <c r="Q256" i="8"/>
  <c r="T200" i="9"/>
  <c r="W209" i="13"/>
  <c r="D146" i="9"/>
  <c r="BH146" i="13"/>
  <c r="T68" i="9"/>
  <c r="P42" i="9"/>
  <c r="T147" i="9"/>
  <c r="T218" i="9"/>
  <c r="T183" i="9"/>
  <c r="T85" i="9"/>
  <c r="W113" i="14"/>
  <c r="X121" i="9"/>
  <c r="AA142" i="13"/>
  <c r="T258" i="8"/>
  <c r="T322" i="8"/>
  <c r="M314" i="8"/>
  <c r="M244" i="8"/>
  <c r="T114" i="9"/>
  <c r="T189" i="9"/>
  <c r="O101" i="8"/>
  <c r="M248" i="8" s="1"/>
  <c r="S101" i="8"/>
  <c r="Q248" i="8" s="1"/>
  <c r="V101" i="8"/>
  <c r="T248" i="8" s="1"/>
  <c r="Z101" i="8"/>
  <c r="O41" i="8"/>
  <c r="M266" i="8" s="1"/>
  <c r="S41" i="8"/>
  <c r="Q266" i="8" s="1"/>
  <c r="V41" i="8"/>
  <c r="T266" i="8" s="1"/>
  <c r="Z41" i="8"/>
  <c r="BM157" i="13"/>
  <c r="T179" i="9"/>
  <c r="X247" i="8"/>
  <c r="X316" i="8"/>
  <c r="AC100" i="8"/>
  <c r="X279" i="8"/>
  <c r="AC38" i="8"/>
  <c r="P29" i="9"/>
  <c r="X301" i="8"/>
  <c r="AC128" i="8"/>
  <c r="Q254" i="8"/>
  <c r="X255" i="8"/>
  <c r="AC174" i="8"/>
  <c r="Q273" i="8"/>
  <c r="Q237" i="8"/>
  <c r="Q311" i="8"/>
  <c r="Q280" i="8"/>
  <c r="Q297" i="8"/>
  <c r="K36" i="9"/>
  <c r="J36" i="9"/>
  <c r="W36" i="9" s="1"/>
  <c r="X259" i="8"/>
  <c r="AC213" i="8"/>
  <c r="T272" i="8"/>
  <c r="T117" i="9"/>
  <c r="T77" i="9"/>
  <c r="V5" i="13"/>
  <c r="V4" i="13"/>
  <c r="BM103" i="13"/>
  <c r="Q295" i="8"/>
  <c r="Q245" i="8"/>
  <c r="Q315" i="8"/>
  <c r="T173" i="9"/>
  <c r="P187" i="9"/>
  <c r="T116" i="9"/>
  <c r="T34" i="9"/>
  <c r="T61" i="9"/>
  <c r="T178" i="9"/>
  <c r="T313" i="8"/>
  <c r="T241" i="8"/>
  <c r="P130" i="9"/>
  <c r="X319" i="8"/>
  <c r="X253" i="8"/>
  <c r="AC171" i="8"/>
  <c r="X30" i="13"/>
  <c r="AF30" i="13"/>
  <c r="Q269" i="8"/>
  <c r="T64" i="9"/>
  <c r="X250" i="8"/>
  <c r="X317" i="8"/>
  <c r="AC120" i="8"/>
  <c r="T125" i="9"/>
  <c r="T215" i="9"/>
  <c r="T82" i="9"/>
  <c r="AA20" i="9"/>
  <c r="AB20" i="9" s="1"/>
  <c r="T159" i="9"/>
  <c r="T191" i="9"/>
  <c r="AA100" i="13"/>
  <c r="AF100" i="13"/>
  <c r="T98" i="9"/>
  <c r="X252" i="8"/>
  <c r="X228" i="8"/>
  <c r="X318" i="8"/>
  <c r="AC139" i="8"/>
  <c r="T287" i="8"/>
  <c r="X76" i="9"/>
  <c r="AF102" i="13"/>
  <c r="AA102" i="13"/>
  <c r="X69" i="9"/>
  <c r="T298" i="8"/>
  <c r="AD62" i="8"/>
  <c r="AF62" i="8"/>
  <c r="AD243" i="8"/>
  <c r="Q294" i="8"/>
  <c r="Q236" i="8"/>
  <c r="Q271" i="8"/>
  <c r="Q281" i="8"/>
  <c r="E52" i="30"/>
  <c r="O7" i="31"/>
  <c r="E42" i="30"/>
  <c r="T176" i="9"/>
  <c r="T104" i="9"/>
  <c r="AA17" i="13"/>
  <c r="T152" i="9"/>
  <c r="K48" i="9"/>
  <c r="J48" i="9"/>
  <c r="W48" i="9" s="1"/>
  <c r="M267" i="8"/>
  <c r="T154" i="9"/>
  <c r="Y185" i="14"/>
  <c r="X251" i="8"/>
  <c r="X300" i="8"/>
  <c r="AC122" i="8"/>
  <c r="X196" i="9"/>
  <c r="T135" i="9"/>
  <c r="BM198" i="13"/>
  <c r="Y186" i="14"/>
  <c r="T73" i="9"/>
  <c r="AA38" i="13"/>
  <c r="AF38" i="13"/>
  <c r="T270" i="8"/>
  <c r="T284" i="8"/>
  <c r="T282" i="8"/>
  <c r="AF172" i="13"/>
  <c r="AA172" i="13"/>
  <c r="M256" i="8"/>
  <c r="M321" i="8"/>
  <c r="J151" i="9"/>
  <c r="W151" i="9" s="1"/>
  <c r="K151" i="9"/>
  <c r="X206" i="9"/>
  <c r="T197" i="9"/>
  <c r="Q322" i="8"/>
  <c r="Q258" i="8"/>
  <c r="X244" i="8"/>
  <c r="X314" i="8"/>
  <c r="X227" i="8"/>
  <c r="AC78" i="8"/>
  <c r="T79" i="9"/>
  <c r="X101" i="13"/>
  <c r="X41" i="13"/>
  <c r="K157" i="9"/>
  <c r="J157" i="9"/>
  <c r="W157" i="9" s="1"/>
  <c r="T247" i="8"/>
  <c r="T316" i="8"/>
  <c r="T279" i="8"/>
  <c r="T202" i="9"/>
  <c r="N7" i="31"/>
  <c r="D42" i="30"/>
  <c r="M282" i="8"/>
  <c r="M254" i="8"/>
  <c r="M280" i="8"/>
  <c r="M237" i="8"/>
  <c r="M311" i="8"/>
  <c r="M297" i="8"/>
  <c r="M273" i="8"/>
  <c r="BM165" i="13"/>
  <c r="BM145" i="13"/>
  <c r="Q272" i="8"/>
  <c r="Q285" i="8"/>
  <c r="T40" i="9"/>
  <c r="BM66" i="13"/>
  <c r="AF122" i="13"/>
  <c r="J103" i="9"/>
  <c r="W103" i="9" s="1"/>
  <c r="K103" i="9"/>
  <c r="AA26" i="13"/>
  <c r="AF26" i="13"/>
  <c r="M295" i="8"/>
  <c r="M245" i="8"/>
  <c r="M315" i="8"/>
  <c r="T148" i="9"/>
  <c r="T136" i="9"/>
  <c r="W12" i="13"/>
  <c r="U4" i="13"/>
  <c r="U5" i="13"/>
  <c r="N222" i="13"/>
  <c r="N8" i="13" s="1"/>
  <c r="X63" i="9"/>
  <c r="AI16" i="8"/>
  <c r="AN16" i="8"/>
  <c r="T212" i="9"/>
  <c r="Q241" i="8"/>
  <c r="Q313" i="8"/>
  <c r="AA33" i="13"/>
  <c r="W186" i="14"/>
  <c r="X186" i="14"/>
  <c r="T253" i="8"/>
  <c r="T319" i="8"/>
  <c r="L275" i="8"/>
  <c r="O30" i="8"/>
  <c r="S30" i="8"/>
  <c r="Q286" i="8" s="1"/>
  <c r="V30" i="8"/>
  <c r="Z30" i="8"/>
  <c r="X286" i="8" s="1"/>
  <c r="M269" i="8"/>
  <c r="T250" i="8"/>
  <c r="T317" i="8"/>
  <c r="D20" i="9"/>
  <c r="BH20" i="13"/>
  <c r="T84" i="9"/>
  <c r="T252" i="8"/>
  <c r="T318" i="8"/>
  <c r="T228" i="8"/>
  <c r="T140" i="9"/>
  <c r="Q287" i="8"/>
  <c r="T268" i="8"/>
  <c r="L306" i="8"/>
  <c r="Q298" i="8"/>
  <c r="AA14" i="13"/>
  <c r="M236" i="8"/>
  <c r="M294" i="8"/>
  <c r="M271" i="8"/>
  <c r="M281" i="8"/>
  <c r="T169" i="9"/>
  <c r="T49" i="9"/>
  <c r="AA144" i="13"/>
  <c r="T184" i="9"/>
  <c r="X302" i="8"/>
  <c r="AC142" i="8"/>
  <c r="X132" i="9"/>
  <c r="X267" i="8"/>
  <c r="AC27" i="8"/>
  <c r="T251" i="8"/>
  <c r="T300" i="8"/>
  <c r="W129" i="14"/>
  <c r="AC26" i="8"/>
  <c r="J198" i="9"/>
  <c r="W198" i="9" s="1"/>
  <c r="K198" i="9"/>
  <c r="T57" i="9"/>
  <c r="AA164" i="9"/>
  <c r="AB164" i="9" s="1"/>
  <c r="T126" i="9"/>
  <c r="Q270" i="8"/>
  <c r="Q284" i="8"/>
  <c r="Q282" i="8"/>
  <c r="X256" i="8"/>
  <c r="X321" i="8"/>
  <c r="AC182" i="8"/>
  <c r="T166" i="9"/>
  <c r="X59" i="9"/>
  <c r="T286" i="8" l="1"/>
  <c r="Y72" i="14"/>
  <c r="T285" i="8"/>
  <c r="Y204" i="14"/>
  <c r="X53" i="14"/>
  <c r="T226" i="8"/>
  <c r="Z58" i="9"/>
  <c r="AC58" i="9" s="1"/>
  <c r="O58" i="9"/>
  <c r="S58" i="9"/>
  <c r="V58" i="9"/>
  <c r="O129" i="9"/>
  <c r="S129" i="9"/>
  <c r="V129" i="9"/>
  <c r="Z129" i="9"/>
  <c r="AC129" i="9" s="1"/>
  <c r="AD27" i="8"/>
  <c r="AD267" i="8"/>
  <c r="AF27" i="8"/>
  <c r="Q235" i="8"/>
  <c r="X129" i="14"/>
  <c r="AD302" i="8"/>
  <c r="AD142" i="8"/>
  <c r="AF142" i="8"/>
  <c r="X184" i="9"/>
  <c r="X84" i="9"/>
  <c r="J20" i="9"/>
  <c r="W20" i="9" s="1"/>
  <c r="K20" i="9"/>
  <c r="M239" i="8"/>
  <c r="M312" i="8"/>
  <c r="Z186" i="9"/>
  <c r="AC186" i="9" s="1"/>
  <c r="O186" i="9"/>
  <c r="S186" i="9"/>
  <c r="V186" i="9"/>
  <c r="G16" i="13"/>
  <c r="P157" i="9"/>
  <c r="T293" i="8"/>
  <c r="P48" i="9"/>
  <c r="X176" i="9"/>
  <c r="X191" i="9"/>
  <c r="X159" i="9"/>
  <c r="X215" i="9"/>
  <c r="X178" i="9"/>
  <c r="X61" i="9"/>
  <c r="P36" i="9"/>
  <c r="AD174" i="8"/>
  <c r="AD255" i="8"/>
  <c r="AF174" i="8"/>
  <c r="X179" i="9"/>
  <c r="X266" i="8"/>
  <c r="AC41" i="8"/>
  <c r="X113" i="14"/>
  <c r="X218" i="9"/>
  <c r="T42" i="9"/>
  <c r="BM146" i="13"/>
  <c r="K164" i="9"/>
  <c r="J164" i="9"/>
  <c r="W164" i="9" s="1"/>
  <c r="Q278" i="8"/>
  <c r="Z133" i="9"/>
  <c r="AC133" i="9" s="1"/>
  <c r="O133" i="9"/>
  <c r="S133" i="9"/>
  <c r="V133" i="9"/>
  <c r="M286" i="8"/>
  <c r="AD287" i="8"/>
  <c r="AF31" i="8"/>
  <c r="AD31" i="8"/>
  <c r="X109" i="9"/>
  <c r="X217" i="9"/>
  <c r="T192" i="9"/>
  <c r="X134" i="9"/>
  <c r="AA162" i="9"/>
  <c r="AB162" i="9" s="1"/>
  <c r="T175" i="9"/>
  <c r="X141" i="9"/>
  <c r="Y92" i="14"/>
  <c r="AD258" i="8"/>
  <c r="AD322" i="8"/>
  <c r="AF210" i="8"/>
  <c r="AD210" i="8"/>
  <c r="Y129" i="14"/>
  <c r="M284" i="8"/>
  <c r="AD17" i="8"/>
  <c r="AF17" i="8"/>
  <c r="AD269" i="8"/>
  <c r="X149" i="9"/>
  <c r="Y133" i="14"/>
  <c r="X193" i="9"/>
  <c r="X99" i="9"/>
  <c r="Q316" i="8"/>
  <c r="AD108" i="8"/>
  <c r="AD299" i="8"/>
  <c r="AF108" i="8"/>
  <c r="AF144" i="8"/>
  <c r="AD144" i="8"/>
  <c r="AD304" i="8"/>
  <c r="X177" i="9"/>
  <c r="Y32" i="14"/>
  <c r="AD102" i="8"/>
  <c r="AF102" i="8"/>
  <c r="AD249" i="8"/>
  <c r="X49" i="9"/>
  <c r="X166" i="9"/>
  <c r="Q310" i="8"/>
  <c r="AF26" i="8"/>
  <c r="AD26" i="8"/>
  <c r="AF129" i="14"/>
  <c r="X140" i="9"/>
  <c r="X312" i="8"/>
  <c r="X239" i="8"/>
  <c r="AC30" i="8"/>
  <c r="X212" i="9"/>
  <c r="X136" i="9"/>
  <c r="X148" i="9"/>
  <c r="X197" i="9"/>
  <c r="W92" i="14"/>
  <c r="AF92" i="14" s="1"/>
  <c r="M278" i="8"/>
  <c r="D62" i="13"/>
  <c r="AM62" i="8"/>
  <c r="AP62" i="8"/>
  <c r="AH62" i="8"/>
  <c r="F62" i="13" s="1"/>
  <c r="AQ62" i="8"/>
  <c r="X98" i="9"/>
  <c r="AF120" i="8"/>
  <c r="AD120" i="8"/>
  <c r="AD250" i="8"/>
  <c r="AD317" i="8"/>
  <c r="AD253" i="8"/>
  <c r="AF171" i="8"/>
  <c r="AD171" i="8"/>
  <c r="AD319" i="8"/>
  <c r="T130" i="9"/>
  <c r="X34" i="9"/>
  <c r="X77" i="9"/>
  <c r="X117" i="9"/>
  <c r="AD259" i="8"/>
  <c r="AD213" i="8"/>
  <c r="AF213" i="8"/>
  <c r="W138" i="14"/>
  <c r="X138" i="14"/>
  <c r="X189" i="9"/>
  <c r="X114" i="9"/>
  <c r="X183" i="9"/>
  <c r="X147" i="9"/>
  <c r="AF209" i="13"/>
  <c r="Y190" i="14"/>
  <c r="X293" i="8"/>
  <c r="X163" i="9"/>
  <c r="X51" i="14"/>
  <c r="X97" i="9"/>
  <c r="X28" i="9"/>
  <c r="P71" i="9"/>
  <c r="N276" i="13"/>
  <c r="AF55" i="8"/>
  <c r="AD241" i="8"/>
  <c r="AD313" i="8"/>
  <c r="AD55" i="8"/>
  <c r="D162" i="9"/>
  <c r="BH162" i="13"/>
  <c r="AD81" i="8"/>
  <c r="AF81" i="8"/>
  <c r="AD246" i="8"/>
  <c r="X150" i="9"/>
  <c r="P145" i="9"/>
  <c r="Q227" i="8"/>
  <c r="X168" i="9"/>
  <c r="X52" i="9"/>
  <c r="M310" i="8"/>
  <c r="M235" i="8"/>
  <c r="T278" i="8"/>
  <c r="Y209" i="13"/>
  <c r="O290" i="13"/>
  <c r="O325" i="13"/>
  <c r="O307" i="13"/>
  <c r="X185" i="14"/>
  <c r="W185" i="14"/>
  <c r="X50" i="9"/>
  <c r="AD242" i="8"/>
  <c r="AD56" i="8"/>
  <c r="AF56" i="8"/>
  <c r="X155" i="9"/>
  <c r="O276" i="13"/>
  <c r="BM43" i="13"/>
  <c r="BM112" i="13"/>
  <c r="Y203" i="14"/>
  <c r="AI19" i="8"/>
  <c r="AN19" i="8"/>
  <c r="W32" i="14"/>
  <c r="W53" i="14"/>
  <c r="T227" i="8"/>
  <c r="X216" i="14"/>
  <c r="P198" i="9"/>
  <c r="Q264" i="8"/>
  <c r="AD182" i="8"/>
  <c r="AF182" i="8"/>
  <c r="AD321" i="8"/>
  <c r="AD256" i="8"/>
  <c r="Q226" i="8"/>
  <c r="Q293" i="8"/>
  <c r="X57" i="9"/>
  <c r="X278" i="8"/>
  <c r="W161" i="14"/>
  <c r="W203" i="14"/>
  <c r="X169" i="9"/>
  <c r="T312" i="8"/>
  <c r="T239" i="8"/>
  <c r="P103" i="9"/>
  <c r="X79" i="9"/>
  <c r="X73" i="9"/>
  <c r="X104" i="9"/>
  <c r="T264" i="8"/>
  <c r="W72" i="14"/>
  <c r="AF139" i="8"/>
  <c r="AD318" i="8"/>
  <c r="AD228" i="8"/>
  <c r="AD139" i="8"/>
  <c r="AD252" i="8"/>
  <c r="X125" i="9"/>
  <c r="X64" i="9"/>
  <c r="T187" i="9"/>
  <c r="Y138" i="14"/>
  <c r="O53" i="9"/>
  <c r="S53" i="9"/>
  <c r="V53" i="9"/>
  <c r="Z53" i="9"/>
  <c r="AC53" i="9" s="1"/>
  <c r="AF128" i="8"/>
  <c r="AD301" i="8"/>
  <c r="AD128" i="8"/>
  <c r="T29" i="9"/>
  <c r="AD247" i="8"/>
  <c r="AF100" i="8"/>
  <c r="AD100" i="8"/>
  <c r="M227" i="8"/>
  <c r="O113" i="9"/>
  <c r="S113" i="9"/>
  <c r="V113" i="9"/>
  <c r="Z113" i="9"/>
  <c r="AC113" i="9" s="1"/>
  <c r="X85" i="9"/>
  <c r="K146" i="9"/>
  <c r="J146" i="9"/>
  <c r="W146" i="9" s="1"/>
  <c r="L261" i="8"/>
  <c r="O209" i="8"/>
  <c r="O222" i="8" s="1"/>
  <c r="S209" i="8"/>
  <c r="V209" i="8"/>
  <c r="V222" i="8" s="1"/>
  <c r="Z209" i="8"/>
  <c r="L231" i="8"/>
  <c r="X200" i="9"/>
  <c r="AD15" i="8"/>
  <c r="AF15" i="8"/>
  <c r="AD282" i="8"/>
  <c r="X284" i="8"/>
  <c r="BM160" i="13"/>
  <c r="W110" i="14"/>
  <c r="AF110" i="14" s="1"/>
  <c r="X46" i="9"/>
  <c r="X47" i="9"/>
  <c r="AF133" i="14"/>
  <c r="Z51" i="9"/>
  <c r="AC51" i="9" s="1"/>
  <c r="O51" i="9"/>
  <c r="S51" i="9"/>
  <c r="V51" i="9"/>
  <c r="AF65" i="8"/>
  <c r="AD65" i="8"/>
  <c r="AD23" i="8"/>
  <c r="AF23" i="8"/>
  <c r="AD298" i="8"/>
  <c r="X153" i="9"/>
  <c r="X181" i="9"/>
  <c r="X111" i="9"/>
  <c r="X94" i="9"/>
  <c r="W204" i="14"/>
  <c r="X87" i="9"/>
  <c r="AD143" i="8"/>
  <c r="AD303" i="8"/>
  <c r="AF143" i="8"/>
  <c r="X131" i="9"/>
  <c r="AF13" i="8"/>
  <c r="AD13" i="8"/>
  <c r="AD272" i="8"/>
  <c r="Y51" i="14"/>
  <c r="M316" i="8"/>
  <c r="AF41" i="13"/>
  <c r="AD238" i="8"/>
  <c r="AD24" i="8"/>
  <c r="AF24" i="8"/>
  <c r="T44" i="9"/>
  <c r="X35" i="9"/>
  <c r="AF14" i="8"/>
  <c r="AD236" i="8"/>
  <c r="AD14" i="8"/>
  <c r="AD294" i="8"/>
  <c r="AD271" i="8"/>
  <c r="AD281" i="8"/>
  <c r="Z185" i="9"/>
  <c r="AC185" i="9" s="1"/>
  <c r="O185" i="9"/>
  <c r="S185" i="9"/>
  <c r="V185" i="9"/>
  <c r="BM195" i="13"/>
  <c r="X124" i="9"/>
  <c r="X37" i="9"/>
  <c r="O262" i="13"/>
  <c r="X70" i="9"/>
  <c r="X67" i="9"/>
  <c r="W58" i="14"/>
  <c r="AC16" i="13"/>
  <c r="AD295" i="8"/>
  <c r="AD315" i="8"/>
  <c r="AF80" i="8"/>
  <c r="AD245" i="8"/>
  <c r="AD80" i="8"/>
  <c r="K19" i="13"/>
  <c r="L19" i="13"/>
  <c r="S19" i="13"/>
  <c r="X106" i="9"/>
  <c r="P165" i="9"/>
  <c r="T88" i="9"/>
  <c r="AD22" i="8"/>
  <c r="AD297" i="8"/>
  <c r="AD280" i="8"/>
  <c r="AD237" i="8"/>
  <c r="AF22" i="8"/>
  <c r="AD311" i="8"/>
  <c r="AD273" i="8"/>
  <c r="O232" i="13"/>
  <c r="X89" i="9"/>
  <c r="T39" i="9"/>
  <c r="AD240" i="8"/>
  <c r="AF33" i="8"/>
  <c r="AD33" i="8"/>
  <c r="X126" i="9"/>
  <c r="BM20" i="13"/>
  <c r="Q265" i="8"/>
  <c r="Q312" i="8"/>
  <c r="Q239" i="8"/>
  <c r="L324" i="8"/>
  <c r="AF186" i="14"/>
  <c r="AA12" i="13"/>
  <c r="W211" i="14"/>
  <c r="X211" i="14"/>
  <c r="X40" i="9"/>
  <c r="D43" i="30"/>
  <c r="D44" i="30" s="1"/>
  <c r="D45" i="30" s="1"/>
  <c r="D46" i="30" s="1"/>
  <c r="D49" i="30" s="1"/>
  <c r="X202" i="9"/>
  <c r="AF78" i="8"/>
  <c r="AD244" i="8"/>
  <c r="AD314" i="8"/>
  <c r="AD78" i="8"/>
  <c r="W115" i="14"/>
  <c r="P151" i="9"/>
  <c r="T310" i="8"/>
  <c r="T235" i="8"/>
  <c r="X135" i="9"/>
  <c r="AD251" i="8"/>
  <c r="AF122" i="8"/>
  <c r="AD300" i="8"/>
  <c r="AD122" i="8"/>
  <c r="X154" i="9"/>
  <c r="X152" i="9"/>
  <c r="E43" i="30"/>
  <c r="E44" i="30" s="1"/>
  <c r="E45" i="30" s="1"/>
  <c r="E46" i="30" s="1"/>
  <c r="E49" i="30" s="1"/>
  <c r="L289" i="8"/>
  <c r="X82" i="9"/>
  <c r="X116" i="9"/>
  <c r="X173" i="9"/>
  <c r="W190" i="14"/>
  <c r="AD38" i="8"/>
  <c r="AF38" i="8"/>
  <c r="AD279" i="8"/>
  <c r="X248" i="8"/>
  <c r="AC101" i="8"/>
  <c r="AD285" i="8" s="1"/>
  <c r="AF113" i="14"/>
  <c r="X68" i="9"/>
  <c r="N262" i="13"/>
  <c r="X209" i="13"/>
  <c r="N232" i="13"/>
  <c r="N290" i="13"/>
  <c r="N325" i="13"/>
  <c r="N307" i="13"/>
  <c r="X310" i="8"/>
  <c r="AF12" i="8"/>
  <c r="AD270" i="8"/>
  <c r="AD12" i="8"/>
  <c r="AD284" i="8"/>
  <c r="X235" i="8"/>
  <c r="J160" i="9"/>
  <c r="W160" i="9" s="1"/>
  <c r="K160" i="9"/>
  <c r="BM164" i="13"/>
  <c r="AF51" i="14"/>
  <c r="AF18" i="8"/>
  <c r="AD18" i="8"/>
  <c r="AD286" i="8"/>
  <c r="AD268" i="8"/>
  <c r="X180" i="9"/>
  <c r="X207" i="9"/>
  <c r="X156" i="9"/>
  <c r="P66" i="9"/>
  <c r="X285" i="8"/>
  <c r="X54" i="9"/>
  <c r="X90" i="9"/>
  <c r="X170" i="9"/>
  <c r="M293" i="8"/>
  <c r="AF21" i="8"/>
  <c r="AD21" i="8"/>
  <c r="X75" i="9"/>
  <c r="Q296" i="8"/>
  <c r="J195" i="9"/>
  <c r="W195" i="9" s="1"/>
  <c r="K195" i="9"/>
  <c r="Y161" i="14"/>
  <c r="K43" i="9"/>
  <c r="J43" i="9"/>
  <c r="W43" i="9" s="1"/>
  <c r="K112" i="9"/>
  <c r="J112" i="9"/>
  <c r="W112" i="9" s="1"/>
  <c r="X201" i="9"/>
  <c r="X60" i="9"/>
  <c r="Y211" i="14"/>
  <c r="X123" i="9"/>
  <c r="M285" i="8"/>
  <c r="AF172" i="8"/>
  <c r="AD254" i="8"/>
  <c r="AD172" i="8"/>
  <c r="Y53" i="14"/>
  <c r="L222" i="8"/>
  <c r="L8" i="8" s="1"/>
  <c r="Y127" i="14" l="1"/>
  <c r="N6" i="31"/>
  <c r="Y105" i="14"/>
  <c r="X92" i="14"/>
  <c r="Y93" i="14"/>
  <c r="Y206" i="14"/>
  <c r="Y137" i="14"/>
  <c r="D51" i="30"/>
  <c r="T222" i="8"/>
  <c r="T8" i="8" s="1"/>
  <c r="V8" i="8"/>
  <c r="D172" i="13"/>
  <c r="AP172" i="8"/>
  <c r="AH172" i="8"/>
  <c r="F172" i="13" s="1"/>
  <c r="AM172" i="8"/>
  <c r="AQ172" i="8"/>
  <c r="P195" i="9"/>
  <c r="W196" i="14"/>
  <c r="AP18" i="8"/>
  <c r="AH18" i="8"/>
  <c r="F18" i="13" s="1"/>
  <c r="D18" i="13"/>
  <c r="AM18" i="8"/>
  <c r="AQ18" i="8"/>
  <c r="P160" i="9"/>
  <c r="AD235" i="8"/>
  <c r="D12" i="13"/>
  <c r="AH12" i="8"/>
  <c r="AM12" i="8"/>
  <c r="AP12" i="8"/>
  <c r="AQ12" i="8"/>
  <c r="Y119" i="14"/>
  <c r="AM38" i="8"/>
  <c r="AH38" i="8"/>
  <c r="F38" i="13" s="1"/>
  <c r="D38" i="13"/>
  <c r="AP38" i="8"/>
  <c r="AQ38" i="8"/>
  <c r="X190" i="14"/>
  <c r="W91" i="14"/>
  <c r="O6" i="31"/>
  <c r="AH122" i="8"/>
  <c r="F122" i="13" s="1"/>
  <c r="AM122" i="8"/>
  <c r="AP122" i="8"/>
  <c r="D122" i="13"/>
  <c r="AQ122" i="8"/>
  <c r="T151" i="9"/>
  <c r="O211" i="9"/>
  <c r="S211" i="9"/>
  <c r="V211" i="9"/>
  <c r="Z211" i="9"/>
  <c r="AC211" i="9" s="1"/>
  <c r="AF211" i="14"/>
  <c r="AA211" i="14"/>
  <c r="W208" i="14"/>
  <c r="T165" i="9"/>
  <c r="W220" i="14"/>
  <c r="AM14" i="8"/>
  <c r="AP14" i="8"/>
  <c r="D14" i="13"/>
  <c r="AH14" i="8"/>
  <c r="F14" i="13" s="1"/>
  <c r="AQ14" i="8"/>
  <c r="O8" i="8"/>
  <c r="M222" i="8"/>
  <c r="O204" i="9"/>
  <c r="S204" i="9"/>
  <c r="V204" i="9"/>
  <c r="Z204" i="9"/>
  <c r="AC204" i="9" s="1"/>
  <c r="AM15" i="8"/>
  <c r="AH15" i="8"/>
  <c r="F15" i="13" s="1"/>
  <c r="AP15" i="8"/>
  <c r="D15" i="13"/>
  <c r="AQ15" i="8"/>
  <c r="X257" i="8"/>
  <c r="AC209" i="8"/>
  <c r="X229" i="8"/>
  <c r="P146" i="9"/>
  <c r="AF113" i="9"/>
  <c r="AD113" i="9"/>
  <c r="Y194" i="14"/>
  <c r="AD316" i="8"/>
  <c r="AD53" i="9"/>
  <c r="AF53" i="9"/>
  <c r="X93" i="14"/>
  <c r="AP139" i="8"/>
  <c r="AM139" i="8"/>
  <c r="AH139" i="8"/>
  <c r="F139" i="13" s="1"/>
  <c r="D139" i="13"/>
  <c r="AQ139" i="8"/>
  <c r="W76" i="14"/>
  <c r="Y58" i="14"/>
  <c r="W194" i="14"/>
  <c r="Y219" i="14"/>
  <c r="X203" i="14"/>
  <c r="X161" i="14"/>
  <c r="S306" i="8"/>
  <c r="Q306" i="8" s="1"/>
  <c r="W121" i="14"/>
  <c r="X121" i="14"/>
  <c r="Y199" i="14"/>
  <c r="O32" i="9"/>
  <c r="S32" i="9"/>
  <c r="V32" i="9"/>
  <c r="Z32" i="9"/>
  <c r="AC32" i="9" s="1"/>
  <c r="AF185" i="14"/>
  <c r="W216" i="14"/>
  <c r="Y188" i="14"/>
  <c r="BM162" i="13"/>
  <c r="D55" i="13"/>
  <c r="AM55" i="8"/>
  <c r="AH55" i="8"/>
  <c r="F55" i="13" s="1"/>
  <c r="AP55" i="8"/>
  <c r="AQ55" i="8"/>
  <c r="Y86" i="14"/>
  <c r="Z222" i="8"/>
  <c r="Y214" i="14"/>
  <c r="AH120" i="8"/>
  <c r="F120" i="13" s="1"/>
  <c r="AM120" i="8"/>
  <c r="D120" i="13"/>
  <c r="AP120" i="8"/>
  <c r="AQ120" i="8"/>
  <c r="X265" i="8"/>
  <c r="Y76" i="14"/>
  <c r="Y69" i="14"/>
  <c r="AD278" i="8"/>
  <c r="AH102" i="8"/>
  <c r="F102" i="13" s="1"/>
  <c r="D102" i="13"/>
  <c r="AM102" i="8"/>
  <c r="AP102" i="8"/>
  <c r="AQ102" i="8"/>
  <c r="Y158" i="14"/>
  <c r="AH17" i="8"/>
  <c r="F17" i="13" s="1"/>
  <c r="AP17" i="8"/>
  <c r="AM17" i="8"/>
  <c r="D17" i="13"/>
  <c r="AQ17" i="8"/>
  <c r="W96" i="14"/>
  <c r="W219" i="14"/>
  <c r="X219" i="14"/>
  <c r="W93" i="14"/>
  <c r="P164" i="9"/>
  <c r="AD41" i="8"/>
  <c r="AD266" i="8"/>
  <c r="AF41" i="8"/>
  <c r="T48" i="9"/>
  <c r="W205" i="14"/>
  <c r="W74" i="14"/>
  <c r="W188" i="14"/>
  <c r="X188" i="14"/>
  <c r="P20" i="9"/>
  <c r="W105" i="14"/>
  <c r="AD129" i="9"/>
  <c r="AF129" i="9"/>
  <c r="AD58" i="9"/>
  <c r="AF58" i="9"/>
  <c r="X205" i="14"/>
  <c r="P112" i="9"/>
  <c r="M226" i="8"/>
  <c r="X264" i="8"/>
  <c r="AD226" i="8"/>
  <c r="AD293" i="8"/>
  <c r="Y107" i="14"/>
  <c r="E51" i="30"/>
  <c r="X132" i="14"/>
  <c r="Z115" i="9"/>
  <c r="AC115" i="9" s="1"/>
  <c r="O115" i="9"/>
  <c r="S115" i="9"/>
  <c r="V115" i="9"/>
  <c r="W118" i="14"/>
  <c r="X88" i="9"/>
  <c r="AC19" i="13"/>
  <c r="W25" i="14"/>
  <c r="M264" i="8"/>
  <c r="D24" i="13"/>
  <c r="AH24" i="8"/>
  <c r="F24" i="13" s="1"/>
  <c r="AM24" i="8"/>
  <c r="AP24" i="8"/>
  <c r="AQ24" i="8"/>
  <c r="AH13" i="8"/>
  <c r="F13" i="13" s="1"/>
  <c r="AP13" i="8"/>
  <c r="D13" i="13"/>
  <c r="AM13" i="8"/>
  <c r="AQ13" i="8"/>
  <c r="X204" i="14"/>
  <c r="Y208" i="14"/>
  <c r="T229" i="8"/>
  <c r="D128" i="13"/>
  <c r="AM128" i="8"/>
  <c r="AH128" i="8"/>
  <c r="F128" i="13" s="1"/>
  <c r="AP128" i="8"/>
  <c r="AQ128" i="8"/>
  <c r="X187" i="9"/>
  <c r="Y121" i="14"/>
  <c r="Z72" i="9"/>
  <c r="AC72" i="9" s="1"/>
  <c r="O72" i="9"/>
  <c r="S72" i="9"/>
  <c r="V72" i="9"/>
  <c r="Z161" i="9"/>
  <c r="AC161" i="9" s="1"/>
  <c r="O161" i="9"/>
  <c r="S161" i="9"/>
  <c r="V161" i="9"/>
  <c r="O216" i="9"/>
  <c r="S216" i="9"/>
  <c r="V216" i="9"/>
  <c r="Z216" i="9"/>
  <c r="AC216" i="9" s="1"/>
  <c r="X32" i="14"/>
  <c r="G19" i="13"/>
  <c r="Y59" i="14"/>
  <c r="X95" i="14"/>
  <c r="AH81" i="8"/>
  <c r="F81" i="13" s="1"/>
  <c r="D81" i="13"/>
  <c r="AM81" i="8"/>
  <c r="AP81" i="8"/>
  <c r="AQ81" i="8"/>
  <c r="Y83" i="14"/>
  <c r="AM26" i="8"/>
  <c r="AP26" i="8"/>
  <c r="D26" i="13"/>
  <c r="AH26" i="8"/>
  <c r="F26" i="13" s="1"/>
  <c r="AQ26" i="8"/>
  <c r="W45" i="14"/>
  <c r="X192" i="9"/>
  <c r="X42" i="9"/>
  <c r="D174" i="13"/>
  <c r="AP174" i="8"/>
  <c r="AM174" i="8"/>
  <c r="AH174" i="8"/>
  <c r="F174" i="13" s="1"/>
  <c r="AQ174" i="8"/>
  <c r="W137" i="14"/>
  <c r="X137" i="14"/>
  <c r="AH27" i="8"/>
  <c r="F27" i="13" s="1"/>
  <c r="D27" i="13"/>
  <c r="AP27" i="8"/>
  <c r="AM27" i="8"/>
  <c r="AQ27" i="8"/>
  <c r="O205" i="9"/>
  <c r="S205" i="9"/>
  <c r="V205" i="9"/>
  <c r="X83" i="14"/>
  <c r="AM21" i="8"/>
  <c r="AH21" i="8"/>
  <c r="F21" i="13" s="1"/>
  <c r="D21" i="13"/>
  <c r="AP21" i="8"/>
  <c r="AQ21" i="8"/>
  <c r="T66" i="9"/>
  <c r="L7" i="8"/>
  <c r="O83" i="9"/>
  <c r="S83" i="9"/>
  <c r="V83" i="9"/>
  <c r="Z83" i="9"/>
  <c r="AC83" i="9" s="1"/>
  <c r="P43" i="9"/>
  <c r="W127" i="14"/>
  <c r="X127" i="14"/>
  <c r="Y95" i="14"/>
  <c r="Z261" i="8"/>
  <c r="X261" i="8" s="1"/>
  <c r="O190" i="9"/>
  <c r="S190" i="9"/>
  <c r="V190" i="9"/>
  <c r="Z190" i="9"/>
  <c r="AC190" i="9" s="1"/>
  <c r="X115" i="14"/>
  <c r="AD227" i="8"/>
  <c r="AM78" i="8"/>
  <c r="D78" i="13"/>
  <c r="AH78" i="8"/>
  <c r="F78" i="13" s="1"/>
  <c r="AP78" i="8"/>
  <c r="AQ78" i="8"/>
  <c r="D33" i="13"/>
  <c r="AP33" i="8"/>
  <c r="AM33" i="8"/>
  <c r="AH33" i="8"/>
  <c r="F33" i="13" s="1"/>
  <c r="AQ33" i="8"/>
  <c r="AM22" i="8"/>
  <c r="AH22" i="8"/>
  <c r="F22" i="13" s="1"/>
  <c r="D22" i="13"/>
  <c r="AP22" i="8"/>
  <c r="AQ22" i="8"/>
  <c r="AM80" i="8"/>
  <c r="AP80" i="8"/>
  <c r="D80" i="13"/>
  <c r="AH80" i="8"/>
  <c r="F80" i="13" s="1"/>
  <c r="AQ80" i="8"/>
  <c r="AG16" i="13"/>
  <c r="Y118" i="14"/>
  <c r="X44" i="9"/>
  <c r="AA204" i="14"/>
  <c r="W167" i="14"/>
  <c r="AP23" i="8"/>
  <c r="AM23" i="8"/>
  <c r="AH23" i="8"/>
  <c r="F23" i="13" s="1"/>
  <c r="D23" i="13"/>
  <c r="AQ23" i="8"/>
  <c r="AH65" i="8"/>
  <c r="F65" i="13" s="1"/>
  <c r="AP65" i="8"/>
  <c r="D65" i="13"/>
  <c r="AM65" i="8"/>
  <c r="AQ65" i="8"/>
  <c r="AD51" i="9"/>
  <c r="AF51" i="9"/>
  <c r="X110" i="14"/>
  <c r="Q257" i="8"/>
  <c r="S222" i="8"/>
  <c r="Q320" i="8"/>
  <c r="AM100" i="8"/>
  <c r="D100" i="13"/>
  <c r="AP100" i="8"/>
  <c r="AH100" i="8"/>
  <c r="F100" i="13" s="1"/>
  <c r="AQ100" i="8"/>
  <c r="X29" i="9"/>
  <c r="AA72" i="14"/>
  <c r="Y96" i="14"/>
  <c r="AF161" i="14"/>
  <c r="AH182" i="8"/>
  <c r="F182" i="13" s="1"/>
  <c r="D182" i="13"/>
  <c r="AM182" i="8"/>
  <c r="AP182" i="8"/>
  <c r="AQ182" i="8"/>
  <c r="Y196" i="14"/>
  <c r="W214" i="14"/>
  <c r="X214" i="14"/>
  <c r="AA32" i="14"/>
  <c r="W59" i="14"/>
  <c r="O95" i="9"/>
  <c r="S95" i="9"/>
  <c r="V95" i="9"/>
  <c r="Z95" i="9"/>
  <c r="AC95" i="9" s="1"/>
  <c r="K162" i="9"/>
  <c r="J162" i="9"/>
  <c r="W162" i="9" s="1"/>
  <c r="T71" i="9"/>
  <c r="AF138" i="14"/>
  <c r="D213" i="13"/>
  <c r="AH213" i="8"/>
  <c r="F213" i="13" s="1"/>
  <c r="AM213" i="8"/>
  <c r="AP213" i="8"/>
  <c r="AQ213" i="8"/>
  <c r="X130" i="9"/>
  <c r="AI62" i="8"/>
  <c r="AN62" i="8"/>
  <c r="Z92" i="9"/>
  <c r="AC92" i="9" s="1"/>
  <c r="O92" i="9"/>
  <c r="S92" i="9"/>
  <c r="V92" i="9"/>
  <c r="D144" i="13"/>
  <c r="AM144" i="8"/>
  <c r="AH144" i="8"/>
  <c r="F144" i="13" s="1"/>
  <c r="AP144" i="8"/>
  <c r="AQ144" i="8"/>
  <c r="X175" i="9"/>
  <c r="AH31" i="8"/>
  <c r="F31" i="13" s="1"/>
  <c r="AP31" i="8"/>
  <c r="D31" i="13"/>
  <c r="AM31" i="8"/>
  <c r="AQ31" i="8"/>
  <c r="AD133" i="9"/>
  <c r="AF133" i="9"/>
  <c r="X226" i="8"/>
  <c r="Z231" i="8"/>
  <c r="X231" i="8" s="1"/>
  <c r="W158" i="14"/>
  <c r="T36" i="9"/>
  <c r="T157" i="9"/>
  <c r="AD186" i="9"/>
  <c r="AF186" i="9"/>
  <c r="D142" i="13"/>
  <c r="AH142" i="8"/>
  <c r="F142" i="13" s="1"/>
  <c r="AP142" i="8"/>
  <c r="AM142" i="8"/>
  <c r="AQ142" i="8"/>
  <c r="V231" i="8"/>
  <c r="T231" i="8" s="1"/>
  <c r="AD310" i="8"/>
  <c r="AF190" i="14"/>
  <c r="W119" i="14"/>
  <c r="AF101" i="8"/>
  <c r="AD248" i="8"/>
  <c r="AD101" i="8"/>
  <c r="AF115" i="14"/>
  <c r="X39" i="9"/>
  <c r="AF58" i="14"/>
  <c r="AF185" i="9"/>
  <c r="AD185" i="9"/>
  <c r="AH143" i="8"/>
  <c r="F143" i="13" s="1"/>
  <c r="D143" i="13"/>
  <c r="AM143" i="8"/>
  <c r="AP143" i="8"/>
  <c r="AQ143" i="8"/>
  <c r="O110" i="9"/>
  <c r="S110" i="9"/>
  <c r="V110" i="9"/>
  <c r="Z110" i="9"/>
  <c r="AC110" i="9" s="1"/>
  <c r="M229" i="8"/>
  <c r="M320" i="8"/>
  <c r="O93" i="9"/>
  <c r="S93" i="9"/>
  <c r="V93" i="9"/>
  <c r="Z93" i="9"/>
  <c r="AC93" i="9" s="1"/>
  <c r="X72" i="14"/>
  <c r="T103" i="9"/>
  <c r="Y25" i="14"/>
  <c r="Z203" i="9"/>
  <c r="AC203" i="9" s="1"/>
  <c r="O203" i="9"/>
  <c r="S203" i="9"/>
  <c r="V203" i="9"/>
  <c r="AA203" i="14"/>
  <c r="AF203" i="14"/>
  <c r="S275" i="8"/>
  <c r="Q275" i="8" s="1"/>
  <c r="T198" i="9"/>
  <c r="AF53" i="14"/>
  <c r="AM56" i="8"/>
  <c r="D56" i="13"/>
  <c r="AP56" i="8"/>
  <c r="AH56" i="8"/>
  <c r="F56" i="13" s="1"/>
  <c r="AQ56" i="8"/>
  <c r="Z205" i="9"/>
  <c r="AC205" i="9" s="1"/>
  <c r="Y216" i="14"/>
  <c r="T145" i="9"/>
  <c r="W95" i="14"/>
  <c r="Y220" i="14"/>
  <c r="W199" i="14"/>
  <c r="W83" i="14"/>
  <c r="W86" i="14"/>
  <c r="O138" i="9"/>
  <c r="S138" i="9"/>
  <c r="V138" i="9"/>
  <c r="Z138" i="9"/>
  <c r="AC138" i="9" s="1"/>
  <c r="AM171" i="8"/>
  <c r="AH171" i="8"/>
  <c r="F171" i="13" s="1"/>
  <c r="AP171" i="8"/>
  <c r="D171" i="13"/>
  <c r="AQ171" i="8"/>
  <c r="S62" i="13"/>
  <c r="L62" i="13"/>
  <c r="K62" i="13"/>
  <c r="AD239" i="8"/>
  <c r="AD265" i="8"/>
  <c r="AF30" i="8"/>
  <c r="AD30" i="8"/>
  <c r="AD312" i="8"/>
  <c r="AH108" i="8"/>
  <c r="F108" i="13" s="1"/>
  <c r="AP108" i="8"/>
  <c r="D108" i="13"/>
  <c r="AM108" i="8"/>
  <c r="AQ108" i="8"/>
  <c r="AH210" i="8"/>
  <c r="F210" i="13" s="1"/>
  <c r="D210" i="13"/>
  <c r="AM210" i="8"/>
  <c r="AP210" i="8"/>
  <c r="AQ210" i="8"/>
  <c r="Y45" i="14"/>
  <c r="Y91" i="14"/>
  <c r="Y115" i="14"/>
  <c r="W206" i="14"/>
  <c r="AF206" i="14" s="1"/>
  <c r="M265" i="8"/>
  <c r="Y110" i="14"/>
  <c r="Z275" i="8" l="1"/>
  <c r="X275" i="8" s="1"/>
  <c r="Y67" i="14"/>
  <c r="X119" i="14"/>
  <c r="X75" i="14"/>
  <c r="X59" i="14"/>
  <c r="X45" i="14"/>
  <c r="X220" i="14"/>
  <c r="X105" i="14"/>
  <c r="X25" i="14"/>
  <c r="Y136" i="14"/>
  <c r="X206" i="14"/>
  <c r="X196" i="14"/>
  <c r="AM316" i="8"/>
  <c r="AH316" i="8"/>
  <c r="F317" i="13" s="1"/>
  <c r="AF205" i="14"/>
  <c r="AM226" i="8"/>
  <c r="AH226" i="8"/>
  <c r="F227" i="13" s="1"/>
  <c r="AF137" i="14"/>
  <c r="AA137" i="14"/>
  <c r="AF127" i="14"/>
  <c r="AI210" i="8"/>
  <c r="AN210" i="8"/>
  <c r="AN108" i="8"/>
  <c r="AI108" i="8"/>
  <c r="AM253" i="8"/>
  <c r="AH253" i="8"/>
  <c r="F254" i="13" s="1"/>
  <c r="X198" i="9"/>
  <c r="Y201" i="14"/>
  <c r="M283" i="8"/>
  <c r="O289" i="8"/>
  <c r="M289" i="8" s="1"/>
  <c r="AD110" i="9"/>
  <c r="AF110" i="9"/>
  <c r="W50" i="14"/>
  <c r="W126" i="14"/>
  <c r="X126" i="14"/>
  <c r="AH304" i="8"/>
  <c r="F305" i="13" s="1"/>
  <c r="AM304" i="8"/>
  <c r="W35" i="14"/>
  <c r="X35" i="14"/>
  <c r="W61" i="14"/>
  <c r="X61" i="14"/>
  <c r="Y124" i="14"/>
  <c r="S100" i="13"/>
  <c r="K100" i="13"/>
  <c r="L100" i="13"/>
  <c r="X167" i="14"/>
  <c r="Y111" i="14"/>
  <c r="AH315" i="8"/>
  <c r="F316" i="13" s="1"/>
  <c r="AM315" i="8"/>
  <c r="AM244" i="8"/>
  <c r="AH244" i="8"/>
  <c r="F245" i="13" s="1"/>
  <c r="Z75" i="9"/>
  <c r="AC75" i="9" s="1"/>
  <c r="O75" i="9"/>
  <c r="S75" i="9"/>
  <c r="V75" i="9"/>
  <c r="Z137" i="9"/>
  <c r="AC137" i="9" s="1"/>
  <c r="O137" i="9"/>
  <c r="S137" i="9"/>
  <c r="V137" i="9"/>
  <c r="L81" i="13"/>
  <c r="S81" i="13"/>
  <c r="K81" i="13"/>
  <c r="T265" i="8"/>
  <c r="V275" i="8"/>
  <c r="T275" i="8" s="1"/>
  <c r="AM301" i="8"/>
  <c r="AH301" i="8"/>
  <c r="F302" i="13" s="1"/>
  <c r="Y155" i="14"/>
  <c r="Y178" i="14"/>
  <c r="W189" i="14"/>
  <c r="X76" i="14"/>
  <c r="AN139" i="8"/>
  <c r="AI139" i="8"/>
  <c r="X283" i="8"/>
  <c r="Z289" i="8"/>
  <c r="X289" i="8" s="1"/>
  <c r="W123" i="14"/>
  <c r="AH251" i="8"/>
  <c r="F252" i="13" s="1"/>
  <c r="AM251" i="8"/>
  <c r="W87" i="14"/>
  <c r="X87" i="14"/>
  <c r="O206" i="9"/>
  <c r="S206" i="9"/>
  <c r="V206" i="9"/>
  <c r="Z206" i="9"/>
  <c r="AC206" i="9" s="1"/>
  <c r="W114" i="14"/>
  <c r="X114" i="14"/>
  <c r="W73" i="14"/>
  <c r="X73" i="14"/>
  <c r="S108" i="13"/>
  <c r="L108" i="13"/>
  <c r="K108" i="13"/>
  <c r="Z107" i="9"/>
  <c r="AC107" i="9" s="1"/>
  <c r="O107" i="9"/>
  <c r="S107" i="9"/>
  <c r="V107" i="9"/>
  <c r="L244" i="13"/>
  <c r="K244" i="13"/>
  <c r="AM319" i="8"/>
  <c r="AH319" i="8"/>
  <c r="F320" i="13" s="1"/>
  <c r="AI171" i="8"/>
  <c r="AN171" i="8"/>
  <c r="Y147" i="14"/>
  <c r="AF83" i="14"/>
  <c r="O199" i="9"/>
  <c r="S199" i="9"/>
  <c r="V199" i="9"/>
  <c r="Z199" i="9"/>
  <c r="AC199" i="9" s="1"/>
  <c r="AF95" i="14"/>
  <c r="Y54" i="14"/>
  <c r="AD205" i="9"/>
  <c r="AF205" i="9"/>
  <c r="AI56" i="8"/>
  <c r="AN56" i="8"/>
  <c r="W99" i="14"/>
  <c r="AF203" i="9"/>
  <c r="AD203" i="9"/>
  <c r="W163" i="14"/>
  <c r="X163" i="14"/>
  <c r="M257" i="8"/>
  <c r="O261" i="8"/>
  <c r="M261" i="8" s="1"/>
  <c r="Y57" i="14"/>
  <c r="Y200" i="14"/>
  <c r="AF119" i="14"/>
  <c r="AA119" i="14"/>
  <c r="W173" i="14"/>
  <c r="D186" i="14"/>
  <c r="AH186" i="9"/>
  <c r="F186" i="14" s="1"/>
  <c r="AP186" i="9"/>
  <c r="AM186" i="9"/>
  <c r="AQ186" i="9"/>
  <c r="X157" i="9"/>
  <c r="X36" i="9"/>
  <c r="X158" i="14"/>
  <c r="W60" i="14"/>
  <c r="W40" i="14"/>
  <c r="AN144" i="8"/>
  <c r="AI144" i="8"/>
  <c r="AM259" i="8"/>
  <c r="AH259" i="8"/>
  <c r="F260" i="13" s="1"/>
  <c r="AF214" i="14"/>
  <c r="AA214" i="14"/>
  <c r="W89" i="14"/>
  <c r="AH321" i="8"/>
  <c r="AM321" i="8"/>
  <c r="AN100" i="8"/>
  <c r="AI100" i="8"/>
  <c r="Q283" i="8"/>
  <c r="S289" i="8"/>
  <c r="Q289" i="8" s="1"/>
  <c r="K23" i="13"/>
  <c r="S23" i="13"/>
  <c r="L23" i="13"/>
  <c r="AN23" i="8"/>
  <c r="AI23" i="8"/>
  <c r="AA167" i="14"/>
  <c r="K80" i="13"/>
  <c r="L80" i="13"/>
  <c r="S80" i="13"/>
  <c r="AH273" i="8"/>
  <c r="F274" i="13" s="1"/>
  <c r="AM273" i="8"/>
  <c r="AN22" i="8"/>
  <c r="AI22" i="8"/>
  <c r="S22" i="13"/>
  <c r="K22" i="13"/>
  <c r="L22" i="13"/>
  <c r="X86" i="14"/>
  <c r="AI33" i="8"/>
  <c r="AN33" i="8"/>
  <c r="S78" i="13"/>
  <c r="L78" i="13"/>
  <c r="K78" i="13"/>
  <c r="AD190" i="9"/>
  <c r="AF190" i="9"/>
  <c r="O127" i="9"/>
  <c r="S127" i="9"/>
  <c r="V127" i="9"/>
  <c r="Z127" i="9"/>
  <c r="AC127" i="9" s="1"/>
  <c r="O59" i="9"/>
  <c r="S59" i="9"/>
  <c r="V59" i="9"/>
  <c r="Z59" i="9"/>
  <c r="AC59" i="9" s="1"/>
  <c r="AI27" i="8"/>
  <c r="AN27" i="8"/>
  <c r="Y35" i="14"/>
  <c r="X63" i="14"/>
  <c r="X69" i="14"/>
  <c r="AA45" i="14"/>
  <c r="AF45" i="14"/>
  <c r="AI26" i="8"/>
  <c r="AN26" i="8"/>
  <c r="X37" i="14"/>
  <c r="Y167" i="14"/>
  <c r="AN81" i="8"/>
  <c r="AI81" i="8"/>
  <c r="W68" i="14"/>
  <c r="Y28" i="14"/>
  <c r="AF72" i="9"/>
  <c r="AD72" i="9"/>
  <c r="L128" i="13"/>
  <c r="K128" i="13"/>
  <c r="S128" i="13"/>
  <c r="T320" i="8"/>
  <c r="V324" i="8"/>
  <c r="T324" i="8" s="1"/>
  <c r="Y207" i="14"/>
  <c r="AN13" i="8"/>
  <c r="AI13" i="8"/>
  <c r="W117" i="14"/>
  <c r="Y47" i="14"/>
  <c r="AG19" i="13"/>
  <c r="O118" i="9"/>
  <c r="S118" i="9"/>
  <c r="V118" i="9"/>
  <c r="Z118" i="9"/>
  <c r="AC118" i="9" s="1"/>
  <c r="W148" i="14"/>
  <c r="X148" i="14"/>
  <c r="W47" i="14"/>
  <c r="T112" i="9"/>
  <c r="D58" i="14"/>
  <c r="AP58" i="9"/>
  <c r="AM58" i="9"/>
  <c r="AH58" i="9"/>
  <c r="F58" i="14" s="1"/>
  <c r="AQ58" i="9"/>
  <c r="T20" i="9"/>
  <c r="O74" i="9"/>
  <c r="S74" i="9"/>
  <c r="V74" i="9"/>
  <c r="Z74" i="9"/>
  <c r="AC74" i="9" s="1"/>
  <c r="Y152" i="14"/>
  <c r="X96" i="14"/>
  <c r="AI17" i="8"/>
  <c r="AN17" i="8"/>
  <c r="Y109" i="14"/>
  <c r="AH249" i="8"/>
  <c r="F250" i="13" s="1"/>
  <c r="AM249" i="8"/>
  <c r="W69" i="14"/>
  <c r="Y218" i="14"/>
  <c r="W170" i="14"/>
  <c r="X170" i="14"/>
  <c r="Y60" i="14"/>
  <c r="Y153" i="14"/>
  <c r="AD32" i="9"/>
  <c r="AF32" i="9"/>
  <c r="Y135" i="14"/>
  <c r="Z121" i="9"/>
  <c r="AC121" i="9" s="1"/>
  <c r="O121" i="9"/>
  <c r="S121" i="9"/>
  <c r="V121" i="9"/>
  <c r="Y40" i="14"/>
  <c r="X125" i="14"/>
  <c r="AF194" i="14"/>
  <c r="S139" i="13"/>
  <c r="L139" i="13"/>
  <c r="K139" i="13"/>
  <c r="T146" i="9"/>
  <c r="AD209" i="8"/>
  <c r="AF209" i="8"/>
  <c r="AD257" i="8"/>
  <c r="AD229" i="8"/>
  <c r="AM295" i="8"/>
  <c r="AH295" i="8"/>
  <c r="F296" i="13" s="1"/>
  <c r="AM294" i="8"/>
  <c r="AH294" i="8"/>
  <c r="F295" i="13" s="1"/>
  <c r="AH236" i="8"/>
  <c r="F237" i="13" s="1"/>
  <c r="AM236" i="8"/>
  <c r="Z220" i="9"/>
  <c r="AC220" i="9" s="1"/>
  <c r="O220" i="9"/>
  <c r="S220" i="9"/>
  <c r="V220" i="9"/>
  <c r="AA208" i="14"/>
  <c r="AF208" i="14"/>
  <c r="W97" i="14"/>
  <c r="W168" i="14"/>
  <c r="AF91" i="14"/>
  <c r="AH279" i="8"/>
  <c r="F280" i="13" s="1"/>
  <c r="AM279" i="8"/>
  <c r="AH270" i="8"/>
  <c r="F271" i="13" s="1"/>
  <c r="AM270" i="8"/>
  <c r="S12" i="13"/>
  <c r="K12" i="13"/>
  <c r="L12" i="13"/>
  <c r="AC222" i="8"/>
  <c r="AH268" i="8"/>
  <c r="F269" i="13" s="1"/>
  <c r="AM268" i="8"/>
  <c r="Y104" i="14"/>
  <c r="L172" i="13"/>
  <c r="K172" i="13"/>
  <c r="S172" i="13"/>
  <c r="V7" i="8"/>
  <c r="Y87" i="14"/>
  <c r="Y98" i="14"/>
  <c r="X107" i="14"/>
  <c r="W107" i="14"/>
  <c r="K143" i="13"/>
  <c r="S143" i="13"/>
  <c r="L143" i="13"/>
  <c r="W215" i="14"/>
  <c r="AP133" i="9"/>
  <c r="D133" i="14"/>
  <c r="AH133" i="9"/>
  <c r="F133" i="14" s="1"/>
  <c r="AM133" i="9"/>
  <c r="AQ133" i="9"/>
  <c r="S31" i="13"/>
  <c r="L31" i="13"/>
  <c r="K31" i="13"/>
  <c r="AI31" i="8"/>
  <c r="AN31" i="8"/>
  <c r="G62" i="13"/>
  <c r="W155" i="14"/>
  <c r="X155" i="14"/>
  <c r="W156" i="14"/>
  <c r="AH311" i="8"/>
  <c r="F312" i="13" s="1"/>
  <c r="AM311" i="8"/>
  <c r="W197" i="14"/>
  <c r="W140" i="14"/>
  <c r="AH267" i="8"/>
  <c r="F268" i="13" s="1"/>
  <c r="AM267" i="8"/>
  <c r="Y52" i="14"/>
  <c r="W184" i="14"/>
  <c r="W181" i="14"/>
  <c r="Y125" i="14"/>
  <c r="W207" i="14"/>
  <c r="Y140" i="14"/>
  <c r="AM238" i="8"/>
  <c r="AH238" i="8"/>
  <c r="F239" i="13" s="1"/>
  <c r="O275" i="8"/>
  <c r="M275" i="8" s="1"/>
  <c r="S261" i="8"/>
  <c r="Q261" i="8" s="1"/>
  <c r="W212" i="14"/>
  <c r="AP41" i="8"/>
  <c r="AH41" i="8"/>
  <c r="F41" i="13" s="1"/>
  <c r="D41" i="13"/>
  <c r="AM41" i="8"/>
  <c r="AQ41" i="8"/>
  <c r="W147" i="14"/>
  <c r="X147" i="14"/>
  <c r="AH250" i="8"/>
  <c r="F251" i="13" s="1"/>
  <c r="AM250" i="8"/>
  <c r="L55" i="13"/>
  <c r="K55" i="13"/>
  <c r="S55" i="13"/>
  <c r="W191" i="14"/>
  <c r="AM252" i="8"/>
  <c r="AH252" i="8"/>
  <c r="AI15" i="8"/>
  <c r="AN15" i="8"/>
  <c r="X165" i="9"/>
  <c r="W131" i="14"/>
  <c r="K122" i="13"/>
  <c r="L122" i="13"/>
  <c r="S122" i="13"/>
  <c r="Z91" i="9"/>
  <c r="AC91" i="9" s="1"/>
  <c r="O91" i="9"/>
  <c r="S91" i="9"/>
  <c r="V91" i="9"/>
  <c r="Y197" i="14"/>
  <c r="Y132" i="14"/>
  <c r="AH299" i="8"/>
  <c r="F300" i="13" s="1"/>
  <c r="AM299" i="8"/>
  <c r="AH30" i="8"/>
  <c r="F30" i="13" s="1"/>
  <c r="D30" i="13"/>
  <c r="AM30" i="8"/>
  <c r="AP30" i="8"/>
  <c r="AQ30" i="8"/>
  <c r="AD138" i="9"/>
  <c r="AF138" i="9"/>
  <c r="M296" i="8"/>
  <c r="O306" i="8"/>
  <c r="M306" i="8" s="1"/>
  <c r="X145" i="9"/>
  <c r="Y61" i="14"/>
  <c r="AH242" i="8"/>
  <c r="F243" i="13" s="1"/>
  <c r="AM242" i="8"/>
  <c r="Y73" i="14"/>
  <c r="Y184" i="14"/>
  <c r="X103" i="9"/>
  <c r="Y189" i="14"/>
  <c r="Y179" i="14"/>
  <c r="AH303" i="8"/>
  <c r="F304" i="13" s="1"/>
  <c r="AM303" i="8"/>
  <c r="AP185" i="9"/>
  <c r="AH185" i="9"/>
  <c r="F185" i="14" s="1"/>
  <c r="AM185" i="9"/>
  <c r="D185" i="14"/>
  <c r="AQ185" i="9"/>
  <c r="Z119" i="9"/>
  <c r="AC119" i="9" s="1"/>
  <c r="O119" i="9"/>
  <c r="S119" i="9"/>
  <c r="V119" i="9"/>
  <c r="W54" i="14"/>
  <c r="AM302" i="8"/>
  <c r="AH302" i="8"/>
  <c r="F303" i="13" s="1"/>
  <c r="AN142" i="8"/>
  <c r="AI142" i="8"/>
  <c r="AH287" i="8"/>
  <c r="F288" i="13" s="1"/>
  <c r="AM287" i="8"/>
  <c r="L144" i="13"/>
  <c r="K144" i="13"/>
  <c r="S144" i="13"/>
  <c r="S324" i="8"/>
  <c r="Q324" i="8" s="1"/>
  <c r="AH243" i="8"/>
  <c r="F244" i="13" s="1"/>
  <c r="AM243" i="8"/>
  <c r="Y63" i="14"/>
  <c r="K213" i="13"/>
  <c r="S213" i="13"/>
  <c r="L213" i="13"/>
  <c r="P162" i="9"/>
  <c r="AF59" i="14"/>
  <c r="Y212" i="14"/>
  <c r="W67" i="14"/>
  <c r="X67" i="14"/>
  <c r="AH256" i="8"/>
  <c r="AM256" i="8"/>
  <c r="Y123" i="14"/>
  <c r="W28" i="14"/>
  <c r="Q229" i="8"/>
  <c r="S231" i="8"/>
  <c r="Q231" i="8" s="1"/>
  <c r="L65" i="13"/>
  <c r="S65" i="13"/>
  <c r="K65" i="13"/>
  <c r="O167" i="9"/>
  <c r="S167" i="9"/>
  <c r="V167" i="9"/>
  <c r="Z167" i="9"/>
  <c r="AC167" i="9" s="1"/>
  <c r="AH237" i="8"/>
  <c r="F238" i="13" s="1"/>
  <c r="AM237" i="8"/>
  <c r="AM240" i="8"/>
  <c r="AH240" i="8"/>
  <c r="F241" i="13" s="1"/>
  <c r="AN78" i="8"/>
  <c r="AI78" i="8"/>
  <c r="Y131" i="14"/>
  <c r="W150" i="14"/>
  <c r="T43" i="9"/>
  <c r="W79" i="14"/>
  <c r="AN21" i="8"/>
  <c r="AI21" i="8"/>
  <c r="Y84" i="14"/>
  <c r="Y180" i="14"/>
  <c r="W159" i="14"/>
  <c r="W63" i="14"/>
  <c r="W134" i="14"/>
  <c r="X134" i="14"/>
  <c r="Y49" i="14"/>
  <c r="W152" i="14"/>
  <c r="X152" i="14"/>
  <c r="Y193" i="14"/>
  <c r="O69" i="9"/>
  <c r="S69" i="9"/>
  <c r="V69" i="9"/>
  <c r="Z69" i="9"/>
  <c r="AC69" i="9" s="1"/>
  <c r="W169" i="14"/>
  <c r="AA169" i="14" s="1"/>
  <c r="AM278" i="8"/>
  <c r="AH278" i="8"/>
  <c r="F279" i="13" s="1"/>
  <c r="W104" i="14"/>
  <c r="O324" i="8"/>
  <c r="M324" i="8" s="1"/>
  <c r="AF161" i="9"/>
  <c r="AD161" i="9"/>
  <c r="W135" i="14"/>
  <c r="X135" i="14"/>
  <c r="Y126" i="14"/>
  <c r="AI128" i="8"/>
  <c r="AN128" i="8"/>
  <c r="T283" i="8"/>
  <c r="V289" i="8"/>
  <c r="T289" i="8" s="1"/>
  <c r="AH272" i="8"/>
  <c r="F273" i="13" s="1"/>
  <c r="AM272" i="8"/>
  <c r="W84" i="14"/>
  <c r="X84" i="14"/>
  <c r="K24" i="13"/>
  <c r="L24" i="13"/>
  <c r="S24" i="13"/>
  <c r="Z25" i="9"/>
  <c r="AC25" i="9" s="1"/>
  <c r="O25" i="9"/>
  <c r="S25" i="9"/>
  <c r="V25" i="9"/>
  <c r="Z132" i="9"/>
  <c r="AC132" i="9" s="1"/>
  <c r="O132" i="9"/>
  <c r="S132" i="9"/>
  <c r="V132" i="9"/>
  <c r="W132" i="14"/>
  <c r="O231" i="8"/>
  <c r="M231" i="8" s="1"/>
  <c r="AM129" i="9"/>
  <c r="D129" i="14"/>
  <c r="AP129" i="9"/>
  <c r="AH129" i="9"/>
  <c r="F129" i="14" s="1"/>
  <c r="AQ129" i="9"/>
  <c r="AF105" i="14"/>
  <c r="Y50" i="14"/>
  <c r="V188" i="9"/>
  <c r="O188" i="9"/>
  <c r="S188" i="9"/>
  <c r="Z188" i="9"/>
  <c r="AC188" i="9" s="1"/>
  <c r="Y34" i="14"/>
  <c r="W136" i="14"/>
  <c r="AF136" i="14" s="1"/>
  <c r="X48" i="9"/>
  <c r="Y89" i="14"/>
  <c r="W116" i="14"/>
  <c r="Y79" i="14"/>
  <c r="AA219" i="14"/>
  <c r="AF219" i="14"/>
  <c r="K17" i="13"/>
  <c r="L17" i="13"/>
  <c r="S17" i="13"/>
  <c r="Y163" i="14"/>
  <c r="AI120" i="8"/>
  <c r="AN120" i="8"/>
  <c r="Y117" i="14"/>
  <c r="Y215" i="14"/>
  <c r="AN55" i="8"/>
  <c r="AI55" i="8"/>
  <c r="X194" i="14"/>
  <c r="Y70" i="14"/>
  <c r="AA76" i="14"/>
  <c r="AH318" i="8"/>
  <c r="AM318" i="8"/>
  <c r="X320" i="8"/>
  <c r="Z324" i="8"/>
  <c r="X324" i="8" s="1"/>
  <c r="L15" i="13"/>
  <c r="S15" i="13"/>
  <c r="K15" i="13"/>
  <c r="AH310" i="8"/>
  <c r="F311" i="13" s="1"/>
  <c r="AM310" i="8"/>
  <c r="O7" i="8"/>
  <c r="AH281" i="8"/>
  <c r="F282" i="13" s="1"/>
  <c r="AM281" i="8"/>
  <c r="K14" i="13"/>
  <c r="L14" i="13"/>
  <c r="S14" i="13"/>
  <c r="AN14" i="8"/>
  <c r="AI14" i="8"/>
  <c r="AA220" i="14"/>
  <c r="AF220" i="14"/>
  <c r="X208" i="14"/>
  <c r="Y166" i="14"/>
  <c r="W153" i="14"/>
  <c r="W166" i="14"/>
  <c r="X91" i="14"/>
  <c r="AN38" i="8"/>
  <c r="AI38" i="8"/>
  <c r="AH235" i="8"/>
  <c r="F236" i="13" s="1"/>
  <c r="AM235" i="8"/>
  <c r="AC261" i="8"/>
  <c r="AD261" i="8" s="1"/>
  <c r="L18" i="13"/>
  <c r="K18" i="13"/>
  <c r="S18" i="13"/>
  <c r="O196" i="9"/>
  <c r="S196" i="9"/>
  <c r="V196" i="9"/>
  <c r="Z196" i="9"/>
  <c r="AC196" i="9" s="1"/>
  <c r="Y90" i="14"/>
  <c r="Y64" i="14"/>
  <c r="AI172" i="8"/>
  <c r="AN172" i="8"/>
  <c r="Y99" i="14"/>
  <c r="W177" i="14"/>
  <c r="X199" i="14"/>
  <c r="W179" i="14"/>
  <c r="Y202" i="14"/>
  <c r="AF93" i="9"/>
  <c r="AD93" i="9"/>
  <c r="W109" i="14"/>
  <c r="AP101" i="8"/>
  <c r="AH101" i="8"/>
  <c r="F101" i="13" s="1"/>
  <c r="D101" i="13"/>
  <c r="AM101" i="8"/>
  <c r="AQ101" i="8"/>
  <c r="W124" i="14"/>
  <c r="Y173" i="14"/>
  <c r="W202" i="14"/>
  <c r="X202" i="14"/>
  <c r="Z214" i="9"/>
  <c r="AC214" i="9" s="1"/>
  <c r="O214" i="9"/>
  <c r="S214" i="9"/>
  <c r="V214" i="9"/>
  <c r="S182" i="13"/>
  <c r="K182" i="13"/>
  <c r="L182" i="13"/>
  <c r="AM51" i="9"/>
  <c r="D51" i="14"/>
  <c r="AP51" i="9"/>
  <c r="AH51" i="9"/>
  <c r="F51" i="14" s="1"/>
  <c r="AQ51" i="9"/>
  <c r="AI80" i="8"/>
  <c r="AN80" i="8"/>
  <c r="W70" i="14"/>
  <c r="AH314" i="8"/>
  <c r="F315" i="13" s="1"/>
  <c r="AM314" i="8"/>
  <c r="V63" i="9"/>
  <c r="O63" i="9"/>
  <c r="S63" i="9"/>
  <c r="Z63" i="9"/>
  <c r="AC63" i="9" s="1"/>
  <c r="AH255" i="8"/>
  <c r="F256" i="13" s="1"/>
  <c r="AM255" i="8"/>
  <c r="Y176" i="14"/>
  <c r="Y154" i="14"/>
  <c r="AF216" i="9"/>
  <c r="AD216" i="9"/>
  <c r="W82" i="14"/>
  <c r="X82" i="14"/>
  <c r="W141" i="14"/>
  <c r="X141" i="14"/>
  <c r="Y97" i="14"/>
  <c r="T257" i="8"/>
  <c r="V261" i="8"/>
  <c r="T261" i="8" s="1"/>
  <c r="W200" i="14"/>
  <c r="AA118" i="14"/>
  <c r="AF118" i="14"/>
  <c r="AD115" i="9"/>
  <c r="AF115" i="9"/>
  <c r="V105" i="9"/>
  <c r="O105" i="9"/>
  <c r="S105" i="9"/>
  <c r="Z105" i="9"/>
  <c r="AC105" i="9" s="1"/>
  <c r="AF188" i="14"/>
  <c r="AA188" i="14"/>
  <c r="AA74" i="14"/>
  <c r="AH269" i="8"/>
  <c r="F270" i="13" s="1"/>
  <c r="AM269" i="8"/>
  <c r="Y148" i="14"/>
  <c r="AI102" i="8"/>
  <c r="AN102" i="8"/>
  <c r="AF216" i="14"/>
  <c r="W77" i="14"/>
  <c r="AM113" i="9"/>
  <c r="AP113" i="9"/>
  <c r="D113" i="14"/>
  <c r="AH113" i="9"/>
  <c r="F113" i="14" s="1"/>
  <c r="AQ113" i="9"/>
  <c r="AD211" i="9"/>
  <c r="AF211" i="9"/>
  <c r="X151" i="9"/>
  <c r="AN12" i="8"/>
  <c r="AI12" i="8"/>
  <c r="AI18" i="8"/>
  <c r="AN18" i="8"/>
  <c r="Y150" i="14"/>
  <c r="W98" i="14"/>
  <c r="W178" i="14"/>
  <c r="X178" i="14"/>
  <c r="S210" i="13"/>
  <c r="L210" i="13"/>
  <c r="K210" i="13"/>
  <c r="Y82" i="14"/>
  <c r="W34" i="14"/>
  <c r="Y149" i="14"/>
  <c r="AM322" i="8"/>
  <c r="AH322" i="8"/>
  <c r="F323" i="13" s="1"/>
  <c r="AM258" i="8"/>
  <c r="AH258" i="8"/>
  <c r="F259" i="13" s="1"/>
  <c r="AC62" i="13"/>
  <c r="AF62" i="13"/>
  <c r="K171" i="13"/>
  <c r="L171" i="13"/>
  <c r="S171" i="13"/>
  <c r="W217" i="14"/>
  <c r="AF86" i="14"/>
  <c r="AF199" i="14"/>
  <c r="S56" i="13"/>
  <c r="L56" i="13"/>
  <c r="K56" i="13"/>
  <c r="Y156" i="14"/>
  <c r="Y177" i="14"/>
  <c r="AI143" i="8"/>
  <c r="AN143" i="8"/>
  <c r="Y77" i="14"/>
  <c r="W64" i="14"/>
  <c r="X64" i="14"/>
  <c r="S142" i="13"/>
  <c r="K142" i="13"/>
  <c r="L142" i="13"/>
  <c r="W46" i="14"/>
  <c r="X46" i="14"/>
  <c r="Y114" i="14"/>
  <c r="Z158" i="9"/>
  <c r="AC158" i="9" s="1"/>
  <c r="O158" i="9"/>
  <c r="S158" i="9"/>
  <c r="V158" i="9"/>
  <c r="AF158" i="14"/>
  <c r="W52" i="14"/>
  <c r="X52" i="14"/>
  <c r="W193" i="14"/>
  <c r="AD92" i="9"/>
  <c r="AF92" i="9"/>
  <c r="AI213" i="8"/>
  <c r="AN213" i="8"/>
  <c r="X296" i="8"/>
  <c r="Z306" i="8"/>
  <c r="X306" i="8" s="1"/>
  <c r="X71" i="9"/>
  <c r="AF95" i="9"/>
  <c r="AD95" i="9"/>
  <c r="Y191" i="14"/>
  <c r="Y159" i="14"/>
  <c r="AI182" i="8"/>
  <c r="AN182" i="8"/>
  <c r="Y170" i="14"/>
  <c r="W149" i="14"/>
  <c r="Y134" i="14"/>
  <c r="AH247" i="8"/>
  <c r="F248" i="13" s="1"/>
  <c r="AM247" i="8"/>
  <c r="S8" i="8"/>
  <c r="Q222" i="8"/>
  <c r="Q8" i="8" s="1"/>
  <c r="AI65" i="8"/>
  <c r="AN65" i="8"/>
  <c r="AM298" i="8"/>
  <c r="AH298" i="8"/>
  <c r="F299" i="13" s="1"/>
  <c r="AI16" i="13"/>
  <c r="AJ16" i="13"/>
  <c r="AH245" i="8"/>
  <c r="F246" i="13" s="1"/>
  <c r="AM245" i="8"/>
  <c r="AM297" i="8"/>
  <c r="AH297" i="8"/>
  <c r="F298" i="13" s="1"/>
  <c r="AH280" i="8"/>
  <c r="F281" i="13" s="1"/>
  <c r="AM280" i="8"/>
  <c r="O86" i="9"/>
  <c r="S86" i="9"/>
  <c r="V86" i="9"/>
  <c r="Z86" i="9"/>
  <c r="AC86" i="9" s="1"/>
  <c r="K33" i="13"/>
  <c r="L33" i="13"/>
  <c r="S33" i="13"/>
  <c r="W75" i="14"/>
  <c r="W180" i="14"/>
  <c r="AF83" i="9"/>
  <c r="AD83" i="9"/>
  <c r="Y68" i="14"/>
  <c r="X66" i="9"/>
  <c r="L21" i="13"/>
  <c r="S21" i="13"/>
  <c r="K21" i="13"/>
  <c r="S27" i="13"/>
  <c r="K27" i="13"/>
  <c r="L27" i="13"/>
  <c r="Y181" i="14"/>
  <c r="W111" i="14"/>
  <c r="X111" i="14"/>
  <c r="AN174" i="8"/>
  <c r="AI174" i="8"/>
  <c r="S174" i="13"/>
  <c r="K174" i="13"/>
  <c r="L174" i="13"/>
  <c r="W176" i="14"/>
  <c r="O45" i="9"/>
  <c r="S45" i="9"/>
  <c r="V45" i="9"/>
  <c r="Z45" i="9"/>
  <c r="AC45" i="9" s="1"/>
  <c r="K26" i="13"/>
  <c r="L26" i="13"/>
  <c r="S26" i="13"/>
  <c r="W49" i="14"/>
  <c r="W125" i="14"/>
  <c r="AH246" i="8"/>
  <c r="F247" i="13" s="1"/>
  <c r="AM246" i="8"/>
  <c r="T296" i="8"/>
  <c r="V306" i="8"/>
  <c r="T306" i="8" s="1"/>
  <c r="W90" i="14"/>
  <c r="X90" i="14"/>
  <c r="S13" i="13"/>
  <c r="L13" i="13"/>
  <c r="K13" i="13"/>
  <c r="AN24" i="8"/>
  <c r="AI24" i="8"/>
  <c r="AA25" i="14"/>
  <c r="AF25" i="14"/>
  <c r="Y168" i="14"/>
  <c r="X118" i="14"/>
  <c r="W183" i="14"/>
  <c r="X74" i="14"/>
  <c r="Y205" i="14"/>
  <c r="Y116" i="14"/>
  <c r="T164" i="9"/>
  <c r="W201" i="14"/>
  <c r="AF93" i="14"/>
  <c r="O219" i="9"/>
  <c r="S219" i="9"/>
  <c r="V219" i="9"/>
  <c r="Z219" i="9"/>
  <c r="AC219" i="9" s="1"/>
  <c r="O96" i="9"/>
  <c r="S96" i="9"/>
  <c r="V96" i="9"/>
  <c r="Z96" i="9"/>
  <c r="AC96" i="9" s="1"/>
  <c r="AA96" i="14"/>
  <c r="L102" i="13"/>
  <c r="K102" i="13"/>
  <c r="S102" i="13"/>
  <c r="AH317" i="8"/>
  <c r="F318" i="13" s="1"/>
  <c r="AM317" i="8"/>
  <c r="S120" i="13"/>
  <c r="K120" i="13"/>
  <c r="L120" i="13"/>
  <c r="X222" i="8"/>
  <c r="X8" i="8" s="1"/>
  <c r="Z8" i="8"/>
  <c r="AM313" i="8"/>
  <c r="AH313" i="8"/>
  <c r="F314" i="13" s="1"/>
  <c r="AM241" i="8"/>
  <c r="AH241" i="8"/>
  <c r="F242" i="13" s="1"/>
  <c r="AF121" i="14"/>
  <c r="O194" i="9"/>
  <c r="S194" i="9"/>
  <c r="V194" i="9"/>
  <c r="Z194" i="9"/>
  <c r="AC194" i="9" s="1"/>
  <c r="O76" i="9"/>
  <c r="S76" i="9"/>
  <c r="V76" i="9"/>
  <c r="Z76" i="9"/>
  <c r="AC76" i="9" s="1"/>
  <c r="AH228" i="8"/>
  <c r="AM228" i="8"/>
  <c r="Y183" i="14"/>
  <c r="AH53" i="9"/>
  <c r="F53" i="14" s="1"/>
  <c r="D53" i="14"/>
  <c r="AP53" i="9"/>
  <c r="AM53" i="9"/>
  <c r="AQ53" i="9"/>
  <c r="AH282" i="8"/>
  <c r="F283" i="13" s="1"/>
  <c r="AM282" i="8"/>
  <c r="Y46" i="14"/>
  <c r="AD264" i="8"/>
  <c r="AC275" i="8"/>
  <c r="AD275" i="8" s="1"/>
  <c r="AD204" i="9"/>
  <c r="AF204" i="9"/>
  <c r="W57" i="14"/>
  <c r="X57" i="14"/>
  <c r="X187" i="14"/>
  <c r="AM271" i="8"/>
  <c r="AH271" i="8"/>
  <c r="F272" i="13" s="1"/>
  <c r="W154" i="14"/>
  <c r="O208" i="9"/>
  <c r="S208" i="9"/>
  <c r="V208" i="9"/>
  <c r="Z208" i="9"/>
  <c r="AC208" i="9" s="1"/>
  <c r="AN122" i="8"/>
  <c r="AI122" i="8"/>
  <c r="AM300" i="8"/>
  <c r="AH300" i="8"/>
  <c r="F301" i="13" s="1"/>
  <c r="L38" i="13"/>
  <c r="K38" i="13"/>
  <c r="S38" i="13"/>
  <c r="AF222" i="8"/>
  <c r="AH293" i="8"/>
  <c r="F294" i="13" s="1"/>
  <c r="AM293" i="8"/>
  <c r="F12" i="13"/>
  <c r="T160" i="9"/>
  <c r="AF306" i="8"/>
  <c r="AF196" i="14"/>
  <c r="Y141" i="14"/>
  <c r="Y74" i="14"/>
  <c r="T195" i="9"/>
  <c r="AH254" i="8"/>
  <c r="F255" i="13" s="1"/>
  <c r="AM254" i="8"/>
  <c r="W37" i="14" l="1"/>
  <c r="X49" i="14"/>
  <c r="X28" i="14"/>
  <c r="X197" i="14"/>
  <c r="Y88" i="14"/>
  <c r="X68" i="14"/>
  <c r="X77" i="14"/>
  <c r="X200" i="14"/>
  <c r="X179" i="14"/>
  <c r="X153" i="14"/>
  <c r="X131" i="14"/>
  <c r="X184" i="14"/>
  <c r="X89" i="14"/>
  <c r="X54" i="14"/>
  <c r="X215" i="14"/>
  <c r="X117" i="14"/>
  <c r="X124" i="14"/>
  <c r="X79" i="14"/>
  <c r="X156" i="14"/>
  <c r="X50" i="14"/>
  <c r="X154" i="14"/>
  <c r="X183" i="14"/>
  <c r="X177" i="14"/>
  <c r="X136" i="14"/>
  <c r="X150" i="14"/>
  <c r="X207" i="14"/>
  <c r="X181" i="14"/>
  <c r="X97" i="14"/>
  <c r="X47" i="14"/>
  <c r="X116" i="14"/>
  <c r="L228" i="13"/>
  <c r="K228" i="13"/>
  <c r="AH306" i="8"/>
  <c r="AM306" i="8"/>
  <c r="K318" i="13"/>
  <c r="L318" i="13"/>
  <c r="AC120" i="13"/>
  <c r="AC102" i="13"/>
  <c r="S7" i="8"/>
  <c r="AA149" i="14"/>
  <c r="AF149" i="14"/>
  <c r="D95" i="14"/>
  <c r="AH95" i="9"/>
  <c r="F95" i="14" s="1"/>
  <c r="AM95" i="9"/>
  <c r="AP95" i="9"/>
  <c r="AQ95" i="9"/>
  <c r="AG62" i="13"/>
  <c r="Y39" i="14"/>
  <c r="Z200" i="9"/>
  <c r="AC200" i="9" s="1"/>
  <c r="O200" i="9"/>
  <c r="S200" i="9"/>
  <c r="V200" i="9"/>
  <c r="W94" i="14"/>
  <c r="AF63" i="9"/>
  <c r="AD63" i="9"/>
  <c r="AM248" i="8"/>
  <c r="AH248" i="8"/>
  <c r="F249" i="13" s="1"/>
  <c r="O166" i="9"/>
  <c r="S166" i="9"/>
  <c r="V166" i="9"/>
  <c r="Z166" i="9"/>
  <c r="AC166" i="9" s="1"/>
  <c r="G14" i="13"/>
  <c r="K239" i="13"/>
  <c r="L239" i="13"/>
  <c r="O106" i="9"/>
  <c r="S106" i="9"/>
  <c r="V106" i="9"/>
  <c r="Z106" i="9"/>
  <c r="AC106" i="9" s="1"/>
  <c r="Z134" i="9"/>
  <c r="AC134" i="9" s="1"/>
  <c r="O134" i="9"/>
  <c r="S134" i="9"/>
  <c r="V134" i="9"/>
  <c r="AA63" i="14"/>
  <c r="AA67" i="14"/>
  <c r="AN287" i="8"/>
  <c r="AI287" i="8"/>
  <c r="G288" i="13" s="1"/>
  <c r="AA140" i="14"/>
  <c r="AF140" i="14"/>
  <c r="Z215" i="9"/>
  <c r="AC215" i="9" s="1"/>
  <c r="O215" i="9"/>
  <c r="S215" i="9"/>
  <c r="V215" i="9"/>
  <c r="AI268" i="8"/>
  <c r="G269" i="13" s="1"/>
  <c r="AN268" i="8"/>
  <c r="L236" i="13"/>
  <c r="K236" i="13"/>
  <c r="G17" i="13"/>
  <c r="Z117" i="9"/>
  <c r="AC117" i="9" s="1"/>
  <c r="O117" i="9"/>
  <c r="S117" i="9"/>
  <c r="V117" i="9"/>
  <c r="G13" i="13"/>
  <c r="AC128" i="13"/>
  <c r="G27" i="13"/>
  <c r="O85" i="9"/>
  <c r="S85" i="9"/>
  <c r="V85" i="9"/>
  <c r="Z85" i="9"/>
  <c r="AC85" i="9" s="1"/>
  <c r="G144" i="13"/>
  <c r="X195" i="9"/>
  <c r="Z57" i="9"/>
  <c r="AC57" i="9" s="1"/>
  <c r="O57" i="9"/>
  <c r="S57" i="9"/>
  <c r="V57" i="9"/>
  <c r="AP204" i="9"/>
  <c r="AM204" i="9"/>
  <c r="AH204" i="9"/>
  <c r="F204" i="14" s="1"/>
  <c r="D204" i="14"/>
  <c r="AQ204" i="9"/>
  <c r="L251" i="13"/>
  <c r="K251" i="13"/>
  <c r="AF96" i="9"/>
  <c r="AD96" i="9"/>
  <c r="X160" i="9"/>
  <c r="AN293" i="8"/>
  <c r="AI293" i="8"/>
  <c r="G294" i="13" s="1"/>
  <c r="AD208" i="9"/>
  <c r="AF208" i="9"/>
  <c r="Z154" i="9"/>
  <c r="AC154" i="9" s="1"/>
  <c r="O154" i="9"/>
  <c r="S154" i="9"/>
  <c r="V154" i="9"/>
  <c r="AI282" i="8"/>
  <c r="G283" i="13" s="1"/>
  <c r="AN282" i="8"/>
  <c r="F253" i="13"/>
  <c r="F229" i="13"/>
  <c r="F319" i="13"/>
  <c r="AN313" i="8"/>
  <c r="AI313" i="8"/>
  <c r="G314" i="13" s="1"/>
  <c r="K250" i="13"/>
  <c r="L250" i="13"/>
  <c r="Z201" i="9"/>
  <c r="AC201" i="9" s="1"/>
  <c r="O201" i="9"/>
  <c r="S201" i="9"/>
  <c r="V201" i="9"/>
  <c r="G24" i="13"/>
  <c r="K273" i="13"/>
  <c r="L273" i="13"/>
  <c r="O90" i="9"/>
  <c r="S90" i="9"/>
  <c r="V90" i="9"/>
  <c r="Z90" i="9"/>
  <c r="AC90" i="9" s="1"/>
  <c r="Y42" i="14"/>
  <c r="AF111" i="14"/>
  <c r="AA111" i="14"/>
  <c r="X180" i="14"/>
  <c r="AI280" i="8"/>
  <c r="G281" i="13" s="1"/>
  <c r="AN280" i="8"/>
  <c r="AN247" i="8"/>
  <c r="AI247" i="8"/>
  <c r="G248" i="13" s="1"/>
  <c r="X149" i="14"/>
  <c r="G213" i="13"/>
  <c r="Z193" i="9"/>
  <c r="AC193" i="9" s="1"/>
  <c r="O193" i="9"/>
  <c r="S193" i="9"/>
  <c r="V193" i="9"/>
  <c r="Z52" i="9"/>
  <c r="AC52" i="9" s="1"/>
  <c r="O52" i="9"/>
  <c r="S52" i="9"/>
  <c r="V52" i="9"/>
  <c r="L303" i="13"/>
  <c r="K303" i="13"/>
  <c r="Z64" i="9"/>
  <c r="AC64" i="9" s="1"/>
  <c r="O64" i="9"/>
  <c r="S64" i="9"/>
  <c r="V64" i="9"/>
  <c r="O217" i="9"/>
  <c r="S217" i="9"/>
  <c r="V217" i="9"/>
  <c r="Z217" i="9"/>
  <c r="AC217" i="9" s="1"/>
  <c r="X34" i="14"/>
  <c r="AA178" i="14"/>
  <c r="AF178" i="14"/>
  <c r="AN113" i="9"/>
  <c r="AI113" i="9"/>
  <c r="G113" i="14" s="1"/>
  <c r="Z77" i="9"/>
  <c r="AC77" i="9" s="1"/>
  <c r="O77" i="9"/>
  <c r="S77" i="9"/>
  <c r="V77" i="9"/>
  <c r="G102" i="13"/>
  <c r="AD105" i="9"/>
  <c r="AF105" i="9"/>
  <c r="AM115" i="9"/>
  <c r="AH115" i="9"/>
  <c r="F115" i="14" s="1"/>
  <c r="AP115" i="9"/>
  <c r="D115" i="14"/>
  <c r="AQ115" i="9"/>
  <c r="AF141" i="14"/>
  <c r="AA141" i="14"/>
  <c r="AM216" i="9"/>
  <c r="D216" i="14"/>
  <c r="AP216" i="9"/>
  <c r="AH216" i="9"/>
  <c r="F216" i="14" s="1"/>
  <c r="AQ216" i="9"/>
  <c r="Y75" i="14"/>
  <c r="W130" i="14"/>
  <c r="AI314" i="8"/>
  <c r="G315" i="13" s="1"/>
  <c r="AN314" i="8"/>
  <c r="L51" i="14"/>
  <c r="S51" i="14"/>
  <c r="K51" i="14"/>
  <c r="Z202" i="9"/>
  <c r="AC202" i="9" s="1"/>
  <c r="O202" i="9"/>
  <c r="S202" i="9"/>
  <c r="V202" i="9"/>
  <c r="AF124" i="14"/>
  <c r="AA124" i="14"/>
  <c r="AI101" i="8"/>
  <c r="AN101" i="8"/>
  <c r="AA109" i="14"/>
  <c r="AF109" i="14"/>
  <c r="O179" i="9"/>
  <c r="S179" i="9"/>
  <c r="V179" i="9"/>
  <c r="Z179" i="9"/>
  <c r="AC179" i="9" s="1"/>
  <c r="Z177" i="9"/>
  <c r="AC177" i="9" s="1"/>
  <c r="O177" i="9"/>
  <c r="S177" i="9"/>
  <c r="V177" i="9"/>
  <c r="K287" i="13"/>
  <c r="L287" i="13"/>
  <c r="AM286" i="8"/>
  <c r="AH286" i="8"/>
  <c r="F287" i="13" s="1"/>
  <c r="Z153" i="9"/>
  <c r="AC153" i="9" s="1"/>
  <c r="O153" i="9"/>
  <c r="S153" i="9"/>
  <c r="V153" i="9"/>
  <c r="AC14" i="13"/>
  <c r="AF14" i="13"/>
  <c r="AN310" i="8"/>
  <c r="AI310" i="8"/>
  <c r="G311" i="13" s="1"/>
  <c r="K272" i="13"/>
  <c r="L272" i="13"/>
  <c r="AN318" i="8"/>
  <c r="AI318" i="8"/>
  <c r="G55" i="13"/>
  <c r="W85" i="14"/>
  <c r="AA84" i="14"/>
  <c r="AF84" i="14"/>
  <c r="AM161" i="9"/>
  <c r="D161" i="14"/>
  <c r="AP161" i="9"/>
  <c r="AH161" i="9"/>
  <c r="F161" i="14" s="1"/>
  <c r="AQ161" i="9"/>
  <c r="AA134" i="14"/>
  <c r="AF134" i="14"/>
  <c r="X159" i="14"/>
  <c r="Z79" i="9"/>
  <c r="AC79" i="9" s="1"/>
  <c r="O79" i="9"/>
  <c r="S79" i="9"/>
  <c r="V79" i="9"/>
  <c r="AA79" i="14"/>
  <c r="AF79" i="14"/>
  <c r="F322" i="13"/>
  <c r="F257" i="13"/>
  <c r="T162" i="9"/>
  <c r="K305" i="13"/>
  <c r="L305" i="13"/>
  <c r="G142" i="13"/>
  <c r="AN185" i="9"/>
  <c r="AI185" i="9"/>
  <c r="G185" i="14" s="1"/>
  <c r="AH265" i="8"/>
  <c r="F266" i="13" s="1"/>
  <c r="AM265" i="8"/>
  <c r="K301" i="13"/>
  <c r="L301" i="13"/>
  <c r="AF131" i="14"/>
  <c r="AA131" i="14"/>
  <c r="AF191" i="14"/>
  <c r="AA191" i="14"/>
  <c r="L314" i="13"/>
  <c r="K314" i="13"/>
  <c r="L41" i="13"/>
  <c r="S41" i="13"/>
  <c r="K41" i="13"/>
  <c r="AM266" i="8"/>
  <c r="AH266" i="8"/>
  <c r="F267" i="13" s="1"/>
  <c r="X218" i="14"/>
  <c r="W218" i="14"/>
  <c r="AF181" i="14"/>
  <c r="AA181" i="14"/>
  <c r="Z140" i="9"/>
  <c r="AC140" i="9" s="1"/>
  <c r="O140" i="9"/>
  <c r="S140" i="9"/>
  <c r="V140" i="9"/>
  <c r="Z197" i="9"/>
  <c r="AC197" i="9" s="1"/>
  <c r="O197" i="9"/>
  <c r="S197" i="9"/>
  <c r="V197" i="9"/>
  <c r="AA197" i="14"/>
  <c r="AF197" i="14"/>
  <c r="Z156" i="9"/>
  <c r="AC156" i="9" s="1"/>
  <c r="O156" i="9"/>
  <c r="S156" i="9"/>
  <c r="V156" i="9"/>
  <c r="AC31" i="13"/>
  <c r="AC8" i="8"/>
  <c r="AD222" i="8"/>
  <c r="AD8" i="8" s="1"/>
  <c r="L311" i="13"/>
  <c r="K311" i="13"/>
  <c r="AC12" i="13"/>
  <c r="AF12" i="13"/>
  <c r="AN270" i="8"/>
  <c r="AI270" i="8"/>
  <c r="G271" i="13" s="1"/>
  <c r="O168" i="9"/>
  <c r="S168" i="9"/>
  <c r="V168" i="9"/>
  <c r="Z168" i="9"/>
  <c r="AC168" i="9" s="1"/>
  <c r="AD283" i="8"/>
  <c r="AC289" i="8"/>
  <c r="AD289" i="8" s="1"/>
  <c r="O125" i="9"/>
  <c r="S125" i="9"/>
  <c r="V125" i="9"/>
  <c r="Z125" i="9"/>
  <c r="AC125" i="9" s="1"/>
  <c r="AC231" i="8"/>
  <c r="AD231" i="8" s="1"/>
  <c r="AJ19" i="13"/>
  <c r="AI19" i="13"/>
  <c r="D72" i="14"/>
  <c r="AH72" i="9"/>
  <c r="F72" i="14" s="1"/>
  <c r="AP72" i="9"/>
  <c r="AM72" i="9"/>
  <c r="AQ72" i="9"/>
  <c r="AA68" i="14"/>
  <c r="AF68" i="14"/>
  <c r="O37" i="9"/>
  <c r="S37" i="9"/>
  <c r="V37" i="9"/>
  <c r="Z37" i="9"/>
  <c r="AC37" i="9" s="1"/>
  <c r="AF127" i="9"/>
  <c r="AD127" i="9"/>
  <c r="D190" i="14"/>
  <c r="AH190" i="9"/>
  <c r="F190" i="14" s="1"/>
  <c r="AM190" i="9"/>
  <c r="AP190" i="9"/>
  <c r="AQ190" i="9"/>
  <c r="AC78" i="13"/>
  <c r="G33" i="13"/>
  <c r="K316" i="13"/>
  <c r="L316" i="13"/>
  <c r="L246" i="13"/>
  <c r="K246" i="13"/>
  <c r="G23" i="13"/>
  <c r="K299" i="13"/>
  <c r="L299" i="13"/>
  <c r="X40" i="14"/>
  <c r="Y169" i="14"/>
  <c r="AF173" i="14"/>
  <c r="AA173" i="14"/>
  <c r="D203" i="14"/>
  <c r="AP203" i="9"/>
  <c r="AH203" i="9"/>
  <c r="F203" i="14" s="1"/>
  <c r="AM203" i="9"/>
  <c r="AQ203" i="9"/>
  <c r="O99" i="9"/>
  <c r="S99" i="9"/>
  <c r="V99" i="9"/>
  <c r="Z99" i="9"/>
  <c r="AC99" i="9" s="1"/>
  <c r="AD199" i="9"/>
  <c r="AF199" i="9"/>
  <c r="AN319" i="8"/>
  <c r="AI319" i="8"/>
  <c r="G320" i="13" s="1"/>
  <c r="L300" i="13"/>
  <c r="K300" i="13"/>
  <c r="Z73" i="9"/>
  <c r="AC73" i="9" s="1"/>
  <c r="O73" i="9"/>
  <c r="S73" i="9"/>
  <c r="V73" i="9"/>
  <c r="AF114" i="14"/>
  <c r="AA114" i="14"/>
  <c r="Z87" i="9"/>
  <c r="AC87" i="9" s="1"/>
  <c r="O87" i="9"/>
  <c r="S87" i="9"/>
  <c r="V87" i="9"/>
  <c r="O123" i="9"/>
  <c r="S123" i="9"/>
  <c r="V123" i="9"/>
  <c r="Z123" i="9"/>
  <c r="AC123" i="9" s="1"/>
  <c r="Z189" i="9"/>
  <c r="AC189" i="9" s="1"/>
  <c r="O189" i="9"/>
  <c r="S189" i="9"/>
  <c r="V189" i="9"/>
  <c r="AN301" i="8"/>
  <c r="AI301" i="8"/>
  <c r="G302" i="13" s="1"/>
  <c r="K247" i="13"/>
  <c r="L247" i="13"/>
  <c r="L248" i="13"/>
  <c r="K248" i="13"/>
  <c r="Z126" i="9"/>
  <c r="AC126" i="9" s="1"/>
  <c r="O126" i="9"/>
  <c r="S126" i="9"/>
  <c r="V126" i="9"/>
  <c r="AF50" i="14"/>
  <c r="AA50" i="14"/>
  <c r="AN253" i="8"/>
  <c r="AI253" i="8"/>
  <c r="G254" i="13" s="1"/>
  <c r="AI226" i="8"/>
  <c r="G227" i="13" s="1"/>
  <c r="AN226" i="8"/>
  <c r="AN300" i="8"/>
  <c r="AI300" i="8"/>
  <c r="G301" i="13" s="1"/>
  <c r="AI241" i="8"/>
  <c r="G242" i="13" s="1"/>
  <c r="AN241" i="8"/>
  <c r="AN246" i="8"/>
  <c r="AI246" i="8"/>
  <c r="G247" i="13" s="1"/>
  <c r="AC174" i="13"/>
  <c r="AF174" i="13"/>
  <c r="AI245" i="8"/>
  <c r="G246" i="13" s="1"/>
  <c r="AN245" i="8"/>
  <c r="AN16" i="13"/>
  <c r="AF193" i="14"/>
  <c r="AA193" i="14"/>
  <c r="AA98" i="14"/>
  <c r="AF98" i="14"/>
  <c r="AM93" i="9"/>
  <c r="AP93" i="9"/>
  <c r="AH93" i="9"/>
  <c r="F93" i="14" s="1"/>
  <c r="D93" i="14"/>
  <c r="AQ93" i="9"/>
  <c r="L237" i="13"/>
  <c r="K237" i="13"/>
  <c r="AI272" i="8"/>
  <c r="G273" i="13" s="1"/>
  <c r="AN272" i="8"/>
  <c r="Z150" i="9"/>
  <c r="AC150" i="9" s="1"/>
  <c r="O150" i="9"/>
  <c r="S150" i="9"/>
  <c r="V150" i="9"/>
  <c r="AN237" i="8"/>
  <c r="AI237" i="8"/>
  <c r="G238" i="13" s="1"/>
  <c r="K280" i="13"/>
  <c r="L280" i="13"/>
  <c r="AA201" i="14"/>
  <c r="AF201" i="14"/>
  <c r="O49" i="9"/>
  <c r="S49" i="9"/>
  <c r="V49" i="9"/>
  <c r="Z49" i="9"/>
  <c r="AC49" i="9" s="1"/>
  <c r="AC26" i="13"/>
  <c r="AF176" i="14"/>
  <c r="AA176" i="14"/>
  <c r="L241" i="13"/>
  <c r="K241" i="13"/>
  <c r="D92" i="14"/>
  <c r="AP92" i="9"/>
  <c r="AM92" i="9"/>
  <c r="AH92" i="9"/>
  <c r="F92" i="14" s="1"/>
  <c r="AQ92" i="9"/>
  <c r="G143" i="13"/>
  <c r="Z34" i="9"/>
  <c r="AC34" i="9" s="1"/>
  <c r="O34" i="9"/>
  <c r="S34" i="9"/>
  <c r="V34" i="9"/>
  <c r="AC210" i="13"/>
  <c r="AF210" i="13"/>
  <c r="AN269" i="8"/>
  <c r="AI269" i="8"/>
  <c r="G270" i="13" s="1"/>
  <c r="V70" i="9"/>
  <c r="O70" i="9"/>
  <c r="S70" i="9"/>
  <c r="Z70" i="9"/>
  <c r="AC70" i="9" s="1"/>
  <c r="AN51" i="9"/>
  <c r="AI51" i="9"/>
  <c r="G51" i="14" s="1"/>
  <c r="AC182" i="13"/>
  <c r="G172" i="13"/>
  <c r="AC18" i="13"/>
  <c r="W192" i="14"/>
  <c r="AC17" i="13"/>
  <c r="AF17" i="13"/>
  <c r="Z84" i="9"/>
  <c r="AC84" i="9" s="1"/>
  <c r="O84" i="9"/>
  <c r="S84" i="9"/>
  <c r="V84" i="9"/>
  <c r="G128" i="13"/>
  <c r="O104" i="9"/>
  <c r="S104" i="9"/>
  <c r="V104" i="9"/>
  <c r="Z104" i="9"/>
  <c r="AC104" i="9" s="1"/>
  <c r="AA159" i="14"/>
  <c r="AF159" i="14"/>
  <c r="AM312" i="8"/>
  <c r="AH312" i="8"/>
  <c r="F313" i="13" s="1"/>
  <c r="Z212" i="9"/>
  <c r="AC212" i="9" s="1"/>
  <c r="O212" i="9"/>
  <c r="S212" i="9"/>
  <c r="V212" i="9"/>
  <c r="Z207" i="9"/>
  <c r="AC207" i="9" s="1"/>
  <c r="O207" i="9"/>
  <c r="S207" i="9"/>
  <c r="V207" i="9"/>
  <c r="G31" i="13"/>
  <c r="L133" i="14"/>
  <c r="K133" i="14"/>
  <c r="S133" i="14"/>
  <c r="K294" i="13"/>
  <c r="L294" i="13"/>
  <c r="AA168" i="14"/>
  <c r="AF168" i="14"/>
  <c r="AF170" i="14"/>
  <c r="AA170" i="14"/>
  <c r="W39" i="14"/>
  <c r="X39" i="14"/>
  <c r="Y44" i="14"/>
  <c r="K281" i="13"/>
  <c r="L281" i="13"/>
  <c r="AN273" i="8"/>
  <c r="AI273" i="8"/>
  <c r="G274" i="13" s="1"/>
  <c r="AA80" i="13"/>
  <c r="AN321" i="8"/>
  <c r="AI321" i="8"/>
  <c r="AA60" i="14"/>
  <c r="S186" i="14"/>
  <c r="K186" i="14"/>
  <c r="L186" i="14"/>
  <c r="AA37" i="14"/>
  <c r="O163" i="9"/>
  <c r="S163" i="9"/>
  <c r="V163" i="9"/>
  <c r="Z163" i="9"/>
  <c r="AC163" i="9" s="1"/>
  <c r="AF99" i="14"/>
  <c r="G56" i="13"/>
  <c r="G171" i="13"/>
  <c r="O114" i="9"/>
  <c r="S114" i="9"/>
  <c r="V114" i="9"/>
  <c r="Z114" i="9"/>
  <c r="AC114" i="9" s="1"/>
  <c r="AA123" i="14"/>
  <c r="AF123" i="14"/>
  <c r="AF189" i="14"/>
  <c r="AA189" i="14"/>
  <c r="AI244" i="8"/>
  <c r="G245" i="13" s="1"/>
  <c r="AN244" i="8"/>
  <c r="L317" i="13"/>
  <c r="K317" i="13"/>
  <c r="AC100" i="13"/>
  <c r="AA61" i="14"/>
  <c r="AN304" i="8"/>
  <c r="AI304" i="8"/>
  <c r="G305" i="13" s="1"/>
  <c r="O50" i="9"/>
  <c r="S50" i="9"/>
  <c r="V50" i="9"/>
  <c r="Z50" i="9"/>
  <c r="AC50" i="9" s="1"/>
  <c r="G210" i="13"/>
  <c r="AH296" i="8"/>
  <c r="F297" i="13" s="1"/>
  <c r="AM296" i="8"/>
  <c r="AC38" i="13"/>
  <c r="G122" i="13"/>
  <c r="AN271" i="8"/>
  <c r="AI271" i="8"/>
  <c r="G272" i="13" s="1"/>
  <c r="Z187" i="9"/>
  <c r="AC187" i="9" s="1"/>
  <c r="O187" i="9"/>
  <c r="S187" i="9"/>
  <c r="V187" i="9"/>
  <c r="AA57" i="14"/>
  <c r="AF57" i="14"/>
  <c r="K53" i="14"/>
  <c r="S53" i="14"/>
  <c r="L53" i="14"/>
  <c r="AI228" i="8"/>
  <c r="AN228" i="8"/>
  <c r="AI317" i="8"/>
  <c r="G318" i="13" s="1"/>
  <c r="AN317" i="8"/>
  <c r="X164" i="9"/>
  <c r="AF183" i="14"/>
  <c r="AA183" i="14"/>
  <c r="K286" i="13"/>
  <c r="L286" i="13"/>
  <c r="AC13" i="13"/>
  <c r="AF90" i="14"/>
  <c r="AA90" i="14"/>
  <c r="AA49" i="14"/>
  <c r="AF49" i="14"/>
  <c r="AD45" i="9"/>
  <c r="AF45" i="9"/>
  <c r="Z176" i="9"/>
  <c r="AC176" i="9" s="1"/>
  <c r="O176" i="9"/>
  <c r="S176" i="9"/>
  <c r="V176" i="9"/>
  <c r="G174" i="13"/>
  <c r="K268" i="13"/>
  <c r="L268" i="13"/>
  <c r="D83" i="14"/>
  <c r="AH83" i="9"/>
  <c r="F83" i="14" s="1"/>
  <c r="AM83" i="9"/>
  <c r="AP83" i="9"/>
  <c r="AQ83" i="9"/>
  <c r="AA75" i="14"/>
  <c r="AC33" i="13"/>
  <c r="AF33" i="13"/>
  <c r="AI297" i="8"/>
  <c r="G298" i="13" s="1"/>
  <c r="AN297" i="8"/>
  <c r="AM16" i="13"/>
  <c r="AK16" i="13"/>
  <c r="AI298" i="8"/>
  <c r="G299" i="13" s="1"/>
  <c r="AN298" i="8"/>
  <c r="G65" i="13"/>
  <c r="O46" i="9"/>
  <c r="S46" i="9"/>
  <c r="V46" i="9"/>
  <c r="Z46" i="9"/>
  <c r="AC46" i="9" s="1"/>
  <c r="AF46" i="14"/>
  <c r="AA46" i="14"/>
  <c r="AC142" i="13"/>
  <c r="AF142" i="13"/>
  <c r="AC56" i="13"/>
  <c r="AF56" i="13"/>
  <c r="K320" i="13"/>
  <c r="L320" i="13"/>
  <c r="L323" i="13"/>
  <c r="K323" i="13"/>
  <c r="O178" i="9"/>
  <c r="S178" i="9"/>
  <c r="V178" i="9"/>
  <c r="Z178" i="9"/>
  <c r="AC178" i="9" s="1"/>
  <c r="X98" i="14"/>
  <c r="G18" i="13"/>
  <c r="G12" i="13"/>
  <c r="AM284" i="8"/>
  <c r="AH284" i="8"/>
  <c r="F285" i="13" s="1"/>
  <c r="AH211" i="9"/>
  <c r="F211" i="14" s="1"/>
  <c r="D211" i="14"/>
  <c r="AM211" i="9"/>
  <c r="AP211" i="9"/>
  <c r="AQ211" i="9"/>
  <c r="AA77" i="14"/>
  <c r="AF77" i="14"/>
  <c r="AF200" i="14"/>
  <c r="AA200" i="14"/>
  <c r="O141" i="9"/>
  <c r="S141" i="9"/>
  <c r="V141" i="9"/>
  <c r="Z141" i="9"/>
  <c r="AC141" i="9" s="1"/>
  <c r="O82" i="9"/>
  <c r="S82" i="9"/>
  <c r="V82" i="9"/>
  <c r="Z82" i="9"/>
  <c r="AC82" i="9" s="1"/>
  <c r="AA82" i="14"/>
  <c r="AF82" i="14"/>
  <c r="AI255" i="8"/>
  <c r="G256" i="13" s="1"/>
  <c r="AN255" i="8"/>
  <c r="X70" i="14"/>
  <c r="L322" i="13"/>
  <c r="K322" i="13"/>
  <c r="L257" i="13"/>
  <c r="K257" i="13"/>
  <c r="AD214" i="9"/>
  <c r="AF214" i="9"/>
  <c r="V124" i="9"/>
  <c r="O124" i="9"/>
  <c r="S124" i="9"/>
  <c r="Z124" i="9"/>
  <c r="AC124" i="9" s="1"/>
  <c r="X109" i="14"/>
  <c r="AA177" i="14"/>
  <c r="AF177" i="14"/>
  <c r="AD196" i="9"/>
  <c r="AF196" i="9"/>
  <c r="K269" i="13"/>
  <c r="L269" i="13"/>
  <c r="X166" i="14"/>
  <c r="AF153" i="14"/>
  <c r="AA153" i="14"/>
  <c r="AI281" i="8"/>
  <c r="G282" i="13" s="1"/>
  <c r="AN281" i="8"/>
  <c r="AC15" i="13"/>
  <c r="Y217" i="14"/>
  <c r="K270" i="13"/>
  <c r="L270" i="13"/>
  <c r="AF188" i="9"/>
  <c r="AD188" i="9"/>
  <c r="AN129" i="9"/>
  <c r="AI129" i="9"/>
  <c r="G129" i="14" s="1"/>
  <c r="AC24" i="13"/>
  <c r="Z135" i="9"/>
  <c r="AC135" i="9" s="1"/>
  <c r="O135" i="9"/>
  <c r="S135" i="9"/>
  <c r="V135" i="9"/>
  <c r="AA135" i="14"/>
  <c r="AF135" i="14"/>
  <c r="X104" i="14"/>
  <c r="Z152" i="9"/>
  <c r="AC152" i="9" s="1"/>
  <c r="O152" i="9"/>
  <c r="S152" i="9"/>
  <c r="V152" i="9"/>
  <c r="G21" i="13"/>
  <c r="X43" i="9"/>
  <c r="AA150" i="14"/>
  <c r="AF150" i="14"/>
  <c r="W187" i="14"/>
  <c r="G78" i="13"/>
  <c r="AI240" i="8"/>
  <c r="G241" i="13" s="1"/>
  <c r="AN240" i="8"/>
  <c r="AF167" i="9"/>
  <c r="AD167" i="9"/>
  <c r="O28" i="9"/>
  <c r="S28" i="9"/>
  <c r="V28" i="9"/>
  <c r="Z28" i="9"/>
  <c r="AC28" i="9" s="1"/>
  <c r="O67" i="9"/>
  <c r="S67" i="9"/>
  <c r="V67" i="9"/>
  <c r="Z67" i="9"/>
  <c r="AC67" i="9" s="1"/>
  <c r="K260" i="13"/>
  <c r="L260" i="13"/>
  <c r="AI303" i="8"/>
  <c r="G304" i="13" s="1"/>
  <c r="AN303" i="8"/>
  <c r="AM138" i="9"/>
  <c r="D138" i="14"/>
  <c r="AH138" i="9"/>
  <c r="F138" i="14" s="1"/>
  <c r="AP138" i="9"/>
  <c r="AQ138" i="9"/>
  <c r="AM239" i="8"/>
  <c r="AH239" i="8"/>
  <c r="F240" i="13" s="1"/>
  <c r="K30" i="13"/>
  <c r="L30" i="13"/>
  <c r="S30" i="13"/>
  <c r="AN299" i="8"/>
  <c r="AI299" i="8"/>
  <c r="G300" i="13" s="1"/>
  <c r="AA122" i="13"/>
  <c r="Z131" i="9"/>
  <c r="AC131" i="9" s="1"/>
  <c r="O131" i="9"/>
  <c r="S131" i="9"/>
  <c r="V131" i="9"/>
  <c r="G15" i="13"/>
  <c r="S191" i="9"/>
  <c r="O191" i="9"/>
  <c r="V191" i="9"/>
  <c r="Z191" i="9"/>
  <c r="AC191" i="9" s="1"/>
  <c r="AI250" i="8"/>
  <c r="G251" i="13" s="1"/>
  <c r="AN250" i="8"/>
  <c r="Z147" i="9"/>
  <c r="AC147" i="9" s="1"/>
  <c r="O147" i="9"/>
  <c r="S147" i="9"/>
  <c r="V147" i="9"/>
  <c r="X212" i="14"/>
  <c r="O218" i="9"/>
  <c r="S218" i="9"/>
  <c r="V218" i="9"/>
  <c r="Z218" i="9"/>
  <c r="AC218" i="9" s="1"/>
  <c r="AI238" i="8"/>
  <c r="G239" i="13" s="1"/>
  <c r="AN238" i="8"/>
  <c r="AF207" i="14"/>
  <c r="AA207" i="14"/>
  <c r="Z181" i="9"/>
  <c r="AC181" i="9" s="1"/>
  <c r="O181" i="9"/>
  <c r="S181" i="9"/>
  <c r="V181" i="9"/>
  <c r="AA184" i="14"/>
  <c r="O184" i="9"/>
  <c r="S184" i="9"/>
  <c r="V184" i="9"/>
  <c r="Z184" i="9"/>
  <c r="AC184" i="9" s="1"/>
  <c r="AI311" i="8"/>
  <c r="G312" i="13" s="1"/>
  <c r="AN311" i="8"/>
  <c r="AA156" i="14"/>
  <c r="AF156" i="14"/>
  <c r="Z155" i="9"/>
  <c r="AC155" i="9" s="1"/>
  <c r="O155" i="9"/>
  <c r="S155" i="9"/>
  <c r="V155" i="9"/>
  <c r="AI133" i="9"/>
  <c r="G133" i="14" s="1"/>
  <c r="AN133" i="9"/>
  <c r="AA215" i="14"/>
  <c r="AF215" i="14"/>
  <c r="AC143" i="13"/>
  <c r="AC172" i="13"/>
  <c r="L271" i="13"/>
  <c r="K271" i="13"/>
  <c r="AF97" i="14"/>
  <c r="AA97" i="14"/>
  <c r="AI236" i="8"/>
  <c r="G237" i="13" s="1"/>
  <c r="AN236" i="8"/>
  <c r="K229" i="13"/>
  <c r="L229" i="13"/>
  <c r="AC139" i="13"/>
  <c r="AF139" i="13"/>
  <c r="AD121" i="9"/>
  <c r="AF121" i="9"/>
  <c r="O170" i="9"/>
  <c r="S170" i="9"/>
  <c r="V170" i="9"/>
  <c r="Z170" i="9"/>
  <c r="AC170" i="9" s="1"/>
  <c r="AA69" i="14"/>
  <c r="X20" i="9"/>
  <c r="X112" i="9"/>
  <c r="AA47" i="14"/>
  <c r="AF47" i="14"/>
  <c r="O116" i="9"/>
  <c r="S116" i="9"/>
  <c r="V116" i="9"/>
  <c r="Z116" i="9"/>
  <c r="AC116" i="9" s="1"/>
  <c r="AF148" i="14"/>
  <c r="AA148" i="14"/>
  <c r="AA117" i="14"/>
  <c r="AF117" i="14"/>
  <c r="K302" i="13"/>
  <c r="L302" i="13"/>
  <c r="V68" i="9"/>
  <c r="O68" i="9"/>
  <c r="S68" i="9"/>
  <c r="Z68" i="9"/>
  <c r="AC68" i="9" s="1"/>
  <c r="AF59" i="9"/>
  <c r="AD59" i="9"/>
  <c r="L245" i="13"/>
  <c r="K245" i="13"/>
  <c r="AM227" i="8"/>
  <c r="AH227" i="8"/>
  <c r="F228" i="13" s="1"/>
  <c r="X85" i="14"/>
  <c r="L238" i="13"/>
  <c r="K238" i="13"/>
  <c r="AA22" i="13"/>
  <c r="AC22" i="13" s="1"/>
  <c r="G100" i="13"/>
  <c r="V89" i="9"/>
  <c r="O89" i="9"/>
  <c r="S89" i="9"/>
  <c r="Z89" i="9"/>
  <c r="AC89" i="9" s="1"/>
  <c r="AF89" i="14"/>
  <c r="AA89" i="14"/>
  <c r="AN259" i="8"/>
  <c r="AI259" i="8"/>
  <c r="G260" i="13" s="1"/>
  <c r="O60" i="9"/>
  <c r="S60" i="9"/>
  <c r="V60" i="9"/>
  <c r="Z60" i="9"/>
  <c r="AC60" i="9" s="1"/>
  <c r="X173" i="14"/>
  <c r="Y37" i="14"/>
  <c r="AF163" i="14"/>
  <c r="AA163" i="14"/>
  <c r="D205" i="14"/>
  <c r="AH205" i="9"/>
  <c r="F205" i="14" s="1"/>
  <c r="AP205" i="9"/>
  <c r="AM205" i="9"/>
  <c r="AQ205" i="9"/>
  <c r="AD107" i="9"/>
  <c r="AF107" i="9"/>
  <c r="AC108" i="13"/>
  <c r="AN251" i="8"/>
  <c r="AI251" i="8"/>
  <c r="G252" i="13" s="1"/>
  <c r="X123" i="14"/>
  <c r="AC81" i="13"/>
  <c r="AF137" i="9"/>
  <c r="AD137" i="9"/>
  <c r="AD75" i="9"/>
  <c r="AF75" i="9"/>
  <c r="O61" i="9"/>
  <c r="S61" i="9"/>
  <c r="V61" i="9"/>
  <c r="Z61" i="9"/>
  <c r="AC61" i="9" s="1"/>
  <c r="Z35" i="9"/>
  <c r="AC35" i="9" s="1"/>
  <c r="O35" i="9"/>
  <c r="S35" i="9"/>
  <c r="V35" i="9"/>
  <c r="AF35" i="14"/>
  <c r="AA35" i="14"/>
  <c r="AA126" i="14"/>
  <c r="AF126" i="14"/>
  <c r="D110" i="14"/>
  <c r="AM110" i="9"/>
  <c r="AP110" i="9"/>
  <c r="AH110" i="9"/>
  <c r="F110" i="14" s="1"/>
  <c r="AQ110" i="9"/>
  <c r="G108" i="13"/>
  <c r="AH222" i="8"/>
  <c r="AF8" i="8"/>
  <c r="AF7" i="8" s="1"/>
  <c r="AM222" i="8"/>
  <c r="AM8" i="8" s="1"/>
  <c r="O111" i="9"/>
  <c r="S111" i="9"/>
  <c r="V111" i="9"/>
  <c r="Z111" i="9"/>
  <c r="AC111" i="9" s="1"/>
  <c r="AC27" i="13"/>
  <c r="AF27" i="13"/>
  <c r="AC21" i="13"/>
  <c r="AG21" i="13" s="1"/>
  <c r="W44" i="14"/>
  <c r="K254" i="13"/>
  <c r="L254" i="13"/>
  <c r="S113" i="14"/>
  <c r="K113" i="14"/>
  <c r="L113" i="14"/>
  <c r="AI235" i="8"/>
  <c r="G236" i="13" s="1"/>
  <c r="AN235" i="8"/>
  <c r="G38" i="13"/>
  <c r="L129" i="14"/>
  <c r="S129" i="14"/>
  <c r="K129" i="14"/>
  <c r="AF132" i="14"/>
  <c r="AF132" i="9"/>
  <c r="AD132" i="9"/>
  <c r="AD25" i="9"/>
  <c r="AF25" i="9"/>
  <c r="Z169" i="9"/>
  <c r="AC169" i="9" s="1"/>
  <c r="O169" i="9"/>
  <c r="S169" i="9"/>
  <c r="V169" i="9"/>
  <c r="AA152" i="14"/>
  <c r="AF152" i="14"/>
  <c r="AC65" i="13"/>
  <c r="Z54" i="9"/>
  <c r="AC54" i="9" s="1"/>
  <c r="O54" i="9"/>
  <c r="S54" i="9"/>
  <c r="V54" i="9"/>
  <c r="AD119" i="9"/>
  <c r="AF119" i="9"/>
  <c r="AI30" i="8"/>
  <c r="AN30" i="8"/>
  <c r="L252" i="13"/>
  <c r="K252" i="13"/>
  <c r="AF212" i="14"/>
  <c r="AA212" i="14"/>
  <c r="AH285" i="8"/>
  <c r="F286" i="13" s="1"/>
  <c r="AM285" i="8"/>
  <c r="AN267" i="8"/>
  <c r="AI267" i="8"/>
  <c r="G268" i="13" s="1"/>
  <c r="L288" i="13"/>
  <c r="K288" i="13"/>
  <c r="AF107" i="14"/>
  <c r="L227" i="13"/>
  <c r="K227" i="13"/>
  <c r="AD320" i="8"/>
  <c r="AC324" i="8"/>
  <c r="AD324" i="8" s="1"/>
  <c r="AM32" i="9"/>
  <c r="D32" i="14"/>
  <c r="AP32" i="9"/>
  <c r="AH32" i="9"/>
  <c r="F32" i="14" s="1"/>
  <c r="AQ32" i="9"/>
  <c r="AI58" i="9"/>
  <c r="G58" i="14" s="1"/>
  <c r="AN58" i="9"/>
  <c r="AF118" i="9"/>
  <c r="AD118" i="9"/>
  <c r="G81" i="13"/>
  <c r="K315" i="13"/>
  <c r="L315" i="13"/>
  <c r="K298" i="13"/>
  <c r="L298" i="13"/>
  <c r="L296" i="13"/>
  <c r="K296" i="13"/>
  <c r="AI254" i="8"/>
  <c r="G255" i="13" s="1"/>
  <c r="AN254" i="8"/>
  <c r="AF154" i="14"/>
  <c r="AA154" i="14"/>
  <c r="AN53" i="9"/>
  <c r="AI53" i="9"/>
  <c r="G53" i="14" s="1"/>
  <c r="AF76" i="9"/>
  <c r="AD76" i="9"/>
  <c r="AD194" i="9"/>
  <c r="AF194" i="9"/>
  <c r="Z7" i="8"/>
  <c r="AF219" i="9"/>
  <c r="AD219" i="9"/>
  <c r="X201" i="14"/>
  <c r="Y192" i="14"/>
  <c r="V183" i="9"/>
  <c r="O183" i="9"/>
  <c r="S183" i="9"/>
  <c r="Z183" i="9"/>
  <c r="AC183" i="9" s="1"/>
  <c r="AA125" i="14"/>
  <c r="L279" i="13"/>
  <c r="K279" i="13"/>
  <c r="X176" i="14"/>
  <c r="L256" i="13"/>
  <c r="K256" i="13"/>
  <c r="X94" i="14"/>
  <c r="O180" i="9"/>
  <c r="S180" i="9"/>
  <c r="V180" i="9"/>
  <c r="Z180" i="9"/>
  <c r="AC180" i="9" s="1"/>
  <c r="AF180" i="14"/>
  <c r="AA180" i="14"/>
  <c r="AD86" i="9"/>
  <c r="AF86" i="9"/>
  <c r="O149" i="9"/>
  <c r="S149" i="9"/>
  <c r="V149" i="9"/>
  <c r="Z149" i="9"/>
  <c r="AC149" i="9" s="1"/>
  <c r="G182" i="13"/>
  <c r="X193" i="14"/>
  <c r="AA52" i="14"/>
  <c r="AD158" i="9"/>
  <c r="AF158" i="9"/>
  <c r="AA64" i="14"/>
  <c r="AF64" i="14"/>
  <c r="L243" i="13"/>
  <c r="K243" i="13"/>
  <c r="X217" i="14"/>
  <c r="AA217" i="14"/>
  <c r="AC171" i="13"/>
  <c r="W88" i="14"/>
  <c r="AI258" i="8"/>
  <c r="G259" i="13" s="1"/>
  <c r="AN258" i="8"/>
  <c r="AI322" i="8"/>
  <c r="G323" i="13" s="1"/>
  <c r="AN322" i="8"/>
  <c r="AA34" i="14"/>
  <c r="AF34" i="14"/>
  <c r="L259" i="13"/>
  <c r="K259" i="13"/>
  <c r="S98" i="9"/>
  <c r="O98" i="9"/>
  <c r="V98" i="9"/>
  <c r="Z98" i="9"/>
  <c r="AC98" i="9" s="1"/>
  <c r="AF70" i="14"/>
  <c r="AA70" i="14"/>
  <c r="G80" i="13"/>
  <c r="AA202" i="14"/>
  <c r="AF202" i="14"/>
  <c r="K101" i="13"/>
  <c r="L101" i="13"/>
  <c r="L4" i="13" s="1"/>
  <c r="S101" i="13"/>
  <c r="O109" i="9"/>
  <c r="S109" i="9"/>
  <c r="V109" i="9"/>
  <c r="Z109" i="9"/>
  <c r="AC109" i="9" s="1"/>
  <c r="AA179" i="14"/>
  <c r="AF179" i="14"/>
  <c r="AF166" i="14"/>
  <c r="L282" i="13"/>
  <c r="K282" i="13"/>
  <c r="L295" i="13"/>
  <c r="K295" i="13"/>
  <c r="G120" i="13"/>
  <c r="AF116" i="14"/>
  <c r="AA116" i="14"/>
  <c r="Z136" i="9"/>
  <c r="AC136" i="9" s="1"/>
  <c r="O136" i="9"/>
  <c r="S136" i="9"/>
  <c r="V136" i="9"/>
  <c r="X106" i="14"/>
  <c r="W106" i="14"/>
  <c r="AA104" i="14"/>
  <c r="AF104" i="14"/>
  <c r="AI278" i="8"/>
  <c r="G279" i="13" s="1"/>
  <c r="AN278" i="8"/>
  <c r="X169" i="14"/>
  <c r="AF69" i="9"/>
  <c r="AD69" i="9"/>
  <c r="V159" i="9"/>
  <c r="O159" i="9"/>
  <c r="S159" i="9"/>
  <c r="Z159" i="9"/>
  <c r="AC159" i="9" s="1"/>
  <c r="AA28" i="14"/>
  <c r="AF28" i="14"/>
  <c r="AI256" i="8"/>
  <c r="AN256" i="8"/>
  <c r="AC213" i="13"/>
  <c r="AI243" i="8"/>
  <c r="G244" i="13" s="1"/>
  <c r="AN243" i="8"/>
  <c r="AC144" i="13"/>
  <c r="AF144" i="13"/>
  <c r="AI302" i="8"/>
  <c r="G303" i="13" s="1"/>
  <c r="AN302" i="8"/>
  <c r="AA54" i="14"/>
  <c r="AF54" i="14"/>
  <c r="K185" i="14"/>
  <c r="L185" i="14"/>
  <c r="S185" i="14"/>
  <c r="AN242" i="8"/>
  <c r="AI242" i="8"/>
  <c r="G243" i="13" s="1"/>
  <c r="AF91" i="9"/>
  <c r="AD91" i="9"/>
  <c r="AN252" i="8"/>
  <c r="AI252" i="8"/>
  <c r="X191" i="14"/>
  <c r="AC55" i="13"/>
  <c r="K242" i="13"/>
  <c r="L242" i="13"/>
  <c r="AA147" i="14"/>
  <c r="AF147" i="14"/>
  <c r="AI41" i="8"/>
  <c r="AN41" i="8"/>
  <c r="X140" i="14"/>
  <c r="AF155" i="14"/>
  <c r="AA155" i="14"/>
  <c r="L304" i="13"/>
  <c r="K304" i="13"/>
  <c r="L255" i="13"/>
  <c r="K255" i="13"/>
  <c r="L283" i="13"/>
  <c r="K283" i="13"/>
  <c r="Y106" i="14"/>
  <c r="AI279" i="8"/>
  <c r="G280" i="13" s="1"/>
  <c r="AN279" i="8"/>
  <c r="X168" i="14"/>
  <c r="O97" i="9"/>
  <c r="S97" i="9"/>
  <c r="V97" i="9"/>
  <c r="Z97" i="9"/>
  <c r="AC97" i="9" s="1"/>
  <c r="AD220" i="9"/>
  <c r="AF220" i="9"/>
  <c r="AN294" i="8"/>
  <c r="AI294" i="8"/>
  <c r="G295" i="13" s="1"/>
  <c r="AI295" i="8"/>
  <c r="G296" i="13" s="1"/>
  <c r="AN295" i="8"/>
  <c r="AD296" i="8"/>
  <c r="AC306" i="8"/>
  <c r="AD306" i="8" s="1"/>
  <c r="AF261" i="8"/>
  <c r="AH209" i="8"/>
  <c r="AM209" i="8"/>
  <c r="AL5" i="8" s="1"/>
  <c r="H37" i="4" s="1"/>
  <c r="AP209" i="8"/>
  <c r="D209" i="13"/>
  <c r="AQ209" i="8"/>
  <c r="AQ222" i="8" s="1"/>
  <c r="AQ8" i="8" s="1"/>
  <c r="X146" i="9"/>
  <c r="L253" i="13"/>
  <c r="K253" i="13"/>
  <c r="L319" i="13"/>
  <c r="K319" i="13"/>
  <c r="AN249" i="8"/>
  <c r="AI249" i="8"/>
  <c r="G250" i="13" s="1"/>
  <c r="AD74" i="9"/>
  <c r="AF74" i="9"/>
  <c r="S58" i="14"/>
  <c r="L58" i="14"/>
  <c r="K58" i="14"/>
  <c r="Z47" i="9"/>
  <c r="AC47" i="9" s="1"/>
  <c r="O47" i="9"/>
  <c r="S47" i="9"/>
  <c r="V47" i="9"/>
  <c r="Z148" i="9"/>
  <c r="AC148" i="9" s="1"/>
  <c r="O148" i="9"/>
  <c r="S148" i="9"/>
  <c r="V148" i="9"/>
  <c r="G26" i="13"/>
  <c r="W42" i="14"/>
  <c r="L274" i="13"/>
  <c r="K274" i="13"/>
  <c r="L312" i="13"/>
  <c r="K312" i="13"/>
  <c r="G22" i="13"/>
  <c r="AC23" i="13"/>
  <c r="AM264" i="8"/>
  <c r="AH264" i="8"/>
  <c r="F265" i="13" s="1"/>
  <c r="AF275" i="8"/>
  <c r="Y130" i="14"/>
  <c r="O40" i="9"/>
  <c r="S40" i="9"/>
  <c r="V40" i="9"/>
  <c r="Z40" i="9"/>
  <c r="AC40" i="9" s="1"/>
  <c r="AF40" i="14"/>
  <c r="AA40" i="14"/>
  <c r="X60" i="14"/>
  <c r="AN186" i="9"/>
  <c r="AI186" i="9"/>
  <c r="G186" i="14" s="1"/>
  <c r="Z173" i="9"/>
  <c r="AC173" i="9" s="1"/>
  <c r="O173" i="9"/>
  <c r="S173" i="9"/>
  <c r="V173" i="9"/>
  <c r="X99" i="14"/>
  <c r="AA73" i="14"/>
  <c r="AF73" i="14"/>
  <c r="AD206" i="9"/>
  <c r="AF206" i="9"/>
  <c r="AF87" i="14"/>
  <c r="AA87" i="14"/>
  <c r="G139" i="13"/>
  <c r="X189" i="14"/>
  <c r="AN315" i="8"/>
  <c r="AI315" i="8"/>
  <c r="G316" i="13" s="1"/>
  <c r="AI316" i="8"/>
  <c r="G317" i="13" s="1"/>
  <c r="AN316" i="8"/>
  <c r="AQ275" i="8" l="1"/>
  <c r="D307" i="13"/>
  <c r="K307" i="13" s="1"/>
  <c r="Y66" i="14"/>
  <c r="D276" i="13"/>
  <c r="K266" i="13"/>
  <c r="L266" i="13"/>
  <c r="AA187" i="14"/>
  <c r="AH229" i="8"/>
  <c r="F230" i="13" s="1"/>
  <c r="AM229" i="8"/>
  <c r="AF231" i="8"/>
  <c r="AP231" i="8"/>
  <c r="AN209" i="8"/>
  <c r="AN4" i="8" s="1"/>
  <c r="H38" i="4" s="1"/>
  <c r="AI209" i="8"/>
  <c r="S21" i="31" s="1"/>
  <c r="L285" i="13"/>
  <c r="K285" i="13"/>
  <c r="AA185" i="14"/>
  <c r="AC185" i="14" s="1"/>
  <c r="AG185" i="14" s="1"/>
  <c r="W175" i="14"/>
  <c r="AG144" i="13"/>
  <c r="Y103" i="14"/>
  <c r="AD159" i="9"/>
  <c r="AF159" i="9"/>
  <c r="AD136" i="9"/>
  <c r="AF136" i="9"/>
  <c r="AH158" i="9"/>
  <c r="F158" i="14" s="1"/>
  <c r="AM158" i="9"/>
  <c r="D158" i="14"/>
  <c r="AP158" i="9"/>
  <c r="AQ158" i="9"/>
  <c r="AM86" i="9"/>
  <c r="AP86" i="9"/>
  <c r="D86" i="14"/>
  <c r="AH86" i="9"/>
  <c r="F86" i="14" s="1"/>
  <c r="AQ86" i="9"/>
  <c r="AF180" i="9"/>
  <c r="AD180" i="9"/>
  <c r="X36" i="14"/>
  <c r="D76" i="14"/>
  <c r="AH76" i="9"/>
  <c r="F76" i="14" s="1"/>
  <c r="AP76" i="9"/>
  <c r="AM76" i="9"/>
  <c r="AQ76" i="9"/>
  <c r="AI285" i="8"/>
  <c r="G286" i="13" s="1"/>
  <c r="AN285" i="8"/>
  <c r="AP119" i="9"/>
  <c r="AH119" i="9"/>
  <c r="F119" i="14" s="1"/>
  <c r="D119" i="14"/>
  <c r="AM119" i="9"/>
  <c r="AQ119" i="9"/>
  <c r="AG65" i="13"/>
  <c r="AA113" i="14"/>
  <c r="AC113" i="14" s="1"/>
  <c r="AG113" i="14" s="1"/>
  <c r="Z44" i="9"/>
  <c r="AC44" i="9" s="1"/>
  <c r="O44" i="9"/>
  <c r="S44" i="9"/>
  <c r="V44" i="9"/>
  <c r="AG8" i="8"/>
  <c r="AN222" i="8"/>
  <c r="AN8" i="8" s="1"/>
  <c r="AI222" i="8"/>
  <c r="AG81" i="13"/>
  <c r="AG108" i="13"/>
  <c r="AN205" i="9"/>
  <c r="AI205" i="9"/>
  <c r="G205" i="14" s="1"/>
  <c r="S205" i="14"/>
  <c r="K205" i="14"/>
  <c r="L205" i="14"/>
  <c r="AD60" i="9"/>
  <c r="AF60" i="9"/>
  <c r="AG22" i="13"/>
  <c r="D222" i="13"/>
  <c r="AG143" i="13"/>
  <c r="AF131" i="9"/>
  <c r="AD131" i="9"/>
  <c r="J4" i="13"/>
  <c r="S138" i="14"/>
  <c r="L138" i="14"/>
  <c r="K138" i="14"/>
  <c r="AG24" i="13"/>
  <c r="AP196" i="9"/>
  <c r="AM196" i="9"/>
  <c r="AH196" i="9"/>
  <c r="F196" i="14" s="1"/>
  <c r="D196" i="14"/>
  <c r="AQ196" i="9"/>
  <c r="W71" i="14"/>
  <c r="X71" i="14"/>
  <c r="S211" i="14"/>
  <c r="K211" i="14"/>
  <c r="L211" i="14"/>
  <c r="AN284" i="8"/>
  <c r="AI284" i="8"/>
  <c r="G285" i="13" s="1"/>
  <c r="AD178" i="9"/>
  <c r="AF178" i="9"/>
  <c r="AD187" i="9"/>
  <c r="AF187" i="9"/>
  <c r="AN296" i="8"/>
  <c r="AI296" i="8"/>
  <c r="G297" i="13" s="1"/>
  <c r="AA133" i="14"/>
  <c r="AC133" i="14" s="1"/>
  <c r="AG133" i="14" s="1"/>
  <c r="AF207" i="9"/>
  <c r="AD207" i="9"/>
  <c r="AD212" i="9"/>
  <c r="AF212" i="9"/>
  <c r="Z192" i="9"/>
  <c r="AC192" i="9" s="1"/>
  <c r="O192" i="9"/>
  <c r="S192" i="9"/>
  <c r="V192" i="9"/>
  <c r="AG210" i="13"/>
  <c r="AD150" i="9"/>
  <c r="AF150" i="9"/>
  <c r="AG174" i="13"/>
  <c r="AF123" i="9"/>
  <c r="AD123" i="9"/>
  <c r="AF99" i="9"/>
  <c r="AD99" i="9"/>
  <c r="W29" i="14"/>
  <c r="AP127" i="9"/>
  <c r="AH127" i="9"/>
  <c r="F127" i="14" s="1"/>
  <c r="AM127" i="9"/>
  <c r="D127" i="14"/>
  <c r="AQ127" i="9"/>
  <c r="AN19" i="13"/>
  <c r="W157" i="14"/>
  <c r="AD125" i="9"/>
  <c r="AF125" i="9"/>
  <c r="AP289" i="8"/>
  <c r="W103" i="14"/>
  <c r="L267" i="13"/>
  <c r="K267" i="13"/>
  <c r="Y48" i="14"/>
  <c r="X162" i="9"/>
  <c r="AN161" i="9"/>
  <c r="AI161" i="9"/>
  <c r="G161" i="14" s="1"/>
  <c r="X175" i="14"/>
  <c r="Y85" i="14"/>
  <c r="AD202" i="9"/>
  <c r="AF202" i="9"/>
  <c r="Z130" i="9"/>
  <c r="AC130" i="9" s="1"/>
  <c r="O130" i="9"/>
  <c r="S130" i="9"/>
  <c r="V130" i="9"/>
  <c r="AF130" i="14"/>
  <c r="AN216" i="9"/>
  <c r="AI216" i="9"/>
  <c r="G216" i="14" s="1"/>
  <c r="K115" i="14"/>
  <c r="L115" i="14"/>
  <c r="S115" i="14"/>
  <c r="AN115" i="9"/>
  <c r="AI115" i="9"/>
  <c r="G115" i="14" s="1"/>
  <c r="AF77" i="9"/>
  <c r="AD77" i="9"/>
  <c r="AF217" i="9"/>
  <c r="AD217" i="9"/>
  <c r="AD154" i="9"/>
  <c r="AF154" i="9"/>
  <c r="S16" i="31"/>
  <c r="S17" i="31" s="1"/>
  <c r="AG128" i="13"/>
  <c r="AF106" i="9"/>
  <c r="AD106" i="9"/>
  <c r="AD166" i="9"/>
  <c r="AF166" i="9"/>
  <c r="D63" i="14"/>
  <c r="AM63" i="9"/>
  <c r="AH63" i="9"/>
  <c r="F63" i="14" s="1"/>
  <c r="AP63" i="9"/>
  <c r="AQ63" i="9"/>
  <c r="AD200" i="9"/>
  <c r="AF200" i="9"/>
  <c r="AN95" i="9"/>
  <c r="AI95" i="9"/>
  <c r="G95" i="14" s="1"/>
  <c r="AG120" i="13"/>
  <c r="AN306" i="8"/>
  <c r="AI306" i="8"/>
  <c r="AI264" i="8"/>
  <c r="G265" i="13" s="1"/>
  <c r="AN264" i="8"/>
  <c r="AA58" i="14"/>
  <c r="AC58" i="14" s="1"/>
  <c r="AG58" i="14" s="1"/>
  <c r="AF40" i="9"/>
  <c r="AD40" i="9"/>
  <c r="AH275" i="8"/>
  <c r="AM275" i="8"/>
  <c r="AP306" i="8"/>
  <c r="K265" i="13"/>
  <c r="L265" i="13"/>
  <c r="D69" i="14"/>
  <c r="AM69" i="9"/>
  <c r="AP69" i="9"/>
  <c r="AH69" i="9"/>
  <c r="F69" i="14" s="1"/>
  <c r="AQ69" i="9"/>
  <c r="AA106" i="14"/>
  <c r="AH261" i="8"/>
  <c r="AM261" i="8"/>
  <c r="L249" i="13"/>
  <c r="K249" i="13"/>
  <c r="AF88" i="14"/>
  <c r="AG171" i="13"/>
  <c r="AF149" i="9"/>
  <c r="AD149" i="9"/>
  <c r="W145" i="14"/>
  <c r="AP194" i="9"/>
  <c r="D194" i="14"/>
  <c r="AH194" i="9"/>
  <c r="F194" i="14" s="1"/>
  <c r="AM194" i="9"/>
  <c r="AQ194" i="9"/>
  <c r="G30" i="13"/>
  <c r="AD54" i="9"/>
  <c r="AF54" i="9"/>
  <c r="AG27" i="13"/>
  <c r="K110" i="14"/>
  <c r="S110" i="14"/>
  <c r="L110" i="14"/>
  <c r="AP107" i="9"/>
  <c r="AH107" i="9"/>
  <c r="F107" i="14" s="1"/>
  <c r="AM107" i="9"/>
  <c r="D107" i="14"/>
  <c r="AQ107" i="9"/>
  <c r="AI227" i="8"/>
  <c r="G228" i="13" s="1"/>
  <c r="AN227" i="8"/>
  <c r="AD68" i="9"/>
  <c r="AF68" i="9"/>
  <c r="AF170" i="9"/>
  <c r="AD170" i="9"/>
  <c r="AP121" i="9"/>
  <c r="AM121" i="9"/>
  <c r="AH121" i="9"/>
  <c r="F121" i="14" s="1"/>
  <c r="D121" i="14"/>
  <c r="AQ121" i="9"/>
  <c r="AA30" i="13"/>
  <c r="K240" i="13"/>
  <c r="L240" i="13"/>
  <c r="AF28" i="9"/>
  <c r="AD28" i="9"/>
  <c r="AF152" i="9"/>
  <c r="AD152" i="9"/>
  <c r="AH188" i="9"/>
  <c r="F188" i="14" s="1"/>
  <c r="AP188" i="9"/>
  <c r="D188" i="14"/>
  <c r="AM188" i="9"/>
  <c r="AQ188" i="9"/>
  <c r="S19" i="31"/>
  <c r="L83" i="14"/>
  <c r="K83" i="14"/>
  <c r="S83" i="14"/>
  <c r="AF176" i="9"/>
  <c r="AD176" i="9"/>
  <c r="AA53" i="14"/>
  <c r="AC53" i="14" s="1"/>
  <c r="AG53" i="14" s="1"/>
  <c r="AG38" i="13"/>
  <c r="AF50" i="9"/>
  <c r="AD50" i="9"/>
  <c r="AF39" i="14"/>
  <c r="AA39" i="14"/>
  <c r="X192" i="14"/>
  <c r="AG18" i="13"/>
  <c r="AG182" i="13"/>
  <c r="AF34" i="9"/>
  <c r="AD34" i="9"/>
  <c r="Y145" i="14"/>
  <c r="AD73" i="9"/>
  <c r="AF73" i="9"/>
  <c r="K203" i="14"/>
  <c r="S203" i="14"/>
  <c r="L203" i="14"/>
  <c r="X29" i="14"/>
  <c r="K72" i="14"/>
  <c r="L72" i="14"/>
  <c r="S72" i="14"/>
  <c r="AG12" i="13"/>
  <c r="AF197" i="9"/>
  <c r="AD197" i="9"/>
  <c r="AD140" i="9"/>
  <c r="AF140" i="9"/>
  <c r="AA41" i="13"/>
  <c r="X130" i="14"/>
  <c r="AP105" i="9"/>
  <c r="AH105" i="9"/>
  <c r="F105" i="14" s="1"/>
  <c r="AM105" i="9"/>
  <c r="D105" i="14"/>
  <c r="AQ105" i="9"/>
  <c r="AP222" i="8"/>
  <c r="AP8" i="8" s="1"/>
  <c r="AD201" i="9"/>
  <c r="AF201" i="9"/>
  <c r="AP208" i="9"/>
  <c r="AM208" i="9"/>
  <c r="AH208" i="9"/>
  <c r="F208" i="14" s="1"/>
  <c r="D208" i="14"/>
  <c r="AQ208" i="9"/>
  <c r="AD85" i="9"/>
  <c r="AF85" i="9"/>
  <c r="Y94" i="14"/>
  <c r="AJ62" i="13"/>
  <c r="AI62" i="13"/>
  <c r="AG102" i="13"/>
  <c r="AH220" i="9"/>
  <c r="F220" i="14" s="1"/>
  <c r="D220" i="14"/>
  <c r="AM220" i="9"/>
  <c r="AP220" i="9"/>
  <c r="AQ220" i="9"/>
  <c r="AD173" i="9"/>
  <c r="AF173" i="9"/>
  <c r="X42" i="14"/>
  <c r="AM91" i="9"/>
  <c r="D91" i="14"/>
  <c r="AH91" i="9"/>
  <c r="F91" i="14" s="1"/>
  <c r="AP91" i="9"/>
  <c r="AQ91" i="9"/>
  <c r="AG213" i="13"/>
  <c r="G322" i="13"/>
  <c r="G257" i="13"/>
  <c r="L297" i="13"/>
  <c r="K297" i="13"/>
  <c r="AD98" i="9"/>
  <c r="AF98" i="9"/>
  <c r="X88" i="14"/>
  <c r="AP118" i="9"/>
  <c r="AH118" i="9"/>
  <c r="F118" i="14" s="1"/>
  <c r="D118" i="14"/>
  <c r="AM118" i="9"/>
  <c r="AQ118" i="9"/>
  <c r="L32" i="14"/>
  <c r="S32" i="14"/>
  <c r="K32" i="14"/>
  <c r="AD169" i="9"/>
  <c r="AF169" i="9"/>
  <c r="AH132" i="9"/>
  <c r="F132" i="14" s="1"/>
  <c r="AP132" i="9"/>
  <c r="D132" i="14"/>
  <c r="AM132" i="9"/>
  <c r="AQ132" i="9"/>
  <c r="AA129" i="14"/>
  <c r="AC129" i="14" s="1"/>
  <c r="AG129" i="14" s="1"/>
  <c r="AA44" i="14"/>
  <c r="AI21" i="13"/>
  <c r="AJ21" i="13"/>
  <c r="F276" i="13"/>
  <c r="F325" i="13"/>
  <c r="F262" i="13"/>
  <c r="F290" i="13"/>
  <c r="F232" i="13"/>
  <c r="AH8" i="8"/>
  <c r="F307" i="13"/>
  <c r="AN110" i="9"/>
  <c r="AI110" i="9"/>
  <c r="G110" i="14" s="1"/>
  <c r="AF35" i="9"/>
  <c r="AD35" i="9"/>
  <c r="D137" i="14"/>
  <c r="AH137" i="9"/>
  <c r="F137" i="14" s="1"/>
  <c r="AP137" i="9"/>
  <c r="AM137" i="9"/>
  <c r="AQ137" i="9"/>
  <c r="AF89" i="9"/>
  <c r="AD89" i="9"/>
  <c r="L5" i="13"/>
  <c r="AG172" i="13"/>
  <c r="W165" i="14"/>
  <c r="AF184" i="9"/>
  <c r="AD184" i="9"/>
  <c r="AF218" i="9"/>
  <c r="AD218" i="9"/>
  <c r="AD147" i="9"/>
  <c r="AF147" i="9"/>
  <c r="K313" i="13"/>
  <c r="L313" i="13"/>
  <c r="AN138" i="9"/>
  <c r="AI138" i="9"/>
  <c r="G138" i="14" s="1"/>
  <c r="AF67" i="9"/>
  <c r="AD67" i="9"/>
  <c r="AM167" i="9"/>
  <c r="D167" i="14"/>
  <c r="AP167" i="9"/>
  <c r="AH167" i="9"/>
  <c r="F167" i="14" s="1"/>
  <c r="AQ167" i="9"/>
  <c r="AD135" i="9"/>
  <c r="AF135" i="9"/>
  <c r="AD82" i="9"/>
  <c r="AF82" i="9"/>
  <c r="AD141" i="9"/>
  <c r="AF141" i="9"/>
  <c r="AN211" i="9"/>
  <c r="AI211" i="9"/>
  <c r="G211" i="14" s="1"/>
  <c r="AD46" i="9"/>
  <c r="AF46" i="9"/>
  <c r="BJ16" i="13"/>
  <c r="BE16" i="13"/>
  <c r="BB16" i="13"/>
  <c r="AQ16" i="13"/>
  <c r="AI83" i="9"/>
  <c r="G83" i="14" s="1"/>
  <c r="AN83" i="9"/>
  <c r="AM45" i="9"/>
  <c r="D45" i="14"/>
  <c r="AP45" i="9"/>
  <c r="AH45" i="9"/>
  <c r="F45" i="14" s="1"/>
  <c r="AQ45" i="9"/>
  <c r="AG13" i="13"/>
  <c r="AG100" i="13"/>
  <c r="AF114" i="9"/>
  <c r="AD114" i="9"/>
  <c r="AC80" i="13"/>
  <c r="AI312" i="8"/>
  <c r="G313" i="13" s="1"/>
  <c r="AN312" i="8"/>
  <c r="AF104" i="9"/>
  <c r="AD104" i="9"/>
  <c r="AD70" i="9"/>
  <c r="AF70" i="9"/>
  <c r="L92" i="14"/>
  <c r="K92" i="14"/>
  <c r="S92" i="14"/>
  <c r="AG26" i="13"/>
  <c r="L93" i="14"/>
  <c r="S93" i="14"/>
  <c r="K93" i="14"/>
  <c r="AI93" i="9"/>
  <c r="G93" i="14" s="1"/>
  <c r="AN93" i="9"/>
  <c r="BK16" i="13"/>
  <c r="BF16" i="13"/>
  <c r="AD126" i="9"/>
  <c r="AF126" i="9"/>
  <c r="AH199" i="9"/>
  <c r="F199" i="14" s="1"/>
  <c r="AM199" i="9"/>
  <c r="D199" i="14"/>
  <c r="AP199" i="9"/>
  <c r="AQ199" i="9"/>
  <c r="AN203" i="9"/>
  <c r="AI203" i="9"/>
  <c r="G203" i="14" s="1"/>
  <c r="AG78" i="13"/>
  <c r="S190" i="14"/>
  <c r="L190" i="14"/>
  <c r="K190" i="14"/>
  <c r="AF37" i="9"/>
  <c r="AD37" i="9"/>
  <c r="AF218" i="14"/>
  <c r="AN266" i="8"/>
  <c r="AI266" i="8"/>
  <c r="G267" i="13" s="1"/>
  <c r="AP275" i="8"/>
  <c r="AA85" i="14"/>
  <c r="AG14" i="13"/>
  <c r="AD153" i="9"/>
  <c r="AF153" i="9"/>
  <c r="AI286" i="8"/>
  <c r="G287" i="13" s="1"/>
  <c r="AN286" i="8"/>
  <c r="AF177" i="9"/>
  <c r="AD177" i="9"/>
  <c r="G101" i="13"/>
  <c r="AA51" i="14"/>
  <c r="AC51" i="14" s="1"/>
  <c r="AG51" i="14" s="1"/>
  <c r="AD90" i="9"/>
  <c r="AF90" i="9"/>
  <c r="D96" i="14"/>
  <c r="AP96" i="9"/>
  <c r="AH96" i="9"/>
  <c r="F96" i="14" s="1"/>
  <c r="AM96" i="9"/>
  <c r="AQ96" i="9"/>
  <c r="AN204" i="9"/>
  <c r="AI204" i="9"/>
  <c r="G204" i="14" s="1"/>
  <c r="AD57" i="9"/>
  <c r="AF57" i="9"/>
  <c r="AF215" i="9"/>
  <c r="AD215" i="9"/>
  <c r="AI248" i="8"/>
  <c r="G249" i="13" s="1"/>
  <c r="AN248" i="8"/>
  <c r="AA42" i="14"/>
  <c r="AF148" i="9"/>
  <c r="AD148" i="9"/>
  <c r="AD47" i="9"/>
  <c r="AF47" i="9"/>
  <c r="AH74" i="9"/>
  <c r="F74" i="14" s="1"/>
  <c r="AM74" i="9"/>
  <c r="D74" i="14"/>
  <c r="AP74" i="9"/>
  <c r="AQ74" i="9"/>
  <c r="AH320" i="8"/>
  <c r="F321" i="13" s="1"/>
  <c r="AM320" i="8"/>
  <c r="AF324" i="8"/>
  <c r="G41" i="13"/>
  <c r="AG55" i="13"/>
  <c r="AQ261" i="8"/>
  <c r="AQ231" i="8"/>
  <c r="AQ289" i="8"/>
  <c r="AQ306" i="8"/>
  <c r="F209" i="13"/>
  <c r="S13" i="31"/>
  <c r="AH206" i="9"/>
  <c r="F206" i="14" s="1"/>
  <c r="D206" i="14"/>
  <c r="AP206" i="9"/>
  <c r="AM206" i="9"/>
  <c r="AQ206" i="9"/>
  <c r="AG23" i="13"/>
  <c r="O42" i="9"/>
  <c r="S42" i="9"/>
  <c r="V42" i="9"/>
  <c r="Z42" i="9"/>
  <c r="AC42" i="9" s="1"/>
  <c r="AH283" i="8"/>
  <c r="F284" i="13" s="1"/>
  <c r="AM283" i="8"/>
  <c r="AF289" i="8"/>
  <c r="K209" i="13"/>
  <c r="S209" i="13"/>
  <c r="L209" i="13"/>
  <c r="D262" i="13"/>
  <c r="AM257" i="8"/>
  <c r="AH257" i="8"/>
  <c r="F258" i="13" s="1"/>
  <c r="AD97" i="9"/>
  <c r="AF97" i="9"/>
  <c r="AL4" i="8"/>
  <c r="H36" i="4" s="1"/>
  <c r="AF109" i="9"/>
  <c r="AD109" i="9"/>
  <c r="AA101" i="13"/>
  <c r="Z88" i="9"/>
  <c r="AC88" i="9" s="1"/>
  <c r="O88" i="9"/>
  <c r="S88" i="9"/>
  <c r="V88" i="9"/>
  <c r="AD183" i="9"/>
  <c r="AF183" i="9"/>
  <c r="AM219" i="9"/>
  <c r="D219" i="14"/>
  <c r="AH219" i="9"/>
  <c r="F219" i="14" s="1"/>
  <c r="AP219" i="9"/>
  <c r="AQ219" i="9"/>
  <c r="Y157" i="14"/>
  <c r="AI32" i="9"/>
  <c r="G32" i="14" s="1"/>
  <c r="AN32" i="9"/>
  <c r="W48" i="14"/>
  <c r="AM25" i="9"/>
  <c r="AH25" i="9"/>
  <c r="F25" i="14" s="1"/>
  <c r="D25" i="14"/>
  <c r="AP25" i="9"/>
  <c r="AQ25" i="9"/>
  <c r="X44" i="14"/>
  <c r="AD111" i="9"/>
  <c r="AF111" i="9"/>
  <c r="AD61" i="9"/>
  <c r="AF61" i="9"/>
  <c r="AM75" i="9"/>
  <c r="D75" i="14"/>
  <c r="AH75" i="9"/>
  <c r="F75" i="14" s="1"/>
  <c r="AP75" i="9"/>
  <c r="AQ75" i="9"/>
  <c r="D59" i="14"/>
  <c r="AM59" i="9"/>
  <c r="AP59" i="9"/>
  <c r="AH59" i="9"/>
  <c r="F59" i="14" s="1"/>
  <c r="AQ59" i="9"/>
  <c r="AD116" i="9"/>
  <c r="AF116" i="9"/>
  <c r="AG139" i="13"/>
  <c r="AD155" i="9"/>
  <c r="AF155" i="9"/>
  <c r="AD181" i="9"/>
  <c r="AF181" i="9"/>
  <c r="AD191" i="9"/>
  <c r="AF191" i="9"/>
  <c r="AC122" i="13"/>
  <c r="AI239" i="8"/>
  <c r="G240" i="13" s="1"/>
  <c r="AN239" i="8"/>
  <c r="Y187" i="14"/>
  <c r="AG15" i="13"/>
  <c r="Y165" i="14"/>
  <c r="AF124" i="9"/>
  <c r="AD124" i="9"/>
  <c r="AH214" i="9"/>
  <c r="F214" i="14" s="1"/>
  <c r="AM214" i="9"/>
  <c r="D214" i="14"/>
  <c r="AP214" i="9"/>
  <c r="AQ214" i="9"/>
  <c r="S22" i="31"/>
  <c r="S23" i="31" s="1"/>
  <c r="AG56" i="13"/>
  <c r="AG142" i="13"/>
  <c r="AG33" i="13"/>
  <c r="O94" i="9"/>
  <c r="S94" i="9"/>
  <c r="V94" i="9"/>
  <c r="Z94" i="9"/>
  <c r="AC94" i="9" s="1"/>
  <c r="G319" i="13"/>
  <c r="G253" i="13"/>
  <c r="G229" i="13"/>
  <c r="AD163" i="9"/>
  <c r="AF163" i="9"/>
  <c r="AA186" i="14"/>
  <c r="AC186" i="14" s="1"/>
  <c r="AG186" i="14" s="1"/>
  <c r="Z39" i="9"/>
  <c r="AC39" i="9" s="1"/>
  <c r="O39" i="9"/>
  <c r="S39" i="9"/>
  <c r="V39" i="9"/>
  <c r="Y71" i="14"/>
  <c r="AF84" i="9"/>
  <c r="AD84" i="9"/>
  <c r="AG17" i="13"/>
  <c r="AF192" i="14"/>
  <c r="S307" i="13"/>
  <c r="AN92" i="9"/>
  <c r="AI92" i="9"/>
  <c r="G92" i="14" s="1"/>
  <c r="AD49" i="9"/>
  <c r="AF49" i="9"/>
  <c r="AD189" i="9"/>
  <c r="AF189" i="9"/>
  <c r="AD87" i="9"/>
  <c r="AF87" i="9"/>
  <c r="AN190" i="9"/>
  <c r="AI190" i="9"/>
  <c r="G190" i="14" s="1"/>
  <c r="AI72" i="9"/>
  <c r="G72" i="14" s="1"/>
  <c r="AN72" i="9"/>
  <c r="AM19" i="13"/>
  <c r="AK19" i="13"/>
  <c r="AF168" i="9"/>
  <c r="AD168" i="9"/>
  <c r="D325" i="13"/>
  <c r="AC7" i="8"/>
  <c r="AG31" i="13"/>
  <c r="AF156" i="9"/>
  <c r="AD156" i="9"/>
  <c r="AI265" i="8"/>
  <c r="G266" i="13" s="1"/>
  <c r="AN265" i="8"/>
  <c r="AP261" i="8"/>
  <c r="AD79" i="9"/>
  <c r="AF79" i="9"/>
  <c r="K161" i="14"/>
  <c r="L161" i="14"/>
  <c r="S161" i="14"/>
  <c r="AD179" i="9"/>
  <c r="AF179" i="9"/>
  <c r="K216" i="14"/>
  <c r="S216" i="14"/>
  <c r="L216" i="14"/>
  <c r="AD64" i="9"/>
  <c r="AF64" i="9"/>
  <c r="AD52" i="9"/>
  <c r="AF52" i="9"/>
  <c r="AF193" i="9"/>
  <c r="AD193" i="9"/>
  <c r="W66" i="14"/>
  <c r="L204" i="14"/>
  <c r="K204" i="14"/>
  <c r="S204" i="14"/>
  <c r="S15" i="31"/>
  <c r="AF117" i="9"/>
  <c r="AD117" i="9"/>
  <c r="AF134" i="9"/>
  <c r="AD134" i="9"/>
  <c r="AA94" i="14"/>
  <c r="L95" i="14"/>
  <c r="K95" i="14"/>
  <c r="S95" i="14"/>
  <c r="AN5" i="8" l="1"/>
  <c r="H39" i="4" s="1"/>
  <c r="L307" i="13"/>
  <c r="Y175" i="14"/>
  <c r="AF276" i="13"/>
  <c r="X145" i="14"/>
  <c r="AI58" i="14"/>
  <c r="AM58" i="14" s="1"/>
  <c r="AJ58" i="14"/>
  <c r="AJ113" i="14"/>
  <c r="AN113" i="14" s="1"/>
  <c r="AI113" i="14"/>
  <c r="AM113" i="14" s="1"/>
  <c r="K262" i="13"/>
  <c r="L262" i="13"/>
  <c r="O151" i="9"/>
  <c r="S151" i="9"/>
  <c r="V151" i="9"/>
  <c r="Z151" i="9"/>
  <c r="AC151" i="9" s="1"/>
  <c r="AJ129" i="14"/>
  <c r="AN129" i="14" s="1"/>
  <c r="AI129" i="14"/>
  <c r="AJ185" i="14"/>
  <c r="AN185" i="14" s="1"/>
  <c r="AI185" i="14"/>
  <c r="AM185" i="14" s="1"/>
  <c r="AI133" i="14"/>
  <c r="AM133" i="14" s="1"/>
  <c r="AJ133" i="14"/>
  <c r="AN133" i="14" s="1"/>
  <c r="AM117" i="9"/>
  <c r="AH117" i="9"/>
  <c r="F117" i="14" s="1"/>
  <c r="AP117" i="9"/>
  <c r="D117" i="14"/>
  <c r="AQ117" i="9"/>
  <c r="AH156" i="9"/>
  <c r="F156" i="14" s="1"/>
  <c r="AM156" i="9"/>
  <c r="D156" i="14"/>
  <c r="AP156" i="9"/>
  <c r="AQ156" i="9"/>
  <c r="AA48" i="14"/>
  <c r="AF48" i="14"/>
  <c r="AP97" i="9"/>
  <c r="AM97" i="9"/>
  <c r="D97" i="14"/>
  <c r="AH97" i="9"/>
  <c r="F97" i="14" s="1"/>
  <c r="AQ97" i="9"/>
  <c r="AM289" i="8"/>
  <c r="AH289" i="8"/>
  <c r="O165" i="9"/>
  <c r="S165" i="9"/>
  <c r="V165" i="9"/>
  <c r="Z165" i="9"/>
  <c r="AC165" i="9" s="1"/>
  <c r="L132" i="14"/>
  <c r="S132" i="14"/>
  <c r="K132" i="14"/>
  <c r="AM169" i="9"/>
  <c r="AH169" i="9"/>
  <c r="F169" i="14" s="1"/>
  <c r="AP169" i="9"/>
  <c r="D169" i="14"/>
  <c r="AQ169" i="9"/>
  <c r="AJ128" i="13"/>
  <c r="AI128" i="13"/>
  <c r="AD130" i="9"/>
  <c r="AF130" i="9"/>
  <c r="AF192" i="9"/>
  <c r="AD192" i="9"/>
  <c r="AM212" i="9"/>
  <c r="AP212" i="9"/>
  <c r="AH212" i="9"/>
  <c r="F212" i="14" s="1"/>
  <c r="D212" i="14"/>
  <c r="AQ212" i="9"/>
  <c r="AJ81" i="13"/>
  <c r="AI81" i="13"/>
  <c r="L119" i="14"/>
  <c r="K119" i="14"/>
  <c r="S119" i="14"/>
  <c r="AN86" i="9"/>
  <c r="AI86" i="9"/>
  <c r="G86" i="14" s="1"/>
  <c r="AH136" i="9"/>
  <c r="F136" i="14" s="1"/>
  <c r="AP136" i="9"/>
  <c r="AM136" i="9"/>
  <c r="D136" i="14"/>
  <c r="AQ136" i="9"/>
  <c r="K325" i="13"/>
  <c r="L325" i="13"/>
  <c r="AM189" i="9"/>
  <c r="AP189" i="9"/>
  <c r="D189" i="14"/>
  <c r="AH189" i="9"/>
  <c r="F189" i="14" s="1"/>
  <c r="AQ189" i="9"/>
  <c r="AD94" i="9"/>
  <c r="AF94" i="9"/>
  <c r="AJ33" i="13"/>
  <c r="AI33" i="13"/>
  <c r="S214" i="14"/>
  <c r="L214" i="14"/>
  <c r="K214" i="14"/>
  <c r="AP124" i="9"/>
  <c r="AH124" i="9"/>
  <c r="F124" i="14" s="1"/>
  <c r="AM124" i="9"/>
  <c r="D124" i="14"/>
  <c r="AQ124" i="9"/>
  <c r="AA95" i="14"/>
  <c r="AC95" i="14" s="1"/>
  <c r="AG95" i="14" s="1"/>
  <c r="AH64" i="9"/>
  <c r="F64" i="14" s="1"/>
  <c r="AM64" i="9"/>
  <c r="D64" i="14"/>
  <c r="AP64" i="9"/>
  <c r="AQ64" i="9"/>
  <c r="AH179" i="9"/>
  <c r="F179" i="14" s="1"/>
  <c r="D179" i="14"/>
  <c r="AP179" i="9"/>
  <c r="AM179" i="9"/>
  <c r="AQ179" i="9"/>
  <c r="D49" i="14"/>
  <c r="AH49" i="9"/>
  <c r="F49" i="14" s="1"/>
  <c r="AP49" i="9"/>
  <c r="AM49" i="9"/>
  <c r="AQ49" i="9"/>
  <c r="AJ56" i="13"/>
  <c r="AI56" i="13"/>
  <c r="AJ15" i="13"/>
  <c r="AI15" i="13"/>
  <c r="Y43" i="14"/>
  <c r="AP191" i="9"/>
  <c r="D191" i="14"/>
  <c r="AH191" i="9"/>
  <c r="F191" i="14" s="1"/>
  <c r="AM191" i="9"/>
  <c r="AQ191" i="9"/>
  <c r="AH155" i="9"/>
  <c r="F155" i="14" s="1"/>
  <c r="AP155" i="9"/>
  <c r="AM155" i="9"/>
  <c r="D155" i="14"/>
  <c r="AQ155" i="9"/>
  <c r="AJ139" i="13"/>
  <c r="AI139" i="13"/>
  <c r="AF290" i="13"/>
  <c r="AI59" i="9"/>
  <c r="G59" i="14" s="1"/>
  <c r="AN59" i="9"/>
  <c r="D111" i="14"/>
  <c r="AH111" i="9"/>
  <c r="F111" i="14" s="1"/>
  <c r="AP111" i="9"/>
  <c r="AM111" i="9"/>
  <c r="AQ111" i="9"/>
  <c r="S25" i="14"/>
  <c r="L25" i="14"/>
  <c r="K25" i="14"/>
  <c r="X48" i="14"/>
  <c r="AI219" i="9"/>
  <c r="G219" i="14" s="1"/>
  <c r="AN219" i="9"/>
  <c r="AN257" i="8"/>
  <c r="AI257" i="8"/>
  <c r="G258" i="13" s="1"/>
  <c r="K284" i="13"/>
  <c r="L284" i="13"/>
  <c r="D290" i="13"/>
  <c r="W195" i="14"/>
  <c r="AH153" i="9"/>
  <c r="F153" i="14" s="1"/>
  <c r="D153" i="14"/>
  <c r="AP153" i="9"/>
  <c r="AM153" i="9"/>
  <c r="AQ153" i="9"/>
  <c r="D37" i="14"/>
  <c r="AH37" i="9"/>
  <c r="F37" i="14" s="1"/>
  <c r="AP37" i="9"/>
  <c r="AM37" i="9"/>
  <c r="AQ37" i="9"/>
  <c r="O29" i="9"/>
  <c r="S29" i="9"/>
  <c r="V29" i="9"/>
  <c r="Z29" i="9"/>
  <c r="AC29" i="9" s="1"/>
  <c r="AA93" i="14"/>
  <c r="AC93" i="14" s="1"/>
  <c r="AG93" i="14" s="1"/>
  <c r="AA92" i="14"/>
  <c r="AC92" i="14" s="1"/>
  <c r="AG92" i="14" s="1"/>
  <c r="AH70" i="9"/>
  <c r="F70" i="14" s="1"/>
  <c r="AM70" i="9"/>
  <c r="AP70" i="9"/>
  <c r="D70" i="14"/>
  <c r="AQ70" i="9"/>
  <c r="AH104" i="9"/>
  <c r="F104" i="14" s="1"/>
  <c r="AP104" i="9"/>
  <c r="AM104" i="9"/>
  <c r="D104" i="14"/>
  <c r="AQ104" i="9"/>
  <c r="W43" i="14"/>
  <c r="AJ13" i="13"/>
  <c r="AI13" i="13"/>
  <c r="AM46" i="9"/>
  <c r="AH46" i="9"/>
  <c r="F46" i="14" s="1"/>
  <c r="AP46" i="9"/>
  <c r="D46" i="14"/>
  <c r="AQ46" i="9"/>
  <c r="AP141" i="9"/>
  <c r="AH141" i="9"/>
  <c r="F141" i="14" s="1"/>
  <c r="D141" i="14"/>
  <c r="AM141" i="9"/>
  <c r="AQ141" i="9"/>
  <c r="X66" i="14"/>
  <c r="AM135" i="9"/>
  <c r="AP135" i="9"/>
  <c r="D135" i="14"/>
  <c r="AH135" i="9"/>
  <c r="F135" i="14" s="1"/>
  <c r="AQ135" i="9"/>
  <c r="X165" i="14"/>
  <c r="Y112" i="14"/>
  <c r="AM35" i="9"/>
  <c r="D35" i="14"/>
  <c r="AP35" i="9"/>
  <c r="AH35" i="9"/>
  <c r="F35" i="14" s="1"/>
  <c r="AQ35" i="9"/>
  <c r="AN21" i="13"/>
  <c r="AC32" i="14"/>
  <c r="AF32" i="14"/>
  <c r="L118" i="14"/>
  <c r="K118" i="14"/>
  <c r="S118" i="14"/>
  <c r="S220" i="14"/>
  <c r="L220" i="14"/>
  <c r="K220" i="14"/>
  <c r="AI102" i="13"/>
  <c r="AJ102" i="13"/>
  <c r="AM201" i="9"/>
  <c r="D201" i="14"/>
  <c r="AP201" i="9"/>
  <c r="AH201" i="9"/>
  <c r="F201" i="14" s="1"/>
  <c r="AQ201" i="9"/>
  <c r="AI105" i="9"/>
  <c r="G105" i="14" s="1"/>
  <c r="AN105" i="9"/>
  <c r="D140" i="14"/>
  <c r="AH140" i="9"/>
  <c r="F140" i="14" s="1"/>
  <c r="AP140" i="9"/>
  <c r="AM140" i="9"/>
  <c r="AQ140" i="9"/>
  <c r="AF307" i="13"/>
  <c r="AF232" i="13"/>
  <c r="D73" i="14"/>
  <c r="AM73" i="9"/>
  <c r="AP73" i="9"/>
  <c r="AH73" i="9"/>
  <c r="F73" i="14" s="1"/>
  <c r="AQ73" i="9"/>
  <c r="AI18" i="13"/>
  <c r="AJ18" i="13"/>
  <c r="AM50" i="9"/>
  <c r="D50" i="14"/>
  <c r="AP50" i="9"/>
  <c r="AH50" i="9"/>
  <c r="F50" i="14" s="1"/>
  <c r="AQ50" i="9"/>
  <c r="AH176" i="9"/>
  <c r="F176" i="14" s="1"/>
  <c r="AM176" i="9"/>
  <c r="D176" i="14"/>
  <c r="AP176" i="9"/>
  <c r="AQ176" i="9"/>
  <c r="AI188" i="9"/>
  <c r="G188" i="14" s="1"/>
  <c r="AN188" i="9"/>
  <c r="K121" i="14"/>
  <c r="S121" i="14"/>
  <c r="L121" i="14"/>
  <c r="D54" i="14"/>
  <c r="AM54" i="9"/>
  <c r="AH54" i="9"/>
  <c r="F54" i="14" s="1"/>
  <c r="AP54" i="9"/>
  <c r="AQ54" i="9"/>
  <c r="K194" i="14"/>
  <c r="L194" i="14"/>
  <c r="S194" i="14"/>
  <c r="Y146" i="14"/>
  <c r="AI261" i="8"/>
  <c r="AN261" i="8"/>
  <c r="AI275" i="8"/>
  <c r="AN275" i="8"/>
  <c r="D40" i="14"/>
  <c r="AM40" i="9"/>
  <c r="AH40" i="9"/>
  <c r="F40" i="14" s="1"/>
  <c r="AP40" i="9"/>
  <c r="AQ40" i="9"/>
  <c r="X198" i="14"/>
  <c r="AM166" i="9"/>
  <c r="AP166" i="9"/>
  <c r="AH166" i="9"/>
  <c r="F166" i="14" s="1"/>
  <c r="D166" i="14"/>
  <c r="AQ166" i="9"/>
  <c r="D217" i="14"/>
  <c r="AH217" i="9"/>
  <c r="F217" i="14" s="1"/>
  <c r="AM217" i="9"/>
  <c r="AP217" i="9"/>
  <c r="AQ217" i="9"/>
  <c r="AH125" i="9"/>
  <c r="F125" i="14" s="1"/>
  <c r="AM125" i="9"/>
  <c r="D125" i="14"/>
  <c r="AP125" i="9"/>
  <c r="AQ125" i="9"/>
  <c r="BF19" i="13"/>
  <c r="BK19" i="13"/>
  <c r="AP207" i="9"/>
  <c r="AH207" i="9"/>
  <c r="F207" i="14" s="1"/>
  <c r="D207" i="14"/>
  <c r="AM207" i="9"/>
  <c r="AQ207" i="9"/>
  <c r="D178" i="14"/>
  <c r="AH178" i="9"/>
  <c r="F178" i="14" s="1"/>
  <c r="AM178" i="9"/>
  <c r="AP178" i="9"/>
  <c r="AQ178" i="9"/>
  <c r="O71" i="9"/>
  <c r="S71" i="9"/>
  <c r="V71" i="9"/>
  <c r="Z71" i="9"/>
  <c r="AC71" i="9" s="1"/>
  <c r="AI196" i="9"/>
  <c r="G196" i="14" s="1"/>
  <c r="AN196" i="9"/>
  <c r="AI24" i="13"/>
  <c r="AJ24" i="13"/>
  <c r="Y29" i="14"/>
  <c r="D8" i="13"/>
  <c r="K222" i="13"/>
  <c r="K8" i="13" s="1"/>
  <c r="AF44" i="9"/>
  <c r="AD44" i="9"/>
  <c r="Z36" i="9"/>
  <c r="AC36" i="9" s="1"/>
  <c r="O36" i="9"/>
  <c r="S36" i="9"/>
  <c r="V36" i="9"/>
  <c r="AN158" i="9"/>
  <c r="AI158" i="9"/>
  <c r="G158" i="14" s="1"/>
  <c r="AJ144" i="13"/>
  <c r="AI144" i="13"/>
  <c r="AA175" i="14"/>
  <c r="AM231" i="8"/>
  <c r="AH231" i="8"/>
  <c r="Y36" i="14"/>
  <c r="Y195" i="14"/>
  <c r="BB19" i="13"/>
  <c r="BE19" i="13"/>
  <c r="BJ19" i="13"/>
  <c r="AQ19" i="13"/>
  <c r="D87" i="14"/>
  <c r="AP87" i="9"/>
  <c r="AM87" i="9"/>
  <c r="AH87" i="9"/>
  <c r="F87" i="14" s="1"/>
  <c r="AQ87" i="9"/>
  <c r="AI186" i="14"/>
  <c r="AM186" i="14" s="1"/>
  <c r="AJ186" i="14"/>
  <c r="AN186" i="14" s="1"/>
  <c r="AP116" i="9"/>
  <c r="AH116" i="9"/>
  <c r="F116" i="14" s="1"/>
  <c r="AM116" i="9"/>
  <c r="D116" i="14"/>
  <c r="AQ116" i="9"/>
  <c r="L59" i="14"/>
  <c r="K59" i="14"/>
  <c r="S59" i="14"/>
  <c r="AN75" i="9"/>
  <c r="AI75" i="9"/>
  <c r="G75" i="14" s="1"/>
  <c r="AM61" i="9"/>
  <c r="D61" i="14"/>
  <c r="AH61" i="9"/>
  <c r="F61" i="14" s="1"/>
  <c r="AP61" i="9"/>
  <c r="AQ61" i="9"/>
  <c r="AP183" i="9"/>
  <c r="AH183" i="9"/>
  <c r="F183" i="14" s="1"/>
  <c r="D183" i="14"/>
  <c r="AM183" i="9"/>
  <c r="AQ183" i="9"/>
  <c r="L206" i="14"/>
  <c r="K206" i="14"/>
  <c r="S206" i="14"/>
  <c r="AI320" i="8"/>
  <c r="G321" i="13" s="1"/>
  <c r="AN320" i="8"/>
  <c r="AI14" i="13"/>
  <c r="AJ14" i="13"/>
  <c r="AI199" i="9"/>
  <c r="G199" i="14" s="1"/>
  <c r="AN199" i="9"/>
  <c r="AM21" i="13"/>
  <c r="AK21" i="13"/>
  <c r="AN118" i="9"/>
  <c r="AI118" i="9"/>
  <c r="G118" i="14" s="1"/>
  <c r="AH28" i="9"/>
  <c r="F28" i="14" s="1"/>
  <c r="AM28" i="9"/>
  <c r="D28" i="14"/>
  <c r="AP28" i="9"/>
  <c r="AQ28" i="9"/>
  <c r="D149" i="14"/>
  <c r="AP149" i="9"/>
  <c r="AH149" i="9"/>
  <c r="F149" i="14" s="1"/>
  <c r="AM149" i="9"/>
  <c r="AQ149" i="9"/>
  <c r="AI171" i="13"/>
  <c r="AJ171" i="13"/>
  <c r="AP99" i="9"/>
  <c r="AM99" i="9"/>
  <c r="AH99" i="9"/>
  <c r="F99" i="14" s="1"/>
  <c r="D99" i="14"/>
  <c r="AQ99" i="9"/>
  <c r="AI174" i="13"/>
  <c r="AJ174" i="13"/>
  <c r="AI210" i="13"/>
  <c r="AJ210" i="13"/>
  <c r="AP131" i="9"/>
  <c r="AH131" i="9"/>
  <c r="F131" i="14" s="1"/>
  <c r="AM131" i="9"/>
  <c r="D131" i="14"/>
  <c r="AQ131" i="9"/>
  <c r="AM134" i="9"/>
  <c r="AH134" i="9"/>
  <c r="F134" i="14" s="1"/>
  <c r="AP134" i="9"/>
  <c r="D134" i="14"/>
  <c r="AQ134" i="9"/>
  <c r="AA66" i="14"/>
  <c r="D52" i="14"/>
  <c r="AH52" i="9"/>
  <c r="F52" i="14" s="1"/>
  <c r="AP52" i="9"/>
  <c r="AM52" i="9"/>
  <c r="AQ52" i="9"/>
  <c r="O175" i="9"/>
  <c r="S175" i="9"/>
  <c r="V175" i="9"/>
  <c r="Z175" i="9"/>
  <c r="AC175" i="9" s="1"/>
  <c r="AH79" i="9"/>
  <c r="F79" i="14" s="1"/>
  <c r="AP79" i="9"/>
  <c r="AM79" i="9"/>
  <c r="D79" i="14"/>
  <c r="AQ79" i="9"/>
  <c r="AJ31" i="13"/>
  <c r="AI31" i="13"/>
  <c r="AP168" i="9"/>
  <c r="AM168" i="9"/>
  <c r="AH168" i="9"/>
  <c r="F168" i="14" s="1"/>
  <c r="D168" i="14"/>
  <c r="AQ168" i="9"/>
  <c r="AD39" i="9"/>
  <c r="AF39" i="9"/>
  <c r="AM163" i="9"/>
  <c r="AH163" i="9"/>
  <c r="F163" i="14" s="1"/>
  <c r="D163" i="14"/>
  <c r="AP163" i="9"/>
  <c r="AQ163" i="9"/>
  <c r="D181" i="14"/>
  <c r="AP181" i="9"/>
  <c r="AH181" i="9"/>
  <c r="F181" i="14" s="1"/>
  <c r="AM181" i="9"/>
  <c r="AQ181" i="9"/>
  <c r="AN25" i="9"/>
  <c r="AI25" i="9"/>
  <c r="G25" i="14" s="1"/>
  <c r="L219" i="14"/>
  <c r="K219" i="14"/>
  <c r="S219" i="14"/>
  <c r="AH109" i="9"/>
  <c r="F109" i="14" s="1"/>
  <c r="AP109" i="9"/>
  <c r="AM109" i="9"/>
  <c r="D109" i="14"/>
  <c r="AQ109" i="9"/>
  <c r="K230" i="13"/>
  <c r="L230" i="13"/>
  <c r="D232" i="13"/>
  <c r="AN206" i="9"/>
  <c r="AI206" i="9"/>
  <c r="G206" i="14" s="1"/>
  <c r="AI55" i="13"/>
  <c r="AJ55" i="13"/>
  <c r="AI74" i="9"/>
  <c r="G74" i="14" s="1"/>
  <c r="AN74" i="9"/>
  <c r="D148" i="14"/>
  <c r="AM148" i="9"/>
  <c r="AH148" i="9"/>
  <c r="F148" i="14" s="1"/>
  <c r="AP148" i="9"/>
  <c r="AQ148" i="9"/>
  <c r="S96" i="14"/>
  <c r="K96" i="14"/>
  <c r="L96" i="14"/>
  <c r="AJ78" i="13"/>
  <c r="AI78" i="13"/>
  <c r="K199" i="14"/>
  <c r="S199" i="14"/>
  <c r="L199" i="14"/>
  <c r="AH126" i="9"/>
  <c r="F126" i="14" s="1"/>
  <c r="AP126" i="9"/>
  <c r="D126" i="14"/>
  <c r="AM126" i="9"/>
  <c r="AQ126" i="9"/>
  <c r="AH114" i="9"/>
  <c r="F114" i="14" s="1"/>
  <c r="AP114" i="9"/>
  <c r="D114" i="14"/>
  <c r="AM114" i="9"/>
  <c r="AQ114" i="9"/>
  <c r="AI100" i="13"/>
  <c r="AJ100" i="13"/>
  <c r="L45" i="14"/>
  <c r="K45" i="14"/>
  <c r="S45" i="14"/>
  <c r="D16" i="9"/>
  <c r="BH16" i="13"/>
  <c r="AH82" i="9"/>
  <c r="F82" i="14" s="1"/>
  <c r="AM82" i="9"/>
  <c r="AP82" i="9"/>
  <c r="D82" i="14"/>
  <c r="AQ82" i="9"/>
  <c r="L167" i="14"/>
  <c r="S167" i="14"/>
  <c r="K167" i="14"/>
  <c r="AH147" i="9"/>
  <c r="F147" i="14" s="1"/>
  <c r="AP147" i="9"/>
  <c r="AM147" i="9"/>
  <c r="D147" i="14"/>
  <c r="AQ147" i="9"/>
  <c r="AJ172" i="13"/>
  <c r="AI172" i="13"/>
  <c r="AI137" i="9"/>
  <c r="G137" i="14" s="1"/>
  <c r="AN137" i="9"/>
  <c r="L137" i="14"/>
  <c r="S137" i="14"/>
  <c r="K137" i="14"/>
  <c r="AP98" i="9"/>
  <c r="AH98" i="9"/>
  <c r="F98" i="14" s="1"/>
  <c r="D98" i="14"/>
  <c r="AM98" i="9"/>
  <c r="AQ98" i="9"/>
  <c r="Y160" i="14"/>
  <c r="AJ213" i="13"/>
  <c r="AI213" i="13"/>
  <c r="AI91" i="9"/>
  <c r="G91" i="14" s="1"/>
  <c r="AN91" i="9"/>
  <c r="W112" i="14"/>
  <c r="AM62" i="13"/>
  <c r="AK62" i="13"/>
  <c r="AC41" i="13"/>
  <c r="AJ12" i="13"/>
  <c r="AI12" i="13"/>
  <c r="AF262" i="13"/>
  <c r="AC203" i="14"/>
  <c r="AG203" i="14" s="1"/>
  <c r="AI182" i="13"/>
  <c r="AJ182" i="13"/>
  <c r="AJ38" i="13"/>
  <c r="AI38" i="13"/>
  <c r="L188" i="14"/>
  <c r="K188" i="14"/>
  <c r="S188" i="14"/>
  <c r="AC30" i="13"/>
  <c r="AM170" i="9"/>
  <c r="AH170" i="9"/>
  <c r="F170" i="14" s="1"/>
  <c r="D170" i="14"/>
  <c r="AP170" i="9"/>
  <c r="AQ170" i="9"/>
  <c r="AI27" i="13"/>
  <c r="AJ27" i="13"/>
  <c r="AN194" i="9"/>
  <c r="AI194" i="9"/>
  <c r="G194" i="14" s="1"/>
  <c r="AA145" i="14"/>
  <c r="S69" i="14"/>
  <c r="K69" i="14"/>
  <c r="L69" i="14"/>
  <c r="D200" i="14"/>
  <c r="AH200" i="9"/>
  <c r="F200" i="14" s="1"/>
  <c r="AM200" i="9"/>
  <c r="AP200" i="9"/>
  <c r="AQ200" i="9"/>
  <c r="S63" i="14"/>
  <c r="K63" i="14"/>
  <c r="L63" i="14"/>
  <c r="AA115" i="14"/>
  <c r="AC115" i="14" s="1"/>
  <c r="AG115" i="14" s="1"/>
  <c r="AM202" i="9"/>
  <c r="AH202" i="9"/>
  <c r="F202" i="14" s="1"/>
  <c r="AP202" i="9"/>
  <c r="D202" i="14"/>
  <c r="AQ202" i="9"/>
  <c r="O103" i="9"/>
  <c r="S103" i="9"/>
  <c r="V103" i="9"/>
  <c r="Z103" i="9"/>
  <c r="AC103" i="9" s="1"/>
  <c r="O157" i="9"/>
  <c r="S157" i="9"/>
  <c r="V157" i="9"/>
  <c r="Z157" i="9"/>
  <c r="AC157" i="9" s="1"/>
  <c r="AA157" i="14"/>
  <c r="L127" i="14"/>
  <c r="S127" i="14"/>
  <c r="K127" i="14"/>
  <c r="X151" i="14"/>
  <c r="AC211" i="14"/>
  <c r="AG211" i="14" s="1"/>
  <c r="S196" i="14"/>
  <c r="L196" i="14"/>
  <c r="K196" i="14"/>
  <c r="AA138" i="14"/>
  <c r="AC138" i="14" s="1"/>
  <c r="AG138" i="14" s="1"/>
  <c r="W198" i="14"/>
  <c r="AI143" i="13"/>
  <c r="AJ143" i="13"/>
  <c r="AJ108" i="13"/>
  <c r="AI108" i="13"/>
  <c r="G325" i="13"/>
  <c r="G276" i="13"/>
  <c r="G290" i="13"/>
  <c r="G307" i="13"/>
  <c r="G262" i="13"/>
  <c r="G232" i="13"/>
  <c r="AI8" i="8"/>
  <c r="AJ65" i="13"/>
  <c r="AI65" i="13"/>
  <c r="AN119" i="9"/>
  <c r="AI119" i="9"/>
  <c r="G119" i="14" s="1"/>
  <c r="D180" i="14"/>
  <c r="AM180" i="9"/>
  <c r="AH180" i="9"/>
  <c r="F180" i="14" s="1"/>
  <c r="AP180" i="9"/>
  <c r="AQ180" i="9"/>
  <c r="K86" i="14"/>
  <c r="L86" i="14"/>
  <c r="S86" i="14"/>
  <c r="L276" i="13"/>
  <c r="K276" i="13"/>
  <c r="AH193" i="9"/>
  <c r="F193" i="14" s="1"/>
  <c r="AP193" i="9"/>
  <c r="D193" i="14"/>
  <c r="AM193" i="9"/>
  <c r="AQ193" i="9"/>
  <c r="Y20" i="14"/>
  <c r="AI17" i="13"/>
  <c r="AJ17" i="13"/>
  <c r="AI142" i="13"/>
  <c r="AJ142" i="13"/>
  <c r="AN214" i="9"/>
  <c r="AI214" i="9"/>
  <c r="G214" i="14" s="1"/>
  <c r="L258" i="13"/>
  <c r="K258" i="13"/>
  <c r="AD42" i="9"/>
  <c r="AF42" i="9"/>
  <c r="AI23" i="13"/>
  <c r="AJ23" i="13"/>
  <c r="W151" i="14"/>
  <c r="AH215" i="9"/>
  <c r="F215" i="14" s="1"/>
  <c r="AP215" i="9"/>
  <c r="AM215" i="9"/>
  <c r="D215" i="14"/>
  <c r="AQ215" i="9"/>
  <c r="AH57" i="9"/>
  <c r="F57" i="14" s="1"/>
  <c r="AP57" i="9"/>
  <c r="AM57" i="9"/>
  <c r="D57" i="14"/>
  <c r="AQ57" i="9"/>
  <c r="W20" i="14"/>
  <c r="AJ51" i="14"/>
  <c r="AN51" i="14" s="1"/>
  <c r="AI51" i="14"/>
  <c r="AM51" i="14" s="1"/>
  <c r="AM177" i="9"/>
  <c r="AP177" i="9"/>
  <c r="D177" i="14"/>
  <c r="AH177" i="9"/>
  <c r="F177" i="14" s="1"/>
  <c r="AQ177" i="9"/>
  <c r="AN167" i="9"/>
  <c r="AI167" i="9"/>
  <c r="G167" i="14" s="1"/>
  <c r="AM67" i="9"/>
  <c r="D67" i="14"/>
  <c r="AH67" i="9"/>
  <c r="F67" i="14" s="1"/>
  <c r="AP67" i="9"/>
  <c r="AQ67" i="9"/>
  <c r="D218" i="14"/>
  <c r="AP218" i="9"/>
  <c r="AH218" i="9"/>
  <c r="F218" i="14" s="1"/>
  <c r="AM218" i="9"/>
  <c r="AQ218" i="9"/>
  <c r="S14" i="31"/>
  <c r="AM173" i="9"/>
  <c r="D173" i="14"/>
  <c r="AH173" i="9"/>
  <c r="F173" i="14" s="1"/>
  <c r="AP173" i="9"/>
  <c r="AQ173" i="9"/>
  <c r="S105" i="14"/>
  <c r="K105" i="14"/>
  <c r="L105" i="14"/>
  <c r="AC72" i="14"/>
  <c r="AF72" i="14"/>
  <c r="AI53" i="14"/>
  <c r="AM53" i="14" s="1"/>
  <c r="AJ53" i="14"/>
  <c r="AN53" i="14" s="1"/>
  <c r="AA83" i="14"/>
  <c r="AC83" i="14" s="1"/>
  <c r="AG83" i="14" s="1"/>
  <c r="L107" i="14"/>
  <c r="K107" i="14"/>
  <c r="S107" i="14"/>
  <c r="W164" i="14"/>
  <c r="AA103" i="14"/>
  <c r="AJ22" i="13"/>
  <c r="AI22" i="13"/>
  <c r="AC204" i="14"/>
  <c r="AF204" i="14"/>
  <c r="AA216" i="14"/>
  <c r="AC216" i="14" s="1"/>
  <c r="AG216" i="14" s="1"/>
  <c r="AA161" i="14"/>
  <c r="AC161" i="14" s="1"/>
  <c r="AG161" i="14" s="1"/>
  <c r="AP84" i="9"/>
  <c r="D84" i="14"/>
  <c r="AM84" i="9"/>
  <c r="AH84" i="9"/>
  <c r="F84" i="14" s="1"/>
  <c r="AQ84" i="9"/>
  <c r="AG122" i="13"/>
  <c r="K75" i="14"/>
  <c r="L75" i="14"/>
  <c r="S75" i="14"/>
  <c r="Z48" i="9"/>
  <c r="AC48" i="9" s="1"/>
  <c r="O48" i="9"/>
  <c r="S48" i="9"/>
  <c r="V48" i="9"/>
  <c r="AD88" i="9"/>
  <c r="AF88" i="9"/>
  <c r="AC101" i="13"/>
  <c r="K321" i="13"/>
  <c r="L321" i="13"/>
  <c r="S262" i="13"/>
  <c r="AA209" i="13"/>
  <c r="AA307" i="13" s="1"/>
  <c r="S290" i="13"/>
  <c r="S325" i="13"/>
  <c r="S232" i="13"/>
  <c r="AN283" i="8"/>
  <c r="AI283" i="8"/>
  <c r="G284" i="13" s="1"/>
  <c r="AM324" i="8"/>
  <c r="AH324" i="8"/>
  <c r="S74" i="14"/>
  <c r="K74" i="14"/>
  <c r="L74" i="14"/>
  <c r="AP47" i="9"/>
  <c r="AH47" i="9"/>
  <c r="F47" i="14" s="1"/>
  <c r="D47" i="14"/>
  <c r="AM47" i="9"/>
  <c r="AQ47" i="9"/>
  <c r="AN96" i="9"/>
  <c r="AI96" i="9"/>
  <c r="G96" i="14" s="1"/>
  <c r="D90" i="14"/>
  <c r="AH90" i="9"/>
  <c r="F90" i="14" s="1"/>
  <c r="AP90" i="9"/>
  <c r="AM90" i="9"/>
  <c r="AQ90" i="9"/>
  <c r="AA190" i="14"/>
  <c r="AC190" i="14" s="1"/>
  <c r="AG190" i="14" s="1"/>
  <c r="AI26" i="13"/>
  <c r="AJ26" i="13"/>
  <c r="AG80" i="13"/>
  <c r="AN45" i="9"/>
  <c r="AI45" i="9"/>
  <c r="G45" i="14" s="1"/>
  <c r="AA16" i="9"/>
  <c r="AB16" i="9" s="1"/>
  <c r="O66" i="9"/>
  <c r="S66" i="9"/>
  <c r="V66" i="9"/>
  <c r="Z66" i="9"/>
  <c r="AC66" i="9" s="1"/>
  <c r="AM184" i="9"/>
  <c r="AP184" i="9"/>
  <c r="AH184" i="9"/>
  <c r="F184" i="14" s="1"/>
  <c r="D184" i="14"/>
  <c r="AQ184" i="9"/>
  <c r="AA165" i="14"/>
  <c r="D89" i="14"/>
  <c r="AH89" i="9"/>
  <c r="F89" i="14" s="1"/>
  <c r="AM89" i="9"/>
  <c r="AP89" i="9"/>
  <c r="AQ89" i="9"/>
  <c r="AI132" i="9"/>
  <c r="G132" i="14" s="1"/>
  <c r="AN132" i="9"/>
  <c r="L91" i="14"/>
  <c r="S91" i="14"/>
  <c r="K91" i="14"/>
  <c r="AI220" i="9"/>
  <c r="G220" i="14" s="1"/>
  <c r="AN220" i="9"/>
  <c r="AN62" i="13"/>
  <c r="AH85" i="9"/>
  <c r="F85" i="14" s="1"/>
  <c r="AP85" i="9"/>
  <c r="D85" i="14"/>
  <c r="AM85" i="9"/>
  <c r="AQ85" i="9"/>
  <c r="Y164" i="14"/>
  <c r="S208" i="14"/>
  <c r="K208" i="14"/>
  <c r="L208" i="14"/>
  <c r="AI208" i="9"/>
  <c r="G208" i="14" s="1"/>
  <c r="AN208" i="9"/>
  <c r="D197" i="14"/>
  <c r="AM197" i="9"/>
  <c r="AP197" i="9"/>
  <c r="AH197" i="9"/>
  <c r="F197" i="14" s="1"/>
  <c r="AQ197" i="9"/>
  <c r="AF325" i="13"/>
  <c r="AH34" i="9"/>
  <c r="F34" i="14" s="1"/>
  <c r="AM34" i="9"/>
  <c r="AP34" i="9"/>
  <c r="D34" i="14"/>
  <c r="AQ34" i="9"/>
  <c r="AM152" i="9"/>
  <c r="D152" i="14"/>
  <c r="AP152" i="9"/>
  <c r="AH152" i="9"/>
  <c r="F152" i="14" s="1"/>
  <c r="AQ152" i="9"/>
  <c r="S276" i="13"/>
  <c r="AI121" i="9"/>
  <c r="G121" i="14" s="1"/>
  <c r="AN121" i="9"/>
  <c r="AM68" i="9"/>
  <c r="D68" i="14"/>
  <c r="AH68" i="9"/>
  <c r="F68" i="14" s="1"/>
  <c r="AP68" i="9"/>
  <c r="AQ68" i="9"/>
  <c r="AI107" i="9"/>
  <c r="G107" i="14" s="1"/>
  <c r="AN107" i="9"/>
  <c r="AA110" i="14"/>
  <c r="AC110" i="14" s="1"/>
  <c r="AG110" i="14" s="1"/>
  <c r="V145" i="9"/>
  <c r="O145" i="9"/>
  <c r="S145" i="9"/>
  <c r="Z145" i="9"/>
  <c r="AC145" i="9" s="1"/>
  <c r="AN69" i="9"/>
  <c r="AI69" i="9"/>
  <c r="G69" i="14" s="1"/>
  <c r="O198" i="9"/>
  <c r="S198" i="9"/>
  <c r="V198" i="9"/>
  <c r="Z198" i="9"/>
  <c r="AC198" i="9" s="1"/>
  <c r="AI120" i="13"/>
  <c r="AJ120" i="13"/>
  <c r="AN63" i="9"/>
  <c r="AI63" i="9"/>
  <c r="G63" i="14" s="1"/>
  <c r="AM106" i="9"/>
  <c r="AH106" i="9"/>
  <c r="F106" i="14" s="1"/>
  <c r="D106" i="14"/>
  <c r="AP106" i="9"/>
  <c r="AQ106" i="9"/>
  <c r="D154" i="14"/>
  <c r="AH154" i="9"/>
  <c r="F154" i="14" s="1"/>
  <c r="AM154" i="9"/>
  <c r="AP154" i="9"/>
  <c r="AQ154" i="9"/>
  <c r="AM77" i="9"/>
  <c r="D77" i="14"/>
  <c r="AH77" i="9"/>
  <c r="F77" i="14" s="1"/>
  <c r="AP77" i="9"/>
  <c r="AQ77" i="9"/>
  <c r="X103" i="14"/>
  <c r="X157" i="14"/>
  <c r="AI127" i="9"/>
  <c r="G127" i="14" s="1"/>
  <c r="AN127" i="9"/>
  <c r="AA29" i="14"/>
  <c r="AM123" i="9"/>
  <c r="AP123" i="9"/>
  <c r="D123" i="14"/>
  <c r="AH123" i="9"/>
  <c r="F123" i="14" s="1"/>
  <c r="AQ123" i="9"/>
  <c r="AH150" i="9"/>
  <c r="F150" i="14" s="1"/>
  <c r="D150" i="14"/>
  <c r="AM150" i="9"/>
  <c r="AP150" i="9"/>
  <c r="AQ150" i="9"/>
  <c r="AH187" i="9"/>
  <c r="F187" i="14" s="1"/>
  <c r="AP187" i="9"/>
  <c r="D187" i="14"/>
  <c r="AM187" i="9"/>
  <c r="AQ187" i="9"/>
  <c r="AA71" i="14"/>
  <c r="AM60" i="9"/>
  <c r="D60" i="14"/>
  <c r="AH60" i="9"/>
  <c r="F60" i="14" s="1"/>
  <c r="AP60" i="9"/>
  <c r="AQ60" i="9"/>
  <c r="AA205" i="14"/>
  <c r="AC205" i="14" s="1"/>
  <c r="AG205" i="14" s="1"/>
  <c r="AI76" i="9"/>
  <c r="G76" i="14" s="1"/>
  <c r="AN76" i="9"/>
  <c r="L76" i="14"/>
  <c r="S76" i="14"/>
  <c r="K76" i="14"/>
  <c r="W36" i="14"/>
  <c r="S158" i="14"/>
  <c r="L158" i="14"/>
  <c r="K158" i="14"/>
  <c r="AH159" i="9"/>
  <c r="F159" i="14" s="1"/>
  <c r="AM159" i="9"/>
  <c r="AP159" i="9"/>
  <c r="D159" i="14"/>
  <c r="AQ159" i="9"/>
  <c r="G209" i="13"/>
  <c r="AI229" i="8"/>
  <c r="G230" i="13" s="1"/>
  <c r="AN229" i="8"/>
  <c r="S222" i="13"/>
  <c r="S8" i="13" s="1"/>
  <c r="AK185" i="14" l="1"/>
  <c r="AG32" i="14"/>
  <c r="AI32" i="14" s="1"/>
  <c r="AM32" i="14" s="1"/>
  <c r="AK133" i="14"/>
  <c r="AK113" i="14"/>
  <c r="AC209" i="13"/>
  <c r="AG209" i="13" s="1"/>
  <c r="AG72" i="14"/>
  <c r="AI72" i="14" s="1"/>
  <c r="AJ161" i="14"/>
  <c r="AN161" i="14" s="1"/>
  <c r="AI161" i="14"/>
  <c r="AI205" i="14"/>
  <c r="AM205" i="14" s="1"/>
  <c r="AJ205" i="14"/>
  <c r="AN205" i="14" s="1"/>
  <c r="AJ92" i="14"/>
  <c r="AN92" i="14" s="1"/>
  <c r="AI92" i="14"/>
  <c r="AM92" i="14" s="1"/>
  <c r="AI159" i="9"/>
  <c r="G159" i="14" s="1"/>
  <c r="AN159" i="9"/>
  <c r="Y162" i="14"/>
  <c r="L123" i="14"/>
  <c r="S123" i="14"/>
  <c r="K123" i="14"/>
  <c r="L154" i="14"/>
  <c r="S154" i="14"/>
  <c r="K154" i="14"/>
  <c r="AN106" i="9"/>
  <c r="AI106" i="9"/>
  <c r="G106" i="14" s="1"/>
  <c r="AD198" i="9"/>
  <c r="AF198" i="9"/>
  <c r="AC208" i="14"/>
  <c r="AG208" i="14" s="1"/>
  <c r="AI80" i="13"/>
  <c r="AJ80" i="13"/>
  <c r="AI190" i="14"/>
  <c r="AJ190" i="14"/>
  <c r="AN190" i="14" s="1"/>
  <c r="S47" i="14"/>
  <c r="L47" i="14"/>
  <c r="K47" i="14"/>
  <c r="AI324" i="8"/>
  <c r="AN324" i="8"/>
  <c r="AG101" i="13"/>
  <c r="AI122" i="13"/>
  <c r="AJ122" i="13"/>
  <c r="AN84" i="9"/>
  <c r="AI84" i="9"/>
  <c r="G84" i="14" s="1"/>
  <c r="AM22" i="13"/>
  <c r="AK22" i="13"/>
  <c r="O164" i="9"/>
  <c r="S164" i="9"/>
  <c r="V164" i="9"/>
  <c r="Z164" i="9"/>
  <c r="AC164" i="9" s="1"/>
  <c r="BK53" i="14"/>
  <c r="BF53" i="14"/>
  <c r="L173" i="14"/>
  <c r="K173" i="14"/>
  <c r="S173" i="14"/>
  <c r="AI177" i="9"/>
  <c r="G177" i="14" s="1"/>
  <c r="AN177" i="9"/>
  <c r="BJ51" i="14"/>
  <c r="BE51" i="14"/>
  <c r="BB51" i="14"/>
  <c r="AQ51" i="14"/>
  <c r="AF20" i="14"/>
  <c r="AA20" i="14"/>
  <c r="S57" i="14"/>
  <c r="L57" i="14"/>
  <c r="K57" i="14"/>
  <c r="AI57" i="9"/>
  <c r="G57" i="14" s="1"/>
  <c r="AN57" i="9"/>
  <c r="AN23" i="13"/>
  <c r="AN142" i="13"/>
  <c r="AM17" i="13"/>
  <c r="AK17" i="13"/>
  <c r="AN193" i="9"/>
  <c r="AI193" i="9"/>
  <c r="G193" i="14" s="1"/>
  <c r="S20" i="31"/>
  <c r="AA196" i="14"/>
  <c r="AC196" i="14" s="1"/>
  <c r="AG196" i="14" s="1"/>
  <c r="AI115" i="14"/>
  <c r="AM115" i="14" s="1"/>
  <c r="AJ115" i="14"/>
  <c r="AN115" i="14" s="1"/>
  <c r="S200" i="14"/>
  <c r="K200" i="14"/>
  <c r="L200" i="14"/>
  <c r="AC69" i="14"/>
  <c r="AF69" i="14"/>
  <c r="AC325" i="13"/>
  <c r="AG30" i="13"/>
  <c r="AC307" i="13"/>
  <c r="AJ203" i="14"/>
  <c r="AN203" i="14" s="1"/>
  <c r="AI203" i="14"/>
  <c r="AM12" i="13"/>
  <c r="AK12" i="13"/>
  <c r="AQ62" i="13"/>
  <c r="BJ62" i="13"/>
  <c r="BB62" i="13"/>
  <c r="BE62" i="13"/>
  <c r="AA112" i="14"/>
  <c r="AM213" i="13"/>
  <c r="AK213" i="13"/>
  <c r="AC137" i="14"/>
  <c r="AG137" i="14" s="1"/>
  <c r="AN147" i="9"/>
  <c r="AI147" i="9"/>
  <c r="G147" i="14" s="1"/>
  <c r="AC167" i="14"/>
  <c r="AF167" i="14"/>
  <c r="AI82" i="9"/>
  <c r="G82" i="14" s="1"/>
  <c r="AN82" i="9"/>
  <c r="BM16" i="13"/>
  <c r="AM100" i="13"/>
  <c r="AK100" i="13"/>
  <c r="L114" i="14"/>
  <c r="S114" i="14"/>
  <c r="K114" i="14"/>
  <c r="AN126" i="9"/>
  <c r="AI126" i="9"/>
  <c r="G126" i="14" s="1"/>
  <c r="K232" i="13"/>
  <c r="L232" i="13"/>
  <c r="K109" i="14"/>
  <c r="L109" i="14"/>
  <c r="S109" i="14"/>
  <c r="AI181" i="9"/>
  <c r="G181" i="14" s="1"/>
  <c r="AN181" i="9"/>
  <c r="AN163" i="9"/>
  <c r="AI163" i="9"/>
  <c r="G163" i="14" s="1"/>
  <c r="K168" i="14"/>
  <c r="S168" i="14"/>
  <c r="L168" i="14"/>
  <c r="AN174" i="13"/>
  <c r="S99" i="14"/>
  <c r="K99" i="14"/>
  <c r="L99" i="14"/>
  <c r="AM171" i="13"/>
  <c r="AK171" i="13"/>
  <c r="AI28" i="9"/>
  <c r="G28" i="14" s="1"/>
  <c r="AN28" i="9"/>
  <c r="BB21" i="13"/>
  <c r="BE21" i="13"/>
  <c r="AQ21" i="13"/>
  <c r="BJ21" i="13"/>
  <c r="X160" i="14"/>
  <c r="W160" i="14"/>
  <c r="AN14" i="13"/>
  <c r="AA206" i="14"/>
  <c r="AC206" i="14" s="1"/>
  <c r="AG206" i="14" s="1"/>
  <c r="L61" i="14"/>
  <c r="S61" i="14"/>
  <c r="K61" i="14"/>
  <c r="E8" i="13"/>
  <c r="L222" i="13"/>
  <c r="L8" i="13" s="1"/>
  <c r="AD71" i="9"/>
  <c r="AF71" i="9"/>
  <c r="L207" i="14"/>
  <c r="K207" i="14"/>
  <c r="S207" i="14"/>
  <c r="AN217" i="9"/>
  <c r="AI217" i="9"/>
  <c r="G217" i="14" s="1"/>
  <c r="AA121" i="14"/>
  <c r="AC121" i="14" s="1"/>
  <c r="AG121" i="14" s="1"/>
  <c r="L176" i="14"/>
  <c r="S176" i="14"/>
  <c r="K176" i="14"/>
  <c r="L50" i="14"/>
  <c r="K50" i="14"/>
  <c r="S50" i="14"/>
  <c r="AI201" i="9"/>
  <c r="G201" i="14" s="1"/>
  <c r="AN201" i="9"/>
  <c r="AJ32" i="14"/>
  <c r="AN32" i="14" s="1"/>
  <c r="AI135" i="9"/>
  <c r="G135" i="14" s="1"/>
  <c r="AN135" i="9"/>
  <c r="AN13" i="13"/>
  <c r="L153" i="14"/>
  <c r="K153" i="14"/>
  <c r="S153" i="14"/>
  <c r="X146" i="14"/>
  <c r="W146" i="14"/>
  <c r="AC25" i="14"/>
  <c r="AG25" i="14" s="1"/>
  <c r="S155" i="14"/>
  <c r="K155" i="14"/>
  <c r="L155" i="14"/>
  <c r="AN155" i="9"/>
  <c r="AI155" i="9"/>
  <c r="G155" i="14" s="1"/>
  <c r="AN191" i="9"/>
  <c r="AI191" i="9"/>
  <c r="G191" i="14" s="1"/>
  <c r="L49" i="14"/>
  <c r="K49" i="14"/>
  <c r="S49" i="14"/>
  <c r="AN179" i="9"/>
  <c r="AI179" i="9"/>
  <c r="G179" i="14" s="1"/>
  <c r="S64" i="14"/>
  <c r="L64" i="14"/>
  <c r="K64" i="14"/>
  <c r="L124" i="14"/>
  <c r="K124" i="14"/>
  <c r="S124" i="14"/>
  <c r="AM33" i="13"/>
  <c r="AK33" i="13"/>
  <c r="AN189" i="9"/>
  <c r="AI189" i="9"/>
  <c r="G189" i="14" s="1"/>
  <c r="AI136" i="9"/>
  <c r="G136" i="14" s="1"/>
  <c r="AN136" i="9"/>
  <c r="D192" i="14"/>
  <c r="AM192" i="9"/>
  <c r="AP192" i="9"/>
  <c r="AH192" i="9"/>
  <c r="F192" i="14" s="1"/>
  <c r="AQ192" i="9"/>
  <c r="AN128" i="13"/>
  <c r="AN289" i="8"/>
  <c r="AI289" i="8"/>
  <c r="AI117" i="9"/>
  <c r="G117" i="14" s="1"/>
  <c r="AN117" i="9"/>
  <c r="AQ133" i="14"/>
  <c r="BB133" i="14"/>
  <c r="BE133" i="14"/>
  <c r="BJ133" i="14"/>
  <c r="AK186" i="14"/>
  <c r="BK129" i="14"/>
  <c r="BF129" i="14"/>
  <c r="BE113" i="14"/>
  <c r="BB113" i="14"/>
  <c r="BJ113" i="14"/>
  <c r="AQ113" i="14"/>
  <c r="AC76" i="14"/>
  <c r="AF76" i="14"/>
  <c r="AA158" i="14"/>
  <c r="AC158" i="14" s="1"/>
  <c r="AG158" i="14" s="1"/>
  <c r="AN150" i="9"/>
  <c r="AI150" i="9"/>
  <c r="G150" i="14" s="1"/>
  <c r="K152" i="14"/>
  <c r="L152" i="14"/>
  <c r="S152" i="14"/>
  <c r="AN85" i="9"/>
  <c r="AI85" i="9"/>
  <c r="G85" i="14" s="1"/>
  <c r="AN184" i="9"/>
  <c r="AI184" i="9"/>
  <c r="G184" i="14" s="1"/>
  <c r="L159" i="14"/>
  <c r="K159" i="14"/>
  <c r="S159" i="14"/>
  <c r="AA36" i="14"/>
  <c r="AN60" i="9"/>
  <c r="AI60" i="9"/>
  <c r="G60" i="14" s="1"/>
  <c r="AN77" i="9"/>
  <c r="AI77" i="9"/>
  <c r="G77" i="14" s="1"/>
  <c r="AI154" i="9"/>
  <c r="G154" i="14" s="1"/>
  <c r="AN154" i="9"/>
  <c r="L106" i="14"/>
  <c r="K106" i="14"/>
  <c r="S106" i="14"/>
  <c r="AM120" i="13"/>
  <c r="AK120" i="13"/>
  <c r="AI68" i="9"/>
  <c r="G68" i="14" s="1"/>
  <c r="AN68" i="9"/>
  <c r="L89" i="14"/>
  <c r="K89" i="14"/>
  <c r="S89" i="14"/>
  <c r="L184" i="14"/>
  <c r="K184" i="14"/>
  <c r="S184" i="14"/>
  <c r="AN26" i="13"/>
  <c r="AC74" i="14"/>
  <c r="AF74" i="14"/>
  <c r="D88" i="14"/>
  <c r="AP88" i="9"/>
  <c r="AH88" i="9"/>
  <c r="F88" i="14" s="1"/>
  <c r="AM88" i="9"/>
  <c r="AQ88" i="9"/>
  <c r="AN22" i="13"/>
  <c r="X164" i="14"/>
  <c r="AA107" i="14"/>
  <c r="AC107" i="14" s="1"/>
  <c r="AG107" i="14" s="1"/>
  <c r="AQ53" i="14"/>
  <c r="BB53" i="14"/>
  <c r="BJ53" i="14"/>
  <c r="BE53" i="14"/>
  <c r="AN173" i="9"/>
  <c r="AI173" i="9"/>
  <c r="G173" i="14" s="1"/>
  <c r="S218" i="14"/>
  <c r="L218" i="14"/>
  <c r="K218" i="14"/>
  <c r="K67" i="14"/>
  <c r="L67" i="14"/>
  <c r="S67" i="14"/>
  <c r="S177" i="14"/>
  <c r="L177" i="14"/>
  <c r="K177" i="14"/>
  <c r="BK51" i="14"/>
  <c r="BF51" i="14"/>
  <c r="AM23" i="13"/>
  <c r="AK23" i="13"/>
  <c r="AI180" i="9"/>
  <c r="G180" i="14" s="1"/>
  <c r="AN180" i="9"/>
  <c r="AM65" i="13"/>
  <c r="AK65" i="13"/>
  <c r="AN108" i="13"/>
  <c r="Y198" i="14"/>
  <c r="S202" i="14"/>
  <c r="L202" i="14"/>
  <c r="K202" i="14"/>
  <c r="AN200" i="9"/>
  <c r="AI200" i="9"/>
  <c r="G200" i="14" s="1"/>
  <c r="AM27" i="13"/>
  <c r="AK27" i="13"/>
  <c r="S170" i="14"/>
  <c r="K170" i="14"/>
  <c r="L170" i="14"/>
  <c r="AC188" i="14"/>
  <c r="AG188" i="14" s="1"/>
  <c r="AM38" i="13"/>
  <c r="AK38" i="13"/>
  <c r="AM182" i="13"/>
  <c r="AK182" i="13"/>
  <c r="AN12" i="13"/>
  <c r="X112" i="14"/>
  <c r="AN213" i="13"/>
  <c r="AM172" i="13"/>
  <c r="AK172" i="13"/>
  <c r="K16" i="9"/>
  <c r="J16" i="9"/>
  <c r="W16" i="9" s="1"/>
  <c r="AN78" i="13"/>
  <c r="AC96" i="14"/>
  <c r="AF96" i="14"/>
  <c r="AM55" i="13"/>
  <c r="AK55" i="13"/>
  <c r="AP39" i="9"/>
  <c r="AH39" i="9"/>
  <c r="F39" i="14" s="1"/>
  <c r="AM39" i="9"/>
  <c r="D39" i="14"/>
  <c r="AQ39" i="9"/>
  <c r="AN168" i="9"/>
  <c r="AI168" i="9"/>
  <c r="G168" i="14" s="1"/>
  <c r="AI79" i="9"/>
  <c r="G79" i="14" s="1"/>
  <c r="AN79" i="9"/>
  <c r="K52" i="14"/>
  <c r="L52" i="14"/>
  <c r="S52" i="14"/>
  <c r="K134" i="14"/>
  <c r="L134" i="14"/>
  <c r="S134" i="14"/>
  <c r="AN210" i="13"/>
  <c r="AM174" i="13"/>
  <c r="AK174" i="13"/>
  <c r="L28" i="14"/>
  <c r="S28" i="14"/>
  <c r="K28" i="14"/>
  <c r="AM14" i="13"/>
  <c r="AK14" i="13"/>
  <c r="AN183" i="9"/>
  <c r="AI183" i="9"/>
  <c r="G183" i="14" s="1"/>
  <c r="AA59" i="14"/>
  <c r="AC59" i="14" s="1"/>
  <c r="AG59" i="14" s="1"/>
  <c r="L116" i="14"/>
  <c r="S116" i="14"/>
  <c r="K116" i="14"/>
  <c r="AI116" i="9"/>
  <c r="G116" i="14" s="1"/>
  <c r="AN116" i="9"/>
  <c r="W162" i="14"/>
  <c r="X162" i="14"/>
  <c r="AN87" i="9"/>
  <c r="AI87" i="9"/>
  <c r="G87" i="14" s="1"/>
  <c r="D19" i="9"/>
  <c r="BH19" i="13"/>
  <c r="AM144" i="13"/>
  <c r="AK144" i="13"/>
  <c r="AD36" i="9"/>
  <c r="AF36" i="9"/>
  <c r="L178" i="14"/>
  <c r="S178" i="14"/>
  <c r="K178" i="14"/>
  <c r="AN207" i="9"/>
  <c r="AI207" i="9"/>
  <c r="G207" i="14" s="1"/>
  <c r="L217" i="14"/>
  <c r="S217" i="14"/>
  <c r="K217" i="14"/>
  <c r="AN166" i="9"/>
  <c r="AI166" i="9"/>
  <c r="G166" i="14" s="1"/>
  <c r="S54" i="14"/>
  <c r="L54" i="14"/>
  <c r="K54" i="14"/>
  <c r="K73" i="14"/>
  <c r="S73" i="14"/>
  <c r="L73" i="14"/>
  <c r="L140" i="14"/>
  <c r="K140" i="14"/>
  <c r="S140" i="14"/>
  <c r="AN102" i="13"/>
  <c r="K135" i="14"/>
  <c r="S135" i="14"/>
  <c r="L135" i="14"/>
  <c r="K141" i="14"/>
  <c r="S141" i="14"/>
  <c r="L141" i="14"/>
  <c r="O43" i="9"/>
  <c r="S43" i="9"/>
  <c r="V43" i="9"/>
  <c r="Z43" i="9"/>
  <c r="AC43" i="9" s="1"/>
  <c r="AA43" i="14"/>
  <c r="AN104" i="9"/>
  <c r="AI104" i="9"/>
  <c r="G104" i="14" s="1"/>
  <c r="AN70" i="9"/>
  <c r="AI70" i="9"/>
  <c r="G70" i="14" s="1"/>
  <c r="AN111" i="9"/>
  <c r="AI111" i="9"/>
  <c r="G111" i="14" s="1"/>
  <c r="AN139" i="13"/>
  <c r="L191" i="14"/>
  <c r="S191" i="14"/>
  <c r="K191" i="14"/>
  <c r="AM56" i="13"/>
  <c r="AK56" i="13"/>
  <c r="AI49" i="9"/>
  <c r="G49" i="14" s="1"/>
  <c r="AN49" i="9"/>
  <c r="AN33" i="13"/>
  <c r="K136" i="14"/>
  <c r="L136" i="14"/>
  <c r="S136" i="14"/>
  <c r="AH130" i="9"/>
  <c r="F130" i="14" s="1"/>
  <c r="D130" i="14"/>
  <c r="AP130" i="9"/>
  <c r="AM130" i="9"/>
  <c r="AQ130" i="9"/>
  <c r="AA132" i="14"/>
  <c r="AC132" i="14" s="1"/>
  <c r="AG132" i="14" s="1"/>
  <c r="AI97" i="9"/>
  <c r="G97" i="14" s="1"/>
  <c r="AN97" i="9"/>
  <c r="AN156" i="9"/>
  <c r="AI156" i="9"/>
  <c r="G156" i="14" s="1"/>
  <c r="AK53" i="14"/>
  <c r="BJ185" i="14"/>
  <c r="AQ185" i="14"/>
  <c r="BE185" i="14"/>
  <c r="BB185" i="14"/>
  <c r="AD151" i="9"/>
  <c r="AF151" i="9"/>
  <c r="BF113" i="14"/>
  <c r="BK113" i="14"/>
  <c r="AN187" i="9"/>
  <c r="AI187" i="9"/>
  <c r="G187" i="14" s="1"/>
  <c r="L150" i="14"/>
  <c r="K150" i="14"/>
  <c r="S150" i="14"/>
  <c r="S77" i="14"/>
  <c r="L77" i="14"/>
  <c r="K77" i="14"/>
  <c r="AD145" i="9"/>
  <c r="AF145" i="9"/>
  <c r="AN152" i="9"/>
  <c r="AI152" i="9"/>
  <c r="G152" i="14" s="1"/>
  <c r="AN34" i="9"/>
  <c r="AI34" i="9"/>
  <c r="G34" i="14" s="1"/>
  <c r="L197" i="14"/>
  <c r="K197" i="14"/>
  <c r="S197" i="14"/>
  <c r="K85" i="14"/>
  <c r="L85" i="14"/>
  <c r="S85" i="14"/>
  <c r="BF62" i="13"/>
  <c r="BK62" i="13"/>
  <c r="AA91" i="14"/>
  <c r="AC91" i="14" s="1"/>
  <c r="AG91" i="14" s="1"/>
  <c r="AN89" i="9"/>
  <c r="AI89" i="9"/>
  <c r="G89" i="14" s="1"/>
  <c r="AM26" i="13"/>
  <c r="AK26" i="13"/>
  <c r="S90" i="14"/>
  <c r="L90" i="14"/>
  <c r="K90" i="14"/>
  <c r="AI47" i="9"/>
  <c r="G47" i="14" s="1"/>
  <c r="AN47" i="9"/>
  <c r="AA262" i="13"/>
  <c r="AA232" i="13"/>
  <c r="AF48" i="9"/>
  <c r="AD48" i="9"/>
  <c r="AG204" i="14"/>
  <c r="AN67" i="9"/>
  <c r="AI67" i="9"/>
  <c r="G67" i="14" s="1"/>
  <c r="X20" i="14"/>
  <c r="K215" i="14"/>
  <c r="S215" i="14"/>
  <c r="L215" i="14"/>
  <c r="AI215" i="9"/>
  <c r="G215" i="14" s="1"/>
  <c r="AN215" i="9"/>
  <c r="AA151" i="14"/>
  <c r="AH42" i="9"/>
  <c r="F42" i="14" s="1"/>
  <c r="D42" i="14"/>
  <c r="AP42" i="9"/>
  <c r="AM42" i="9"/>
  <c r="AQ42" i="9"/>
  <c r="AM142" i="13"/>
  <c r="AK142" i="13"/>
  <c r="L193" i="14"/>
  <c r="K193" i="14"/>
  <c r="S193" i="14"/>
  <c r="AN65" i="13"/>
  <c r="AN143" i="13"/>
  <c r="AA198" i="14"/>
  <c r="AI211" i="14"/>
  <c r="AJ211" i="14"/>
  <c r="AN211" i="14" s="1"/>
  <c r="AA127" i="14"/>
  <c r="AC127" i="14" s="1"/>
  <c r="AG127" i="14" s="1"/>
  <c r="AD157" i="9"/>
  <c r="AF157" i="9"/>
  <c r="AF103" i="9"/>
  <c r="AD103" i="9"/>
  <c r="AN38" i="13"/>
  <c r="Z112" i="9"/>
  <c r="AC112" i="9" s="1"/>
  <c r="O112" i="9"/>
  <c r="S112" i="9"/>
  <c r="V112" i="9"/>
  <c r="AN98" i="9"/>
  <c r="AI98" i="9"/>
  <c r="G98" i="14" s="1"/>
  <c r="K147" i="14"/>
  <c r="L147" i="14"/>
  <c r="S147" i="14"/>
  <c r="AC45" i="14"/>
  <c r="AG45" i="14" s="1"/>
  <c r="AN100" i="13"/>
  <c r="AI114" i="9"/>
  <c r="G114" i="14" s="1"/>
  <c r="AN114" i="9"/>
  <c r="K126" i="14"/>
  <c r="L126" i="14"/>
  <c r="S126" i="14"/>
  <c r="S148" i="14"/>
  <c r="K148" i="14"/>
  <c r="L148" i="14"/>
  <c r="AN55" i="13"/>
  <c r="AC219" i="14"/>
  <c r="AG219" i="14" s="1"/>
  <c r="L181" i="14"/>
  <c r="K181" i="14"/>
  <c r="S181" i="14"/>
  <c r="K163" i="14"/>
  <c r="L163" i="14"/>
  <c r="S163" i="14"/>
  <c r="AM31" i="13"/>
  <c r="AK31" i="13"/>
  <c r="K79" i="14"/>
  <c r="L79" i="14"/>
  <c r="S79" i="14"/>
  <c r="AD175" i="9"/>
  <c r="AF175" i="9"/>
  <c r="AN131" i="9"/>
  <c r="AI131" i="9"/>
  <c r="G131" i="14" s="1"/>
  <c r="AM210" i="13"/>
  <c r="AK210" i="13"/>
  <c r="AN99" i="9"/>
  <c r="AI99" i="9"/>
  <c r="G99" i="14" s="1"/>
  <c r="S183" i="14"/>
  <c r="L183" i="14"/>
  <c r="K183" i="14"/>
  <c r="AN61" i="9"/>
  <c r="AI61" i="9"/>
  <c r="G61" i="14" s="1"/>
  <c r="BK186" i="14"/>
  <c r="BF186" i="14"/>
  <c r="AA19" i="9"/>
  <c r="AB19" i="9" s="1"/>
  <c r="AI231" i="8"/>
  <c r="AN231" i="8"/>
  <c r="AN24" i="13"/>
  <c r="AN125" i="9"/>
  <c r="AI125" i="9"/>
  <c r="G125" i="14" s="1"/>
  <c r="AA194" i="14"/>
  <c r="AC194" i="14" s="1"/>
  <c r="AG194" i="14" s="1"/>
  <c r="AN54" i="9"/>
  <c r="AI54" i="9"/>
  <c r="G54" i="14" s="1"/>
  <c r="AA276" i="13"/>
  <c r="AN176" i="9"/>
  <c r="AI176" i="9"/>
  <c r="G176" i="14" s="1"/>
  <c r="AN18" i="13"/>
  <c r="AN73" i="9"/>
  <c r="AI73" i="9"/>
  <c r="G73" i="14" s="1"/>
  <c r="AI140" i="9"/>
  <c r="G140" i="14" s="1"/>
  <c r="AN140" i="9"/>
  <c r="S201" i="14"/>
  <c r="L201" i="14"/>
  <c r="K201" i="14"/>
  <c r="AC220" i="14"/>
  <c r="AG220" i="14" s="1"/>
  <c r="BF21" i="13"/>
  <c r="BK21" i="13"/>
  <c r="AI35" i="9"/>
  <c r="G35" i="14" s="1"/>
  <c r="AN35" i="9"/>
  <c r="AI141" i="9"/>
  <c r="G141" i="14" s="1"/>
  <c r="AN141" i="9"/>
  <c r="AI46" i="9"/>
  <c r="G46" i="14" s="1"/>
  <c r="AN46" i="9"/>
  <c r="AM13" i="13"/>
  <c r="AK13" i="13"/>
  <c r="X43" i="14"/>
  <c r="K70" i="14"/>
  <c r="S70" i="14"/>
  <c r="L70" i="14"/>
  <c r="AD29" i="9"/>
  <c r="AF29" i="9"/>
  <c r="AN37" i="9"/>
  <c r="AI37" i="9"/>
  <c r="G37" i="14" s="1"/>
  <c r="AI153" i="9"/>
  <c r="G153" i="14" s="1"/>
  <c r="AN153" i="9"/>
  <c r="O195" i="9"/>
  <c r="S195" i="9"/>
  <c r="V195" i="9"/>
  <c r="Z195" i="9"/>
  <c r="AC195" i="9" s="1"/>
  <c r="AA195" i="14"/>
  <c r="Z146" i="9"/>
  <c r="AC146" i="9" s="1"/>
  <c r="O146" i="9"/>
  <c r="S146" i="9"/>
  <c r="V146" i="9"/>
  <c r="S111" i="14"/>
  <c r="L111" i="14"/>
  <c r="K111" i="14"/>
  <c r="AM139" i="13"/>
  <c r="AK139" i="13"/>
  <c r="AM15" i="13"/>
  <c r="AK15" i="13"/>
  <c r="AN64" i="9"/>
  <c r="AI64" i="9"/>
  <c r="G64" i="14" s="1"/>
  <c r="AJ95" i="14"/>
  <c r="AN95" i="14" s="1"/>
  <c r="AI95" i="14"/>
  <c r="AM95" i="14" s="1"/>
  <c r="AI124" i="9"/>
  <c r="G124" i="14" s="1"/>
  <c r="AN124" i="9"/>
  <c r="AM81" i="13"/>
  <c r="AK81" i="13"/>
  <c r="S212" i="14"/>
  <c r="L212" i="14"/>
  <c r="K212" i="14"/>
  <c r="AI212" i="9"/>
  <c r="G212" i="14" s="1"/>
  <c r="AN212" i="9"/>
  <c r="L97" i="14"/>
  <c r="K97" i="14"/>
  <c r="S97" i="14"/>
  <c r="L156" i="14"/>
  <c r="K156" i="14"/>
  <c r="S156" i="14"/>
  <c r="S117" i="14"/>
  <c r="K117" i="14"/>
  <c r="L117" i="14"/>
  <c r="AK51" i="14"/>
  <c r="BK185" i="14"/>
  <c r="BF185" i="14"/>
  <c r="AK58" i="14"/>
  <c r="AN58" i="14"/>
  <c r="BB58" i="14" s="1"/>
  <c r="K60" i="14"/>
  <c r="L60" i="14"/>
  <c r="S60" i="14"/>
  <c r="S187" i="14"/>
  <c r="K187" i="14"/>
  <c r="L187" i="14"/>
  <c r="AN123" i="9"/>
  <c r="AI123" i="9"/>
  <c r="G123" i="14" s="1"/>
  <c r="AN120" i="13"/>
  <c r="AI110" i="14"/>
  <c r="AM110" i="14" s="1"/>
  <c r="AJ110" i="14"/>
  <c r="AN110" i="14" s="1"/>
  <c r="L68" i="14"/>
  <c r="S68" i="14"/>
  <c r="K68" i="14"/>
  <c r="L34" i="14"/>
  <c r="S34" i="14"/>
  <c r="K34" i="14"/>
  <c r="AN197" i="9"/>
  <c r="AI197" i="9"/>
  <c r="G197" i="14" s="1"/>
  <c r="AF66" i="9"/>
  <c r="AD66" i="9"/>
  <c r="AI90" i="9"/>
  <c r="G90" i="14" s="1"/>
  <c r="AN90" i="9"/>
  <c r="AC75" i="14"/>
  <c r="AF75" i="14"/>
  <c r="S84" i="14"/>
  <c r="L84" i="14"/>
  <c r="K84" i="14"/>
  <c r="AI216" i="14"/>
  <c r="AM216" i="14" s="1"/>
  <c r="AJ216" i="14"/>
  <c r="AA164" i="14"/>
  <c r="AI83" i="14"/>
  <c r="AJ83" i="14"/>
  <c r="AN83" i="14" s="1"/>
  <c r="AA105" i="14"/>
  <c r="AC105" i="14" s="1"/>
  <c r="AG105" i="14" s="1"/>
  <c r="AI218" i="9"/>
  <c r="G218" i="14" s="1"/>
  <c r="AN218" i="9"/>
  <c r="Z20" i="9"/>
  <c r="AC20" i="9" s="1"/>
  <c r="O20" i="9"/>
  <c r="S20" i="9"/>
  <c r="V20" i="9"/>
  <c r="Y151" i="14"/>
  <c r="AN17" i="13"/>
  <c r="AA86" i="14"/>
  <c r="AC86" i="14" s="1"/>
  <c r="AG86" i="14" s="1"/>
  <c r="K180" i="14"/>
  <c r="L180" i="14"/>
  <c r="S180" i="14"/>
  <c r="AM108" i="13"/>
  <c r="AK108" i="13"/>
  <c r="AM143" i="13"/>
  <c r="AK143" i="13"/>
  <c r="AI138" i="14"/>
  <c r="AJ138" i="14"/>
  <c r="AN138" i="14" s="1"/>
  <c r="AN202" i="9"/>
  <c r="AI202" i="9"/>
  <c r="G202" i="14" s="1"/>
  <c r="AC63" i="14"/>
  <c r="AF63" i="14"/>
  <c r="AN27" i="13"/>
  <c r="AN170" i="9"/>
  <c r="AI170" i="9"/>
  <c r="G170" i="14" s="1"/>
  <c r="AN182" i="13"/>
  <c r="AG41" i="13"/>
  <c r="S98" i="14"/>
  <c r="K98" i="14"/>
  <c r="L98" i="14"/>
  <c r="AN172" i="13"/>
  <c r="L82" i="14"/>
  <c r="K82" i="14"/>
  <c r="S82" i="14"/>
  <c r="AA199" i="14"/>
  <c r="AM78" i="13"/>
  <c r="AK78" i="13"/>
  <c r="AI148" i="9"/>
  <c r="G148" i="14" s="1"/>
  <c r="AN148" i="9"/>
  <c r="AN109" i="9"/>
  <c r="AI109" i="9"/>
  <c r="G109" i="14" s="1"/>
  <c r="AN31" i="13"/>
  <c r="AI52" i="9"/>
  <c r="G52" i="14" s="1"/>
  <c r="AN52" i="9"/>
  <c r="AI134" i="9"/>
  <c r="G134" i="14" s="1"/>
  <c r="AN134" i="9"/>
  <c r="L131" i="14"/>
  <c r="K131" i="14"/>
  <c r="S131" i="14"/>
  <c r="AN171" i="13"/>
  <c r="AI149" i="9"/>
  <c r="G149" i="14" s="1"/>
  <c r="AN149" i="9"/>
  <c r="S149" i="14"/>
  <c r="K149" i="14"/>
  <c r="L149" i="14"/>
  <c r="Z160" i="9"/>
  <c r="AC160" i="9" s="1"/>
  <c r="O160" i="9"/>
  <c r="S160" i="9"/>
  <c r="V160" i="9"/>
  <c r="BJ186" i="14"/>
  <c r="BE186" i="14"/>
  <c r="AQ186" i="14"/>
  <c r="BB186" i="14"/>
  <c r="L87" i="14"/>
  <c r="S87" i="14"/>
  <c r="K87" i="14"/>
  <c r="AN144" i="13"/>
  <c r="AP44" i="9"/>
  <c r="AM44" i="9"/>
  <c r="AH44" i="9"/>
  <c r="F44" i="14" s="1"/>
  <c r="D44" i="14"/>
  <c r="AQ44" i="9"/>
  <c r="AM24" i="13"/>
  <c r="AK24" i="13"/>
  <c r="AN178" i="9"/>
  <c r="AI178" i="9"/>
  <c r="G178" i="14" s="1"/>
  <c r="L125" i="14"/>
  <c r="K125" i="14"/>
  <c r="S125" i="14"/>
  <c r="K166" i="14"/>
  <c r="S166" i="14"/>
  <c r="L166" i="14"/>
  <c r="AN40" i="9"/>
  <c r="AI40" i="9"/>
  <c r="G40" i="14" s="1"/>
  <c r="K40" i="14"/>
  <c r="L40" i="14"/>
  <c r="S40" i="14"/>
  <c r="AA290" i="13"/>
  <c r="AA325" i="13"/>
  <c r="AI50" i="9"/>
  <c r="G50" i="14" s="1"/>
  <c r="AN50" i="9"/>
  <c r="AM18" i="13"/>
  <c r="AK18" i="13"/>
  <c r="AM102" i="13"/>
  <c r="AK102" i="13"/>
  <c r="AC118" i="14"/>
  <c r="AG118" i="14" s="1"/>
  <c r="K35" i="14"/>
  <c r="L35" i="14"/>
  <c r="S35" i="14"/>
  <c r="S46" i="14"/>
  <c r="K46" i="14"/>
  <c r="L46" i="14"/>
  <c r="S104" i="14"/>
  <c r="K104" i="14"/>
  <c r="L104" i="14"/>
  <c r="AI93" i="14"/>
  <c r="AJ93" i="14"/>
  <c r="AN93" i="14" s="1"/>
  <c r="S37" i="14"/>
  <c r="L37" i="14"/>
  <c r="K37" i="14"/>
  <c r="X195" i="14"/>
  <c r="L290" i="13"/>
  <c r="K290" i="13"/>
  <c r="AN15" i="13"/>
  <c r="AN56" i="13"/>
  <c r="L179" i="14"/>
  <c r="K179" i="14"/>
  <c r="S179" i="14"/>
  <c r="AC214" i="14"/>
  <c r="AG214" i="14" s="1"/>
  <c r="AM94" i="9"/>
  <c r="AH94" i="9"/>
  <c r="F94" i="14" s="1"/>
  <c r="D94" i="14"/>
  <c r="AP94" i="9"/>
  <c r="AQ94" i="9"/>
  <c r="K189" i="14"/>
  <c r="L189" i="14"/>
  <c r="S189" i="14"/>
  <c r="AC119" i="14"/>
  <c r="AG119" i="14" s="1"/>
  <c r="AN81" i="13"/>
  <c r="AM128" i="13"/>
  <c r="AK128" i="13"/>
  <c r="L169" i="14"/>
  <c r="S169" i="14"/>
  <c r="K169" i="14"/>
  <c r="AI169" i="9"/>
  <c r="G169" i="14" s="1"/>
  <c r="AN169" i="9"/>
  <c r="AD165" i="9"/>
  <c r="AF165" i="9"/>
  <c r="BF133" i="14"/>
  <c r="BK133" i="14"/>
  <c r="AM129" i="14"/>
  <c r="AK129" i="14"/>
  <c r="BE58" i="14"/>
  <c r="BJ58" i="14"/>
  <c r="AJ72" i="14" l="1"/>
  <c r="AN72" i="14" s="1"/>
  <c r="BF72" i="14" s="1"/>
  <c r="AK205" i="14"/>
  <c r="AK32" i="14"/>
  <c r="AK92" i="14"/>
  <c r="AG69" i="14"/>
  <c r="AI69" i="14" s="1"/>
  <c r="AG63" i="14"/>
  <c r="AI63" i="14" s="1"/>
  <c r="AG75" i="14"/>
  <c r="AI75" i="14" s="1"/>
  <c r="AM75" i="14" s="1"/>
  <c r="AG96" i="14"/>
  <c r="AI96" i="14" s="1"/>
  <c r="AG74" i="14"/>
  <c r="AJ74" i="14" s="1"/>
  <c r="AN74" i="14" s="1"/>
  <c r="AG76" i="14"/>
  <c r="AI76" i="14" s="1"/>
  <c r="AM76" i="14" s="1"/>
  <c r="AC262" i="13"/>
  <c r="BE244" i="13"/>
  <c r="BJ244" i="13"/>
  <c r="BB244" i="13"/>
  <c r="AJ86" i="14"/>
  <c r="AN86" i="14" s="1"/>
  <c r="AI86" i="14"/>
  <c r="AJ194" i="14"/>
  <c r="AN194" i="14" s="1"/>
  <c r="AI194" i="14"/>
  <c r="AM194" i="14" s="1"/>
  <c r="AI206" i="14"/>
  <c r="AJ206" i="14"/>
  <c r="AN206" i="14" s="1"/>
  <c r="BK244" i="13"/>
  <c r="BF244" i="13"/>
  <c r="AI121" i="14"/>
  <c r="AJ121" i="14"/>
  <c r="AN121" i="14" s="1"/>
  <c r="AI158" i="14"/>
  <c r="AJ158" i="14"/>
  <c r="AN158" i="14" s="1"/>
  <c r="AI41" i="13"/>
  <c r="AJ41" i="13"/>
  <c r="BK182" i="13"/>
  <c r="BF182" i="13"/>
  <c r="BK27" i="13"/>
  <c r="BF27" i="13"/>
  <c r="BF81" i="13"/>
  <c r="BK81" i="13"/>
  <c r="K94" i="14"/>
  <c r="L94" i="14"/>
  <c r="S94" i="14"/>
  <c r="AC46" i="14"/>
  <c r="AG46" i="14" s="1"/>
  <c r="AC40" i="14"/>
  <c r="AG40" i="14" s="1"/>
  <c r="AC125" i="14"/>
  <c r="AF125" i="14"/>
  <c r="AC131" i="14"/>
  <c r="AG131" i="14" s="1"/>
  <c r="BF31" i="13"/>
  <c r="BK31" i="13"/>
  <c r="AC82" i="14"/>
  <c r="AG82" i="14" s="1"/>
  <c r="AC98" i="14"/>
  <c r="AG98" i="14" s="1"/>
  <c r="AD20" i="9"/>
  <c r="AF20" i="9"/>
  <c r="AC68" i="14"/>
  <c r="AG68" i="14" s="1"/>
  <c r="AC60" i="14"/>
  <c r="AF60" i="14"/>
  <c r="AC156" i="14"/>
  <c r="AG156" i="14" s="1"/>
  <c r="BE95" i="14"/>
  <c r="BB95" i="14"/>
  <c r="AQ95" i="14"/>
  <c r="BJ95" i="14"/>
  <c r="AQ139" i="13"/>
  <c r="BE139" i="13"/>
  <c r="BB139" i="13"/>
  <c r="BJ139" i="13"/>
  <c r="AI220" i="14"/>
  <c r="AJ220" i="14"/>
  <c r="AN220" i="14" s="1"/>
  <c r="AC183" i="14"/>
  <c r="AG183" i="14" s="1"/>
  <c r="D175" i="14"/>
  <c r="AM175" i="9"/>
  <c r="AP175" i="9"/>
  <c r="AH175" i="9"/>
  <c r="F175" i="14" s="1"/>
  <c r="AQ175" i="9"/>
  <c r="AC163" i="14"/>
  <c r="AG163" i="14" s="1"/>
  <c r="AC147" i="14"/>
  <c r="AG147" i="14" s="1"/>
  <c r="AD112" i="9"/>
  <c r="AF112" i="9"/>
  <c r="BF38" i="13"/>
  <c r="BK38" i="13"/>
  <c r="BF211" i="14"/>
  <c r="BK211" i="14"/>
  <c r="AC193" i="14"/>
  <c r="AG193" i="14" s="1"/>
  <c r="AH48" i="9"/>
  <c r="F48" i="14" s="1"/>
  <c r="AP48" i="9"/>
  <c r="D48" i="14"/>
  <c r="AM48" i="9"/>
  <c r="AQ48" i="9"/>
  <c r="BE26" i="13"/>
  <c r="BJ26" i="13"/>
  <c r="BB26" i="13"/>
  <c r="AQ26" i="13"/>
  <c r="AC85" i="14"/>
  <c r="AF85" i="14"/>
  <c r="AI130" i="9"/>
  <c r="G130" i="14" s="1"/>
  <c r="AN130" i="9"/>
  <c r="AA136" i="14"/>
  <c r="AC136" i="14" s="1"/>
  <c r="AG136" i="14" s="1"/>
  <c r="BF33" i="13"/>
  <c r="BK33" i="13"/>
  <c r="AC191" i="14"/>
  <c r="AG191" i="14" s="1"/>
  <c r="AC141" i="14"/>
  <c r="AG141" i="14" s="1"/>
  <c r="AC54" i="14"/>
  <c r="AG54" i="14" s="1"/>
  <c r="AC217" i="14"/>
  <c r="AF217" i="14"/>
  <c r="AC178" i="14"/>
  <c r="AG178" i="14" s="1"/>
  <c r="AC28" i="14"/>
  <c r="AG28" i="14" s="1"/>
  <c r="AQ174" i="13"/>
  <c r="BJ174" i="13"/>
  <c r="BB174" i="13"/>
  <c r="BE174" i="13"/>
  <c r="AC134" i="14"/>
  <c r="AG134" i="14" s="1"/>
  <c r="BK213" i="13"/>
  <c r="BF213" i="13"/>
  <c r="AJ188" i="14"/>
  <c r="AN188" i="14" s="1"/>
  <c r="AI188" i="14"/>
  <c r="AA218" i="14"/>
  <c r="AC218" i="14" s="1"/>
  <c r="AG218" i="14" s="1"/>
  <c r="BM53" i="14"/>
  <c r="BH53" i="14"/>
  <c r="L88" i="14"/>
  <c r="S88" i="14"/>
  <c r="K88" i="14"/>
  <c r="AC152" i="14"/>
  <c r="AG152" i="14" s="1"/>
  <c r="BH113" i="14"/>
  <c r="BM113" i="14"/>
  <c r="BH133" i="14"/>
  <c r="BM133" i="14"/>
  <c r="BJ33" i="13"/>
  <c r="AQ33" i="13"/>
  <c r="BE33" i="13"/>
  <c r="BB33" i="13"/>
  <c r="AJ25" i="14"/>
  <c r="AN25" i="14" s="1"/>
  <c r="AI25" i="14"/>
  <c r="BK13" i="13"/>
  <c r="BF13" i="13"/>
  <c r="AC50" i="14"/>
  <c r="AG50" i="14" s="1"/>
  <c r="AC176" i="14"/>
  <c r="AG176" i="14" s="1"/>
  <c r="BK174" i="13"/>
  <c r="BF174" i="13"/>
  <c r="AC109" i="14"/>
  <c r="AG109" i="14" s="1"/>
  <c r="AC114" i="14"/>
  <c r="AG114" i="14" s="1"/>
  <c r="AG167" i="14"/>
  <c r="AI137" i="14"/>
  <c r="AJ137" i="14"/>
  <c r="AN137" i="14" s="1"/>
  <c r="D62" i="9"/>
  <c r="BH62" i="13"/>
  <c r="BK203" i="14"/>
  <c r="BF203" i="14"/>
  <c r="AJ30" i="13"/>
  <c r="AI30" i="13"/>
  <c r="AG307" i="13"/>
  <c r="AC57" i="14"/>
  <c r="AG57" i="14" s="1"/>
  <c r="BM51" i="14"/>
  <c r="BH51" i="14"/>
  <c r="AF164" i="9"/>
  <c r="AD164" i="9"/>
  <c r="AM122" i="13"/>
  <c r="AK122" i="13"/>
  <c r="AI101" i="13"/>
  <c r="AJ101" i="13"/>
  <c r="AJ209" i="13"/>
  <c r="AI209" i="13"/>
  <c r="BF190" i="14"/>
  <c r="BK190" i="14"/>
  <c r="AJ208" i="14"/>
  <c r="AN208" i="14" s="1"/>
  <c r="AI208" i="14"/>
  <c r="BE92" i="14"/>
  <c r="AQ92" i="14"/>
  <c r="BB92" i="14"/>
  <c r="BJ92" i="14"/>
  <c r="BE205" i="14"/>
  <c r="BJ205" i="14"/>
  <c r="BB205" i="14"/>
  <c r="AQ205" i="14"/>
  <c r="BK161" i="14"/>
  <c r="BF161" i="14"/>
  <c r="AI44" i="9"/>
  <c r="G44" i="14" s="1"/>
  <c r="AN44" i="9"/>
  <c r="BH186" i="14"/>
  <c r="BM186" i="14"/>
  <c r="BK138" i="14"/>
  <c r="BF138" i="14"/>
  <c r="AI105" i="14"/>
  <c r="AM105" i="14" s="1"/>
  <c r="AJ105" i="14"/>
  <c r="AN105" i="14" s="1"/>
  <c r="D66" i="14"/>
  <c r="AP66" i="9"/>
  <c r="AM66" i="9"/>
  <c r="AH66" i="9"/>
  <c r="F66" i="14" s="1"/>
  <c r="AQ66" i="9"/>
  <c r="AC34" i="14"/>
  <c r="AG34" i="14" s="1"/>
  <c r="BB81" i="13"/>
  <c r="AQ81" i="13"/>
  <c r="BE81" i="13"/>
  <c r="BJ81" i="13"/>
  <c r="BF95" i="14"/>
  <c r="BK95" i="14"/>
  <c r="BB13" i="13"/>
  <c r="BJ13" i="13"/>
  <c r="BE13" i="13"/>
  <c r="AQ13" i="13"/>
  <c r="BF24" i="13"/>
  <c r="BK24" i="13"/>
  <c r="BB210" i="13"/>
  <c r="BJ210" i="13"/>
  <c r="AQ210" i="13"/>
  <c r="BE210" i="13"/>
  <c r="AC148" i="14"/>
  <c r="AG148" i="14" s="1"/>
  <c r="BF100" i="13"/>
  <c r="BK100" i="13"/>
  <c r="AM211" i="14"/>
  <c r="AK211" i="14"/>
  <c r="BF143" i="13"/>
  <c r="BK143" i="13"/>
  <c r="AQ142" i="13"/>
  <c r="BE142" i="13"/>
  <c r="BJ142" i="13"/>
  <c r="BB142" i="13"/>
  <c r="AN42" i="9"/>
  <c r="AI42" i="9"/>
  <c r="G42" i="14" s="1"/>
  <c r="AC215" i="14"/>
  <c r="AG215" i="14" s="1"/>
  <c r="AC90" i="14"/>
  <c r="AG90" i="14" s="1"/>
  <c r="AJ91" i="14"/>
  <c r="AN91" i="14" s="1"/>
  <c r="AI91" i="14"/>
  <c r="AM91" i="14" s="1"/>
  <c r="AI132" i="14"/>
  <c r="AM132" i="14" s="1"/>
  <c r="AJ132" i="14"/>
  <c r="AN132" i="14" s="1"/>
  <c r="AQ56" i="13"/>
  <c r="BE56" i="13"/>
  <c r="BB56" i="13"/>
  <c r="BJ56" i="13"/>
  <c r="BF139" i="13"/>
  <c r="BK139" i="13"/>
  <c r="BM19" i="13"/>
  <c r="AC116" i="14"/>
  <c r="AG116" i="14" s="1"/>
  <c r="AJ59" i="14"/>
  <c r="AN59" i="14" s="1"/>
  <c r="AI59" i="14"/>
  <c r="AM59" i="14" s="1"/>
  <c r="AQ14" i="13"/>
  <c r="BJ14" i="13"/>
  <c r="BB14" i="13"/>
  <c r="BE14" i="13"/>
  <c r="AN39" i="9"/>
  <c r="AI39" i="9"/>
  <c r="G39" i="14" s="1"/>
  <c r="BK26" i="13"/>
  <c r="BF26" i="13"/>
  <c r="AC89" i="14"/>
  <c r="AG89" i="14" s="1"/>
  <c r="BE120" i="13"/>
  <c r="AQ120" i="13"/>
  <c r="BJ120" i="13"/>
  <c r="BB120" i="13"/>
  <c r="AC159" i="14"/>
  <c r="AG159" i="14" s="1"/>
  <c r="L192" i="14"/>
  <c r="S192" i="14"/>
  <c r="K192" i="14"/>
  <c r="AC124" i="14"/>
  <c r="AG124" i="14" s="1"/>
  <c r="AC49" i="14"/>
  <c r="AG49" i="14" s="1"/>
  <c r="AA146" i="14"/>
  <c r="AC153" i="14"/>
  <c r="AG153" i="14" s="1"/>
  <c r="AQ32" i="14"/>
  <c r="BE32" i="14"/>
  <c r="BB32" i="14"/>
  <c r="BJ32" i="14"/>
  <c r="AC61" i="14"/>
  <c r="AF61" i="14"/>
  <c r="BJ100" i="13"/>
  <c r="AQ100" i="13"/>
  <c r="BE100" i="13"/>
  <c r="BB100" i="13"/>
  <c r="AQ12" i="13"/>
  <c r="BJ12" i="13"/>
  <c r="BB12" i="13"/>
  <c r="BE12" i="13"/>
  <c r="AC232" i="13"/>
  <c r="AC200" i="14"/>
  <c r="AG200" i="14" s="1"/>
  <c r="BJ17" i="13"/>
  <c r="BB17" i="13"/>
  <c r="AQ17" i="13"/>
  <c r="BE17" i="13"/>
  <c r="BF23" i="13"/>
  <c r="BK23" i="13"/>
  <c r="AM190" i="14"/>
  <c r="AK190" i="14"/>
  <c r="AH198" i="9"/>
  <c r="F198" i="14" s="1"/>
  <c r="D198" i="14"/>
  <c r="AP198" i="9"/>
  <c r="AM198" i="9"/>
  <c r="AQ198" i="9"/>
  <c r="AC123" i="14"/>
  <c r="AG123" i="14" s="1"/>
  <c r="BK92" i="14"/>
  <c r="BF92" i="14"/>
  <c r="AK115" i="14"/>
  <c r="AQ129" i="14"/>
  <c r="BE129" i="14"/>
  <c r="BJ129" i="14"/>
  <c r="BB129" i="14"/>
  <c r="D165" i="14"/>
  <c r="AH165" i="9"/>
  <c r="F165" i="14" s="1"/>
  <c r="AM165" i="9"/>
  <c r="AP165" i="9"/>
  <c r="AQ165" i="9"/>
  <c r="AJ214" i="14"/>
  <c r="AN214" i="14" s="1"/>
  <c r="AI214" i="14"/>
  <c r="BF15" i="13"/>
  <c r="BK15" i="13"/>
  <c r="AC104" i="14"/>
  <c r="AG104" i="14" s="1"/>
  <c r="AC35" i="14"/>
  <c r="AG35" i="14" s="1"/>
  <c r="BJ102" i="13"/>
  <c r="BE102" i="13"/>
  <c r="AQ102" i="13"/>
  <c r="BB102" i="13"/>
  <c r="AF160" i="9"/>
  <c r="AD160" i="9"/>
  <c r="AC149" i="14"/>
  <c r="AG149" i="14" s="1"/>
  <c r="BB78" i="13"/>
  <c r="BE78" i="13"/>
  <c r="AQ78" i="13"/>
  <c r="BJ78" i="13"/>
  <c r="BF172" i="13"/>
  <c r="BK172" i="13"/>
  <c r="AF169" i="14"/>
  <c r="AC169" i="14"/>
  <c r="BB128" i="13"/>
  <c r="AQ128" i="13"/>
  <c r="BJ128" i="13"/>
  <c r="BE128" i="13"/>
  <c r="AJ119" i="14"/>
  <c r="AN119" i="14" s="1"/>
  <c r="AI119" i="14"/>
  <c r="AI94" i="9"/>
  <c r="G94" i="14" s="1"/>
  <c r="AN94" i="9"/>
  <c r="AC179" i="14"/>
  <c r="AG179" i="14" s="1"/>
  <c r="BF56" i="13"/>
  <c r="BK56" i="13"/>
  <c r="AM93" i="14"/>
  <c r="AK93" i="14"/>
  <c r="AI118" i="14"/>
  <c r="AJ118" i="14"/>
  <c r="AN118" i="14" s="1"/>
  <c r="BE18" i="13"/>
  <c r="AQ18" i="13"/>
  <c r="BJ18" i="13"/>
  <c r="BB18" i="13"/>
  <c r="AA166" i="14"/>
  <c r="AC166" i="14" s="1"/>
  <c r="AG166" i="14" s="1"/>
  <c r="L44" i="14"/>
  <c r="S44" i="14"/>
  <c r="K44" i="14"/>
  <c r="AC87" i="14"/>
  <c r="AG87" i="14" s="1"/>
  <c r="AC199" i="14"/>
  <c r="AG199" i="14" s="1"/>
  <c r="AJ63" i="14"/>
  <c r="AN63" i="14" s="1"/>
  <c r="AM138" i="14"/>
  <c r="AK138" i="14"/>
  <c r="BE108" i="13"/>
  <c r="AQ108" i="13"/>
  <c r="BB108" i="13"/>
  <c r="BJ108" i="13"/>
  <c r="BK17" i="13"/>
  <c r="BF17" i="13"/>
  <c r="BF83" i="14"/>
  <c r="BK83" i="14"/>
  <c r="AK216" i="14"/>
  <c r="AN216" i="14"/>
  <c r="BB216" i="14" s="1"/>
  <c r="AC84" i="14"/>
  <c r="AG84" i="14" s="1"/>
  <c r="BF110" i="14"/>
  <c r="BK110" i="14"/>
  <c r="BK120" i="13"/>
  <c r="BF120" i="13"/>
  <c r="AC212" i="14"/>
  <c r="AG212" i="14" s="1"/>
  <c r="AD195" i="9"/>
  <c r="AF195" i="9"/>
  <c r="D29" i="14"/>
  <c r="AM29" i="9"/>
  <c r="AH29" i="9"/>
  <c r="F29" i="14" s="1"/>
  <c r="AP29" i="9"/>
  <c r="AQ29" i="9"/>
  <c r="AC70" i="14"/>
  <c r="AG70" i="14" s="1"/>
  <c r="BF32" i="14"/>
  <c r="BK32" i="14"/>
  <c r="AC79" i="14"/>
  <c r="AG79" i="14" s="1"/>
  <c r="BF55" i="13"/>
  <c r="BK55" i="13"/>
  <c r="AC126" i="14"/>
  <c r="AG126" i="14" s="1"/>
  <c r="D103" i="14"/>
  <c r="AH103" i="9"/>
  <c r="F103" i="14" s="1"/>
  <c r="AP103" i="9"/>
  <c r="AM103" i="9"/>
  <c r="AQ103" i="9"/>
  <c r="K42" i="14"/>
  <c r="S42" i="14"/>
  <c r="L42" i="14"/>
  <c r="AI204" i="14"/>
  <c r="AJ204" i="14"/>
  <c r="AN204" i="14" s="1"/>
  <c r="AP145" i="9"/>
  <c r="AH145" i="9"/>
  <c r="F145" i="14" s="1"/>
  <c r="AM145" i="9"/>
  <c r="D145" i="14"/>
  <c r="AQ145" i="9"/>
  <c r="AC77" i="14"/>
  <c r="AG77" i="14" s="1"/>
  <c r="AH151" i="9"/>
  <c r="F151" i="14" s="1"/>
  <c r="AP151" i="9"/>
  <c r="D151" i="14"/>
  <c r="AM151" i="9"/>
  <c r="AQ151" i="9"/>
  <c r="BM185" i="14"/>
  <c r="BH185" i="14"/>
  <c r="S130" i="14"/>
  <c r="L130" i="14"/>
  <c r="K130" i="14"/>
  <c r="BK102" i="13"/>
  <c r="BF102" i="13"/>
  <c r="D36" i="14"/>
  <c r="AP36" i="9"/>
  <c r="AM36" i="9"/>
  <c r="AH36" i="9"/>
  <c r="F36" i="14" s="1"/>
  <c r="AQ36" i="9"/>
  <c r="BE144" i="13"/>
  <c r="AQ144" i="13"/>
  <c r="BJ144" i="13"/>
  <c r="BB144" i="13"/>
  <c r="J19" i="9"/>
  <c r="W19" i="9" s="1"/>
  <c r="K19" i="9"/>
  <c r="O162" i="9"/>
  <c r="S162" i="9"/>
  <c r="V162" i="9"/>
  <c r="Z162" i="9"/>
  <c r="AC162" i="9" s="1"/>
  <c r="BF78" i="13"/>
  <c r="BK78" i="13"/>
  <c r="P16" i="9"/>
  <c r="BB172" i="13"/>
  <c r="BE172" i="13"/>
  <c r="BJ172" i="13"/>
  <c r="AQ172" i="13"/>
  <c r="BF12" i="13"/>
  <c r="BK12" i="13"/>
  <c r="BB38" i="13"/>
  <c r="BE38" i="13"/>
  <c r="AQ38" i="13"/>
  <c r="BJ38" i="13"/>
  <c r="BE27" i="13"/>
  <c r="BB27" i="13"/>
  <c r="BJ27" i="13"/>
  <c r="AQ27" i="13"/>
  <c r="BB65" i="13"/>
  <c r="BE65" i="13"/>
  <c r="BJ65" i="13"/>
  <c r="AQ65" i="13"/>
  <c r="AC177" i="14"/>
  <c r="AG177" i="14" s="1"/>
  <c r="BF22" i="13"/>
  <c r="BK22" i="13"/>
  <c r="AI88" i="9"/>
  <c r="G88" i="14" s="1"/>
  <c r="AN88" i="9"/>
  <c r="AC184" i="14"/>
  <c r="AF184" i="14"/>
  <c r="AC106" i="14"/>
  <c r="AF106" i="14"/>
  <c r="AN192" i="9"/>
  <c r="AI192" i="9"/>
  <c r="G192" i="14" s="1"/>
  <c r="AC64" i="14"/>
  <c r="AG64" i="14" s="1"/>
  <c r="AC155" i="14"/>
  <c r="AG155" i="14" s="1"/>
  <c r="AH71" i="9"/>
  <c r="F71" i="14" s="1"/>
  <c r="D71" i="14"/>
  <c r="AM71" i="9"/>
  <c r="AP71" i="9"/>
  <c r="AQ71" i="9"/>
  <c r="BK14" i="13"/>
  <c r="BF14" i="13"/>
  <c r="AA21" i="9"/>
  <c r="AB21" i="9" s="1"/>
  <c r="AA99" i="14"/>
  <c r="AC99" i="14" s="1"/>
  <c r="AG99" i="14" s="1"/>
  <c r="AC168" i="14"/>
  <c r="AG168" i="14" s="1"/>
  <c r="AA62" i="9"/>
  <c r="AB62" i="9" s="1"/>
  <c r="AC290" i="13"/>
  <c r="BK115" i="14"/>
  <c r="BF115" i="14"/>
  <c r="AJ196" i="14"/>
  <c r="AN196" i="14" s="1"/>
  <c r="AI196" i="14"/>
  <c r="AM72" i="14"/>
  <c r="AK72" i="14"/>
  <c r="BE22" i="13"/>
  <c r="BJ22" i="13"/>
  <c r="AQ22" i="13"/>
  <c r="BB22" i="13"/>
  <c r="AN80" i="13"/>
  <c r="AC154" i="14"/>
  <c r="AG154" i="14" s="1"/>
  <c r="AK110" i="14"/>
  <c r="BK93" i="14"/>
  <c r="BF93" i="14"/>
  <c r="AC189" i="14"/>
  <c r="AG189" i="14" s="1"/>
  <c r="AC37" i="14"/>
  <c r="AF37" i="14"/>
  <c r="BB24" i="13"/>
  <c r="BJ24" i="13"/>
  <c r="AQ24" i="13"/>
  <c r="BE24" i="13"/>
  <c r="BK144" i="13"/>
  <c r="BF144" i="13"/>
  <c r="BF171" i="13"/>
  <c r="BK171" i="13"/>
  <c r="BB143" i="13"/>
  <c r="AQ143" i="13"/>
  <c r="BE143" i="13"/>
  <c r="BJ143" i="13"/>
  <c r="AC180" i="14"/>
  <c r="AG180" i="14" s="1"/>
  <c r="AM83" i="14"/>
  <c r="AK83" i="14"/>
  <c r="BE216" i="14"/>
  <c r="BJ216" i="14"/>
  <c r="BE110" i="14"/>
  <c r="BB110" i="14"/>
  <c r="BJ110" i="14"/>
  <c r="AQ110" i="14"/>
  <c r="AC187" i="14"/>
  <c r="AF187" i="14"/>
  <c r="AQ58" i="14"/>
  <c r="BK58" i="14"/>
  <c r="BF58" i="14"/>
  <c r="AC117" i="14"/>
  <c r="AG117" i="14" s="1"/>
  <c r="AC97" i="14"/>
  <c r="AG97" i="14" s="1"/>
  <c r="AQ15" i="13"/>
  <c r="BE15" i="13"/>
  <c r="BJ15" i="13"/>
  <c r="BB15" i="13"/>
  <c r="AC111" i="14"/>
  <c r="AG111" i="14" s="1"/>
  <c r="AF146" i="9"/>
  <c r="AD146" i="9"/>
  <c r="AC201" i="14"/>
  <c r="AG201" i="14" s="1"/>
  <c r="BK18" i="13"/>
  <c r="BF18" i="13"/>
  <c r="BE31" i="13"/>
  <c r="BJ31" i="13"/>
  <c r="AQ31" i="13"/>
  <c r="BB31" i="13"/>
  <c r="AC181" i="14"/>
  <c r="AG181" i="14" s="1"/>
  <c r="AJ219" i="14"/>
  <c r="AN219" i="14" s="1"/>
  <c r="AI219" i="14"/>
  <c r="AJ45" i="14"/>
  <c r="AN45" i="14" s="1"/>
  <c r="AI45" i="14"/>
  <c r="D157" i="14"/>
  <c r="AP157" i="9"/>
  <c r="AH157" i="9"/>
  <c r="F157" i="14" s="1"/>
  <c r="AM157" i="9"/>
  <c r="AQ157" i="9"/>
  <c r="AI127" i="14"/>
  <c r="AM127" i="14" s="1"/>
  <c r="AJ127" i="14"/>
  <c r="AN127" i="14" s="1"/>
  <c r="BF65" i="13"/>
  <c r="BK65" i="13"/>
  <c r="AC197" i="14"/>
  <c r="AG197" i="14" s="1"/>
  <c r="AC150" i="14"/>
  <c r="AG150" i="14" s="1"/>
  <c r="AD43" i="9"/>
  <c r="AF43" i="9"/>
  <c r="AC135" i="14"/>
  <c r="AG135" i="14" s="1"/>
  <c r="AC140" i="14"/>
  <c r="AG140" i="14" s="1"/>
  <c r="AC73" i="14"/>
  <c r="AG73" i="14" s="1"/>
  <c r="AA162" i="14"/>
  <c r="BF210" i="13"/>
  <c r="BK210" i="13"/>
  <c r="AC52" i="14"/>
  <c r="AF52" i="14"/>
  <c r="S39" i="14"/>
  <c r="L39" i="14"/>
  <c r="K39" i="14"/>
  <c r="BE55" i="13"/>
  <c r="BJ55" i="13"/>
  <c r="AQ55" i="13"/>
  <c r="BB55" i="13"/>
  <c r="AQ182" i="13"/>
  <c r="BE182" i="13"/>
  <c r="BB182" i="13"/>
  <c r="BJ182" i="13"/>
  <c r="AC170" i="14"/>
  <c r="AG170" i="14" s="1"/>
  <c r="AC202" i="14"/>
  <c r="AG202" i="14" s="1"/>
  <c r="BF108" i="13"/>
  <c r="BK108" i="13"/>
  <c r="BE23" i="13"/>
  <c r="BB23" i="13"/>
  <c r="AQ23" i="13"/>
  <c r="BJ23" i="13"/>
  <c r="AC67" i="14"/>
  <c r="AF67" i="14"/>
  <c r="AI107" i="14"/>
  <c r="AM107" i="14" s="1"/>
  <c r="AJ107" i="14"/>
  <c r="AN107" i="14" s="1"/>
  <c r="AJ76" i="14"/>
  <c r="AN76" i="14" s="1"/>
  <c r="BF128" i="13"/>
  <c r="BK128" i="13"/>
  <c r="AC207" i="14"/>
  <c r="AG207" i="14" s="1"/>
  <c r="AA160" i="14"/>
  <c r="D21" i="9"/>
  <c r="BH21" i="13"/>
  <c r="BE171" i="13"/>
  <c r="BB171" i="13"/>
  <c r="BJ171" i="13"/>
  <c r="AQ171" i="13"/>
  <c r="AQ213" i="13"/>
  <c r="BE213" i="13"/>
  <c r="BJ213" i="13"/>
  <c r="BB213" i="13"/>
  <c r="AM203" i="14"/>
  <c r="AK203" i="14"/>
  <c r="BE115" i="14"/>
  <c r="BJ115" i="14"/>
  <c r="BB115" i="14"/>
  <c r="AQ115" i="14"/>
  <c r="BF142" i="13"/>
  <c r="BK142" i="13"/>
  <c r="AC173" i="14"/>
  <c r="AG173" i="14" s="1"/>
  <c r="BK72" i="14"/>
  <c r="AN122" i="13"/>
  <c r="AC276" i="13"/>
  <c r="AC47" i="14"/>
  <c r="AG47" i="14" s="1"/>
  <c r="AM80" i="13"/>
  <c r="AK80" i="13"/>
  <c r="AK95" i="14"/>
  <c r="BK205" i="14"/>
  <c r="BF205" i="14"/>
  <c r="AM161" i="14"/>
  <c r="AK161" i="14"/>
  <c r="AJ96" i="14" l="1"/>
  <c r="AN96" i="14" s="1"/>
  <c r="BF96" i="14" s="1"/>
  <c r="AQ216" i="14"/>
  <c r="BH216" i="14" s="1"/>
  <c r="AJ75" i="14"/>
  <c r="AN75" i="14" s="1"/>
  <c r="BF75" i="14" s="1"/>
  <c r="AJ69" i="14"/>
  <c r="AN69" i="14" s="1"/>
  <c r="BF69" i="14" s="1"/>
  <c r="AI74" i="14"/>
  <c r="AM74" i="14" s="1"/>
  <c r="AQ74" i="14" s="1"/>
  <c r="AK194" i="14"/>
  <c r="AG217" i="14"/>
  <c r="AJ217" i="14" s="1"/>
  <c r="AN217" i="14" s="1"/>
  <c r="AG187" i="14"/>
  <c r="AI187" i="14" s="1"/>
  <c r="AM187" i="14" s="1"/>
  <c r="AG325" i="13"/>
  <c r="AG60" i="14"/>
  <c r="AI60" i="14" s="1"/>
  <c r="AK59" i="14"/>
  <c r="AG276" i="13"/>
  <c r="AI166" i="14"/>
  <c r="AJ166" i="14"/>
  <c r="AN166" i="14" s="1"/>
  <c r="BJ296" i="13"/>
  <c r="BE296" i="13"/>
  <c r="AJ99" i="14"/>
  <c r="AN99" i="14" s="1"/>
  <c r="AI99" i="14"/>
  <c r="BK96" i="14"/>
  <c r="BF318" i="13"/>
  <c r="BK74" i="14"/>
  <c r="BF74" i="14"/>
  <c r="AJ47" i="14"/>
  <c r="AN47" i="14" s="1"/>
  <c r="AI47" i="14"/>
  <c r="BK302" i="13"/>
  <c r="BF302" i="13"/>
  <c r="BE74" i="14"/>
  <c r="BJ74" i="14"/>
  <c r="AA23" i="9"/>
  <c r="AB23" i="9" s="1"/>
  <c r="AJ170" i="14"/>
  <c r="AN170" i="14" s="1"/>
  <c r="AI170" i="14"/>
  <c r="S157" i="14"/>
  <c r="K157" i="14"/>
  <c r="L157" i="14"/>
  <c r="BM216" i="14"/>
  <c r="BE83" i="14"/>
  <c r="BJ83" i="14"/>
  <c r="BB83" i="14"/>
  <c r="AQ83" i="14"/>
  <c r="BB239" i="13"/>
  <c r="BE239" i="13"/>
  <c r="BJ239" i="13"/>
  <c r="AJ189" i="14"/>
  <c r="AN189" i="14" s="1"/>
  <c r="AI189" i="14"/>
  <c r="BF272" i="13"/>
  <c r="AJ64" i="14"/>
  <c r="AN64" i="14" s="1"/>
  <c r="AI64" i="14"/>
  <c r="BB280" i="13"/>
  <c r="BE280" i="13"/>
  <c r="K36" i="14"/>
  <c r="L36" i="14"/>
  <c r="S36" i="14"/>
  <c r="K103" i="14"/>
  <c r="S103" i="14"/>
  <c r="L103" i="14"/>
  <c r="D108" i="9"/>
  <c r="BH108" i="13"/>
  <c r="D18" i="9"/>
  <c r="BH18" i="13"/>
  <c r="BB294" i="13"/>
  <c r="BJ294" i="13"/>
  <c r="BE294" i="13"/>
  <c r="AI89" i="14"/>
  <c r="AJ89" i="14"/>
  <c r="AN89" i="14" s="1"/>
  <c r="BK132" i="14"/>
  <c r="BF132" i="14"/>
  <c r="BE91" i="14"/>
  <c r="AQ91" i="14"/>
  <c r="BJ91" i="14"/>
  <c r="BB91" i="14"/>
  <c r="D210" i="9"/>
  <c r="BH210" i="13"/>
  <c r="AM208" i="14"/>
  <c r="AK208" i="14"/>
  <c r="AM101" i="13"/>
  <c r="AK101" i="13"/>
  <c r="AM25" i="14"/>
  <c r="AK25" i="14"/>
  <c r="BE203" i="14"/>
  <c r="BB203" i="14"/>
  <c r="AQ203" i="14"/>
  <c r="BJ203" i="14"/>
  <c r="BE260" i="13"/>
  <c r="BB260" i="13"/>
  <c r="BJ260" i="13"/>
  <c r="BJ254" i="13"/>
  <c r="BE254" i="13"/>
  <c r="BB254" i="13"/>
  <c r="BE320" i="13"/>
  <c r="BB320" i="13"/>
  <c r="BM21" i="13"/>
  <c r="AI207" i="14"/>
  <c r="AJ207" i="14"/>
  <c r="AN207" i="14" s="1"/>
  <c r="AQ76" i="14"/>
  <c r="BB76" i="14"/>
  <c r="BE76" i="14"/>
  <c r="BJ76" i="14"/>
  <c r="BE107" i="14"/>
  <c r="BJ107" i="14"/>
  <c r="BB107" i="14"/>
  <c r="AQ107" i="14"/>
  <c r="AA182" i="9"/>
  <c r="AB182" i="9" s="1"/>
  <c r="BB322" i="13"/>
  <c r="BJ322" i="13"/>
  <c r="BE322" i="13"/>
  <c r="BJ242" i="13"/>
  <c r="BB242" i="13"/>
  <c r="BE242" i="13"/>
  <c r="BE314" i="13"/>
  <c r="BB314" i="13"/>
  <c r="AC39" i="14"/>
  <c r="AG39" i="14" s="1"/>
  <c r="BF259" i="13"/>
  <c r="BK259" i="13"/>
  <c r="AJ73" i="14"/>
  <c r="AN73" i="14" s="1"/>
  <c r="AI73" i="14"/>
  <c r="AJ135" i="14"/>
  <c r="AN135" i="14" s="1"/>
  <c r="AI135" i="14"/>
  <c r="AJ150" i="14"/>
  <c r="AN150" i="14" s="1"/>
  <c r="AI150" i="14"/>
  <c r="AM219" i="14"/>
  <c r="AK219" i="14"/>
  <c r="AA31" i="9"/>
  <c r="AB31" i="9" s="1"/>
  <c r="BB288" i="13"/>
  <c r="BE288" i="13"/>
  <c r="BF269" i="13"/>
  <c r="AA15" i="9"/>
  <c r="AB15" i="9" s="1"/>
  <c r="D15" i="9"/>
  <c r="BH15" i="13"/>
  <c r="AI97" i="14"/>
  <c r="AJ97" i="14"/>
  <c r="AN97" i="14" s="1"/>
  <c r="D143" i="9"/>
  <c r="BH143" i="13"/>
  <c r="BF305" i="13"/>
  <c r="BK305" i="13"/>
  <c r="AA22" i="9"/>
  <c r="AB22" i="9" s="1"/>
  <c r="AQ72" i="14"/>
  <c r="BB72" i="14"/>
  <c r="BE72" i="14"/>
  <c r="BJ72" i="14"/>
  <c r="AM69" i="14"/>
  <c r="BF295" i="13"/>
  <c r="BK295" i="13"/>
  <c r="BK237" i="13"/>
  <c r="BF237" i="13"/>
  <c r="AN71" i="9"/>
  <c r="AI71" i="9"/>
  <c r="G71" i="14" s="1"/>
  <c r="BF281" i="13"/>
  <c r="D65" i="9"/>
  <c r="BH65" i="13"/>
  <c r="D38" i="9"/>
  <c r="BH38" i="13"/>
  <c r="AA38" i="9"/>
  <c r="AB38" i="9" s="1"/>
  <c r="BF236" i="13"/>
  <c r="BK236" i="13"/>
  <c r="D172" i="9"/>
  <c r="BH172" i="13"/>
  <c r="BF245" i="13"/>
  <c r="BK245" i="13"/>
  <c r="AM96" i="14"/>
  <c r="AK96" i="14"/>
  <c r="AA144" i="9"/>
  <c r="AB144" i="9" s="1"/>
  <c r="AM204" i="14"/>
  <c r="AK204" i="14"/>
  <c r="AJ79" i="14"/>
  <c r="AN79" i="14" s="1"/>
  <c r="AI79" i="14"/>
  <c r="AP195" i="9"/>
  <c r="D195" i="14"/>
  <c r="AM195" i="9"/>
  <c r="AH195" i="9"/>
  <c r="F195" i="14" s="1"/>
  <c r="AQ195" i="9"/>
  <c r="BK216" i="14"/>
  <c r="BF216" i="14"/>
  <c r="BF270" i="13"/>
  <c r="BE300" i="13"/>
  <c r="BB300" i="13"/>
  <c r="BJ300" i="13"/>
  <c r="BF118" i="14"/>
  <c r="BK118" i="14"/>
  <c r="AG169" i="14"/>
  <c r="BB315" i="13"/>
  <c r="BE315" i="13"/>
  <c r="AA78" i="9"/>
  <c r="AB78" i="9" s="1"/>
  <c r="AA102" i="9"/>
  <c r="AB102" i="9" s="1"/>
  <c r="BJ250" i="13"/>
  <c r="BB250" i="13"/>
  <c r="BE250" i="13"/>
  <c r="AI35" i="14"/>
  <c r="AJ35" i="14"/>
  <c r="AN35" i="14" s="1"/>
  <c r="BF283" i="13"/>
  <c r="L165" i="14"/>
  <c r="K165" i="14"/>
  <c r="S165" i="14"/>
  <c r="D17" i="9"/>
  <c r="BH17" i="13"/>
  <c r="BE311" i="13"/>
  <c r="BB311" i="13"/>
  <c r="AA100" i="9"/>
  <c r="AB100" i="9" s="1"/>
  <c r="BE318" i="13"/>
  <c r="BB318" i="13"/>
  <c r="D120" i="9"/>
  <c r="BH120" i="13"/>
  <c r="D14" i="9"/>
  <c r="BH14" i="13"/>
  <c r="BK253" i="13"/>
  <c r="BF253" i="13"/>
  <c r="AA56" i="9"/>
  <c r="AB56" i="9" s="1"/>
  <c r="AJ90" i="14"/>
  <c r="AN90" i="14" s="1"/>
  <c r="AI90" i="14"/>
  <c r="BB211" i="14"/>
  <c r="BJ211" i="14"/>
  <c r="AQ211" i="14"/>
  <c r="BE211" i="14"/>
  <c r="AI148" i="14"/>
  <c r="AJ148" i="14"/>
  <c r="AN148" i="14" s="1"/>
  <c r="BB259" i="13"/>
  <c r="BJ259" i="13"/>
  <c r="BE259" i="13"/>
  <c r="BF239" i="13"/>
  <c r="BK239" i="13"/>
  <c r="BJ247" i="13"/>
  <c r="BB247" i="13"/>
  <c r="BE247" i="13"/>
  <c r="K66" i="14"/>
  <c r="S66" i="14"/>
  <c r="L66" i="14"/>
  <c r="BJ105" i="14"/>
  <c r="BE105" i="14"/>
  <c r="BB105" i="14"/>
  <c r="AQ105" i="14"/>
  <c r="AN209" i="13"/>
  <c r="AN101" i="13"/>
  <c r="AM164" i="9"/>
  <c r="D164" i="14"/>
  <c r="AH164" i="9"/>
  <c r="F164" i="14" s="1"/>
  <c r="AP164" i="9"/>
  <c r="AQ164" i="9"/>
  <c r="AG262" i="13"/>
  <c r="BK137" i="14"/>
  <c r="BF137" i="14"/>
  <c r="AI114" i="14"/>
  <c r="AJ114" i="14"/>
  <c r="AN114" i="14" s="1"/>
  <c r="AJ152" i="14"/>
  <c r="AN152" i="14" s="1"/>
  <c r="AI152" i="14"/>
  <c r="AM188" i="14"/>
  <c r="AK188" i="14"/>
  <c r="BJ256" i="13"/>
  <c r="BB256" i="13"/>
  <c r="BE256" i="13"/>
  <c r="AI54" i="14"/>
  <c r="AJ54" i="14"/>
  <c r="AN54" i="14" s="1"/>
  <c r="AJ193" i="14"/>
  <c r="AN193" i="14" s="1"/>
  <c r="AI193" i="14"/>
  <c r="BF220" i="14"/>
  <c r="BK220" i="14"/>
  <c r="BJ253" i="13"/>
  <c r="BB253" i="13"/>
  <c r="BE253" i="13"/>
  <c r="AA139" i="9"/>
  <c r="AB139" i="9" s="1"/>
  <c r="AJ40" i="14"/>
  <c r="AN40" i="14" s="1"/>
  <c r="AI40" i="14"/>
  <c r="BK247" i="13"/>
  <c r="BF247" i="13"/>
  <c r="AM158" i="14"/>
  <c r="AK158" i="14"/>
  <c r="AK132" i="14"/>
  <c r="BK206" i="14"/>
  <c r="BF206" i="14"/>
  <c r="BB194" i="14"/>
  <c r="BF194" i="14"/>
  <c r="BK194" i="14"/>
  <c r="AK76" i="14"/>
  <c r="AG52" i="14"/>
  <c r="BF219" i="14"/>
  <c r="BK219" i="14"/>
  <c r="AI201" i="14"/>
  <c r="AJ201" i="14"/>
  <c r="AN201" i="14" s="1"/>
  <c r="S145" i="14"/>
  <c r="L145" i="14"/>
  <c r="K145" i="14"/>
  <c r="AM118" i="14"/>
  <c r="AK118" i="14"/>
  <c r="AM119" i="14"/>
  <c r="AK119" i="14"/>
  <c r="D128" i="9"/>
  <c r="BH128" i="13"/>
  <c r="D160" i="14"/>
  <c r="AH160" i="9"/>
  <c r="F160" i="14" s="1"/>
  <c r="AM160" i="9"/>
  <c r="AP160" i="9"/>
  <c r="AQ160" i="9"/>
  <c r="BE237" i="13"/>
  <c r="BJ237" i="13"/>
  <c r="BB237" i="13"/>
  <c r="AA14" i="9"/>
  <c r="AB14" i="9" s="1"/>
  <c r="AJ116" i="14"/>
  <c r="AN116" i="14" s="1"/>
  <c r="AI116" i="14"/>
  <c r="BF304" i="13"/>
  <c r="BK304" i="13"/>
  <c r="BK256" i="13"/>
  <c r="BF256" i="13"/>
  <c r="AI28" i="14"/>
  <c r="AJ28" i="14"/>
  <c r="AN28" i="14" s="1"/>
  <c r="BK122" i="13"/>
  <c r="BF122" i="13"/>
  <c r="K21" i="9"/>
  <c r="J21" i="9"/>
  <c r="W21" i="9" s="1"/>
  <c r="BF254" i="13"/>
  <c r="BK254" i="13"/>
  <c r="BE312" i="13"/>
  <c r="BB312" i="13"/>
  <c r="BE268" i="13"/>
  <c r="BB268" i="13"/>
  <c r="BJ255" i="13"/>
  <c r="BB255" i="13"/>
  <c r="BE255" i="13"/>
  <c r="AD162" i="9"/>
  <c r="AF162" i="9"/>
  <c r="BF314" i="13"/>
  <c r="BB138" i="14"/>
  <c r="BJ138" i="14"/>
  <c r="BE138" i="14"/>
  <c r="AQ138" i="14"/>
  <c r="BE302" i="13"/>
  <c r="BJ302" i="13"/>
  <c r="BB302" i="13"/>
  <c r="AI165" i="9"/>
  <c r="G165" i="14" s="1"/>
  <c r="AN165" i="9"/>
  <c r="BM129" i="14"/>
  <c r="BH129" i="14"/>
  <c r="D12" i="9"/>
  <c r="BH12" i="13"/>
  <c r="BM32" i="14"/>
  <c r="BH32" i="14"/>
  <c r="AI124" i="14"/>
  <c r="AJ124" i="14"/>
  <c r="AN124" i="14" s="1"/>
  <c r="BF319" i="13"/>
  <c r="BK319" i="13"/>
  <c r="BE273" i="13"/>
  <c r="BB273" i="13"/>
  <c r="AG232" i="13"/>
  <c r="K62" i="9"/>
  <c r="J62" i="9"/>
  <c r="W62" i="9" s="1"/>
  <c r="AM137" i="14"/>
  <c r="AK137" i="14"/>
  <c r="BF260" i="13"/>
  <c r="BK260" i="13"/>
  <c r="D26" i="9"/>
  <c r="BH26" i="13"/>
  <c r="AI48" i="9"/>
  <c r="G48" i="14" s="1"/>
  <c r="AN48" i="9"/>
  <c r="AI147" i="14"/>
  <c r="AJ147" i="14"/>
  <c r="AN147" i="14" s="1"/>
  <c r="S175" i="14"/>
  <c r="L175" i="14"/>
  <c r="K175" i="14"/>
  <c r="AM220" i="14"/>
  <c r="AK220" i="14"/>
  <c r="BE319" i="13"/>
  <c r="BJ319" i="13"/>
  <c r="BB319" i="13"/>
  <c r="AI156" i="14"/>
  <c r="AJ156" i="14"/>
  <c r="AN156" i="14" s="1"/>
  <c r="BK63" i="14"/>
  <c r="BF63" i="14"/>
  <c r="AJ82" i="14"/>
  <c r="AN82" i="14" s="1"/>
  <c r="AI82" i="14"/>
  <c r="AJ131" i="14"/>
  <c r="AN131" i="14" s="1"/>
  <c r="AI131" i="14"/>
  <c r="BF268" i="13"/>
  <c r="AN41" i="13"/>
  <c r="BF121" i="14"/>
  <c r="BK121" i="14"/>
  <c r="AM206" i="14"/>
  <c r="AK206" i="14"/>
  <c r="AK75" i="14"/>
  <c r="AI173" i="14"/>
  <c r="AJ173" i="14"/>
  <c r="AN173" i="14" s="1"/>
  <c r="BM115" i="14"/>
  <c r="BH115" i="14"/>
  <c r="D171" i="9"/>
  <c r="BH171" i="13"/>
  <c r="AA171" i="9"/>
  <c r="AB171" i="9" s="1"/>
  <c r="BE299" i="13"/>
  <c r="BJ299" i="13"/>
  <c r="BB299" i="13"/>
  <c r="BE257" i="13"/>
  <c r="BB257" i="13"/>
  <c r="AA55" i="9"/>
  <c r="AB55" i="9" s="1"/>
  <c r="AI140" i="14"/>
  <c r="AJ140" i="14"/>
  <c r="AN140" i="14" s="1"/>
  <c r="AJ197" i="14"/>
  <c r="AN197" i="14" s="1"/>
  <c r="AI197" i="14"/>
  <c r="BK127" i="14"/>
  <c r="BF127" i="14"/>
  <c r="AM45" i="14"/>
  <c r="AK45" i="14"/>
  <c r="D31" i="9"/>
  <c r="BH31" i="13"/>
  <c r="AJ117" i="14"/>
  <c r="AN117" i="14" s="1"/>
  <c r="AI117" i="14"/>
  <c r="BH58" i="14"/>
  <c r="BM58" i="14"/>
  <c r="BM110" i="14"/>
  <c r="BH110" i="14"/>
  <c r="BK75" i="14"/>
  <c r="BE304" i="13"/>
  <c r="BJ304" i="13"/>
  <c r="BB304" i="13"/>
  <c r="BF320" i="13"/>
  <c r="BK80" i="13"/>
  <c r="BF80" i="13"/>
  <c r="D22" i="9"/>
  <c r="BH22" i="13"/>
  <c r="BJ238" i="13"/>
  <c r="BB238" i="13"/>
  <c r="BE238" i="13"/>
  <c r="AM196" i="14"/>
  <c r="AK196" i="14"/>
  <c r="AG106" i="14"/>
  <c r="BK238" i="13"/>
  <c r="BF238" i="13"/>
  <c r="BF298" i="13"/>
  <c r="BK298" i="13"/>
  <c r="AJ177" i="14"/>
  <c r="AN177" i="14" s="1"/>
  <c r="AI177" i="14"/>
  <c r="AA27" i="9"/>
  <c r="AB27" i="9" s="1"/>
  <c r="BF311" i="13"/>
  <c r="BF271" i="13"/>
  <c r="P19" i="9"/>
  <c r="D144" i="9"/>
  <c r="BH144" i="13"/>
  <c r="BE305" i="13"/>
  <c r="BB305" i="13"/>
  <c r="BJ305" i="13"/>
  <c r="AI36" i="9"/>
  <c r="G36" i="14" s="1"/>
  <c r="AN36" i="9"/>
  <c r="BF250" i="13"/>
  <c r="BK250" i="13"/>
  <c r="L151" i="14"/>
  <c r="S151" i="14"/>
  <c r="K151" i="14"/>
  <c r="AC42" i="14"/>
  <c r="AF42" i="14"/>
  <c r="S29" i="14"/>
  <c r="L29" i="14"/>
  <c r="K29" i="14"/>
  <c r="AC44" i="14"/>
  <c r="AF44" i="14"/>
  <c r="AA18" i="9"/>
  <c r="AB18" i="9" s="1"/>
  <c r="BF243" i="13"/>
  <c r="BK243" i="13"/>
  <c r="AJ179" i="14"/>
  <c r="AN179" i="14" s="1"/>
  <c r="AI179" i="14"/>
  <c r="BF119" i="14"/>
  <c r="BK119" i="14"/>
  <c r="AA128" i="9"/>
  <c r="AB128" i="9" s="1"/>
  <c r="BE245" i="13"/>
  <c r="BJ245" i="13"/>
  <c r="BB245" i="13"/>
  <c r="D102" i="9"/>
  <c r="BH102" i="13"/>
  <c r="AI104" i="14"/>
  <c r="AJ104" i="14"/>
  <c r="AN104" i="14" s="1"/>
  <c r="AM214" i="14"/>
  <c r="AK214" i="14"/>
  <c r="AJ123" i="14"/>
  <c r="AN123" i="14" s="1"/>
  <c r="AI123" i="14"/>
  <c r="S198" i="14"/>
  <c r="L198" i="14"/>
  <c r="K198" i="14"/>
  <c r="BE190" i="14"/>
  <c r="BJ190" i="14"/>
  <c r="BB190" i="14"/>
  <c r="AQ190" i="14"/>
  <c r="BF299" i="13"/>
  <c r="BK299" i="13"/>
  <c r="BE271" i="13"/>
  <c r="BB271" i="13"/>
  <c r="AA12" i="9"/>
  <c r="AB12" i="9" s="1"/>
  <c r="D100" i="9"/>
  <c r="BH100" i="13"/>
  <c r="AI159" i="14"/>
  <c r="AJ159" i="14"/>
  <c r="AN159" i="14" s="1"/>
  <c r="BF279" i="13"/>
  <c r="BB272" i="13"/>
  <c r="BE272" i="13"/>
  <c r="BJ59" i="14"/>
  <c r="BE59" i="14"/>
  <c r="AQ59" i="14"/>
  <c r="BB59" i="14"/>
  <c r="BB132" i="14"/>
  <c r="AQ132" i="14"/>
  <c r="BJ132" i="14"/>
  <c r="BE132" i="14"/>
  <c r="BF91" i="14"/>
  <c r="BK91" i="14"/>
  <c r="AJ215" i="14"/>
  <c r="AN215" i="14" s="1"/>
  <c r="AI215" i="14"/>
  <c r="D81" i="9"/>
  <c r="BH81" i="13"/>
  <c r="AJ34" i="14"/>
  <c r="AN34" i="14" s="1"/>
  <c r="AI34" i="14"/>
  <c r="BF208" i="14"/>
  <c r="BK208" i="14"/>
  <c r="AM209" i="13"/>
  <c r="AK209" i="13"/>
  <c r="BB122" i="13"/>
  <c r="BJ122" i="13"/>
  <c r="AQ122" i="13"/>
  <c r="BE122" i="13"/>
  <c r="AI57" i="14"/>
  <c r="AJ57" i="14"/>
  <c r="AN57" i="14" s="1"/>
  <c r="AM30" i="13"/>
  <c r="AK30" i="13"/>
  <c r="AI307" i="13"/>
  <c r="AN30" i="13"/>
  <c r="AJ262" i="13"/>
  <c r="AJ325" i="13"/>
  <c r="AJ307" i="13"/>
  <c r="AJ232" i="13"/>
  <c r="BM62" i="13"/>
  <c r="AJ167" i="14"/>
  <c r="AN167" i="14" s="1"/>
  <c r="AI167" i="14"/>
  <c r="AI109" i="14"/>
  <c r="AJ109" i="14"/>
  <c r="AN109" i="14" s="1"/>
  <c r="BK25" i="14"/>
  <c r="BF25" i="14"/>
  <c r="D33" i="9"/>
  <c r="BH33" i="13"/>
  <c r="AA174" i="9"/>
  <c r="AB174" i="9" s="1"/>
  <c r="D174" i="9"/>
  <c r="BH174" i="13"/>
  <c r="AJ141" i="14"/>
  <c r="AN141" i="14" s="1"/>
  <c r="AI141" i="14"/>
  <c r="BF241" i="13"/>
  <c r="BK241" i="13"/>
  <c r="BB279" i="13"/>
  <c r="BE279" i="13"/>
  <c r="BF280" i="13"/>
  <c r="AM112" i="9"/>
  <c r="AH112" i="9"/>
  <c r="F112" i="14" s="1"/>
  <c r="D112" i="14"/>
  <c r="AP112" i="9"/>
  <c r="AQ112" i="9"/>
  <c r="AN175" i="9"/>
  <c r="AI175" i="9"/>
  <c r="G175" i="14" s="1"/>
  <c r="D139" i="9"/>
  <c r="BH139" i="13"/>
  <c r="AJ68" i="14"/>
  <c r="AN68" i="14" s="1"/>
  <c r="AI68" i="14"/>
  <c r="BF288" i="13"/>
  <c r="AG125" i="14"/>
  <c r="AJ46" i="14"/>
  <c r="AN46" i="14" s="1"/>
  <c r="AI46" i="14"/>
  <c r="BF322" i="13"/>
  <c r="BK322" i="13"/>
  <c r="AM41" i="13"/>
  <c r="AK41" i="13"/>
  <c r="AM121" i="14"/>
  <c r="AK121" i="14"/>
  <c r="AK127" i="14"/>
  <c r="AM86" i="14"/>
  <c r="AK86" i="14"/>
  <c r="AK91" i="14"/>
  <c r="BK303" i="13"/>
  <c r="BF303" i="13"/>
  <c r="AA213" i="9"/>
  <c r="AB213" i="9" s="1"/>
  <c r="D213" i="9"/>
  <c r="BH213" i="13"/>
  <c r="BK300" i="13"/>
  <c r="BF300" i="13"/>
  <c r="BF323" i="13"/>
  <c r="AH43" i="9"/>
  <c r="F43" i="14" s="1"/>
  <c r="AP43" i="9"/>
  <c r="AM43" i="9"/>
  <c r="D43" i="14"/>
  <c r="AQ43" i="9"/>
  <c r="AJ111" i="14"/>
  <c r="AN111" i="14" s="1"/>
  <c r="AI111" i="14"/>
  <c r="AA143" i="9"/>
  <c r="AB143" i="9" s="1"/>
  <c r="BE281" i="13"/>
  <c r="BB281" i="13"/>
  <c r="BF294" i="13"/>
  <c r="BK294" i="13"/>
  <c r="AA130" i="14"/>
  <c r="AC130" i="14" s="1"/>
  <c r="AG130" i="14" s="1"/>
  <c r="BK242" i="13"/>
  <c r="BF242" i="13"/>
  <c r="AJ70" i="14"/>
  <c r="AN70" i="14" s="1"/>
  <c r="AI70" i="14"/>
  <c r="AJ199" i="14"/>
  <c r="AN199" i="14" s="1"/>
  <c r="AI199" i="14"/>
  <c r="BE236" i="13"/>
  <c r="BJ236" i="13"/>
  <c r="BB236" i="13"/>
  <c r="AA120" i="9"/>
  <c r="AB120" i="9" s="1"/>
  <c r="BB303" i="13"/>
  <c r="BJ303" i="13"/>
  <c r="BE303" i="13"/>
  <c r="BK248" i="13"/>
  <c r="BF248" i="13"/>
  <c r="BJ75" i="14"/>
  <c r="BE75" i="14"/>
  <c r="AI50" i="14"/>
  <c r="AJ50" i="14"/>
  <c r="AN50" i="14" s="1"/>
  <c r="AI218" i="14"/>
  <c r="AM218" i="14" s="1"/>
  <c r="AJ218" i="14"/>
  <c r="AN218" i="14" s="1"/>
  <c r="BK188" i="14"/>
  <c r="BF188" i="14"/>
  <c r="BJ161" i="14"/>
  <c r="BE161" i="14"/>
  <c r="BB161" i="14"/>
  <c r="AQ161" i="14"/>
  <c r="BJ80" i="13"/>
  <c r="BB80" i="13"/>
  <c r="AQ80" i="13"/>
  <c r="BE80" i="13"/>
  <c r="BK76" i="14"/>
  <c r="BF76" i="14"/>
  <c r="BK107" i="14"/>
  <c r="BF107" i="14"/>
  <c r="AG67" i="14"/>
  <c r="D23" i="9"/>
  <c r="BH23" i="13"/>
  <c r="AI202" i="14"/>
  <c r="AJ202" i="14"/>
  <c r="AN202" i="14" s="1"/>
  <c r="D182" i="9"/>
  <c r="BH182" i="13"/>
  <c r="D55" i="9"/>
  <c r="BH55" i="13"/>
  <c r="BB127" i="14"/>
  <c r="AQ127" i="14"/>
  <c r="BJ127" i="14"/>
  <c r="BE127" i="14"/>
  <c r="AI157" i="9"/>
  <c r="G157" i="14" s="1"/>
  <c r="AN157" i="9"/>
  <c r="BK45" i="14"/>
  <c r="BF45" i="14"/>
  <c r="AI181" i="14"/>
  <c r="AJ181" i="14"/>
  <c r="AN181" i="14" s="1"/>
  <c r="AM146" i="9"/>
  <c r="AP146" i="9"/>
  <c r="D146" i="14"/>
  <c r="AH146" i="9"/>
  <c r="F146" i="14" s="1"/>
  <c r="AQ146" i="9"/>
  <c r="BB283" i="13"/>
  <c r="BE283" i="13"/>
  <c r="AJ180" i="14"/>
  <c r="AN180" i="14" s="1"/>
  <c r="AI180" i="14"/>
  <c r="D24" i="9"/>
  <c r="BH24" i="13"/>
  <c r="AA24" i="9"/>
  <c r="AB24" i="9" s="1"/>
  <c r="AG37" i="14"/>
  <c r="AI154" i="14"/>
  <c r="AJ154" i="14"/>
  <c r="AN154" i="14" s="1"/>
  <c r="BE274" i="13"/>
  <c r="BB274" i="13"/>
  <c r="BJ298" i="13"/>
  <c r="BB298" i="13"/>
  <c r="BE298" i="13"/>
  <c r="BF196" i="14"/>
  <c r="BK196" i="14"/>
  <c r="BK69" i="14"/>
  <c r="AI168" i="14"/>
  <c r="AJ168" i="14"/>
  <c r="AN168" i="14" s="1"/>
  <c r="L71" i="14"/>
  <c r="S71" i="14"/>
  <c r="K71" i="14"/>
  <c r="AI155" i="14"/>
  <c r="AJ155" i="14"/>
  <c r="AN155" i="14" s="1"/>
  <c r="AG184" i="14"/>
  <c r="BF274" i="13"/>
  <c r="BF312" i="13"/>
  <c r="AA65" i="9"/>
  <c r="AB65" i="9" s="1"/>
  <c r="D27" i="9"/>
  <c r="BH27" i="13"/>
  <c r="AA172" i="9"/>
  <c r="AB172" i="9" s="1"/>
  <c r="T16" i="9"/>
  <c r="BF315" i="13"/>
  <c r="AI151" i="9"/>
  <c r="G151" i="14" s="1"/>
  <c r="AN151" i="9"/>
  <c r="AJ77" i="14"/>
  <c r="AN77" i="14" s="1"/>
  <c r="AI77" i="14"/>
  <c r="AI145" i="9"/>
  <c r="G145" i="14" s="1"/>
  <c r="AN145" i="9"/>
  <c r="BF204" i="14"/>
  <c r="BK204" i="14"/>
  <c r="AN103" i="9"/>
  <c r="AI103" i="9"/>
  <c r="G103" i="14" s="1"/>
  <c r="AJ126" i="14"/>
  <c r="AN126" i="14" s="1"/>
  <c r="AI126" i="14"/>
  <c r="AN29" i="9"/>
  <c r="AI29" i="9"/>
  <c r="G29" i="14" s="1"/>
  <c r="AJ212" i="14"/>
  <c r="AN212" i="14" s="1"/>
  <c r="AI212" i="14"/>
  <c r="BK251" i="13"/>
  <c r="BF251" i="13"/>
  <c r="AJ84" i="14"/>
  <c r="AN84" i="14" s="1"/>
  <c r="AI84" i="14"/>
  <c r="AA108" i="9"/>
  <c r="AB108" i="9" s="1"/>
  <c r="AM63" i="14"/>
  <c r="AK63" i="14"/>
  <c r="AI87" i="14"/>
  <c r="AJ87" i="14"/>
  <c r="AN87" i="14" s="1"/>
  <c r="BB93" i="14"/>
  <c r="BJ93" i="14"/>
  <c r="BE93" i="14"/>
  <c r="AQ93" i="14"/>
  <c r="BF255" i="13"/>
  <c r="BK255" i="13"/>
  <c r="D78" i="9"/>
  <c r="BH78" i="13"/>
  <c r="AJ149" i="14"/>
  <c r="AN149" i="14" s="1"/>
  <c r="AI149" i="14"/>
  <c r="BF214" i="14"/>
  <c r="BK214" i="14"/>
  <c r="AN198" i="9"/>
  <c r="AI198" i="9"/>
  <c r="G198" i="14" s="1"/>
  <c r="BB270" i="13"/>
  <c r="BE270" i="13"/>
  <c r="AA17" i="9"/>
  <c r="AB17" i="9" s="1"/>
  <c r="AJ200" i="14"/>
  <c r="AN200" i="14" s="1"/>
  <c r="AI200" i="14"/>
  <c r="BJ248" i="13"/>
  <c r="BE248" i="13"/>
  <c r="BB248" i="13"/>
  <c r="AG61" i="14"/>
  <c r="AJ153" i="14"/>
  <c r="AN153" i="14" s="1"/>
  <c r="AI153" i="14"/>
  <c r="AI49" i="14"/>
  <c r="AJ49" i="14"/>
  <c r="AN49" i="14" s="1"/>
  <c r="AA192" i="14"/>
  <c r="AC192" i="14" s="1"/>
  <c r="AG192" i="14" s="1"/>
  <c r="BB251" i="13"/>
  <c r="BE251" i="13"/>
  <c r="BJ251" i="13"/>
  <c r="BE282" i="13"/>
  <c r="BB295" i="13"/>
  <c r="BE295" i="13"/>
  <c r="BJ295" i="13"/>
  <c r="BF59" i="14"/>
  <c r="BK59" i="14"/>
  <c r="BF229" i="13"/>
  <c r="BB243" i="13"/>
  <c r="BE243" i="13"/>
  <c r="BJ243" i="13"/>
  <c r="D56" i="9"/>
  <c r="BH56" i="13"/>
  <c r="AA142" i="9"/>
  <c r="AB142" i="9" s="1"/>
  <c r="D142" i="9"/>
  <c r="BH142" i="13"/>
  <c r="BE323" i="13"/>
  <c r="BB323" i="13"/>
  <c r="AA210" i="9"/>
  <c r="AB210" i="9" s="1"/>
  <c r="D13" i="9"/>
  <c r="BH13" i="13"/>
  <c r="AA13" i="9"/>
  <c r="AB13" i="9" s="1"/>
  <c r="AA81" i="9"/>
  <c r="AB81" i="9" s="1"/>
  <c r="AI66" i="9"/>
  <c r="G66" i="14" s="1"/>
  <c r="AN66" i="9"/>
  <c r="BK105" i="14"/>
  <c r="BF105" i="14"/>
  <c r="BH205" i="14"/>
  <c r="BM205" i="14"/>
  <c r="BM92" i="14"/>
  <c r="BH92" i="14"/>
  <c r="AG290" i="13"/>
  <c r="AJ176" i="14"/>
  <c r="AN176" i="14" s="1"/>
  <c r="AI176" i="14"/>
  <c r="BF273" i="13"/>
  <c r="AA33" i="9"/>
  <c r="AB33" i="9" s="1"/>
  <c r="BJ241" i="13"/>
  <c r="BE241" i="13"/>
  <c r="BB241" i="13"/>
  <c r="AA88" i="14"/>
  <c r="AC88" i="14" s="1"/>
  <c r="AG88" i="14" s="1"/>
  <c r="AJ134" i="14"/>
  <c r="AN134" i="14" s="1"/>
  <c r="AI134" i="14"/>
  <c r="AI178" i="14"/>
  <c r="AJ178" i="14"/>
  <c r="AN178" i="14" s="1"/>
  <c r="AJ191" i="14"/>
  <c r="AN191" i="14" s="1"/>
  <c r="AI191" i="14"/>
  <c r="AI136" i="14"/>
  <c r="AJ136" i="14"/>
  <c r="AN136" i="14" s="1"/>
  <c r="AG85" i="14"/>
  <c r="AA26" i="9"/>
  <c r="AB26" i="9" s="1"/>
  <c r="K48" i="14"/>
  <c r="L48" i="14"/>
  <c r="S48" i="14"/>
  <c r="AJ163" i="14"/>
  <c r="AN163" i="14" s="1"/>
  <c r="AI163" i="14"/>
  <c r="AJ183" i="14"/>
  <c r="AN183" i="14" s="1"/>
  <c r="AI183" i="14"/>
  <c r="BE229" i="13"/>
  <c r="BB229" i="13"/>
  <c r="BH95" i="14"/>
  <c r="BM95" i="14"/>
  <c r="AP20" i="9"/>
  <c r="D20" i="14"/>
  <c r="AH20" i="9"/>
  <c r="F20" i="14" s="1"/>
  <c r="AM20" i="9"/>
  <c r="AQ20" i="9"/>
  <c r="AJ98" i="14"/>
  <c r="AN98" i="14" s="1"/>
  <c r="AI98" i="14"/>
  <c r="AC94" i="14"/>
  <c r="AF94" i="14"/>
  <c r="BF257" i="13"/>
  <c r="BF158" i="14"/>
  <c r="BK158" i="14"/>
  <c r="AK107" i="14"/>
  <c r="BJ194" i="14"/>
  <c r="BE194" i="14"/>
  <c r="AQ194" i="14"/>
  <c r="BF86" i="14"/>
  <c r="BK86" i="14"/>
  <c r="AK105" i="14"/>
  <c r="AQ75" i="14" l="1"/>
  <c r="AI217" i="14"/>
  <c r="AK217" i="14" s="1"/>
  <c r="BB75" i="14"/>
  <c r="AJ60" i="14"/>
  <c r="AN60" i="14" s="1"/>
  <c r="BF60" i="14" s="1"/>
  <c r="AJ187" i="14"/>
  <c r="AN187" i="14" s="1"/>
  <c r="AQ187" i="14" s="1"/>
  <c r="AK69" i="14"/>
  <c r="AK74" i="14"/>
  <c r="BB74" i="14"/>
  <c r="AI325" i="13"/>
  <c r="AG94" i="14"/>
  <c r="AJ94" i="14" s="1"/>
  <c r="AN94" i="14" s="1"/>
  <c r="AG42" i="14"/>
  <c r="AI42" i="14" s="1"/>
  <c r="AM42" i="14" s="1"/>
  <c r="BM318" i="13"/>
  <c r="BH318" i="13"/>
  <c r="AI130" i="14"/>
  <c r="AM130" i="14" s="1"/>
  <c r="AJ130" i="14"/>
  <c r="AN130" i="14" s="1"/>
  <c r="AN20" i="9"/>
  <c r="AI20" i="9"/>
  <c r="G20" i="14" s="1"/>
  <c r="BK273" i="13"/>
  <c r="BH194" i="14"/>
  <c r="BM194" i="14"/>
  <c r="L20" i="14"/>
  <c r="S20" i="14"/>
  <c r="K20" i="14"/>
  <c r="BJ229" i="13"/>
  <c r="BF163" i="14"/>
  <c r="BK163" i="14"/>
  <c r="AM136" i="14"/>
  <c r="AK136" i="14"/>
  <c r="AM178" i="14"/>
  <c r="AK178" i="14"/>
  <c r="BM13" i="13"/>
  <c r="K142" i="9"/>
  <c r="J142" i="9"/>
  <c r="W142" i="9" s="1"/>
  <c r="BM243" i="13"/>
  <c r="BH243" i="13"/>
  <c r="BK229" i="13"/>
  <c r="AM153" i="14"/>
  <c r="AK153" i="14"/>
  <c r="BF200" i="14"/>
  <c r="BK200" i="14"/>
  <c r="BF296" i="13"/>
  <c r="BK296" i="13"/>
  <c r="BM245" i="13"/>
  <c r="BH245" i="13"/>
  <c r="K78" i="9"/>
  <c r="J78" i="9"/>
  <c r="W78" i="9" s="1"/>
  <c r="BF87" i="14"/>
  <c r="BK87" i="14"/>
  <c r="BK126" i="14"/>
  <c r="BF126" i="14"/>
  <c r="BK315" i="13"/>
  <c r="K27" i="9"/>
  <c r="J27" i="9"/>
  <c r="W27" i="9" s="1"/>
  <c r="BK274" i="13"/>
  <c r="BK155" i="14"/>
  <c r="BF155" i="14"/>
  <c r="BF154" i="14"/>
  <c r="BK154" i="14"/>
  <c r="K24" i="9"/>
  <c r="J24" i="9"/>
  <c r="W24" i="9" s="1"/>
  <c r="AM180" i="14"/>
  <c r="AK180" i="14"/>
  <c r="BF181" i="14"/>
  <c r="BK181" i="14"/>
  <c r="BH314" i="13"/>
  <c r="BM314" i="13"/>
  <c r="K55" i="9"/>
  <c r="J55" i="9"/>
  <c r="W55" i="9" s="1"/>
  <c r="BM322" i="13"/>
  <c r="BH322" i="13"/>
  <c r="BF202" i="14"/>
  <c r="BK202" i="14"/>
  <c r="D80" i="9"/>
  <c r="BH80" i="13"/>
  <c r="BB246" i="13"/>
  <c r="BJ246" i="13"/>
  <c r="BE246" i="13"/>
  <c r="BF218" i="14"/>
  <c r="BK218" i="14"/>
  <c r="AK199" i="14"/>
  <c r="AM199" i="14"/>
  <c r="AM70" i="14"/>
  <c r="AK70" i="14"/>
  <c r="L43" i="14"/>
  <c r="K43" i="14"/>
  <c r="S43" i="14"/>
  <c r="BK323" i="13"/>
  <c r="K213" i="9"/>
  <c r="J213" i="9"/>
  <c r="W213" i="9" s="1"/>
  <c r="BB86" i="14"/>
  <c r="AQ86" i="14"/>
  <c r="BJ86" i="14"/>
  <c r="BE86" i="14"/>
  <c r="AM46" i="14"/>
  <c r="AK46" i="14"/>
  <c r="BM139" i="13"/>
  <c r="BJ279" i="13"/>
  <c r="BK217" i="14"/>
  <c r="BF217" i="14"/>
  <c r="BM174" i="13"/>
  <c r="BH241" i="13"/>
  <c r="BM241" i="13"/>
  <c r="AM167" i="14"/>
  <c r="AK167" i="14"/>
  <c r="BK30" i="13"/>
  <c r="BF30" i="13"/>
  <c r="AN222" i="13"/>
  <c r="AK307" i="13"/>
  <c r="BJ30" i="13"/>
  <c r="BE30" i="13"/>
  <c r="BB30" i="13"/>
  <c r="AQ30" i="13"/>
  <c r="AM222" i="13"/>
  <c r="BK34" i="14"/>
  <c r="BF34" i="14"/>
  <c r="J81" i="9"/>
  <c r="W81" i="9" s="1"/>
  <c r="K81" i="9"/>
  <c r="AM159" i="14"/>
  <c r="AK159" i="14"/>
  <c r="BM100" i="13"/>
  <c r="BM102" i="13"/>
  <c r="AC151" i="14"/>
  <c r="AF151" i="14"/>
  <c r="K144" i="9"/>
  <c r="J144" i="9"/>
  <c r="W144" i="9" s="1"/>
  <c r="AM177" i="14"/>
  <c r="AK177" i="14"/>
  <c r="AI106" i="14"/>
  <c r="AJ106" i="14"/>
  <c r="AN106" i="14" s="1"/>
  <c r="BH281" i="13"/>
  <c r="K22" i="9"/>
  <c r="J22" i="9"/>
  <c r="W22" i="9" s="1"/>
  <c r="BK320" i="13"/>
  <c r="AM117" i="14"/>
  <c r="AK117" i="14"/>
  <c r="J31" i="9"/>
  <c r="W31" i="9" s="1"/>
  <c r="K31" i="9"/>
  <c r="AM197" i="14"/>
  <c r="AK197" i="14"/>
  <c r="BJ257" i="13"/>
  <c r="BF41" i="13"/>
  <c r="BK41" i="13"/>
  <c r="BF131" i="14"/>
  <c r="BK131" i="14"/>
  <c r="BM26" i="13"/>
  <c r="AM124" i="14"/>
  <c r="AK124" i="14"/>
  <c r="K12" i="9"/>
  <c r="J12" i="9"/>
  <c r="W12" i="9" s="1"/>
  <c r="AM162" i="9"/>
  <c r="D162" i="14"/>
  <c r="AP162" i="9"/>
  <c r="AH162" i="9"/>
  <c r="F162" i="14" s="1"/>
  <c r="AQ162" i="9"/>
  <c r="P21" i="9"/>
  <c r="BK301" i="13"/>
  <c r="BF301" i="13"/>
  <c r="BK28" i="14"/>
  <c r="BF28" i="14"/>
  <c r="BH302" i="13"/>
  <c r="BM302" i="13"/>
  <c r="BF40" i="14"/>
  <c r="BK40" i="14"/>
  <c r="AM152" i="14"/>
  <c r="AK152" i="14"/>
  <c r="AM114" i="14"/>
  <c r="AK114" i="14"/>
  <c r="K164" i="14"/>
  <c r="L164" i="14"/>
  <c r="S164" i="14"/>
  <c r="BF101" i="13"/>
  <c r="BK101" i="13"/>
  <c r="BF148" i="14"/>
  <c r="BK148" i="14"/>
  <c r="AM90" i="14"/>
  <c r="AK90" i="14"/>
  <c r="BH272" i="13"/>
  <c r="BH295" i="13"/>
  <c r="BM295" i="13"/>
  <c r="K120" i="9"/>
  <c r="J120" i="9"/>
  <c r="W120" i="9" s="1"/>
  <c r="BM17" i="13"/>
  <c r="BF35" i="14"/>
  <c r="BK35" i="14"/>
  <c r="BK270" i="13"/>
  <c r="L195" i="14"/>
  <c r="K195" i="14"/>
  <c r="S195" i="14"/>
  <c r="BM38" i="13"/>
  <c r="BK281" i="13"/>
  <c r="BB69" i="14"/>
  <c r="BJ69" i="14"/>
  <c r="AQ69" i="14"/>
  <c r="BE69" i="14"/>
  <c r="BH304" i="13"/>
  <c r="BM304" i="13"/>
  <c r="J15" i="9"/>
  <c r="W15" i="9" s="1"/>
  <c r="K15" i="9"/>
  <c r="BK269" i="13"/>
  <c r="BK150" i="14"/>
  <c r="BF150" i="14"/>
  <c r="BF73" i="14"/>
  <c r="BK73" i="14"/>
  <c r="BH107" i="14"/>
  <c r="BM107" i="14"/>
  <c r="AM207" i="14"/>
  <c r="AK207" i="14"/>
  <c r="BJ101" i="13"/>
  <c r="AQ101" i="13"/>
  <c r="BE101" i="13"/>
  <c r="BB101" i="13"/>
  <c r="BM210" i="13"/>
  <c r="K210" i="9"/>
  <c r="J210" i="9"/>
  <c r="W210" i="9" s="1"/>
  <c r="BH91" i="14"/>
  <c r="BM91" i="14"/>
  <c r="AM89" i="14"/>
  <c r="AK89" i="14"/>
  <c r="BM18" i="13"/>
  <c r="BH300" i="13"/>
  <c r="BM300" i="13"/>
  <c r="AC103" i="14"/>
  <c r="AF103" i="14"/>
  <c r="BK64" i="14"/>
  <c r="BF64" i="14"/>
  <c r="AC157" i="14"/>
  <c r="AF157" i="14"/>
  <c r="BK170" i="14"/>
  <c r="BF170" i="14"/>
  <c r="BH74" i="14"/>
  <c r="BM74" i="14"/>
  <c r="BK47" i="14"/>
  <c r="BF47" i="14"/>
  <c r="BK318" i="13"/>
  <c r="AM99" i="14"/>
  <c r="AK99" i="14"/>
  <c r="AM166" i="14"/>
  <c r="AK166" i="14"/>
  <c r="AM183" i="14"/>
  <c r="AK183" i="14"/>
  <c r="AC48" i="14"/>
  <c r="AG48" i="14" s="1"/>
  <c r="AM191" i="14"/>
  <c r="AK191" i="14"/>
  <c r="AM134" i="14"/>
  <c r="AK134" i="14"/>
  <c r="BH303" i="13"/>
  <c r="BM303" i="13"/>
  <c r="BM56" i="13"/>
  <c r="AM149" i="14"/>
  <c r="AK149" i="14"/>
  <c r="BM78" i="13"/>
  <c r="AM87" i="14"/>
  <c r="AK87" i="14"/>
  <c r="AM84" i="14"/>
  <c r="AK84" i="14"/>
  <c r="AM77" i="14"/>
  <c r="AK77" i="14"/>
  <c r="AM155" i="14"/>
  <c r="AK155" i="14"/>
  <c r="BF282" i="13"/>
  <c r="AM154" i="14"/>
  <c r="AK154" i="14"/>
  <c r="BM239" i="13"/>
  <c r="BH239" i="13"/>
  <c r="BF180" i="14"/>
  <c r="BK180" i="14"/>
  <c r="L146" i="14"/>
  <c r="S146" i="14"/>
  <c r="K146" i="14"/>
  <c r="AM181" i="14"/>
  <c r="AK181" i="14"/>
  <c r="BM242" i="13"/>
  <c r="BH242" i="13"/>
  <c r="BM257" i="13"/>
  <c r="BH257" i="13"/>
  <c r="K182" i="9"/>
  <c r="J182" i="9"/>
  <c r="W182" i="9" s="1"/>
  <c r="AM202" i="14"/>
  <c r="AK202" i="14"/>
  <c r="K23" i="9"/>
  <c r="J23" i="9"/>
  <c r="W23" i="9" s="1"/>
  <c r="BE316" i="13"/>
  <c r="BB316" i="13"/>
  <c r="AQ218" i="14"/>
  <c r="BB218" i="14"/>
  <c r="BE218" i="14"/>
  <c r="BJ218" i="14"/>
  <c r="BH75" i="14"/>
  <c r="BM75" i="14"/>
  <c r="BK199" i="14"/>
  <c r="BF199" i="14"/>
  <c r="BK70" i="14"/>
  <c r="BF70" i="14"/>
  <c r="BJ281" i="13"/>
  <c r="AM111" i="14"/>
  <c r="AK111" i="14"/>
  <c r="BM260" i="13"/>
  <c r="BH260" i="13"/>
  <c r="BK46" i="14"/>
  <c r="BF46" i="14"/>
  <c r="AM68" i="14"/>
  <c r="AK68" i="14"/>
  <c r="BH253" i="13"/>
  <c r="BM253" i="13"/>
  <c r="AN112" i="9"/>
  <c r="AI112" i="9"/>
  <c r="G112" i="14" s="1"/>
  <c r="BK280" i="13"/>
  <c r="AM217" i="14"/>
  <c r="J174" i="9"/>
  <c r="W174" i="9" s="1"/>
  <c r="K174" i="9"/>
  <c r="J33" i="9"/>
  <c r="W33" i="9" s="1"/>
  <c r="K33" i="9"/>
  <c r="BF167" i="14"/>
  <c r="BK167" i="14"/>
  <c r="BK57" i="14"/>
  <c r="BF57" i="14"/>
  <c r="AA122" i="9"/>
  <c r="AB122" i="9" s="1"/>
  <c r="BJ209" i="13"/>
  <c r="BB209" i="13"/>
  <c r="BE209" i="13"/>
  <c r="AQ209" i="13"/>
  <c r="AM215" i="14"/>
  <c r="AK215" i="14"/>
  <c r="BM248" i="13"/>
  <c r="BH248" i="13"/>
  <c r="BM190" i="14"/>
  <c r="BH190" i="14"/>
  <c r="AC198" i="14"/>
  <c r="AF198" i="14"/>
  <c r="AQ214" i="14"/>
  <c r="BJ214" i="14"/>
  <c r="BE214" i="14"/>
  <c r="BB214" i="14"/>
  <c r="AC29" i="14"/>
  <c r="AF29" i="14"/>
  <c r="BH305" i="13"/>
  <c r="BM305" i="13"/>
  <c r="BF177" i="14"/>
  <c r="BK177" i="14"/>
  <c r="BJ196" i="14"/>
  <c r="BE196" i="14"/>
  <c r="BB196" i="14"/>
  <c r="AQ196" i="14"/>
  <c r="BH274" i="13"/>
  <c r="BF117" i="14"/>
  <c r="BK117" i="14"/>
  <c r="BH288" i="13"/>
  <c r="BF197" i="14"/>
  <c r="BK197" i="14"/>
  <c r="BM171" i="13"/>
  <c r="BF173" i="14"/>
  <c r="BK173" i="14"/>
  <c r="BJ206" i="14"/>
  <c r="BE206" i="14"/>
  <c r="BB206" i="14"/>
  <c r="AQ206" i="14"/>
  <c r="AM82" i="14"/>
  <c r="AK82" i="14"/>
  <c r="AC175" i="14"/>
  <c r="AF175" i="14"/>
  <c r="BH279" i="13"/>
  <c r="P62" i="9"/>
  <c r="BH271" i="13"/>
  <c r="BJ268" i="13"/>
  <c r="BK252" i="13"/>
  <c r="BF252" i="13"/>
  <c r="AM28" i="14"/>
  <c r="AK28" i="14"/>
  <c r="S160" i="14"/>
  <c r="K160" i="14"/>
  <c r="L160" i="14"/>
  <c r="BJ119" i="14"/>
  <c r="BB119" i="14"/>
  <c r="BE119" i="14"/>
  <c r="AQ119" i="14"/>
  <c r="AJ52" i="14"/>
  <c r="AN52" i="14" s="1"/>
  <c r="AI52" i="14"/>
  <c r="AM193" i="14"/>
  <c r="AK193" i="14"/>
  <c r="BF54" i="14"/>
  <c r="BK54" i="14"/>
  <c r="BF152" i="14"/>
  <c r="BK152" i="14"/>
  <c r="BK209" i="13"/>
  <c r="BF209" i="13"/>
  <c r="AN290" i="13"/>
  <c r="AC66" i="14"/>
  <c r="AF66" i="14"/>
  <c r="AM148" i="14"/>
  <c r="AK148" i="14"/>
  <c r="BK90" i="14"/>
  <c r="BF90" i="14"/>
  <c r="BM237" i="13"/>
  <c r="BH237" i="13"/>
  <c r="J14" i="9"/>
  <c r="W14" i="9" s="1"/>
  <c r="K14" i="9"/>
  <c r="BH251" i="13"/>
  <c r="BM251" i="13"/>
  <c r="BH270" i="13"/>
  <c r="AC165" i="14"/>
  <c r="AF165" i="14"/>
  <c r="AM35" i="14"/>
  <c r="AK35" i="14"/>
  <c r="BJ204" i="14"/>
  <c r="BB204" i="14"/>
  <c r="BE204" i="14"/>
  <c r="AQ204" i="14"/>
  <c r="BB96" i="14"/>
  <c r="BE96" i="14"/>
  <c r="AQ96" i="14"/>
  <c r="BJ96" i="14"/>
  <c r="K172" i="9"/>
  <c r="J172" i="9"/>
  <c r="W172" i="9" s="1"/>
  <c r="J38" i="9"/>
  <c r="W38" i="9" s="1"/>
  <c r="K38" i="9"/>
  <c r="BM65" i="13"/>
  <c r="BM72" i="14"/>
  <c r="BH72" i="14"/>
  <c r="K143" i="9"/>
  <c r="J143" i="9"/>
  <c r="W143" i="9" s="1"/>
  <c r="BH283" i="13"/>
  <c r="BJ288" i="13"/>
  <c r="BJ219" i="14"/>
  <c r="BE219" i="14"/>
  <c r="AQ219" i="14"/>
  <c r="BB219" i="14"/>
  <c r="AM135" i="14"/>
  <c r="AK135" i="14"/>
  <c r="BJ314" i="13"/>
  <c r="BJ320" i="13"/>
  <c r="BJ25" i="14"/>
  <c r="BB25" i="14"/>
  <c r="AQ25" i="14"/>
  <c r="BE25" i="14"/>
  <c r="BH259" i="13"/>
  <c r="BM259" i="13"/>
  <c r="AM189" i="14"/>
  <c r="AK189" i="14"/>
  <c r="BM83" i="14"/>
  <c r="BH83" i="14"/>
  <c r="BK99" i="14"/>
  <c r="BF99" i="14"/>
  <c r="BB296" i="13"/>
  <c r="AI88" i="14"/>
  <c r="AM88" i="14" s="1"/>
  <c r="AJ88" i="14"/>
  <c r="AN88" i="14" s="1"/>
  <c r="AJ192" i="14"/>
  <c r="AN192" i="14" s="1"/>
  <c r="AI192" i="14"/>
  <c r="BK153" i="14"/>
  <c r="BF153" i="14"/>
  <c r="AM98" i="14"/>
  <c r="AK98" i="14"/>
  <c r="BK183" i="14"/>
  <c r="BF183" i="14"/>
  <c r="AJ85" i="14"/>
  <c r="AN85" i="14" s="1"/>
  <c r="AI85" i="14"/>
  <c r="BK191" i="14"/>
  <c r="BF191" i="14"/>
  <c r="BF134" i="14"/>
  <c r="BK134" i="14"/>
  <c r="AM176" i="14"/>
  <c r="AK176" i="14"/>
  <c r="BM244" i="13"/>
  <c r="BH244" i="13"/>
  <c r="J13" i="9"/>
  <c r="W13" i="9" s="1"/>
  <c r="K13" i="9"/>
  <c r="BJ323" i="13"/>
  <c r="J56" i="9"/>
  <c r="W56" i="9" s="1"/>
  <c r="K56" i="9"/>
  <c r="BB282" i="13"/>
  <c r="BK49" i="14"/>
  <c r="BF49" i="14"/>
  <c r="AI61" i="14"/>
  <c r="AJ61" i="14"/>
  <c r="AN61" i="14" s="1"/>
  <c r="BF149" i="14"/>
  <c r="BK149" i="14"/>
  <c r="BM315" i="13"/>
  <c r="BH315" i="13"/>
  <c r="BF84" i="14"/>
  <c r="BK84" i="14"/>
  <c r="AM212" i="14"/>
  <c r="AK212" i="14"/>
  <c r="BF77" i="14"/>
  <c r="BK77" i="14"/>
  <c r="BM27" i="13"/>
  <c r="BK312" i="13"/>
  <c r="BF168" i="14"/>
  <c r="BK168" i="14"/>
  <c r="AJ37" i="14"/>
  <c r="AN37" i="14" s="1"/>
  <c r="AI37" i="14"/>
  <c r="BM55" i="13"/>
  <c r="BM182" i="13"/>
  <c r="BM23" i="13"/>
  <c r="AJ67" i="14"/>
  <c r="AN67" i="14" s="1"/>
  <c r="AI67" i="14"/>
  <c r="BK50" i="14"/>
  <c r="BF50" i="14"/>
  <c r="AN307" i="13"/>
  <c r="BF111" i="14"/>
  <c r="BK111" i="14"/>
  <c r="BM213" i="13"/>
  <c r="AI125" i="14"/>
  <c r="AJ125" i="14"/>
  <c r="AN125" i="14" s="1"/>
  <c r="BK288" i="13"/>
  <c r="BK68" i="14"/>
  <c r="BF68" i="14"/>
  <c r="BH319" i="13"/>
  <c r="BM319" i="13"/>
  <c r="AM141" i="14"/>
  <c r="AK141" i="14"/>
  <c r="BM256" i="13"/>
  <c r="BH256" i="13"/>
  <c r="BK109" i="14"/>
  <c r="BF109" i="14"/>
  <c r="AI276" i="13"/>
  <c r="AM57" i="14"/>
  <c r="AK57" i="14"/>
  <c r="D122" i="9"/>
  <c r="BH122" i="13"/>
  <c r="BJ301" i="13"/>
  <c r="BB301" i="13"/>
  <c r="BE301" i="13"/>
  <c r="AI290" i="13"/>
  <c r="BM81" i="13"/>
  <c r="BK215" i="14"/>
  <c r="BF215" i="14"/>
  <c r="BH132" i="14"/>
  <c r="BM132" i="14"/>
  <c r="BJ272" i="13"/>
  <c r="K100" i="9"/>
  <c r="J100" i="9"/>
  <c r="W100" i="9" s="1"/>
  <c r="AM123" i="14"/>
  <c r="AK123" i="14"/>
  <c r="BK104" i="14"/>
  <c r="BF104" i="14"/>
  <c r="J102" i="9"/>
  <c r="W102" i="9" s="1"/>
  <c r="K102" i="9"/>
  <c r="AM179" i="14"/>
  <c r="AK179" i="14"/>
  <c r="BK271" i="13"/>
  <c r="BH312" i="13"/>
  <c r="BM312" i="13"/>
  <c r="BH238" i="13"/>
  <c r="BM238" i="13"/>
  <c r="BF316" i="13"/>
  <c r="BM31" i="13"/>
  <c r="BE45" i="14"/>
  <c r="BB45" i="14"/>
  <c r="AQ45" i="14"/>
  <c r="BJ45" i="14"/>
  <c r="BK140" i="14"/>
  <c r="BF140" i="14"/>
  <c r="BH320" i="13"/>
  <c r="BM320" i="13"/>
  <c r="K171" i="9"/>
  <c r="J171" i="9"/>
  <c r="W171" i="9" s="1"/>
  <c r="AM173" i="14"/>
  <c r="AK173" i="14"/>
  <c r="BK82" i="14"/>
  <c r="BF82" i="14"/>
  <c r="BF156" i="14"/>
  <c r="BK156" i="14"/>
  <c r="BB220" i="14"/>
  <c r="AQ220" i="14"/>
  <c r="BJ220" i="14"/>
  <c r="BE220" i="14"/>
  <c r="BK147" i="14"/>
  <c r="BF147" i="14"/>
  <c r="K26" i="9"/>
  <c r="J26" i="9"/>
  <c r="W26" i="9" s="1"/>
  <c r="BE137" i="14"/>
  <c r="BJ137" i="14"/>
  <c r="AQ137" i="14"/>
  <c r="BB137" i="14"/>
  <c r="BH236" i="13"/>
  <c r="BM236" i="13"/>
  <c r="BM294" i="13"/>
  <c r="BH294" i="13"/>
  <c r="BM138" i="14"/>
  <c r="BH138" i="14"/>
  <c r="AM116" i="14"/>
  <c r="AK116" i="14"/>
  <c r="AI160" i="9"/>
  <c r="G160" i="14" s="1"/>
  <c r="AN160" i="9"/>
  <c r="BM128" i="13"/>
  <c r="AC145" i="14"/>
  <c r="AF145" i="14"/>
  <c r="BK187" i="14"/>
  <c r="BF187" i="14"/>
  <c r="BF201" i="14"/>
  <c r="BK201" i="14"/>
  <c r="BF193" i="14"/>
  <c r="BK193" i="14"/>
  <c r="AM54" i="14"/>
  <c r="AK54" i="14"/>
  <c r="AN164" i="9"/>
  <c r="AI164" i="9"/>
  <c r="G164" i="14" s="1"/>
  <c r="BM105" i="14"/>
  <c r="BH105" i="14"/>
  <c r="BM120" i="13"/>
  <c r="J17" i="9"/>
  <c r="W17" i="9" s="1"/>
  <c r="K17" i="9"/>
  <c r="BK283" i="13"/>
  <c r="BJ315" i="13"/>
  <c r="AI169" i="14"/>
  <c r="AJ169" i="14"/>
  <c r="AN169" i="14" s="1"/>
  <c r="AM79" i="14"/>
  <c r="AK79" i="14"/>
  <c r="BM172" i="13"/>
  <c r="BH280" i="13"/>
  <c r="BM143" i="13"/>
  <c r="BF97" i="14"/>
  <c r="BK97" i="14"/>
  <c r="BM15" i="13"/>
  <c r="BF135" i="14"/>
  <c r="BK135" i="14"/>
  <c r="BH76" i="14"/>
  <c r="BM76" i="14"/>
  <c r="BM203" i="14"/>
  <c r="BH203" i="14"/>
  <c r="AK276" i="13"/>
  <c r="BJ208" i="14"/>
  <c r="BE208" i="14"/>
  <c r="BB208" i="14"/>
  <c r="AQ208" i="14"/>
  <c r="BM323" i="13"/>
  <c r="BH323" i="13"/>
  <c r="J18" i="9"/>
  <c r="W18" i="9" s="1"/>
  <c r="K18" i="9"/>
  <c r="J108" i="9"/>
  <c r="W108" i="9" s="1"/>
  <c r="K108" i="9"/>
  <c r="AC36" i="14"/>
  <c r="AF36" i="14"/>
  <c r="BJ280" i="13"/>
  <c r="BK189" i="14"/>
  <c r="BF189" i="14"/>
  <c r="BK257" i="13"/>
  <c r="BK98" i="14"/>
  <c r="BF98" i="14"/>
  <c r="AM163" i="14"/>
  <c r="AK163" i="14"/>
  <c r="BK136" i="14"/>
  <c r="BF136" i="14"/>
  <c r="BF178" i="14"/>
  <c r="BK178" i="14"/>
  <c r="BF176" i="14"/>
  <c r="BK176" i="14"/>
  <c r="BH273" i="13"/>
  <c r="BM142" i="13"/>
  <c r="BJ282" i="13"/>
  <c r="AM49" i="14"/>
  <c r="AK49" i="14"/>
  <c r="AM200" i="14"/>
  <c r="AK200" i="14"/>
  <c r="BJ270" i="13"/>
  <c r="BH93" i="14"/>
  <c r="BM93" i="14"/>
  <c r="BE269" i="13"/>
  <c r="BB269" i="13"/>
  <c r="BE63" i="14"/>
  <c r="BJ63" i="14"/>
  <c r="AQ63" i="14"/>
  <c r="BB63" i="14"/>
  <c r="BF212" i="14"/>
  <c r="BK212" i="14"/>
  <c r="AM126" i="14"/>
  <c r="AK126" i="14"/>
  <c r="X16" i="9"/>
  <c r="BH268" i="13"/>
  <c r="AI184" i="14"/>
  <c r="AJ184" i="14"/>
  <c r="AN184" i="14" s="1"/>
  <c r="AC71" i="14"/>
  <c r="AF71" i="14"/>
  <c r="AM168" i="14"/>
  <c r="AK168" i="14"/>
  <c r="BJ274" i="13"/>
  <c r="BM24" i="13"/>
  <c r="BJ283" i="13"/>
  <c r="AN146" i="9"/>
  <c r="AI146" i="9"/>
  <c r="G146" i="14" s="1"/>
  <c r="BM127" i="14"/>
  <c r="BH127" i="14"/>
  <c r="BH299" i="13"/>
  <c r="BM299" i="13"/>
  <c r="AA80" i="9"/>
  <c r="AB80" i="9" s="1"/>
  <c r="BH161" i="14"/>
  <c r="BM161" i="14"/>
  <c r="AM50" i="14"/>
  <c r="AK50" i="14"/>
  <c r="AI43" i="9"/>
  <c r="G43" i="14" s="1"/>
  <c r="AN43" i="9"/>
  <c r="BB121" i="14"/>
  <c r="BE121" i="14"/>
  <c r="AQ121" i="14"/>
  <c r="BJ121" i="14"/>
  <c r="BJ41" i="13"/>
  <c r="BB41" i="13"/>
  <c r="BE41" i="13"/>
  <c r="AQ41" i="13"/>
  <c r="BK60" i="14"/>
  <c r="BM229" i="13"/>
  <c r="BH229" i="13"/>
  <c r="K139" i="9"/>
  <c r="J139" i="9"/>
  <c r="W139" i="9" s="1"/>
  <c r="L112" i="14"/>
  <c r="K112" i="14"/>
  <c r="S112" i="14"/>
  <c r="BK141" i="14"/>
  <c r="BF141" i="14"/>
  <c r="BM33" i="13"/>
  <c r="AM109" i="14"/>
  <c r="AK109" i="14"/>
  <c r="AI232" i="13"/>
  <c r="AI262" i="13"/>
  <c r="BE252" i="13"/>
  <c r="BB252" i="13"/>
  <c r="BJ252" i="13"/>
  <c r="AK290" i="13"/>
  <c r="AM34" i="14"/>
  <c r="AK34" i="14"/>
  <c r="BH247" i="13"/>
  <c r="BM247" i="13"/>
  <c r="BH59" i="14"/>
  <c r="BM59" i="14"/>
  <c r="BK279" i="13"/>
  <c r="BK159" i="14"/>
  <c r="BF159" i="14"/>
  <c r="BJ271" i="13"/>
  <c r="BK123" i="14"/>
  <c r="BF123" i="14"/>
  <c r="AM104" i="14"/>
  <c r="AK104" i="14"/>
  <c r="BM250" i="13"/>
  <c r="BH250" i="13"/>
  <c r="BK179" i="14"/>
  <c r="BF179" i="14"/>
  <c r="AG44" i="14"/>
  <c r="BM144" i="13"/>
  <c r="T19" i="9"/>
  <c r="BK311" i="13"/>
  <c r="BM22" i="13"/>
  <c r="BH298" i="13"/>
  <c r="BM298" i="13"/>
  <c r="BK246" i="13"/>
  <c r="BF246" i="13"/>
  <c r="AM140" i="14"/>
  <c r="AK140" i="14"/>
  <c r="BM254" i="13"/>
  <c r="BH254" i="13"/>
  <c r="BK268" i="13"/>
  <c r="AM131" i="14"/>
  <c r="AK131" i="14"/>
  <c r="AM156" i="14"/>
  <c r="AK156" i="14"/>
  <c r="AM147" i="14"/>
  <c r="AK147" i="14"/>
  <c r="J243" i="9"/>
  <c r="K243" i="9"/>
  <c r="BJ273" i="13"/>
  <c r="BK124" i="14"/>
  <c r="BF124" i="14"/>
  <c r="BH311" i="13"/>
  <c r="BM311" i="13"/>
  <c r="BM12" i="13"/>
  <c r="BK314" i="13"/>
  <c r="BJ312" i="13"/>
  <c r="BF116" i="14"/>
  <c r="BK116" i="14"/>
  <c r="K128" i="9"/>
  <c r="J128" i="9"/>
  <c r="W128" i="9" s="1"/>
  <c r="AQ118" i="14"/>
  <c r="BB118" i="14"/>
  <c r="BJ118" i="14"/>
  <c r="BE118" i="14"/>
  <c r="BE187" i="14"/>
  <c r="BJ187" i="14"/>
  <c r="BB187" i="14"/>
  <c r="AM201" i="14"/>
  <c r="AK201" i="14"/>
  <c r="AQ158" i="14"/>
  <c r="BE158" i="14"/>
  <c r="BB158" i="14"/>
  <c r="BJ158" i="14"/>
  <c r="AM40" i="14"/>
  <c r="AK40" i="14"/>
  <c r="AM60" i="14"/>
  <c r="AQ188" i="14"/>
  <c r="BE188" i="14"/>
  <c r="BJ188" i="14"/>
  <c r="BB188" i="14"/>
  <c r="BF114" i="14"/>
  <c r="BK114" i="14"/>
  <c r="AJ276" i="13"/>
  <c r="AJ290" i="13"/>
  <c r="BM211" i="14"/>
  <c r="BH211" i="14"/>
  <c r="BM14" i="13"/>
  <c r="BJ318" i="13"/>
  <c r="BJ311" i="13"/>
  <c r="AN195" i="9"/>
  <c r="AI195" i="9"/>
  <c r="G195" i="14" s="1"/>
  <c r="BF79" i="14"/>
  <c r="BK79" i="14"/>
  <c r="BH255" i="13"/>
  <c r="BM255" i="13"/>
  <c r="K65" i="9"/>
  <c r="J65" i="9"/>
  <c r="W65" i="9" s="1"/>
  <c r="AM97" i="14"/>
  <c r="AK97" i="14"/>
  <c r="AM150" i="14"/>
  <c r="AK150" i="14"/>
  <c r="AM73" i="14"/>
  <c r="AK73" i="14"/>
  <c r="AJ39" i="14"/>
  <c r="AN39" i="14" s="1"/>
  <c r="AI39" i="14"/>
  <c r="BK207" i="14"/>
  <c r="BF207" i="14"/>
  <c r="BF89" i="14"/>
  <c r="BK89" i="14"/>
  <c r="BM108" i="13"/>
  <c r="AM64" i="14"/>
  <c r="AK64" i="14"/>
  <c r="BK272" i="13"/>
  <c r="AM170" i="14"/>
  <c r="AK170" i="14"/>
  <c r="AM47" i="14"/>
  <c r="AK47" i="14"/>
  <c r="AK218" i="14"/>
  <c r="BK166" i="14"/>
  <c r="BF166" i="14"/>
  <c r="AK187" i="14"/>
  <c r="AK60" i="14" l="1"/>
  <c r="AJ42" i="14"/>
  <c r="AN42" i="14" s="1"/>
  <c r="BF42" i="14" s="1"/>
  <c r="AK130" i="14"/>
  <c r="AI94" i="14"/>
  <c r="AK94" i="14" s="1"/>
  <c r="AG198" i="14"/>
  <c r="AI198" i="14" s="1"/>
  <c r="AG151" i="14"/>
  <c r="AJ151" i="14" s="1"/>
  <c r="AN151" i="14" s="1"/>
  <c r="K317" i="9"/>
  <c r="J317" i="9"/>
  <c r="BK290" i="13"/>
  <c r="BF290" i="13"/>
  <c r="BH188" i="14"/>
  <c r="BM188" i="14"/>
  <c r="BH118" i="14"/>
  <c r="BM118" i="14"/>
  <c r="BB140" i="14"/>
  <c r="BE140" i="14"/>
  <c r="AQ140" i="14"/>
  <c r="BJ140" i="14"/>
  <c r="X19" i="9"/>
  <c r="AI44" i="14"/>
  <c r="AJ44" i="14"/>
  <c r="AN44" i="14" s="1"/>
  <c r="BJ109" i="14"/>
  <c r="BB109" i="14"/>
  <c r="AQ109" i="14"/>
  <c r="BE109" i="14"/>
  <c r="J252" i="9"/>
  <c r="K252" i="9"/>
  <c r="BB285" i="13"/>
  <c r="BE285" i="13"/>
  <c r="AA41" i="9"/>
  <c r="AB41" i="9" s="1"/>
  <c r="BM121" i="14"/>
  <c r="BH121" i="14"/>
  <c r="BK184" i="14"/>
  <c r="BF184" i="14"/>
  <c r="BM63" i="14"/>
  <c r="BH63" i="14"/>
  <c r="BF228" i="13"/>
  <c r="J269" i="9"/>
  <c r="K269" i="9"/>
  <c r="BB173" i="14"/>
  <c r="BE173" i="14"/>
  <c r="AQ173" i="14"/>
  <c r="BJ173" i="14"/>
  <c r="K253" i="9"/>
  <c r="J253" i="9"/>
  <c r="BE123" i="14"/>
  <c r="BJ123" i="14"/>
  <c r="AQ123" i="14"/>
  <c r="BB123" i="14"/>
  <c r="AM125" i="14"/>
  <c r="AK125" i="14"/>
  <c r="BF307" i="13"/>
  <c r="BK307" i="13"/>
  <c r="AM61" i="14"/>
  <c r="AK61" i="14"/>
  <c r="J272" i="9"/>
  <c r="K272" i="9"/>
  <c r="BK88" i="14"/>
  <c r="BF88" i="14"/>
  <c r="BH269" i="13"/>
  <c r="BM25" i="14"/>
  <c r="BH25" i="14"/>
  <c r="P38" i="9"/>
  <c r="BJ35" i="14"/>
  <c r="BE35" i="14"/>
  <c r="BB35" i="14"/>
  <c r="AQ35" i="14"/>
  <c r="K294" i="9"/>
  <c r="J294" i="9"/>
  <c r="BJ148" i="14"/>
  <c r="BE148" i="14"/>
  <c r="AQ148" i="14"/>
  <c r="BB148" i="14"/>
  <c r="BF230" i="13"/>
  <c r="BK52" i="14"/>
  <c r="BF52" i="14"/>
  <c r="BH206" i="14"/>
  <c r="BM206" i="14"/>
  <c r="BJ42" i="14"/>
  <c r="BE42" i="14"/>
  <c r="P33" i="9"/>
  <c r="BB202" i="14"/>
  <c r="BJ202" i="14"/>
  <c r="AQ202" i="14"/>
  <c r="BE202" i="14"/>
  <c r="P182" i="9"/>
  <c r="AJ48" i="14"/>
  <c r="AN48" i="14" s="1"/>
  <c r="AI48" i="14"/>
  <c r="BJ166" i="14"/>
  <c r="AQ166" i="14"/>
  <c r="BB166" i="14"/>
  <c r="BE166" i="14"/>
  <c r="BB89" i="14"/>
  <c r="BJ89" i="14"/>
  <c r="BE89" i="14"/>
  <c r="AQ89" i="14"/>
  <c r="J258" i="9"/>
  <c r="K258" i="9"/>
  <c r="BE228" i="13"/>
  <c r="BB228" i="13"/>
  <c r="AA101" i="9"/>
  <c r="AB101" i="9" s="1"/>
  <c r="J295" i="9"/>
  <c r="K295" i="9"/>
  <c r="BM296" i="13"/>
  <c r="BH296" i="13"/>
  <c r="BK249" i="13"/>
  <c r="BF249" i="13"/>
  <c r="K293" i="9"/>
  <c r="J293" i="9"/>
  <c r="P12" i="9"/>
  <c r="K287" i="9"/>
  <c r="J287" i="9"/>
  <c r="K297" i="9"/>
  <c r="J297" i="9"/>
  <c r="P22" i="9"/>
  <c r="AM106" i="14"/>
  <c r="AK106" i="14"/>
  <c r="BB227" i="13"/>
  <c r="AM232" i="13"/>
  <c r="BE227" i="13"/>
  <c r="D30" i="9"/>
  <c r="BH30" i="13"/>
  <c r="AQ222" i="13"/>
  <c r="AY5" i="13"/>
  <c r="H42" i="4" s="1"/>
  <c r="AY4" i="13"/>
  <c r="H41" i="4" s="1"/>
  <c r="K32" i="30"/>
  <c r="K47" i="30"/>
  <c r="AK232" i="13"/>
  <c r="AK262" i="13"/>
  <c r="AN232" i="13"/>
  <c r="BF227" i="13"/>
  <c r="R19" i="31"/>
  <c r="R21" i="31"/>
  <c r="R22" i="31"/>
  <c r="R23" i="31" s="1"/>
  <c r="BH316" i="13"/>
  <c r="BM316" i="13"/>
  <c r="K313" i="9"/>
  <c r="J313" i="9"/>
  <c r="K238" i="9"/>
  <c r="J238" i="9"/>
  <c r="K244" i="9"/>
  <c r="J244" i="9"/>
  <c r="J302" i="9"/>
  <c r="K302" i="9"/>
  <c r="AC20" i="14"/>
  <c r="AG20" i="14" s="1"/>
  <c r="AK88" i="14"/>
  <c r="AQ147" i="14"/>
  <c r="BB147" i="14"/>
  <c r="BE147" i="14"/>
  <c r="BJ147" i="14"/>
  <c r="BJ131" i="14"/>
  <c r="BE131" i="14"/>
  <c r="AQ131" i="14"/>
  <c r="BB131" i="14"/>
  <c r="J228" i="9"/>
  <c r="K228" i="9"/>
  <c r="P139" i="9"/>
  <c r="D41" i="9"/>
  <c r="BH41" i="13"/>
  <c r="AM184" i="14"/>
  <c r="AK184" i="14"/>
  <c r="BM268" i="13"/>
  <c r="BJ126" i="14"/>
  <c r="AQ126" i="14"/>
  <c r="BB126" i="14"/>
  <c r="BE126" i="14"/>
  <c r="BJ269" i="13"/>
  <c r="AQ200" i="14"/>
  <c r="BE200" i="14"/>
  <c r="BJ200" i="14"/>
  <c r="BB200" i="14"/>
  <c r="K299" i="9"/>
  <c r="J299" i="9"/>
  <c r="P18" i="9"/>
  <c r="AQ79" i="14"/>
  <c r="BJ79" i="14"/>
  <c r="BE79" i="14"/>
  <c r="BB79" i="14"/>
  <c r="BK169" i="14"/>
  <c r="BF169" i="14"/>
  <c r="BE54" i="14"/>
  <c r="BJ54" i="14"/>
  <c r="BB54" i="14"/>
  <c r="AQ54" i="14"/>
  <c r="K278" i="9"/>
  <c r="J278" i="9"/>
  <c r="BK316" i="13"/>
  <c r="BM122" i="13"/>
  <c r="J122" i="9"/>
  <c r="W122" i="9" s="1"/>
  <c r="K122" i="9"/>
  <c r="AM37" i="14"/>
  <c r="AK37" i="14"/>
  <c r="P56" i="9"/>
  <c r="P13" i="9"/>
  <c r="AM192" i="14"/>
  <c r="AK192" i="14"/>
  <c r="BJ88" i="14"/>
  <c r="AQ88" i="14"/>
  <c r="BB88" i="14"/>
  <c r="BE88" i="14"/>
  <c r="P143" i="9"/>
  <c r="P172" i="9"/>
  <c r="J271" i="9"/>
  <c r="K271" i="9"/>
  <c r="BF321" i="13"/>
  <c r="BM119" i="14"/>
  <c r="BH119" i="14"/>
  <c r="AQ28" i="14"/>
  <c r="BB28" i="14"/>
  <c r="BJ28" i="14"/>
  <c r="BE28" i="14"/>
  <c r="T62" i="9"/>
  <c r="BM196" i="14"/>
  <c r="BH196" i="14"/>
  <c r="BM214" i="14"/>
  <c r="BH214" i="14"/>
  <c r="BB230" i="13"/>
  <c r="BE230" i="13"/>
  <c r="AA209" i="9"/>
  <c r="AB209" i="9" s="1"/>
  <c r="BM218" i="14"/>
  <c r="BH218" i="14"/>
  <c r="BJ316" i="13"/>
  <c r="K298" i="9"/>
  <c r="J298" i="9"/>
  <c r="K256" i="9"/>
  <c r="J256" i="9"/>
  <c r="AC146" i="14"/>
  <c r="AF146" i="14"/>
  <c r="BJ77" i="14"/>
  <c r="BB77" i="14"/>
  <c r="BE77" i="14"/>
  <c r="AQ77" i="14"/>
  <c r="AQ191" i="14"/>
  <c r="BB191" i="14"/>
  <c r="BE191" i="14"/>
  <c r="BJ191" i="14"/>
  <c r="J322" i="9"/>
  <c r="K322" i="9"/>
  <c r="BE286" i="13"/>
  <c r="BB286" i="13"/>
  <c r="P15" i="9"/>
  <c r="BH69" i="14"/>
  <c r="BM69" i="14"/>
  <c r="BF317" i="13"/>
  <c r="BB152" i="14"/>
  <c r="BJ152" i="14"/>
  <c r="AQ152" i="14"/>
  <c r="BE152" i="14"/>
  <c r="AI162" i="9"/>
  <c r="G162" i="14" s="1"/>
  <c r="AN162" i="9"/>
  <c r="J310" i="9"/>
  <c r="K310" i="9"/>
  <c r="BB124" i="14"/>
  <c r="AQ124" i="14"/>
  <c r="BJ124" i="14"/>
  <c r="BE124" i="14"/>
  <c r="BF285" i="13"/>
  <c r="BJ197" i="14"/>
  <c r="BE197" i="14"/>
  <c r="BB197" i="14"/>
  <c r="AQ197" i="14"/>
  <c r="K280" i="9"/>
  <c r="J280" i="9"/>
  <c r="J304" i="9"/>
  <c r="K304" i="9"/>
  <c r="BB159" i="14"/>
  <c r="AQ159" i="14"/>
  <c r="BE159" i="14"/>
  <c r="BJ159" i="14"/>
  <c r="J246" i="9"/>
  <c r="K246" i="9"/>
  <c r="BB287" i="13"/>
  <c r="BE287" i="13"/>
  <c r="AA30" i="9"/>
  <c r="AB30" i="9" s="1"/>
  <c r="N47" i="30"/>
  <c r="BB4" i="13"/>
  <c r="N32" i="30"/>
  <c r="N33" i="30" s="1"/>
  <c r="BB5" i="13"/>
  <c r="BB313" i="13"/>
  <c r="BE313" i="13"/>
  <c r="AM325" i="13"/>
  <c r="BF222" i="13"/>
  <c r="BF9" i="13" s="1"/>
  <c r="AZ9" i="13"/>
  <c r="AN9" i="13"/>
  <c r="BF240" i="13"/>
  <c r="BK240" i="13"/>
  <c r="AN262" i="13"/>
  <c r="J259" i="9"/>
  <c r="K259" i="9"/>
  <c r="AC43" i="14"/>
  <c r="AF43" i="14"/>
  <c r="BM80" i="13"/>
  <c r="K241" i="9"/>
  <c r="J241" i="9"/>
  <c r="P27" i="9"/>
  <c r="P78" i="9"/>
  <c r="AQ136" i="14"/>
  <c r="BB136" i="14"/>
  <c r="BJ136" i="14"/>
  <c r="BE136" i="14"/>
  <c r="BJ97" i="14"/>
  <c r="BE97" i="14"/>
  <c r="AQ97" i="14"/>
  <c r="BB97" i="14"/>
  <c r="BJ73" i="14"/>
  <c r="BE73" i="14"/>
  <c r="BB73" i="14"/>
  <c r="AQ73" i="14"/>
  <c r="BJ201" i="14"/>
  <c r="BE201" i="14"/>
  <c r="AQ201" i="14"/>
  <c r="BB201" i="14"/>
  <c r="J301" i="9"/>
  <c r="K301" i="9"/>
  <c r="AQ104" i="14"/>
  <c r="BJ104" i="14"/>
  <c r="BB104" i="14"/>
  <c r="BE104" i="14"/>
  <c r="BB34" i="14"/>
  <c r="AQ34" i="14"/>
  <c r="BJ34" i="14"/>
  <c r="BE34" i="14"/>
  <c r="AC112" i="14"/>
  <c r="AF112" i="14"/>
  <c r="J318" i="9"/>
  <c r="K318" i="9"/>
  <c r="BE267" i="13"/>
  <c r="BB267" i="13"/>
  <c r="BE168" i="14"/>
  <c r="BJ168" i="14"/>
  <c r="BB168" i="14"/>
  <c r="AQ168" i="14"/>
  <c r="BB163" i="14"/>
  <c r="AQ163" i="14"/>
  <c r="BE163" i="14"/>
  <c r="BJ163" i="14"/>
  <c r="AG36" i="14"/>
  <c r="J268" i="9"/>
  <c r="K268" i="9"/>
  <c r="BM208" i="14"/>
  <c r="BH208" i="14"/>
  <c r="AM169" i="14"/>
  <c r="AK169" i="14"/>
  <c r="AG145" i="14"/>
  <c r="BH137" i="14"/>
  <c r="BM137" i="14"/>
  <c r="P171" i="9"/>
  <c r="K249" i="9"/>
  <c r="J249" i="9"/>
  <c r="J247" i="9"/>
  <c r="K247" i="9"/>
  <c r="BH252" i="13"/>
  <c r="BM252" i="13"/>
  <c r="AM67" i="14"/>
  <c r="AK67" i="14"/>
  <c r="BK37" i="14"/>
  <c r="BF37" i="14"/>
  <c r="K242" i="9"/>
  <c r="J242" i="9"/>
  <c r="AQ176" i="14"/>
  <c r="BJ176" i="14"/>
  <c r="BE176" i="14"/>
  <c r="BB176" i="14"/>
  <c r="AM85" i="14"/>
  <c r="AK85" i="14"/>
  <c r="BK192" i="14"/>
  <c r="BF192" i="14"/>
  <c r="BE189" i="14"/>
  <c r="BB189" i="14"/>
  <c r="BJ189" i="14"/>
  <c r="AQ189" i="14"/>
  <c r="BB135" i="14"/>
  <c r="BE135" i="14"/>
  <c r="AQ135" i="14"/>
  <c r="BJ135" i="14"/>
  <c r="J303" i="9"/>
  <c r="K303" i="9"/>
  <c r="J279" i="9"/>
  <c r="K279" i="9"/>
  <c r="K254" i="9"/>
  <c r="J254" i="9"/>
  <c r="BH204" i="14"/>
  <c r="BM204" i="14"/>
  <c r="BM270" i="13"/>
  <c r="J236" i="9"/>
  <c r="K236" i="9"/>
  <c r="BF284" i="13"/>
  <c r="AQ193" i="14"/>
  <c r="BE193" i="14"/>
  <c r="BJ193" i="14"/>
  <c r="BB193" i="14"/>
  <c r="BM271" i="13"/>
  <c r="AG175" i="14"/>
  <c r="BM288" i="13"/>
  <c r="BE215" i="14"/>
  <c r="AQ215" i="14"/>
  <c r="BB215" i="14"/>
  <c r="BJ215" i="14"/>
  <c r="BE321" i="13"/>
  <c r="BB321" i="13"/>
  <c r="D209" i="9"/>
  <c r="BH209" i="13"/>
  <c r="K255" i="9"/>
  <c r="J255" i="9"/>
  <c r="BE217" i="14"/>
  <c r="BB217" i="14"/>
  <c r="BJ217" i="14"/>
  <c r="AQ217" i="14"/>
  <c r="BJ68" i="14"/>
  <c r="AQ68" i="14"/>
  <c r="BE68" i="14"/>
  <c r="BB68" i="14"/>
  <c r="BB111" i="14"/>
  <c r="BJ111" i="14"/>
  <c r="AQ111" i="14"/>
  <c r="BE111" i="14"/>
  <c r="K321" i="9"/>
  <c r="J321" i="9"/>
  <c r="BE154" i="14"/>
  <c r="BJ154" i="14"/>
  <c r="AQ154" i="14"/>
  <c r="BB154" i="14"/>
  <c r="BE84" i="14"/>
  <c r="BJ84" i="14"/>
  <c r="AQ84" i="14"/>
  <c r="BB84" i="14"/>
  <c r="BB183" i="14"/>
  <c r="BJ183" i="14"/>
  <c r="AQ183" i="14"/>
  <c r="BE183" i="14"/>
  <c r="BJ99" i="14"/>
  <c r="BB99" i="14"/>
  <c r="BE99" i="14"/>
  <c r="AQ99" i="14"/>
  <c r="AG103" i="14"/>
  <c r="BB317" i="13"/>
  <c r="BE317" i="13"/>
  <c r="BB249" i="13"/>
  <c r="BE249" i="13"/>
  <c r="BJ249" i="13"/>
  <c r="BB207" i="14"/>
  <c r="BE207" i="14"/>
  <c r="AQ207" i="14"/>
  <c r="BJ207" i="14"/>
  <c r="J282" i="9"/>
  <c r="K282" i="9"/>
  <c r="AC195" i="14"/>
  <c r="AF195" i="14"/>
  <c r="P120" i="9"/>
  <c r="BF286" i="13"/>
  <c r="AC164" i="14"/>
  <c r="AF164" i="14"/>
  <c r="BB114" i="14"/>
  <c r="BJ114" i="14"/>
  <c r="BE114" i="14"/>
  <c r="AQ114" i="14"/>
  <c r="J270" i="9"/>
  <c r="K270" i="9"/>
  <c r="P31" i="9"/>
  <c r="J311" i="9"/>
  <c r="K311" i="9"/>
  <c r="BE177" i="14"/>
  <c r="BB177" i="14"/>
  <c r="BJ177" i="14"/>
  <c r="AQ177" i="14"/>
  <c r="P144" i="9"/>
  <c r="P81" i="9"/>
  <c r="BB297" i="13"/>
  <c r="BE297" i="13"/>
  <c r="BJ297" i="13"/>
  <c r="AM307" i="13"/>
  <c r="BE266" i="13"/>
  <c r="BB266" i="13"/>
  <c r="Q15" i="31"/>
  <c r="Q16" i="31"/>
  <c r="Q17" i="31" s="1"/>
  <c r="Q13" i="31"/>
  <c r="AK325" i="13"/>
  <c r="BF297" i="13"/>
  <c r="BK297" i="13"/>
  <c r="R13" i="31"/>
  <c r="R16" i="31"/>
  <c r="R17" i="31" s="1"/>
  <c r="R15" i="31"/>
  <c r="L32" i="30"/>
  <c r="L33" i="30" s="1"/>
  <c r="AZ4" i="13"/>
  <c r="H44" i="4" s="1"/>
  <c r="L47" i="30"/>
  <c r="AZ5" i="13"/>
  <c r="H45" i="4" s="1"/>
  <c r="AQ167" i="14"/>
  <c r="BE167" i="14"/>
  <c r="BJ167" i="14"/>
  <c r="BB167" i="14"/>
  <c r="BJ46" i="14"/>
  <c r="BB46" i="14"/>
  <c r="AQ46" i="14"/>
  <c r="BE46" i="14"/>
  <c r="BH86" i="14"/>
  <c r="BM86" i="14"/>
  <c r="P213" i="9"/>
  <c r="BB70" i="14"/>
  <c r="BE70" i="14"/>
  <c r="AQ70" i="14"/>
  <c r="BJ70" i="14"/>
  <c r="BM246" i="13"/>
  <c r="BH246" i="13"/>
  <c r="P24" i="9"/>
  <c r="J267" i="9"/>
  <c r="K267" i="9"/>
  <c r="P142" i="9"/>
  <c r="BK130" i="14"/>
  <c r="BF130" i="14"/>
  <c r="AQ47" i="14"/>
  <c r="BB47" i="14"/>
  <c r="BJ47" i="14"/>
  <c r="BE47" i="14"/>
  <c r="BK39" i="14"/>
  <c r="BF39" i="14"/>
  <c r="BJ150" i="14"/>
  <c r="BE150" i="14"/>
  <c r="AQ150" i="14"/>
  <c r="BB150" i="14"/>
  <c r="BE64" i="14"/>
  <c r="AQ64" i="14"/>
  <c r="BB64" i="14"/>
  <c r="BJ64" i="14"/>
  <c r="BE60" i="14"/>
  <c r="AQ60" i="14"/>
  <c r="BJ60" i="14"/>
  <c r="BB60" i="14"/>
  <c r="BM158" i="14"/>
  <c r="BH158" i="14"/>
  <c r="BE170" i="14"/>
  <c r="BJ170" i="14"/>
  <c r="AQ170" i="14"/>
  <c r="BB170" i="14"/>
  <c r="AM39" i="14"/>
  <c r="AK39" i="14"/>
  <c r="P65" i="9"/>
  <c r="BH282" i="13"/>
  <c r="BJ40" i="14"/>
  <c r="AQ40" i="14"/>
  <c r="BE40" i="14"/>
  <c r="BB40" i="14"/>
  <c r="BH187" i="14"/>
  <c r="BM187" i="14"/>
  <c r="P128" i="9"/>
  <c r="AQ156" i="14"/>
  <c r="BB156" i="14"/>
  <c r="BJ156" i="14"/>
  <c r="BE156" i="14"/>
  <c r="BB50" i="14"/>
  <c r="AQ50" i="14"/>
  <c r="BE50" i="14"/>
  <c r="BJ50" i="14"/>
  <c r="AG71" i="14"/>
  <c r="BB49" i="14"/>
  <c r="BE49" i="14"/>
  <c r="BJ49" i="14"/>
  <c r="AQ49" i="14"/>
  <c r="BM273" i="13"/>
  <c r="P108" i="9"/>
  <c r="BM280" i="13"/>
  <c r="P17" i="9"/>
  <c r="BE116" i="14"/>
  <c r="BJ116" i="14"/>
  <c r="AQ116" i="14"/>
  <c r="BB116" i="14"/>
  <c r="P26" i="9"/>
  <c r="BM220" i="14"/>
  <c r="BH220" i="14"/>
  <c r="K319" i="9"/>
  <c r="J319" i="9"/>
  <c r="BH45" i="14"/>
  <c r="BM45" i="14"/>
  <c r="AQ179" i="14"/>
  <c r="BE179" i="14"/>
  <c r="BJ179" i="14"/>
  <c r="BB179" i="14"/>
  <c r="P102" i="9"/>
  <c r="P100" i="9"/>
  <c r="BH301" i="13"/>
  <c r="BM301" i="13"/>
  <c r="AQ57" i="14"/>
  <c r="BB57" i="14"/>
  <c r="BJ57" i="14"/>
  <c r="BE57" i="14"/>
  <c r="BJ141" i="14"/>
  <c r="AQ141" i="14"/>
  <c r="BE141" i="14"/>
  <c r="BB141" i="14"/>
  <c r="BK125" i="14"/>
  <c r="BF125" i="14"/>
  <c r="BF67" i="14"/>
  <c r="BK67" i="14"/>
  <c r="BE212" i="14"/>
  <c r="AQ212" i="14"/>
  <c r="BJ212" i="14"/>
  <c r="BB212" i="14"/>
  <c r="BK61" i="14"/>
  <c r="BF61" i="14"/>
  <c r="BK85" i="14"/>
  <c r="BF85" i="14"/>
  <c r="BB98" i="14"/>
  <c r="AQ98" i="14"/>
  <c r="BE98" i="14"/>
  <c r="BJ98" i="14"/>
  <c r="BK94" i="14"/>
  <c r="BF94" i="14"/>
  <c r="BH219" i="14"/>
  <c r="BM219" i="14"/>
  <c r="BM283" i="13"/>
  <c r="BH96" i="14"/>
  <c r="BM96" i="14"/>
  <c r="AG165" i="14"/>
  <c r="P14" i="9"/>
  <c r="AG66" i="14"/>
  <c r="BF258" i="13"/>
  <c r="BK258" i="13"/>
  <c r="AM52" i="14"/>
  <c r="AK52" i="14"/>
  <c r="AC160" i="14"/>
  <c r="AF160" i="14"/>
  <c r="BM279" i="13"/>
  <c r="BB82" i="14"/>
  <c r="BJ82" i="14"/>
  <c r="AQ82" i="14"/>
  <c r="BE82" i="14"/>
  <c r="BM274" i="13"/>
  <c r="BK42" i="14"/>
  <c r="AG29" i="14"/>
  <c r="BE284" i="13"/>
  <c r="BB284" i="13"/>
  <c r="AM290" i="13"/>
  <c r="BJ258" i="13"/>
  <c r="BE258" i="13"/>
  <c r="BB258" i="13"/>
  <c r="K240" i="9"/>
  <c r="J240" i="9"/>
  <c r="P174" i="9"/>
  <c r="P23" i="9"/>
  <c r="BB181" i="14"/>
  <c r="AQ181" i="14"/>
  <c r="BJ181" i="14"/>
  <c r="BE181" i="14"/>
  <c r="BK282" i="13"/>
  <c r="BJ155" i="14"/>
  <c r="AQ155" i="14"/>
  <c r="BB155" i="14"/>
  <c r="BE155" i="14"/>
  <c r="BB87" i="14"/>
  <c r="BE87" i="14"/>
  <c r="BJ87" i="14"/>
  <c r="AQ87" i="14"/>
  <c r="BB149" i="14"/>
  <c r="BJ149" i="14"/>
  <c r="AQ149" i="14"/>
  <c r="BE149" i="14"/>
  <c r="BE134" i="14"/>
  <c r="AQ134" i="14"/>
  <c r="BB134" i="14"/>
  <c r="BJ134" i="14"/>
  <c r="AG157" i="14"/>
  <c r="P210" i="9"/>
  <c r="BE265" i="13"/>
  <c r="AM276" i="13"/>
  <c r="BB265" i="13"/>
  <c r="D101" i="9"/>
  <c r="BH101" i="13"/>
  <c r="J250" i="9"/>
  <c r="K250" i="9"/>
  <c r="BM272" i="13"/>
  <c r="BB90" i="14"/>
  <c r="BE90" i="14"/>
  <c r="AQ90" i="14"/>
  <c r="BJ90" i="14"/>
  <c r="BF265" i="13"/>
  <c r="AN276" i="13"/>
  <c r="T21" i="9"/>
  <c r="K162" i="14"/>
  <c r="L162" i="14"/>
  <c r="S162" i="14"/>
  <c r="K235" i="9"/>
  <c r="J235" i="9"/>
  <c r="BF267" i="13"/>
  <c r="BB117" i="14"/>
  <c r="AQ117" i="14"/>
  <c r="BE117" i="14"/>
  <c r="BJ117" i="14"/>
  <c r="J273" i="9"/>
  <c r="K273" i="9"/>
  <c r="K237" i="9"/>
  <c r="J237" i="9"/>
  <c r="BM281" i="13"/>
  <c r="BF106" i="14"/>
  <c r="BK106" i="14"/>
  <c r="AM9" i="13"/>
  <c r="BB222" i="13"/>
  <c r="BB9" i="13" s="1"/>
  <c r="AY9" i="13"/>
  <c r="BE222" i="13"/>
  <c r="BE9" i="13" s="1"/>
  <c r="BE240" i="13"/>
  <c r="BJ240" i="13"/>
  <c r="BB240" i="13"/>
  <c r="AM262" i="13"/>
  <c r="Q19" i="31"/>
  <c r="Q21" i="31"/>
  <c r="Q22" i="31"/>
  <c r="Q23" i="31" s="1"/>
  <c r="BF287" i="13"/>
  <c r="BF266" i="13"/>
  <c r="BF313" i="13"/>
  <c r="AN325" i="13"/>
  <c r="BJ199" i="14"/>
  <c r="BE199" i="14"/>
  <c r="BB199" i="14"/>
  <c r="AQ199" i="14"/>
  <c r="K80" i="9"/>
  <c r="J80" i="9"/>
  <c r="W80" i="9" s="1"/>
  <c r="P55" i="9"/>
  <c r="BJ180" i="14"/>
  <c r="BE180" i="14"/>
  <c r="BB180" i="14"/>
  <c r="AQ180" i="14"/>
  <c r="K314" i="9"/>
  <c r="J314" i="9"/>
  <c r="BE153" i="14"/>
  <c r="BJ153" i="14"/>
  <c r="BB153" i="14"/>
  <c r="AQ153" i="14"/>
  <c r="BJ178" i="14"/>
  <c r="AQ178" i="14"/>
  <c r="BE178" i="14"/>
  <c r="BB178" i="14"/>
  <c r="BE130" i="14"/>
  <c r="AQ130" i="14"/>
  <c r="BB130" i="14"/>
  <c r="BJ130" i="14"/>
  <c r="AM94" i="14" l="1"/>
  <c r="AQ94" i="14" s="1"/>
  <c r="BB42" i="14"/>
  <c r="AQ42" i="14"/>
  <c r="AK42" i="14"/>
  <c r="AJ198" i="14"/>
  <c r="AN198" i="14" s="1"/>
  <c r="BF198" i="14" s="1"/>
  <c r="AI151" i="14"/>
  <c r="AM151" i="14" s="1"/>
  <c r="AG160" i="14"/>
  <c r="AI160" i="14" s="1"/>
  <c r="L34" i="30"/>
  <c r="L35" i="30" s="1"/>
  <c r="AG146" i="14"/>
  <c r="AJ146" i="14" s="1"/>
  <c r="AQ290" i="13"/>
  <c r="BM290" i="13" s="1"/>
  <c r="AG112" i="14"/>
  <c r="AJ112" i="14" s="1"/>
  <c r="AN112" i="14" s="1"/>
  <c r="AG195" i="14"/>
  <c r="AI195" i="14" s="1"/>
  <c r="K227" i="9"/>
  <c r="J227" i="9"/>
  <c r="BH180" i="14"/>
  <c r="BM180" i="14"/>
  <c r="BM199" i="14"/>
  <c r="BH199" i="14"/>
  <c r="T55" i="9"/>
  <c r="BH178" i="14"/>
  <c r="BM178" i="14"/>
  <c r="BM153" i="14"/>
  <c r="BH153" i="14"/>
  <c r="BK287" i="13"/>
  <c r="BM117" i="14"/>
  <c r="BH117" i="14"/>
  <c r="BK265" i="13"/>
  <c r="BH265" i="13"/>
  <c r="AQ276" i="13"/>
  <c r="BJ265" i="13"/>
  <c r="T210" i="9"/>
  <c r="BM155" i="14"/>
  <c r="BH155" i="14"/>
  <c r="T23" i="9"/>
  <c r="BE290" i="13"/>
  <c r="BB290" i="13"/>
  <c r="BJ290" i="13"/>
  <c r="BJ284" i="13"/>
  <c r="AQ52" i="14"/>
  <c r="BB52" i="14"/>
  <c r="BJ52" i="14"/>
  <c r="BE52" i="14"/>
  <c r="T14" i="9"/>
  <c r="T102" i="9"/>
  <c r="T17" i="9"/>
  <c r="T108" i="9"/>
  <c r="T128" i="9"/>
  <c r="T65" i="9"/>
  <c r="BH70" i="14"/>
  <c r="BM70" i="14"/>
  <c r="BJ266" i="13"/>
  <c r="T81" i="9"/>
  <c r="BH114" i="14"/>
  <c r="BM114" i="14"/>
  <c r="BK286" i="13"/>
  <c r="BH207" i="14"/>
  <c r="BM207" i="14"/>
  <c r="AJ103" i="14"/>
  <c r="AN103" i="14" s="1"/>
  <c r="AI103" i="14"/>
  <c r="BH183" i="14"/>
  <c r="BM183" i="14"/>
  <c r="BM217" i="14"/>
  <c r="BH217" i="14"/>
  <c r="BM209" i="13"/>
  <c r="BM215" i="14"/>
  <c r="BH215" i="14"/>
  <c r="BM189" i="14"/>
  <c r="BH189" i="14"/>
  <c r="T171" i="9"/>
  <c r="BM163" i="14"/>
  <c r="BH163" i="14"/>
  <c r="BJ267" i="13"/>
  <c r="BM34" i="14"/>
  <c r="BH34" i="14"/>
  <c r="BH201" i="14"/>
  <c r="BM201" i="14"/>
  <c r="T27" i="9"/>
  <c r="BB325" i="13"/>
  <c r="BE325" i="13"/>
  <c r="BJ325" i="13"/>
  <c r="BM159" i="14"/>
  <c r="BH159" i="14"/>
  <c r="BM197" i="14"/>
  <c r="BH197" i="14"/>
  <c r="BK285" i="13"/>
  <c r="BM77" i="14"/>
  <c r="BH77" i="14"/>
  <c r="T56" i="9"/>
  <c r="BB37" i="14"/>
  <c r="BE37" i="14"/>
  <c r="AQ37" i="14"/>
  <c r="BJ37" i="14"/>
  <c r="J300" i="9"/>
  <c r="K300" i="9"/>
  <c r="BM200" i="14"/>
  <c r="BH200" i="14"/>
  <c r="BH126" i="14"/>
  <c r="BM126" i="14"/>
  <c r="BH285" i="13"/>
  <c r="K41" i="9"/>
  <c r="J41" i="9"/>
  <c r="W41" i="9" s="1"/>
  <c r="K33" i="30"/>
  <c r="K34" i="30" s="1"/>
  <c r="BM297" i="13"/>
  <c r="BH297" i="13"/>
  <c r="AQ307" i="13"/>
  <c r="BH313" i="13"/>
  <c r="BM313" i="13"/>
  <c r="AQ325" i="13"/>
  <c r="K30" i="9"/>
  <c r="J30" i="9"/>
  <c r="W30" i="9" s="1"/>
  <c r="D222" i="9"/>
  <c r="BB232" i="13"/>
  <c r="BE232" i="13"/>
  <c r="BM42" i="14"/>
  <c r="BH42" i="14"/>
  <c r="BH148" i="14"/>
  <c r="BM148" i="14"/>
  <c r="BH123" i="14"/>
  <c r="BM123" i="14"/>
  <c r="BM109" i="14"/>
  <c r="BH109" i="14"/>
  <c r="AM44" i="14"/>
  <c r="AK44" i="14"/>
  <c r="BH140" i="14"/>
  <c r="BM140" i="14"/>
  <c r="BK151" i="14"/>
  <c r="BF151" i="14"/>
  <c r="AC162" i="14"/>
  <c r="AF162" i="14"/>
  <c r="BK276" i="13"/>
  <c r="BF276" i="13"/>
  <c r="BH286" i="13"/>
  <c r="BM101" i="13"/>
  <c r="BJ276" i="13"/>
  <c r="BE276" i="13"/>
  <c r="BB276" i="13"/>
  <c r="AI157" i="14"/>
  <c r="AJ157" i="14"/>
  <c r="AN157" i="14" s="1"/>
  <c r="BM87" i="14"/>
  <c r="BH87" i="14"/>
  <c r="BH98" i="14"/>
  <c r="BM98" i="14"/>
  <c r="BM57" i="14"/>
  <c r="BH57" i="14"/>
  <c r="BH179" i="14"/>
  <c r="BM179" i="14"/>
  <c r="T26" i="9"/>
  <c r="BM116" i="14"/>
  <c r="BH116" i="14"/>
  <c r="BM282" i="13"/>
  <c r="BH60" i="14"/>
  <c r="BM60" i="14"/>
  <c r="BE307" i="13"/>
  <c r="BB307" i="13"/>
  <c r="BJ307" i="13"/>
  <c r="BJ317" i="13"/>
  <c r="BM84" i="14"/>
  <c r="BH84" i="14"/>
  <c r="BM321" i="13"/>
  <c r="BH321" i="13"/>
  <c r="BH258" i="13"/>
  <c r="BM258" i="13"/>
  <c r="AJ175" i="14"/>
  <c r="AN175" i="14" s="1"/>
  <c r="AI175" i="14"/>
  <c r="BK284" i="13"/>
  <c r="BH135" i="14"/>
  <c r="BM135" i="14"/>
  <c r="BH176" i="14"/>
  <c r="BM176" i="14"/>
  <c r="BE169" i="14"/>
  <c r="BJ169" i="14"/>
  <c r="AQ169" i="14"/>
  <c r="BB169" i="14"/>
  <c r="BH104" i="14"/>
  <c r="BM104" i="14"/>
  <c r="T78" i="9"/>
  <c r="N34" i="30"/>
  <c r="BM124" i="14"/>
  <c r="BH124" i="14"/>
  <c r="BM152" i="14"/>
  <c r="BH152" i="14"/>
  <c r="BK317" i="13"/>
  <c r="BJ286" i="13"/>
  <c r="BM191" i="14"/>
  <c r="BH191" i="14"/>
  <c r="BK321" i="13"/>
  <c r="T143" i="9"/>
  <c r="T13" i="9"/>
  <c r="K251" i="9"/>
  <c r="J251" i="9"/>
  <c r="BM41" i="13"/>
  <c r="AJ20" i="14"/>
  <c r="AN20" i="14" s="1"/>
  <c r="AI20" i="14"/>
  <c r="BF232" i="13"/>
  <c r="AQ232" i="13"/>
  <c r="BH227" i="13"/>
  <c r="BM227" i="13"/>
  <c r="BM30" i="13"/>
  <c r="BB106" i="14"/>
  <c r="AQ106" i="14"/>
  <c r="BJ106" i="14"/>
  <c r="BE106" i="14"/>
  <c r="T12" i="9"/>
  <c r="BJ228" i="13"/>
  <c r="AM48" i="14"/>
  <c r="AK48" i="14"/>
  <c r="BH202" i="14"/>
  <c r="BM202" i="14"/>
  <c r="BE61" i="14"/>
  <c r="BB61" i="14"/>
  <c r="AQ61" i="14"/>
  <c r="BJ61" i="14"/>
  <c r="BM130" i="14"/>
  <c r="BH130" i="14"/>
  <c r="K315" i="9"/>
  <c r="J315" i="9"/>
  <c r="BJ262" i="13"/>
  <c r="BE262" i="13"/>
  <c r="BB262" i="13"/>
  <c r="AS9" i="13"/>
  <c r="BJ222" i="13"/>
  <c r="BJ9" i="13" s="1"/>
  <c r="X21" i="9"/>
  <c r="BM317" i="13"/>
  <c r="BH317" i="13"/>
  <c r="BH249" i="13"/>
  <c r="BM249" i="13"/>
  <c r="BH134" i="14"/>
  <c r="BM134" i="14"/>
  <c r="BH149" i="14"/>
  <c r="BM149" i="14"/>
  <c r="T174" i="9"/>
  <c r="BK198" i="14"/>
  <c r="AJ66" i="14"/>
  <c r="AN66" i="14" s="1"/>
  <c r="AI66" i="14"/>
  <c r="AJ165" i="14"/>
  <c r="AN165" i="14" s="1"/>
  <c r="AI165" i="14"/>
  <c r="T100" i="9"/>
  <c r="BM49" i="14"/>
  <c r="BH49" i="14"/>
  <c r="BH50" i="14"/>
  <c r="BM50" i="14"/>
  <c r="BM40" i="14"/>
  <c r="BH40" i="14"/>
  <c r="BJ39" i="14"/>
  <c r="BE39" i="14"/>
  <c r="AQ39" i="14"/>
  <c r="BB39" i="14"/>
  <c r="T142" i="9"/>
  <c r="T144" i="9"/>
  <c r="T120" i="9"/>
  <c r="BM99" i="14"/>
  <c r="BH99" i="14"/>
  <c r="BH68" i="14"/>
  <c r="BM68" i="14"/>
  <c r="BH230" i="13"/>
  <c r="BM230" i="13"/>
  <c r="BJ321" i="13"/>
  <c r="AQ67" i="14"/>
  <c r="BJ67" i="14"/>
  <c r="BB67" i="14"/>
  <c r="BE67" i="14"/>
  <c r="AI145" i="14"/>
  <c r="AJ145" i="14"/>
  <c r="AN145" i="14" s="1"/>
  <c r="BM168" i="14"/>
  <c r="BH168" i="14"/>
  <c r="BM97" i="14"/>
  <c r="BH97" i="14"/>
  <c r="BM136" i="14"/>
  <c r="BH136" i="14"/>
  <c r="AG43" i="14"/>
  <c r="BK222" i="13"/>
  <c r="BK9" i="13" s="1"/>
  <c r="AT9" i="13"/>
  <c r="BJ313" i="13"/>
  <c r="BJ287" i="13"/>
  <c r="T15" i="9"/>
  <c r="AM198" i="14"/>
  <c r="AK198" i="14"/>
  <c r="X62" i="9"/>
  <c r="T172" i="9"/>
  <c r="AQ192" i="14"/>
  <c r="BE192" i="14"/>
  <c r="BJ192" i="14"/>
  <c r="BB192" i="14"/>
  <c r="P122" i="9"/>
  <c r="BH79" i="14"/>
  <c r="BM79" i="14"/>
  <c r="T18" i="9"/>
  <c r="BH131" i="14"/>
  <c r="BM131" i="14"/>
  <c r="BK227" i="13"/>
  <c r="BH287" i="13"/>
  <c r="BJ227" i="13"/>
  <c r="BM89" i="14"/>
  <c r="BH89" i="14"/>
  <c r="BF48" i="14"/>
  <c r="BK48" i="14"/>
  <c r="T182" i="9"/>
  <c r="BK230" i="13"/>
  <c r="K281" i="9"/>
  <c r="J281" i="9"/>
  <c r="T38" i="9"/>
  <c r="BB125" i="14"/>
  <c r="AQ125" i="14"/>
  <c r="BJ125" i="14"/>
  <c r="BE125" i="14"/>
  <c r="BK228" i="13"/>
  <c r="P80" i="9"/>
  <c r="BK313" i="13"/>
  <c r="BF325" i="13"/>
  <c r="BK325" i="13"/>
  <c r="BK266" i="13"/>
  <c r="K245" i="9"/>
  <c r="J245" i="9"/>
  <c r="Q14" i="31"/>
  <c r="BK267" i="13"/>
  <c r="BH90" i="14"/>
  <c r="BM90" i="14"/>
  <c r="BH228" i="13"/>
  <c r="BM228" i="13"/>
  <c r="J101" i="9"/>
  <c r="W101" i="9" s="1"/>
  <c r="K101" i="9"/>
  <c r="BH181" i="14"/>
  <c r="BM181" i="14"/>
  <c r="AJ29" i="14"/>
  <c r="AN29" i="14" s="1"/>
  <c r="AI29" i="14"/>
  <c r="BM82" i="14"/>
  <c r="BH82" i="14"/>
  <c r="BH212" i="14"/>
  <c r="BM212" i="14"/>
  <c r="BH141" i="14"/>
  <c r="BM141" i="14"/>
  <c r="AJ71" i="14"/>
  <c r="AN71" i="14" s="1"/>
  <c r="AI71" i="14"/>
  <c r="BH156" i="14"/>
  <c r="BM156" i="14"/>
  <c r="BM170" i="14"/>
  <c r="BH170" i="14"/>
  <c r="BM64" i="14"/>
  <c r="BH64" i="14"/>
  <c r="BH150" i="14"/>
  <c r="BM150" i="14"/>
  <c r="BM47" i="14"/>
  <c r="BH47" i="14"/>
  <c r="T24" i="9"/>
  <c r="T213" i="9"/>
  <c r="BH46" i="14"/>
  <c r="BM46" i="14"/>
  <c r="BH167" i="14"/>
  <c r="BM167" i="14"/>
  <c r="BH177" i="14"/>
  <c r="BM177" i="14"/>
  <c r="T31" i="9"/>
  <c r="AG164" i="14"/>
  <c r="BM154" i="14"/>
  <c r="BH154" i="14"/>
  <c r="BH111" i="14"/>
  <c r="BM111" i="14"/>
  <c r="BH284" i="13"/>
  <c r="K209" i="9"/>
  <c r="J209" i="9"/>
  <c r="W209" i="9" s="1"/>
  <c r="BM193" i="14"/>
  <c r="BH193" i="14"/>
  <c r="BE85" i="14"/>
  <c r="BB85" i="14"/>
  <c r="BJ85" i="14"/>
  <c r="AQ85" i="14"/>
  <c r="AJ36" i="14"/>
  <c r="AN36" i="14" s="1"/>
  <c r="AI36" i="14"/>
  <c r="BM73" i="14"/>
  <c r="BH73" i="14"/>
  <c r="BK262" i="13"/>
  <c r="BF262" i="13"/>
  <c r="R14" i="31"/>
  <c r="AB324" i="9"/>
  <c r="AB261" i="9"/>
  <c r="AB231" i="9"/>
  <c r="AB306" i="9"/>
  <c r="AB222" i="9"/>
  <c r="AB8" i="9" s="1"/>
  <c r="BJ230" i="13"/>
  <c r="BM28" i="14"/>
  <c r="BH28" i="14"/>
  <c r="BM88" i="14"/>
  <c r="BH88" i="14"/>
  <c r="BM54" i="14"/>
  <c r="BH54" i="14"/>
  <c r="BJ184" i="14"/>
  <c r="BB184" i="14"/>
  <c r="BE184" i="14"/>
  <c r="AQ184" i="14"/>
  <c r="BH267" i="13"/>
  <c r="T139" i="9"/>
  <c r="BH147" i="14"/>
  <c r="BM147" i="14"/>
  <c r="BJ94" i="14"/>
  <c r="BE94" i="14"/>
  <c r="BH222" i="13"/>
  <c r="BH9" i="13" s="1"/>
  <c r="AQ9" i="13"/>
  <c r="BH266" i="13"/>
  <c r="BM240" i="13"/>
  <c r="BH240" i="13"/>
  <c r="AQ262" i="13"/>
  <c r="T22" i="9"/>
  <c r="BM166" i="14"/>
  <c r="BH166" i="14"/>
  <c r="T33" i="9"/>
  <c r="BM35" i="14"/>
  <c r="BH35" i="14"/>
  <c r="BM269" i="13"/>
  <c r="BM173" i="14"/>
  <c r="BH173" i="14"/>
  <c r="BJ285" i="13"/>
  <c r="BK44" i="14"/>
  <c r="BF44" i="14"/>
  <c r="BB94" i="14" l="1"/>
  <c r="AK151" i="14"/>
  <c r="AJ160" i="14"/>
  <c r="AN160" i="14" s="1"/>
  <c r="BF160" i="14" s="1"/>
  <c r="AJ195" i="14"/>
  <c r="AN195" i="14" s="1"/>
  <c r="BF195" i="14" s="1"/>
  <c r="AI146" i="14"/>
  <c r="AM146" i="14" s="1"/>
  <c r="BE146" i="14" s="1"/>
  <c r="AI112" i="14"/>
  <c r="AM112" i="14" s="1"/>
  <c r="BB112" i="14" s="1"/>
  <c r="L36" i="30"/>
  <c r="BH290" i="13"/>
  <c r="AG162" i="14"/>
  <c r="AJ162" i="14" s="1"/>
  <c r="AN162" i="14" s="1"/>
  <c r="BK160" i="14"/>
  <c r="BM85" i="14"/>
  <c r="BH85" i="14"/>
  <c r="J283" i="9"/>
  <c r="K283" i="9"/>
  <c r="D289" i="9"/>
  <c r="AI164" i="14"/>
  <c r="AJ164" i="14"/>
  <c r="AN164" i="14" s="1"/>
  <c r="BK71" i="14"/>
  <c r="BF71" i="14"/>
  <c r="J285" i="9"/>
  <c r="K285" i="9"/>
  <c r="X182" i="9"/>
  <c r="BM287" i="13"/>
  <c r="K35" i="30"/>
  <c r="X15" i="9"/>
  <c r="R20" i="31"/>
  <c r="BH67" i="14"/>
  <c r="BM67" i="14"/>
  <c r="AM165" i="14"/>
  <c r="AK165" i="14"/>
  <c r="Q20" i="31"/>
  <c r="BK232" i="13"/>
  <c r="X13" i="9"/>
  <c r="BJ44" i="14"/>
  <c r="AQ44" i="14"/>
  <c r="BB44" i="14"/>
  <c r="BE44" i="14"/>
  <c r="BJ232" i="13"/>
  <c r="K226" i="9"/>
  <c r="D231" i="9"/>
  <c r="J226" i="9"/>
  <c r="J239" i="9"/>
  <c r="K239" i="9"/>
  <c r="D261" i="9"/>
  <c r="BH325" i="13"/>
  <c r="BM325" i="13"/>
  <c r="P41" i="9"/>
  <c r="BJ151" i="14"/>
  <c r="BE151" i="14"/>
  <c r="BB151" i="14"/>
  <c r="AQ151" i="14"/>
  <c r="BK103" i="14"/>
  <c r="BF103" i="14"/>
  <c r="X65" i="9"/>
  <c r="X108" i="9"/>
  <c r="X102" i="9"/>
  <c r="BM266" i="13"/>
  <c r="AW9" i="13"/>
  <c r="BM222" i="13"/>
  <c r="BM9" i="13" s="1"/>
  <c r="X139" i="9"/>
  <c r="J229" i="9"/>
  <c r="K229" i="9"/>
  <c r="P209" i="9"/>
  <c r="X24" i="9"/>
  <c r="AM29" i="14"/>
  <c r="AK29" i="14"/>
  <c r="J248" i="9"/>
  <c r="K248" i="9"/>
  <c r="X38" i="9"/>
  <c r="AB275" i="9"/>
  <c r="X172" i="9"/>
  <c r="BJ146" i="14"/>
  <c r="AJ43" i="14"/>
  <c r="AN43" i="14" s="1"/>
  <c r="AI43" i="14"/>
  <c r="X144" i="9"/>
  <c r="BK165" i="14"/>
  <c r="BF165" i="14"/>
  <c r="AM160" i="14"/>
  <c r="AK160" i="14"/>
  <c r="BJ48" i="14"/>
  <c r="BB48" i="14"/>
  <c r="AQ48" i="14"/>
  <c r="BE48" i="14"/>
  <c r="X12" i="9"/>
  <c r="BM106" i="14"/>
  <c r="BH106" i="14"/>
  <c r="AM20" i="14"/>
  <c r="AK20" i="14"/>
  <c r="AN146" i="14"/>
  <c r="X78" i="9"/>
  <c r="AM175" i="14"/>
  <c r="AK175" i="14"/>
  <c r="AM195" i="14"/>
  <c r="D8" i="9"/>
  <c r="J222" i="9"/>
  <c r="J8" i="9" s="1"/>
  <c r="K284" i="9"/>
  <c r="J284" i="9"/>
  <c r="X23" i="9"/>
  <c r="X210" i="9"/>
  <c r="BM265" i="13"/>
  <c r="N35" i="30"/>
  <c r="X33" i="9"/>
  <c r="BM262" i="13"/>
  <c r="BH262" i="13"/>
  <c r="BH184" i="14"/>
  <c r="BM184" i="14"/>
  <c r="AM36" i="14"/>
  <c r="AK36" i="14"/>
  <c r="J320" i="9"/>
  <c r="K320" i="9"/>
  <c r="BK29" i="14"/>
  <c r="BF29" i="14"/>
  <c r="J316" i="9"/>
  <c r="K316" i="9"/>
  <c r="P101" i="9"/>
  <c r="K36" i="30"/>
  <c r="K37" i="30" s="1"/>
  <c r="K38" i="30" s="1"/>
  <c r="W16" i="14"/>
  <c r="BK112" i="14"/>
  <c r="BF112" i="14"/>
  <c r="BF145" i="14"/>
  <c r="BK145" i="14"/>
  <c r="AM66" i="14"/>
  <c r="AK66" i="14"/>
  <c r="BM61" i="14"/>
  <c r="BH61" i="14"/>
  <c r="BH232" i="13"/>
  <c r="BF20" i="14"/>
  <c r="BK20" i="14"/>
  <c r="BM169" i="14"/>
  <c r="BH169" i="14"/>
  <c r="BF175" i="14"/>
  <c r="BK175" i="14"/>
  <c r="X26" i="9"/>
  <c r="BK157" i="14"/>
  <c r="BF157" i="14"/>
  <c r="K296" i="9"/>
  <c r="J296" i="9"/>
  <c r="D306" i="9"/>
  <c r="P30" i="9"/>
  <c r="K4" i="9"/>
  <c r="I35" i="4" s="1"/>
  <c r="K5" i="9"/>
  <c r="J266" i="9"/>
  <c r="K266" i="9"/>
  <c r="BM285" i="13"/>
  <c r="BM37" i="14"/>
  <c r="BH37" i="14"/>
  <c r="X56" i="9"/>
  <c r="X171" i="9"/>
  <c r="X128" i="9"/>
  <c r="X17" i="9"/>
  <c r="BH276" i="13"/>
  <c r="BM276" i="13"/>
  <c r="X22" i="9"/>
  <c r="BH94" i="14"/>
  <c r="BM94" i="14"/>
  <c r="BM267" i="13"/>
  <c r="BF36" i="14"/>
  <c r="BK36" i="14"/>
  <c r="J257" i="9"/>
  <c r="K257" i="9"/>
  <c r="BM284" i="13"/>
  <c r="BK195" i="14"/>
  <c r="X31" i="9"/>
  <c r="X213" i="9"/>
  <c r="AM71" i="14"/>
  <c r="AK71" i="14"/>
  <c r="K264" i="9"/>
  <c r="D275" i="9"/>
  <c r="J264" i="9"/>
  <c r="T80" i="9"/>
  <c r="BH125" i="14"/>
  <c r="BM125" i="14"/>
  <c r="X18" i="9"/>
  <c r="T122" i="9"/>
  <c r="BM192" i="14"/>
  <c r="BH192" i="14"/>
  <c r="BJ198" i="14"/>
  <c r="BB198" i="14"/>
  <c r="BE198" i="14"/>
  <c r="AQ198" i="14"/>
  <c r="AB289" i="9"/>
  <c r="AM145" i="14"/>
  <c r="AK145" i="14"/>
  <c r="X120" i="9"/>
  <c r="X142" i="9"/>
  <c r="BM39" i="14"/>
  <c r="BH39" i="14"/>
  <c r="X100" i="9"/>
  <c r="BF66" i="14"/>
  <c r="BK66" i="14"/>
  <c r="X174" i="9"/>
  <c r="X143" i="9"/>
  <c r="AM157" i="14"/>
  <c r="AK157" i="14"/>
  <c r="BM286" i="13"/>
  <c r="J286" i="9"/>
  <c r="K286" i="9"/>
  <c r="K265" i="9"/>
  <c r="J265" i="9"/>
  <c r="K312" i="9"/>
  <c r="J312" i="9"/>
  <c r="D324" i="9"/>
  <c r="BM307" i="13"/>
  <c r="BH307" i="13"/>
  <c r="X27" i="9"/>
  <c r="BJ112" i="14"/>
  <c r="AM103" i="14"/>
  <c r="AK103" i="14"/>
  <c r="X81" i="9"/>
  <c r="X14" i="9"/>
  <c r="BH52" i="14"/>
  <c r="BM52" i="14"/>
  <c r="X55" i="9"/>
  <c r="AK195" i="14" l="1"/>
  <c r="K39" i="30"/>
  <c r="K40" i="30" s="1"/>
  <c r="L37" i="30"/>
  <c r="L38" i="30" s="1"/>
  <c r="AK146" i="14"/>
  <c r="AQ146" i="14"/>
  <c r="BH146" i="14" s="1"/>
  <c r="BE112" i="14"/>
  <c r="AQ112" i="14"/>
  <c r="BH112" i="14" s="1"/>
  <c r="AI162" i="14"/>
  <c r="AM162" i="14" s="1"/>
  <c r="AK112" i="14"/>
  <c r="Q11" i="31"/>
  <c r="BF162" i="14"/>
  <c r="BK162" i="14"/>
  <c r="BM146" i="14"/>
  <c r="BM112" i="14"/>
  <c r="AQ157" i="14"/>
  <c r="BJ157" i="14"/>
  <c r="BB157" i="14"/>
  <c r="BE157" i="14"/>
  <c r="AQ71" i="14"/>
  <c r="BB71" i="14"/>
  <c r="BJ71" i="14"/>
  <c r="BE71" i="14"/>
  <c r="J306" i="9"/>
  <c r="K306" i="9"/>
  <c r="AF16" i="14"/>
  <c r="AA16" i="14"/>
  <c r="T101" i="9"/>
  <c r="AQ36" i="14"/>
  <c r="BB36" i="14"/>
  <c r="BJ36" i="14"/>
  <c r="BE36" i="14"/>
  <c r="AK7" i="9"/>
  <c r="T209" i="9"/>
  <c r="AM164" i="14"/>
  <c r="AK164" i="14"/>
  <c r="BM232" i="13"/>
  <c r="Q10" i="31"/>
  <c r="E8" i="9"/>
  <c r="K222" i="9"/>
  <c r="K8" i="9" s="1"/>
  <c r="BJ195" i="14"/>
  <c r="BE195" i="14"/>
  <c r="AQ195" i="14"/>
  <c r="BB195" i="14"/>
  <c r="BF146" i="14"/>
  <c r="BK146" i="14"/>
  <c r="BH48" i="14"/>
  <c r="BM48" i="14"/>
  <c r="AQ29" i="14"/>
  <c r="BE29" i="14"/>
  <c r="BB29" i="14"/>
  <c r="BJ29" i="14"/>
  <c r="BH151" i="14"/>
  <c r="BM151" i="14"/>
  <c r="T41" i="9"/>
  <c r="BH44" i="14"/>
  <c r="BM44" i="14"/>
  <c r="K289" i="9"/>
  <c r="J289" i="9"/>
  <c r="Q9" i="31"/>
  <c r="BE145" i="14"/>
  <c r="BJ145" i="14"/>
  <c r="AQ145" i="14"/>
  <c r="BB145" i="14"/>
  <c r="BH198" i="14"/>
  <c r="BM198" i="14"/>
  <c r="T30" i="9"/>
  <c r="AQ66" i="14"/>
  <c r="BJ66" i="14"/>
  <c r="BE66" i="14"/>
  <c r="BB66" i="14"/>
  <c r="O16" i="9"/>
  <c r="S16" i="9"/>
  <c r="V16" i="9"/>
  <c r="Z16" i="9"/>
  <c r="AM43" i="14"/>
  <c r="AK43" i="14"/>
  <c r="Y16" i="14"/>
  <c r="K261" i="9"/>
  <c r="J261" i="9"/>
  <c r="K231" i="9"/>
  <c r="J231" i="9"/>
  <c r="BB165" i="14"/>
  <c r="BJ165" i="14"/>
  <c r="BE165" i="14"/>
  <c r="AQ165" i="14"/>
  <c r="AQ103" i="14"/>
  <c r="BE103" i="14"/>
  <c r="BB103" i="14"/>
  <c r="BJ103" i="14"/>
  <c r="K324" i="9"/>
  <c r="J324" i="9"/>
  <c r="X122" i="9"/>
  <c r="X80" i="9"/>
  <c r="J275" i="9"/>
  <c r="K275" i="9"/>
  <c r="X16" i="14"/>
  <c r="N36" i="30"/>
  <c r="BJ175" i="14"/>
  <c r="BB175" i="14"/>
  <c r="BE175" i="14"/>
  <c r="AQ175" i="14"/>
  <c r="BE20" i="14"/>
  <c r="AQ20" i="14"/>
  <c r="BB20" i="14"/>
  <c r="BJ20" i="14"/>
  <c r="BB160" i="14"/>
  <c r="BJ160" i="14"/>
  <c r="AQ160" i="14"/>
  <c r="BE160" i="14"/>
  <c r="BK43" i="14"/>
  <c r="BF43" i="14"/>
  <c r="BB146" i="14"/>
  <c r="BF164" i="14"/>
  <c r="BK164" i="14"/>
  <c r="R11" i="31" l="1"/>
  <c r="R10" i="31"/>
  <c r="L39" i="30"/>
  <c r="L40" i="30" s="1"/>
  <c r="R8" i="31" s="1"/>
  <c r="Q8" i="31"/>
  <c r="K53" i="30"/>
  <c r="K41" i="30"/>
  <c r="Q7" i="31" s="1"/>
  <c r="AK162" i="14"/>
  <c r="BM160" i="14"/>
  <c r="BH160" i="14"/>
  <c r="N37" i="30"/>
  <c r="Y19" i="14"/>
  <c r="BH165" i="14"/>
  <c r="BM165" i="14"/>
  <c r="BJ43" i="14"/>
  <c r="BB43" i="14"/>
  <c r="AQ43" i="14"/>
  <c r="BE43" i="14"/>
  <c r="X30" i="9"/>
  <c r="BM29" i="14"/>
  <c r="BH29" i="14"/>
  <c r="BM36" i="14"/>
  <c r="BH36" i="14"/>
  <c r="O19" i="9"/>
  <c r="S19" i="9"/>
  <c r="V19" i="9"/>
  <c r="Z19" i="9"/>
  <c r="AC16" i="9"/>
  <c r="BM195" i="14"/>
  <c r="BH195" i="14"/>
  <c r="X209" i="9"/>
  <c r="BM71" i="14"/>
  <c r="BH71" i="14"/>
  <c r="BH157" i="14"/>
  <c r="BM157" i="14"/>
  <c r="K42" i="30"/>
  <c r="BH20" i="14"/>
  <c r="BM20" i="14"/>
  <c r="BJ162" i="14"/>
  <c r="BB162" i="14"/>
  <c r="BE162" i="14"/>
  <c r="AQ162" i="14"/>
  <c r="X19" i="14"/>
  <c r="W19" i="14"/>
  <c r="BH66" i="14"/>
  <c r="BM66" i="14"/>
  <c r="K52" i="30"/>
  <c r="BM175" i="14"/>
  <c r="BH175" i="14"/>
  <c r="W62" i="14"/>
  <c r="BM103" i="14"/>
  <c r="BH103" i="14"/>
  <c r="W21" i="14"/>
  <c r="BM145" i="14"/>
  <c r="BH145" i="14"/>
  <c r="X41" i="9"/>
  <c r="AQ164" i="14"/>
  <c r="BB164" i="14"/>
  <c r="BE164" i="14"/>
  <c r="BJ164" i="14"/>
  <c r="X101" i="9"/>
  <c r="R9" i="31" l="1"/>
  <c r="L41" i="30"/>
  <c r="R7" i="31" s="1"/>
  <c r="L53" i="30"/>
  <c r="BM162" i="14"/>
  <c r="BH162" i="14"/>
  <c r="N38" i="30"/>
  <c r="AA21" i="14"/>
  <c r="AF21" i="14"/>
  <c r="O62" i="9"/>
  <c r="S62" i="9"/>
  <c r="V62" i="9"/>
  <c r="Z62" i="9"/>
  <c r="AA62" i="14"/>
  <c r="AA19" i="14"/>
  <c r="AF19" i="14"/>
  <c r="W139" i="14"/>
  <c r="W210" i="14"/>
  <c r="W78" i="14"/>
  <c r="BH43" i="14"/>
  <c r="BM43" i="14"/>
  <c r="W38" i="14"/>
  <c r="W174" i="14"/>
  <c r="W120" i="14"/>
  <c r="O21" i="9"/>
  <c r="S21" i="9"/>
  <c r="V21" i="9"/>
  <c r="Z21" i="9"/>
  <c r="X62" i="14"/>
  <c r="K43" i="30"/>
  <c r="K44" i="30" s="1"/>
  <c r="K45" i="30" s="1"/>
  <c r="K46" i="30" s="1"/>
  <c r="K49" i="30" s="1"/>
  <c r="AD16" i="9"/>
  <c r="AF16" i="9"/>
  <c r="AC19" i="9"/>
  <c r="W172" i="14"/>
  <c r="BM164" i="14"/>
  <c r="BH164" i="14"/>
  <c r="W55" i="14"/>
  <c r="X21" i="14"/>
  <c r="W17" i="14"/>
  <c r="W14" i="14"/>
  <c r="Y62" i="14"/>
  <c r="W24" i="14"/>
  <c r="S11" i="31"/>
  <c r="Y21" i="14"/>
  <c r="L42" i="30" l="1"/>
  <c r="L43" i="30" s="1"/>
  <c r="L44" i="30" s="1"/>
  <c r="L45" i="30" s="1"/>
  <c r="L46" i="30" s="1"/>
  <c r="L49" i="30" s="1"/>
  <c r="L52" i="30"/>
  <c r="W13" i="14"/>
  <c r="W26" i="14"/>
  <c r="W182" i="14"/>
  <c r="W108" i="14"/>
  <c r="W31" i="14"/>
  <c r="W102" i="14"/>
  <c r="W56" i="14"/>
  <c r="W142" i="14"/>
  <c r="Y18" i="14"/>
  <c r="X65" i="14"/>
  <c r="X55" i="14"/>
  <c r="AF55" i="14"/>
  <c r="AA55" i="14"/>
  <c r="X56" i="14"/>
  <c r="O172" i="9"/>
  <c r="S172" i="9"/>
  <c r="V172" i="9"/>
  <c r="Z172" i="9"/>
  <c r="AF172" i="14"/>
  <c r="AA172" i="14"/>
  <c r="D16" i="14"/>
  <c r="AH16" i="9"/>
  <c r="F16" i="14" s="1"/>
  <c r="AP16" i="9"/>
  <c r="AM16" i="9"/>
  <c r="AQ16" i="9"/>
  <c r="X100" i="14"/>
  <c r="O144" i="9"/>
  <c r="M304" i="9" s="1"/>
  <c r="S144" i="9"/>
  <c r="Q304" i="9" s="1"/>
  <c r="V144" i="9"/>
  <c r="T304" i="9" s="1"/>
  <c r="Z144" i="9"/>
  <c r="O18" i="9"/>
  <c r="S18" i="9"/>
  <c r="V18" i="9"/>
  <c r="Z18" i="9"/>
  <c r="W18" i="14"/>
  <c r="X27" i="14"/>
  <c r="O174" i="9"/>
  <c r="M255" i="9" s="1"/>
  <c r="S174" i="9"/>
  <c r="Q255" i="9" s="1"/>
  <c r="V174" i="9"/>
  <c r="T255" i="9" s="1"/>
  <c r="Z174" i="9"/>
  <c r="X38" i="14"/>
  <c r="O78" i="9"/>
  <c r="S78" i="9"/>
  <c r="V78" i="9"/>
  <c r="Z78" i="9"/>
  <c r="X210" i="14"/>
  <c r="AA139" i="14"/>
  <c r="AF139" i="14"/>
  <c r="Y38" i="14"/>
  <c r="O213" i="9"/>
  <c r="M259" i="9" s="1"/>
  <c r="S213" i="9"/>
  <c r="Q259" i="9" s="1"/>
  <c r="V213" i="9"/>
  <c r="T259" i="9" s="1"/>
  <c r="Z213" i="9"/>
  <c r="W213" i="14"/>
  <c r="Y210" i="14"/>
  <c r="Y13" i="14"/>
  <c r="O23" i="9"/>
  <c r="S23" i="9"/>
  <c r="V23" i="9"/>
  <c r="Z23" i="9"/>
  <c r="X171" i="14"/>
  <c r="O31" i="9"/>
  <c r="M287" i="9" s="1"/>
  <c r="S31" i="9"/>
  <c r="Q287" i="9" s="1"/>
  <c r="V31" i="9"/>
  <c r="T287" i="9" s="1"/>
  <c r="Z31" i="9"/>
  <c r="AA31" i="14"/>
  <c r="AF31" i="14"/>
  <c r="X108" i="14"/>
  <c r="X24" i="14"/>
  <c r="O128" i="9"/>
  <c r="M301" i="9" s="1"/>
  <c r="S128" i="9"/>
  <c r="Q301" i="9" s="1"/>
  <c r="V128" i="9"/>
  <c r="T301" i="9" s="1"/>
  <c r="Z128" i="9"/>
  <c r="Y128" i="14"/>
  <c r="O81" i="9"/>
  <c r="M246" i="9" s="1"/>
  <c r="S81" i="9"/>
  <c r="Q246" i="9" s="1"/>
  <c r="V81" i="9"/>
  <c r="T246" i="9" s="1"/>
  <c r="Z81" i="9"/>
  <c r="AF102" i="14"/>
  <c r="AA102" i="14"/>
  <c r="O14" i="9"/>
  <c r="S14" i="9"/>
  <c r="V14" i="9"/>
  <c r="Z14" i="9"/>
  <c r="Y65" i="14"/>
  <c r="X17" i="14"/>
  <c r="O65" i="9"/>
  <c r="S65" i="9"/>
  <c r="Q243" i="9" s="1"/>
  <c r="V65" i="9"/>
  <c r="Z65" i="9"/>
  <c r="X33" i="14"/>
  <c r="X172" i="14"/>
  <c r="AD19" i="9"/>
  <c r="AF19" i="9"/>
  <c r="Y108" i="14"/>
  <c r="X142" i="14"/>
  <c r="Y27" i="14"/>
  <c r="Q6" i="31"/>
  <c r="W144" i="14"/>
  <c r="X18" i="14"/>
  <c r="Y102" i="14"/>
  <c r="Y31" i="14"/>
  <c r="X120" i="14"/>
  <c r="O27" i="9"/>
  <c r="S27" i="9"/>
  <c r="V27" i="9"/>
  <c r="Z27" i="9"/>
  <c r="X174" i="14"/>
  <c r="Y174" i="14"/>
  <c r="X213" i="14"/>
  <c r="S10" i="31"/>
  <c r="N39" i="30"/>
  <c r="O22" i="9"/>
  <c r="S22" i="9"/>
  <c r="V22" i="9"/>
  <c r="Z22" i="9"/>
  <c r="Y171" i="14"/>
  <c r="X23" i="14"/>
  <c r="Y26" i="14"/>
  <c r="Y23" i="14"/>
  <c r="X13" i="14"/>
  <c r="AA13" i="14"/>
  <c r="AF13" i="14"/>
  <c r="AA108" i="14"/>
  <c r="AF108" i="14"/>
  <c r="X26" i="14"/>
  <c r="X128" i="14"/>
  <c r="Y144" i="14"/>
  <c r="X102" i="14"/>
  <c r="O17" i="9"/>
  <c r="S17" i="9"/>
  <c r="V17" i="9"/>
  <c r="Z17" i="9"/>
  <c r="W65" i="14"/>
  <c r="O33" i="9"/>
  <c r="M240" i="9" s="1"/>
  <c r="S33" i="9"/>
  <c r="Q240" i="9" s="1"/>
  <c r="V33" i="9"/>
  <c r="T240" i="9" s="1"/>
  <c r="Z33" i="9"/>
  <c r="Y14" i="14"/>
  <c r="Y100" i="14"/>
  <c r="Y143" i="14"/>
  <c r="O142" i="9"/>
  <c r="M302" i="9" s="1"/>
  <c r="S142" i="9"/>
  <c r="Q302" i="9" s="1"/>
  <c r="V142" i="9"/>
  <c r="T302" i="9" s="1"/>
  <c r="Z142" i="9"/>
  <c r="AA142" i="14"/>
  <c r="Y17" i="14"/>
  <c r="K51" i="30"/>
  <c r="AC21" i="9"/>
  <c r="O120" i="9"/>
  <c r="S120" i="9"/>
  <c r="V120" i="9"/>
  <c r="Z120" i="9"/>
  <c r="AA120" i="14"/>
  <c r="AF120" i="14"/>
  <c r="AA174" i="14"/>
  <c r="Y24" i="14"/>
  <c r="Y213" i="14"/>
  <c r="AA78" i="14"/>
  <c r="AF78" i="14"/>
  <c r="AA210" i="14"/>
  <c r="Y78" i="14"/>
  <c r="X182" i="14"/>
  <c r="X139" i="14"/>
  <c r="M243" i="9"/>
  <c r="X22" i="14"/>
  <c r="Y182" i="14"/>
  <c r="O15" i="9"/>
  <c r="S15" i="9"/>
  <c r="V15" i="9"/>
  <c r="Z15" i="9"/>
  <c r="Y139" i="14"/>
  <c r="O143" i="9"/>
  <c r="M303" i="9" s="1"/>
  <c r="S143" i="9"/>
  <c r="Q303" i="9" s="1"/>
  <c r="V143" i="9"/>
  <c r="T303" i="9" s="1"/>
  <c r="Z143" i="9"/>
  <c r="W143" i="14"/>
  <c r="W171" i="14"/>
  <c r="O108" i="9"/>
  <c r="M299" i="9" s="1"/>
  <c r="S108" i="9"/>
  <c r="Q299" i="9" s="1"/>
  <c r="V108" i="9"/>
  <c r="T299" i="9" s="1"/>
  <c r="Z108" i="9"/>
  <c r="O24" i="9"/>
  <c r="S24" i="9"/>
  <c r="V24" i="9"/>
  <c r="Z24" i="9"/>
  <c r="Y22" i="14"/>
  <c r="X81" i="14"/>
  <c r="O26" i="9"/>
  <c r="S26" i="9"/>
  <c r="V26" i="9"/>
  <c r="Z26" i="9"/>
  <c r="Y81" i="14"/>
  <c r="Y33" i="14"/>
  <c r="AF26" i="14"/>
  <c r="AA26" i="14"/>
  <c r="O13" i="9"/>
  <c r="S13" i="9"/>
  <c r="V13" i="9"/>
  <c r="Z13" i="9"/>
  <c r="Y12" i="14"/>
  <c r="AA24" i="14"/>
  <c r="AF24" i="14"/>
  <c r="W128" i="14"/>
  <c r="X31" i="14"/>
  <c r="W81" i="14"/>
  <c r="O102" i="9"/>
  <c r="M249" i="9" s="1"/>
  <c r="S102" i="9"/>
  <c r="Q249" i="9" s="1"/>
  <c r="V102" i="9"/>
  <c r="T249" i="9" s="1"/>
  <c r="Z102" i="9"/>
  <c r="X14" i="14"/>
  <c r="AA14" i="14"/>
  <c r="AA17" i="14"/>
  <c r="W33" i="14"/>
  <c r="O55" i="9"/>
  <c r="S55" i="9"/>
  <c r="V55" i="9"/>
  <c r="Z55" i="9"/>
  <c r="O56" i="9"/>
  <c r="M242" i="9" s="1"/>
  <c r="S56" i="9"/>
  <c r="Q242" i="9" s="1"/>
  <c r="V56" i="9"/>
  <c r="T242" i="9" s="1"/>
  <c r="Z56" i="9"/>
  <c r="AA56" i="14"/>
  <c r="O12" i="9"/>
  <c r="S12" i="9"/>
  <c r="V12" i="9"/>
  <c r="Z12" i="9"/>
  <c r="O100" i="9"/>
  <c r="S100" i="9"/>
  <c r="V100" i="9"/>
  <c r="Z100" i="9"/>
  <c r="W100" i="14"/>
  <c r="Y55" i="14"/>
  <c r="Y142" i="14"/>
  <c r="X144" i="14"/>
  <c r="Y15" i="14"/>
  <c r="W27" i="14"/>
  <c r="O38" i="9"/>
  <c r="S38" i="9"/>
  <c r="V38" i="9"/>
  <c r="Z38" i="9"/>
  <c r="AA38" i="14"/>
  <c r="AF38" i="14"/>
  <c r="X78" i="14"/>
  <c r="O210" i="9"/>
  <c r="S210" i="9"/>
  <c r="V210" i="9"/>
  <c r="Z210" i="9"/>
  <c r="O182" i="9"/>
  <c r="S182" i="9"/>
  <c r="V182" i="9"/>
  <c r="Z182" i="9"/>
  <c r="AA182" i="14"/>
  <c r="AF182" i="14"/>
  <c r="O139" i="9"/>
  <c r="S139" i="9"/>
  <c r="V139" i="9"/>
  <c r="Z139" i="9"/>
  <c r="Y172" i="14"/>
  <c r="X243" i="9"/>
  <c r="AC62" i="9"/>
  <c r="W22" i="14"/>
  <c r="Y56" i="14"/>
  <c r="Y120" i="14"/>
  <c r="X15" i="14"/>
  <c r="W15" i="14"/>
  <c r="W23" i="14"/>
  <c r="X143" i="14"/>
  <c r="O171" i="9"/>
  <c r="S171" i="9"/>
  <c r="V171" i="9"/>
  <c r="Z171" i="9"/>
  <c r="L51" i="30" l="1"/>
  <c r="R6" i="31"/>
  <c r="T279" i="9"/>
  <c r="AF22" i="14"/>
  <c r="AF62" i="9"/>
  <c r="AD62" i="9"/>
  <c r="Q252" i="9"/>
  <c r="Q318" i="9"/>
  <c r="Q228" i="9"/>
  <c r="X272" i="9"/>
  <c r="AC13" i="9"/>
  <c r="X238" i="9"/>
  <c r="AC24" i="9"/>
  <c r="AF171" i="14"/>
  <c r="AA171" i="14"/>
  <c r="Y80" i="14"/>
  <c r="X282" i="9"/>
  <c r="AC15" i="9"/>
  <c r="T250" i="9"/>
  <c r="X302" i="9"/>
  <c r="AC142" i="9"/>
  <c r="T269" i="9"/>
  <c r="X311" i="9"/>
  <c r="X237" i="9"/>
  <c r="X280" i="9"/>
  <c r="X297" i="9"/>
  <c r="AC22" i="9"/>
  <c r="X273" i="9"/>
  <c r="X267" i="9"/>
  <c r="AC27" i="9"/>
  <c r="AA144" i="14"/>
  <c r="M294" i="9"/>
  <c r="M236" i="9"/>
  <c r="M271" i="9"/>
  <c r="O122" i="9"/>
  <c r="M317" i="9" s="1"/>
  <c r="S122" i="9"/>
  <c r="Q317" i="9" s="1"/>
  <c r="V122" i="9"/>
  <c r="T317" i="9" s="1"/>
  <c r="Z122" i="9"/>
  <c r="X301" i="9"/>
  <c r="AC128" i="9"/>
  <c r="M298" i="9"/>
  <c r="T243" i="9"/>
  <c r="X314" i="9"/>
  <c r="X244" i="9"/>
  <c r="AC78" i="9"/>
  <c r="AC18" i="9"/>
  <c r="X254" i="9"/>
  <c r="AC172" i="9"/>
  <c r="T253" i="9"/>
  <c r="T319" i="9"/>
  <c r="T247" i="9"/>
  <c r="T313" i="9"/>
  <c r="T241" i="9"/>
  <c r="Q247" i="9"/>
  <c r="M270" i="9"/>
  <c r="Q313" i="9"/>
  <c r="Q241" i="9"/>
  <c r="T272" i="9"/>
  <c r="AC26" i="9"/>
  <c r="T238" i="9"/>
  <c r="T282" i="9"/>
  <c r="Q250" i="9"/>
  <c r="AF21" i="9"/>
  <c r="AD21" i="9"/>
  <c r="X12" i="14"/>
  <c r="W12" i="14"/>
  <c r="Q269" i="9"/>
  <c r="T297" i="9"/>
  <c r="T280" i="9"/>
  <c r="T237" i="9"/>
  <c r="T311" i="9"/>
  <c r="T273" i="9"/>
  <c r="T267" i="9"/>
  <c r="X236" i="9"/>
  <c r="X294" i="9"/>
  <c r="X271" i="9"/>
  <c r="X281" i="9"/>
  <c r="AC14" i="9"/>
  <c r="X298" i="9"/>
  <c r="AC23" i="9"/>
  <c r="AA213" i="14"/>
  <c r="AF213" i="14"/>
  <c r="T314" i="9"/>
  <c r="T244" i="9"/>
  <c r="X255" i="9"/>
  <c r="AC174" i="9"/>
  <c r="X304" i="9"/>
  <c r="AC144" i="9"/>
  <c r="AN16" i="9"/>
  <c r="AI16" i="9"/>
  <c r="L16" i="14"/>
  <c r="S16" i="14"/>
  <c r="K16" i="14"/>
  <c r="T254" i="9"/>
  <c r="M322" i="9"/>
  <c r="M258" i="9"/>
  <c r="Q270" i="9"/>
  <c r="Q319" i="9"/>
  <c r="Q253" i="9"/>
  <c r="M318" i="9"/>
  <c r="M228" i="9"/>
  <c r="M252" i="9"/>
  <c r="Q321" i="9"/>
  <c r="Q256" i="9"/>
  <c r="X322" i="9"/>
  <c r="X258" i="9"/>
  <c r="AC210" i="9"/>
  <c r="M253" i="9"/>
  <c r="M319" i="9"/>
  <c r="Y122" i="14"/>
  <c r="X318" i="9"/>
  <c r="X228" i="9"/>
  <c r="X252" i="9"/>
  <c r="AC139" i="9"/>
  <c r="M256" i="9"/>
  <c r="M321" i="9"/>
  <c r="T322" i="9"/>
  <c r="T258" i="9"/>
  <c r="Q279" i="9"/>
  <c r="AF100" i="14"/>
  <c r="AA100" i="14"/>
  <c r="M247" i="9"/>
  <c r="X270" i="9"/>
  <c r="AC12" i="9"/>
  <c r="X242" i="9"/>
  <c r="AC56" i="9"/>
  <c r="M313" i="9"/>
  <c r="M241" i="9"/>
  <c r="AA33" i="14"/>
  <c r="Q272" i="9"/>
  <c r="Q238" i="9"/>
  <c r="AF143" i="14"/>
  <c r="AA143" i="14"/>
  <c r="M250" i="9"/>
  <c r="X240" i="9"/>
  <c r="AC33" i="9"/>
  <c r="M269" i="9"/>
  <c r="Q280" i="9"/>
  <c r="Q311" i="9"/>
  <c r="Q237" i="9"/>
  <c r="Q297" i="9"/>
  <c r="Q273" i="9"/>
  <c r="S9" i="31"/>
  <c r="N40" i="30"/>
  <c r="N53" i="30" s="1"/>
  <c r="W209" i="14"/>
  <c r="Q267" i="9"/>
  <c r="T236" i="9"/>
  <c r="T294" i="9"/>
  <c r="T271" i="9"/>
  <c r="T281" i="9"/>
  <c r="X246" i="9"/>
  <c r="AC81" i="9"/>
  <c r="X80" i="14"/>
  <c r="X287" i="9"/>
  <c r="AC31" i="9"/>
  <c r="T298" i="9"/>
  <c r="X259" i="9"/>
  <c r="AC213" i="9"/>
  <c r="Q244" i="9"/>
  <c r="Q314" i="9"/>
  <c r="Q282" i="9"/>
  <c r="Q254" i="9"/>
  <c r="AA23" i="14"/>
  <c r="AF23" i="14"/>
  <c r="T256" i="9"/>
  <c r="T321" i="9"/>
  <c r="X279" i="9"/>
  <c r="AC38" i="9"/>
  <c r="AF81" i="14"/>
  <c r="AA81" i="14"/>
  <c r="AA27" i="14"/>
  <c r="X253" i="9"/>
  <c r="X319" i="9"/>
  <c r="AC171" i="9"/>
  <c r="AA15" i="14"/>
  <c r="AF15" i="14"/>
  <c r="T252" i="9"/>
  <c r="T228" i="9"/>
  <c r="T318" i="9"/>
  <c r="X321" i="9"/>
  <c r="X256" i="9"/>
  <c r="AC182" i="9"/>
  <c r="Q258" i="9"/>
  <c r="Q322" i="9"/>
  <c r="M279" i="9"/>
  <c r="W41" i="14"/>
  <c r="X247" i="9"/>
  <c r="AC100" i="9"/>
  <c r="T270" i="9"/>
  <c r="X241" i="9"/>
  <c r="X313" i="9"/>
  <c r="AC55" i="9"/>
  <c r="X249" i="9"/>
  <c r="AC102" i="9"/>
  <c r="AF128" i="14"/>
  <c r="AA128" i="14"/>
  <c r="M272" i="9"/>
  <c r="M238" i="9"/>
  <c r="X299" i="9"/>
  <c r="AC108" i="9"/>
  <c r="X303" i="9"/>
  <c r="AC143" i="9"/>
  <c r="M282" i="9"/>
  <c r="X250" i="9"/>
  <c r="X317" i="9"/>
  <c r="AC120" i="9"/>
  <c r="AA65" i="14"/>
  <c r="AF65" i="14"/>
  <c r="X269" i="9"/>
  <c r="AC17" i="9"/>
  <c r="M311" i="9"/>
  <c r="M280" i="9"/>
  <c r="M297" i="9"/>
  <c r="M237" i="9"/>
  <c r="M273" i="9"/>
  <c r="M267" i="9"/>
  <c r="D19" i="14"/>
  <c r="AH19" i="9"/>
  <c r="F19" i="14" s="1"/>
  <c r="AP19" i="9"/>
  <c r="AM19" i="9"/>
  <c r="AQ19" i="9"/>
  <c r="AC65" i="9"/>
  <c r="Q236" i="9"/>
  <c r="Q294" i="9"/>
  <c r="Q271" i="9"/>
  <c r="Q281" i="9"/>
  <c r="X122" i="14"/>
  <c r="W122" i="14"/>
  <c r="O80" i="9"/>
  <c r="M268" i="9" s="1"/>
  <c r="S80" i="9"/>
  <c r="Q295" i="9" s="1"/>
  <c r="V80" i="9"/>
  <c r="T268" i="9" s="1"/>
  <c r="Z80" i="9"/>
  <c r="W80" i="14"/>
  <c r="Q298" i="9"/>
  <c r="M314" i="9"/>
  <c r="M244" i="9"/>
  <c r="AA18" i="14"/>
  <c r="AF18" i="14"/>
  <c r="M254" i="9"/>
  <c r="M281" i="9" l="1"/>
  <c r="AI19" i="9"/>
  <c r="AN19" i="9"/>
  <c r="AD303" i="9"/>
  <c r="AF143" i="9"/>
  <c r="AD143" i="9"/>
  <c r="Q278" i="9"/>
  <c r="AD108" i="9"/>
  <c r="AF108" i="9"/>
  <c r="AD299" i="9"/>
  <c r="AD247" i="9"/>
  <c r="AF100" i="9"/>
  <c r="AD100" i="9"/>
  <c r="AF41" i="14"/>
  <c r="AD256" i="9"/>
  <c r="AD321" i="9"/>
  <c r="AF182" i="9"/>
  <c r="AD182" i="9"/>
  <c r="X245" i="9"/>
  <c r="X315" i="9"/>
  <c r="AC80" i="9"/>
  <c r="Q268" i="9"/>
  <c r="T315" i="9"/>
  <c r="T245" i="9"/>
  <c r="AD17" i="9"/>
  <c r="AF17" i="9"/>
  <c r="AD269" i="9"/>
  <c r="AD249" i="9"/>
  <c r="AF102" i="9"/>
  <c r="AD102" i="9"/>
  <c r="T293" i="9"/>
  <c r="AD171" i="9"/>
  <c r="AF171" i="9"/>
  <c r="AD253" i="9"/>
  <c r="AD319" i="9"/>
  <c r="AD287" i="9"/>
  <c r="AD31" i="9"/>
  <c r="AF31" i="9"/>
  <c r="AD246" i="9"/>
  <c r="AD81" i="9"/>
  <c r="AF81" i="9"/>
  <c r="AF12" i="9"/>
  <c r="AD12" i="9"/>
  <c r="AD270" i="9"/>
  <c r="X310" i="9"/>
  <c r="AD228" i="9"/>
  <c r="AD318" i="9"/>
  <c r="AD252" i="9"/>
  <c r="AF139" i="9"/>
  <c r="AD139" i="9"/>
  <c r="AC16" i="14"/>
  <c r="AD144" i="9"/>
  <c r="AD304" i="9"/>
  <c r="AF144" i="9"/>
  <c r="O101" i="9"/>
  <c r="S101" i="9"/>
  <c r="V101" i="9"/>
  <c r="Z101" i="9"/>
  <c r="T295" i="9"/>
  <c r="AF26" i="9"/>
  <c r="AD26" i="9"/>
  <c r="M293" i="9"/>
  <c r="AD254" i="9"/>
  <c r="AD172" i="9"/>
  <c r="AF172" i="9"/>
  <c r="AF18" i="9"/>
  <c r="AD18" i="9"/>
  <c r="AD268" i="9"/>
  <c r="M300" i="9"/>
  <c r="M251" i="9"/>
  <c r="AD267" i="9"/>
  <c r="AF27" i="9"/>
  <c r="AD27" i="9"/>
  <c r="AD15" i="9"/>
  <c r="AF15" i="9"/>
  <c r="AD282" i="9"/>
  <c r="AD295" i="9"/>
  <c r="O209" i="9"/>
  <c r="S209" i="9"/>
  <c r="V209" i="9"/>
  <c r="Z209" i="9"/>
  <c r="AD240" i="9"/>
  <c r="AF33" i="9"/>
  <c r="AD33" i="9"/>
  <c r="Q310" i="9"/>
  <c r="AF56" i="9"/>
  <c r="AD56" i="9"/>
  <c r="AD242" i="9"/>
  <c r="L261" i="9"/>
  <c r="O30" i="9"/>
  <c r="S30" i="9"/>
  <c r="V30" i="9"/>
  <c r="Z30" i="9"/>
  <c r="L306" i="9"/>
  <c r="L222" i="9"/>
  <c r="L8" i="9" s="1"/>
  <c r="AA12" i="14"/>
  <c r="D21" i="14"/>
  <c r="AM21" i="9"/>
  <c r="AP21" i="9"/>
  <c r="AH21" i="9"/>
  <c r="F21" i="14" s="1"/>
  <c r="AQ21" i="9"/>
  <c r="X101" i="14"/>
  <c r="W101" i="14"/>
  <c r="X278" i="9"/>
  <c r="X300" i="9"/>
  <c r="X251" i="9"/>
  <c r="AC122" i="9"/>
  <c r="AD317" i="9" s="1"/>
  <c r="X295" i="9"/>
  <c r="AF24" i="9"/>
  <c r="AD24" i="9"/>
  <c r="AD238" i="9"/>
  <c r="AP62" i="9"/>
  <c r="AM62" i="9"/>
  <c r="AH62" i="9"/>
  <c r="F62" i="14" s="1"/>
  <c r="D62" i="14"/>
  <c r="AQ62" i="9"/>
  <c r="Q245" i="9"/>
  <c r="Q315" i="9"/>
  <c r="AF122" i="14"/>
  <c r="AF80" i="14"/>
  <c r="M315" i="9"/>
  <c r="M245" i="9"/>
  <c r="AD250" i="9"/>
  <c r="AD120" i="9"/>
  <c r="AF120" i="9"/>
  <c r="X209" i="14"/>
  <c r="T278" i="9"/>
  <c r="X293" i="9"/>
  <c r="AD210" i="9"/>
  <c r="AD322" i="9"/>
  <c r="AD258" i="9"/>
  <c r="AF210" i="9"/>
  <c r="Y30" i="14"/>
  <c r="O307" i="14"/>
  <c r="O222" i="14"/>
  <c r="O8" i="14" s="1"/>
  <c r="Q235" i="9"/>
  <c r="G16" i="14"/>
  <c r="AF174" i="9"/>
  <c r="AD174" i="9"/>
  <c r="AD255" i="9"/>
  <c r="T227" i="9"/>
  <c r="N222" i="14"/>
  <c r="N8" i="14" s="1"/>
  <c r="N307" i="14"/>
  <c r="T310" i="9"/>
  <c r="M235" i="9"/>
  <c r="AD314" i="9"/>
  <c r="AD244" i="9"/>
  <c r="AF78" i="9"/>
  <c r="AD78" i="9"/>
  <c r="T251" i="9"/>
  <c r="T300" i="9"/>
  <c r="AD280" i="9"/>
  <c r="AD297" i="9"/>
  <c r="AD22" i="9"/>
  <c r="AD237" i="9"/>
  <c r="AF22" i="9"/>
  <c r="AD311" i="9"/>
  <c r="AD273" i="9"/>
  <c r="AD65" i="9"/>
  <c r="AF65" i="9"/>
  <c r="L19" i="14"/>
  <c r="S19" i="14"/>
  <c r="K19" i="14"/>
  <c r="AD55" i="9"/>
  <c r="AD313" i="9"/>
  <c r="AD241" i="9"/>
  <c r="AF55" i="9"/>
  <c r="X41" i="14"/>
  <c r="Y101" i="14"/>
  <c r="M295" i="9"/>
  <c r="T235" i="9"/>
  <c r="O41" i="9"/>
  <c r="S41" i="9"/>
  <c r="V41" i="9"/>
  <c r="Z41" i="9"/>
  <c r="AD279" i="9"/>
  <c r="AD38" i="9"/>
  <c r="AF38" i="9"/>
  <c r="Q227" i="9"/>
  <c r="AF213" i="9"/>
  <c r="AD213" i="9"/>
  <c r="AD259" i="9"/>
  <c r="AF209" i="14"/>
  <c r="S8" i="31"/>
  <c r="N41" i="30"/>
  <c r="Q293" i="9"/>
  <c r="AF23" i="9"/>
  <c r="AD23" i="9"/>
  <c r="AD298" i="9"/>
  <c r="AF14" i="9"/>
  <c r="AD236" i="9"/>
  <c r="AD294" i="9"/>
  <c r="AD14" i="9"/>
  <c r="AD271" i="9"/>
  <c r="AD281" i="9"/>
  <c r="Y41" i="14"/>
  <c r="Y209" i="14"/>
  <c r="M310" i="9"/>
  <c r="X268" i="9"/>
  <c r="X227" i="9"/>
  <c r="AD128" i="9"/>
  <c r="AF128" i="9"/>
  <c r="AD301" i="9"/>
  <c r="Q300" i="9"/>
  <c r="Q251" i="9"/>
  <c r="AF142" i="9"/>
  <c r="AD142" i="9"/>
  <c r="AD302" i="9"/>
  <c r="X235" i="9"/>
  <c r="M278" i="9"/>
  <c r="AD13" i="9"/>
  <c r="AF13" i="9"/>
  <c r="AD272" i="9"/>
  <c r="AD243" i="9"/>
  <c r="N262" i="14" l="1"/>
  <c r="N232" i="14"/>
  <c r="L324" i="9"/>
  <c r="N325" i="14"/>
  <c r="L231" i="9"/>
  <c r="AP13" i="9"/>
  <c r="D13" i="14"/>
  <c r="AH13" i="9"/>
  <c r="F13" i="14" s="1"/>
  <c r="AM13" i="9"/>
  <c r="AQ13" i="9"/>
  <c r="AP128" i="9"/>
  <c r="D128" i="14"/>
  <c r="AM128" i="9"/>
  <c r="AH128" i="9"/>
  <c r="F128" i="14" s="1"/>
  <c r="AQ128" i="9"/>
  <c r="D38" i="14"/>
  <c r="AP38" i="9"/>
  <c r="AM38" i="9"/>
  <c r="AH38" i="9"/>
  <c r="F38" i="14" s="1"/>
  <c r="AQ38" i="9"/>
  <c r="Q266" i="9"/>
  <c r="Q284" i="9"/>
  <c r="AC19" i="14"/>
  <c r="AP65" i="9"/>
  <c r="AH65" i="9"/>
  <c r="F65" i="14" s="1"/>
  <c r="AM65" i="9"/>
  <c r="D65" i="14"/>
  <c r="AQ65" i="9"/>
  <c r="AH22" i="9"/>
  <c r="F22" i="14" s="1"/>
  <c r="AM22" i="9"/>
  <c r="D22" i="14"/>
  <c r="AP22" i="9"/>
  <c r="AQ22" i="9"/>
  <c r="O325" i="14"/>
  <c r="D24" i="14"/>
  <c r="AM24" i="9"/>
  <c r="AP24" i="9"/>
  <c r="AH24" i="9"/>
  <c r="F24" i="14" s="1"/>
  <c r="AQ24" i="9"/>
  <c r="S21" i="14"/>
  <c r="L21" i="14"/>
  <c r="K21" i="14"/>
  <c r="M265" i="9"/>
  <c r="M296" i="9"/>
  <c r="M286" i="9"/>
  <c r="O222" i="9"/>
  <c r="Q257" i="9"/>
  <c r="Q320" i="9"/>
  <c r="Q229" i="9"/>
  <c r="AD310" i="9"/>
  <c r="D172" i="14"/>
  <c r="AH172" i="9"/>
  <c r="F172" i="14" s="1"/>
  <c r="AM172" i="9"/>
  <c r="AP172" i="9"/>
  <c r="AQ172" i="9"/>
  <c r="O306" i="9"/>
  <c r="M306" i="9" s="1"/>
  <c r="T248" i="9"/>
  <c r="T316" i="9"/>
  <c r="T285" i="9"/>
  <c r="AG16" i="14"/>
  <c r="AD235" i="9"/>
  <c r="AP12" i="9"/>
  <c r="AM12" i="9"/>
  <c r="D12" i="14"/>
  <c r="AH12" i="9"/>
  <c r="AQ12" i="9"/>
  <c r="AM31" i="9"/>
  <c r="D31" i="14"/>
  <c r="AP31" i="9"/>
  <c r="AH31" i="9"/>
  <c r="F31" i="14" s="1"/>
  <c r="AQ31" i="9"/>
  <c r="AH102" i="9"/>
  <c r="F102" i="14" s="1"/>
  <c r="AM102" i="9"/>
  <c r="AP102" i="9"/>
  <c r="D102" i="14"/>
  <c r="AQ102" i="9"/>
  <c r="AD245" i="9"/>
  <c r="AF80" i="9"/>
  <c r="AD80" i="9"/>
  <c r="AD315" i="9"/>
  <c r="AH108" i="9"/>
  <c r="F108" i="14" s="1"/>
  <c r="AM108" i="9"/>
  <c r="D108" i="14"/>
  <c r="AP108" i="9"/>
  <c r="AQ108" i="9"/>
  <c r="G19" i="14"/>
  <c r="AH142" i="9"/>
  <c r="F142" i="14" s="1"/>
  <c r="AM142" i="9"/>
  <c r="AP142" i="9"/>
  <c r="D142" i="14"/>
  <c r="AQ142" i="9"/>
  <c r="D23" i="14"/>
  <c r="AM23" i="9"/>
  <c r="AP23" i="9"/>
  <c r="AH23" i="9"/>
  <c r="F23" i="14" s="1"/>
  <c r="AQ23" i="9"/>
  <c r="S7" i="31"/>
  <c r="N42" i="30"/>
  <c r="N52" i="30"/>
  <c r="M266" i="9"/>
  <c r="M284" i="9"/>
  <c r="AH78" i="9"/>
  <c r="F78" i="14" s="1"/>
  <c r="D78" i="14"/>
  <c r="AP78" i="9"/>
  <c r="AM78" i="9"/>
  <c r="AQ78" i="9"/>
  <c r="O262" i="14"/>
  <c r="AH120" i="9"/>
  <c r="F120" i="14" s="1"/>
  <c r="AP120" i="9"/>
  <c r="D120" i="14"/>
  <c r="AM120" i="9"/>
  <c r="AQ120" i="9"/>
  <c r="AN21" i="9"/>
  <c r="AI21" i="9"/>
  <c r="X265" i="9"/>
  <c r="AC30" i="9"/>
  <c r="Z222" i="9"/>
  <c r="X286" i="9"/>
  <c r="L289" i="9"/>
  <c r="M257" i="9"/>
  <c r="M229" i="9"/>
  <c r="M320" i="9"/>
  <c r="AD278" i="9"/>
  <c r="Q248" i="9"/>
  <c r="Q316" i="9"/>
  <c r="Q285" i="9"/>
  <c r="D139" i="14"/>
  <c r="AP139" i="9"/>
  <c r="AH139" i="9"/>
  <c r="F139" i="14" s="1"/>
  <c r="AM139" i="9"/>
  <c r="AQ139" i="9"/>
  <c r="AD293" i="9"/>
  <c r="AM81" i="9"/>
  <c r="D81" i="14"/>
  <c r="AH81" i="9"/>
  <c r="F81" i="14" s="1"/>
  <c r="AP81" i="9"/>
  <c r="AQ81" i="9"/>
  <c r="D100" i="14"/>
  <c r="AP100" i="9"/>
  <c r="AH100" i="9"/>
  <c r="F100" i="14" s="1"/>
  <c r="AM100" i="9"/>
  <c r="AQ100" i="9"/>
  <c r="D143" i="14"/>
  <c r="AM143" i="9"/>
  <c r="AH143" i="9"/>
  <c r="F143" i="14" s="1"/>
  <c r="AP143" i="9"/>
  <c r="AQ143" i="9"/>
  <c r="X30" i="14"/>
  <c r="W30" i="14"/>
  <c r="U4" i="14"/>
  <c r="U5" i="14"/>
  <c r="AM14" i="9"/>
  <c r="D14" i="14"/>
  <c r="AP14" i="9"/>
  <c r="AH14" i="9"/>
  <c r="F14" i="14" s="1"/>
  <c r="AQ14" i="9"/>
  <c r="AP213" i="9"/>
  <c r="AM213" i="9"/>
  <c r="AH213" i="9"/>
  <c r="F213" i="14" s="1"/>
  <c r="D213" i="14"/>
  <c r="AQ213" i="9"/>
  <c r="X266" i="9"/>
  <c r="AC41" i="9"/>
  <c r="X284" i="9"/>
  <c r="O276" i="14"/>
  <c r="D55" i="14"/>
  <c r="AM55" i="9"/>
  <c r="AH55" i="9"/>
  <c r="F55" i="14" s="1"/>
  <c r="AP55" i="9"/>
  <c r="AQ55" i="9"/>
  <c r="D174" i="14"/>
  <c r="AP174" i="9"/>
  <c r="AH174" i="9"/>
  <c r="F174" i="14" s="1"/>
  <c r="AM174" i="9"/>
  <c r="AQ174" i="9"/>
  <c r="O232" i="14"/>
  <c r="AH210" i="9"/>
  <c r="F210" i="14" s="1"/>
  <c r="AP210" i="9"/>
  <c r="D210" i="14"/>
  <c r="AM210" i="9"/>
  <c r="AQ210" i="9"/>
  <c r="N290" i="14"/>
  <c r="K62" i="14"/>
  <c r="S62" i="14"/>
  <c r="L62" i="14"/>
  <c r="N276" i="14"/>
  <c r="T265" i="9"/>
  <c r="T286" i="9"/>
  <c r="T296" i="9"/>
  <c r="V222" i="9"/>
  <c r="X257" i="9"/>
  <c r="AC209" i="9"/>
  <c r="X320" i="9"/>
  <c r="X229" i="9"/>
  <c r="AM15" i="9"/>
  <c r="AP15" i="9"/>
  <c r="AH15" i="9"/>
  <c r="F15" i="14" s="1"/>
  <c r="D15" i="14"/>
  <c r="AQ15" i="9"/>
  <c r="D27" i="14"/>
  <c r="AP27" i="9"/>
  <c r="AM27" i="9"/>
  <c r="AH27" i="9"/>
  <c r="F27" i="14" s="1"/>
  <c r="AQ27" i="9"/>
  <c r="D18" i="14"/>
  <c r="AP18" i="9"/>
  <c r="AH18" i="9"/>
  <c r="F18" i="14" s="1"/>
  <c r="AM18" i="9"/>
  <c r="AQ18" i="9"/>
  <c r="L275" i="9"/>
  <c r="M248" i="9"/>
  <c r="M285" i="9"/>
  <c r="M227" i="9"/>
  <c r="M316" i="9"/>
  <c r="AP171" i="9"/>
  <c r="AH171" i="9"/>
  <c r="F171" i="14" s="1"/>
  <c r="D171" i="14"/>
  <c r="AM171" i="9"/>
  <c r="AQ171" i="9"/>
  <c r="D182" i="14"/>
  <c r="AP182" i="9"/>
  <c r="AM182" i="9"/>
  <c r="AH182" i="9"/>
  <c r="F182" i="14" s="1"/>
  <c r="AQ182" i="9"/>
  <c r="O290" i="14"/>
  <c r="T266" i="9"/>
  <c r="T284" i="9"/>
  <c r="AN62" i="9"/>
  <c r="AI62" i="9"/>
  <c r="AF122" i="9"/>
  <c r="AD122" i="9"/>
  <c r="AD300" i="9"/>
  <c r="AD251" i="9"/>
  <c r="AF101" i="14"/>
  <c r="L7" i="9"/>
  <c r="Q265" i="9"/>
  <c r="S222" i="9"/>
  <c r="Q286" i="9"/>
  <c r="AM56" i="9"/>
  <c r="AP56" i="9"/>
  <c r="D56" i="14"/>
  <c r="AH56" i="9"/>
  <c r="F56" i="14" s="1"/>
  <c r="AQ56" i="9"/>
  <c r="AM33" i="9"/>
  <c r="AP33" i="9"/>
  <c r="D33" i="14"/>
  <c r="AH33" i="9"/>
  <c r="F33" i="14" s="1"/>
  <c r="AQ33" i="9"/>
  <c r="T257" i="9"/>
  <c r="T229" i="9"/>
  <c r="T320" i="9"/>
  <c r="AM26" i="9"/>
  <c r="AP26" i="9"/>
  <c r="AH26" i="9"/>
  <c r="F26" i="14" s="1"/>
  <c r="D26" i="14"/>
  <c r="AQ26" i="9"/>
  <c r="X248" i="9"/>
  <c r="AC101" i="9"/>
  <c r="X316" i="9"/>
  <c r="X285" i="9"/>
  <c r="D144" i="14"/>
  <c r="AP144" i="9"/>
  <c r="AM144" i="9"/>
  <c r="AH144" i="9"/>
  <c r="F144" i="14" s="1"/>
  <c r="AQ144" i="9"/>
  <c r="V5" i="14"/>
  <c r="V4" i="14"/>
  <c r="AH17" i="9"/>
  <c r="F17" i="14" s="1"/>
  <c r="AM17" i="9"/>
  <c r="AP17" i="9"/>
  <c r="D17" i="14"/>
  <c r="AQ17" i="9"/>
  <c r="AH317" i="9" l="1"/>
  <c r="F318" i="14" s="1"/>
  <c r="AM317" i="9"/>
  <c r="L17" i="14"/>
  <c r="K17" i="14"/>
  <c r="S17" i="14"/>
  <c r="AI26" i="9"/>
  <c r="AN26" i="9"/>
  <c r="T283" i="9"/>
  <c r="V289" i="9"/>
  <c r="T289" i="9" s="1"/>
  <c r="AN33" i="9"/>
  <c r="AI33" i="9"/>
  <c r="AH242" i="9"/>
  <c r="F243" i="14" s="1"/>
  <c r="AM242" i="9"/>
  <c r="Q239" i="9"/>
  <c r="S261" i="9"/>
  <c r="Q261" i="9" s="1"/>
  <c r="G62" i="14"/>
  <c r="AH321" i="9"/>
  <c r="AM321" i="9"/>
  <c r="AH319" i="9"/>
  <c r="F320" i="14" s="1"/>
  <c r="AM319" i="9"/>
  <c r="AN18" i="9"/>
  <c r="AI18" i="9"/>
  <c r="K27" i="14"/>
  <c r="L27" i="14"/>
  <c r="S27" i="14"/>
  <c r="AM282" i="9"/>
  <c r="AH282" i="9"/>
  <c r="F283" i="14" s="1"/>
  <c r="AC62" i="14"/>
  <c r="AF62" i="14"/>
  <c r="AM258" i="9"/>
  <c r="AH258" i="9"/>
  <c r="F259" i="14" s="1"/>
  <c r="L174" i="14"/>
  <c r="S174" i="14"/>
  <c r="K174" i="14"/>
  <c r="AH236" i="9"/>
  <c r="F237" i="14" s="1"/>
  <c r="AM236" i="9"/>
  <c r="AI143" i="9"/>
  <c r="AN143" i="9"/>
  <c r="AI100" i="9"/>
  <c r="AN100" i="9"/>
  <c r="L81" i="14"/>
  <c r="S81" i="14"/>
  <c r="K81" i="14"/>
  <c r="AM252" i="9"/>
  <c r="AH252" i="9"/>
  <c r="AN139" i="9"/>
  <c r="AI139" i="9"/>
  <c r="X312" i="9"/>
  <c r="Z324" i="9"/>
  <c r="X324" i="9" s="1"/>
  <c r="AM250" i="9"/>
  <c r="AH250" i="9"/>
  <c r="F251" i="14" s="1"/>
  <c r="AI23" i="9"/>
  <c r="AN23" i="9"/>
  <c r="AH299" i="9"/>
  <c r="F300" i="14" s="1"/>
  <c r="AM299" i="9"/>
  <c r="D80" i="14"/>
  <c r="AM80" i="9"/>
  <c r="AH80" i="9"/>
  <c r="F80" i="14" s="1"/>
  <c r="AP80" i="9"/>
  <c r="AQ80" i="9"/>
  <c r="AH249" i="9"/>
  <c r="F250" i="14" s="1"/>
  <c r="AM249" i="9"/>
  <c r="AI31" i="9"/>
  <c r="AN31" i="9"/>
  <c r="AH235" i="9"/>
  <c r="F236" i="14" s="1"/>
  <c r="AM235" i="9"/>
  <c r="Q283" i="9"/>
  <c r="S289" i="9"/>
  <c r="Q289" i="9" s="1"/>
  <c r="M312" i="9"/>
  <c r="O324" i="9"/>
  <c r="M324" i="9" s="1"/>
  <c r="AH238" i="9"/>
  <c r="F239" i="14" s="1"/>
  <c r="AM238" i="9"/>
  <c r="AH297" i="9"/>
  <c r="F298" i="14" s="1"/>
  <c r="AM297" i="9"/>
  <c r="AH280" i="9"/>
  <c r="F281" i="14" s="1"/>
  <c r="AM280" i="9"/>
  <c r="AH279" i="9"/>
  <c r="F280" i="14" s="1"/>
  <c r="AM279" i="9"/>
  <c r="K128" i="14"/>
  <c r="S128" i="14"/>
  <c r="L128" i="14"/>
  <c r="AI13" i="9"/>
  <c r="AN13" i="9"/>
  <c r="AN17" i="9"/>
  <c r="AI17" i="9"/>
  <c r="AM269" i="9"/>
  <c r="AH269" i="9"/>
  <c r="F270" i="14" s="1"/>
  <c r="S144" i="14"/>
  <c r="L144" i="14"/>
  <c r="K144" i="14"/>
  <c r="AD101" i="9"/>
  <c r="AD248" i="9"/>
  <c r="AF101" i="9"/>
  <c r="AD316" i="9"/>
  <c r="AD227" i="9"/>
  <c r="AD285" i="9"/>
  <c r="AH240" i="9"/>
  <c r="F241" i="14" s="1"/>
  <c r="AM240" i="9"/>
  <c r="AI56" i="9"/>
  <c r="AN56" i="9"/>
  <c r="Q296" i="9"/>
  <c r="S306" i="9"/>
  <c r="Q306" i="9" s="1"/>
  <c r="L171" i="14"/>
  <c r="S171" i="14"/>
  <c r="K171" i="14"/>
  <c r="M264" i="9"/>
  <c r="O275" i="9"/>
  <c r="M275" i="9" s="1"/>
  <c r="AM267" i="9"/>
  <c r="AH267" i="9"/>
  <c r="F268" i="14" s="1"/>
  <c r="AN15" i="9"/>
  <c r="AI15" i="9"/>
  <c r="AD257" i="9"/>
  <c r="AF209" i="9"/>
  <c r="AD209" i="9"/>
  <c r="AD229" i="9"/>
  <c r="AD320" i="9"/>
  <c r="T226" i="9"/>
  <c r="V231" i="9"/>
  <c r="T231" i="9" s="1"/>
  <c r="T239" i="9"/>
  <c r="V261" i="9"/>
  <c r="T261" i="9" s="1"/>
  <c r="AM322" i="9"/>
  <c r="AH322" i="9"/>
  <c r="F323" i="14" s="1"/>
  <c r="AH255" i="9"/>
  <c r="F256" i="14" s="1"/>
  <c r="AM255" i="9"/>
  <c r="AH241" i="9"/>
  <c r="F242" i="14" s="1"/>
  <c r="AM241" i="9"/>
  <c r="L213" i="14"/>
  <c r="S213" i="14"/>
  <c r="K213" i="14"/>
  <c r="AH259" i="9"/>
  <c r="F260" i="14" s="1"/>
  <c r="AM259" i="9"/>
  <c r="AM271" i="9"/>
  <c r="AH271" i="9"/>
  <c r="F272" i="14" s="1"/>
  <c r="AN14" i="9"/>
  <c r="AI14" i="9"/>
  <c r="L143" i="14"/>
  <c r="S143" i="14"/>
  <c r="K143" i="14"/>
  <c r="AM247" i="9"/>
  <c r="AH247" i="9"/>
  <c r="F248" i="14" s="1"/>
  <c r="L100" i="14"/>
  <c r="K100" i="14"/>
  <c r="S100" i="14"/>
  <c r="K139" i="14"/>
  <c r="S139" i="14"/>
  <c r="L139" i="14"/>
  <c r="M283" i="9"/>
  <c r="O289" i="9"/>
  <c r="M289" i="9" s="1"/>
  <c r="X222" i="9"/>
  <c r="X8" i="9" s="1"/>
  <c r="Z8" i="9"/>
  <c r="S120" i="14"/>
  <c r="K120" i="14"/>
  <c r="L120" i="14"/>
  <c r="AM244" i="9"/>
  <c r="AH244" i="9"/>
  <c r="F245" i="14" s="1"/>
  <c r="K23" i="14"/>
  <c r="L23" i="14"/>
  <c r="S23" i="14"/>
  <c r="AI142" i="9"/>
  <c r="AN142" i="9"/>
  <c r="AN108" i="9"/>
  <c r="AI108" i="9"/>
  <c r="AI102" i="9"/>
  <c r="AN102" i="9"/>
  <c r="F12" i="14"/>
  <c r="AH270" i="9"/>
  <c r="F271" i="14" s="1"/>
  <c r="AM270" i="9"/>
  <c r="AN172" i="9"/>
  <c r="AI172" i="9"/>
  <c r="O231" i="9"/>
  <c r="M231" i="9" s="1"/>
  <c r="M226" i="9"/>
  <c r="AI24" i="9"/>
  <c r="AN24" i="9"/>
  <c r="K24" i="14"/>
  <c r="L24" i="14"/>
  <c r="S24" i="14"/>
  <c r="AM237" i="9"/>
  <c r="AH237" i="9"/>
  <c r="F238" i="14" s="1"/>
  <c r="AN38" i="9"/>
  <c r="AI38" i="9"/>
  <c r="AM301" i="9"/>
  <c r="AH301" i="9"/>
  <c r="F302" i="14" s="1"/>
  <c r="AM272" i="9"/>
  <c r="AH272" i="9"/>
  <c r="F273" i="14" s="1"/>
  <c r="AN144" i="9"/>
  <c r="AI144" i="9"/>
  <c r="Z275" i="9"/>
  <c r="X275" i="9" s="1"/>
  <c r="X264" i="9"/>
  <c r="L26" i="14"/>
  <c r="S26" i="14"/>
  <c r="K26" i="14"/>
  <c r="L33" i="14"/>
  <c r="S33" i="14"/>
  <c r="K33" i="14"/>
  <c r="K56" i="14"/>
  <c r="L56" i="14"/>
  <c r="S56" i="14"/>
  <c r="Q222" i="9"/>
  <c r="Q8" i="9" s="1"/>
  <c r="S8" i="9"/>
  <c r="Q312" i="9"/>
  <c r="S324" i="9"/>
  <c r="Q324" i="9" s="1"/>
  <c r="K182" i="14"/>
  <c r="S182" i="14"/>
  <c r="L182" i="14"/>
  <c r="AM253" i="9"/>
  <c r="AH253" i="9"/>
  <c r="F254" i="14" s="1"/>
  <c r="AM268" i="9"/>
  <c r="AH268" i="9"/>
  <c r="F269" i="14" s="1"/>
  <c r="L18" i="14"/>
  <c r="S18" i="14"/>
  <c r="K18" i="14"/>
  <c r="L15" i="14"/>
  <c r="S15" i="14"/>
  <c r="K15" i="14"/>
  <c r="V8" i="9"/>
  <c r="T222" i="9"/>
  <c r="T8" i="9" s="1"/>
  <c r="K244" i="14"/>
  <c r="L244" i="14"/>
  <c r="S210" i="14"/>
  <c r="K210" i="14"/>
  <c r="L210" i="14"/>
  <c r="AH313" i="9"/>
  <c r="F314" i="14" s="1"/>
  <c r="AM313" i="9"/>
  <c r="AF41" i="9"/>
  <c r="AD41" i="9"/>
  <c r="AD266" i="9"/>
  <c r="AD284" i="9"/>
  <c r="AI213" i="9"/>
  <c r="AN213" i="9"/>
  <c r="AH294" i="9"/>
  <c r="F295" i="14" s="1"/>
  <c r="AM294" i="9"/>
  <c r="V306" i="9"/>
  <c r="T306" i="9" s="1"/>
  <c r="AI81" i="9"/>
  <c r="AN81" i="9"/>
  <c r="AH318" i="9"/>
  <c r="AM318" i="9"/>
  <c r="Q264" i="9"/>
  <c r="S275" i="9"/>
  <c r="Q275" i="9" s="1"/>
  <c r="X296" i="9"/>
  <c r="Z306" i="9"/>
  <c r="X306" i="9" s="1"/>
  <c r="AF30" i="9"/>
  <c r="AD30" i="9"/>
  <c r="AD265" i="9"/>
  <c r="AC222" i="9"/>
  <c r="AD286" i="9"/>
  <c r="G21" i="14"/>
  <c r="AH314" i="9"/>
  <c r="F315" i="14" s="1"/>
  <c r="AM314" i="9"/>
  <c r="AN78" i="9"/>
  <c r="AI78" i="9"/>
  <c r="N43" i="30"/>
  <c r="N44" i="30" s="1"/>
  <c r="N45" i="30" s="1"/>
  <c r="N46" i="30" s="1"/>
  <c r="N49" i="30" s="1"/>
  <c r="AM298" i="9"/>
  <c r="AH298" i="9"/>
  <c r="F299" i="14" s="1"/>
  <c r="K31" i="14"/>
  <c r="L31" i="14"/>
  <c r="S31" i="14"/>
  <c r="AI12" i="9"/>
  <c r="AN12" i="9"/>
  <c r="AM293" i="9"/>
  <c r="AH293" i="9"/>
  <c r="F294" i="14" s="1"/>
  <c r="AI16" i="14"/>
  <c r="AJ16" i="14"/>
  <c r="T264" i="9"/>
  <c r="V275" i="9"/>
  <c r="T275" i="9" s="1"/>
  <c r="AM254" i="9"/>
  <c r="AH254" i="9"/>
  <c r="F255" i="14" s="1"/>
  <c r="M222" i="9"/>
  <c r="O8" i="9"/>
  <c r="M239" i="9"/>
  <c r="O261" i="9"/>
  <c r="M261" i="9" s="1"/>
  <c r="AC21" i="14"/>
  <c r="AH243" i="9"/>
  <c r="F244" i="14" s="1"/>
  <c r="AM243" i="9"/>
  <c r="AM273" i="9"/>
  <c r="AH273" i="9"/>
  <c r="F274" i="14" s="1"/>
  <c r="K22" i="14"/>
  <c r="S22" i="14"/>
  <c r="L22" i="14"/>
  <c r="AI65" i="9"/>
  <c r="AN65" i="9"/>
  <c r="AG19" i="14"/>
  <c r="K38" i="14"/>
  <c r="S38" i="14"/>
  <c r="L38" i="14"/>
  <c r="L13" i="14"/>
  <c r="S13" i="14"/>
  <c r="K13" i="14"/>
  <c r="AM304" i="9"/>
  <c r="AH304" i="9"/>
  <c r="F305" i="14" s="1"/>
  <c r="AM278" i="9"/>
  <c r="AH278" i="9"/>
  <c r="F279" i="14" s="1"/>
  <c r="S231" i="9"/>
  <c r="Q231" i="9" s="1"/>
  <c r="Q226" i="9"/>
  <c r="AH122" i="9"/>
  <c r="F122" i="14" s="1"/>
  <c r="AP122" i="9"/>
  <c r="D122" i="14"/>
  <c r="AM122" i="9"/>
  <c r="AQ122" i="9"/>
  <c r="AN182" i="9"/>
  <c r="AI182" i="9"/>
  <c r="AM256" i="9"/>
  <c r="AH256" i="9"/>
  <c r="AI171" i="9"/>
  <c r="AN171" i="9"/>
  <c r="AI27" i="9"/>
  <c r="AN27" i="9"/>
  <c r="AM295" i="9"/>
  <c r="AH295" i="9"/>
  <c r="F296" i="14" s="1"/>
  <c r="X283" i="9"/>
  <c r="Z289" i="9"/>
  <c r="X289" i="9" s="1"/>
  <c r="T312" i="9"/>
  <c r="V324" i="9"/>
  <c r="T324" i="9" s="1"/>
  <c r="AN210" i="9"/>
  <c r="AI210" i="9"/>
  <c r="AN174" i="9"/>
  <c r="AI174" i="9"/>
  <c r="AI55" i="9"/>
  <c r="AN55" i="9"/>
  <c r="L55" i="14"/>
  <c r="K55" i="14"/>
  <c r="S55" i="14"/>
  <c r="K14" i="14"/>
  <c r="S14" i="14"/>
  <c r="L14" i="14"/>
  <c r="AF30" i="14"/>
  <c r="AM303" i="9"/>
  <c r="AH303" i="9"/>
  <c r="F304" i="14" s="1"/>
  <c r="AM246" i="9"/>
  <c r="AH246" i="9"/>
  <c r="F247" i="14" s="1"/>
  <c r="AM228" i="9"/>
  <c r="AH228" i="9"/>
  <c r="Z231" i="9"/>
  <c r="X231" i="9" s="1"/>
  <c r="X226" i="9"/>
  <c r="X239" i="9"/>
  <c r="Z261" i="9"/>
  <c r="X261" i="9" s="1"/>
  <c r="AI120" i="9"/>
  <c r="AN120" i="9"/>
  <c r="L78" i="14"/>
  <c r="S78" i="14"/>
  <c r="K78" i="14"/>
  <c r="S142" i="14"/>
  <c r="L142" i="14"/>
  <c r="K142" i="14"/>
  <c r="AM302" i="9"/>
  <c r="AH302" i="9"/>
  <c r="F303" i="14" s="1"/>
  <c r="K108" i="14"/>
  <c r="S108" i="14"/>
  <c r="L108" i="14"/>
  <c r="S102" i="14"/>
  <c r="L102" i="14"/>
  <c r="K102" i="14"/>
  <c r="AM287" i="9"/>
  <c r="AH287" i="9"/>
  <c r="F288" i="14" s="1"/>
  <c r="AH310" i="9"/>
  <c r="F311" i="14" s="1"/>
  <c r="AM310" i="9"/>
  <c r="L12" i="14"/>
  <c r="S12" i="14"/>
  <c r="K12" i="14"/>
  <c r="K172" i="14"/>
  <c r="L172" i="14"/>
  <c r="S172" i="14"/>
  <c r="AN22" i="9"/>
  <c r="AI22" i="9"/>
  <c r="AH311" i="9"/>
  <c r="F312" i="14" s="1"/>
  <c r="AM311" i="9"/>
  <c r="S65" i="14"/>
  <c r="L65" i="14"/>
  <c r="K65" i="14"/>
  <c r="AN128" i="9"/>
  <c r="AI128" i="9"/>
  <c r="K318" i="14" l="1"/>
  <c r="L318" i="14"/>
  <c r="AI246" i="9"/>
  <c r="G247" i="14" s="1"/>
  <c r="AN246" i="9"/>
  <c r="AI311" i="9"/>
  <c r="G312" i="14" s="1"/>
  <c r="AN311" i="9"/>
  <c r="AC65" i="14"/>
  <c r="G22" i="14"/>
  <c r="AN287" i="9"/>
  <c r="AI287" i="9"/>
  <c r="G288" i="14" s="1"/>
  <c r="AC102" i="14"/>
  <c r="K300" i="14"/>
  <c r="L300" i="14"/>
  <c r="AI302" i="9"/>
  <c r="G303" i="14" s="1"/>
  <c r="AN302" i="9"/>
  <c r="AC142" i="14"/>
  <c r="AF142" i="14"/>
  <c r="K272" i="14"/>
  <c r="L272" i="14"/>
  <c r="AC14" i="14"/>
  <c r="AF14" i="14"/>
  <c r="G174" i="14"/>
  <c r="G171" i="14"/>
  <c r="G182" i="14"/>
  <c r="AI122" i="9"/>
  <c r="AN122" i="9"/>
  <c r="K280" i="14"/>
  <c r="L280" i="14"/>
  <c r="G65" i="14"/>
  <c r="L312" i="14"/>
  <c r="K312" i="14"/>
  <c r="O7" i="9"/>
  <c r="AN16" i="14"/>
  <c r="K288" i="14"/>
  <c r="L288" i="14"/>
  <c r="G78" i="14"/>
  <c r="AC231" i="9"/>
  <c r="AD231" i="9" s="1"/>
  <c r="AD226" i="9"/>
  <c r="G213" i="14"/>
  <c r="AM41" i="9"/>
  <c r="AP41" i="9"/>
  <c r="AH41" i="9"/>
  <c r="F41" i="14" s="1"/>
  <c r="D41" i="14"/>
  <c r="AQ41" i="9"/>
  <c r="L259" i="14"/>
  <c r="K259" i="14"/>
  <c r="L283" i="14"/>
  <c r="K283" i="14"/>
  <c r="L236" i="14"/>
  <c r="K236" i="14"/>
  <c r="L269" i="14"/>
  <c r="K269" i="14"/>
  <c r="AC18" i="14"/>
  <c r="L241" i="14"/>
  <c r="K241" i="14"/>
  <c r="K279" i="14"/>
  <c r="L279" i="14"/>
  <c r="AN272" i="9"/>
  <c r="AI272" i="9"/>
  <c r="G273" i="14" s="1"/>
  <c r="G108" i="14"/>
  <c r="AC23" i="14"/>
  <c r="AC120" i="14"/>
  <c r="AC139" i="14"/>
  <c r="L248" i="14"/>
  <c r="K248" i="14"/>
  <c r="AI259" i="9"/>
  <c r="G260" i="14" s="1"/>
  <c r="AN259" i="9"/>
  <c r="AI255" i="9"/>
  <c r="G256" i="14" s="1"/>
  <c r="AN255" i="9"/>
  <c r="G15" i="14"/>
  <c r="AN240" i="9"/>
  <c r="AI240" i="9"/>
  <c r="G241" i="14" s="1"/>
  <c r="AC144" i="14"/>
  <c r="AF144" i="14"/>
  <c r="G17" i="14"/>
  <c r="AC128" i="14"/>
  <c r="AI279" i="9"/>
  <c r="G280" i="14" s="1"/>
  <c r="AN279" i="9"/>
  <c r="AN297" i="9"/>
  <c r="AI297" i="9"/>
  <c r="G298" i="14" s="1"/>
  <c r="AN80" i="9"/>
  <c r="AI80" i="9"/>
  <c r="AC27" i="14"/>
  <c r="AF27" i="14"/>
  <c r="G18" i="14"/>
  <c r="AN242" i="9"/>
  <c r="AI242" i="9"/>
  <c r="G243" i="14" s="1"/>
  <c r="G26" i="14"/>
  <c r="AC172" i="14"/>
  <c r="K250" i="14"/>
  <c r="L250" i="14"/>
  <c r="L303" i="14"/>
  <c r="K303" i="14"/>
  <c r="L314" i="14"/>
  <c r="K314" i="14"/>
  <c r="F257" i="14"/>
  <c r="F322" i="14"/>
  <c r="AH251" i="9"/>
  <c r="F252" i="14" s="1"/>
  <c r="AM251" i="9"/>
  <c r="K274" i="14"/>
  <c r="L274" i="14"/>
  <c r="L281" i="14"/>
  <c r="K281" i="14"/>
  <c r="AN273" i="9"/>
  <c r="AI273" i="9"/>
  <c r="G274" i="14" s="1"/>
  <c r="AN243" i="9"/>
  <c r="AI243" i="9"/>
  <c r="G244" i="14" s="1"/>
  <c r="AG21" i="14"/>
  <c r="AM16" i="14"/>
  <c r="AK16" i="14"/>
  <c r="AI293" i="9"/>
  <c r="G294" i="14" s="1"/>
  <c r="AN293" i="9"/>
  <c r="AC31" i="14"/>
  <c r="AD296" i="9"/>
  <c r="AC306" i="9"/>
  <c r="AD306" i="9" s="1"/>
  <c r="AD312" i="9"/>
  <c r="AC324" i="9"/>
  <c r="AD324" i="9" s="1"/>
  <c r="AN318" i="9"/>
  <c r="AI318" i="9"/>
  <c r="L257" i="14"/>
  <c r="K257" i="14"/>
  <c r="S7" i="9"/>
  <c r="AC33" i="14"/>
  <c r="AF33" i="14"/>
  <c r="AI301" i="9"/>
  <c r="G302" i="14" s="1"/>
  <c r="AN301" i="9"/>
  <c r="AC24" i="14"/>
  <c r="G172" i="14"/>
  <c r="K299" i="14"/>
  <c r="L299" i="14"/>
  <c r="AN244" i="9"/>
  <c r="AI244" i="9"/>
  <c r="G245" i="14" s="1"/>
  <c r="L251" i="14"/>
  <c r="K251" i="14"/>
  <c r="Z7" i="9"/>
  <c r="L229" i="14"/>
  <c r="K229" i="14"/>
  <c r="AC100" i="14"/>
  <c r="AN247" i="9"/>
  <c r="AI247" i="9"/>
  <c r="G248" i="14" s="1"/>
  <c r="AC143" i="14"/>
  <c r="AC213" i="14"/>
  <c r="AN322" i="9"/>
  <c r="AI322" i="9"/>
  <c r="G323" i="14" s="1"/>
  <c r="L254" i="14"/>
  <c r="K254" i="14"/>
  <c r="L320" i="14"/>
  <c r="K320" i="14"/>
  <c r="G56" i="14"/>
  <c r="AI280" i="9"/>
  <c r="G281" i="14" s="1"/>
  <c r="AN280" i="9"/>
  <c r="AN235" i="9"/>
  <c r="AI235" i="9"/>
  <c r="G236" i="14" s="1"/>
  <c r="G31" i="14"/>
  <c r="G23" i="14"/>
  <c r="AI250" i="9"/>
  <c r="G251" i="14" s="1"/>
  <c r="AN250" i="9"/>
  <c r="G139" i="14"/>
  <c r="K247" i="14"/>
  <c r="L247" i="14"/>
  <c r="G100" i="14"/>
  <c r="AC174" i="14"/>
  <c r="AF174" i="14"/>
  <c r="AN258" i="9"/>
  <c r="AI258" i="9"/>
  <c r="G259" i="14" s="1"/>
  <c r="AN282" i="9"/>
  <c r="AI282" i="9"/>
  <c r="G283" i="14" s="1"/>
  <c r="L268" i="14"/>
  <c r="K268" i="14"/>
  <c r="K270" i="14"/>
  <c r="L270" i="14"/>
  <c r="K271" i="14"/>
  <c r="L271" i="14"/>
  <c r="AC78" i="14"/>
  <c r="G120" i="14"/>
  <c r="L295" i="14"/>
  <c r="K295" i="14"/>
  <c r="AC55" i="14"/>
  <c r="AI310" i="9"/>
  <c r="G311" i="14" s="1"/>
  <c r="AN310" i="9"/>
  <c r="AC108" i="14"/>
  <c r="K315" i="14"/>
  <c r="L315" i="14"/>
  <c r="AI228" i="9"/>
  <c r="AN228" i="9"/>
  <c r="L242" i="14"/>
  <c r="K242" i="14"/>
  <c r="G210" i="14"/>
  <c r="G27" i="14"/>
  <c r="AH300" i="9"/>
  <c r="F301" i="14" s="1"/>
  <c r="AM300" i="9"/>
  <c r="L273" i="14"/>
  <c r="K273" i="14"/>
  <c r="AC38" i="14"/>
  <c r="AJ19" i="14"/>
  <c r="AI19" i="14"/>
  <c r="L298" i="14"/>
  <c r="K298" i="14"/>
  <c r="AA22" i="14"/>
  <c r="AC22" i="14" s="1"/>
  <c r="AN298" i="9"/>
  <c r="AI298" i="9"/>
  <c r="G299" i="14" s="1"/>
  <c r="S6" i="31"/>
  <c r="AI314" i="9"/>
  <c r="G315" i="14" s="1"/>
  <c r="AN314" i="9"/>
  <c r="AH30" i="9"/>
  <c r="AM30" i="9"/>
  <c r="D30" i="14"/>
  <c r="AP30" i="9"/>
  <c r="AQ30" i="9"/>
  <c r="AF222" i="9"/>
  <c r="AI294" i="9"/>
  <c r="G295" i="14" s="1"/>
  <c r="AN294" i="9"/>
  <c r="K323" i="14"/>
  <c r="L323" i="14"/>
  <c r="V7" i="9"/>
  <c r="AC15" i="14"/>
  <c r="AI253" i="9"/>
  <c r="G254" i="14" s="1"/>
  <c r="AN253" i="9"/>
  <c r="AC182" i="14"/>
  <c r="L243" i="14"/>
  <c r="K243" i="14"/>
  <c r="AC26" i="14"/>
  <c r="G144" i="14"/>
  <c r="AN237" i="9"/>
  <c r="AI237" i="9"/>
  <c r="G238" i="14" s="1"/>
  <c r="K239" i="14"/>
  <c r="L239" i="14"/>
  <c r="G24" i="14"/>
  <c r="L253" i="14"/>
  <c r="K253" i="14"/>
  <c r="AI271" i="9"/>
  <c r="G272" i="14" s="1"/>
  <c r="AN271" i="9"/>
  <c r="AD283" i="9"/>
  <c r="AC289" i="9"/>
  <c r="AD289" i="9" s="1"/>
  <c r="AH209" i="9"/>
  <c r="F209" i="14" s="1"/>
  <c r="AM209" i="9"/>
  <c r="AP209" i="9"/>
  <c r="D209" i="14"/>
  <c r="AQ209" i="9"/>
  <c r="AI267" i="9"/>
  <c r="G268" i="14" s="1"/>
  <c r="AN267" i="9"/>
  <c r="AH101" i="9"/>
  <c r="F101" i="14" s="1"/>
  <c r="D101" i="14"/>
  <c r="AP101" i="9"/>
  <c r="AM101" i="9"/>
  <c r="AQ101" i="9"/>
  <c r="K305" i="14"/>
  <c r="L305" i="14"/>
  <c r="AI269" i="9"/>
  <c r="G270" i="14" s="1"/>
  <c r="AN269" i="9"/>
  <c r="K302" i="14"/>
  <c r="L302" i="14"/>
  <c r="AN238" i="9"/>
  <c r="AI238" i="9"/>
  <c r="G239" i="14" s="1"/>
  <c r="AI249" i="9"/>
  <c r="G250" i="14" s="1"/>
  <c r="AN249" i="9"/>
  <c r="AM315" i="9"/>
  <c r="AH315" i="9"/>
  <c r="F316" i="14" s="1"/>
  <c r="AC81" i="14"/>
  <c r="AI236" i="9"/>
  <c r="G237" i="14" s="1"/>
  <c r="AN236" i="9"/>
  <c r="L256" i="14"/>
  <c r="K256" i="14"/>
  <c r="AG62" i="14"/>
  <c r="AN321" i="9"/>
  <c r="AI321" i="9"/>
  <c r="AC17" i="14"/>
  <c r="AF17" i="14"/>
  <c r="K255" i="14"/>
  <c r="L255" i="14"/>
  <c r="G128" i="14"/>
  <c r="K311" i="14"/>
  <c r="L311" i="14"/>
  <c r="AC12" i="14"/>
  <c r="AF12" i="14"/>
  <c r="K294" i="14"/>
  <c r="L294" i="14"/>
  <c r="K245" i="14"/>
  <c r="L245" i="14"/>
  <c r="F319" i="14"/>
  <c r="F229" i="14"/>
  <c r="F253" i="14"/>
  <c r="AN303" i="9"/>
  <c r="AI303" i="9"/>
  <c r="G304" i="14" s="1"/>
  <c r="L282" i="14"/>
  <c r="K282" i="14"/>
  <c r="K237" i="14"/>
  <c r="L237" i="14"/>
  <c r="G55" i="14"/>
  <c r="AI295" i="9"/>
  <c r="G296" i="14" s="1"/>
  <c r="AN295" i="9"/>
  <c r="AN256" i="9"/>
  <c r="AI256" i="9"/>
  <c r="S122" i="14"/>
  <c r="K122" i="14"/>
  <c r="L122" i="14"/>
  <c r="AI278" i="9"/>
  <c r="G279" i="14" s="1"/>
  <c r="AN278" i="9"/>
  <c r="AN304" i="9"/>
  <c r="AI304" i="9"/>
  <c r="G305" i="14" s="1"/>
  <c r="AC13" i="14"/>
  <c r="L238" i="14"/>
  <c r="K238" i="14"/>
  <c r="AI254" i="9"/>
  <c r="G255" i="14" s="1"/>
  <c r="AN254" i="9"/>
  <c r="G12" i="14"/>
  <c r="N51" i="30"/>
  <c r="AC8" i="9"/>
  <c r="AD222" i="9"/>
  <c r="AD8" i="9" s="1"/>
  <c r="AD239" i="9"/>
  <c r="AC261" i="9"/>
  <c r="AD261" i="9" s="1"/>
  <c r="G81" i="14"/>
  <c r="AN313" i="9"/>
  <c r="AI313" i="9"/>
  <c r="G314" i="14" s="1"/>
  <c r="AC210" i="14"/>
  <c r="AF210" i="14"/>
  <c r="L296" i="14"/>
  <c r="K296" i="14"/>
  <c r="AN268" i="9"/>
  <c r="AI268" i="9"/>
  <c r="G269" i="14" s="1"/>
  <c r="K322" i="14"/>
  <c r="L322" i="14"/>
  <c r="AC56" i="14"/>
  <c r="AF56" i="14"/>
  <c r="G38" i="14"/>
  <c r="AI270" i="9"/>
  <c r="G271" i="14" s="1"/>
  <c r="AN270" i="9"/>
  <c r="G102" i="14"/>
  <c r="G142" i="14"/>
  <c r="K319" i="14"/>
  <c r="L319" i="14"/>
  <c r="L304" i="14"/>
  <c r="K304" i="14"/>
  <c r="G14" i="14"/>
  <c r="K260" i="14"/>
  <c r="L260" i="14"/>
  <c r="AN241" i="9"/>
  <c r="AI241" i="9"/>
  <c r="G242" i="14" s="1"/>
  <c r="AC171" i="14"/>
  <c r="AD264" i="9"/>
  <c r="AC275" i="9"/>
  <c r="AD275" i="9" s="1"/>
  <c r="G13" i="14"/>
  <c r="AM245" i="9"/>
  <c r="AH245" i="9"/>
  <c r="F246" i="14" s="1"/>
  <c r="S80" i="14"/>
  <c r="L80" i="14"/>
  <c r="K80" i="14"/>
  <c r="AN299" i="9"/>
  <c r="AI299" i="9"/>
  <c r="G300" i="14" s="1"/>
  <c r="AN252" i="9"/>
  <c r="AI252" i="9"/>
  <c r="G143" i="14"/>
  <c r="AH281" i="9"/>
  <c r="F282" i="14" s="1"/>
  <c r="AM281" i="9"/>
  <c r="AN319" i="9"/>
  <c r="AI319" i="9"/>
  <c r="G320" i="14" s="1"/>
  <c r="G33" i="14"/>
  <c r="AI317" i="9"/>
  <c r="G318" i="14" s="1"/>
  <c r="AN317" i="9"/>
  <c r="AG22" i="14" l="1"/>
  <c r="AI281" i="9"/>
  <c r="G282" i="14" s="1"/>
  <c r="AN281" i="9"/>
  <c r="K246" i="14"/>
  <c r="L246" i="14"/>
  <c r="AA80" i="14"/>
  <c r="AC80" i="14" s="1"/>
  <c r="AG171" i="14"/>
  <c r="AG13" i="14"/>
  <c r="K252" i="14"/>
  <c r="L252" i="14"/>
  <c r="G257" i="14"/>
  <c r="G322" i="14"/>
  <c r="AG17" i="14"/>
  <c r="AI62" i="14"/>
  <c r="AJ62" i="14"/>
  <c r="AH285" i="9"/>
  <c r="F286" i="14" s="1"/>
  <c r="AM285" i="9"/>
  <c r="AH248" i="9"/>
  <c r="F249" i="14" s="1"/>
  <c r="AM248" i="9"/>
  <c r="L101" i="14"/>
  <c r="S101" i="14"/>
  <c r="K101" i="14"/>
  <c r="AH320" i="9"/>
  <c r="F321" i="14" s="1"/>
  <c r="AM320" i="9"/>
  <c r="K209" i="14"/>
  <c r="L209" i="14"/>
  <c r="S209" i="14"/>
  <c r="AF8" i="9"/>
  <c r="AF7" i="9" s="1"/>
  <c r="AH222" i="9"/>
  <c r="AM222" i="9"/>
  <c r="AM8" i="9" s="1"/>
  <c r="AH265" i="9"/>
  <c r="F266" i="14" s="1"/>
  <c r="AM265" i="9"/>
  <c r="F30" i="14"/>
  <c r="V13" i="31"/>
  <c r="V16" i="31"/>
  <c r="V17" i="31" s="1"/>
  <c r="V15" i="31"/>
  <c r="AG78" i="14"/>
  <c r="AG31" i="14"/>
  <c r="AJ21" i="14"/>
  <c r="AI21" i="14"/>
  <c r="AG27" i="14"/>
  <c r="AG139" i="14"/>
  <c r="AG18" i="14"/>
  <c r="AI41" i="9"/>
  <c r="AN41" i="9"/>
  <c r="AG14" i="14"/>
  <c r="AH264" i="9"/>
  <c r="F265" i="14" s="1"/>
  <c r="AM264" i="9"/>
  <c r="AF275" i="9"/>
  <c r="AN101" i="9"/>
  <c r="AI101" i="9"/>
  <c r="AH229" i="9"/>
  <c r="F230" i="14" s="1"/>
  <c r="AM229" i="9"/>
  <c r="AI209" i="9"/>
  <c r="AN209" i="9"/>
  <c r="AH257" i="9"/>
  <c r="F258" i="14" s="1"/>
  <c r="AM257" i="9"/>
  <c r="AG15" i="14"/>
  <c r="AH296" i="9"/>
  <c r="F297" i="14" s="1"/>
  <c r="AM296" i="9"/>
  <c r="AF306" i="9"/>
  <c r="AQ306" i="9"/>
  <c r="AQ222" i="9"/>
  <c r="AQ8" i="9" s="1"/>
  <c r="K30" i="14"/>
  <c r="S30" i="14"/>
  <c r="L30" i="14"/>
  <c r="D222" i="14"/>
  <c r="AN30" i="9"/>
  <c r="AI30" i="9"/>
  <c r="AM19" i="14"/>
  <c r="AK19" i="14"/>
  <c r="AG38" i="14"/>
  <c r="AG55" i="14"/>
  <c r="AG23" i="14"/>
  <c r="AM266" i="9"/>
  <c r="AH266" i="9"/>
  <c r="F267" i="14" s="1"/>
  <c r="AG65" i="14"/>
  <c r="AG210" i="14"/>
  <c r="AC7" i="9"/>
  <c r="K301" i="14"/>
  <c r="L301" i="14"/>
  <c r="AI315" i="9"/>
  <c r="G316" i="14" s="1"/>
  <c r="AN315" i="9"/>
  <c r="AM316" i="9"/>
  <c r="AH316" i="9"/>
  <c r="F317" i="14" s="1"/>
  <c r="AM283" i="9"/>
  <c r="AH283" i="9"/>
  <c r="F284" i="14" s="1"/>
  <c r="AF289" i="9"/>
  <c r="AG26" i="14"/>
  <c r="AM226" i="9"/>
  <c r="AF231" i="9"/>
  <c r="AH226" i="9"/>
  <c r="F227" i="14" s="1"/>
  <c r="AM312" i="9"/>
  <c r="AH312" i="9"/>
  <c r="F313" i="14" s="1"/>
  <c r="AF324" i="9"/>
  <c r="AL4" i="9"/>
  <c r="I36" i="4" s="1"/>
  <c r="AL5" i="9"/>
  <c r="I37" i="4" s="1"/>
  <c r="AN19" i="14"/>
  <c r="AN300" i="9"/>
  <c r="AI300" i="9"/>
  <c r="G301" i="14" s="1"/>
  <c r="AG174" i="14"/>
  <c r="AG213" i="14"/>
  <c r="AG143" i="14"/>
  <c r="AG33" i="14"/>
  <c r="AQ16" i="14"/>
  <c r="BJ16" i="14"/>
  <c r="BB16" i="14"/>
  <c r="BE16" i="14"/>
  <c r="G80" i="14"/>
  <c r="AG128" i="14"/>
  <c r="AM284" i="9"/>
  <c r="AH284" i="9"/>
  <c r="F285" i="14" s="1"/>
  <c r="S41" i="14"/>
  <c r="L41" i="14"/>
  <c r="K41" i="14"/>
  <c r="K316" i="14"/>
  <c r="L316" i="14"/>
  <c r="AN245" i="9"/>
  <c r="AI245" i="9"/>
  <c r="G246" i="14" s="1"/>
  <c r="AG56" i="14"/>
  <c r="AA122" i="14"/>
  <c r="AG12" i="14"/>
  <c r="AG81" i="14"/>
  <c r="AH227" i="9"/>
  <c r="F228" i="14" s="1"/>
  <c r="AM227" i="9"/>
  <c r="AG182" i="14"/>
  <c r="AH286" i="9"/>
  <c r="F287" i="14" s="1"/>
  <c r="AM286" i="9"/>
  <c r="AP306" i="9"/>
  <c r="AP222" i="9"/>
  <c r="AP8" i="9" s="1"/>
  <c r="AM239" i="9"/>
  <c r="AH239" i="9"/>
  <c r="F240" i="14" s="1"/>
  <c r="AF261" i="9"/>
  <c r="G253" i="14"/>
  <c r="G229" i="14"/>
  <c r="G319" i="14"/>
  <c r="AG108" i="14"/>
  <c r="AG100" i="14"/>
  <c r="AG24" i="14"/>
  <c r="AN251" i="9"/>
  <c r="AI251" i="9"/>
  <c r="G252" i="14" s="1"/>
  <c r="AG172" i="14"/>
  <c r="AG144" i="14"/>
  <c r="AG120" i="14"/>
  <c r="BK16" i="14"/>
  <c r="BF16" i="14"/>
  <c r="G122" i="14"/>
  <c r="AG142" i="14"/>
  <c r="AG102" i="14"/>
  <c r="AF276" i="14" l="1"/>
  <c r="AP231" i="9"/>
  <c r="AF290" i="14"/>
  <c r="AG80" i="14"/>
  <c r="AI239" i="9"/>
  <c r="G240" i="14" s="1"/>
  <c r="AN239" i="9"/>
  <c r="AQ275" i="9"/>
  <c r="AA41" i="14"/>
  <c r="AI284" i="9"/>
  <c r="G285" i="14" s="1"/>
  <c r="AN284" i="9"/>
  <c r="AJ33" i="14"/>
  <c r="AI33" i="14"/>
  <c r="AJ213" i="14"/>
  <c r="AI213" i="14"/>
  <c r="AI226" i="9"/>
  <c r="G227" i="14" s="1"/>
  <c r="AN226" i="9"/>
  <c r="AN316" i="9"/>
  <c r="AI316" i="9"/>
  <c r="G317" i="14" s="1"/>
  <c r="AI210" i="14"/>
  <c r="AJ210" i="14"/>
  <c r="AI65" i="14"/>
  <c r="AJ65" i="14"/>
  <c r="AJ38" i="14"/>
  <c r="AI38" i="14"/>
  <c r="BJ19" i="14"/>
  <c r="BB19" i="14"/>
  <c r="AQ19" i="14"/>
  <c r="BE19" i="14"/>
  <c r="D8" i="14"/>
  <c r="K222" i="14"/>
  <c r="K8" i="14" s="1"/>
  <c r="L240" i="14"/>
  <c r="K240" i="14"/>
  <c r="D262" i="14"/>
  <c r="J4" i="14"/>
  <c r="G209" i="14"/>
  <c r="G101" i="14"/>
  <c r="AI264" i="9"/>
  <c r="G265" i="14" s="1"/>
  <c r="AN264" i="9"/>
  <c r="AI27" i="14"/>
  <c r="AJ27" i="14"/>
  <c r="K284" i="14"/>
  <c r="L284" i="14"/>
  <c r="D290" i="14"/>
  <c r="AI320" i="9"/>
  <c r="G321" i="14" s="1"/>
  <c r="AN320" i="9"/>
  <c r="L317" i="14"/>
  <c r="K317" i="14"/>
  <c r="AM62" i="14"/>
  <c r="AK62" i="14"/>
  <c r="AJ171" i="14"/>
  <c r="AI171" i="14"/>
  <c r="AJ142" i="14"/>
  <c r="AI142" i="14"/>
  <c r="AJ24" i="14"/>
  <c r="AI24" i="14"/>
  <c r="AJ100" i="14"/>
  <c r="AI100" i="14"/>
  <c r="AM261" i="9"/>
  <c r="AH261" i="9"/>
  <c r="AP261" i="9"/>
  <c r="AQ289" i="9"/>
  <c r="AP275" i="9"/>
  <c r="AI81" i="14"/>
  <c r="AJ81" i="14"/>
  <c r="L285" i="14"/>
  <c r="K285" i="14"/>
  <c r="K267" i="14"/>
  <c r="L267" i="14"/>
  <c r="AJ128" i="14"/>
  <c r="AI128" i="14"/>
  <c r="AP289" i="9"/>
  <c r="G30" i="14"/>
  <c r="V21" i="31"/>
  <c r="AI4" i="9"/>
  <c r="V19" i="31"/>
  <c r="V22" i="31"/>
  <c r="V23" i="31" s="1"/>
  <c r="K287" i="14"/>
  <c r="L287" i="14"/>
  <c r="L4" i="14"/>
  <c r="L5" i="14"/>
  <c r="AN296" i="9"/>
  <c r="AI296" i="9"/>
  <c r="G297" i="14" s="1"/>
  <c r="AI15" i="14"/>
  <c r="AJ15" i="14"/>
  <c r="AN229" i="9"/>
  <c r="AI229" i="9"/>
  <c r="G230" i="14" s="1"/>
  <c r="G41" i="14"/>
  <c r="AI18" i="14"/>
  <c r="AJ18" i="14"/>
  <c r="AM21" i="14"/>
  <c r="AK21" i="14"/>
  <c r="AI31" i="14"/>
  <c r="AJ31" i="14"/>
  <c r="AJ78" i="14"/>
  <c r="AI78" i="14"/>
  <c r="AG8" i="9"/>
  <c r="AN222" i="9"/>
  <c r="AN8" i="9" s="1"/>
  <c r="AI222" i="9"/>
  <c r="L230" i="14"/>
  <c r="K230" i="14"/>
  <c r="K286" i="14"/>
  <c r="L286" i="14"/>
  <c r="AN248" i="9"/>
  <c r="AI248" i="9"/>
  <c r="G249" i="14" s="1"/>
  <c r="AF262" i="14"/>
  <c r="AF325" i="14"/>
  <c r="AI13" i="14"/>
  <c r="AJ13" i="14"/>
  <c r="AI22" i="14"/>
  <c r="AJ22" i="14"/>
  <c r="AJ182" i="14"/>
  <c r="AI182" i="14"/>
  <c r="AN227" i="9"/>
  <c r="AI227" i="9"/>
  <c r="G228" i="14" s="1"/>
  <c r="AI56" i="14"/>
  <c r="AJ56" i="14"/>
  <c r="AJ143" i="14"/>
  <c r="AI143" i="14"/>
  <c r="AI174" i="14"/>
  <c r="AJ174" i="14"/>
  <c r="AH324" i="9"/>
  <c r="AM324" i="9"/>
  <c r="AJ26" i="14"/>
  <c r="AI26" i="14"/>
  <c r="AN283" i="9"/>
  <c r="AI283" i="9"/>
  <c r="G284" i="14" s="1"/>
  <c r="AI55" i="14"/>
  <c r="AJ55" i="14"/>
  <c r="AN4" i="9"/>
  <c r="I38" i="4" s="1"/>
  <c r="AN5" i="9"/>
  <c r="I39" i="4" s="1"/>
  <c r="K297" i="14"/>
  <c r="L297" i="14"/>
  <c r="D307" i="14"/>
  <c r="AA30" i="14"/>
  <c r="AC30" i="14" s="1"/>
  <c r="S307" i="14"/>
  <c r="S222" i="14"/>
  <c r="S8" i="14" s="1"/>
  <c r="AQ261" i="9"/>
  <c r="AI257" i="9"/>
  <c r="G258" i="14" s="1"/>
  <c r="AN257" i="9"/>
  <c r="AM275" i="9"/>
  <c r="AH275" i="9"/>
  <c r="AN21" i="14"/>
  <c r="AA209" i="14"/>
  <c r="AC209" i="14" s="1"/>
  <c r="D276" i="14"/>
  <c r="L265" i="14"/>
  <c r="K265" i="14"/>
  <c r="AA101" i="14"/>
  <c r="AC101" i="14" s="1"/>
  <c r="AN285" i="9"/>
  <c r="AI285" i="9"/>
  <c r="G286" i="14" s="1"/>
  <c r="AF307" i="14"/>
  <c r="AJ120" i="14"/>
  <c r="AI120" i="14"/>
  <c r="AI172" i="14"/>
  <c r="AJ172" i="14"/>
  <c r="AJ102" i="14"/>
  <c r="AI102" i="14"/>
  <c r="AJ144" i="14"/>
  <c r="AI144" i="14"/>
  <c r="AI108" i="14"/>
  <c r="AJ108" i="14"/>
  <c r="AI286" i="9"/>
  <c r="G287" i="14" s="1"/>
  <c r="AN286" i="9"/>
  <c r="AI12" i="14"/>
  <c r="AJ12" i="14"/>
  <c r="AC122" i="14"/>
  <c r="BH16" i="14"/>
  <c r="BM16" i="14"/>
  <c r="BF19" i="14"/>
  <c r="BK19" i="14"/>
  <c r="AN312" i="9"/>
  <c r="AI312" i="9"/>
  <c r="G313" i="14" s="1"/>
  <c r="AH231" i="9"/>
  <c r="AM231" i="9"/>
  <c r="AM289" i="9"/>
  <c r="AH289" i="9"/>
  <c r="AI266" i="9"/>
  <c r="G267" i="14" s="1"/>
  <c r="AN266" i="9"/>
  <c r="AJ23" i="14"/>
  <c r="AI23" i="14"/>
  <c r="K227" i="14"/>
  <c r="L227" i="14"/>
  <c r="D232" i="14"/>
  <c r="K266" i="14"/>
  <c r="L266" i="14"/>
  <c r="K313" i="14"/>
  <c r="L313" i="14"/>
  <c r="D325" i="14"/>
  <c r="AQ231" i="9"/>
  <c r="AH306" i="9"/>
  <c r="AM306" i="9"/>
  <c r="AI14" i="14"/>
  <c r="AJ14" i="14"/>
  <c r="AJ139" i="14"/>
  <c r="AI139" i="14"/>
  <c r="AN265" i="9"/>
  <c r="AI265" i="9"/>
  <c r="G266" i="14" s="1"/>
  <c r="AH8" i="9"/>
  <c r="F276" i="14"/>
  <c r="F290" i="14"/>
  <c r="F307" i="14"/>
  <c r="F262" i="14"/>
  <c r="F232" i="14"/>
  <c r="F325" i="14"/>
  <c r="K321" i="14"/>
  <c r="L321" i="14"/>
  <c r="L258" i="14"/>
  <c r="K258" i="14"/>
  <c r="L228" i="14"/>
  <c r="K228" i="14"/>
  <c r="L249" i="14"/>
  <c r="K249" i="14"/>
  <c r="AN62" i="14"/>
  <c r="AJ17" i="14"/>
  <c r="AI17" i="14"/>
  <c r="AF232" i="14"/>
  <c r="S262" i="14" l="1"/>
  <c r="AG209" i="14"/>
  <c r="AG30" i="14"/>
  <c r="V14" i="31"/>
  <c r="AN23" i="14"/>
  <c r="AI231" i="9"/>
  <c r="AN231" i="9"/>
  <c r="AG122" i="14"/>
  <c r="AN12" i="14"/>
  <c r="AN108" i="14"/>
  <c r="AN120" i="14"/>
  <c r="AN174" i="14"/>
  <c r="AN182" i="14"/>
  <c r="AN22" i="14"/>
  <c r="AM31" i="14"/>
  <c r="AK31" i="14"/>
  <c r="AM18" i="14"/>
  <c r="AK18" i="14"/>
  <c r="AM15" i="14"/>
  <c r="AK15" i="14"/>
  <c r="AN128" i="14"/>
  <c r="AM81" i="14"/>
  <c r="AK81" i="14"/>
  <c r="AM24" i="14"/>
  <c r="AK24" i="14"/>
  <c r="AN171" i="14"/>
  <c r="L290" i="14"/>
  <c r="K290" i="14"/>
  <c r="AM27" i="14"/>
  <c r="AK27" i="14"/>
  <c r="AN38" i="14"/>
  <c r="AN210" i="14"/>
  <c r="AM213" i="14"/>
  <c r="AK213" i="14"/>
  <c r="AM33" i="14"/>
  <c r="AK33" i="14"/>
  <c r="AN14" i="14"/>
  <c r="BK62" i="14"/>
  <c r="BF62" i="14"/>
  <c r="AN139" i="14"/>
  <c r="AM14" i="14"/>
  <c r="AK14" i="14"/>
  <c r="AM12" i="14"/>
  <c r="AK12" i="14"/>
  <c r="AM108" i="14"/>
  <c r="AK108" i="14"/>
  <c r="AM102" i="14"/>
  <c r="AK102" i="14"/>
  <c r="AN172" i="14"/>
  <c r="S290" i="14"/>
  <c r="S232" i="14"/>
  <c r="K307" i="14"/>
  <c r="L307" i="14"/>
  <c r="AM55" i="14"/>
  <c r="AK55" i="14"/>
  <c r="AM174" i="14"/>
  <c r="AK174" i="14"/>
  <c r="AM22" i="14"/>
  <c r="AK22" i="14"/>
  <c r="AN78" i="14"/>
  <c r="AN261" i="9"/>
  <c r="AI261" i="9"/>
  <c r="AN24" i="14"/>
  <c r="AM142" i="14"/>
  <c r="AK142" i="14"/>
  <c r="AM171" i="14"/>
  <c r="AK171" i="14"/>
  <c r="K262" i="14"/>
  <c r="L262" i="14"/>
  <c r="E8" i="14"/>
  <c r="L222" i="14"/>
  <c r="L8" i="14" s="1"/>
  <c r="BH19" i="14"/>
  <c r="BM19" i="14"/>
  <c r="AN33" i="14"/>
  <c r="AM17" i="14"/>
  <c r="AK17" i="14"/>
  <c r="AN306" i="9"/>
  <c r="AI306" i="9"/>
  <c r="L325" i="14"/>
  <c r="K325" i="14"/>
  <c r="AM23" i="14"/>
  <c r="AK23" i="14"/>
  <c r="AM144" i="14"/>
  <c r="AK144" i="14"/>
  <c r="AM172" i="14"/>
  <c r="AK172" i="14"/>
  <c r="AG101" i="14"/>
  <c r="L276" i="14"/>
  <c r="K276" i="14"/>
  <c r="AN275" i="9"/>
  <c r="AI275" i="9"/>
  <c r="AM26" i="14"/>
  <c r="AK26" i="14"/>
  <c r="AN324" i="9"/>
  <c r="AI324" i="9"/>
  <c r="AM143" i="14"/>
  <c r="AK143" i="14"/>
  <c r="AN56" i="14"/>
  <c r="AM182" i="14"/>
  <c r="AK182" i="14"/>
  <c r="AN13" i="14"/>
  <c r="G262" i="14"/>
  <c r="AI8" i="9"/>
  <c r="G290" i="14"/>
  <c r="G276" i="14"/>
  <c r="G307" i="14"/>
  <c r="G232" i="14"/>
  <c r="G325" i="14"/>
  <c r="AM128" i="14"/>
  <c r="AK128" i="14"/>
  <c r="AN81" i="14"/>
  <c r="AM100" i="14"/>
  <c r="AK100" i="14"/>
  <c r="AN142" i="14"/>
  <c r="AN65" i="14"/>
  <c r="AM210" i="14"/>
  <c r="AK210" i="14"/>
  <c r="AN213" i="14"/>
  <c r="AN17" i="14"/>
  <c r="AM139" i="14"/>
  <c r="AK139" i="14"/>
  <c r="L232" i="14"/>
  <c r="K232" i="14"/>
  <c r="AN289" i="9"/>
  <c r="AI289" i="9"/>
  <c r="AN144" i="14"/>
  <c r="AN102" i="14"/>
  <c r="AM120" i="14"/>
  <c r="AK120" i="14"/>
  <c r="S276" i="14"/>
  <c r="BK21" i="14"/>
  <c r="BF21" i="14"/>
  <c r="AA290" i="14"/>
  <c r="AA307" i="14"/>
  <c r="AA232" i="14"/>
  <c r="S325" i="14"/>
  <c r="AN55" i="14"/>
  <c r="AN26" i="14"/>
  <c r="AN143" i="14"/>
  <c r="AM56" i="14"/>
  <c r="AK56" i="14"/>
  <c r="AM13" i="14"/>
  <c r="AK13" i="14"/>
  <c r="AM78" i="14"/>
  <c r="AK78" i="14"/>
  <c r="AN31" i="14"/>
  <c r="BE21" i="14"/>
  <c r="BJ21" i="14"/>
  <c r="AQ21" i="14"/>
  <c r="BB21" i="14"/>
  <c r="AN18" i="14"/>
  <c r="AN15" i="14"/>
  <c r="AN100" i="14"/>
  <c r="AQ62" i="14"/>
  <c r="BB62" i="14"/>
  <c r="BJ62" i="14"/>
  <c r="BE62" i="14"/>
  <c r="AN27" i="14"/>
  <c r="AM38" i="14"/>
  <c r="AK38" i="14"/>
  <c r="AM65" i="14"/>
  <c r="AK65" i="14"/>
  <c r="AC41" i="14"/>
  <c r="AC307" i="14" s="1"/>
  <c r="AI80" i="14"/>
  <c r="AJ80" i="14"/>
  <c r="AA325" i="14" l="1"/>
  <c r="AA262" i="14"/>
  <c r="BF244" i="14"/>
  <c r="BK244" i="14"/>
  <c r="AQ65" i="14"/>
  <c r="BB65" i="14"/>
  <c r="BE65" i="14"/>
  <c r="BJ65" i="14"/>
  <c r="BM62" i="14"/>
  <c r="BH62" i="14"/>
  <c r="BF15" i="14"/>
  <c r="BK15" i="14"/>
  <c r="BE78" i="14"/>
  <c r="AQ78" i="14"/>
  <c r="BJ78" i="14"/>
  <c r="BB78" i="14"/>
  <c r="BJ13" i="14"/>
  <c r="AQ13" i="14"/>
  <c r="BB13" i="14"/>
  <c r="BE13" i="14"/>
  <c r="AQ128" i="14"/>
  <c r="BB128" i="14"/>
  <c r="BE128" i="14"/>
  <c r="BJ128" i="14"/>
  <c r="BF56" i="14"/>
  <c r="BK56" i="14"/>
  <c r="BE26" i="14"/>
  <c r="BJ26" i="14"/>
  <c r="BB26" i="14"/>
  <c r="AQ26" i="14"/>
  <c r="BJ171" i="14"/>
  <c r="BE171" i="14"/>
  <c r="AQ171" i="14"/>
  <c r="BB171" i="14"/>
  <c r="BE22" i="14"/>
  <c r="AQ22" i="14"/>
  <c r="BB22" i="14"/>
  <c r="BJ22" i="14"/>
  <c r="AQ55" i="14"/>
  <c r="BE55" i="14"/>
  <c r="BJ55" i="14"/>
  <c r="BB55" i="14"/>
  <c r="BB14" i="14"/>
  <c r="AQ14" i="14"/>
  <c r="BE14" i="14"/>
  <c r="BJ14" i="14"/>
  <c r="BK139" i="14"/>
  <c r="BF139" i="14"/>
  <c r="BB213" i="14"/>
  <c r="BE213" i="14"/>
  <c r="BJ213" i="14"/>
  <c r="AQ213" i="14"/>
  <c r="BB27" i="14"/>
  <c r="AQ27" i="14"/>
  <c r="BJ27" i="14"/>
  <c r="BE27" i="14"/>
  <c r="BE81" i="14"/>
  <c r="BJ81" i="14"/>
  <c r="BB81" i="14"/>
  <c r="AQ81" i="14"/>
  <c r="BF22" i="14"/>
  <c r="BK22" i="14"/>
  <c r="BF120" i="14"/>
  <c r="BK120" i="14"/>
  <c r="AI30" i="14"/>
  <c r="AJ30" i="14"/>
  <c r="AG41" i="14"/>
  <c r="BK27" i="14"/>
  <c r="BF27" i="14"/>
  <c r="BK143" i="14"/>
  <c r="BF143" i="14"/>
  <c r="BJ120" i="14"/>
  <c r="AQ120" i="14"/>
  <c r="BE120" i="14"/>
  <c r="BB120" i="14"/>
  <c r="BF144" i="14"/>
  <c r="BK144" i="14"/>
  <c r="BK17" i="14"/>
  <c r="BF17" i="14"/>
  <c r="BK65" i="14"/>
  <c r="BF65" i="14"/>
  <c r="BF81" i="14"/>
  <c r="BK81" i="14"/>
  <c r="AI101" i="14"/>
  <c r="AJ101" i="14"/>
  <c r="BB144" i="14"/>
  <c r="AQ144" i="14"/>
  <c r="BE144" i="14"/>
  <c r="BJ144" i="14"/>
  <c r="BB17" i="14"/>
  <c r="BE17" i="14"/>
  <c r="BJ17" i="14"/>
  <c r="AQ17" i="14"/>
  <c r="BK33" i="14"/>
  <c r="BF33" i="14"/>
  <c r="BK24" i="14"/>
  <c r="BF24" i="14"/>
  <c r="BK78" i="14"/>
  <c r="BF78" i="14"/>
  <c r="BB33" i="14"/>
  <c r="AQ33" i="14"/>
  <c r="BJ33" i="14"/>
  <c r="BE33" i="14"/>
  <c r="BF38" i="14"/>
  <c r="BK38" i="14"/>
  <c r="AQ24" i="14"/>
  <c r="BJ24" i="14"/>
  <c r="BB24" i="14"/>
  <c r="BE24" i="14"/>
  <c r="BK174" i="14"/>
  <c r="BF174" i="14"/>
  <c r="BK12" i="14"/>
  <c r="BF12" i="14"/>
  <c r="AI122" i="14"/>
  <c r="AJ122" i="14"/>
  <c r="AC262" i="14"/>
  <c r="AJ209" i="14"/>
  <c r="AI209" i="14"/>
  <c r="BE244" i="14"/>
  <c r="BJ244" i="14"/>
  <c r="BB244" i="14"/>
  <c r="BK55" i="14"/>
  <c r="BF55" i="14"/>
  <c r="V20" i="31"/>
  <c r="BK13" i="14"/>
  <c r="BF13" i="14"/>
  <c r="BJ182" i="14"/>
  <c r="AQ182" i="14"/>
  <c r="BB182" i="14"/>
  <c r="BE182" i="14"/>
  <c r="AC276" i="14"/>
  <c r="AQ172" i="14"/>
  <c r="BJ172" i="14"/>
  <c r="BE172" i="14"/>
  <c r="BB172" i="14"/>
  <c r="AQ23" i="14"/>
  <c r="BJ23" i="14"/>
  <c r="BE23" i="14"/>
  <c r="BB23" i="14"/>
  <c r="BK172" i="14"/>
  <c r="BF172" i="14"/>
  <c r="BJ108" i="14"/>
  <c r="BE108" i="14"/>
  <c r="BB108" i="14"/>
  <c r="AQ108" i="14"/>
  <c r="BE12" i="14"/>
  <c r="AQ12" i="14"/>
  <c r="BJ12" i="14"/>
  <c r="BB12" i="14"/>
  <c r="BK14" i="14"/>
  <c r="BF14" i="14"/>
  <c r="BF171" i="14"/>
  <c r="BK171" i="14"/>
  <c r="BF128" i="14"/>
  <c r="BK128" i="14"/>
  <c r="BE15" i="14"/>
  <c r="BJ15" i="14"/>
  <c r="BB15" i="14"/>
  <c r="AQ15" i="14"/>
  <c r="BE31" i="14"/>
  <c r="BJ31" i="14"/>
  <c r="AQ31" i="14"/>
  <c r="BB31" i="14"/>
  <c r="AA276" i="14"/>
  <c r="BF108" i="14"/>
  <c r="BK108" i="14"/>
  <c r="AC290" i="14"/>
  <c r="BF23" i="14"/>
  <c r="BK23" i="14"/>
  <c r="AC232" i="14"/>
  <c r="AC325" i="14"/>
  <c r="AN80" i="14"/>
  <c r="BK18" i="14"/>
  <c r="BF18" i="14"/>
  <c r="BH21" i="14"/>
  <c r="BM21" i="14"/>
  <c r="AM80" i="14"/>
  <c r="AK80" i="14"/>
  <c r="BB38" i="14"/>
  <c r="AQ38" i="14"/>
  <c r="BE38" i="14"/>
  <c r="BJ38" i="14"/>
  <c r="BF100" i="14"/>
  <c r="BK100" i="14"/>
  <c r="BK31" i="14"/>
  <c r="BF31" i="14"/>
  <c r="BJ56" i="14"/>
  <c r="BE56" i="14"/>
  <c r="AQ56" i="14"/>
  <c r="BB56" i="14"/>
  <c r="BK26" i="14"/>
  <c r="BF26" i="14"/>
  <c r="BF102" i="14"/>
  <c r="BK102" i="14"/>
  <c r="BB139" i="14"/>
  <c r="BE139" i="14"/>
  <c r="AQ139" i="14"/>
  <c r="BJ139" i="14"/>
  <c r="BF213" i="14"/>
  <c r="BK213" i="14"/>
  <c r="AQ210" i="14"/>
  <c r="BJ210" i="14"/>
  <c r="BB210" i="14"/>
  <c r="BE210" i="14"/>
  <c r="BF142" i="14"/>
  <c r="BK142" i="14"/>
  <c r="AQ100" i="14"/>
  <c r="BB100" i="14"/>
  <c r="BJ100" i="14"/>
  <c r="BE100" i="14"/>
  <c r="BE143" i="14"/>
  <c r="BJ143" i="14"/>
  <c r="BB143" i="14"/>
  <c r="AQ143" i="14"/>
  <c r="BE142" i="14"/>
  <c r="BB142" i="14"/>
  <c r="BJ142" i="14"/>
  <c r="AQ142" i="14"/>
  <c r="AQ174" i="14"/>
  <c r="BB174" i="14"/>
  <c r="BE174" i="14"/>
  <c r="BJ174" i="14"/>
  <c r="BB102" i="14"/>
  <c r="BE102" i="14"/>
  <c r="AQ102" i="14"/>
  <c r="BJ102" i="14"/>
  <c r="BK210" i="14"/>
  <c r="BF210" i="14"/>
  <c r="AQ18" i="14"/>
  <c r="BE18" i="14"/>
  <c r="BB18" i="14"/>
  <c r="BJ18" i="14"/>
  <c r="BK182" i="14"/>
  <c r="BF182" i="14"/>
  <c r="BE250" i="14" l="1"/>
  <c r="BB250" i="14"/>
  <c r="BJ250" i="14"/>
  <c r="BE303" i="14"/>
  <c r="BB303" i="14"/>
  <c r="BJ303" i="14"/>
  <c r="BB248" i="14"/>
  <c r="BE248" i="14"/>
  <c r="BJ248" i="14"/>
  <c r="BH100" i="14"/>
  <c r="BM100" i="14"/>
  <c r="BE229" i="14"/>
  <c r="BB229" i="14"/>
  <c r="BH38" i="14"/>
  <c r="BM38" i="14"/>
  <c r="BF320" i="14"/>
  <c r="BH12" i="14"/>
  <c r="BM12" i="14"/>
  <c r="BM108" i="14"/>
  <c r="BH108" i="14"/>
  <c r="BE299" i="14"/>
  <c r="BB299" i="14"/>
  <c r="BJ299" i="14"/>
  <c r="BJ255" i="14"/>
  <c r="BE255" i="14"/>
  <c r="BB255" i="14"/>
  <c r="BM182" i="14"/>
  <c r="BH182" i="14"/>
  <c r="BF273" i="14"/>
  <c r="AM122" i="14"/>
  <c r="AK122" i="14"/>
  <c r="BJ239" i="14"/>
  <c r="BB239" i="14"/>
  <c r="BE239" i="14"/>
  <c r="BJ241" i="14"/>
  <c r="BE241" i="14"/>
  <c r="BB241" i="14"/>
  <c r="BF245" i="14"/>
  <c r="BK245" i="14"/>
  <c r="BF239" i="14"/>
  <c r="BK239" i="14"/>
  <c r="BF241" i="14"/>
  <c r="BK241" i="14"/>
  <c r="BH144" i="14"/>
  <c r="BM144" i="14"/>
  <c r="BJ251" i="14"/>
  <c r="BB251" i="14"/>
  <c r="BE251" i="14"/>
  <c r="BF268" i="14"/>
  <c r="AG307" i="14"/>
  <c r="AG325" i="14"/>
  <c r="BE272" i="14"/>
  <c r="BB272" i="14"/>
  <c r="BB295" i="14"/>
  <c r="BJ295" i="14"/>
  <c r="BE295" i="14"/>
  <c r="BE314" i="14"/>
  <c r="BB314" i="14"/>
  <c r="BB238" i="14"/>
  <c r="BJ238" i="14"/>
  <c r="BE238" i="14"/>
  <c r="BB281" i="14"/>
  <c r="BE281" i="14"/>
  <c r="BF243" i="14"/>
  <c r="BK243" i="14"/>
  <c r="BJ302" i="14"/>
  <c r="BE302" i="14"/>
  <c r="BB302" i="14"/>
  <c r="BM13" i="14"/>
  <c r="BH13" i="14"/>
  <c r="BB315" i="14"/>
  <c r="BE315" i="14"/>
  <c r="BF283" i="14"/>
  <c r="BF259" i="14"/>
  <c r="BK259" i="14"/>
  <c r="BE304" i="14"/>
  <c r="BJ304" i="14"/>
  <c r="BB304" i="14"/>
  <c r="BK303" i="14"/>
  <c r="BF303" i="14"/>
  <c r="BE323" i="14"/>
  <c r="BB323" i="14"/>
  <c r="BF250" i="14"/>
  <c r="BK250" i="14"/>
  <c r="BH56" i="14"/>
  <c r="BM56" i="14"/>
  <c r="BK248" i="14"/>
  <c r="BF248" i="14"/>
  <c r="AQ80" i="14"/>
  <c r="BJ80" i="14"/>
  <c r="BE80" i="14"/>
  <c r="BB80" i="14"/>
  <c r="BF269" i="14"/>
  <c r="BH31" i="14"/>
  <c r="BM31" i="14"/>
  <c r="BK302" i="14"/>
  <c r="BF302" i="14"/>
  <c r="BK237" i="14"/>
  <c r="BF237" i="14"/>
  <c r="BE311" i="14"/>
  <c r="BB311" i="14"/>
  <c r="BB294" i="14"/>
  <c r="BJ294" i="14"/>
  <c r="BE294" i="14"/>
  <c r="BE257" i="14"/>
  <c r="BB257" i="14"/>
  <c r="AN209" i="14"/>
  <c r="BF311" i="14"/>
  <c r="BF280" i="14"/>
  <c r="BM17" i="14"/>
  <c r="BH17" i="14"/>
  <c r="AM101" i="14"/>
  <c r="AK101" i="14"/>
  <c r="BK247" i="14"/>
  <c r="BF247" i="14"/>
  <c r="BF305" i="14"/>
  <c r="BK305" i="14"/>
  <c r="BF304" i="14"/>
  <c r="BK304" i="14"/>
  <c r="AG232" i="14"/>
  <c r="BF312" i="14"/>
  <c r="BM81" i="14"/>
  <c r="BH81" i="14"/>
  <c r="BJ260" i="14"/>
  <c r="BB260" i="14"/>
  <c r="BE260" i="14"/>
  <c r="BF229" i="14"/>
  <c r="BH14" i="14"/>
  <c r="BM14" i="14"/>
  <c r="BJ242" i="14"/>
  <c r="BE242" i="14"/>
  <c r="BB242" i="14"/>
  <c r="BE298" i="14"/>
  <c r="BJ298" i="14"/>
  <c r="BB298" i="14"/>
  <c r="BE254" i="14"/>
  <c r="BJ254" i="14"/>
  <c r="BB254" i="14"/>
  <c r="BB279" i="14"/>
  <c r="BE279" i="14"/>
  <c r="BB273" i="14"/>
  <c r="BE273" i="14"/>
  <c r="BM244" i="14"/>
  <c r="BH244" i="14"/>
  <c r="BF257" i="14"/>
  <c r="BM142" i="14"/>
  <c r="BH142" i="14"/>
  <c r="BF322" i="14"/>
  <c r="BK322" i="14"/>
  <c r="BH18" i="14"/>
  <c r="BM18" i="14"/>
  <c r="BF323" i="14"/>
  <c r="BE256" i="14"/>
  <c r="BJ256" i="14"/>
  <c r="BB256" i="14"/>
  <c r="BM174" i="14"/>
  <c r="BH174" i="14"/>
  <c r="BH143" i="14"/>
  <c r="BM143" i="14"/>
  <c r="BB259" i="14"/>
  <c r="BE259" i="14"/>
  <c r="BJ259" i="14"/>
  <c r="BK260" i="14"/>
  <c r="BF260" i="14"/>
  <c r="BJ319" i="14"/>
  <c r="BE319" i="14"/>
  <c r="BB319" i="14"/>
  <c r="BH139" i="14"/>
  <c r="BM139" i="14"/>
  <c r="BF288" i="14"/>
  <c r="BB280" i="14"/>
  <c r="BE280" i="14"/>
  <c r="BK80" i="14"/>
  <c r="BF80" i="14"/>
  <c r="BF300" i="14"/>
  <c r="BK300" i="14"/>
  <c r="BB283" i="14"/>
  <c r="BE283" i="14"/>
  <c r="BF254" i="14"/>
  <c r="BK254" i="14"/>
  <c r="BE236" i="14"/>
  <c r="BJ236" i="14"/>
  <c r="BB300" i="14"/>
  <c r="BE300" i="14"/>
  <c r="BJ300" i="14"/>
  <c r="BK255" i="14"/>
  <c r="BF255" i="14"/>
  <c r="BF314" i="14"/>
  <c r="BB236" i="14"/>
  <c r="BF236" i="14"/>
  <c r="BK236" i="14"/>
  <c r="BM24" i="14"/>
  <c r="BH24" i="14"/>
  <c r="BH33" i="14"/>
  <c r="BM33" i="14"/>
  <c r="BE270" i="14"/>
  <c r="BB270" i="14"/>
  <c r="BE305" i="14"/>
  <c r="BJ305" i="14"/>
  <c r="BB305" i="14"/>
  <c r="BF270" i="14"/>
  <c r="AN30" i="14"/>
  <c r="BK251" i="14"/>
  <c r="BF251" i="14"/>
  <c r="BK238" i="14"/>
  <c r="BF238" i="14"/>
  <c r="BF281" i="14"/>
  <c r="BJ247" i="14"/>
  <c r="BB247" i="14"/>
  <c r="BE247" i="14"/>
  <c r="BK319" i="14"/>
  <c r="BF319" i="14"/>
  <c r="BB237" i="14"/>
  <c r="BE237" i="14"/>
  <c r="BJ237" i="14"/>
  <c r="BH55" i="14"/>
  <c r="BM55" i="14"/>
  <c r="BE320" i="14"/>
  <c r="BB320" i="14"/>
  <c r="BM26" i="14"/>
  <c r="BH26" i="14"/>
  <c r="BH65" i="14"/>
  <c r="BM65" i="14"/>
  <c r="BM102" i="14"/>
  <c r="BH102" i="14"/>
  <c r="BB269" i="14"/>
  <c r="BE269" i="14"/>
  <c r="BM210" i="14"/>
  <c r="BH210" i="14"/>
  <c r="BJ253" i="14"/>
  <c r="BB253" i="14"/>
  <c r="BE253" i="14"/>
  <c r="BF279" i="14"/>
  <c r="BJ243" i="14"/>
  <c r="BE243" i="14"/>
  <c r="BB243" i="14"/>
  <c r="BK299" i="14"/>
  <c r="BF299" i="14"/>
  <c r="BE288" i="14"/>
  <c r="BB288" i="14"/>
  <c r="BH15" i="14"/>
  <c r="BM15" i="14"/>
  <c r="BF272" i="14"/>
  <c r="BF295" i="14"/>
  <c r="BK295" i="14"/>
  <c r="BB271" i="14"/>
  <c r="BE271" i="14"/>
  <c r="BM23" i="14"/>
  <c r="BH23" i="14"/>
  <c r="BH172" i="14"/>
  <c r="BM172" i="14"/>
  <c r="BE322" i="14"/>
  <c r="BJ322" i="14"/>
  <c r="BB322" i="14"/>
  <c r="BK242" i="14"/>
  <c r="BF242" i="14"/>
  <c r="AM209" i="14"/>
  <c r="AK209" i="14"/>
  <c r="AN122" i="14"/>
  <c r="BK294" i="14"/>
  <c r="BF294" i="14"/>
  <c r="BF271" i="14"/>
  <c r="BK256" i="14"/>
  <c r="BF256" i="14"/>
  <c r="BF315" i="14"/>
  <c r="AN101" i="14"/>
  <c r="BM120" i="14"/>
  <c r="BH120" i="14"/>
  <c r="AI41" i="14"/>
  <c r="AI262" i="14" s="1"/>
  <c r="AG276" i="14"/>
  <c r="AJ41" i="14"/>
  <c r="AG290" i="14"/>
  <c r="AG262" i="14"/>
  <c r="AM30" i="14"/>
  <c r="AK30" i="14"/>
  <c r="BF274" i="14"/>
  <c r="BF298" i="14"/>
  <c r="BK298" i="14"/>
  <c r="BB268" i="14"/>
  <c r="BE268" i="14"/>
  <c r="BH27" i="14"/>
  <c r="BM27" i="14"/>
  <c r="BH213" i="14"/>
  <c r="BM213" i="14"/>
  <c r="BF253" i="14"/>
  <c r="BK253" i="14"/>
  <c r="BE274" i="14"/>
  <c r="BB274" i="14"/>
  <c r="BM22" i="14"/>
  <c r="BH22" i="14"/>
  <c r="BB312" i="14"/>
  <c r="BE312" i="14"/>
  <c r="BH171" i="14"/>
  <c r="BM171" i="14"/>
  <c r="BM128" i="14"/>
  <c r="BH128" i="14"/>
  <c r="BM78" i="14"/>
  <c r="BH78" i="14"/>
  <c r="BB245" i="14"/>
  <c r="BJ245" i="14"/>
  <c r="BE245" i="14"/>
  <c r="AI307" i="14" l="1"/>
  <c r="AI325" i="14"/>
  <c r="BH320" i="14"/>
  <c r="BM320" i="14"/>
  <c r="BJ274" i="14"/>
  <c r="BM260" i="14"/>
  <c r="BH260" i="14"/>
  <c r="BH268" i="14"/>
  <c r="BK274" i="14"/>
  <c r="AN41" i="14"/>
  <c r="BM299" i="14"/>
  <c r="BH299" i="14"/>
  <c r="BK279" i="14"/>
  <c r="BJ320" i="14"/>
  <c r="BM242" i="14"/>
  <c r="BH242" i="14"/>
  <c r="AJ307" i="14"/>
  <c r="BK314" i="14"/>
  <c r="BJ283" i="14"/>
  <c r="BF316" i="14"/>
  <c r="BM253" i="14"/>
  <c r="BH253" i="14"/>
  <c r="BJ273" i="14"/>
  <c r="BM295" i="14"/>
  <c r="BH295" i="14"/>
  <c r="BK229" i="14"/>
  <c r="BK280" i="14"/>
  <c r="BJ257" i="14"/>
  <c r="BH80" i="14"/>
  <c r="BM80" i="14"/>
  <c r="BK283" i="14"/>
  <c r="BM300" i="14"/>
  <c r="BH300" i="14"/>
  <c r="BH311" i="14"/>
  <c r="BM311" i="14"/>
  <c r="BH280" i="14"/>
  <c r="BM248" i="14"/>
  <c r="BH248" i="14"/>
  <c r="BH274" i="14"/>
  <c r="BM312" i="14"/>
  <c r="BH312" i="14"/>
  <c r="BM245" i="14"/>
  <c r="BH245" i="14"/>
  <c r="BH281" i="14"/>
  <c r="BJ30" i="14"/>
  <c r="BE30" i="14"/>
  <c r="BB30" i="14"/>
  <c r="AQ30" i="14"/>
  <c r="AJ290" i="14"/>
  <c r="BF122" i="14"/>
  <c r="BK122" i="14"/>
  <c r="BM296" i="14"/>
  <c r="BH296" i="14"/>
  <c r="BH272" i="14"/>
  <c r="BJ288" i="14"/>
  <c r="BM259" i="14"/>
  <c r="BH259" i="14"/>
  <c r="BJ269" i="14"/>
  <c r="BH279" i="14"/>
  <c r="BH314" i="14"/>
  <c r="BM314" i="14"/>
  <c r="BK281" i="14"/>
  <c r="AJ232" i="14"/>
  <c r="AJ325" i="14"/>
  <c r="BK270" i="14"/>
  <c r="BM239" i="14"/>
  <c r="BH239" i="14"/>
  <c r="BF246" i="14"/>
  <c r="BK246" i="14"/>
  <c r="BH256" i="14"/>
  <c r="BM256" i="14"/>
  <c r="BM303" i="14"/>
  <c r="BH303" i="14"/>
  <c r="BK257" i="14"/>
  <c r="BH237" i="14"/>
  <c r="BM237" i="14"/>
  <c r="BJ311" i="14"/>
  <c r="BH243" i="14"/>
  <c r="BM243" i="14"/>
  <c r="BJ323" i="14"/>
  <c r="BJ315" i="14"/>
  <c r="BJ314" i="14"/>
  <c r="BK268" i="14"/>
  <c r="BJ122" i="14"/>
  <c r="BB122" i="14"/>
  <c r="BE122" i="14"/>
  <c r="AQ122" i="14"/>
  <c r="BH257" i="14"/>
  <c r="BM257" i="14"/>
  <c r="BH236" i="14"/>
  <c r="BM236" i="14"/>
  <c r="BH294" i="14"/>
  <c r="BM294" i="14"/>
  <c r="BM315" i="14"/>
  <c r="BH315" i="14"/>
  <c r="BK296" i="14"/>
  <c r="BF296" i="14"/>
  <c r="BM302" i="14"/>
  <c r="BH302" i="14"/>
  <c r="BH254" i="14"/>
  <c r="BM254" i="14"/>
  <c r="BJ312" i="14"/>
  <c r="BM298" i="14"/>
  <c r="BH298" i="14"/>
  <c r="AI232" i="14"/>
  <c r="AM41" i="14"/>
  <c r="AI276" i="14"/>
  <c r="AK41" i="14"/>
  <c r="AI290" i="14"/>
  <c r="AJ276" i="14"/>
  <c r="BK101" i="14"/>
  <c r="BF101" i="14"/>
  <c r="BH255" i="14"/>
  <c r="BM255" i="14"/>
  <c r="BJ271" i="14"/>
  <c r="BK272" i="14"/>
  <c r="BH283" i="14"/>
  <c r="BM250" i="14"/>
  <c r="BH250" i="14"/>
  <c r="BF30" i="14"/>
  <c r="BK30" i="14"/>
  <c r="AN222" i="14"/>
  <c r="BH229" i="14"/>
  <c r="BM229" i="14"/>
  <c r="BH247" i="14"/>
  <c r="BM247" i="14"/>
  <c r="BJ101" i="14"/>
  <c r="AQ101" i="14"/>
  <c r="BB101" i="14"/>
  <c r="BE101" i="14"/>
  <c r="BK311" i="14"/>
  <c r="BK209" i="14"/>
  <c r="BF209" i="14"/>
  <c r="BB296" i="14"/>
  <c r="BE296" i="14"/>
  <c r="BJ296" i="14"/>
  <c r="BE246" i="14"/>
  <c r="BJ246" i="14"/>
  <c r="BB246" i="14"/>
  <c r="BJ281" i="14"/>
  <c r="BK273" i="14"/>
  <c r="BH271" i="14"/>
  <c r="BJ229" i="14"/>
  <c r="BH238" i="14"/>
  <c r="BM238" i="14"/>
  <c r="BJ268" i="14"/>
  <c r="BH251" i="14"/>
  <c r="BM251" i="14"/>
  <c r="BK315" i="14"/>
  <c r="BK271" i="14"/>
  <c r="AQ209" i="14"/>
  <c r="BE209" i="14"/>
  <c r="BB209" i="14"/>
  <c r="BJ209" i="14"/>
  <c r="BM323" i="14"/>
  <c r="BH323" i="14"/>
  <c r="AJ262" i="14"/>
  <c r="BJ270" i="14"/>
  <c r="BM241" i="14"/>
  <c r="BH241" i="14"/>
  <c r="BJ280" i="14"/>
  <c r="BK288" i="14"/>
  <c r="BM319" i="14"/>
  <c r="BH319" i="14"/>
  <c r="BH304" i="14"/>
  <c r="BM304" i="14"/>
  <c r="BK323" i="14"/>
  <c r="BH269" i="14"/>
  <c r="BJ279" i="14"/>
  <c r="BK312" i="14"/>
  <c r="BH270" i="14"/>
  <c r="BH288" i="14"/>
  <c r="BK269" i="14"/>
  <c r="BE316" i="14"/>
  <c r="BB316" i="14"/>
  <c r="BH273" i="14"/>
  <c r="BJ272" i="14"/>
  <c r="BM305" i="14"/>
  <c r="BH305" i="14"/>
  <c r="BM322" i="14"/>
  <c r="BH322" i="14"/>
  <c r="BK320" i="14"/>
  <c r="AK325" i="14" l="1"/>
  <c r="BM269" i="14"/>
  <c r="BE321" i="14"/>
  <c r="BB321" i="14"/>
  <c r="BJ316" i="14"/>
  <c r="BF228" i="14"/>
  <c r="BE284" i="14"/>
  <c r="BB284" i="14"/>
  <c r="BF258" i="14"/>
  <c r="BK258" i="14"/>
  <c r="BB286" i="14"/>
  <c r="BE286" i="14"/>
  <c r="AN232" i="14"/>
  <c r="BF227" i="14"/>
  <c r="BF286" i="14"/>
  <c r="BB41" i="14"/>
  <c r="U47" i="30" s="1"/>
  <c r="BE41" i="14"/>
  <c r="T16" i="31" s="1"/>
  <c r="T17" i="31" s="1"/>
  <c r="BJ41" i="14"/>
  <c r="AQ41" i="14"/>
  <c r="AQ222" i="14" s="1"/>
  <c r="R32" i="30"/>
  <c r="R33" i="30" s="1"/>
  <c r="R34" i="30" s="1"/>
  <c r="AM276" i="14"/>
  <c r="BJ252" i="14"/>
  <c r="BB252" i="14"/>
  <c r="BE252" i="14"/>
  <c r="BK301" i="14"/>
  <c r="BF301" i="14"/>
  <c r="BF252" i="14"/>
  <c r="BK252" i="14"/>
  <c r="AK232" i="14"/>
  <c r="BM274" i="14"/>
  <c r="BM280" i="14"/>
  <c r="BK41" i="14"/>
  <c r="BF41" i="14"/>
  <c r="U13" i="31" s="1"/>
  <c r="BE258" i="14"/>
  <c r="BB258" i="14"/>
  <c r="BJ258" i="14"/>
  <c r="BB228" i="14"/>
  <c r="BE228" i="14"/>
  <c r="BM271" i="14"/>
  <c r="BF321" i="14"/>
  <c r="BE265" i="14"/>
  <c r="BB265" i="14"/>
  <c r="BE249" i="14"/>
  <c r="BJ249" i="14"/>
  <c r="BB249" i="14"/>
  <c r="BK297" i="14"/>
  <c r="BF297" i="14"/>
  <c r="BF240" i="14"/>
  <c r="BK240" i="14"/>
  <c r="AN262" i="14"/>
  <c r="BM283" i="14"/>
  <c r="BF317" i="14"/>
  <c r="BH122" i="14"/>
  <c r="BM122" i="14"/>
  <c r="BJ301" i="14"/>
  <c r="BE301" i="14"/>
  <c r="BB301" i="14"/>
  <c r="BF282" i="14"/>
  <c r="AN290" i="14"/>
  <c r="AM222" i="14"/>
  <c r="T13" i="31"/>
  <c r="AY5" i="14"/>
  <c r="I42" i="4" s="1"/>
  <c r="AY4" i="14"/>
  <c r="I41" i="4" s="1"/>
  <c r="R47" i="30"/>
  <c r="BM281" i="14"/>
  <c r="BH316" i="14"/>
  <c r="BM316" i="14"/>
  <c r="BM273" i="14"/>
  <c r="BM270" i="14"/>
  <c r="BF230" i="14"/>
  <c r="BB317" i="14"/>
  <c r="BE317" i="14"/>
  <c r="BH101" i="14"/>
  <c r="BM101" i="14"/>
  <c r="AZ9" i="14"/>
  <c r="BF222" i="14"/>
  <c r="BF9" i="14" s="1"/>
  <c r="AN9" i="14"/>
  <c r="BF313" i="14"/>
  <c r="AN325" i="14"/>
  <c r="AN276" i="14"/>
  <c r="BF265" i="14"/>
  <c r="AK276" i="14"/>
  <c r="AK290" i="14"/>
  <c r="BE318" i="14"/>
  <c r="BB318" i="14"/>
  <c r="BM272" i="14"/>
  <c r="BF318" i="14"/>
  <c r="BB266" i="14"/>
  <c r="BE266" i="14"/>
  <c r="AK262" i="14"/>
  <c r="BM246" i="14"/>
  <c r="BH246" i="14"/>
  <c r="BM288" i="14"/>
  <c r="BE230" i="14"/>
  <c r="BB230" i="14"/>
  <c r="BH209" i="14"/>
  <c r="BM209" i="14"/>
  <c r="BF284" i="14"/>
  <c r="BF287" i="14"/>
  <c r="BF266" i="14"/>
  <c r="AZ4" i="14"/>
  <c r="I44" i="4" s="1"/>
  <c r="AZ5" i="14"/>
  <c r="I45" i="4" s="1"/>
  <c r="S32" i="30"/>
  <c r="S33" i="30" s="1"/>
  <c r="S34" i="30" s="1"/>
  <c r="S35" i="30" s="1"/>
  <c r="S36" i="30" s="1"/>
  <c r="S37" i="30" s="1"/>
  <c r="S38" i="30" s="1"/>
  <c r="S47" i="30"/>
  <c r="BF249" i="14"/>
  <c r="BK249" i="14"/>
  <c r="BB282" i="14"/>
  <c r="BE282" i="14"/>
  <c r="AM290" i="14"/>
  <c r="BM279" i="14"/>
  <c r="BE287" i="14"/>
  <c r="BB287" i="14"/>
  <c r="BM30" i="14"/>
  <c r="BH30" i="14"/>
  <c r="T21" i="31"/>
  <c r="T19" i="31"/>
  <c r="T22" i="31"/>
  <c r="T23" i="31" s="1"/>
  <c r="AK307" i="14"/>
  <c r="BK316" i="14"/>
  <c r="BM268" i="14"/>
  <c r="AN307" i="14"/>
  <c r="U15" i="31" l="1"/>
  <c r="U16" i="31"/>
  <c r="U17" i="31" s="1"/>
  <c r="T15" i="31"/>
  <c r="U32" i="30"/>
  <c r="U33" i="30" s="1"/>
  <c r="BB4" i="14"/>
  <c r="BB5" i="14"/>
  <c r="BK284" i="14"/>
  <c r="BB227" i="14"/>
  <c r="BE227" i="14"/>
  <c r="AM232" i="14"/>
  <c r="BH265" i="14"/>
  <c r="BJ317" i="14"/>
  <c r="BK290" i="14"/>
  <c r="BF290" i="14"/>
  <c r="BH318" i="14"/>
  <c r="BM318" i="14"/>
  <c r="BH252" i="14"/>
  <c r="BM252" i="14"/>
  <c r="BK317" i="14"/>
  <c r="BK321" i="14"/>
  <c r="BJ228" i="14"/>
  <c r="BF267" i="14"/>
  <c r="BE285" i="14"/>
  <c r="BB285" i="14"/>
  <c r="BK286" i="14"/>
  <c r="U19" i="31"/>
  <c r="BK227" i="14"/>
  <c r="BJ286" i="14"/>
  <c r="BJ284" i="14"/>
  <c r="BK228" i="14"/>
  <c r="BF307" i="14"/>
  <c r="BK307" i="14"/>
  <c r="BH287" i="14"/>
  <c r="BH313" i="14"/>
  <c r="BM313" i="14"/>
  <c r="AQ325" i="14"/>
  <c r="BM297" i="14"/>
  <c r="BH297" i="14"/>
  <c r="AQ307" i="14"/>
  <c r="AQ9" i="14"/>
  <c r="BH222" i="14"/>
  <c r="BH9" i="14" s="1"/>
  <c r="BE290" i="14"/>
  <c r="BB290" i="14"/>
  <c r="BJ290" i="14"/>
  <c r="BK266" i="14"/>
  <c r="BH284" i="14"/>
  <c r="BH258" i="14"/>
  <c r="BM258" i="14"/>
  <c r="BJ266" i="14"/>
  <c r="BK318" i="14"/>
  <c r="BK276" i="14"/>
  <c r="BF276" i="14"/>
  <c r="U14" i="31"/>
  <c r="BH286" i="14"/>
  <c r="BH249" i="14"/>
  <c r="BM249" i="14"/>
  <c r="BK230" i="14"/>
  <c r="BH282" i="14"/>
  <c r="BE267" i="14"/>
  <c r="BB267" i="14"/>
  <c r="U22" i="31"/>
  <c r="U23" i="31" s="1"/>
  <c r="U21" i="31"/>
  <c r="BJ321" i="14"/>
  <c r="BJ287" i="14"/>
  <c r="BJ282" i="14"/>
  <c r="AQ232" i="14"/>
  <c r="BH227" i="14"/>
  <c r="BM227" i="14"/>
  <c r="BH240" i="14"/>
  <c r="BM240" i="14"/>
  <c r="AQ262" i="14"/>
  <c r="U11" i="31"/>
  <c r="BK287" i="14"/>
  <c r="BM230" i="14"/>
  <c r="BH230" i="14"/>
  <c r="BE313" i="14"/>
  <c r="BB313" i="14"/>
  <c r="AM325" i="14"/>
  <c r="BJ318" i="14"/>
  <c r="BK265" i="14"/>
  <c r="BK325" i="14"/>
  <c r="BF325" i="14"/>
  <c r="BK313" i="14"/>
  <c r="BH228" i="14"/>
  <c r="BM228" i="14"/>
  <c r="BH301" i="14"/>
  <c r="BM301" i="14"/>
  <c r="BE276" i="14"/>
  <c r="BJ276" i="14"/>
  <c r="BB276" i="14"/>
  <c r="BJ297" i="14"/>
  <c r="BE297" i="14"/>
  <c r="BB297" i="14"/>
  <c r="AM307" i="14"/>
  <c r="BH266" i="14"/>
  <c r="U10" i="31"/>
  <c r="S39" i="30"/>
  <c r="BM321" i="14"/>
  <c r="BH321" i="14"/>
  <c r="BJ230" i="14"/>
  <c r="BJ240" i="14"/>
  <c r="BE240" i="14"/>
  <c r="BB240" i="14"/>
  <c r="AM262" i="14"/>
  <c r="AT9" i="14"/>
  <c r="BK222" i="14"/>
  <c r="BK9" i="14" s="1"/>
  <c r="BM317" i="14"/>
  <c r="BH317" i="14"/>
  <c r="R35" i="30"/>
  <c r="R36" i="30" s="1"/>
  <c r="BB222" i="14"/>
  <c r="BB9" i="14" s="1"/>
  <c r="AY9" i="14"/>
  <c r="AM9" i="14"/>
  <c r="BE222" i="14"/>
  <c r="BE9" i="14" s="1"/>
  <c r="BK282" i="14"/>
  <c r="BF262" i="14"/>
  <c r="BK262" i="14"/>
  <c r="BJ265" i="14"/>
  <c r="BF285" i="14"/>
  <c r="BH41" i="14"/>
  <c r="BM41" i="14"/>
  <c r="AQ290" i="14"/>
  <c r="BF232" i="14"/>
  <c r="BM290" i="14" l="1"/>
  <c r="BH290" i="14"/>
  <c r="BE307" i="14"/>
  <c r="BB307" i="14"/>
  <c r="BJ307" i="14"/>
  <c r="BH267" i="14"/>
  <c r="U34" i="30"/>
  <c r="BM262" i="14"/>
  <c r="BH262" i="14"/>
  <c r="AW9" i="14"/>
  <c r="BM222" i="14"/>
  <c r="BM9" i="14" s="1"/>
  <c r="AQ276" i="14"/>
  <c r="BJ227" i="14"/>
  <c r="BK285" i="14"/>
  <c r="BH285" i="14"/>
  <c r="T14" i="31"/>
  <c r="AS9" i="14"/>
  <c r="BJ222" i="14"/>
  <c r="BJ9" i="14" s="1"/>
  <c r="BM266" i="14"/>
  <c r="BE325" i="14"/>
  <c r="BB325" i="14"/>
  <c r="BJ325" i="14"/>
  <c r="BJ313" i="14"/>
  <c r="BH232" i="14"/>
  <c r="BM287" i="14"/>
  <c r="BJ285" i="14"/>
  <c r="BM265" i="14"/>
  <c r="BK232" i="14"/>
  <c r="AQ5" i="14"/>
  <c r="I33" i="4" s="1"/>
  <c r="U20" i="31"/>
  <c r="BE262" i="14"/>
  <c r="BB262" i="14"/>
  <c r="BJ262" i="14"/>
  <c r="U9" i="31"/>
  <c r="BM282" i="14"/>
  <c r="BH325" i="14"/>
  <c r="BM325" i="14"/>
  <c r="BK267" i="14"/>
  <c r="S40" i="30"/>
  <c r="BJ267" i="14"/>
  <c r="R37" i="30"/>
  <c r="R38" i="30" s="1"/>
  <c r="T10" i="31" s="1"/>
  <c r="BM286" i="14"/>
  <c r="BM284" i="14"/>
  <c r="BH307" i="14"/>
  <c r="BM307" i="14"/>
  <c r="BB232" i="14"/>
  <c r="BE232" i="14"/>
  <c r="BJ232" i="14" l="1"/>
  <c r="BM232" i="14"/>
  <c r="U35" i="30"/>
  <c r="BM267" i="14"/>
  <c r="U8" i="31"/>
  <c r="S53" i="30"/>
  <c r="BM285" i="14"/>
  <c r="T11" i="31"/>
  <c r="T20" i="31"/>
  <c r="BH276" i="14"/>
  <c r="BM276" i="14"/>
  <c r="S41" i="30"/>
  <c r="U7" i="31" s="1"/>
  <c r="R39" i="30"/>
  <c r="R40" i="30" s="1"/>
  <c r="T8" i="31" s="1"/>
  <c r="T9" i="31" l="1"/>
  <c r="R53" i="30"/>
  <c r="S42" i="30"/>
  <c r="U36" i="30"/>
  <c r="R41" i="30"/>
  <c r="R42" i="30" s="1"/>
  <c r="S52" i="30"/>
  <c r="R43" i="30" l="1"/>
  <c r="R44" i="30" s="1"/>
  <c r="R45" i="30" s="1"/>
  <c r="R46" i="30" s="1"/>
  <c r="R49" i="30" s="1"/>
  <c r="R52" i="30"/>
  <c r="T7" i="31"/>
  <c r="S43" i="30"/>
  <c r="S44" i="30" s="1"/>
  <c r="S45" i="30" s="1"/>
  <c r="S46" i="30" s="1"/>
  <c r="S49" i="30" s="1"/>
  <c r="U37" i="30"/>
  <c r="V11" i="31" s="1"/>
  <c r="U38" i="30" l="1"/>
  <c r="V10" i="31" s="1"/>
  <c r="S51" i="30"/>
  <c r="T6" i="31"/>
  <c r="U6" i="31"/>
  <c r="R51" i="30"/>
  <c r="U39" i="30" l="1"/>
  <c r="V9" i="31" s="1"/>
  <c r="U40" i="30" l="1"/>
  <c r="V8" i="31" s="1"/>
  <c r="U53" i="30" l="1"/>
  <c r="U41" i="30"/>
  <c r="U52" i="30" s="1"/>
  <c r="U42" i="30" l="1"/>
  <c r="U43" i="30" s="1"/>
  <c r="U44" i="30" s="1"/>
  <c r="U45" i="30" s="1"/>
  <c r="U46" i="30" s="1"/>
  <c r="U49" i="30" s="1"/>
  <c r="V7" i="31"/>
  <c r="V6" i="31" l="1"/>
  <c r="U51" i="30"/>
</calcChain>
</file>

<file path=xl/comments1.xml><?xml version="1.0" encoding="utf-8"?>
<comments xmlns="http://schemas.openxmlformats.org/spreadsheetml/2006/main">
  <authors>
    <author>Lorrimer, Stephen</author>
  </authors>
  <commentList>
    <comment ref="B12" authorId="0">
      <text>
        <r>
          <rPr>
            <b/>
            <sz val="9"/>
            <color indexed="81"/>
            <rFont val="Tahoma"/>
            <family val="2"/>
          </rPr>
          <t xml:space="preserve">The per capita growth that is equivalent to real terms programme growth.
</t>
        </r>
      </text>
    </comment>
  </commentList>
</comments>
</file>

<file path=xl/sharedStrings.xml><?xml version="1.0" encoding="utf-8"?>
<sst xmlns="http://schemas.openxmlformats.org/spreadsheetml/2006/main" count="6805" uniqueCount="1047">
  <si>
    <t>2015-16</t>
  </si>
  <si>
    <t>Min DfT</t>
  </si>
  <si>
    <t>Number &lt;-5</t>
  </si>
  <si>
    <t>Closing target</t>
  </si>
  <si>
    <t>Month six baseline
£000</t>
  </si>
  <si>
    <t>Allocation per head
£</t>
  </si>
  <si>
    <t>Target allocations from the fair shares formula £000</t>
  </si>
  <si>
    <t>Target per head</t>
  </si>
  <si>
    <t>DFT
(total allocation)</t>
  </si>
  <si>
    <t>DFT
(per capita)</t>
  </si>
  <si>
    <t>Growth after rounding</t>
  </si>
  <si>
    <t>Per capita growth after rounding</t>
  </si>
  <si>
    <t>England</t>
  </si>
  <si>
    <t>2016-17</t>
  </si>
  <si>
    <t>Number &lt;-2.5</t>
  </si>
  <si>
    <t>Opening Target
£000</t>
  </si>
  <si>
    <t>Opening Target per head
£</t>
  </si>
  <si>
    <t>GDP deflator</t>
  </si>
  <si>
    <t>Maximum per cap growth</t>
  </si>
  <si>
    <t>Start of transition</t>
  </si>
  <si>
    <t>End of transition</t>
  </si>
  <si>
    <t>Start of growth limit</t>
  </si>
  <si>
    <t>End of Growth limit</t>
  </si>
  <si>
    <t>Limit</t>
  </si>
  <si>
    <t>Minimum</t>
  </si>
  <si>
    <t>Per capita</t>
  </si>
  <si>
    <t>Minimum growth</t>
  </si>
  <si>
    <t>Programme</t>
  </si>
  <si>
    <t>Backsliding switch</t>
  </si>
  <si>
    <t>Switches</t>
  </si>
  <si>
    <t>Popn growth</t>
  </si>
  <si>
    <t>Reference growth</t>
  </si>
  <si>
    <t>Recommended earliest</t>
  </si>
  <si>
    <t>Quanta</t>
  </si>
  <si>
    <t>Transition position</t>
  </si>
  <si>
    <t>Allocation after min per capita growth
£000</t>
  </si>
  <si>
    <t>Minimum per capita growth</t>
  </si>
  <si>
    <t>Allocation after per capita p-o-c</t>
  </si>
  <si>
    <t>Allocation after minimum programme growth</t>
  </si>
  <si>
    <t>Minimum programme</t>
  </si>
  <si>
    <t>Growth cap</t>
  </si>
  <si>
    <t>DfT to prevent backsliding</t>
  </si>
  <si>
    <t>Allocation that prevents backsliding</t>
  </si>
  <si>
    <t>Apply correction if turned on</t>
  </si>
  <si>
    <t>Apply minimum per capita growth [programme]</t>
  </si>
  <si>
    <t>Growth on per capita parameters
[programme]</t>
  </si>
  <si>
    <t>Apply minimum per capita growth [per capita]</t>
  </si>
  <si>
    <t>Apply minimum programme growth
[programme]</t>
  </si>
  <si>
    <t>Growth on per capita parameters
[per capita]</t>
  </si>
  <si>
    <t>Apply minimum programme growth
[per capita]</t>
  </si>
  <si>
    <t>Allocation after per cap</t>
  </si>
  <si>
    <t>Growth after cap
[programme]</t>
  </si>
  <si>
    <t>Growth after cap
[per capita]</t>
  </si>
  <si>
    <t>Implied growth
[programme]</t>
  </si>
  <si>
    <t>Implied growth
[per capita]</t>
  </si>
  <si>
    <t>Lancashire</t>
  </si>
  <si>
    <t>Essex</t>
  </si>
  <si>
    <t>Baseline</t>
  </si>
  <si>
    <t>2017-18</t>
  </si>
  <si>
    <t>2018-19</t>
  </si>
  <si>
    <t>2019-20</t>
  </si>
  <si>
    <t>2020-21</t>
  </si>
  <si>
    <t>Per capita switch</t>
  </si>
  <si>
    <t>PoC switch</t>
  </si>
  <si>
    <t>Year index</t>
  </si>
  <si>
    <t>Closing DfT</t>
  </si>
  <si>
    <t>Balance</t>
  </si>
  <si>
    <t>CCG</t>
  </si>
  <si>
    <t>CCG name</t>
  </si>
  <si>
    <t>00C</t>
  </si>
  <si>
    <t xml:space="preserve">NHS Darlington CCG </t>
  </si>
  <si>
    <t>00D</t>
  </si>
  <si>
    <t xml:space="preserve">NHS Durham Dales, Easington and Sedgefield CCG </t>
  </si>
  <si>
    <t>13T</t>
  </si>
  <si>
    <t>NHS Newcastle Gateshead</t>
  </si>
  <si>
    <t>00K</t>
  </si>
  <si>
    <t xml:space="preserve">NHS Hartlepool and Stockton-on-Tees CCG </t>
  </si>
  <si>
    <t>00J</t>
  </si>
  <si>
    <t xml:space="preserve">NHS North Durham CCG </t>
  </si>
  <si>
    <t>99C</t>
  </si>
  <si>
    <t xml:space="preserve">NHS North Tyneside CCG </t>
  </si>
  <si>
    <t>00L</t>
  </si>
  <si>
    <t xml:space="preserve">NHS Northumberland CCG </t>
  </si>
  <si>
    <t>00M</t>
  </si>
  <si>
    <t xml:space="preserve">NHS South Tees CCG </t>
  </si>
  <si>
    <t>00N</t>
  </si>
  <si>
    <t xml:space="preserve">NHS South Tyneside CCG </t>
  </si>
  <si>
    <t>00P</t>
  </si>
  <si>
    <t xml:space="preserve">NHS Sunderland CCG </t>
  </si>
  <si>
    <t>00Q</t>
  </si>
  <si>
    <t xml:space="preserve">NHS Blackburn with Darwen CCG </t>
  </si>
  <si>
    <t>00R</t>
  </si>
  <si>
    <t xml:space="preserve">NHS Blackpool CCG </t>
  </si>
  <si>
    <t>00T</t>
  </si>
  <si>
    <t xml:space="preserve">NHS Bolton CCG </t>
  </si>
  <si>
    <t>00V</t>
  </si>
  <si>
    <t xml:space="preserve">NHS Bury CCG </t>
  </si>
  <si>
    <t>00W</t>
  </si>
  <si>
    <t xml:space="preserve">NHS Central Manchester CCG </t>
  </si>
  <si>
    <t>00X</t>
  </si>
  <si>
    <t xml:space="preserve">NHS Chorley and South Ribble CCG </t>
  </si>
  <si>
    <t>01H</t>
  </si>
  <si>
    <t xml:space="preserve">NHS Cumbria CCG </t>
  </si>
  <si>
    <t>01A</t>
  </si>
  <si>
    <t xml:space="preserve">NHS East Lancashire CCG </t>
  </si>
  <si>
    <t>01C</t>
  </si>
  <si>
    <t xml:space="preserve">NHS Eastern Cheshire CCG </t>
  </si>
  <si>
    <t>02M</t>
  </si>
  <si>
    <t xml:space="preserve">NHS Fylde and Wyre CCG </t>
  </si>
  <si>
    <t>01E</t>
  </si>
  <si>
    <t xml:space="preserve">NHS Greater Preston CCG </t>
  </si>
  <si>
    <t>01F</t>
  </si>
  <si>
    <t xml:space="preserve">NHS Halton CCG </t>
  </si>
  <si>
    <t>01D</t>
  </si>
  <si>
    <t xml:space="preserve">NHS Heywood, Middleton and Rochdale CCG </t>
  </si>
  <si>
    <t>01J</t>
  </si>
  <si>
    <t xml:space="preserve">NHS Knowsley CCG </t>
  </si>
  <si>
    <t>01K</t>
  </si>
  <si>
    <t xml:space="preserve">NHS Lancashire North CCG </t>
  </si>
  <si>
    <t>99A</t>
  </si>
  <si>
    <t xml:space="preserve">NHS Liverpool CCG </t>
  </si>
  <si>
    <t>01M</t>
  </si>
  <si>
    <t xml:space="preserve">NHS North Manchester CCG </t>
  </si>
  <si>
    <t>00Y</t>
  </si>
  <si>
    <t xml:space="preserve">NHS Oldham CCG </t>
  </si>
  <si>
    <t>01G</t>
  </si>
  <si>
    <t xml:space="preserve">NHS Salford CCG </t>
  </si>
  <si>
    <t>01R</t>
  </si>
  <si>
    <t xml:space="preserve">NHS South Cheshire CCG </t>
  </si>
  <si>
    <t>01N</t>
  </si>
  <si>
    <t xml:space="preserve">NHS South Manchester CCG </t>
  </si>
  <si>
    <t>01T</t>
  </si>
  <si>
    <t xml:space="preserve">NHS South Sefton CCG </t>
  </si>
  <si>
    <t>01V</t>
  </si>
  <si>
    <t xml:space="preserve">NHS Southport and Formby CCG </t>
  </si>
  <si>
    <t>01X</t>
  </si>
  <si>
    <t xml:space="preserve">NHS St Helens CCG </t>
  </si>
  <si>
    <t>01W</t>
  </si>
  <si>
    <t xml:space="preserve">NHS Stockport CCG </t>
  </si>
  <si>
    <t>01Y</t>
  </si>
  <si>
    <t xml:space="preserve">NHS Tameside and Glossop CCG </t>
  </si>
  <si>
    <t>02A</t>
  </si>
  <si>
    <t xml:space="preserve">NHS Trafford CCG </t>
  </si>
  <si>
    <t>02D</t>
  </si>
  <si>
    <t xml:space="preserve">NHS Vale Royal CCG </t>
  </si>
  <si>
    <t>02E</t>
  </si>
  <si>
    <t xml:space="preserve">NHS Warrington CCG </t>
  </si>
  <si>
    <t>02F</t>
  </si>
  <si>
    <t xml:space="preserve">NHS West Cheshire CCG </t>
  </si>
  <si>
    <t>02G</t>
  </si>
  <si>
    <t xml:space="preserve">NHS West Lancashire CCG </t>
  </si>
  <si>
    <t>02H</t>
  </si>
  <si>
    <t xml:space="preserve">NHS Wigan Borough CCG </t>
  </si>
  <si>
    <t>12F</t>
  </si>
  <si>
    <t xml:space="preserve">NHS Wirral CCG </t>
  </si>
  <si>
    <t>02N</t>
  </si>
  <si>
    <t xml:space="preserve">NHS Airedale, Wharfedale and Craven CCG </t>
  </si>
  <si>
    <t>02P</t>
  </si>
  <si>
    <t xml:space="preserve">NHS Barnsley CCG </t>
  </si>
  <si>
    <t>02Q</t>
  </si>
  <si>
    <t xml:space="preserve">NHS Bassetlaw CCG </t>
  </si>
  <si>
    <t>02W</t>
  </si>
  <si>
    <t xml:space="preserve">NHS Bradford City CCG </t>
  </si>
  <si>
    <t>02R</t>
  </si>
  <si>
    <t xml:space="preserve">NHS Bradford Districts CCG </t>
  </si>
  <si>
    <t>02T</t>
  </si>
  <si>
    <t xml:space="preserve">NHS Calderdale CCG </t>
  </si>
  <si>
    <t>02X</t>
  </si>
  <si>
    <t xml:space="preserve">NHS Doncaster CCG </t>
  </si>
  <si>
    <t>02Y</t>
  </si>
  <si>
    <t xml:space="preserve">NHS East Riding of Yorkshire CCG </t>
  </si>
  <si>
    <t>03A</t>
  </si>
  <si>
    <t xml:space="preserve">NHS Greater Huddersfield CCG </t>
  </si>
  <si>
    <t>03D</t>
  </si>
  <si>
    <t xml:space="preserve">NHS Hambleton, Richmondshire and Whitby CCG </t>
  </si>
  <si>
    <t>03E</t>
  </si>
  <si>
    <t xml:space="preserve">NHS Harrogate and Rural District CCG </t>
  </si>
  <si>
    <t>03F</t>
  </si>
  <si>
    <t xml:space="preserve">NHS Hull CCG </t>
  </si>
  <si>
    <t>02V</t>
  </si>
  <si>
    <t xml:space="preserve">NHS Leeds North CCG </t>
  </si>
  <si>
    <t>03G</t>
  </si>
  <si>
    <t xml:space="preserve">NHS Leeds South and East CCG </t>
  </si>
  <si>
    <t>03C</t>
  </si>
  <si>
    <t xml:space="preserve">NHS Leeds West CCG </t>
  </si>
  <si>
    <t>03H</t>
  </si>
  <si>
    <t xml:space="preserve">NHS North East Lincolnshire CCG </t>
  </si>
  <si>
    <t>03J</t>
  </si>
  <si>
    <t xml:space="preserve">NHS North Kirklees CCG </t>
  </si>
  <si>
    <t>03K</t>
  </si>
  <si>
    <t xml:space="preserve">NHS North Lincolnshire CCG </t>
  </si>
  <si>
    <t>03L</t>
  </si>
  <si>
    <t xml:space="preserve">NHS Rotherham CCG </t>
  </si>
  <si>
    <t>03M</t>
  </si>
  <si>
    <t xml:space="preserve">NHS Scarborough and Ryedale CCG </t>
  </si>
  <si>
    <t>03N</t>
  </si>
  <si>
    <t xml:space="preserve">NHS Sheffield CCG </t>
  </si>
  <si>
    <t>03Q</t>
  </si>
  <si>
    <t xml:space="preserve">NHS Vale of York CCG </t>
  </si>
  <si>
    <t>03R</t>
  </si>
  <si>
    <t xml:space="preserve">NHS Wakefield CCG </t>
  </si>
  <si>
    <t>13P</t>
  </si>
  <si>
    <t xml:space="preserve">NHS Birmingham CrossCity CCG </t>
  </si>
  <si>
    <t>04X</t>
  </si>
  <si>
    <t xml:space="preserve">NHS Birmingham South and Central CCG </t>
  </si>
  <si>
    <t>04Y</t>
  </si>
  <si>
    <t xml:space="preserve">NHS Cannock Chase CCG </t>
  </si>
  <si>
    <t>05A</t>
  </si>
  <si>
    <t xml:space="preserve">NHS Coventry and Rugby CCG </t>
  </si>
  <si>
    <t>05C</t>
  </si>
  <si>
    <t xml:space="preserve">NHS Dudley CCG </t>
  </si>
  <si>
    <t>05D</t>
  </si>
  <si>
    <t xml:space="preserve">NHS East Staffordshire CCG </t>
  </si>
  <si>
    <t>05F</t>
  </si>
  <si>
    <t xml:space="preserve">NHS Herefordshire CCG </t>
  </si>
  <si>
    <t>05G</t>
  </si>
  <si>
    <t xml:space="preserve">NHS North Staffordshire CCG </t>
  </si>
  <si>
    <t>05J</t>
  </si>
  <si>
    <t xml:space="preserve">NHS Redditch and Bromsgrove CCG </t>
  </si>
  <si>
    <t>05L</t>
  </si>
  <si>
    <t xml:space="preserve">NHS Sandwell and West Birmingham CCG </t>
  </si>
  <si>
    <t>05N</t>
  </si>
  <si>
    <t xml:space="preserve">NHS Shropshire CCG </t>
  </si>
  <si>
    <t>05P</t>
  </si>
  <si>
    <t xml:space="preserve">NHS Solihull CCG </t>
  </si>
  <si>
    <t>05Q</t>
  </si>
  <si>
    <t xml:space="preserve">NHS South East Staffs and Seisdon Peninsular CCG </t>
  </si>
  <si>
    <t>05R</t>
  </si>
  <si>
    <t xml:space="preserve">NHS South Warwickshire CCG </t>
  </si>
  <si>
    <t>05T</t>
  </si>
  <si>
    <t xml:space="preserve">NHS South Worcestershire CCG </t>
  </si>
  <si>
    <t>05V</t>
  </si>
  <si>
    <t xml:space="preserve">NHS Stafford and Surrounds CCG </t>
  </si>
  <si>
    <t>05W</t>
  </si>
  <si>
    <t xml:space="preserve">NHS Stoke on Trent CCG </t>
  </si>
  <si>
    <t>05X</t>
  </si>
  <si>
    <t xml:space="preserve">NHS Telford and Wrekin CCG </t>
  </si>
  <si>
    <t>05Y</t>
  </si>
  <si>
    <t xml:space="preserve">NHS Walsall CCG </t>
  </si>
  <si>
    <t>05H</t>
  </si>
  <si>
    <t xml:space="preserve">NHS Warwickshire North CCG </t>
  </si>
  <si>
    <t>06A</t>
  </si>
  <si>
    <t xml:space="preserve">NHS Wolverhampton CCG </t>
  </si>
  <si>
    <t>06D</t>
  </si>
  <si>
    <t xml:space="preserve">NHS Wyre Forest CCG </t>
  </si>
  <si>
    <t>03V</t>
  </si>
  <si>
    <t xml:space="preserve">NHS Corby CCG </t>
  </si>
  <si>
    <t>03W</t>
  </si>
  <si>
    <t xml:space="preserve">NHS East Leicestershire and Rutland CCG </t>
  </si>
  <si>
    <t>03X</t>
  </si>
  <si>
    <t xml:space="preserve">NHS Erewash CCG </t>
  </si>
  <si>
    <t>03Y</t>
  </si>
  <si>
    <t xml:space="preserve">NHS Hardwick CCG </t>
  </si>
  <si>
    <t>04C</t>
  </si>
  <si>
    <t xml:space="preserve">NHS Leicester City CCG </t>
  </si>
  <si>
    <t>03T</t>
  </si>
  <si>
    <t xml:space="preserve">NHS Lincolnshire East CCG </t>
  </si>
  <si>
    <t>04D</t>
  </si>
  <si>
    <t xml:space="preserve">NHS Lincolnshire West CCG </t>
  </si>
  <si>
    <t>04E</t>
  </si>
  <si>
    <t xml:space="preserve">NHS Mansfield and Ashfield CCG </t>
  </si>
  <si>
    <t>04F</t>
  </si>
  <si>
    <t xml:space="preserve">NHS Milton Keynes CCG </t>
  </si>
  <si>
    <t>04G</t>
  </si>
  <si>
    <t xml:space="preserve">NHS Nene CCG </t>
  </si>
  <si>
    <t>04H</t>
  </si>
  <si>
    <t xml:space="preserve">NHS Newark and Sherwood CCG </t>
  </si>
  <si>
    <t>04J</t>
  </si>
  <si>
    <t xml:space="preserve">NHS North Derbyshire CCG </t>
  </si>
  <si>
    <t>04K</t>
  </si>
  <si>
    <t xml:space="preserve">NHS Nottingham City CCG </t>
  </si>
  <si>
    <t>04L</t>
  </si>
  <si>
    <t xml:space="preserve">NHS Nottingham North and East CCG </t>
  </si>
  <si>
    <t>04M</t>
  </si>
  <si>
    <t xml:space="preserve">NHS Nottingham West CCG </t>
  </si>
  <si>
    <t>04N</t>
  </si>
  <si>
    <t xml:space="preserve">NHS Rushcliffe CCG </t>
  </si>
  <si>
    <t>99D</t>
  </si>
  <si>
    <t xml:space="preserve">NHS South Lincolnshire CCG </t>
  </si>
  <si>
    <t>04Q</t>
  </si>
  <si>
    <t xml:space="preserve">NHS South West Lincolnshire CCG </t>
  </si>
  <si>
    <t>04R</t>
  </si>
  <si>
    <t xml:space="preserve">NHS Southern Derbyshire CCG </t>
  </si>
  <si>
    <t>04V</t>
  </si>
  <si>
    <t xml:space="preserve">NHS West Leicestershire CCG </t>
  </si>
  <si>
    <t>99E</t>
  </si>
  <si>
    <t xml:space="preserve">NHS Basildon and Brentwood CCG </t>
  </si>
  <si>
    <t>06F</t>
  </si>
  <si>
    <t xml:space="preserve">NHS Bedfordshire CCG </t>
  </si>
  <si>
    <t>06H</t>
  </si>
  <si>
    <t xml:space="preserve">NHS Cambridgeshire and Peterborough CCG </t>
  </si>
  <si>
    <t>99F</t>
  </si>
  <si>
    <t xml:space="preserve">NHS Castle Point and Rochford CCG </t>
  </si>
  <si>
    <t>06K</t>
  </si>
  <si>
    <t xml:space="preserve">NHS East and North Hertfordshire CCG </t>
  </si>
  <si>
    <t>06M</t>
  </si>
  <si>
    <t xml:space="preserve">NHS Great Yarmouth and Waveney CCG </t>
  </si>
  <si>
    <t>06N</t>
  </si>
  <si>
    <t xml:space="preserve">NHS Herts Valleys CCG </t>
  </si>
  <si>
    <t>06L</t>
  </si>
  <si>
    <t xml:space="preserve">NHS Ipswich and East Suffolk CCG </t>
  </si>
  <si>
    <t>06P</t>
  </si>
  <si>
    <t xml:space="preserve">NHS Luton CCG </t>
  </si>
  <si>
    <t>06Q</t>
  </si>
  <si>
    <t xml:space="preserve">NHS Mid Essex CCG </t>
  </si>
  <si>
    <t>06T</t>
  </si>
  <si>
    <t xml:space="preserve">NHS North East Essex CCG </t>
  </si>
  <si>
    <t>06V</t>
  </si>
  <si>
    <t xml:space="preserve">NHS North Norfolk CCG </t>
  </si>
  <si>
    <t>06W</t>
  </si>
  <si>
    <t xml:space="preserve">NHS Norwich CCG </t>
  </si>
  <si>
    <t>06Y</t>
  </si>
  <si>
    <t xml:space="preserve">NHS South Norfolk CCG </t>
  </si>
  <si>
    <t>99G</t>
  </si>
  <si>
    <t xml:space="preserve">NHS Southend CCG </t>
  </si>
  <si>
    <t>07G</t>
  </si>
  <si>
    <t xml:space="preserve">NHS Thurrock CCG </t>
  </si>
  <si>
    <t>07H</t>
  </si>
  <si>
    <t xml:space="preserve">NHS West Essex CCG </t>
  </si>
  <si>
    <t>07J</t>
  </si>
  <si>
    <t xml:space="preserve">NHS West Norfolk CCG </t>
  </si>
  <si>
    <t>07K</t>
  </si>
  <si>
    <t xml:space="preserve">NHS West Suffolk CCG </t>
  </si>
  <si>
    <t>07L</t>
  </si>
  <si>
    <t xml:space="preserve">NHS Barking and Dagenham CCG </t>
  </si>
  <si>
    <t>07M</t>
  </si>
  <si>
    <t xml:space="preserve">NHS Barnet CCG </t>
  </si>
  <si>
    <t>07N</t>
  </si>
  <si>
    <t xml:space="preserve">NHS Bexley CCG </t>
  </si>
  <si>
    <t>07P</t>
  </si>
  <si>
    <t xml:space="preserve">NHS Brent CCG </t>
  </si>
  <si>
    <t>07Q</t>
  </si>
  <si>
    <t xml:space="preserve">NHS Bromley CCG </t>
  </si>
  <si>
    <t>07R</t>
  </si>
  <si>
    <t xml:space="preserve">NHS Camden CCG </t>
  </si>
  <si>
    <t>09A</t>
  </si>
  <si>
    <t xml:space="preserve">NHS Central London (Westminster) CCG </t>
  </si>
  <si>
    <t>07T</t>
  </si>
  <si>
    <t xml:space="preserve">NHS City and Hackney CCG </t>
  </si>
  <si>
    <t>07V</t>
  </si>
  <si>
    <t xml:space="preserve">NHS Croydon CCG </t>
  </si>
  <si>
    <t>07W</t>
  </si>
  <si>
    <t xml:space="preserve">NHS Ealing CCG </t>
  </si>
  <si>
    <t>07X</t>
  </si>
  <si>
    <t xml:space="preserve">NHS Enfield CCG </t>
  </si>
  <si>
    <t>08A</t>
  </si>
  <si>
    <t xml:space="preserve">NHS Greenwich CCG </t>
  </si>
  <si>
    <t>08C</t>
  </si>
  <si>
    <t xml:space="preserve">NHS Hammersmith and Fulham CCG </t>
  </si>
  <si>
    <t>08D</t>
  </si>
  <si>
    <t xml:space="preserve">NHS Haringey CCG </t>
  </si>
  <si>
    <t>08E</t>
  </si>
  <si>
    <t xml:space="preserve">NHS Harrow CCG </t>
  </si>
  <si>
    <t>08F</t>
  </si>
  <si>
    <t xml:space="preserve">NHS Havering CCG </t>
  </si>
  <si>
    <t>08G</t>
  </si>
  <si>
    <t xml:space="preserve">NHS Hillingdon CCG </t>
  </si>
  <si>
    <t>07Y</t>
  </si>
  <si>
    <t xml:space="preserve">NHS Hounslow CCG </t>
  </si>
  <si>
    <t>08H</t>
  </si>
  <si>
    <t xml:space="preserve">NHS Islington CCG </t>
  </si>
  <si>
    <t>08J</t>
  </si>
  <si>
    <t xml:space="preserve">NHS Kingston CCG </t>
  </si>
  <si>
    <t>08K</t>
  </si>
  <si>
    <t xml:space="preserve">NHS Lambeth CCG </t>
  </si>
  <si>
    <t>08L</t>
  </si>
  <si>
    <t xml:space="preserve">NHS Lewisham CCG </t>
  </si>
  <si>
    <t>08R</t>
  </si>
  <si>
    <t xml:space="preserve">NHS Merton CCG </t>
  </si>
  <si>
    <t>08M</t>
  </si>
  <si>
    <t xml:space="preserve">NHS Newham CCG </t>
  </si>
  <si>
    <t>08N</t>
  </si>
  <si>
    <t xml:space="preserve">NHS Redbridge CCG </t>
  </si>
  <si>
    <t>08P</t>
  </si>
  <si>
    <t xml:space="preserve">NHS Richmond CCG </t>
  </si>
  <si>
    <t>08Q</t>
  </si>
  <si>
    <t xml:space="preserve">NHS Southwark CCG </t>
  </si>
  <si>
    <t>08T</t>
  </si>
  <si>
    <t xml:space="preserve">NHS Sutton CCG </t>
  </si>
  <si>
    <t>08V</t>
  </si>
  <si>
    <t xml:space="preserve">NHS Tower Hamlets CCG </t>
  </si>
  <si>
    <t>08W</t>
  </si>
  <si>
    <t xml:space="preserve">NHS Waltham Forest CCG </t>
  </si>
  <si>
    <t>08X</t>
  </si>
  <si>
    <t xml:space="preserve">NHS Wandsworth CCG </t>
  </si>
  <si>
    <t>08Y</t>
  </si>
  <si>
    <t xml:space="preserve">NHS West London (K&amp;C &amp; QPP) CCG </t>
  </si>
  <si>
    <t>09C</t>
  </si>
  <si>
    <t xml:space="preserve">NHS Ashford CCG </t>
  </si>
  <si>
    <t>10Y</t>
  </si>
  <si>
    <t xml:space="preserve">NHS Aylesbury Vale CCG </t>
  </si>
  <si>
    <t>10G</t>
  </si>
  <si>
    <t xml:space="preserve">NHS Bracknell and Ascot CCG </t>
  </si>
  <si>
    <t>09D</t>
  </si>
  <si>
    <t xml:space="preserve">NHS Brighton and Hove CCG </t>
  </si>
  <si>
    <t>09E</t>
  </si>
  <si>
    <t xml:space="preserve">NHS Canterbury and Coastal CCG </t>
  </si>
  <si>
    <t>10H</t>
  </si>
  <si>
    <t xml:space="preserve">NHS Chiltern CCG </t>
  </si>
  <si>
    <t>09G</t>
  </si>
  <si>
    <t xml:space="preserve">NHS Coastal West Sussex CCG </t>
  </si>
  <si>
    <t>09H</t>
  </si>
  <si>
    <t xml:space="preserve">NHS Crawley CCG </t>
  </si>
  <si>
    <t>09J</t>
  </si>
  <si>
    <t xml:space="preserve">NHS Dartford, Gravesham and Swanley CCG </t>
  </si>
  <si>
    <t>09L</t>
  </si>
  <si>
    <t xml:space="preserve">NHS East Surrey CCG </t>
  </si>
  <si>
    <t>09F</t>
  </si>
  <si>
    <t xml:space="preserve">NHS Eastbourne, Hailsham and Seaford CCG </t>
  </si>
  <si>
    <t>10K</t>
  </si>
  <si>
    <t xml:space="preserve">NHS Fareham and Gosport CCG </t>
  </si>
  <si>
    <t>09N</t>
  </si>
  <si>
    <t xml:space="preserve">NHS Guildford and Waverley CCG </t>
  </si>
  <si>
    <t>09P</t>
  </si>
  <si>
    <t xml:space="preserve">NHS Hastings and Rother CCG </t>
  </si>
  <si>
    <t>99K</t>
  </si>
  <si>
    <t xml:space="preserve">NHS High Weald Lewes Havens CCG </t>
  </si>
  <si>
    <t>09X</t>
  </si>
  <si>
    <t xml:space="preserve">NHS Horsham and Mid Sussex CCG </t>
  </si>
  <si>
    <t>10L</t>
  </si>
  <si>
    <t xml:space="preserve">NHS Isle of Wight CCG </t>
  </si>
  <si>
    <t>09W</t>
  </si>
  <si>
    <t xml:space="preserve">NHS Medway CCG </t>
  </si>
  <si>
    <t>10M</t>
  </si>
  <si>
    <t xml:space="preserve">NHS Newbury and District CCG </t>
  </si>
  <si>
    <t>10N</t>
  </si>
  <si>
    <t xml:space="preserve">NHS North and West Reading CCG </t>
  </si>
  <si>
    <t>99M</t>
  </si>
  <si>
    <t xml:space="preserve">NHS North East Hampshire and Farnham CCG </t>
  </si>
  <si>
    <t>10J</t>
  </si>
  <si>
    <t xml:space="preserve">NHS North Hampshire CCG </t>
  </si>
  <si>
    <t>09Y</t>
  </si>
  <si>
    <t xml:space="preserve">NHS North West Surrey CCG </t>
  </si>
  <si>
    <t>10Q</t>
  </si>
  <si>
    <t xml:space="preserve">NHS Oxfordshire CCG </t>
  </si>
  <si>
    <t>10R</t>
  </si>
  <si>
    <t xml:space="preserve">NHS Portsmouth CCG </t>
  </si>
  <si>
    <t>10T</t>
  </si>
  <si>
    <t xml:space="preserve">NHS Slough CCG </t>
  </si>
  <si>
    <t>10V</t>
  </si>
  <si>
    <t xml:space="preserve">NHS South Eastern Hampshire CCG </t>
  </si>
  <si>
    <t>10A</t>
  </si>
  <si>
    <t xml:space="preserve">NHS South Kent Coast CCG </t>
  </si>
  <si>
    <t>10W</t>
  </si>
  <si>
    <t xml:space="preserve">NHS South Reading CCG </t>
  </si>
  <si>
    <t>10X</t>
  </si>
  <si>
    <t xml:space="preserve">NHS Southampton CCG </t>
  </si>
  <si>
    <t>99H</t>
  </si>
  <si>
    <t xml:space="preserve">NHS Surrey Downs CCG </t>
  </si>
  <si>
    <t>10C</t>
  </si>
  <si>
    <t xml:space="preserve">NHS Surrey Heath CCG </t>
  </si>
  <si>
    <t>10D</t>
  </si>
  <si>
    <t xml:space="preserve">NHS Swale CCG </t>
  </si>
  <si>
    <t>10E</t>
  </si>
  <si>
    <t xml:space="preserve">NHS Thanet CCG </t>
  </si>
  <si>
    <t>11A</t>
  </si>
  <si>
    <t xml:space="preserve">NHS West Hampshire CCG </t>
  </si>
  <si>
    <t>99J</t>
  </si>
  <si>
    <t xml:space="preserve">NHS West Kent CCG </t>
  </si>
  <si>
    <t>11C</t>
  </si>
  <si>
    <t xml:space="preserve">NHS Windsor, Ascot and Maidenhead CCG </t>
  </si>
  <si>
    <t>11D</t>
  </si>
  <si>
    <t xml:space="preserve">NHS Wokingham CCG </t>
  </si>
  <si>
    <t>11E</t>
  </si>
  <si>
    <t xml:space="preserve">NHS Bath and North East Somerset CCG </t>
  </si>
  <si>
    <t>11H</t>
  </si>
  <si>
    <t xml:space="preserve">NHS Bristol CCG </t>
  </si>
  <si>
    <t>11J</t>
  </si>
  <si>
    <t xml:space="preserve">NHS Dorset CCG </t>
  </si>
  <si>
    <t>11M</t>
  </si>
  <si>
    <t xml:space="preserve">NHS Gloucestershire CCG </t>
  </si>
  <si>
    <t>11N</t>
  </si>
  <si>
    <t xml:space="preserve">NHS Kernow CCG </t>
  </si>
  <si>
    <t>11T</t>
  </si>
  <si>
    <t xml:space="preserve">NHS North Somerset CCG </t>
  </si>
  <si>
    <t>99P</t>
  </si>
  <si>
    <t xml:space="preserve">NHS North, East, West Devon CCG </t>
  </si>
  <si>
    <t>11X</t>
  </si>
  <si>
    <t xml:space="preserve">NHS Somerset CCG </t>
  </si>
  <si>
    <t>99Q</t>
  </si>
  <si>
    <t xml:space="preserve">NHS South Devon and Torbay CCG </t>
  </si>
  <si>
    <t>12A</t>
  </si>
  <si>
    <t xml:space="preserve">NHS South Gloucestershire CCG </t>
  </si>
  <si>
    <t>12D</t>
  </si>
  <si>
    <t xml:space="preserve">NHS Swindon CCG </t>
  </si>
  <si>
    <t>99N</t>
  </si>
  <si>
    <t xml:space="preserve">NHS Wiltshire CCG </t>
  </si>
  <si>
    <t>Allocation
£000</t>
  </si>
  <si>
    <t>Sum of minimum allocations
£000</t>
  </si>
  <si>
    <t>Minimum CCG allocation
£000</t>
  </si>
  <si>
    <t>Minimum PC allocation
£000</t>
  </si>
  <si>
    <t>Minimum SS allocation
£000</t>
  </si>
  <si>
    <t>Actual SS allocation
£000</t>
  </si>
  <si>
    <t>Remaining growth
£000</t>
  </si>
  <si>
    <t>CCG/PC DfT quadrant</t>
  </si>
  <si>
    <t>CCG minimum DfT</t>
  </si>
  <si>
    <t>PC minimum DfT</t>
  </si>
  <si>
    <t>CCG £000 per point</t>
  </si>
  <si>
    <t>PC £000 per point</t>
  </si>
  <si>
    <t>CCG growth £000</t>
  </si>
  <si>
    <t>PC growth £000</t>
  </si>
  <si>
    <t>Quadrant one</t>
  </si>
  <si>
    <t>Remaining growth £000</t>
  </si>
  <si>
    <t>Quadrant three</t>
  </si>
  <si>
    <t>Remaining</t>
  </si>
  <si>
    <t>Final allocations</t>
  </si>
  <si>
    <t>Specialised services
£000</t>
  </si>
  <si>
    <t>PC
£000</t>
  </si>
  <si>
    <t>CCG
£000</t>
  </si>
  <si>
    <t>Total
£000</t>
  </si>
  <si>
    <t>Final allocations per head</t>
  </si>
  <si>
    <t>Does minimum apply?</t>
  </si>
  <si>
    <t>Does backslide apply?</t>
  </si>
  <si>
    <t>NHS England Regions</t>
  </si>
  <si>
    <t>North</t>
  </si>
  <si>
    <t>Midlands &amp; East</t>
  </si>
  <si>
    <t>London</t>
  </si>
  <si>
    <t>South</t>
  </si>
  <si>
    <t>Former Area Team</t>
  </si>
  <si>
    <t>Durham, Darlington and Tees</t>
  </si>
  <si>
    <t>Cumbria, Northumb, Tyne and Wear</t>
  </si>
  <si>
    <t>Greater Manchester</t>
  </si>
  <si>
    <t>Cheshire, Warrington and Wirral</t>
  </si>
  <si>
    <t>Merseyside</t>
  </si>
  <si>
    <t>West Yorkshire</t>
  </si>
  <si>
    <t>South Yorkshire and Bassetlaw</t>
  </si>
  <si>
    <t>North Yorkshire and Humber</t>
  </si>
  <si>
    <t>Birmingham and the Black Country</t>
  </si>
  <si>
    <t>Shropshire and Staffordshire</t>
  </si>
  <si>
    <t>Arden, Herefordshire and Worcestershire</t>
  </si>
  <si>
    <t>Hertfordshire and the South Midlands</t>
  </si>
  <si>
    <t>Leicestershire and Lincolnshire</t>
  </si>
  <si>
    <t>Derbyshire and Nottinghamshire</t>
  </si>
  <si>
    <t>East Anglia</t>
  </si>
  <si>
    <t>Kent and Medway</t>
  </si>
  <si>
    <t>Thames Valley</t>
  </si>
  <si>
    <t>Surrey and Sussex</t>
  </si>
  <si>
    <t>Wessex</t>
  </si>
  <si>
    <t>Bath, Gloucester, Swindon and Wiltshire</t>
  </si>
  <si>
    <t>Bristol, North Somerset, Somerset and South Gloucestershire</t>
  </si>
  <si>
    <t>Devon, Cornwall and the Isles of Scilly</t>
  </si>
  <si>
    <t>Deprivation deciles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</si>
  <si>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</si>
  <si>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</si>
  <si>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</si>
  <si>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</si>
  <si>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</si>
  <si>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</si>
  <si>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</si>
  <si>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</si>
  <si>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</si>
  <si>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</si>
  <si>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Age deciles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</si>
  <si>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</si>
  <si>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</si>
  <si>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</si>
  <si>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</si>
  <si>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</si>
  <si>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</si>
  <si>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</si>
  <si>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</si>
  <si>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</si>
  <si>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</si>
  <si>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ONS Types</t>
  </si>
  <si>
    <t>Industrial Hinterlands</t>
  </si>
  <si>
    <t>Regional Centres</t>
  </si>
  <si>
    <t>Manufacturing Towns</t>
  </si>
  <si>
    <t>Prospering Smaller Towns</t>
  </si>
  <si>
    <t>Centres with Industry</t>
  </si>
  <si>
    <t xml:space="preserve">Coastal and Countryside </t>
  </si>
  <si>
    <t>New and Growing Towns</t>
  </si>
  <si>
    <t>Prospering Southern England</t>
  </si>
  <si>
    <t>London Suburbs</t>
  </si>
  <si>
    <t>London Cosmopolitan</t>
  </si>
  <si>
    <t>Thriving London Periphery</t>
  </si>
  <si>
    <t>London Centre</t>
  </si>
  <si>
    <t>Commissioning Region</t>
  </si>
  <si>
    <t>Cumbria and North East</t>
  </si>
  <si>
    <t>Lancashire and Greater Manchester</t>
  </si>
  <si>
    <t>Cheshire and Merseyside</t>
  </si>
  <si>
    <t>Yorkshire and the Humber</t>
  </si>
  <si>
    <t>West Midlands</t>
  </si>
  <si>
    <t>North Midlands</t>
  </si>
  <si>
    <t>Central Midlands</t>
  </si>
  <si>
    <t>East</t>
  </si>
  <si>
    <t>South East</t>
  </si>
  <si>
    <t>South Central</t>
  </si>
  <si>
    <t>South West</t>
  </si>
  <si>
    <t>Final growth</t>
  </si>
  <si>
    <t>PC</t>
  </si>
  <si>
    <t>Specialised services</t>
  </si>
  <si>
    <t>Total</t>
  </si>
  <si>
    <t>Final growth per head</t>
  </si>
  <si>
    <t>Below -5%</t>
  </si>
  <si>
    <t>Within five points</t>
  </si>
  <si>
    <t>Within 2.5 points</t>
  </si>
  <si>
    <t>2015-16 baseline</t>
  </si>
  <si>
    <t>Populations</t>
  </si>
  <si>
    <t>Targets</t>
  </si>
  <si>
    <t>All age</t>
  </si>
  <si>
    <t>All deprivation</t>
  </si>
  <si>
    <t>Specialised</t>
  </si>
  <si>
    <t>Specialised services
£</t>
  </si>
  <si>
    <t>PC
£</t>
  </si>
  <si>
    <t>CCG
£</t>
  </si>
  <si>
    <t>Min opening DfT</t>
  </si>
  <si>
    <t>Number</t>
  </si>
  <si>
    <t>&lt;-5%</t>
  </si>
  <si>
    <t>&lt;-2.5%</t>
  </si>
  <si>
    <t>Min closing DfT</t>
  </si>
  <si>
    <t>Max DfT</t>
  </si>
  <si>
    <t>Max closing DfT</t>
  </si>
  <si>
    <t>Min closing DfT (CCG)</t>
  </si>
  <si>
    <t>Max closing DfT (CCG)</t>
  </si>
  <si>
    <t>Min closing DfT (Primary Med)</t>
  </si>
  <si>
    <t>Max closing DfT (Primary Med)</t>
  </si>
  <si>
    <t>NHS England - 2016-17 to 2020-21 Allocations</t>
  </si>
  <si>
    <t>Please refer to the Technical Guide published alongside this spreadsheet for further information</t>
  </si>
  <si>
    <t>2016-17 disagg</t>
  </si>
  <si>
    <t>Twice recommendation</t>
  </si>
  <si>
    <t>DfT range</t>
  </si>
  <si>
    <t>CCG Core</t>
  </si>
  <si>
    <t>Primary Med</t>
  </si>
  <si>
    <t>&lt;=</t>
  </si>
  <si>
    <t>&gt;</t>
  </si>
  <si>
    <t>DfT distribution</t>
  </si>
  <si>
    <t>DfT summary</t>
  </si>
  <si>
    <t>PC (GP)</t>
  </si>
  <si>
    <t>-5 to -2.5%</t>
  </si>
  <si>
    <t>-2.5% to 0</t>
  </si>
  <si>
    <t>0 to +2.5%</t>
  </si>
  <si>
    <t>+2.5 to +5%</t>
  </si>
  <si>
    <t>&gt;5%</t>
  </si>
  <si>
    <t>Programme Growth</t>
  </si>
  <si>
    <t>Maximum</t>
  </si>
  <si>
    <t>Mean</t>
  </si>
  <si>
    <t>Median</t>
  </si>
  <si>
    <t>Number within 0.1% of minimum</t>
  </si>
  <si>
    <t>Per Capita Growth</t>
  </si>
  <si>
    <t>Paper table 5</t>
  </si>
  <si>
    <t>Table A2: Age and deprivation distribution of 2015-16 target model</t>
  </si>
  <si>
    <t>Normalised to 2016-17 quantum and using 2016-17 populations</t>
  </si>
  <si>
    <t>All depn</t>
  </si>
  <si>
    <t>Less deprived</t>
  </si>
  <si>
    <t>More deprived</t>
  </si>
  <si>
    <t>Younger</t>
  </si>
  <si>
    <t>Older</t>
  </si>
  <si>
    <t>Table A3: Age and deprivation distribution of 2016-17 target model</t>
  </si>
  <si>
    <t>2015-16 targets as published</t>
  </si>
  <si>
    <t>From published</t>
  </si>
  <si>
    <t>CCG code</t>
  </si>
  <si>
    <t>2015-16 allocations</t>
  </si>
  <si>
    <t>2015-16 target allocations</t>
  </si>
  <si>
    <t>NHS Eastern Cheshire CCG</t>
  </si>
  <si>
    <t>NHS South Cheshire CCG</t>
  </si>
  <si>
    <t>NHS Vale Royal CCG</t>
  </si>
  <si>
    <t>NHS Warrington CCG</t>
  </si>
  <si>
    <t>NHS West Cheshire CCG</t>
  </si>
  <si>
    <t>NHS Wirral CCG</t>
  </si>
  <si>
    <t>NHS Darlington CCG</t>
  </si>
  <si>
    <t>NHS Durham Dales, Easington and Sedgefield CCG</t>
  </si>
  <si>
    <t>NHS North Durham CCG</t>
  </si>
  <si>
    <t>NHS Hartlepool and Stockton-on-Tees CCG</t>
  </si>
  <si>
    <t>NHS South Tees CCG</t>
  </si>
  <si>
    <t>NHS Bolton CCG</t>
  </si>
  <si>
    <t>NHS Bury CCG</t>
  </si>
  <si>
    <t>NHS Central Manchester CCG</t>
  </si>
  <si>
    <t>NHS Oldham CCG</t>
  </si>
  <si>
    <t>NHS Heywood, Middleton and Rochdale CCG</t>
  </si>
  <si>
    <t>NHS Salford CCG</t>
  </si>
  <si>
    <t>NHS North Manchester CCG</t>
  </si>
  <si>
    <t>NHS South Manchester CCG</t>
  </si>
  <si>
    <t>NHS Stockport CCG</t>
  </si>
  <si>
    <t>NHS Tameside and Glossop CCG</t>
  </si>
  <si>
    <t>NHS Trafford CCG</t>
  </si>
  <si>
    <t>NHS Wigan Borough CCG</t>
  </si>
  <si>
    <t>NHS Blackburn with Darwen CCG</t>
  </si>
  <si>
    <t>NHS Blackpool CCG</t>
  </si>
  <si>
    <t>NHS Chorley and South Ribble CCG</t>
  </si>
  <si>
    <t>NHS East Lancashire CCG</t>
  </si>
  <si>
    <t>NHS Greater Preston CCG</t>
  </si>
  <si>
    <t>NHS Lancashire North CCG</t>
  </si>
  <si>
    <t>NHS West Lancashire CCG</t>
  </si>
  <si>
    <t>NHS Fylde and Wyre CCG</t>
  </si>
  <si>
    <t>NHS Halton CCG</t>
  </si>
  <si>
    <t>NHS Knowsley CCG</t>
  </si>
  <si>
    <t>NHS South Sefton CCG</t>
  </si>
  <si>
    <t>NHS Southport and Formby CCG</t>
  </si>
  <si>
    <t>NHS St Helens CCG</t>
  </si>
  <si>
    <t>NHS Liverpool CCG</t>
  </si>
  <si>
    <t>NHS Newcastle and Gateshead CCG</t>
  </si>
  <si>
    <t>NHS Northumberland CCG</t>
  </si>
  <si>
    <t>NHS South Tyneside CCG</t>
  </si>
  <si>
    <t>NHS Sunderland CCG</t>
  </si>
  <si>
    <t>NHS Cumbria CCG</t>
  </si>
  <si>
    <t>NHS North Tyneside CCG</t>
  </si>
  <si>
    <t>NHS East Riding of Yorkshire CCG</t>
  </si>
  <si>
    <t>NHS Hambleton, Richmondshire and Whitby CCG</t>
  </si>
  <si>
    <t>NHS Harrogate and Rural District CCG</t>
  </si>
  <si>
    <t>NHS Hull CCG</t>
  </si>
  <si>
    <t>NHS North East Lincolnshire CCG</t>
  </si>
  <si>
    <t>NHS North Lincolnshire CCG</t>
  </si>
  <si>
    <t>NHS Scarborough and Ryedale CCG</t>
  </si>
  <si>
    <t>NHS Vale of York CCG</t>
  </si>
  <si>
    <t>NHS Barnsley CCG</t>
  </si>
  <si>
    <t>NHS Bassetlaw CCG</t>
  </si>
  <si>
    <t>NHS Doncaster CCG</t>
  </si>
  <si>
    <t>NHS Rotherham CCG</t>
  </si>
  <si>
    <t>NHS Sheffield CCG</t>
  </si>
  <si>
    <t>NHS Airedale, Wharfedale and Craven CCG</t>
  </si>
  <si>
    <t>NHS Bradford Districts CCG</t>
  </si>
  <si>
    <t>NHS Calderdale CCG</t>
  </si>
  <si>
    <t>NHS Leeds North CCG</t>
  </si>
  <si>
    <t>NHS Bradford City CCG</t>
  </si>
  <si>
    <t>NHS Greater Huddersfield CCG</t>
  </si>
  <si>
    <t>NHS Leeds West CCG</t>
  </si>
  <si>
    <t>NHS Leeds South and East CCG</t>
  </si>
  <si>
    <t>NHS North Kirklees CCG</t>
  </si>
  <si>
    <t>NHS Wakefield CCG</t>
  </si>
  <si>
    <t>NHS Coventry and Rugby CCG</t>
  </si>
  <si>
    <t>NHS Herefordshire CCG</t>
  </si>
  <si>
    <t>NHS Warwickshire North CCG</t>
  </si>
  <si>
    <t>NHS Redditch and Bromsgrove CCG</t>
  </si>
  <si>
    <t>NHS South Warwickshire CCG</t>
  </si>
  <si>
    <t>NHS South Worcestershire CCG</t>
  </si>
  <si>
    <t>NHS Wyre Forest CCG</t>
  </si>
  <si>
    <t>NHS Birmingham South and Central CCG</t>
  </si>
  <si>
    <t>NHS Dudley CCG</t>
  </si>
  <si>
    <t>NHS Sandwell and West Birmingham CCG</t>
  </si>
  <si>
    <t>NHS Solihull CCG</t>
  </si>
  <si>
    <t>NHS Walsall CCG</t>
  </si>
  <si>
    <t>NHS Wolverhampton CCG</t>
  </si>
  <si>
    <t>NHS Birmingham CrossCity CCG</t>
  </si>
  <si>
    <t>NHS Erewash CCG</t>
  </si>
  <si>
    <t>NHS Hardwick CCG</t>
  </si>
  <si>
    <t>NHS Mansfield and Ashfield CCG</t>
  </si>
  <si>
    <t>NHS Newark and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</si>
  <si>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</si>
  <si>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</si>
  <si>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</si>
  <si>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</si>
  <si>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</si>
  <si>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Southern Derbyshire CCG</t>
  </si>
  <si>
    <t>NHS Cambridgeshire and Peterborough CCG</t>
  </si>
  <si>
    <t>NHS Ipswich and East Suffolk CCG</t>
  </si>
  <si>
    <t>NHS Great Yarmouth and Waveney CCG</t>
  </si>
  <si>
    <t>NHS North Norfolk CCG</t>
  </si>
  <si>
    <t>NHS Norwich CCG</t>
  </si>
  <si>
    <t>NHS South Norfolk CCG</t>
  </si>
  <si>
    <t>NHS West Norfolk CCG</t>
  </si>
  <si>
    <t>NHS West Suffolk CCG</t>
  </si>
  <si>
    <t>NHS Mid Essex CCG</t>
  </si>
  <si>
    <t>NHS North East Essex CCG</t>
  </si>
  <si>
    <t>NHS Thurrock CCG</t>
  </si>
  <si>
    <t>NHS West Essex CCG</t>
  </si>
  <si>
    <t>NHS Basildon and Brentwood CCG</t>
  </si>
  <si>
    <t>NHS Castle Point and Rochford CCG</t>
  </si>
  <si>
    <t>NHS Southend CCG</t>
  </si>
  <si>
    <t>NHS Corby CCG</t>
  </si>
  <si>
    <t>NHS Milton Keynes CCG</t>
  </si>
  <si>
    <t>NHS Nene CCG</t>
  </si>
  <si>
    <t>NHS Bedfordshire CCG</t>
  </si>
  <si>
    <t>NHS East and North Hertfordshire CCG</t>
  </si>
  <si>
    <t>NHS Herts Valleys CCG</t>
  </si>
  <si>
    <t>NHS Luton CCG</t>
  </si>
  <si>
    <t>NHS Lincolnshire East CCG</t>
  </si>
  <si>
    <t>NHS East Leicestershire and Rutland CCG</t>
  </si>
  <si>
    <t>NHS Leicester City CCG</t>
  </si>
  <si>
    <t>NHS Lincolnshire West CCG</t>
  </si>
  <si>
    <t>NHS South West Lincolnshire CCG</t>
  </si>
  <si>
    <t>NHS West Leicestershire CCG</t>
  </si>
  <si>
    <t>NHS South Lincolnshire CCG</t>
  </si>
  <si>
    <t>NHS Cannock Chase CCG</t>
  </si>
  <si>
    <t>NHS East Staffordshire CCG</t>
  </si>
  <si>
    <t>NHS North Staffordshire CCG</t>
  </si>
  <si>
    <t>NHS Shropshire CCG</t>
  </si>
  <si>
    <t>NHS South East Staffs and Seisdon Peninsular CCG</t>
  </si>
  <si>
    <t>NHS Stafford and Surrounds CCG</t>
  </si>
  <si>
    <t>NHS Stoke On Trent CCG</t>
  </si>
  <si>
    <t>NHS Telford and Wrekin CCG</t>
  </si>
  <si>
    <t>NHS Barking and Dagenham CCG</t>
  </si>
  <si>
    <t>NHS Barnet CCG</t>
  </si>
  <si>
    <t>NHS Camden CCG</t>
  </si>
  <si>
    <t>NHS City and Hackney CCG</t>
  </si>
  <si>
    <t>NHS Enfield CCG</t>
  </si>
  <si>
    <t>NHS Haringey CCG</t>
  </si>
  <si>
    <t>NHS Havering CCG</t>
  </si>
  <si>
    <t>NHS Islington CCG</t>
  </si>
  <si>
    <t>NHS Newham CCG</t>
  </si>
  <si>
    <t>NHS Redbridge CCG</t>
  </si>
  <si>
    <t>NHS Tower Hamlets CCG</t>
  </si>
  <si>
    <t>NHS Waltham Forest CCG</t>
  </si>
  <si>
    <t>NHS Brent CCG</t>
  </si>
  <si>
    <t>NHS Ealing CCG</t>
  </si>
  <si>
    <t>NHS Hounslow CCG</t>
  </si>
  <si>
    <t>NHS Hammersmith and Fulham CCG</t>
  </si>
  <si>
    <t>NHS Harrow CCG</t>
  </si>
  <si>
    <t>NHS Hillingdon CCG</t>
  </si>
  <si>
    <t>NHS West London (Kensington and Chelsea, Queen's Park and Paddington) CCG</t>
  </si>
  <si>
    <t>NHS Central London (Westminster) CCG</t>
  </si>
  <si>
    <t>NHS Bexley CCG</t>
  </si>
  <si>
    <t>NHS Bromley CCG</t>
  </si>
  <si>
    <t>NHS Croydon CCG</t>
  </si>
  <si>
    <t>NHS Greenwich CCG</t>
  </si>
  <si>
    <t>NHS Kingston CCG</t>
  </si>
  <si>
    <t>NHS Lambeth CCG</t>
  </si>
  <si>
    <t>NHS Lewisham CCG</t>
  </si>
  <si>
    <t>NHS Richmond CCG</t>
  </si>
  <si>
    <t>NHS Southwark CCG</t>
  </si>
  <si>
    <t>NHS Merton CCG</t>
  </si>
  <si>
    <t>NHS Sutton CCG</t>
  </si>
  <si>
    <t>NHS Wandsworth CCG</t>
  </si>
  <si>
    <t>NHS Bath and North East Somerset CCG</t>
  </si>
  <si>
    <t>NHS Gloucestershire CCG</t>
  </si>
  <si>
    <t>NHS Swindon CCG</t>
  </si>
  <si>
    <t>NHS Wiltshire CCG</t>
  </si>
  <si>
    <t>NHS Bristol CCG</t>
  </si>
  <si>
    <t>NHS North Somerset CCG</t>
  </si>
  <si>
    <t>NHS Somerset CCG</t>
  </si>
  <si>
    <t>NHS South Gloucestershire CCG</t>
  </si>
  <si>
    <t>NHS Kernow CCG</t>
  </si>
  <si>
    <t>NHS North, East, West Devon CCG</t>
  </si>
  <si>
    <t>NHS South Devon and Torbay CCG</t>
  </si>
  <si>
    <t>NHS Ashford CCG</t>
  </si>
  <si>
    <t>NHS Canterbury and Coastal CCG</t>
  </si>
  <si>
    <t>NHS Dartford, Gravesham and Swanley CCG</t>
  </si>
  <si>
    <t>NHS Medway CCG</t>
  </si>
  <si>
    <t>NHS South Kent Coast CCG</t>
  </si>
  <si>
    <t>NHS Swale CCG</t>
  </si>
  <si>
    <t>NHS Thanet CCG</t>
  </si>
  <si>
    <t>NHS West Kent CCG</t>
  </si>
  <si>
    <t>NHS Brighton and Hove CCG</t>
  </si>
  <si>
    <t>NHS Eastbourne, Hailsham and Seaford CCG</t>
  </si>
  <si>
    <t>NHS Coastal West Sussex CCG</t>
  </si>
  <si>
    <t>NHS Crawley CCG</t>
  </si>
  <si>
    <t>NHS East Surrey CCG</t>
  </si>
  <si>
    <t>NHS Guildford and Waverley CCG</t>
  </si>
  <si>
    <t>NHS Hastings and Rother CCG</t>
  </si>
  <si>
    <t>NHS Horsham and Mid Sussex CCG</t>
  </si>
  <si>
    <t>NHS North West Surrey CCG</t>
  </si>
  <si>
    <t>NHS Surrey Heath CCG</t>
  </si>
  <si>
    <t>NHS Surrey Downs CCG</t>
  </si>
  <si>
    <t>NHS High Weald Lewes Havens CCG</t>
  </si>
  <si>
    <t>NHS Bracknell and Ascot CCG</t>
  </si>
  <si>
    <t>NHS Chiltern CCG</t>
  </si>
  <si>
    <t>NHS Newbury and District CCG</t>
  </si>
  <si>
    <t>NHS North and West Reading CCG</t>
  </si>
  <si>
    <t>NHS Oxfordshire CCG</t>
  </si>
  <si>
    <t>NHS Slough CCG</t>
  </si>
  <si>
    <t>NHS South Reading CCG</t>
  </si>
  <si>
    <t>NHS Aylesbury Vale CCG</t>
  </si>
  <si>
    <t>NHS Windsor, Ascot and Maidenhead CCG</t>
  </si>
  <si>
    <t>NHS Wokingham CCG</t>
  </si>
  <si>
    <t>NHS North Hampshire CCG</t>
  </si>
  <si>
    <t>NHS Fareham and Gosport CCG</t>
  </si>
  <si>
    <t>NHS Isle of Wight CCG</t>
  </si>
  <si>
    <t>NHS Portsmouth CCG</t>
  </si>
  <si>
    <t>NHS South Eastern Hampshire CCG</t>
  </si>
  <si>
    <t>NHS Southampton CCG</t>
  </si>
  <si>
    <t>NHS West Hampshire CCG</t>
  </si>
  <si>
    <t>NHS Dorset CCG</t>
  </si>
  <si>
    <t>NHS North East Hampshire and Farnham CCG</t>
  </si>
  <si>
    <t>Eng</t>
  </si>
  <si>
    <t>Paper tables A2 and A3</t>
  </si>
  <si>
    <t>Apply per capita growth [programme]</t>
  </si>
  <si>
    <t>Apply per capita growth [per capita]</t>
  </si>
  <si>
    <t>Rounded Allocation
£000</t>
  </si>
  <si>
    <t>Primary care other</t>
  </si>
  <si>
    <t>D2A9</t>
  </si>
  <si>
    <t>D3A7</t>
  </si>
  <si>
    <t>D5A6</t>
  </si>
  <si>
    <t>D5A5</t>
  </si>
  <si>
    <t>D4A8</t>
  </si>
  <si>
    <t>D8A8</t>
  </si>
  <si>
    <t>D7A7</t>
  </si>
  <si>
    <t>D9A8</t>
  </si>
  <si>
    <t>D5A7</t>
  </si>
  <si>
    <t>D8A5</t>
  </si>
  <si>
    <t>D10A5</t>
  </si>
  <si>
    <t>D8A4</t>
  </si>
  <si>
    <t>D6A5</t>
  </si>
  <si>
    <t>D10A1</t>
  </si>
  <si>
    <t>D9A3</t>
  </si>
  <si>
    <t>D10A3</t>
  </si>
  <si>
    <t>D10A2</t>
  </si>
  <si>
    <t>D3A4</t>
  </si>
  <si>
    <t>D7A6</t>
  </si>
  <si>
    <t>D10A8</t>
  </si>
  <si>
    <t>D4A7</t>
  </si>
  <si>
    <t>D6A4</t>
  </si>
  <si>
    <t>D6A7</t>
  </si>
  <si>
    <t>D5A8</t>
  </si>
  <si>
    <t>D4A10</t>
  </si>
  <si>
    <t>D9A4</t>
  </si>
  <si>
    <t>D9A6</t>
  </si>
  <si>
    <t>D5A10</t>
  </si>
  <si>
    <t>D9A7</t>
  </si>
  <si>
    <t>D5A9</t>
  </si>
  <si>
    <t>D3A10</t>
  </si>
  <si>
    <t>D2A10</t>
  </si>
  <si>
    <t>D1A9</t>
  </si>
  <si>
    <t>D6A8</t>
  </si>
  <si>
    <t>D7A10</t>
  </si>
  <si>
    <t>D2A7</t>
  </si>
  <si>
    <t>D8A6</t>
  </si>
  <si>
    <t>D7A5</t>
  </si>
  <si>
    <t>D5A4</t>
  </si>
  <si>
    <t>D7A3</t>
  </si>
  <si>
    <t>D8A3</t>
  </si>
  <si>
    <t>D2A8</t>
  </si>
  <si>
    <t>D4A9</t>
  </si>
  <si>
    <t>D6A10</t>
  </si>
  <si>
    <t>D9A5</t>
  </si>
  <si>
    <t>D10A4</t>
  </si>
  <si>
    <t>D7A8</t>
  </si>
  <si>
    <t>D1A8</t>
  </si>
  <si>
    <t>D6A6</t>
  </si>
  <si>
    <t>D8A10</t>
  </si>
  <si>
    <t>D3A9</t>
  </si>
  <si>
    <t>D6A9</t>
  </si>
  <si>
    <t>D6A3</t>
  </si>
  <si>
    <t>D3A5</t>
  </si>
  <si>
    <t>D4A2</t>
  </si>
  <si>
    <t>D2A5</t>
  </si>
  <si>
    <t>D2A4</t>
  </si>
  <si>
    <t>D8A2</t>
  </si>
  <si>
    <t>D9A2</t>
  </si>
  <si>
    <t>D2A6</t>
  </si>
  <si>
    <t>D4A6</t>
  </si>
  <si>
    <t>D3A8</t>
  </si>
  <si>
    <t>D7A4</t>
  </si>
  <si>
    <t>D7A1</t>
  </si>
  <si>
    <t>D9A1</t>
  </si>
  <si>
    <t>D5A2</t>
  </si>
  <si>
    <t>D8A1</t>
  </si>
  <si>
    <t>D6A2</t>
  </si>
  <si>
    <t>D2A3</t>
  </si>
  <si>
    <t>D7A2</t>
  </si>
  <si>
    <t>D1A2</t>
  </si>
  <si>
    <t>D1A3</t>
  </si>
  <si>
    <t>D3A2</t>
  </si>
  <si>
    <t>D4A1</t>
  </si>
  <si>
    <t>D4A3</t>
  </si>
  <si>
    <t>D9A9</t>
  </si>
  <si>
    <t>D1A5</t>
  </si>
  <si>
    <t>D1A6</t>
  </si>
  <si>
    <t>D1A7</t>
  </si>
  <si>
    <t>D1A4</t>
  </si>
  <si>
    <t>D6A1</t>
  </si>
  <si>
    <t>Aggregate place based allocations and disaggregation to the commissioning streams</t>
  </si>
  <si>
    <t>Pace of change parameters</t>
  </si>
  <si>
    <t>Per capita pace of change</t>
  </si>
  <si>
    <t>Performance (pulled through from main sheets)</t>
  </si>
  <si>
    <t>Baselines and populations are imported from workbook M.</t>
  </si>
  <si>
    <t>DfT distributions</t>
  </si>
  <si>
    <t>Copy of NHS England Board Paper 17 December 2015 - Table 5</t>
  </si>
  <si>
    <t>Copy of NHS England Board Paper 17 December 2015 - Tables A2 and A3</t>
  </si>
  <si>
    <t>Commissioning Hubs</t>
  </si>
  <si>
    <t>2016-17 primary care (other) allocations for commissioning hubs, based on a uniform per capita growth.</t>
  </si>
  <si>
    <t>2017-18 disagg</t>
  </si>
  <si>
    <t>2018-19 disagg</t>
  </si>
  <si>
    <t>2019-20 disagg</t>
  </si>
  <si>
    <t>2020-21 disagg</t>
  </si>
  <si>
    <t>Calculation of the total place based allocation for 2016-17</t>
  </si>
  <si>
    <t>Calculation of the total place based allocation for 2017-18</t>
  </si>
  <si>
    <t>Calculation of the total place based allocation for 2018-19</t>
  </si>
  <si>
    <t>Calculation of the total place based allocation for 2019-20</t>
  </si>
  <si>
    <t>Calculation of the total place based allocation for 2020-21</t>
  </si>
  <si>
    <t>A description of the sheets in this workbook is given below.</t>
  </si>
  <si>
    <t>notes</t>
  </si>
  <si>
    <t>Shows the calculation of the total place allocation for 2016-17</t>
  </si>
  <si>
    <t>Columns M-O apply a minimum per capita growth</t>
  </si>
  <si>
    <t>Columns T-V apply a minimum programme [total allocation] growth</t>
  </si>
  <si>
    <t xml:space="preserve">Columns W-Z limit the programme [total allocation] growth for those furthest </t>
  </si>
  <si>
    <t>over target</t>
  </si>
  <si>
    <t xml:space="preserve">Shows the disaggregation of the total place allocation for 2016-17 </t>
  </si>
  <si>
    <t>stream, until all resources are used or DfT=0</t>
  </si>
  <si>
    <t>Shows the calculation of the total place allocation for 2017-18</t>
  </si>
  <si>
    <t xml:space="preserve">Baseline information is taken from the disaggregated total place allocation </t>
  </si>
  <si>
    <t>Shows the disaggregation of the total place allocation for 2017-18</t>
  </si>
  <si>
    <t>Shows the calculation of the total place allocation for 2018-19</t>
  </si>
  <si>
    <t>Shows the disaggregation of the total place allocation for 2018-19</t>
  </si>
  <si>
    <t>Shows the calculation of the total place allocation for 2019-20</t>
  </si>
  <si>
    <t>Shows the disaggregation of the total place allocation for 2019-20</t>
  </si>
  <si>
    <t>Shows the calculation of the total place allocation for 2020-21</t>
  </si>
  <si>
    <t>Shows the disaggregation of the total place allocation for 2020-21</t>
  </si>
  <si>
    <t xml:space="preserve">Rows 8-13 provide basic information on national population growth and GDP </t>
  </si>
  <si>
    <t>deflators to inform setting growth limits</t>
  </si>
  <si>
    <t xml:space="preserve">Rows 21-25 set the minimum programme growth and the parameters for the </t>
  </si>
  <si>
    <t>introduction of capped growth</t>
  </si>
  <si>
    <t>A series of parameters and switches to tune pace of change policy</t>
  </si>
  <si>
    <t>2015-16 information is derived from DfTs estimated in workbook M</t>
  </si>
  <si>
    <t>Summarises the DfT distributions for each year</t>
  </si>
  <si>
    <t>Uses target values imported from the 2015-16 allocations announced in</t>
  </si>
  <si>
    <t>December 2014.</t>
  </si>
  <si>
    <t>Based on a uniform per capita growth.</t>
  </si>
  <si>
    <t>outputs</t>
  </si>
  <si>
    <t>processing</t>
  </si>
  <si>
    <t>Disaggregation of the 2016-17 allocation to individual commissioning streams</t>
  </si>
  <si>
    <t>Disaggregation of the 2017-18 allocation to individual commissioning streams</t>
  </si>
  <si>
    <t>Disaggregation of the 2018-19 allocation to individual commissioning streams</t>
  </si>
  <si>
    <t>Disaggregation of the 2019-20 allocation to individual commissioning streams</t>
  </si>
  <si>
    <t>Disaggregation of the 2020-21 allocation to individual commissioning streams</t>
  </si>
  <si>
    <t xml:space="preserve">Baselines, target values and populations are brought in from workbook M </t>
  </si>
  <si>
    <t>as a sum across the individual workstream values.</t>
  </si>
  <si>
    <t xml:space="preserve">Column L is the sum of the minimum allocations from the individual  </t>
  </si>
  <si>
    <t>commissioning streams, imported from workbooks N, O and P</t>
  </si>
  <si>
    <t xml:space="preserve">Columns P-S apply enhanced per capita growth to those CCGs that are  </t>
  </si>
  <si>
    <t>furthest below target</t>
  </si>
  <si>
    <t xml:space="preserve">Columns AA-AE ensure that no CCG with a DfT above a threshold value </t>
  </si>
  <si>
    <t>falls below that  threshold value.</t>
  </si>
  <si>
    <t xml:space="preserve">Column S calculates the growth available for distribution after subtracting </t>
  </si>
  <si>
    <t>the three minimum allocations.  For specialised services the minimum</t>
  </si>
  <si>
    <t>allocation is also the actual allocation.</t>
  </si>
  <si>
    <t xml:space="preserve">Columns U-Y put the CCG in to one of four groups reflecting where the  </t>
  </si>
  <si>
    <t xml:space="preserve">minimum CCG and primary medical care allocations are above or below </t>
  </si>
  <si>
    <t xml:space="preserve">target (for example, group 2 is for those CCGs where both are above </t>
  </si>
  <si>
    <t xml:space="preserve">target.) The cash value of one point change in DfT is also calculated for </t>
  </si>
  <si>
    <t>each case.</t>
  </si>
  <si>
    <t xml:space="preserve">Columns AA-AC, for CCGs in group one puts growth in to the CCG </t>
  </si>
  <si>
    <t xml:space="preserve">Columns AE-AG, for CCGs in group three puts growth in to the primary  </t>
  </si>
  <si>
    <t>medical care stream, until all resources are used or DfT=0</t>
  </si>
  <si>
    <t>Rows 14-20 set the parameters for per capita growth rates. The minimum</t>
  </si>
  <si>
    <t xml:space="preserve">growth is set to the reference growth. The recommended earliest point for </t>
  </si>
  <si>
    <t xml:space="preserve">the end of transition ensures that pace of change preserves the order of the </t>
  </si>
  <si>
    <t>initial DfTs.</t>
  </si>
  <si>
    <t xml:space="preserve">Rows 26-29 provide switches for turning on and off different parts of the </t>
  </si>
  <si>
    <t>pace of  change policy</t>
  </si>
  <si>
    <t xml:space="preserve">Rows 30-43 give a summary of the performance of the pace of change </t>
  </si>
  <si>
    <t>choices to support the process of choosing these parameters</t>
  </si>
  <si>
    <t xml:space="preserve">Calculates the summary statistics in Tables A2 and A3 of the </t>
  </si>
  <si>
    <t xml:space="preserve">allocations board paper </t>
  </si>
  <si>
    <t xml:space="preserve">Calculates the summary statistics in Table 5 of the </t>
  </si>
  <si>
    <t>allocations board paper</t>
  </si>
  <si>
    <t xml:space="preserve">Calculates the 2016-17 primary care (other) allocations for </t>
  </si>
  <si>
    <t>commissioning hubs</t>
  </si>
  <si>
    <t>Information from this table was used in Table 3 of the allocations</t>
  </si>
  <si>
    <t>inputs</t>
  </si>
  <si>
    <t>for 2016-17. For column descriptions, see description of sheet 2.</t>
  </si>
  <si>
    <t>For column descriptions, see description of sheet 3.</t>
  </si>
  <si>
    <t>for 2017-18. For column descriptions, see description of sheet 2.</t>
  </si>
  <si>
    <t>for 2018-19. For column descriptions, see description of sheet 2.</t>
  </si>
  <si>
    <t>for 2019-20. For column descriptions, see description of sheet 2.</t>
  </si>
  <si>
    <t>board paper</t>
  </si>
  <si>
    <t xml:space="preserve">Columns AI-AK distributes any remaining resources across the CCG and </t>
  </si>
  <si>
    <t>primary medical care streams, such that their position improves by the same</t>
  </si>
  <si>
    <t>number of percentage points.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</si>
</sst>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.00_ ;\-#,##0.0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b/>
      <sz val="10"/>
      <color theme="7" tint="-0.249977111117893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6" tint="-0.249977111117893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sz val="4"/>
      <color theme="1"/>
      <name val="Arial"/>
      <family val="2"/>
    </font>
    <font>
      <sz val="4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6" tint="-0.499984740745262"/>
      <name val="Arial"/>
      <family val="2"/>
    </font>
    <font>
      <sz val="4"/>
      <color theme="6" tint="-0.499984740745262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4"/>
      <color rgb="FFC00000"/>
      <name val="Arial"/>
      <family val="2"/>
    </font>
    <font>
      <b/>
      <sz val="4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8A71A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</fills>
  <borders count="46">
    <border>
      <left/>
      <right/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/>
      <right style="medium">
        <color theme="0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/>
    <xf numFmtId="0" fontId="1" fillId="0" borderId="0"/>
    <xf numFmtId="0" fontId="2" fillId="0" borderId="0"/>
  </cellStyleXfs>
  <cellXfs count="390">
    <xf numFmtId="0" fontId="0" fillId="0" borderId="0" xfId="0"/>
    <xf numFmtId="0" fontId="2" fillId="0" borderId="0" xfId="0" applyFont="1"/>
    <xf numFmtId="0" fontId="3" fillId="2" borderId="0" xfId="0" applyFont="1" applyFill="1"/>
    <xf numFmtId="0" fontId="2" fillId="4" borderId="2" xfId="0" applyFont="1" applyFill="1" applyBorder="1"/>
    <xf numFmtId="0" fontId="2" fillId="4" borderId="0" xfId="0" applyFont="1" applyFill="1"/>
    <xf numFmtId="0" fontId="3" fillId="4" borderId="0" xfId="0" applyFont="1" applyFill="1" applyAlignment="1">
      <alignment horizontal="right"/>
    </xf>
    <xf numFmtId="9" fontId="3" fillId="4" borderId="2" xfId="0" applyNumberFormat="1" applyFont="1" applyFill="1" applyBorder="1"/>
    <xf numFmtId="9" fontId="2" fillId="4" borderId="2" xfId="0" applyNumberFormat="1" applyFont="1" applyFill="1" applyBorder="1"/>
    <xf numFmtId="10" fontId="2" fillId="4" borderId="2" xfId="0" applyNumberFormat="1" applyFont="1" applyFill="1" applyBorder="1"/>
    <xf numFmtId="164" fontId="2" fillId="4" borderId="0" xfId="1" applyNumberFormat="1" applyFont="1" applyFill="1"/>
    <xf numFmtId="164" fontId="2" fillId="0" borderId="0" xfId="1" applyNumberFormat="1" applyFont="1" applyFill="1"/>
    <xf numFmtId="0" fontId="2" fillId="0" borderId="0" xfId="0" applyFont="1" applyBorder="1"/>
    <xf numFmtId="0" fontId="3" fillId="0" borderId="0" xfId="0" applyFont="1" applyBorder="1"/>
    <xf numFmtId="0" fontId="2" fillId="2" borderId="0" xfId="0" applyFont="1" applyFill="1" applyBorder="1"/>
    <xf numFmtId="164" fontId="3" fillId="0" borderId="0" xfId="0" applyNumberFormat="1" applyFont="1" applyBorder="1"/>
    <xf numFmtId="0" fontId="2" fillId="4" borderId="0" xfId="0" applyFont="1" applyFill="1" applyBorder="1"/>
    <xf numFmtId="10" fontId="2" fillId="4" borderId="2" xfId="2" applyNumberFormat="1" applyFont="1" applyFill="1" applyBorder="1"/>
    <xf numFmtId="10" fontId="3" fillId="4" borderId="0" xfId="2" applyNumberFormat="1" applyFont="1" applyFill="1" applyBorder="1"/>
    <xf numFmtId="10" fontId="3" fillId="4" borderId="0" xfId="2" applyNumberFormat="1" applyFont="1" applyFill="1" applyBorder="1" applyAlignment="1">
      <alignment horizontal="right"/>
    </xf>
    <xf numFmtId="164" fontId="3" fillId="4" borderId="2" xfId="2" applyNumberFormat="1" applyFont="1" applyFill="1" applyBorder="1"/>
    <xf numFmtId="10" fontId="3" fillId="4" borderId="2" xfId="0" applyNumberFormat="1" applyFont="1" applyFill="1" applyBorder="1" applyAlignment="1">
      <alignment horizontal="right"/>
    </xf>
    <xf numFmtId="10" fontId="3" fillId="4" borderId="2" xfId="2" applyNumberFormat="1" applyFont="1" applyFill="1" applyBorder="1"/>
    <xf numFmtId="10" fontId="3" fillId="0" borderId="0" xfId="2" applyNumberFormat="1" applyFont="1" applyFill="1" applyBorder="1"/>
    <xf numFmtId="164" fontId="3" fillId="5" borderId="0" xfId="0" applyNumberFormat="1" applyFont="1" applyFill="1" applyBorder="1"/>
    <xf numFmtId="164" fontId="3" fillId="7" borderId="2" xfId="0" applyNumberFormat="1" applyFont="1" applyFill="1" applyBorder="1"/>
    <xf numFmtId="10" fontId="3" fillId="7" borderId="2" xfId="2" applyNumberFormat="1" applyFont="1" applyFill="1" applyBorder="1"/>
    <xf numFmtId="10" fontId="3" fillId="7" borderId="0" xfId="2" applyNumberFormat="1" applyFont="1" applyFill="1" applyBorder="1"/>
    <xf numFmtId="10" fontId="3" fillId="7" borderId="0" xfId="2" applyNumberFormat="1" applyFont="1" applyFill="1" applyBorder="1" applyAlignment="1">
      <alignment horizontal="right"/>
    </xf>
    <xf numFmtId="164" fontId="3" fillId="7" borderId="2" xfId="2" applyNumberFormat="1" applyFont="1" applyFill="1" applyBorder="1"/>
    <xf numFmtId="164" fontId="3" fillId="7" borderId="0" xfId="2" applyNumberFormat="1" applyFont="1" applyFill="1" applyBorder="1"/>
    <xf numFmtId="0" fontId="4" fillId="0" borderId="0" xfId="0" applyFont="1" applyBorder="1"/>
    <xf numFmtId="0" fontId="5" fillId="0" borderId="0" xfId="0" applyFont="1" applyBorder="1"/>
    <xf numFmtId="164" fontId="5" fillId="2" borderId="0" xfId="0" applyNumberFormat="1" applyFont="1" applyFill="1" applyBorder="1"/>
    <xf numFmtId="164" fontId="5" fillId="0" borderId="0" xfId="0" applyNumberFormat="1" applyFont="1" applyBorder="1"/>
    <xf numFmtId="164" fontId="7" fillId="4" borderId="2" xfId="0" applyNumberFormat="1" applyFont="1" applyFill="1" applyBorder="1"/>
    <xf numFmtId="10" fontId="7" fillId="4" borderId="2" xfId="2" applyNumberFormat="1" applyFont="1" applyFill="1" applyBorder="1"/>
    <xf numFmtId="10" fontId="7" fillId="4" borderId="0" xfId="2" applyNumberFormat="1" applyFont="1" applyFill="1" applyBorder="1"/>
    <xf numFmtId="10" fontId="5" fillId="0" borderId="0" xfId="2" applyNumberFormat="1" applyFont="1" applyFill="1" applyBorder="1"/>
    <xf numFmtId="0" fontId="4" fillId="0" borderId="0" xfId="0" applyFont="1"/>
    <xf numFmtId="164" fontId="11" fillId="7" borderId="2" xfId="1" applyNumberFormat="1" applyFont="1" applyFill="1" applyBorder="1" applyAlignment="1">
      <alignment horizontal="center"/>
    </xf>
    <xf numFmtId="9" fontId="11" fillId="7" borderId="2" xfId="0" applyNumberFormat="1" applyFont="1" applyFill="1" applyBorder="1" applyAlignment="1">
      <alignment horizontal="center"/>
    </xf>
    <xf numFmtId="9" fontId="4" fillId="4" borderId="2" xfId="0" applyNumberFormat="1" applyFont="1" applyFill="1" applyBorder="1" applyAlignment="1">
      <alignment horizontal="center"/>
    </xf>
    <xf numFmtId="9" fontId="4" fillId="0" borderId="0" xfId="0" applyNumberFormat="1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4" borderId="5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2" fillId="0" borderId="0" xfId="0" applyFont="1" applyFill="1"/>
    <xf numFmtId="0" fontId="2" fillId="0" borderId="1" xfId="0" applyFont="1" applyFill="1" applyBorder="1"/>
    <xf numFmtId="0" fontId="2" fillId="0" borderId="0" xfId="0" applyFont="1" applyFill="1" applyBorder="1"/>
    <xf numFmtId="164" fontId="2" fillId="0" borderId="0" xfId="1" applyNumberFormat="1" applyFont="1"/>
    <xf numFmtId="164" fontId="2" fillId="4" borderId="2" xfId="1" applyNumberFormat="1" applyFont="1" applyFill="1" applyBorder="1"/>
    <xf numFmtId="10" fontId="2" fillId="4" borderId="0" xfId="3" applyNumberFormat="1" applyFont="1" applyFill="1"/>
    <xf numFmtId="10" fontId="2" fillId="4" borderId="0" xfId="2" applyNumberFormat="1" applyFont="1" applyFill="1"/>
    <xf numFmtId="0" fontId="3" fillId="2" borderId="0" xfId="0" applyFont="1" applyFill="1" applyBorder="1"/>
    <xf numFmtId="164" fontId="3" fillId="0" borderId="0" xfId="0" applyNumberFormat="1" applyFont="1"/>
    <xf numFmtId="164" fontId="3" fillId="7" borderId="2" xfId="1" applyNumberFormat="1" applyFont="1" applyFill="1" applyBorder="1"/>
    <xf numFmtId="10" fontId="3" fillId="7" borderId="0" xfId="2" applyNumberFormat="1" applyFont="1" applyFill="1"/>
    <xf numFmtId="10" fontId="3" fillId="0" borderId="0" xfId="2" applyNumberFormat="1" applyFont="1" applyFill="1"/>
    <xf numFmtId="0" fontId="2" fillId="0" borderId="2" xfId="0" applyFont="1" applyFill="1" applyBorder="1"/>
    <xf numFmtId="164" fontId="8" fillId="4" borderId="2" xfId="2" applyNumberFormat="1" applyFont="1" applyFill="1" applyBorder="1"/>
    <xf numFmtId="9" fontId="2" fillId="4" borderId="2" xfId="0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horizontal="center" wrapText="1"/>
    </xf>
    <xf numFmtId="164" fontId="2" fillId="2" borderId="0" xfId="1" applyNumberFormat="1" applyFont="1" applyFill="1" applyBorder="1"/>
    <xf numFmtId="0" fontId="2" fillId="2" borderId="8" xfId="0" applyFont="1" applyFill="1" applyBorder="1"/>
    <xf numFmtId="164" fontId="3" fillId="5" borderId="8" xfId="0" applyNumberFormat="1" applyFont="1" applyFill="1" applyBorder="1"/>
    <xf numFmtId="164" fontId="5" fillId="2" borderId="8" xfId="0" applyNumberFormat="1" applyFont="1" applyFill="1" applyBorder="1"/>
    <xf numFmtId="0" fontId="3" fillId="2" borderId="8" xfId="0" applyFont="1" applyFill="1" applyBorder="1" applyAlignment="1">
      <alignment horizontal="center" wrapText="1"/>
    </xf>
    <xf numFmtId="164" fontId="2" fillId="2" borderId="8" xfId="1" applyNumberFormat="1" applyFont="1" applyFill="1" applyBorder="1"/>
    <xf numFmtId="164" fontId="3" fillId="5" borderId="8" xfId="1" applyNumberFormat="1" applyFont="1" applyFill="1" applyBorder="1"/>
    <xf numFmtId="0" fontId="2" fillId="0" borderId="8" xfId="0" applyFont="1" applyBorder="1"/>
    <xf numFmtId="0" fontId="3" fillId="3" borderId="8" xfId="0" applyFont="1" applyFill="1" applyBorder="1"/>
    <xf numFmtId="0" fontId="2" fillId="3" borderId="8" xfId="0" applyFont="1" applyFill="1" applyBorder="1"/>
    <xf numFmtId="164" fontId="3" fillId="6" borderId="8" xfId="0" applyNumberFormat="1" applyFont="1" applyFill="1" applyBorder="1"/>
    <xf numFmtId="164" fontId="6" fillId="3" borderId="8" xfId="0" applyNumberFormat="1" applyFont="1" applyFill="1" applyBorder="1"/>
    <xf numFmtId="0" fontId="3" fillId="3" borderId="10" xfId="0" applyFont="1" applyFill="1" applyBorder="1" applyAlignment="1">
      <alignment horizontal="center" wrapText="1"/>
    </xf>
    <xf numFmtId="164" fontId="12" fillId="3" borderId="8" xfId="1" applyNumberFormat="1" applyFont="1" applyFill="1" applyBorder="1"/>
    <xf numFmtId="164" fontId="13" fillId="6" borderId="8" xfId="0" applyNumberFormat="1" applyFont="1" applyFill="1" applyBorder="1"/>
    <xf numFmtId="0" fontId="3" fillId="3" borderId="0" xfId="0" applyFont="1" applyFill="1" applyBorder="1"/>
    <xf numFmtId="0" fontId="2" fillId="3" borderId="0" xfId="0" applyFont="1" applyFill="1" applyBorder="1"/>
    <xf numFmtId="164" fontId="3" fillId="6" borderId="0" xfId="0" applyNumberFormat="1" applyFont="1" applyFill="1" applyBorder="1"/>
    <xf numFmtId="164" fontId="6" fillId="3" borderId="0" xfId="0" applyNumberFormat="1" applyFont="1" applyFill="1" applyBorder="1"/>
    <xf numFmtId="0" fontId="3" fillId="3" borderId="4" xfId="0" applyFont="1" applyFill="1" applyBorder="1" applyAlignment="1">
      <alignment horizontal="center" wrapText="1"/>
    </xf>
    <xf numFmtId="164" fontId="12" fillId="3" borderId="0" xfId="1" applyNumberFormat="1" applyFont="1" applyFill="1" applyBorder="1"/>
    <xf numFmtId="164" fontId="13" fillId="6" borderId="0" xfId="0" applyNumberFormat="1" applyFont="1" applyFill="1" applyBorder="1"/>
    <xf numFmtId="164" fontId="12" fillId="11" borderId="0" xfId="1" applyNumberFormat="1" applyFont="1" applyFill="1" applyBorder="1"/>
    <xf numFmtId="165" fontId="2" fillId="11" borderId="0" xfId="2" applyNumberFormat="1" applyFont="1" applyFill="1" applyBorder="1"/>
    <xf numFmtId="10" fontId="2" fillId="2" borderId="0" xfId="2" applyNumberFormat="1" applyFont="1" applyFill="1" applyBorder="1"/>
    <xf numFmtId="10" fontId="2" fillId="11" borderId="0" xfId="2" applyNumberFormat="1" applyFont="1" applyFill="1" applyBorder="1"/>
    <xf numFmtId="166" fontId="2" fillId="4" borderId="0" xfId="1" applyNumberFormat="1" applyFont="1" applyFill="1"/>
    <xf numFmtId="0" fontId="4" fillId="7" borderId="11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10" fontId="2" fillId="4" borderId="0" xfId="2" applyNumberFormat="1" applyFont="1" applyFill="1" applyBorder="1"/>
    <xf numFmtId="0" fontId="3" fillId="4" borderId="0" xfId="0" applyFont="1" applyFill="1" applyBorder="1" applyAlignment="1">
      <alignment horizontal="center" wrapText="1"/>
    </xf>
    <xf numFmtId="164" fontId="2" fillId="4" borderId="0" xfId="1" applyNumberFormat="1" applyFont="1" applyFill="1" applyBorder="1"/>
    <xf numFmtId="164" fontId="7" fillId="4" borderId="2" xfId="2" applyNumberFormat="1" applyFont="1" applyFill="1" applyBorder="1"/>
    <xf numFmtId="164" fontId="7" fillId="4" borderId="7" xfId="2" applyNumberFormat="1" applyFont="1" applyFill="1" applyBorder="1"/>
    <xf numFmtId="10" fontId="3" fillId="4" borderId="1" xfId="2" applyNumberFormat="1" applyFont="1" applyFill="1" applyBorder="1" applyAlignment="1">
      <alignment horizontal="right"/>
    </xf>
    <xf numFmtId="10" fontId="2" fillId="4" borderId="1" xfId="2" applyNumberFormat="1" applyFont="1" applyFill="1" applyBorder="1"/>
    <xf numFmtId="10" fontId="3" fillId="7" borderId="1" xfId="2" applyNumberFormat="1" applyFont="1" applyFill="1" applyBorder="1"/>
    <xf numFmtId="10" fontId="7" fillId="4" borderId="7" xfId="2" applyNumberFormat="1" applyFont="1" applyFill="1" applyBorder="1"/>
    <xf numFmtId="0" fontId="3" fillId="4" borderId="10" xfId="0" applyFont="1" applyFill="1" applyBorder="1" applyAlignment="1">
      <alignment horizontal="center" wrapText="1"/>
    </xf>
    <xf numFmtId="0" fontId="2" fillId="4" borderId="8" xfId="0" applyFont="1" applyFill="1" applyBorder="1"/>
    <xf numFmtId="164" fontId="2" fillId="4" borderId="8" xfId="1" applyNumberFormat="1" applyFont="1" applyFill="1" applyBorder="1"/>
    <xf numFmtId="164" fontId="3" fillId="7" borderId="8" xfId="2" applyNumberFormat="1" applyFont="1" applyFill="1" applyBorder="1"/>
    <xf numFmtId="164" fontId="3" fillId="4" borderId="7" xfId="0" applyNumberFormat="1" applyFont="1" applyFill="1" applyBorder="1"/>
    <xf numFmtId="10" fontId="3" fillId="4" borderId="7" xfId="2" applyNumberFormat="1" applyFont="1" applyFill="1" applyBorder="1" applyAlignment="1">
      <alignment horizontal="right"/>
    </xf>
    <xf numFmtId="10" fontId="3" fillId="7" borderId="7" xfId="0" applyNumberFormat="1" applyFont="1" applyFill="1" applyBorder="1" applyAlignment="1">
      <alignment horizontal="right"/>
    </xf>
    <xf numFmtId="10" fontId="3" fillId="7" borderId="7" xfId="2" applyNumberFormat="1" applyFont="1" applyFill="1" applyBorder="1" applyAlignment="1">
      <alignment horizontal="right"/>
    </xf>
    <xf numFmtId="164" fontId="7" fillId="4" borderId="7" xfId="0" applyNumberFormat="1" applyFont="1" applyFill="1" applyBorder="1"/>
    <xf numFmtId="0" fontId="3" fillId="4" borderId="7" xfId="0" applyFont="1" applyFill="1" applyBorder="1" applyAlignment="1">
      <alignment horizontal="center" wrapText="1"/>
    </xf>
    <xf numFmtId="0" fontId="2" fillId="4" borderId="7" xfId="0" applyFont="1" applyFill="1" applyBorder="1"/>
    <xf numFmtId="164" fontId="2" fillId="4" borderId="7" xfId="1" applyNumberFormat="1" applyFont="1" applyFill="1" applyBorder="1"/>
    <xf numFmtId="164" fontId="3" fillId="7" borderId="7" xfId="0" applyNumberFormat="1" applyFont="1" applyFill="1" applyBorder="1"/>
    <xf numFmtId="0" fontId="2" fillId="0" borderId="7" xfId="0" applyFont="1" applyFill="1" applyBorder="1"/>
    <xf numFmtId="164" fontId="3" fillId="4" borderId="1" xfId="0" applyNumberFormat="1" applyFont="1" applyFill="1" applyBorder="1"/>
    <xf numFmtId="10" fontId="3" fillId="7" borderId="1" xfId="0" applyNumberFormat="1" applyFont="1" applyFill="1" applyBorder="1" applyAlignment="1">
      <alignment horizontal="right"/>
    </xf>
    <xf numFmtId="10" fontId="3" fillId="7" borderId="1" xfId="2" applyNumberFormat="1" applyFont="1" applyFill="1" applyBorder="1" applyAlignment="1">
      <alignment horizontal="right"/>
    </xf>
    <xf numFmtId="10" fontId="7" fillId="4" borderId="1" xfId="2" applyNumberFormat="1" applyFont="1" applyFill="1" applyBorder="1"/>
    <xf numFmtId="0" fontId="3" fillId="4" borderId="6" xfId="0" applyFont="1" applyFill="1" applyBorder="1" applyAlignment="1">
      <alignment horizontal="center" wrapText="1"/>
    </xf>
    <xf numFmtId="0" fontId="2" fillId="4" borderId="1" xfId="0" applyFont="1" applyFill="1" applyBorder="1"/>
    <xf numFmtId="10" fontId="2" fillId="4" borderId="7" xfId="2" applyNumberFormat="1" applyFont="1" applyFill="1" applyBorder="1"/>
    <xf numFmtId="10" fontId="3" fillId="7" borderId="7" xfId="2" applyNumberFormat="1" applyFont="1" applyFill="1" applyBorder="1"/>
    <xf numFmtId="0" fontId="3" fillId="4" borderId="1" xfId="0" applyFont="1" applyFill="1" applyBorder="1" applyAlignment="1">
      <alignment horizontal="center" wrapText="1"/>
    </xf>
    <xf numFmtId="0" fontId="3" fillId="4" borderId="0" xfId="0" applyFont="1" applyFill="1" applyBorder="1" applyAlignment="1">
      <alignment horizontal="right"/>
    </xf>
    <xf numFmtId="10" fontId="3" fillId="4" borderId="1" xfId="2" applyNumberFormat="1" applyFont="1" applyFill="1" applyBorder="1"/>
    <xf numFmtId="166" fontId="2" fillId="4" borderId="1" xfId="1" applyNumberFormat="1" applyFont="1" applyFill="1" applyBorder="1"/>
    <xf numFmtId="10" fontId="2" fillId="4" borderId="0" xfId="3" applyNumberFormat="1" applyFont="1" applyFill="1" applyBorder="1"/>
    <xf numFmtId="164" fontId="7" fillId="4" borderId="0" xfId="2" applyNumberFormat="1" applyFont="1" applyFill="1" applyBorder="1"/>
    <xf numFmtId="0" fontId="3" fillId="4" borderId="8" xfId="0" applyFont="1" applyFill="1" applyBorder="1" applyAlignment="1">
      <alignment horizontal="right"/>
    </xf>
    <xf numFmtId="10" fontId="3" fillId="4" borderId="8" xfId="2" applyNumberFormat="1" applyFont="1" applyFill="1" applyBorder="1" applyAlignment="1">
      <alignment horizontal="right"/>
    </xf>
    <xf numFmtId="10" fontId="3" fillId="7" borderId="8" xfId="2" applyNumberFormat="1" applyFont="1" applyFill="1" applyBorder="1" applyAlignment="1">
      <alignment horizontal="right"/>
    </xf>
    <xf numFmtId="164" fontId="7" fillId="4" borderId="8" xfId="2" applyNumberFormat="1" applyFont="1" applyFill="1" applyBorder="1"/>
    <xf numFmtId="0" fontId="3" fillId="4" borderId="8" xfId="0" applyFont="1" applyFill="1" applyBorder="1" applyAlignment="1">
      <alignment horizontal="center" wrapText="1"/>
    </xf>
    <xf numFmtId="0" fontId="2" fillId="0" borderId="8" xfId="0" applyFont="1" applyFill="1" applyBorder="1"/>
    <xf numFmtId="0" fontId="3" fillId="4" borderId="7" xfId="0" applyFont="1" applyFill="1" applyBorder="1" applyAlignment="1">
      <alignment horizontal="right"/>
    </xf>
    <xf numFmtId="164" fontId="11" fillId="7" borderId="11" xfId="1" applyNumberFormat="1" applyFont="1" applyFill="1" applyBorder="1" applyAlignment="1">
      <alignment horizontal="center"/>
    </xf>
    <xf numFmtId="164" fontId="11" fillId="7" borderId="3" xfId="1" applyNumberFormat="1" applyFont="1" applyFill="1" applyBorder="1" applyAlignment="1">
      <alignment horizontal="center"/>
    </xf>
    <xf numFmtId="164" fontId="11" fillId="7" borderId="12" xfId="1" applyNumberFormat="1" applyFont="1" applyFill="1" applyBorder="1" applyAlignment="1">
      <alignment horizontal="center"/>
    </xf>
    <xf numFmtId="164" fontId="3" fillId="4" borderId="0" xfId="0" applyNumberFormat="1" applyFont="1" applyFill="1" applyBorder="1"/>
    <xf numFmtId="10" fontId="3" fillId="7" borderId="0" xfId="0" applyNumberFormat="1" applyFont="1" applyFill="1" applyBorder="1" applyAlignment="1">
      <alignment horizontal="right"/>
    </xf>
    <xf numFmtId="10" fontId="2" fillId="4" borderId="7" xfId="3" applyNumberFormat="1" applyFont="1" applyFill="1" applyBorder="1"/>
    <xf numFmtId="164" fontId="3" fillId="7" borderId="8" xfId="2" applyNumberFormat="1" applyFont="1" applyFill="1" applyBorder="1" applyAlignment="1">
      <alignment horizontal="right"/>
    </xf>
    <xf numFmtId="164" fontId="3" fillId="4" borderId="0" xfId="0" applyNumberFormat="1" applyFont="1" applyFill="1" applyAlignment="1">
      <alignment horizontal="right"/>
    </xf>
    <xf numFmtId="164" fontId="3" fillId="11" borderId="0" xfId="1" applyNumberFormat="1" applyFont="1" applyFill="1" applyBorder="1"/>
    <xf numFmtId="164" fontId="2" fillId="11" borderId="0" xfId="1" applyNumberFormat="1" applyFont="1" applyFill="1" applyBorder="1"/>
    <xf numFmtId="164" fontId="6" fillId="11" borderId="0" xfId="1" applyNumberFormat="1" applyFont="1" applyFill="1" applyBorder="1"/>
    <xf numFmtId="164" fontId="9" fillId="11" borderId="0" xfId="1" applyNumberFormat="1" applyFont="1" applyFill="1" applyBorder="1" applyAlignment="1">
      <alignment horizontal="center"/>
    </xf>
    <xf numFmtId="164" fontId="3" fillId="11" borderId="4" xfId="1" applyNumberFormat="1" applyFont="1" applyFill="1" applyBorder="1" applyAlignment="1">
      <alignment horizontal="center" wrapText="1"/>
    </xf>
    <xf numFmtId="164" fontId="13" fillId="11" borderId="0" xfId="1" applyNumberFormat="1" applyFont="1" applyFill="1" applyBorder="1"/>
    <xf numFmtId="164" fontId="3" fillId="4" borderId="0" xfId="2" applyNumberFormat="1" applyFont="1" applyFill="1" applyBorder="1" applyAlignment="1">
      <alignment horizontal="right"/>
    </xf>
    <xf numFmtId="0" fontId="15" fillId="0" borderId="0" xfId="0" applyFont="1"/>
    <xf numFmtId="10" fontId="3" fillId="4" borderId="0" xfId="2" applyNumberFormat="1" applyFont="1" applyFill="1" applyBorder="1" applyAlignment="1">
      <alignment horizontal="left"/>
    </xf>
    <xf numFmtId="10" fontId="11" fillId="7" borderId="2" xfId="2" applyNumberFormat="1" applyFont="1" applyFill="1" applyBorder="1" applyAlignment="1">
      <alignment horizontal="center"/>
    </xf>
    <xf numFmtId="164" fontId="11" fillId="7" borderId="11" xfId="1" applyNumberFormat="1" applyFont="1" applyFill="1" applyBorder="1" applyAlignment="1">
      <alignment horizontal="center"/>
    </xf>
    <xf numFmtId="164" fontId="11" fillId="7" borderId="3" xfId="1" applyNumberFormat="1" applyFont="1" applyFill="1" applyBorder="1" applyAlignment="1">
      <alignment horizontal="center"/>
    </xf>
    <xf numFmtId="164" fontId="11" fillId="7" borderId="12" xfId="1" applyNumberFormat="1" applyFont="1" applyFill="1" applyBorder="1" applyAlignment="1">
      <alignment horizontal="center"/>
    </xf>
    <xf numFmtId="164" fontId="2" fillId="4" borderId="2" xfId="1" applyNumberFormat="1" applyFont="1" applyFill="1" applyBorder="1" applyAlignment="1">
      <alignment horizontal="right"/>
    </xf>
    <xf numFmtId="164" fontId="11" fillId="7" borderId="11" xfId="1" applyNumberFormat="1" applyFont="1" applyFill="1" applyBorder="1" applyAlignment="1">
      <alignment horizontal="center"/>
    </xf>
    <xf numFmtId="164" fontId="11" fillId="7" borderId="3" xfId="1" applyNumberFormat="1" applyFont="1" applyFill="1" applyBorder="1" applyAlignment="1">
      <alignment horizontal="center"/>
    </xf>
    <xf numFmtId="164" fontId="11" fillId="7" borderId="12" xfId="1" applyNumberFormat="1" applyFont="1" applyFill="1" applyBorder="1" applyAlignment="1">
      <alignment horizontal="center"/>
    </xf>
    <xf numFmtId="164" fontId="2" fillId="0" borderId="8" xfId="1" applyNumberFormat="1" applyFont="1" applyFill="1" applyBorder="1"/>
    <xf numFmtId="10" fontId="2" fillId="0" borderId="1" xfId="2" applyNumberFormat="1" applyFont="1" applyFill="1" applyBorder="1"/>
    <xf numFmtId="10" fontId="2" fillId="0" borderId="7" xfId="2" applyNumberFormat="1" applyFont="1" applyFill="1" applyBorder="1"/>
    <xf numFmtId="10" fontId="2" fillId="0" borderId="8" xfId="2" applyNumberFormat="1" applyFont="1" applyFill="1" applyBorder="1"/>
    <xf numFmtId="10" fontId="2" fillId="0" borderId="0" xfId="0" applyNumberFormat="1" applyFont="1" applyFill="1"/>
    <xf numFmtId="10" fontId="2" fillId="0" borderId="2" xfId="0" applyNumberFormat="1" applyFont="1" applyFill="1" applyBorder="1"/>
    <xf numFmtId="164" fontId="2" fillId="0" borderId="0" xfId="0" applyNumberFormat="1" applyFont="1"/>
    <xf numFmtId="164" fontId="2" fillId="0" borderId="8" xfId="1" applyNumberFormat="1" applyFont="1" applyBorder="1"/>
    <xf numFmtId="0" fontId="16" fillId="0" borderId="0" xfId="0" applyFont="1"/>
    <xf numFmtId="164" fontId="2" fillId="0" borderId="2" xfId="0" applyNumberFormat="1" applyFont="1" applyFill="1" applyBorder="1"/>
    <xf numFmtId="10" fontId="2" fillId="0" borderId="0" xfId="1" applyNumberFormat="1" applyFont="1"/>
    <xf numFmtId="10" fontId="3" fillId="7" borderId="2" xfId="0" applyNumberFormat="1" applyFont="1" applyFill="1" applyBorder="1"/>
    <xf numFmtId="10" fontId="2" fillId="0" borderId="2" xfId="2" applyNumberFormat="1" applyFont="1" applyFill="1" applyBorder="1"/>
    <xf numFmtId="10" fontId="2" fillId="0" borderId="0" xfId="2" applyNumberFormat="1" applyFont="1"/>
    <xf numFmtId="10" fontId="3" fillId="4" borderId="2" xfId="2" applyNumberFormat="1" applyFont="1" applyFill="1" applyBorder="1" applyAlignment="1">
      <alignment horizontal="right"/>
    </xf>
    <xf numFmtId="10" fontId="3" fillId="4" borderId="5" xfId="2" applyNumberFormat="1" applyFont="1" applyFill="1" applyBorder="1" applyAlignment="1">
      <alignment horizontal="center" wrapText="1"/>
    </xf>
    <xf numFmtId="164" fontId="3" fillId="0" borderId="2" xfId="1" applyNumberFormat="1" applyFont="1" applyFill="1" applyBorder="1"/>
    <xf numFmtId="10" fontId="3" fillId="4" borderId="2" xfId="0" applyNumberFormat="1" applyFont="1" applyFill="1" applyBorder="1"/>
    <xf numFmtId="0" fontId="9" fillId="8" borderId="3" xfId="0" applyFont="1" applyFill="1" applyBorder="1" applyAlignment="1">
      <alignment horizontal="center"/>
    </xf>
    <xf numFmtId="164" fontId="3" fillId="4" borderId="2" xfId="0" applyNumberFormat="1" applyFont="1" applyFill="1" applyBorder="1" applyAlignment="1">
      <alignment horizontal="right"/>
    </xf>
    <xf numFmtId="0" fontId="19" fillId="0" borderId="0" xfId="5" applyFont="1"/>
    <xf numFmtId="0" fontId="3" fillId="2" borderId="0" xfId="0" applyFont="1" applyFill="1" applyBorder="1" applyAlignment="1">
      <alignment horizontal="right" vertical="center"/>
    </xf>
    <xf numFmtId="0" fontId="18" fillId="0" borderId="0" xfId="0" applyFont="1"/>
    <xf numFmtId="0" fontId="2" fillId="0" borderId="21" xfId="0" applyFont="1" applyFill="1" applyBorder="1"/>
    <xf numFmtId="0" fontId="2" fillId="0" borderId="4" xfId="0" applyFont="1" applyFill="1" applyBorder="1"/>
    <xf numFmtId="0" fontId="2" fillId="0" borderId="4" xfId="0" applyFont="1" applyBorder="1"/>
    <xf numFmtId="10" fontId="2" fillId="2" borderId="4" xfId="2" applyNumberFormat="1" applyFont="1" applyFill="1" applyBorder="1"/>
    <xf numFmtId="10" fontId="2" fillId="2" borderId="22" xfId="2" applyNumberFormat="1" applyFont="1" applyFill="1" applyBorder="1"/>
    <xf numFmtId="10" fontId="15" fillId="0" borderId="0" xfId="0" applyNumberFormat="1" applyFont="1"/>
    <xf numFmtId="0" fontId="2" fillId="0" borderId="23" xfId="0" applyFont="1" applyBorder="1"/>
    <xf numFmtId="10" fontId="2" fillId="2" borderId="24" xfId="2" applyNumberFormat="1" applyFont="1" applyFill="1" applyBorder="1"/>
    <xf numFmtId="0" fontId="15" fillId="0" borderId="23" xfId="0" applyFont="1" applyBorder="1"/>
    <xf numFmtId="0" fontId="15" fillId="0" borderId="0" xfId="0" applyFont="1" applyBorder="1"/>
    <xf numFmtId="0" fontId="2" fillId="0" borderId="23" xfId="0" applyFont="1" applyFill="1" applyBorder="1"/>
    <xf numFmtId="165" fontId="2" fillId="11" borderId="24" xfId="2" applyNumberFormat="1" applyFont="1" applyFill="1" applyBorder="1"/>
    <xf numFmtId="164" fontId="2" fillId="2" borderId="24" xfId="1" applyNumberFormat="1" applyFont="1" applyFill="1" applyBorder="1"/>
    <xf numFmtId="10" fontId="2" fillId="11" borderId="24" xfId="2" applyNumberFormat="1" applyFont="1" applyFill="1" applyBorder="1"/>
    <xf numFmtId="0" fontId="9" fillId="8" borderId="25" xfId="0" applyFont="1" applyFill="1" applyBorder="1"/>
    <xf numFmtId="0" fontId="9" fillId="8" borderId="26" xfId="0" applyFont="1" applyFill="1" applyBorder="1"/>
    <xf numFmtId="165" fontId="9" fillId="8" borderId="26" xfId="2" applyNumberFormat="1" applyFont="1" applyFill="1" applyBorder="1"/>
    <xf numFmtId="10" fontId="9" fillId="8" borderId="26" xfId="2" applyNumberFormat="1" applyFont="1" applyFill="1" applyBorder="1"/>
    <xf numFmtId="10" fontId="9" fillId="8" borderId="27" xfId="2" applyNumberFormat="1" applyFont="1" applyFill="1" applyBorder="1"/>
    <xf numFmtId="0" fontId="15" fillId="0" borderId="24" xfId="0" applyFont="1" applyFill="1" applyBorder="1" applyAlignment="1">
      <alignment textRotation="90"/>
    </xf>
    <xf numFmtId="0" fontId="15" fillId="0" borderId="0" xfId="0" applyFont="1" applyFill="1"/>
    <xf numFmtId="0" fontId="15" fillId="11" borderId="0" xfId="0" applyFont="1" applyFill="1"/>
    <xf numFmtId="164" fontId="15" fillId="0" borderId="0" xfId="1" applyNumberFormat="1" applyFont="1"/>
    <xf numFmtId="164" fontId="15" fillId="0" borderId="0" xfId="1" applyNumberFormat="1" applyFont="1" applyBorder="1"/>
    <xf numFmtId="164" fontId="15" fillId="0" borderId="24" xfId="1" applyNumberFormat="1" applyFont="1" applyBorder="1"/>
    <xf numFmtId="10" fontId="15" fillId="0" borderId="0" xfId="2" applyNumberFormat="1" applyFont="1" applyBorder="1"/>
    <xf numFmtId="10" fontId="15" fillId="0" borderId="24" xfId="2" applyNumberFormat="1" applyFont="1" applyBorder="1"/>
    <xf numFmtId="10" fontId="15" fillId="0" borderId="0" xfId="0" applyNumberFormat="1" applyFont="1" applyBorder="1"/>
    <xf numFmtId="10" fontId="15" fillId="0" borderId="24" xfId="0" applyNumberFormat="1" applyFont="1" applyBorder="1"/>
    <xf numFmtId="0" fontId="15" fillId="0" borderId="24" xfId="0" applyFont="1" applyBorder="1"/>
    <xf numFmtId="0" fontId="15" fillId="0" borderId="3" xfId="0" applyFont="1" applyBorder="1"/>
    <xf numFmtId="0" fontId="15" fillId="0" borderId="28" xfId="0" applyFont="1" applyBorder="1"/>
    <xf numFmtId="10" fontId="15" fillId="0" borderId="3" xfId="2" applyNumberFormat="1" applyFont="1" applyBorder="1"/>
    <xf numFmtId="10" fontId="15" fillId="0" borderId="29" xfId="2" applyNumberFormat="1" applyFont="1" applyBorder="1"/>
    <xf numFmtId="0" fontId="2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23" fillId="0" borderId="0" xfId="0" applyFont="1" applyFill="1" applyBorder="1"/>
    <xf numFmtId="3" fontId="2" fillId="0" borderId="0" xfId="0" applyNumberFormat="1" applyFont="1" applyFill="1" applyBorder="1"/>
    <xf numFmtId="164" fontId="2" fillId="0" borderId="8" xfId="0" applyNumberFormat="1" applyFont="1" applyBorder="1"/>
    <xf numFmtId="9" fontId="2" fillId="4" borderId="2" xfId="0" applyNumberFormat="1" applyFont="1" applyFill="1" applyBorder="1" applyAlignment="1">
      <alignment horizontal="left"/>
    </xf>
    <xf numFmtId="0" fontId="24" fillId="0" borderId="0" xfId="0" applyFont="1"/>
    <xf numFmtId="0" fontId="15" fillId="0" borderId="14" xfId="0" applyFont="1" applyBorder="1"/>
    <xf numFmtId="0" fontId="15" fillId="0" borderId="13" xfId="0" applyFont="1" applyBorder="1"/>
    <xf numFmtId="0" fontId="15" fillId="0" borderId="18" xfId="0" applyFont="1" applyBorder="1"/>
    <xf numFmtId="0" fontId="15" fillId="0" borderId="15" xfId="0" applyFont="1" applyBorder="1"/>
    <xf numFmtId="164" fontId="15" fillId="0" borderId="19" xfId="1" applyNumberFormat="1" applyFont="1" applyBorder="1"/>
    <xf numFmtId="0" fontId="15" fillId="0" borderId="16" xfId="0" applyFont="1" applyBorder="1"/>
    <xf numFmtId="164" fontId="15" fillId="0" borderId="17" xfId="1" applyNumberFormat="1" applyFont="1" applyBorder="1"/>
    <xf numFmtId="164" fontId="15" fillId="0" borderId="20" xfId="1" applyNumberFormat="1" applyFont="1" applyBorder="1"/>
    <xf numFmtId="0" fontId="15" fillId="14" borderId="30" xfId="0" applyFont="1" applyFill="1" applyBorder="1"/>
    <xf numFmtId="0" fontId="15" fillId="14" borderId="31" xfId="0" applyFont="1" applyFill="1" applyBorder="1"/>
    <xf numFmtId="0" fontId="15" fillId="14" borderId="40" xfId="0" applyFont="1" applyFill="1" applyBorder="1"/>
    <xf numFmtId="0" fontId="15" fillId="14" borderId="33" xfId="0" applyFont="1" applyFill="1" applyBorder="1"/>
    <xf numFmtId="0" fontId="15" fillId="14" borderId="3" xfId="0" applyFont="1" applyFill="1" applyBorder="1"/>
    <xf numFmtId="0" fontId="15" fillId="14" borderId="29" xfId="0" applyFont="1" applyFill="1" applyBorder="1"/>
    <xf numFmtId="0" fontId="15" fillId="14" borderId="34" xfId="0" applyFont="1" applyFill="1" applyBorder="1"/>
    <xf numFmtId="0" fontId="15" fillId="0" borderId="35" xfId="0" applyFont="1" applyBorder="1"/>
    <xf numFmtId="1" fontId="15" fillId="0" borderId="0" xfId="0" applyNumberFormat="1" applyFont="1" applyBorder="1"/>
    <xf numFmtId="1" fontId="15" fillId="0" borderId="24" xfId="0" applyNumberFormat="1" applyFont="1" applyBorder="1"/>
    <xf numFmtId="1" fontId="15" fillId="0" borderId="36" xfId="0" applyNumberFormat="1" applyFont="1" applyBorder="1"/>
    <xf numFmtId="0" fontId="15" fillId="0" borderId="24" xfId="0" quotePrefix="1" applyFont="1" applyBorder="1"/>
    <xf numFmtId="0" fontId="15" fillId="0" borderId="33" xfId="0" applyFont="1" applyBorder="1"/>
    <xf numFmtId="0" fontId="15" fillId="0" borderId="29" xfId="0" applyFont="1" applyBorder="1"/>
    <xf numFmtId="1" fontId="15" fillId="0" borderId="3" xfId="0" applyNumberFormat="1" applyFont="1" applyBorder="1"/>
    <xf numFmtId="1" fontId="15" fillId="0" borderId="29" xfId="0" applyNumberFormat="1" applyFont="1" applyBorder="1"/>
    <xf numFmtId="1" fontId="15" fillId="0" borderId="34" xfId="0" applyNumberFormat="1" applyFont="1" applyBorder="1"/>
    <xf numFmtId="0" fontId="15" fillId="0" borderId="42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43" xfId="0" applyFont="1" applyBorder="1"/>
    <xf numFmtId="0" fontId="15" fillId="14" borderId="0" xfId="0" applyFont="1" applyFill="1" applyBorder="1"/>
    <xf numFmtId="0" fontId="15" fillId="14" borderId="24" xfId="0" applyFont="1" applyFill="1" applyBorder="1"/>
    <xf numFmtId="10" fontId="15" fillId="0" borderId="22" xfId="0" applyNumberFormat="1" applyFont="1" applyBorder="1"/>
    <xf numFmtId="10" fontId="15" fillId="0" borderId="44" xfId="0" applyNumberFormat="1" applyFont="1" applyBorder="1"/>
    <xf numFmtId="10" fontId="15" fillId="0" borderId="36" xfId="0" applyNumberFormat="1" applyFont="1" applyBorder="1"/>
    <xf numFmtId="164" fontId="15" fillId="0" borderId="3" xfId="1" applyNumberFormat="1" applyFont="1" applyBorder="1"/>
    <xf numFmtId="164" fontId="15" fillId="0" borderId="3" xfId="0" applyNumberFormat="1" applyFont="1" applyBorder="1"/>
    <xf numFmtId="164" fontId="15" fillId="0" borderId="36" xfId="1" applyNumberFormat="1" applyFont="1" applyBorder="1"/>
    <xf numFmtId="10" fontId="15" fillId="0" borderId="26" xfId="2" applyNumberFormat="1" applyFont="1" applyBorder="1"/>
    <xf numFmtId="10" fontId="15" fillId="0" borderId="26" xfId="0" applyNumberFormat="1" applyFont="1" applyBorder="1"/>
    <xf numFmtId="0" fontId="15" fillId="0" borderId="37" xfId="0" applyFont="1" applyBorder="1"/>
    <xf numFmtId="0" fontId="15" fillId="0" borderId="38" xfId="0" applyFont="1" applyBorder="1"/>
    <xf numFmtId="0" fontId="15" fillId="0" borderId="45" xfId="0" applyFont="1" applyBorder="1"/>
    <xf numFmtId="0" fontId="15" fillId="14" borderId="38" xfId="0" applyFont="1" applyFill="1" applyBorder="1"/>
    <xf numFmtId="0" fontId="15" fillId="14" borderId="45" xfId="0" applyFont="1" applyFill="1" applyBorder="1"/>
    <xf numFmtId="164" fontId="15" fillId="0" borderId="38" xfId="1" applyNumberFormat="1" applyFont="1" applyBorder="1"/>
    <xf numFmtId="164" fontId="15" fillId="0" borderId="45" xfId="1" applyNumberFormat="1" applyFont="1" applyBorder="1"/>
    <xf numFmtId="164" fontId="15" fillId="0" borderId="38" xfId="0" applyNumberFormat="1" applyFont="1" applyBorder="1"/>
    <xf numFmtId="164" fontId="15" fillId="0" borderId="39" xfId="1" applyNumberFormat="1" applyFont="1" applyBorder="1"/>
    <xf numFmtId="0" fontId="15" fillId="0" borderId="0" xfId="0" applyFont="1" applyAlignment="1">
      <alignment vertical="center"/>
    </xf>
    <xf numFmtId="0" fontId="19" fillId="0" borderId="0" xfId="0" applyFont="1"/>
    <xf numFmtId="165" fontId="15" fillId="0" borderId="0" xfId="0" applyNumberFormat="1" applyFont="1"/>
    <xf numFmtId="0" fontId="15" fillId="0" borderId="0" xfId="0" applyFont="1" applyAlignment="1">
      <alignment wrapText="1"/>
    </xf>
    <xf numFmtId="0" fontId="15" fillId="0" borderId="31" xfId="0" applyFont="1" applyBorder="1" applyAlignment="1">
      <alignment wrapText="1"/>
    </xf>
    <xf numFmtId="0" fontId="15" fillId="0" borderId="32" xfId="0" applyFont="1" applyBorder="1" applyAlignment="1">
      <alignment horizontal="center" wrapText="1"/>
    </xf>
    <xf numFmtId="165" fontId="15" fillId="0" borderId="33" xfId="0" applyNumberFormat="1" applyFont="1" applyBorder="1" applyAlignment="1">
      <alignment horizontal="center" wrapText="1"/>
    </xf>
    <xf numFmtId="165" fontId="15" fillId="0" borderId="3" xfId="0" applyNumberFormat="1" applyFont="1" applyBorder="1" applyAlignment="1">
      <alignment horizontal="center" wrapText="1"/>
    </xf>
    <xf numFmtId="0" fontId="15" fillId="0" borderId="3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165" fontId="15" fillId="0" borderId="35" xfId="0" applyNumberFormat="1" applyFont="1" applyBorder="1"/>
    <xf numFmtId="165" fontId="15" fillId="0" borderId="0" xfId="0" applyNumberFormat="1" applyFont="1" applyBorder="1"/>
    <xf numFmtId="1" fontId="15" fillId="0" borderId="0" xfId="1" applyNumberFormat="1" applyFont="1" applyBorder="1"/>
    <xf numFmtId="1" fontId="15" fillId="0" borderId="36" xfId="1" applyNumberFormat="1" applyFont="1" applyBorder="1"/>
    <xf numFmtId="165" fontId="15" fillId="12" borderId="35" xfId="0" applyNumberFormat="1" applyFont="1" applyFill="1" applyBorder="1"/>
    <xf numFmtId="165" fontId="15" fillId="12" borderId="0" xfId="0" applyNumberFormat="1" applyFont="1" applyFill="1" applyBorder="1"/>
    <xf numFmtId="1" fontId="15" fillId="12" borderId="0" xfId="1" applyNumberFormat="1" applyFont="1" applyFill="1" applyBorder="1"/>
    <xf numFmtId="1" fontId="15" fillId="12" borderId="36" xfId="1" applyNumberFormat="1" applyFont="1" applyFill="1" applyBorder="1"/>
    <xf numFmtId="165" fontId="15" fillId="13" borderId="35" xfId="0" applyNumberFormat="1" applyFont="1" applyFill="1" applyBorder="1"/>
    <xf numFmtId="165" fontId="15" fillId="13" borderId="0" xfId="0" applyNumberFormat="1" applyFont="1" applyFill="1" applyBorder="1"/>
    <xf numFmtId="1" fontId="15" fillId="13" borderId="0" xfId="1" applyNumberFormat="1" applyFont="1" applyFill="1" applyBorder="1"/>
    <xf numFmtId="1" fontId="15" fillId="13" borderId="36" xfId="1" applyNumberFormat="1" applyFont="1" applyFill="1" applyBorder="1"/>
    <xf numFmtId="0" fontId="15" fillId="0" borderId="36" xfId="0" applyFont="1" applyBorder="1"/>
    <xf numFmtId="165" fontId="15" fillId="0" borderId="37" xfId="0" applyNumberFormat="1" applyFont="1" applyBorder="1"/>
    <xf numFmtId="165" fontId="15" fillId="0" borderId="38" xfId="0" applyNumberFormat="1" applyFont="1" applyBorder="1"/>
    <xf numFmtId="1" fontId="15" fillId="0" borderId="38" xfId="0" applyNumberFormat="1" applyFont="1" applyBorder="1"/>
    <xf numFmtId="1" fontId="15" fillId="0" borderId="39" xfId="0" applyNumberFormat="1" applyFont="1" applyBorder="1"/>
    <xf numFmtId="0" fontId="18" fillId="11" borderId="0" xfId="4" applyFont="1" applyFill="1"/>
    <xf numFmtId="0" fontId="15" fillId="11" borderId="0" xfId="5" applyFont="1" applyFill="1"/>
    <xf numFmtId="0" fontId="3" fillId="11" borderId="0" xfId="6" applyFont="1" applyFill="1"/>
    <xf numFmtId="0" fontId="19" fillId="11" borderId="0" xfId="5" applyFont="1" applyFill="1"/>
    <xf numFmtId="0" fontId="15" fillId="11" borderId="0" xfId="4" applyFont="1" applyFill="1"/>
    <xf numFmtId="0" fontId="20" fillId="11" borderId="0" xfId="5" applyFont="1" applyFill="1"/>
    <xf numFmtId="0" fontId="19" fillId="11" borderId="0" xfId="5" applyFont="1" applyFill="1" applyAlignment="1">
      <alignment horizontal="left"/>
    </xf>
    <xf numFmtId="0" fontId="15" fillId="11" borderId="0" xfId="5" applyFont="1" applyFill="1" applyAlignment="1">
      <alignment horizontal="left"/>
    </xf>
    <xf numFmtId="0" fontId="21" fillId="11" borderId="0" xfId="5" applyFont="1" applyFill="1" applyAlignment="1">
      <alignment horizontal="left"/>
    </xf>
    <xf numFmtId="0" fontId="21" fillId="11" borderId="0" xfId="5" applyFont="1" applyFill="1"/>
    <xf numFmtId="0" fontId="2" fillId="11" borderId="0" xfId="5" applyFont="1" applyFill="1" applyAlignment="1">
      <alignment horizontal="left"/>
    </xf>
    <xf numFmtId="0" fontId="2" fillId="11" borderId="0" xfId="5" applyFont="1" applyFill="1"/>
    <xf numFmtId="0" fontId="22" fillId="11" borderId="0" xfId="5" applyFont="1" applyFill="1" applyAlignment="1">
      <alignment horizontal="center"/>
    </xf>
    <xf numFmtId="0" fontId="22" fillId="11" borderId="0" xfId="5" applyFont="1" applyFill="1"/>
    <xf numFmtId="0" fontId="21" fillId="11" borderId="0" xfId="5" quotePrefix="1" applyFont="1" applyFill="1"/>
    <xf numFmtId="0" fontId="9" fillId="11" borderId="0" xfId="5" applyFont="1" applyFill="1"/>
    <xf numFmtId="0" fontId="18" fillId="0" borderId="0" xfId="4" applyFont="1" applyFill="1"/>
    <xf numFmtId="0" fontId="19" fillId="0" borderId="0" xfId="0" applyFont="1" applyFill="1"/>
    <xf numFmtId="0" fontId="20" fillId="11" borderId="0" xfId="5" applyFont="1" applyFill="1" applyAlignment="1">
      <alignment horizontal="left"/>
    </xf>
    <xf numFmtId="0" fontId="15" fillId="11" borderId="0" xfId="4" applyFont="1" applyFill="1" applyAlignment="1">
      <alignment horizontal="left"/>
    </xf>
    <xf numFmtId="0" fontId="9" fillId="11" borderId="0" xfId="5" applyFont="1" applyFill="1" applyAlignment="1">
      <alignment horizontal="left"/>
    </xf>
    <xf numFmtId="2" fontId="15" fillId="11" borderId="0" xfId="5" applyNumberFormat="1" applyFont="1" applyFill="1" applyAlignment="1">
      <alignment horizontal="left"/>
    </xf>
    <xf numFmtId="1" fontId="15" fillId="11" borderId="0" xfId="5" applyNumberFormat="1" applyFont="1" applyFill="1" applyAlignment="1">
      <alignment horizontal="left"/>
    </xf>
    <xf numFmtId="1" fontId="21" fillId="11" borderId="0" xfId="5" applyNumberFormat="1" applyFont="1" applyFill="1" applyAlignment="1">
      <alignment horizontal="left"/>
    </xf>
    <xf numFmtId="0" fontId="10" fillId="15" borderId="0" xfId="5" applyFont="1" applyFill="1"/>
    <xf numFmtId="0" fontId="10" fillId="15" borderId="0" xfId="4" applyFont="1" applyFill="1"/>
    <xf numFmtId="0" fontId="10" fillId="15" borderId="0" xfId="6" applyFont="1" applyFill="1" applyAlignment="1">
      <alignment horizontal="left"/>
    </xf>
    <xf numFmtId="0" fontId="18" fillId="16" borderId="0" xfId="4" applyFont="1" applyFill="1" applyAlignment="1"/>
    <xf numFmtId="0" fontId="20" fillId="16" borderId="0" xfId="0" applyFont="1" applyFill="1" applyBorder="1" applyAlignment="1"/>
    <xf numFmtId="0" fontId="15" fillId="16" borderId="0" xfId="0" applyFont="1" applyFill="1" applyAlignment="1"/>
    <xf numFmtId="0" fontId="15" fillId="16" borderId="0" xfId="0" applyFont="1" applyFill="1"/>
    <xf numFmtId="0" fontId="10" fillId="15" borderId="0" xfId="5" applyFont="1" applyFill="1" applyAlignment="1">
      <alignment horizontal="right"/>
    </xf>
    <xf numFmtId="0" fontId="9" fillId="10" borderId="0" xfId="5" applyFont="1" applyFill="1" applyAlignment="1">
      <alignment horizontal="left"/>
    </xf>
    <xf numFmtId="0" fontId="9" fillId="10" borderId="0" xfId="5" applyFont="1" applyFill="1"/>
    <xf numFmtId="0" fontId="19" fillId="10" borderId="0" xfId="5" applyFont="1" applyFill="1"/>
    <xf numFmtId="0" fontId="8" fillId="11" borderId="0" xfId="5" applyFont="1" applyFill="1"/>
    <xf numFmtId="0" fontId="25" fillId="11" borderId="0" xfId="5" applyFont="1" applyFill="1"/>
    <xf numFmtId="0" fontId="26" fillId="11" borderId="0" xfId="5" applyFont="1" applyFill="1"/>
    <xf numFmtId="0" fontId="26" fillId="11" borderId="0" xfId="5" quotePrefix="1" applyFont="1" applyFill="1"/>
    <xf numFmtId="0" fontId="25" fillId="11" borderId="0" xfId="5" applyFont="1" applyFill="1" applyAlignment="1">
      <alignment horizontal="left"/>
    </xf>
    <xf numFmtId="0" fontId="26" fillId="11" borderId="0" xfId="5" applyFont="1" applyFill="1" applyAlignment="1">
      <alignment horizontal="center"/>
    </xf>
    <xf numFmtId="1" fontId="9" fillId="8" borderId="0" xfId="5" quotePrefix="1" applyNumberFormat="1" applyFont="1" applyFill="1" applyAlignment="1">
      <alignment horizontal="left"/>
    </xf>
    <xf numFmtId="16" fontId="9" fillId="8" borderId="0" xfId="5" quotePrefix="1" applyNumberFormat="1" applyFont="1" applyFill="1" applyAlignment="1">
      <alignment horizontal="left"/>
    </xf>
    <xf numFmtId="0" fontId="15" fillId="8" borderId="0" xfId="5" applyFont="1" applyFill="1"/>
    <xf numFmtId="0" fontId="27" fillId="11" borderId="0" xfId="5" applyFont="1" applyFill="1"/>
    <xf numFmtId="0" fontId="27" fillId="11" borderId="0" xfId="5" applyFont="1" applyFill="1" applyAlignment="1">
      <alignment horizontal="left"/>
    </xf>
    <xf numFmtId="0" fontId="28" fillId="11" borderId="0" xfId="5" applyFont="1" applyFill="1"/>
    <xf numFmtId="0" fontId="10" fillId="8" borderId="0" xfId="0" applyFont="1" applyFill="1" applyAlignment="1">
      <alignment horizontal="right"/>
    </xf>
    <xf numFmtId="0" fontId="10" fillId="10" borderId="0" xfId="0" applyFont="1" applyFill="1" applyAlignment="1">
      <alignment horizontal="right"/>
    </xf>
    <xf numFmtId="0" fontId="20" fillId="0" borderId="0" xfId="0" applyFont="1"/>
    <xf numFmtId="0" fontId="20" fillId="0" borderId="0" xfId="0" applyFont="1" applyFill="1"/>
    <xf numFmtId="0" fontId="20" fillId="0" borderId="0" xfId="4" applyFont="1"/>
    <xf numFmtId="0" fontId="20" fillId="0" borderId="0" xfId="0" applyFont="1" applyAlignment="1">
      <alignment vertical="top"/>
    </xf>
    <xf numFmtId="0" fontId="20" fillId="0" borderId="0" xfId="5" applyFont="1"/>
    <xf numFmtId="0" fontId="9" fillId="17" borderId="0" xfId="5" applyFont="1" applyFill="1" applyAlignment="1">
      <alignment horizontal="left"/>
    </xf>
    <xf numFmtId="0" fontId="9" fillId="17" borderId="0" xfId="5" applyFont="1" applyFill="1"/>
    <xf numFmtId="0" fontId="10" fillId="17" borderId="0" xfId="0" applyFont="1" applyFill="1" applyAlignment="1">
      <alignment horizontal="right"/>
    </xf>
    <xf numFmtId="0" fontId="29" fillId="11" borderId="0" xfId="5" applyFont="1" applyFill="1"/>
    <xf numFmtId="0" fontId="30" fillId="11" borderId="0" xfId="5" applyFont="1" applyFill="1" applyAlignment="1">
      <alignment horizontal="left"/>
    </xf>
    <xf numFmtId="0" fontId="31" fillId="11" borderId="0" xfId="5" applyFont="1" applyFill="1" applyAlignment="1">
      <alignment horizontal="center"/>
    </xf>
    <xf numFmtId="0" fontId="31" fillId="11" borderId="0" xfId="5" quotePrefix="1" applyFont="1" applyFill="1"/>
    <xf numFmtId="0" fontId="32" fillId="11" borderId="0" xfId="5" applyFont="1" applyFill="1"/>
    <xf numFmtId="0" fontId="11" fillId="7" borderId="11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164" fontId="11" fillId="7" borderId="11" xfId="1" applyNumberFormat="1" applyFont="1" applyFill="1" applyBorder="1" applyAlignment="1">
      <alignment horizontal="center"/>
    </xf>
    <xf numFmtId="164" fontId="11" fillId="7" borderId="3" xfId="1" applyNumberFormat="1" applyFont="1" applyFill="1" applyBorder="1" applyAlignment="1">
      <alignment horizontal="center"/>
    </xf>
    <xf numFmtId="164" fontId="11" fillId="7" borderId="12" xfId="1" applyNumberFormat="1" applyFont="1" applyFill="1" applyBorder="1" applyAlignment="1">
      <alignment horizontal="center"/>
    </xf>
    <xf numFmtId="0" fontId="9" fillId="8" borderId="3" xfId="0" applyFont="1" applyFill="1" applyBorder="1" applyAlignment="1">
      <alignment horizontal="center"/>
    </xf>
    <xf numFmtId="9" fontId="10" fillId="10" borderId="3" xfId="0" applyNumberFormat="1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/>
    </xf>
    <xf numFmtId="0" fontId="9" fillId="9" borderId="9" xfId="0" applyFont="1" applyFill="1" applyBorder="1" applyAlignment="1">
      <alignment horizontal="center"/>
    </xf>
    <xf numFmtId="164" fontId="3" fillId="7" borderId="1" xfId="2" applyNumberFormat="1" applyFont="1" applyFill="1" applyBorder="1" applyAlignment="1">
      <alignment horizontal="center" vertical="center"/>
    </xf>
    <xf numFmtId="164" fontId="3" fillId="7" borderId="0" xfId="2" applyNumberFormat="1" applyFont="1" applyFill="1" applyBorder="1" applyAlignment="1">
      <alignment horizontal="center" vertical="center"/>
    </xf>
    <xf numFmtId="10" fontId="3" fillId="7" borderId="1" xfId="2" applyNumberFormat="1" applyFont="1" applyFill="1" applyBorder="1" applyAlignment="1">
      <alignment horizontal="center" vertical="center"/>
    </xf>
    <xf numFmtId="10" fontId="3" fillId="7" borderId="0" xfId="2" applyNumberFormat="1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wrapText="1"/>
    </xf>
    <xf numFmtId="0" fontId="15" fillId="0" borderId="31" xfId="0" applyFont="1" applyBorder="1" applyAlignment="1">
      <alignment horizontal="center" wrapText="1"/>
    </xf>
    <xf numFmtId="0" fontId="15" fillId="14" borderId="31" xfId="0" applyFont="1" applyFill="1" applyBorder="1" applyAlignment="1">
      <alignment horizontal="center"/>
    </xf>
    <xf numFmtId="0" fontId="15" fillId="14" borderId="32" xfId="0" applyFont="1" applyFill="1" applyBorder="1" applyAlignment="1">
      <alignment horizontal="center"/>
    </xf>
    <xf numFmtId="0" fontId="15" fillId="14" borderId="41" xfId="0" applyFont="1" applyFill="1" applyBorder="1" applyAlignment="1">
      <alignment horizontal="center"/>
    </xf>
    <xf numFmtId="0" fontId="15" fillId="14" borderId="40" xfId="0" applyFont="1" applyFill="1" applyBorder="1" applyAlignment="1">
      <alignment horizontal="center"/>
    </xf>
    <xf numFmtId="0" fontId="15" fillId="0" borderId="36" xfId="0" applyFont="1" applyBorder="1" applyAlignment="1">
      <alignment horizontal="right" textRotation="90"/>
    </xf>
    <xf numFmtId="0" fontId="15" fillId="0" borderId="36" xfId="0" applyFont="1" applyBorder="1" applyAlignment="1">
      <alignment horizontal="right" vertical="top" textRotation="90"/>
    </xf>
    <xf numFmtId="0" fontId="15" fillId="0" borderId="0" xfId="0" applyFont="1" applyAlignment="1">
      <alignment horizontal="center" vertical="center" textRotation="90"/>
    </xf>
  </cellXfs>
  <cellStyles count="7">
    <cellStyle name="Comma" xfId="1" builtinId="3"/>
    <cellStyle name="Normal" xfId="0" builtinId="0"/>
    <cellStyle name="Normal 4 2" xfId="4"/>
    <cellStyle name="Normal 5" xfId="5"/>
    <cellStyle name="Normal 5 3" xfId="6"/>
    <cellStyle name="Percent" xfId="2" builtinId="5"/>
    <cellStyle name="Percent 3" xfId="3"/>
  </cellStyles>
  <dxfs count="1"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27"/>
  <sheetViews>
    <sheetView tabSelected="1" zoomScaleNormal="100" workbookViewId="0"/>
  </sheetViews>
  <sheetFormatPr defaultRowHeight="12.75" x14ac:dyDescent="0.2"/>
  <cols>
    <col min="1" max="1" width="5.140625" style="312" customWidth="1"/>
    <col min="2" max="2" width="5.140625" style="306" customWidth="1"/>
    <col min="3" max="3" width="57.28515625" style="306" customWidth="1"/>
    <col min="4" max="16384" width="9.140625" style="306"/>
  </cols>
  <sheetData>
    <row r="1" spans="1:15" x14ac:dyDescent="0.2">
      <c r="A1" s="305" t="s">
        <v>616</v>
      </c>
      <c r="K1" s="307"/>
    </row>
    <row r="2" spans="1:15" x14ac:dyDescent="0.2">
      <c r="A2" s="308" t="s">
        <v>949</v>
      </c>
      <c r="C2" s="309"/>
    </row>
    <row r="3" spans="1:15" x14ac:dyDescent="0.2">
      <c r="A3" s="310" t="s">
        <v>617</v>
      </c>
      <c r="C3" s="309"/>
    </row>
    <row r="4" spans="1:15" x14ac:dyDescent="0.2">
      <c r="A4" s="323"/>
      <c r="B4" s="310"/>
      <c r="C4" s="309"/>
    </row>
    <row r="5" spans="1:15" x14ac:dyDescent="0.2">
      <c r="A5" s="331"/>
      <c r="B5" s="329"/>
      <c r="C5" s="330"/>
      <c r="D5" s="336" t="s">
        <v>969</v>
      </c>
    </row>
    <row r="6" spans="1:15" x14ac:dyDescent="0.2">
      <c r="A6" s="332" t="s">
        <v>968</v>
      </c>
      <c r="B6" s="333"/>
      <c r="C6" s="334"/>
      <c r="D6" s="335"/>
    </row>
    <row r="7" spans="1:15" x14ac:dyDescent="0.2">
      <c r="A7" s="324"/>
      <c r="B7" s="309"/>
    </row>
    <row r="8" spans="1:15" x14ac:dyDescent="0.2">
      <c r="A8" s="359">
        <v>1</v>
      </c>
      <c r="B8" s="360" t="s">
        <v>950</v>
      </c>
      <c r="C8" s="360"/>
      <c r="D8" s="361" t="s">
        <v>1037</v>
      </c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</row>
    <row r="9" spans="1:15" x14ac:dyDescent="0.2">
      <c r="B9" s="312"/>
      <c r="C9" s="362" t="s">
        <v>990</v>
      </c>
      <c r="D9" s="341"/>
    </row>
    <row r="10" spans="1:15" s="314" customFormat="1" ht="12.75" customHeight="1" x14ac:dyDescent="0.2">
      <c r="A10" s="312"/>
      <c r="B10" s="312"/>
      <c r="C10" s="363" t="s">
        <v>986</v>
      </c>
      <c r="D10" s="341"/>
    </row>
    <row r="11" spans="1:15" s="314" customFormat="1" ht="12.75" customHeight="1" x14ac:dyDescent="0.2">
      <c r="A11" s="312"/>
      <c r="B11" s="312"/>
      <c r="C11" s="363" t="s">
        <v>987</v>
      </c>
      <c r="D11" s="341"/>
    </row>
    <row r="12" spans="1:15" s="314" customFormat="1" ht="6.75" x14ac:dyDescent="0.15">
      <c r="A12" s="313"/>
      <c r="B12" s="313"/>
      <c r="C12" s="364"/>
      <c r="D12" s="342"/>
    </row>
    <row r="13" spans="1:15" ht="14.25" customHeight="1" x14ac:dyDescent="0.2">
      <c r="B13" s="312"/>
      <c r="C13" s="363" t="s">
        <v>1022</v>
      </c>
      <c r="D13" s="341"/>
    </row>
    <row r="14" spans="1:15" ht="14.25" customHeight="1" x14ac:dyDescent="0.2">
      <c r="B14" s="312"/>
      <c r="C14" s="363" t="s">
        <v>1023</v>
      </c>
      <c r="D14" s="341"/>
    </row>
    <row r="15" spans="1:15" s="314" customFormat="1" x14ac:dyDescent="0.2">
      <c r="A15" s="312"/>
      <c r="B15" s="312"/>
      <c r="C15" s="363" t="s">
        <v>1024</v>
      </c>
      <c r="D15" s="341"/>
    </row>
    <row r="16" spans="1:15" ht="14.25" customHeight="1" x14ac:dyDescent="0.2">
      <c r="B16" s="312"/>
      <c r="C16" s="363" t="s">
        <v>1025</v>
      </c>
      <c r="D16" s="341"/>
    </row>
    <row r="17" spans="1:15" s="314" customFormat="1" ht="6.75" x14ac:dyDescent="0.15">
      <c r="A17" s="313"/>
      <c r="B17" s="313"/>
      <c r="C17" s="365"/>
      <c r="D17" s="342"/>
    </row>
    <row r="18" spans="1:15" ht="15" customHeight="1" x14ac:dyDescent="0.2">
      <c r="B18" s="312"/>
      <c r="C18" s="363" t="s">
        <v>988</v>
      </c>
      <c r="D18" s="341"/>
    </row>
    <row r="19" spans="1:15" ht="15" customHeight="1" x14ac:dyDescent="0.2">
      <c r="B19" s="312"/>
      <c r="C19" s="363" t="s">
        <v>989</v>
      </c>
      <c r="D19" s="341"/>
    </row>
    <row r="20" spans="1:15" s="314" customFormat="1" ht="6.75" x14ac:dyDescent="0.15">
      <c r="A20" s="313"/>
      <c r="B20" s="313"/>
      <c r="C20" s="365"/>
      <c r="D20" s="342"/>
    </row>
    <row r="21" spans="1:15" x14ac:dyDescent="0.2">
      <c r="B21" s="312"/>
      <c r="C21" s="363" t="s">
        <v>1026</v>
      </c>
      <c r="D21" s="341"/>
    </row>
    <row r="22" spans="1:15" s="314" customFormat="1" x14ac:dyDescent="0.2">
      <c r="A22" s="312"/>
      <c r="B22" s="312"/>
      <c r="C22" s="363" t="s">
        <v>1027</v>
      </c>
      <c r="D22" s="341"/>
    </row>
    <row r="23" spans="1:15" s="314" customFormat="1" ht="6.75" x14ac:dyDescent="0.15">
      <c r="A23" s="313"/>
      <c r="B23" s="313"/>
      <c r="C23" s="365"/>
      <c r="D23" s="342"/>
    </row>
    <row r="24" spans="1:15" x14ac:dyDescent="0.2">
      <c r="B24" s="312"/>
      <c r="C24" s="363" t="s">
        <v>1028</v>
      </c>
      <c r="D24" s="341"/>
    </row>
    <row r="25" spans="1:15" s="314" customFormat="1" x14ac:dyDescent="0.2">
      <c r="A25" s="312"/>
      <c r="B25" s="312"/>
      <c r="C25" s="363" t="s">
        <v>1029</v>
      </c>
      <c r="D25" s="341"/>
    </row>
    <row r="26" spans="1:15" x14ac:dyDescent="0.2">
      <c r="A26" s="311"/>
      <c r="B26" s="311"/>
      <c r="C26" s="340"/>
      <c r="D26" s="340"/>
    </row>
    <row r="27" spans="1:15" x14ac:dyDescent="0.2">
      <c r="A27" s="337">
        <v>2</v>
      </c>
      <c r="B27" s="338" t="s">
        <v>13</v>
      </c>
      <c r="C27" s="339"/>
      <c r="D27" s="353" t="s">
        <v>997</v>
      </c>
    </row>
    <row r="28" spans="1:15" s="314" customFormat="1" ht="15" customHeight="1" x14ac:dyDescent="0.2">
      <c r="A28" s="312"/>
      <c r="B28" s="312"/>
      <c r="C28" s="340" t="s">
        <v>970</v>
      </c>
      <c r="D28" s="341"/>
    </row>
    <row r="29" spans="1:15" x14ac:dyDescent="0.2">
      <c r="A29" s="313"/>
      <c r="B29" s="313"/>
      <c r="C29" s="341" t="s">
        <v>1003</v>
      </c>
      <c r="D29" s="342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</row>
    <row r="30" spans="1:15" x14ac:dyDescent="0.2">
      <c r="A30" s="313"/>
      <c r="B30" s="313"/>
      <c r="C30" s="341" t="s">
        <v>1004</v>
      </c>
      <c r="D30" s="342"/>
    </row>
    <row r="31" spans="1:15" s="314" customFormat="1" ht="6.75" x14ac:dyDescent="0.15">
      <c r="A31" s="313"/>
      <c r="B31" s="313"/>
      <c r="C31" s="343"/>
      <c r="D31" s="342"/>
    </row>
    <row r="32" spans="1:15" x14ac:dyDescent="0.2">
      <c r="B32" s="312"/>
      <c r="C32" s="344" t="s">
        <v>1005</v>
      </c>
      <c r="D32" s="341"/>
    </row>
    <row r="33" spans="1:4" x14ac:dyDescent="0.2">
      <c r="B33" s="312"/>
      <c r="C33" s="344" t="s">
        <v>1006</v>
      </c>
      <c r="D33" s="341"/>
    </row>
    <row r="34" spans="1:4" s="314" customFormat="1" ht="6.75" x14ac:dyDescent="0.15">
      <c r="A34" s="313"/>
      <c r="B34" s="313"/>
      <c r="C34" s="343"/>
      <c r="D34" s="342"/>
    </row>
    <row r="35" spans="1:4" x14ac:dyDescent="0.2">
      <c r="B35" s="312"/>
      <c r="C35" s="344" t="s">
        <v>971</v>
      </c>
      <c r="D35" s="341"/>
    </row>
    <row r="36" spans="1:4" s="314" customFormat="1" ht="6.75" x14ac:dyDescent="0.15">
      <c r="A36" s="313"/>
      <c r="B36" s="313"/>
      <c r="C36" s="343"/>
      <c r="D36" s="342"/>
    </row>
    <row r="37" spans="1:4" x14ac:dyDescent="0.2">
      <c r="B37" s="312"/>
      <c r="C37" s="344" t="s">
        <v>1007</v>
      </c>
      <c r="D37" s="341"/>
    </row>
    <row r="38" spans="1:4" x14ac:dyDescent="0.2">
      <c r="B38" s="312"/>
      <c r="C38" s="344" t="s">
        <v>1008</v>
      </c>
      <c r="D38" s="341"/>
    </row>
    <row r="39" spans="1:4" s="314" customFormat="1" ht="6.75" x14ac:dyDescent="0.15">
      <c r="A39" s="313"/>
      <c r="B39" s="313"/>
      <c r="C39" s="343"/>
      <c r="D39" s="342"/>
    </row>
    <row r="40" spans="1:4" s="314" customFormat="1" x14ac:dyDescent="0.2">
      <c r="A40" s="312"/>
      <c r="B40" s="312"/>
      <c r="C40" s="344" t="s">
        <v>972</v>
      </c>
      <c r="D40" s="341"/>
    </row>
    <row r="41" spans="1:4" s="314" customFormat="1" ht="6.75" x14ac:dyDescent="0.15">
      <c r="A41" s="313"/>
      <c r="B41" s="313"/>
      <c r="C41" s="343"/>
      <c r="D41" s="342"/>
    </row>
    <row r="42" spans="1:4" x14ac:dyDescent="0.2">
      <c r="B42" s="312"/>
      <c r="C42" s="344" t="s">
        <v>973</v>
      </c>
      <c r="D42" s="341"/>
    </row>
    <row r="43" spans="1:4" s="314" customFormat="1" x14ac:dyDescent="0.2">
      <c r="A43" s="312"/>
      <c r="B43" s="312"/>
      <c r="C43" s="344" t="s">
        <v>974</v>
      </c>
      <c r="D43" s="341"/>
    </row>
    <row r="44" spans="1:4" s="314" customFormat="1" ht="6.75" x14ac:dyDescent="0.15">
      <c r="A44" s="313"/>
      <c r="B44" s="313"/>
      <c r="C44" s="343"/>
      <c r="D44" s="342"/>
    </row>
    <row r="45" spans="1:4" x14ac:dyDescent="0.2">
      <c r="B45" s="312"/>
      <c r="C45" s="344" t="s">
        <v>1009</v>
      </c>
      <c r="D45" s="341"/>
    </row>
    <row r="46" spans="1:4" s="314" customFormat="1" x14ac:dyDescent="0.2">
      <c r="A46" s="312"/>
      <c r="B46" s="312"/>
      <c r="C46" s="344" t="s">
        <v>1010</v>
      </c>
      <c r="D46" s="341"/>
    </row>
    <row r="47" spans="1:4" x14ac:dyDescent="0.2">
      <c r="A47" s="313"/>
      <c r="B47" s="313"/>
      <c r="C47" s="319"/>
      <c r="D47" s="314"/>
    </row>
    <row r="48" spans="1:4" x14ac:dyDescent="0.2">
      <c r="A48" s="337">
        <v>3</v>
      </c>
      <c r="B48" s="338" t="s">
        <v>618</v>
      </c>
      <c r="C48" s="339"/>
      <c r="D48" s="353" t="s">
        <v>997</v>
      </c>
    </row>
    <row r="49" spans="1:15" s="314" customFormat="1" x14ac:dyDescent="0.2">
      <c r="A49" s="312"/>
      <c r="B49" s="312"/>
      <c r="C49" s="340" t="s">
        <v>975</v>
      </c>
      <c r="D49" s="306"/>
    </row>
    <row r="50" spans="1:15" x14ac:dyDescent="0.2">
      <c r="B50" s="312"/>
      <c r="C50" s="344" t="s">
        <v>1011</v>
      </c>
      <c r="D50" s="316"/>
    </row>
    <row r="51" spans="1:15" x14ac:dyDescent="0.2">
      <c r="B51" s="312"/>
      <c r="C51" s="344" t="s">
        <v>1012</v>
      </c>
      <c r="D51" s="316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</row>
    <row r="52" spans="1:15" x14ac:dyDescent="0.2">
      <c r="B52" s="312"/>
      <c r="C52" s="344" t="s">
        <v>1013</v>
      </c>
      <c r="D52" s="316"/>
    </row>
    <row r="53" spans="1:15" s="314" customFormat="1" ht="6.75" x14ac:dyDescent="0.15">
      <c r="A53" s="313"/>
      <c r="B53" s="313"/>
      <c r="C53" s="343"/>
    </row>
    <row r="54" spans="1:15" x14ac:dyDescent="0.2">
      <c r="B54" s="312"/>
      <c r="C54" s="344" t="s">
        <v>1014</v>
      </c>
      <c r="D54" s="316"/>
    </row>
    <row r="55" spans="1:15" x14ac:dyDescent="0.2">
      <c r="B55" s="312"/>
      <c r="C55" s="344" t="s">
        <v>1015</v>
      </c>
      <c r="D55" s="316"/>
    </row>
    <row r="56" spans="1:15" x14ac:dyDescent="0.2">
      <c r="B56" s="312"/>
      <c r="C56" s="344" t="s">
        <v>1016</v>
      </c>
      <c r="D56" s="316"/>
      <c r="E56" s="308"/>
      <c r="F56" s="308"/>
      <c r="G56" s="308"/>
      <c r="H56" s="308"/>
      <c r="I56" s="308"/>
      <c r="J56" s="308"/>
      <c r="K56" s="308"/>
      <c r="L56" s="308"/>
    </row>
    <row r="57" spans="1:15" x14ac:dyDescent="0.2">
      <c r="B57" s="312"/>
      <c r="C57" s="341" t="s">
        <v>1017</v>
      </c>
      <c r="D57" s="316"/>
    </row>
    <row r="58" spans="1:15" x14ac:dyDescent="0.2">
      <c r="B58" s="312"/>
      <c r="C58" s="341" t="s">
        <v>1018</v>
      </c>
      <c r="D58" s="316"/>
    </row>
    <row r="59" spans="1:15" s="314" customFormat="1" ht="6.75" x14ac:dyDescent="0.15">
      <c r="A59" s="313"/>
      <c r="B59" s="313"/>
      <c r="C59" s="345"/>
      <c r="D59" s="318"/>
    </row>
    <row r="60" spans="1:15" s="314" customFormat="1" ht="12.75" customHeight="1" x14ac:dyDescent="0.2">
      <c r="A60" s="312"/>
      <c r="B60" s="312"/>
      <c r="C60" s="344" t="s">
        <v>1019</v>
      </c>
      <c r="D60" s="316"/>
      <c r="E60" s="308"/>
      <c r="F60" s="308"/>
      <c r="G60" s="308"/>
      <c r="H60" s="308"/>
      <c r="I60" s="308"/>
      <c r="J60" s="308"/>
      <c r="K60" s="308"/>
      <c r="L60" s="308"/>
    </row>
    <row r="61" spans="1:15" s="314" customFormat="1" ht="12.75" customHeight="1" x14ac:dyDescent="0.2">
      <c r="A61" s="312"/>
      <c r="B61" s="312"/>
      <c r="C61" s="344" t="s">
        <v>976</v>
      </c>
      <c r="D61" s="316"/>
      <c r="E61" s="306"/>
      <c r="F61" s="306"/>
      <c r="G61" s="306"/>
      <c r="H61" s="306"/>
      <c r="I61" s="306"/>
      <c r="J61" s="306"/>
      <c r="K61" s="306"/>
      <c r="L61" s="306"/>
    </row>
    <row r="62" spans="1:15" s="314" customFormat="1" ht="6.75" x14ac:dyDescent="0.15">
      <c r="A62" s="313"/>
      <c r="B62" s="313"/>
      <c r="C62" s="343"/>
      <c r="D62" s="318"/>
    </row>
    <row r="63" spans="1:15" s="314" customFormat="1" ht="12.75" customHeight="1" x14ac:dyDescent="0.2">
      <c r="A63" s="312"/>
      <c r="B63" s="312"/>
      <c r="C63" s="344" t="s">
        <v>1020</v>
      </c>
      <c r="D63" s="316"/>
      <c r="E63" s="306"/>
      <c r="F63" s="306"/>
      <c r="G63" s="306"/>
      <c r="H63" s="306"/>
      <c r="I63" s="306"/>
      <c r="J63" s="306"/>
      <c r="K63" s="306"/>
      <c r="L63" s="306"/>
    </row>
    <row r="64" spans="1:15" s="314" customFormat="1" ht="12.75" customHeight="1" x14ac:dyDescent="0.2">
      <c r="A64" s="312"/>
      <c r="B64" s="312"/>
      <c r="C64" s="344" t="s">
        <v>1021</v>
      </c>
      <c r="D64" s="316"/>
    </row>
    <row r="65" spans="1:12" s="314" customFormat="1" ht="6.75" x14ac:dyDescent="0.15">
      <c r="A65" s="313"/>
      <c r="B65" s="313"/>
      <c r="C65" s="343"/>
      <c r="D65" s="318"/>
      <c r="E65" s="366"/>
      <c r="F65" s="366"/>
      <c r="G65" s="366"/>
      <c r="H65" s="366"/>
      <c r="I65" s="366"/>
      <c r="J65" s="366"/>
      <c r="K65" s="366"/>
      <c r="L65" s="366"/>
    </row>
    <row r="66" spans="1:12" s="314" customFormat="1" ht="12.75" customHeight="1" x14ac:dyDescent="0.2">
      <c r="A66" s="312"/>
      <c r="B66" s="312"/>
      <c r="C66" s="344" t="s">
        <v>1044</v>
      </c>
      <c r="D66" s="316"/>
    </row>
    <row r="67" spans="1:12" s="314" customFormat="1" ht="12.75" customHeight="1" x14ac:dyDescent="0.2">
      <c r="A67" s="312"/>
      <c r="B67" s="312"/>
      <c r="C67" s="344" t="s">
        <v>1045</v>
      </c>
      <c r="D67" s="316"/>
    </row>
    <row r="68" spans="1:12" s="314" customFormat="1" ht="12.75" customHeight="1" x14ac:dyDescent="0.2">
      <c r="A68" s="312"/>
      <c r="B68" s="312"/>
      <c r="C68" s="344" t="s">
        <v>1046</v>
      </c>
      <c r="D68" s="316"/>
    </row>
    <row r="69" spans="1:12" s="314" customFormat="1" ht="12.75" customHeight="1" x14ac:dyDescent="0.2">
      <c r="A69" s="312"/>
      <c r="B69" s="312"/>
      <c r="C69" s="315"/>
      <c r="D69" s="316"/>
      <c r="E69" s="308"/>
      <c r="F69" s="308"/>
      <c r="G69" s="308"/>
      <c r="H69" s="308"/>
      <c r="I69" s="308"/>
      <c r="J69" s="308"/>
      <c r="K69" s="308"/>
      <c r="L69" s="308"/>
    </row>
    <row r="70" spans="1:12" s="314" customFormat="1" ht="12.75" customHeight="1" x14ac:dyDescent="0.2">
      <c r="A70" s="337">
        <v>4</v>
      </c>
      <c r="B70" s="338" t="s">
        <v>58</v>
      </c>
      <c r="C70" s="339"/>
      <c r="D70" s="353" t="s">
        <v>997</v>
      </c>
    </row>
    <row r="71" spans="1:12" s="314" customFormat="1" ht="12.75" customHeight="1" x14ac:dyDescent="0.2">
      <c r="A71" s="312"/>
      <c r="B71" s="312"/>
      <c r="C71" s="340" t="s">
        <v>977</v>
      </c>
      <c r="D71" s="306"/>
    </row>
    <row r="72" spans="1:12" s="314" customFormat="1" ht="12.75" customHeight="1" x14ac:dyDescent="0.2">
      <c r="A72" s="312"/>
      <c r="B72" s="312"/>
      <c r="C72" s="341" t="s">
        <v>978</v>
      </c>
      <c r="D72" s="306"/>
    </row>
    <row r="73" spans="1:12" s="314" customFormat="1" ht="12.75" customHeight="1" x14ac:dyDescent="0.2">
      <c r="A73" s="312"/>
      <c r="B73" s="312"/>
      <c r="C73" s="341" t="s">
        <v>1038</v>
      </c>
      <c r="D73" s="306"/>
    </row>
    <row r="74" spans="1:12" s="314" customFormat="1" ht="12.75" customHeight="1" x14ac:dyDescent="0.2">
      <c r="A74" s="312"/>
      <c r="B74" s="312"/>
      <c r="C74" s="306"/>
      <c r="D74" s="306"/>
      <c r="E74" s="308"/>
      <c r="F74" s="308"/>
      <c r="G74" s="308"/>
      <c r="H74" s="308"/>
      <c r="I74" s="308"/>
      <c r="J74" s="308"/>
      <c r="K74" s="308"/>
      <c r="L74" s="308"/>
    </row>
    <row r="75" spans="1:12" s="314" customFormat="1" ht="12.75" customHeight="1" x14ac:dyDescent="0.2">
      <c r="A75" s="337">
        <v>5</v>
      </c>
      <c r="B75" s="338" t="s">
        <v>959</v>
      </c>
      <c r="C75" s="339"/>
      <c r="D75" s="353" t="s">
        <v>997</v>
      </c>
      <c r="E75" s="308"/>
      <c r="F75" s="308"/>
      <c r="G75" s="308"/>
      <c r="H75" s="308"/>
      <c r="I75" s="308"/>
      <c r="J75" s="308"/>
      <c r="K75" s="308"/>
      <c r="L75" s="308"/>
    </row>
    <row r="76" spans="1:12" s="314" customFormat="1" ht="12.75" customHeight="1" x14ac:dyDescent="0.2">
      <c r="A76" s="325"/>
      <c r="B76" s="320"/>
      <c r="C76" s="340" t="s">
        <v>979</v>
      </c>
      <c r="D76" s="306"/>
    </row>
    <row r="77" spans="1:12" s="314" customFormat="1" ht="12.75" customHeight="1" x14ac:dyDescent="0.2">
      <c r="A77" s="325"/>
      <c r="B77" s="320"/>
      <c r="C77" s="341" t="s">
        <v>1039</v>
      </c>
      <c r="D77" s="306"/>
    </row>
    <row r="78" spans="1:12" s="314" customFormat="1" ht="12.75" customHeight="1" x14ac:dyDescent="0.2">
      <c r="A78" s="325"/>
      <c r="B78" s="320"/>
      <c r="C78" s="306"/>
      <c r="D78" s="306"/>
      <c r="E78" s="308"/>
      <c r="F78" s="308"/>
      <c r="G78" s="308"/>
      <c r="H78" s="308"/>
      <c r="I78" s="308"/>
      <c r="J78" s="308"/>
      <c r="K78" s="308"/>
      <c r="L78" s="308"/>
    </row>
    <row r="79" spans="1:12" s="314" customFormat="1" ht="12.75" customHeight="1" x14ac:dyDescent="0.2">
      <c r="A79" s="337">
        <v>6</v>
      </c>
      <c r="B79" s="338" t="s">
        <v>59</v>
      </c>
      <c r="C79" s="339"/>
      <c r="D79" s="353" t="s">
        <v>997</v>
      </c>
    </row>
    <row r="80" spans="1:12" s="314" customFormat="1" ht="12.75" customHeight="1" x14ac:dyDescent="0.2">
      <c r="A80" s="311"/>
      <c r="B80" s="308"/>
      <c r="C80" s="340" t="s">
        <v>980</v>
      </c>
      <c r="D80" s="306"/>
    </row>
    <row r="81" spans="1:15" s="314" customFormat="1" ht="12.75" customHeight="1" x14ac:dyDescent="0.2">
      <c r="A81" s="311"/>
      <c r="B81" s="308"/>
      <c r="C81" s="341" t="s">
        <v>978</v>
      </c>
      <c r="D81" s="306"/>
    </row>
    <row r="82" spans="1:15" s="314" customFormat="1" ht="12.75" customHeight="1" x14ac:dyDescent="0.2">
      <c r="A82" s="311"/>
      <c r="B82" s="308"/>
      <c r="C82" s="341" t="s">
        <v>1040</v>
      </c>
      <c r="D82" s="306"/>
    </row>
    <row r="83" spans="1:15" s="314" customFormat="1" ht="12.75" customHeight="1" x14ac:dyDescent="0.2">
      <c r="A83" s="311"/>
      <c r="B83" s="308"/>
      <c r="C83" s="308"/>
      <c r="D83" s="308"/>
      <c r="E83" s="308"/>
      <c r="F83" s="308"/>
      <c r="G83" s="308"/>
      <c r="H83" s="308"/>
      <c r="I83" s="308"/>
      <c r="J83" s="308"/>
      <c r="K83" s="308"/>
      <c r="L83" s="306"/>
    </row>
    <row r="84" spans="1:15" s="314" customFormat="1" ht="12.75" customHeight="1" x14ac:dyDescent="0.2">
      <c r="A84" s="337">
        <v>7</v>
      </c>
      <c r="B84" s="338" t="s">
        <v>960</v>
      </c>
      <c r="C84" s="339"/>
      <c r="D84" s="353" t="s">
        <v>997</v>
      </c>
    </row>
    <row r="85" spans="1:15" s="314" customFormat="1" ht="12.75" customHeight="1" x14ac:dyDescent="0.2">
      <c r="A85" s="311"/>
      <c r="B85" s="308"/>
      <c r="C85" s="340" t="s">
        <v>981</v>
      </c>
      <c r="D85" s="308"/>
    </row>
    <row r="86" spans="1:15" s="314" customFormat="1" ht="12.75" customHeight="1" x14ac:dyDescent="0.2">
      <c r="A86" s="311"/>
      <c r="B86" s="308"/>
      <c r="C86" s="341" t="s">
        <v>1039</v>
      </c>
      <c r="D86" s="308"/>
    </row>
    <row r="87" spans="1:15" x14ac:dyDescent="0.2">
      <c r="A87" s="311"/>
      <c r="B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</row>
    <row r="88" spans="1:15" x14ac:dyDescent="0.2">
      <c r="A88" s="337">
        <v>8</v>
      </c>
      <c r="B88" s="338" t="s">
        <v>60</v>
      </c>
      <c r="C88" s="339"/>
      <c r="D88" s="353" t="s">
        <v>997</v>
      </c>
    </row>
    <row r="89" spans="1:15" x14ac:dyDescent="0.2">
      <c r="A89" s="311"/>
      <c r="B89" s="308"/>
      <c r="C89" s="340" t="s">
        <v>982</v>
      </c>
      <c r="D89" s="308"/>
    </row>
    <row r="90" spans="1:15" x14ac:dyDescent="0.2">
      <c r="A90" s="311"/>
      <c r="B90" s="308"/>
      <c r="C90" s="341" t="s">
        <v>978</v>
      </c>
      <c r="D90" s="308"/>
    </row>
    <row r="91" spans="1:15" s="314" customFormat="1" x14ac:dyDescent="0.2">
      <c r="A91" s="311"/>
      <c r="B91" s="308"/>
      <c r="C91" s="341" t="s">
        <v>1041</v>
      </c>
      <c r="D91" s="308"/>
    </row>
    <row r="92" spans="1:15" x14ac:dyDescent="0.2">
      <c r="A92" s="311"/>
      <c r="B92" s="308"/>
      <c r="D92" s="308"/>
    </row>
    <row r="93" spans="1:15" x14ac:dyDescent="0.2">
      <c r="A93" s="337">
        <v>9</v>
      </c>
      <c r="B93" s="338" t="s">
        <v>961</v>
      </c>
      <c r="C93" s="339"/>
      <c r="D93" s="353" t="s">
        <v>997</v>
      </c>
    </row>
    <row r="94" spans="1:15" x14ac:dyDescent="0.2">
      <c r="A94" s="325"/>
      <c r="B94" s="320"/>
      <c r="C94" s="340" t="s">
        <v>983</v>
      </c>
      <c r="D94" s="308"/>
    </row>
    <row r="95" spans="1:15" x14ac:dyDescent="0.2">
      <c r="A95" s="311"/>
      <c r="B95" s="308"/>
      <c r="C95" s="341" t="s">
        <v>1039</v>
      </c>
      <c r="D95" s="308"/>
    </row>
    <row r="96" spans="1:15" s="314" customFormat="1" x14ac:dyDescent="0.2">
      <c r="A96" s="311"/>
      <c r="B96" s="308"/>
      <c r="C96" s="306"/>
      <c r="D96" s="308"/>
    </row>
    <row r="97" spans="1:15" x14ac:dyDescent="0.2">
      <c r="A97" s="337">
        <v>10</v>
      </c>
      <c r="B97" s="338" t="s">
        <v>61</v>
      </c>
      <c r="C97" s="339"/>
      <c r="D97" s="353" t="s">
        <v>997</v>
      </c>
    </row>
    <row r="98" spans="1:15" x14ac:dyDescent="0.2">
      <c r="A98" s="311"/>
      <c r="B98" s="308"/>
      <c r="C98" s="340" t="s">
        <v>984</v>
      </c>
      <c r="D98" s="308"/>
    </row>
    <row r="99" spans="1:15" s="314" customFormat="1" x14ac:dyDescent="0.2">
      <c r="A99" s="311"/>
      <c r="B99" s="308"/>
      <c r="C99" s="341" t="s">
        <v>978</v>
      </c>
      <c r="D99" s="308"/>
    </row>
    <row r="100" spans="1:15" x14ac:dyDescent="0.2">
      <c r="A100" s="311"/>
      <c r="B100" s="308"/>
      <c r="C100" s="341" t="s">
        <v>1042</v>
      </c>
      <c r="D100" s="308"/>
    </row>
    <row r="101" spans="1:15" x14ac:dyDescent="0.2">
      <c r="A101" s="311"/>
      <c r="B101" s="308"/>
      <c r="D101" s="308"/>
    </row>
    <row r="102" spans="1:15" s="314" customFormat="1" x14ac:dyDescent="0.2">
      <c r="A102" s="337">
        <v>11</v>
      </c>
      <c r="B102" s="338" t="s">
        <v>962</v>
      </c>
      <c r="C102" s="339"/>
      <c r="D102" s="353" t="s">
        <v>997</v>
      </c>
    </row>
    <row r="103" spans="1:15" x14ac:dyDescent="0.2">
      <c r="A103" s="311"/>
      <c r="B103" s="308"/>
      <c r="C103" s="340" t="s">
        <v>985</v>
      </c>
      <c r="D103" s="308"/>
    </row>
    <row r="104" spans="1:15" x14ac:dyDescent="0.2">
      <c r="A104" s="311"/>
      <c r="B104" s="308"/>
      <c r="C104" s="341" t="s">
        <v>1039</v>
      </c>
      <c r="D104" s="308"/>
    </row>
    <row r="105" spans="1:15" x14ac:dyDescent="0.2">
      <c r="A105" s="311"/>
      <c r="B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08"/>
      <c r="O105" s="308"/>
    </row>
    <row r="106" spans="1:15" x14ac:dyDescent="0.2">
      <c r="A106" s="346">
        <v>12</v>
      </c>
      <c r="B106" s="347" t="s">
        <v>626</v>
      </c>
      <c r="C106" s="348"/>
      <c r="D106" s="352" t="s">
        <v>996</v>
      </c>
      <c r="F106" s="308"/>
      <c r="G106" s="308"/>
      <c r="H106" s="308"/>
      <c r="I106" s="308"/>
      <c r="J106" s="308"/>
      <c r="K106" s="308"/>
      <c r="L106" s="308"/>
      <c r="M106" s="308"/>
      <c r="N106" s="308"/>
      <c r="O106" s="308"/>
    </row>
    <row r="107" spans="1:15" x14ac:dyDescent="0.2">
      <c r="A107" s="327"/>
      <c r="B107" s="312"/>
      <c r="C107" s="351" t="s">
        <v>992</v>
      </c>
    </row>
    <row r="108" spans="1:15" x14ac:dyDescent="0.2">
      <c r="A108" s="327"/>
      <c r="B108" s="312"/>
      <c r="C108" s="349" t="s">
        <v>991</v>
      </c>
    </row>
    <row r="109" spans="1:15" x14ac:dyDescent="0.2">
      <c r="A109" s="327"/>
      <c r="B109" s="312"/>
      <c r="C109" s="350" t="s">
        <v>1036</v>
      </c>
      <c r="D109" s="316"/>
    </row>
    <row r="110" spans="1:15" x14ac:dyDescent="0.2">
      <c r="A110" s="327"/>
      <c r="B110" s="312"/>
      <c r="C110" s="350" t="s">
        <v>1043</v>
      </c>
      <c r="D110" s="316"/>
    </row>
    <row r="111" spans="1:15" s="314" customFormat="1" ht="6.75" x14ac:dyDescent="0.15">
      <c r="A111" s="328"/>
      <c r="B111" s="313"/>
      <c r="C111" s="317"/>
      <c r="D111" s="318"/>
    </row>
    <row r="112" spans="1:15" x14ac:dyDescent="0.2">
      <c r="A112" s="346">
        <v>13</v>
      </c>
      <c r="B112" s="347" t="s">
        <v>639</v>
      </c>
      <c r="C112" s="348"/>
      <c r="D112" s="352" t="s">
        <v>996</v>
      </c>
      <c r="F112" s="308"/>
      <c r="G112" s="308"/>
      <c r="H112" s="308"/>
      <c r="I112" s="308"/>
      <c r="J112" s="308"/>
      <c r="K112" s="308"/>
      <c r="L112" s="308"/>
      <c r="M112" s="308"/>
      <c r="N112" s="308"/>
      <c r="O112" s="308"/>
    </row>
    <row r="113" spans="1:15" x14ac:dyDescent="0.2">
      <c r="A113" s="327"/>
      <c r="B113" s="312"/>
      <c r="C113" s="351" t="s">
        <v>1032</v>
      </c>
    </row>
    <row r="114" spans="1:15" x14ac:dyDescent="0.2">
      <c r="A114" s="327"/>
      <c r="B114" s="312"/>
      <c r="C114" s="351" t="s">
        <v>1033</v>
      </c>
    </row>
    <row r="115" spans="1:15" s="314" customFormat="1" ht="12.75" customHeight="1" x14ac:dyDescent="0.15">
      <c r="A115" s="328"/>
      <c r="B115" s="313"/>
    </row>
    <row r="116" spans="1:15" x14ac:dyDescent="0.2">
      <c r="A116" s="346">
        <v>14</v>
      </c>
      <c r="B116" s="347" t="s">
        <v>863</v>
      </c>
      <c r="C116" s="348"/>
      <c r="D116" s="352" t="s">
        <v>996</v>
      </c>
      <c r="F116" s="308"/>
      <c r="G116" s="308"/>
      <c r="H116" s="308"/>
      <c r="I116" s="308"/>
      <c r="J116" s="308"/>
      <c r="K116" s="308"/>
      <c r="L116" s="308"/>
      <c r="M116" s="308"/>
      <c r="N116" s="308"/>
      <c r="O116" s="308"/>
    </row>
    <row r="117" spans="1:15" x14ac:dyDescent="0.2">
      <c r="A117" s="327"/>
      <c r="B117" s="312"/>
      <c r="C117" s="351" t="s">
        <v>1030</v>
      </c>
    </row>
    <row r="118" spans="1:15" x14ac:dyDescent="0.2">
      <c r="A118" s="327"/>
      <c r="B118" s="312"/>
      <c r="C118" s="351" t="s">
        <v>1031</v>
      </c>
    </row>
    <row r="119" spans="1:15" x14ac:dyDescent="0.2">
      <c r="A119" s="327"/>
      <c r="B119" s="312"/>
      <c r="C119" s="349" t="s">
        <v>993</v>
      </c>
    </row>
    <row r="120" spans="1:15" x14ac:dyDescent="0.2">
      <c r="A120" s="327"/>
      <c r="B120" s="312"/>
      <c r="C120" s="349" t="s">
        <v>994</v>
      </c>
    </row>
    <row r="121" spans="1:15" x14ac:dyDescent="0.2">
      <c r="A121" s="327"/>
      <c r="B121" s="312"/>
      <c r="C121" s="315"/>
      <c r="D121" s="316"/>
    </row>
    <row r="122" spans="1:15" x14ac:dyDescent="0.2">
      <c r="A122" s="346">
        <v>15</v>
      </c>
      <c r="B122" s="347" t="s">
        <v>867</v>
      </c>
      <c r="C122" s="348"/>
      <c r="D122" s="352" t="s">
        <v>996</v>
      </c>
      <c r="F122" s="308"/>
      <c r="G122" s="308"/>
      <c r="H122" s="308"/>
      <c r="I122" s="308"/>
      <c r="J122" s="308"/>
      <c r="K122" s="308"/>
      <c r="L122" s="308"/>
      <c r="M122" s="308"/>
      <c r="N122" s="308"/>
      <c r="O122" s="308"/>
    </row>
    <row r="123" spans="1:15" x14ac:dyDescent="0.2">
      <c r="A123" s="326"/>
      <c r="B123" s="312"/>
      <c r="C123" s="351" t="s">
        <v>1034</v>
      </c>
    </row>
    <row r="124" spans="1:15" x14ac:dyDescent="0.2">
      <c r="A124" s="326"/>
      <c r="B124" s="312"/>
      <c r="C124" s="351" t="s">
        <v>1035</v>
      </c>
    </row>
    <row r="125" spans="1:15" x14ac:dyDescent="0.2">
      <c r="A125" s="326"/>
      <c r="B125" s="312"/>
      <c r="C125" s="349" t="s">
        <v>995</v>
      </c>
    </row>
    <row r="126" spans="1:15" x14ac:dyDescent="0.2">
      <c r="B126" s="312"/>
      <c r="C126" s="350" t="s">
        <v>953</v>
      </c>
      <c r="D126" s="316"/>
    </row>
    <row r="127" spans="1:15" s="314" customFormat="1" ht="12.75" customHeight="1" x14ac:dyDescent="0.15">
      <c r="A127" s="313"/>
      <c r="B127" s="313"/>
      <c r="C127" s="319"/>
    </row>
  </sheetData>
  <pageMargins left="0.47244094488188981" right="0.47244094488188981" top="0.47244094488188981" bottom="0.47244094488188981" header="0.31496062992125984" footer="0.23622047244094491"/>
  <pageSetup paperSize="9" scale="120" orientation="portrait" r:id="rId1"/>
  <headerFooter>
    <oddFooter>&amp;L&amp;A&amp;C&amp;F&amp;RPage &amp;P of &amp;N</oddFooter>
  </headerFooter>
  <rowBreaks count="2" manualBreakCount="2">
    <brk id="47" max="3" man="1"/>
    <brk id="96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BM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3.28515625" style="64" customWidth="1"/>
    <col min="5" max="7" width="11.140625" style="64" customWidth="1"/>
    <col min="8" max="8" width="5.7109375" style="64" customWidth="1"/>
    <col min="9" max="9" width="12.85546875" style="64" customWidth="1"/>
    <col min="10" max="11" width="11.140625" style="64" customWidth="1"/>
    <col min="12" max="12" width="11.140625" style="52" customWidth="1"/>
    <col min="13" max="13" width="5.7109375" style="52" customWidth="1"/>
    <col min="14" max="16" width="13.28515625" style="64" customWidth="1"/>
    <col min="17" max="17" width="4.28515625" style="1" customWidth="1"/>
    <col min="18" max="19" width="13.28515625" style="64" customWidth="1"/>
    <col min="20" max="20" width="4.85546875" style="1" customWidth="1"/>
    <col min="21" max="25" width="13.28515625" style="64" customWidth="1"/>
    <col min="26" max="26" width="5.140625" style="1" customWidth="1"/>
    <col min="27" max="29" width="13.28515625" style="64" customWidth="1"/>
    <col min="30" max="30" width="4.140625" style="1" customWidth="1"/>
    <col min="31" max="33" width="13.28515625" style="64" customWidth="1"/>
    <col min="34" max="34" width="3.5703125" style="1" customWidth="1"/>
    <col min="35" max="37" width="13.28515625" style="64" customWidth="1"/>
    <col min="38" max="38" width="4.42578125" style="1" customWidth="1"/>
    <col min="39" max="41" width="13.28515625" style="64" customWidth="1"/>
    <col min="42" max="42" width="4.7109375" style="64" customWidth="1"/>
    <col min="43" max="43" width="13.28515625" style="1" bestFit="1" customWidth="1"/>
    <col min="44" max="44" width="4.85546875" style="64" customWidth="1"/>
    <col min="45" max="47" width="13.28515625" style="64" customWidth="1"/>
    <col min="48" max="48" width="4.7109375" style="1" customWidth="1"/>
    <col min="49" max="49" width="13.28515625" style="64" customWidth="1"/>
    <col min="50" max="50" width="3.28515625" style="64" customWidth="1"/>
    <col min="51" max="52" width="13.28515625" style="64" customWidth="1"/>
    <col min="53" max="53" width="11" style="1" customWidth="1"/>
    <col min="54" max="54" width="13.28515625" style="64" customWidth="1"/>
    <col min="55" max="55" width="3.5703125" style="64" customWidth="1"/>
    <col min="56" max="56" width="4.42578125" style="64" customWidth="1"/>
    <col min="57" max="58" width="13.28515625" style="64" customWidth="1"/>
    <col min="59" max="59" width="11.5703125" style="1" customWidth="1"/>
    <col min="60" max="61" width="13.28515625" style="64" customWidth="1"/>
    <col min="62" max="62" width="15.140625" style="178" customWidth="1"/>
    <col min="63" max="63" width="13.28515625" style="178" customWidth="1"/>
    <col min="64" max="64" width="11.42578125" style="179" customWidth="1"/>
    <col min="65" max="65" width="9.140625" style="179"/>
    <col min="66" max="16384" width="9.140625" style="1"/>
  </cols>
  <sheetData>
    <row r="1" spans="1:65" x14ac:dyDescent="0.2">
      <c r="A1" s="321" t="s">
        <v>616</v>
      </c>
      <c r="AR1" s="54"/>
      <c r="AX1" s="54"/>
      <c r="BD1" s="54"/>
      <c r="BI1" s="54"/>
    </row>
    <row r="2" spans="1:65" x14ac:dyDescent="0.2">
      <c r="A2" s="279" t="s">
        <v>949</v>
      </c>
      <c r="AR2" s="54"/>
      <c r="AX2" s="54"/>
      <c r="BD2" s="54"/>
      <c r="BI2" s="54"/>
    </row>
    <row r="3" spans="1:65" x14ac:dyDescent="0.2">
      <c r="A3" s="355" t="s">
        <v>1001</v>
      </c>
      <c r="AR3" s="54"/>
      <c r="AX3" s="54"/>
      <c r="BD3" s="54"/>
      <c r="BI3" s="54"/>
    </row>
    <row r="4" spans="1:65" x14ac:dyDescent="0.2">
      <c r="B4" s="1" t="s">
        <v>64</v>
      </c>
      <c r="D4" s="6"/>
      <c r="E4" s="7"/>
      <c r="F4" s="7"/>
      <c r="G4" s="7"/>
      <c r="H4" s="7"/>
      <c r="I4" s="7" t="s">
        <v>1</v>
      </c>
      <c r="J4" s="8">
        <f>MIN(K12:K163)</f>
        <v>-3.1312262836333815E-2</v>
      </c>
      <c r="K4" s="7" t="s">
        <v>2</v>
      </c>
      <c r="L4" s="9">
        <f>COUNTIF(L12:L163,"&lt;-5%")</f>
        <v>0</v>
      </c>
      <c r="M4" s="10"/>
      <c r="N4" s="6"/>
      <c r="O4" s="6"/>
      <c r="P4" s="6"/>
      <c r="R4" s="6"/>
      <c r="S4" s="6"/>
      <c r="U4" s="8">
        <f>MIN(U12:U220)</f>
        <v>-4.8329727791866839E-2</v>
      </c>
      <c r="V4" s="8">
        <f>MIN(V12:V220)</f>
        <v>-4.9913492589294228E-2</v>
      </c>
      <c r="W4" s="8"/>
      <c r="X4" s="8"/>
      <c r="Y4" s="6"/>
      <c r="AA4" s="6"/>
      <c r="AB4" s="6"/>
      <c r="AC4" s="6"/>
      <c r="AE4" s="6"/>
      <c r="AF4" s="6"/>
      <c r="AG4" s="6"/>
      <c r="AI4" s="6"/>
      <c r="AJ4" s="6"/>
      <c r="AK4" s="6"/>
      <c r="AM4" s="6"/>
      <c r="AN4" s="6"/>
      <c r="AO4" s="6"/>
      <c r="AP4" s="6"/>
      <c r="AQ4" s="6"/>
      <c r="AR4" s="1"/>
      <c r="AS4" s="6"/>
      <c r="AT4" s="6"/>
      <c r="AU4" s="6"/>
      <c r="AV4" s="6"/>
      <c r="AW4" s="6"/>
      <c r="AX4" s="1"/>
      <c r="AY4" s="8">
        <f>MIN(AY12:AY220)</f>
        <v>-4.8329727791866839E-2</v>
      </c>
      <c r="AZ4" s="8">
        <f t="shared" ref="AZ4:BB4" si="0">MIN(AZ12:AZ220)</f>
        <v>-4.9913492589294228E-2</v>
      </c>
      <c r="BA4" s="8">
        <f t="shared" si="0"/>
        <v>-0.24836241683131399</v>
      </c>
      <c r="BB4" s="8">
        <f t="shared" si="0"/>
        <v>-3.1311512727777768E-2</v>
      </c>
      <c r="BC4" s="8"/>
      <c r="BD4" s="1"/>
      <c r="BE4" s="6"/>
      <c r="BF4" s="6"/>
      <c r="BG4" s="6"/>
      <c r="BH4" s="6"/>
      <c r="BI4" s="1"/>
      <c r="BJ4" s="21"/>
      <c r="BK4" s="21"/>
      <c r="BL4" s="21"/>
      <c r="BM4" s="21"/>
    </row>
    <row r="5" spans="1:65" s="11" customFormat="1" x14ac:dyDescent="0.2">
      <c r="B5" s="12">
        <v>4</v>
      </c>
      <c r="D5" s="20"/>
      <c r="E5" s="21"/>
      <c r="F5" s="21"/>
      <c r="G5" s="21"/>
      <c r="H5" s="21"/>
      <c r="I5" s="19"/>
      <c r="J5" s="19"/>
      <c r="K5" s="66" t="s">
        <v>14</v>
      </c>
      <c r="L5" s="9">
        <f>COUNTIF(L12:L163,"&lt;-5%")</f>
        <v>0</v>
      </c>
      <c r="M5" s="22"/>
      <c r="N5" s="20"/>
      <c r="O5" s="20"/>
      <c r="P5" s="20"/>
      <c r="R5" s="20"/>
      <c r="S5" s="20"/>
      <c r="U5" s="162">
        <f>COUNTIF(U12:U220,"&lt;-5%")</f>
        <v>0</v>
      </c>
      <c r="V5" s="162">
        <f>COUNTIF(V12:V220,"&lt;-5%")</f>
        <v>0</v>
      </c>
      <c r="W5" s="162"/>
      <c r="X5" s="162"/>
      <c r="Y5" s="20"/>
      <c r="AA5" s="20"/>
      <c r="AB5" s="20"/>
      <c r="AC5" s="20"/>
      <c r="AE5" s="20"/>
      <c r="AF5" s="20"/>
      <c r="AG5" s="20"/>
      <c r="AI5" s="20"/>
      <c r="AJ5" s="20"/>
      <c r="AK5" s="20"/>
      <c r="AM5" s="20"/>
      <c r="AN5" s="20"/>
      <c r="AO5" s="20"/>
      <c r="AP5" s="20"/>
      <c r="AQ5" s="20"/>
      <c r="AS5" s="20"/>
      <c r="AT5" s="20"/>
      <c r="AU5" s="20"/>
      <c r="AV5" s="20"/>
      <c r="AW5" s="185"/>
      <c r="AY5" s="8">
        <f>MAX(AY12:AY220)</f>
        <v>0.23823447219867622</v>
      </c>
      <c r="AZ5" s="8">
        <f t="shared" ref="AZ5:BB5" si="1">MAX(AZ12:AZ220)</f>
        <v>0.23012057515743156</v>
      </c>
      <c r="BA5" s="8">
        <f t="shared" si="1"/>
        <v>0.23086405833644186</v>
      </c>
      <c r="BB5" s="8">
        <f t="shared" si="1"/>
        <v>0.17624086320551213</v>
      </c>
      <c r="BC5" s="8"/>
      <c r="BE5" s="20"/>
      <c r="BF5" s="20"/>
      <c r="BG5" s="20"/>
      <c r="BH5" s="20"/>
      <c r="BJ5" s="180"/>
      <c r="BK5" s="180"/>
      <c r="BL5" s="180"/>
      <c r="BM5" s="180"/>
    </row>
    <row r="6" spans="1:65" s="11" customFormat="1" x14ac:dyDescent="0.2">
      <c r="B6" s="12"/>
      <c r="D6" s="28"/>
      <c r="E6" s="25"/>
      <c r="F6" s="25"/>
      <c r="G6" s="25"/>
      <c r="H6" s="25"/>
      <c r="I6" s="28"/>
      <c r="J6" s="28"/>
      <c r="K6" s="28"/>
      <c r="L6" s="29"/>
      <c r="M6" s="22"/>
      <c r="N6" s="28"/>
      <c r="O6" s="28"/>
      <c r="P6" s="28"/>
      <c r="R6" s="28"/>
      <c r="S6" s="28"/>
      <c r="U6" s="28"/>
      <c r="V6" s="28"/>
      <c r="W6" s="28"/>
      <c r="X6" s="28"/>
      <c r="Y6" s="28"/>
      <c r="AA6" s="377" t="s">
        <v>501</v>
      </c>
      <c r="AB6" s="378"/>
      <c r="AC6" s="378"/>
      <c r="AE6" s="377" t="s">
        <v>503</v>
      </c>
      <c r="AF6" s="378"/>
      <c r="AG6" s="378"/>
      <c r="AI6" s="377" t="s">
        <v>504</v>
      </c>
      <c r="AJ6" s="378"/>
      <c r="AK6" s="378"/>
      <c r="AM6" s="377" t="s">
        <v>505</v>
      </c>
      <c r="AN6" s="378"/>
      <c r="AO6" s="378"/>
      <c r="AP6" s="378"/>
      <c r="AQ6" s="378"/>
      <c r="AS6" s="377" t="s">
        <v>510</v>
      </c>
      <c r="AT6" s="378"/>
      <c r="AU6" s="378"/>
      <c r="AV6" s="378"/>
      <c r="AW6" s="378"/>
      <c r="AY6" s="377" t="s">
        <v>65</v>
      </c>
      <c r="AZ6" s="378"/>
      <c r="BA6" s="378"/>
      <c r="BB6" s="378"/>
      <c r="BC6" s="378"/>
      <c r="BE6" s="377" t="s">
        <v>588</v>
      </c>
      <c r="BF6" s="378"/>
      <c r="BG6" s="378"/>
      <c r="BH6" s="378"/>
      <c r="BJ6" s="379" t="s">
        <v>592</v>
      </c>
      <c r="BK6" s="380"/>
      <c r="BL6" s="380"/>
      <c r="BM6" s="380"/>
    </row>
    <row r="7" spans="1:65" s="11" customFormat="1" x14ac:dyDescent="0.2">
      <c r="B7" s="12"/>
      <c r="D7" s="28"/>
      <c r="E7" s="25"/>
      <c r="F7" s="25"/>
      <c r="G7" s="25"/>
      <c r="H7" s="25"/>
      <c r="I7" s="25"/>
      <c r="J7" s="28"/>
      <c r="K7" s="28"/>
      <c r="L7" s="29"/>
      <c r="M7" s="22"/>
      <c r="N7" s="28"/>
      <c r="O7" s="28"/>
      <c r="P7" s="28"/>
      <c r="R7" s="28"/>
      <c r="S7" s="28"/>
      <c r="U7" s="28"/>
      <c r="V7" s="28"/>
      <c r="W7" s="28"/>
      <c r="X7" s="28"/>
      <c r="Y7" s="28"/>
      <c r="AA7" s="377"/>
      <c r="AB7" s="378"/>
      <c r="AC7" s="378"/>
      <c r="AE7" s="377"/>
      <c r="AF7" s="378"/>
      <c r="AG7" s="378"/>
      <c r="AI7" s="377"/>
      <c r="AJ7" s="378"/>
      <c r="AK7" s="378"/>
      <c r="AM7" s="377"/>
      <c r="AN7" s="378"/>
      <c r="AO7" s="378"/>
      <c r="AP7" s="378"/>
      <c r="AQ7" s="378"/>
      <c r="AS7" s="377"/>
      <c r="AT7" s="378"/>
      <c r="AU7" s="378"/>
      <c r="AV7" s="378"/>
      <c r="AW7" s="378"/>
      <c r="AY7" s="377"/>
      <c r="AZ7" s="378"/>
      <c r="BA7" s="378"/>
      <c r="BB7" s="378"/>
      <c r="BC7" s="378"/>
      <c r="BE7" s="377"/>
      <c r="BF7" s="378"/>
      <c r="BG7" s="378"/>
      <c r="BH7" s="378"/>
      <c r="BJ7" s="379"/>
      <c r="BK7" s="380"/>
      <c r="BL7" s="380"/>
      <c r="BM7" s="380"/>
    </row>
    <row r="8" spans="1:65" s="30" customFormat="1" x14ac:dyDescent="0.2">
      <c r="B8" s="31"/>
      <c r="D8" s="101">
        <f>D222</f>
        <v>99838451.654917568</v>
      </c>
      <c r="E8" s="34">
        <f t="shared" ref="E8:G8" si="2">+E222</f>
        <v>1692.2107060040184</v>
      </c>
      <c r="F8" s="35">
        <f t="shared" si="2"/>
        <v>0</v>
      </c>
      <c r="G8" s="35">
        <f t="shared" si="2"/>
        <v>0</v>
      </c>
      <c r="H8" s="65"/>
      <c r="I8" s="34">
        <f>+I222</f>
        <v>99838483.828704447</v>
      </c>
      <c r="J8" s="34">
        <f>+J222</f>
        <v>1692.2112513332549</v>
      </c>
      <c r="K8" s="35">
        <f>+K222</f>
        <v>-3.2225836821275777E-7</v>
      </c>
      <c r="L8" s="36">
        <f>+L222</f>
        <v>-3.2225836821275777E-7</v>
      </c>
      <c r="M8" s="37"/>
      <c r="N8" s="101">
        <f t="shared" ref="N8:P8" si="3">N222</f>
        <v>75160962</v>
      </c>
      <c r="O8" s="101">
        <f t="shared" si="3"/>
        <v>7992415</v>
      </c>
      <c r="P8" s="101">
        <f t="shared" si="3"/>
        <v>16596334</v>
      </c>
      <c r="R8" s="101">
        <f t="shared" ref="R8:S8" si="4">R222</f>
        <v>16596334</v>
      </c>
      <c r="S8" s="101">
        <f t="shared" si="4"/>
        <v>88740.654917549327</v>
      </c>
      <c r="U8" s="101"/>
      <c r="V8" s="101"/>
      <c r="W8" s="101"/>
      <c r="X8" s="101"/>
      <c r="Y8" s="101"/>
      <c r="AA8" s="101"/>
      <c r="AB8" s="101"/>
      <c r="AC8" s="101"/>
      <c r="AE8" s="101"/>
      <c r="AF8" s="101"/>
      <c r="AG8" s="101"/>
      <c r="AI8" s="101"/>
      <c r="AJ8" s="101"/>
      <c r="AK8" s="101"/>
      <c r="AM8" s="105">
        <v>9.9032458612846597E-4</v>
      </c>
      <c r="AN8" s="105">
        <v>-9.0634096792974184E-3</v>
      </c>
      <c r="AO8" s="105">
        <v>-7.8534914921046806E-5</v>
      </c>
      <c r="AP8" s="105"/>
      <c r="AQ8" s="105">
        <v>-3.0878578394233358E-7</v>
      </c>
      <c r="AS8" s="101"/>
      <c r="AT8" s="101"/>
      <c r="AU8" s="101"/>
      <c r="AV8" s="101"/>
      <c r="AW8" s="101"/>
      <c r="AY8" s="101"/>
      <c r="AZ8" s="101"/>
      <c r="BA8" s="101"/>
      <c r="BB8" s="101"/>
      <c r="BC8" s="101"/>
      <c r="BE8" s="101"/>
      <c r="BF8" s="101"/>
      <c r="BG8" s="101"/>
      <c r="BH8" s="101"/>
      <c r="BJ8" s="105"/>
      <c r="BK8" s="105"/>
      <c r="BL8" s="105"/>
      <c r="BM8" s="105"/>
    </row>
    <row r="9" spans="1:65" s="38" customFormat="1" x14ac:dyDescent="0.2">
      <c r="D9" s="39"/>
      <c r="E9" s="40"/>
      <c r="F9" s="40"/>
      <c r="G9" s="40"/>
      <c r="H9" s="41"/>
      <c r="I9" s="374" t="s">
        <v>3</v>
      </c>
      <c r="J9" s="374"/>
      <c r="K9" s="374"/>
      <c r="L9" s="374"/>
      <c r="M9" s="42"/>
      <c r="N9" s="39"/>
      <c r="O9" s="39"/>
      <c r="P9" s="39"/>
      <c r="R9" s="39"/>
      <c r="S9" s="39"/>
      <c r="U9" s="39"/>
      <c r="V9" s="39"/>
      <c r="W9" s="39"/>
      <c r="X9" s="39"/>
      <c r="Y9" s="39"/>
      <c r="AA9" s="39"/>
      <c r="AB9" s="39"/>
      <c r="AC9" s="39"/>
      <c r="AE9" s="39"/>
      <c r="AF9" s="39"/>
      <c r="AG9" s="39"/>
      <c r="AI9" s="39"/>
      <c r="AJ9" s="39"/>
      <c r="AK9" s="39"/>
      <c r="AM9" s="39">
        <f>AM222</f>
        <v>75242387</v>
      </c>
      <c r="AN9" s="39">
        <f>AN222</f>
        <v>7999732</v>
      </c>
      <c r="AO9" s="39">
        <f>AO222</f>
        <v>16596334</v>
      </c>
      <c r="AP9" s="39"/>
      <c r="AQ9" s="39">
        <f>AQ222</f>
        <v>99838453</v>
      </c>
      <c r="AS9" s="39">
        <f>AS222</f>
        <v>1275.3199865998333</v>
      </c>
      <c r="AT9" s="39">
        <f>AT222</f>
        <v>135.59136696503603</v>
      </c>
      <c r="AU9" s="39">
        <f>AU222</f>
        <v>281.2993752376085</v>
      </c>
      <c r="AV9" s="39"/>
      <c r="AW9" s="39">
        <f>AW222</f>
        <v>1692.2107288024779</v>
      </c>
      <c r="AY9" s="158">
        <f>AY222</f>
        <v>9.9032458612824392E-4</v>
      </c>
      <c r="AZ9" s="158">
        <f>AZ222</f>
        <v>-9.0634096792970853E-3</v>
      </c>
      <c r="BA9" s="158">
        <f>BA222</f>
        <v>-7.853491492126885E-5</v>
      </c>
      <c r="BB9" s="158">
        <f>BB222</f>
        <v>-3.0878578338722207E-7</v>
      </c>
      <c r="BC9" s="158"/>
      <c r="BE9" s="158">
        <f>BE222</f>
        <v>2.2355184870710199E-2</v>
      </c>
      <c r="BF9" s="158">
        <f>BF222</f>
        <v>3.0439825772549778E-2</v>
      </c>
      <c r="BG9" s="158">
        <f>BG222</f>
        <v>4.4714991673167059E-2</v>
      </c>
      <c r="BH9" s="158">
        <f>BH222</f>
        <v>2.6653252784364589E-2</v>
      </c>
      <c r="BJ9" s="158">
        <f>BJ222</f>
        <v>1.530913862612171E-2</v>
      </c>
      <c r="BK9" s="158">
        <f t="shared" ref="BK9:BM9" si="5">BK222</f>
        <v>2.3338060386014936E-2</v>
      </c>
      <c r="BL9" s="158">
        <f t="shared" si="5"/>
        <v>3.7514842201948673E-2</v>
      </c>
      <c r="BM9" s="158">
        <f t="shared" si="5"/>
        <v>1.9577584363716038E-2</v>
      </c>
    </row>
    <row r="10" spans="1:65" ht="63.75" x14ac:dyDescent="0.2">
      <c r="A10" s="44" t="s">
        <v>67</v>
      </c>
      <c r="B10" s="45" t="s">
        <v>68</v>
      </c>
      <c r="C10" s="43"/>
      <c r="D10" s="50" t="s">
        <v>487</v>
      </c>
      <c r="E10" s="50" t="s">
        <v>5</v>
      </c>
      <c r="F10" s="50" t="s">
        <v>10</v>
      </c>
      <c r="G10" s="50" t="s">
        <v>11</v>
      </c>
      <c r="H10" s="48"/>
      <c r="I10" s="48" t="s">
        <v>6</v>
      </c>
      <c r="J10" s="48" t="s">
        <v>7</v>
      </c>
      <c r="K10" s="48" t="s">
        <v>8</v>
      </c>
      <c r="L10" s="49" t="s">
        <v>9</v>
      </c>
      <c r="M10" s="51"/>
      <c r="N10" s="50" t="s">
        <v>489</v>
      </c>
      <c r="O10" s="50" t="s">
        <v>490</v>
      </c>
      <c r="P10" s="50" t="s">
        <v>491</v>
      </c>
      <c r="R10" s="50" t="s">
        <v>492</v>
      </c>
      <c r="S10" s="50" t="s">
        <v>493</v>
      </c>
      <c r="U10" s="50" t="s">
        <v>495</v>
      </c>
      <c r="V10" s="50" t="s">
        <v>496</v>
      </c>
      <c r="W10" s="50" t="s">
        <v>494</v>
      </c>
      <c r="X10" s="50" t="s">
        <v>497</v>
      </c>
      <c r="Y10" s="50" t="s">
        <v>498</v>
      </c>
      <c r="AA10" s="50" t="s">
        <v>499</v>
      </c>
      <c r="AB10" s="50" t="s">
        <v>500</v>
      </c>
      <c r="AC10" s="50" t="s">
        <v>502</v>
      </c>
      <c r="AE10" s="50" t="s">
        <v>499</v>
      </c>
      <c r="AF10" s="50" t="s">
        <v>500</v>
      </c>
      <c r="AG10" s="50" t="s">
        <v>502</v>
      </c>
      <c r="AI10" s="50" t="s">
        <v>499</v>
      </c>
      <c r="AJ10" s="50" t="s">
        <v>500</v>
      </c>
      <c r="AK10" s="50" t="s">
        <v>502</v>
      </c>
      <c r="AM10" s="50" t="s">
        <v>508</v>
      </c>
      <c r="AN10" s="50" t="s">
        <v>507</v>
      </c>
      <c r="AO10" s="50" t="s">
        <v>506</v>
      </c>
      <c r="AP10" s="50"/>
      <c r="AQ10" s="50" t="s">
        <v>509</v>
      </c>
      <c r="AR10" s="1"/>
      <c r="AS10" s="50" t="s">
        <v>508</v>
      </c>
      <c r="AT10" s="50" t="s">
        <v>507</v>
      </c>
      <c r="AU10" s="50" t="s">
        <v>506</v>
      </c>
      <c r="AV10" s="50"/>
      <c r="AW10" s="50" t="s">
        <v>509</v>
      </c>
      <c r="AX10" s="1"/>
      <c r="AY10" s="50" t="s">
        <v>508</v>
      </c>
      <c r="AZ10" s="50" t="s">
        <v>507</v>
      </c>
      <c r="BA10" s="50" t="s">
        <v>506</v>
      </c>
      <c r="BB10" s="50" t="s">
        <v>509</v>
      </c>
      <c r="BC10" s="50"/>
      <c r="BD10" s="1"/>
      <c r="BE10" s="50" t="s">
        <v>67</v>
      </c>
      <c r="BF10" s="50" t="s">
        <v>589</v>
      </c>
      <c r="BG10" s="50" t="s">
        <v>590</v>
      </c>
      <c r="BH10" s="50" t="s">
        <v>591</v>
      </c>
      <c r="BI10" s="1"/>
      <c r="BJ10" s="181" t="s">
        <v>67</v>
      </c>
      <c r="BK10" s="181" t="s">
        <v>589</v>
      </c>
      <c r="BL10" s="181" t="s">
        <v>590</v>
      </c>
      <c r="BM10" s="181" t="s">
        <v>591</v>
      </c>
    </row>
    <row r="11" spans="1:65" x14ac:dyDescent="0.2">
      <c r="D11" s="3"/>
      <c r="E11" s="3"/>
      <c r="F11" s="3"/>
      <c r="G11" s="3"/>
      <c r="H11" s="3"/>
      <c r="I11" s="3"/>
      <c r="J11" s="3"/>
      <c r="K11" s="3"/>
      <c r="L11" s="4"/>
      <c r="N11" s="3"/>
      <c r="O11" s="3"/>
      <c r="P11" s="3"/>
      <c r="R11" s="3"/>
      <c r="S11" s="3"/>
      <c r="U11" s="3"/>
      <c r="V11" s="3"/>
      <c r="W11" s="3"/>
      <c r="X11" s="3"/>
      <c r="Y11" s="3"/>
      <c r="AA11" s="3"/>
      <c r="AB11" s="3"/>
      <c r="AC11" s="3"/>
      <c r="AE11" s="3"/>
      <c r="AF11" s="3"/>
      <c r="AG11" s="3"/>
      <c r="AI11" s="3"/>
      <c r="AJ11" s="3"/>
      <c r="AK11" s="3"/>
      <c r="AM11" s="3"/>
      <c r="AN11" s="3"/>
      <c r="AO11" s="3"/>
      <c r="AP11" s="3"/>
      <c r="AQ11" s="3"/>
      <c r="AR11" s="1"/>
      <c r="AS11" s="3"/>
      <c r="AT11" s="3"/>
      <c r="AU11" s="3"/>
      <c r="AV11" s="3"/>
      <c r="AW11" s="3"/>
      <c r="AX11" s="1"/>
      <c r="AY11" s="3"/>
      <c r="AZ11" s="3"/>
      <c r="BA11" s="3"/>
      <c r="BB11" s="3"/>
      <c r="BC11" s="3"/>
      <c r="BD11" s="1"/>
      <c r="BE11" s="3"/>
      <c r="BF11" s="3"/>
      <c r="BG11" s="3"/>
      <c r="BH11" s="3"/>
      <c r="BI11" s="1"/>
      <c r="BJ11" s="16"/>
      <c r="BK11" s="16"/>
      <c r="BL11" s="16"/>
      <c r="BM11" s="16"/>
    </row>
    <row r="12" spans="1:65" x14ac:dyDescent="0.2">
      <c r="A12" s="156" t="s">
        <v>69</v>
      </c>
      <c r="B12" s="156" t="s">
        <v>70</v>
      </c>
      <c r="D12" s="56">
        <f>VLOOKUP(A12,'2019-20'!$A$12:$AMX220,32,FALSE)</f>
        <v>197854</v>
      </c>
      <c r="E12" s="56">
        <v>1831.4255107901508</v>
      </c>
      <c r="F12" s="16">
        <f>VLOOKUP(A12,'2019-20'!$A$12:$AMX220,34,FALSE)</f>
        <v>2.3765788234563656E-2</v>
      </c>
      <c r="G12" s="16">
        <f>VLOOKUP(A12,'2019-20'!$A$12:$AMX220,35,FALSE)</f>
        <v>2.1836752080913735E-2</v>
      </c>
      <c r="H12" s="56"/>
      <c r="I12" s="56">
        <v>196072.24980900451</v>
      </c>
      <c r="J12" s="56">
        <v>1814.9328305630927</v>
      </c>
      <c r="K12" s="16">
        <f>D12/I12-1</f>
        <v>9.0872124573013746E-3</v>
      </c>
      <c r="L12" s="58">
        <f>E12/J12-1</f>
        <v>9.0872124573013746E-3</v>
      </c>
      <c r="M12" s="10"/>
      <c r="N12" s="56">
        <v>154148</v>
      </c>
      <c r="O12" s="56">
        <v>14985</v>
      </c>
      <c r="P12" s="56">
        <v>28721</v>
      </c>
      <c r="R12" s="56">
        <f>ROUND(P12,0)</f>
        <v>28721</v>
      </c>
      <c r="S12" s="56">
        <f>D12-SUM(N12:P12)</f>
        <v>0</v>
      </c>
      <c r="U12" s="16">
        <v>1.2270468272108648E-2</v>
      </c>
      <c r="V12" s="16">
        <v>-6.2577513091159886E-3</v>
      </c>
      <c r="W12" s="56">
        <f>IF(AND(U12&lt;0,V12&gt;0),1,IF(AND(U12&gt;0,V12&gt;0),2,IF(AND(U12&gt;0,V12&lt;0),3,IF(AND(U12&lt;0,V12&lt;0),4,5))))</f>
        <v>3</v>
      </c>
      <c r="X12" s="56">
        <f>N12/(1+U12)/100</f>
        <v>1522.794597209996</v>
      </c>
      <c r="Y12" s="56">
        <f>O12/(1+V12)/100</f>
        <v>150.79362902946548</v>
      </c>
      <c r="AA12" s="56">
        <f>IF(W12=1,MIN(S12,-1*U12*N12),0)</f>
        <v>0</v>
      </c>
      <c r="AB12" s="56">
        <v>0</v>
      </c>
      <c r="AC12" s="56">
        <f>S12-AA12-AB12</f>
        <v>0</v>
      </c>
      <c r="AE12" s="56">
        <v>0</v>
      </c>
      <c r="AF12" s="56">
        <f>IF(W12=3,MIN(S12,-1*V12*O12),0)</f>
        <v>0</v>
      </c>
      <c r="AG12" s="56">
        <f>AC12-AE12-AF12</f>
        <v>0</v>
      </c>
      <c r="AI12" s="56">
        <f>AG12*X12/(X12+Y12)</f>
        <v>0</v>
      </c>
      <c r="AJ12" s="56">
        <f>AG12*Y12/(X12+Y12)</f>
        <v>0</v>
      </c>
      <c r="AK12" s="56">
        <f>S12-SUM(AA12:AB12)-SUM(AE12:AF12)-SUM(AI12:AJ12)</f>
        <v>0</v>
      </c>
      <c r="AM12" s="56">
        <f>ROUND(N12+AA12+AE12+AI12,0)</f>
        <v>154148</v>
      </c>
      <c r="AN12" s="56">
        <f>ROUND(O12+AB12+AF12+AJ12,0)</f>
        <v>14985</v>
      </c>
      <c r="AO12" s="56">
        <f>R12</f>
        <v>28721</v>
      </c>
      <c r="AP12" s="56"/>
      <c r="AQ12" s="56">
        <f>SUM(AM12:AP12)</f>
        <v>197854</v>
      </c>
      <c r="AR12" s="1"/>
      <c r="AS12" s="56">
        <v>1426.8631396751148</v>
      </c>
      <c r="AT12" s="56">
        <v>138.70789207794843</v>
      </c>
      <c r="AU12" s="56">
        <v>265.85447903708757</v>
      </c>
      <c r="AV12" s="56"/>
      <c r="AW12" s="56">
        <v>1831.4255107901508</v>
      </c>
      <c r="AX12" s="1"/>
      <c r="AY12" s="16">
        <v>1.2270468272108648E-2</v>
      </c>
      <c r="AZ12" s="16">
        <v>-6.2577513091159886E-3</v>
      </c>
      <c r="BA12" s="16">
        <v>2.6373775909194208E-4</v>
      </c>
      <c r="BB12" s="16">
        <f>SUM(AM12:AO12)/I12-1</f>
        <v>9.0872124573013746E-3</v>
      </c>
      <c r="BC12" s="16"/>
      <c r="BD12" s="1"/>
      <c r="BE12" s="16">
        <f>AM12/'2018-19 disagg'!AM12-1</f>
        <v>2.0786840519439131E-2</v>
      </c>
      <c r="BF12" s="16">
        <f>AN12/'2018-19 disagg'!AN12-1</f>
        <v>2.5035912169095065E-2</v>
      </c>
      <c r="BG12" s="16">
        <f>AO12/'2018-19 disagg'!AO12-1</f>
        <v>3.9373213187131384E-2</v>
      </c>
      <c r="BH12" s="16">
        <f>AQ12/'2018-19 disagg'!AQ12-1</f>
        <v>2.3765788234563656E-2</v>
      </c>
      <c r="BI12" s="1"/>
      <c r="BJ12" s="16">
        <f>AS12/'2018-19 disagg'!AS12-1</f>
        <v>1.8863417463929943E-2</v>
      </c>
      <c r="BK12" s="16">
        <f>AT12/'2018-19 disagg'!AT12-1</f>
        <v>2.3104482777638546E-2</v>
      </c>
      <c r="BL12" s="16">
        <f>AU12/'2018-19 disagg'!AU12-1</f>
        <v>3.7414768659666864E-2</v>
      </c>
      <c r="BM12" s="16">
        <f>AW12/'2018-19 disagg'!AW12-1</f>
        <v>2.1836752080913735E-2</v>
      </c>
    </row>
    <row r="13" spans="1:65" x14ac:dyDescent="0.2">
      <c r="A13" s="156" t="s">
        <v>71</v>
      </c>
      <c r="B13" s="156" t="s">
        <v>72</v>
      </c>
      <c r="D13" s="56">
        <f>VLOOKUP(A13,'2019-20'!$A$12:$AMX221,32,FALSE)</f>
        <v>585676</v>
      </c>
      <c r="E13" s="56">
        <v>1987.9116029809193</v>
      </c>
      <c r="F13" s="16">
        <f>VLOOKUP(A13,'2019-20'!$A$12:$AMX221,34,FALSE)</f>
        <v>2.2996978218721154E-2</v>
      </c>
      <c r="G13" s="16">
        <f>VLOOKUP(A13,'2019-20'!$A$12:$AMX221,35,FALSE)</f>
        <v>1.8803371379309208E-2</v>
      </c>
      <c r="H13" s="56"/>
      <c r="I13" s="56">
        <v>564454.60007537634</v>
      </c>
      <c r="J13" s="56">
        <v>1915.8815605314119</v>
      </c>
      <c r="K13" s="16">
        <f t="shared" ref="K13:L76" si="6">D13/I13-1</f>
        <v>3.7596291928154724E-2</v>
      </c>
      <c r="L13" s="58">
        <f t="shared" si="6"/>
        <v>3.7596291928154724E-2</v>
      </c>
      <c r="M13" s="10"/>
      <c r="N13" s="56">
        <v>467703</v>
      </c>
      <c r="O13" s="56">
        <v>44868</v>
      </c>
      <c r="P13" s="56">
        <v>73105</v>
      </c>
      <c r="R13" s="56">
        <f t="shared" ref="R13:R76" si="7">ROUND(P13,0)</f>
        <v>73105</v>
      </c>
      <c r="S13" s="56">
        <f t="shared" ref="S13:S76" si="8">D13-SUM(N13:P13)</f>
        <v>0</v>
      </c>
      <c r="U13" s="16">
        <v>4.7688267611593504E-2</v>
      </c>
      <c r="V13" s="16">
        <v>5.9775535873838548E-2</v>
      </c>
      <c r="W13" s="56">
        <f t="shared" ref="W13:W76" si="9">IF(AND(U13&lt;0,V13&gt;0),1,IF(AND(U13&gt;0,V13&gt;0),2,IF(AND(U13&gt;0,V13&lt;0),3,IF(AND(U13&lt;0,V13&lt;0),4,5))))</f>
        <v>2</v>
      </c>
      <c r="X13" s="56">
        <f t="shared" ref="X13:Y76" si="10">N13/(1+U13)/100</f>
        <v>4464.142765158751</v>
      </c>
      <c r="Y13" s="56">
        <f t="shared" si="10"/>
        <v>423.37267167621553</v>
      </c>
      <c r="AA13" s="56">
        <f>IF(W13=1,MIN(S13,-1*U13*N13),0)</f>
        <v>0</v>
      </c>
      <c r="AB13" s="56">
        <v>0</v>
      </c>
      <c r="AC13" s="56">
        <f t="shared" ref="AC13:AC76" si="11">S13-AA13-AB13</f>
        <v>0</v>
      </c>
      <c r="AE13" s="56">
        <v>0</v>
      </c>
      <c r="AF13" s="56">
        <f t="shared" ref="AF13:AF76" si="12">IF(W13=3,MIN(S13,-1*V13*O13),0)</f>
        <v>0</v>
      </c>
      <c r="AG13" s="56">
        <f t="shared" ref="AG13:AG76" si="13">AC13-AE13-AF13</f>
        <v>0</v>
      </c>
      <c r="AI13" s="56">
        <f t="shared" ref="AI13:AI76" si="14">AG13*X13/(X13+Y13)</f>
        <v>0</v>
      </c>
      <c r="AJ13" s="56">
        <f t="shared" ref="AJ13:AJ76" si="15">AG13*Y13/(X13+Y13)</f>
        <v>0</v>
      </c>
      <c r="AK13" s="56">
        <f t="shared" ref="AK13:AK76" si="16">S13-SUM(AA13:AB13)-SUM(AE13:AF13)-SUM(AI13:AJ13)</f>
        <v>0</v>
      </c>
      <c r="AM13" s="56">
        <f t="shared" ref="AM13:AM76" si="17">ROUND(N13+AA13+AE13+AI13,0)</f>
        <v>467703</v>
      </c>
      <c r="AN13" s="56">
        <f t="shared" ref="AN13:AN76" si="18">ROUND(O13+AB13+AF13+AJ13,0)</f>
        <v>44868</v>
      </c>
      <c r="AO13" s="56">
        <f t="shared" ref="AO13:AO76" si="19">R13</f>
        <v>73105</v>
      </c>
      <c r="AP13" s="56"/>
      <c r="AQ13" s="56">
        <f t="shared" ref="AQ13:AQ76" si="20">SUM(AM13:AP13)</f>
        <v>585676</v>
      </c>
      <c r="AR13" s="1"/>
      <c r="AS13" s="56">
        <v>1587.4856071428314</v>
      </c>
      <c r="AT13" s="56">
        <v>152.29174117182177</v>
      </c>
      <c r="AU13" s="56">
        <v>248.13425466626617</v>
      </c>
      <c r="AV13" s="56"/>
      <c r="AW13" s="56">
        <v>1987.9116029809193</v>
      </c>
      <c r="AX13" s="1"/>
      <c r="AY13" s="16">
        <v>4.7688267611593504E-2</v>
      </c>
      <c r="AZ13" s="16">
        <v>5.9775535873838548E-2</v>
      </c>
      <c r="BA13" s="16">
        <v>-3.4319042264698063E-2</v>
      </c>
      <c r="BB13" s="16">
        <f t="shared" ref="BB13:BB76" si="21">SUM(AM13:AO13)/I13-1</f>
        <v>3.7596291928154724E-2</v>
      </c>
      <c r="BC13" s="16"/>
      <c r="BD13" s="1"/>
      <c r="BE13" s="16">
        <f>AM13/'2018-19 disagg'!AM13-1</f>
        <v>2.0784407874634425E-2</v>
      </c>
      <c r="BF13" s="16">
        <f>AN13/'2018-19 disagg'!AN13-1</f>
        <v>1.6285759586853521E-2</v>
      </c>
      <c r="BG13" s="16">
        <f>AO13/'2018-19 disagg'!AO13-1</f>
        <v>4.1663698151921391E-2</v>
      </c>
      <c r="BH13" s="16">
        <f>AQ13/'2018-19 disagg'!AQ13-1</f>
        <v>2.2996978218721154E-2</v>
      </c>
      <c r="BI13" s="1"/>
      <c r="BJ13" s="16">
        <f>AS13/'2018-19 disagg'!AS13-1</f>
        <v>1.6599871101239616E-2</v>
      </c>
      <c r="BK13" s="16">
        <f>AT13/'2018-19 disagg'!AT13-1</f>
        <v>1.2119664277734143E-2</v>
      </c>
      <c r="BL13" s="16">
        <f>AU13/'2018-19 disagg'!AU13-1</f>
        <v>3.7393570182879809E-2</v>
      </c>
      <c r="BM13" s="16">
        <f>AW13/'2018-19 disagg'!AW13-1</f>
        <v>1.8803371379309208E-2</v>
      </c>
    </row>
    <row r="14" spans="1:65" x14ac:dyDescent="0.2">
      <c r="A14" s="156" t="s">
        <v>73</v>
      </c>
      <c r="B14" s="156" t="s">
        <v>74</v>
      </c>
      <c r="D14" s="56">
        <f>VLOOKUP(A14,'2019-20'!$A$12:$AMX222,32,FALSE)</f>
        <v>962620</v>
      </c>
      <c r="E14" s="56">
        <v>1868.1411167497947</v>
      </c>
      <c r="F14" s="16">
        <f>VLOOKUP(A14,'2019-20'!$A$12:$AMX222,34,FALSE)</f>
        <v>2.4291571211045859E-2</v>
      </c>
      <c r="G14" s="16">
        <f>VLOOKUP(A14,'2019-20'!$A$12:$AMX222,35,FALSE)</f>
        <v>2.1712114322813614E-2</v>
      </c>
      <c r="H14" s="56"/>
      <c r="I14" s="56">
        <v>939518.51505363523</v>
      </c>
      <c r="J14" s="56">
        <v>1823.3084373059016</v>
      </c>
      <c r="K14" s="16">
        <f t="shared" si="6"/>
        <v>2.4588642561286678E-2</v>
      </c>
      <c r="L14" s="58">
        <f t="shared" si="6"/>
        <v>2.4588642561286678E-2</v>
      </c>
      <c r="M14" s="10"/>
      <c r="N14" s="56">
        <v>743517</v>
      </c>
      <c r="O14" s="56">
        <v>71142</v>
      </c>
      <c r="P14" s="56">
        <v>147961</v>
      </c>
      <c r="R14" s="56">
        <f t="shared" si="7"/>
        <v>147961</v>
      </c>
      <c r="S14" s="56">
        <f t="shared" si="8"/>
        <v>0</v>
      </c>
      <c r="U14" s="16">
        <v>3.8937236847358614E-2</v>
      </c>
      <c r="V14" s="16">
        <v>-4.8584732151678023E-2</v>
      </c>
      <c r="W14" s="56">
        <f t="shared" si="9"/>
        <v>3</v>
      </c>
      <c r="X14" s="56">
        <f t="shared" si="10"/>
        <v>7156.5150774284739</v>
      </c>
      <c r="Y14" s="56">
        <f t="shared" si="10"/>
        <v>747.7491943228066</v>
      </c>
      <c r="AA14" s="56">
        <f t="shared" ref="AA14:AA77" si="22">IF(W14=1,MIN(S14,-1*U14*N14),0)</f>
        <v>0</v>
      </c>
      <c r="AB14" s="56">
        <v>0</v>
      </c>
      <c r="AC14" s="56">
        <f t="shared" si="11"/>
        <v>0</v>
      </c>
      <c r="AE14" s="56">
        <v>0</v>
      </c>
      <c r="AF14" s="56">
        <f t="shared" si="12"/>
        <v>0</v>
      </c>
      <c r="AG14" s="56">
        <f t="shared" si="13"/>
        <v>0</v>
      </c>
      <c r="AI14" s="56">
        <f t="shared" si="14"/>
        <v>0</v>
      </c>
      <c r="AJ14" s="56">
        <f t="shared" si="15"/>
        <v>0</v>
      </c>
      <c r="AK14" s="56">
        <f t="shared" si="16"/>
        <v>0</v>
      </c>
      <c r="AM14" s="56">
        <f t="shared" si="17"/>
        <v>743517</v>
      </c>
      <c r="AN14" s="56">
        <f t="shared" si="18"/>
        <v>71142</v>
      </c>
      <c r="AO14" s="56">
        <f t="shared" si="19"/>
        <v>147961</v>
      </c>
      <c r="AP14" s="56"/>
      <c r="AQ14" s="56">
        <f t="shared" si="20"/>
        <v>962620</v>
      </c>
      <c r="AR14" s="1"/>
      <c r="AS14" s="56">
        <v>1442.93145654823</v>
      </c>
      <c r="AT14" s="56">
        <v>138.06413260457285</v>
      </c>
      <c r="AU14" s="56">
        <v>287.14552759699194</v>
      </c>
      <c r="AV14" s="56"/>
      <c r="AW14" s="56">
        <v>1868.1411167497947</v>
      </c>
      <c r="AX14" s="1"/>
      <c r="AY14" s="16">
        <v>3.8937236847358614E-2</v>
      </c>
      <c r="AZ14" s="16">
        <v>-4.8584732151678023E-2</v>
      </c>
      <c r="BA14" s="16">
        <v>-7.5865050560481873E-3</v>
      </c>
      <c r="BB14" s="16">
        <f t="shared" si="21"/>
        <v>2.4588642561286678E-2</v>
      </c>
      <c r="BC14" s="16"/>
      <c r="BD14" s="1"/>
      <c r="BE14" s="16">
        <f>AM14/'2018-19 disagg'!AM14-1</f>
        <v>2.0783136251868894E-2</v>
      </c>
      <c r="BF14" s="16">
        <f>AN14/'2018-19 disagg'!AN14-1</f>
        <v>2.8896216591461243E-2</v>
      </c>
      <c r="BG14" s="16">
        <f>AO14/'2018-19 disagg'!AO14-1</f>
        <v>4.001602609160182E-2</v>
      </c>
      <c r="BH14" s="16">
        <f>AQ14/'2018-19 disagg'!AQ14-1</f>
        <v>2.4291571211045859E-2</v>
      </c>
      <c r="BI14" s="1"/>
      <c r="BJ14" s="16">
        <f>AS14/'2018-19 disagg'!AS14-1</f>
        <v>1.8212514598619167E-2</v>
      </c>
      <c r="BK14" s="16">
        <f>AT14/'2018-19 disagg'!AT14-1</f>
        <v>2.6305163899281947E-2</v>
      </c>
      <c r="BL14" s="16">
        <f>AU14/'2018-19 disagg'!AU14-1</f>
        <v>3.7396970563103871E-2</v>
      </c>
      <c r="BM14" s="16">
        <f>AW14/'2018-19 disagg'!AW14-1</f>
        <v>2.1712114322813614E-2</v>
      </c>
    </row>
    <row r="15" spans="1:65" x14ac:dyDescent="0.2">
      <c r="A15" s="156" t="s">
        <v>75</v>
      </c>
      <c r="B15" s="156" t="s">
        <v>76</v>
      </c>
      <c r="D15" s="56">
        <f>VLOOKUP(A15,'2019-20'!$A$12:$AMX223,32,FALSE)</f>
        <v>542643</v>
      </c>
      <c r="E15" s="56">
        <v>1806.4040910665951</v>
      </c>
      <c r="F15" s="16">
        <f>VLOOKUP(A15,'2019-20'!$A$12:$AMX223,34,FALSE)</f>
        <v>2.4469398620304172E-2</v>
      </c>
      <c r="G15" s="16">
        <f>VLOOKUP(A15,'2019-20'!$A$12:$AMX223,35,FALSE)</f>
        <v>1.94517719952918E-2</v>
      </c>
      <c r="H15" s="56"/>
      <c r="I15" s="56">
        <v>546854.65346580639</v>
      </c>
      <c r="J15" s="56">
        <v>1820.42426280158</v>
      </c>
      <c r="K15" s="16">
        <f t="shared" si="6"/>
        <v>-7.7015957331882934E-3</v>
      </c>
      <c r="L15" s="58">
        <f t="shared" si="6"/>
        <v>-7.7015957331881824E-3</v>
      </c>
      <c r="M15" s="10"/>
      <c r="N15" s="56">
        <v>421648</v>
      </c>
      <c r="O15" s="56">
        <v>42128</v>
      </c>
      <c r="P15" s="56">
        <v>78867</v>
      </c>
      <c r="R15" s="56">
        <f t="shared" si="7"/>
        <v>78867</v>
      </c>
      <c r="S15" s="56">
        <f t="shared" si="8"/>
        <v>0</v>
      </c>
      <c r="U15" s="16">
        <v>-9.5961919490537007E-3</v>
      </c>
      <c r="V15" s="16">
        <v>-8.2284052609836733E-3</v>
      </c>
      <c r="W15" s="56">
        <f t="shared" si="9"/>
        <v>4</v>
      </c>
      <c r="X15" s="56">
        <f t="shared" si="10"/>
        <v>4257.3341961374044</v>
      </c>
      <c r="Y15" s="56">
        <f t="shared" si="10"/>
        <v>424.77522267701102</v>
      </c>
      <c r="AA15" s="56">
        <f t="shared" si="22"/>
        <v>0</v>
      </c>
      <c r="AB15" s="56">
        <v>0</v>
      </c>
      <c r="AC15" s="56">
        <f t="shared" si="11"/>
        <v>0</v>
      </c>
      <c r="AE15" s="56">
        <v>0</v>
      </c>
      <c r="AF15" s="56">
        <f t="shared" si="12"/>
        <v>0</v>
      </c>
      <c r="AG15" s="56">
        <f t="shared" si="13"/>
        <v>0</v>
      </c>
      <c r="AI15" s="56">
        <f t="shared" si="14"/>
        <v>0</v>
      </c>
      <c r="AJ15" s="56">
        <f t="shared" si="15"/>
        <v>0</v>
      </c>
      <c r="AK15" s="56">
        <f t="shared" si="16"/>
        <v>0</v>
      </c>
      <c r="AM15" s="56">
        <f t="shared" si="17"/>
        <v>421648</v>
      </c>
      <c r="AN15" s="56">
        <f t="shared" si="18"/>
        <v>42128</v>
      </c>
      <c r="AO15" s="56">
        <f t="shared" si="19"/>
        <v>78867</v>
      </c>
      <c r="AP15" s="56"/>
      <c r="AQ15" s="56">
        <f t="shared" si="20"/>
        <v>542643</v>
      </c>
      <c r="AR15" s="1"/>
      <c r="AS15" s="56">
        <v>1403.623878295763</v>
      </c>
      <c r="AT15" s="56">
        <v>140.23988432257215</v>
      </c>
      <c r="AU15" s="56">
        <v>262.54032844826003</v>
      </c>
      <c r="AV15" s="56"/>
      <c r="AW15" s="56">
        <v>1806.4040910665951</v>
      </c>
      <c r="AX15" s="1"/>
      <c r="AY15" s="16">
        <v>-9.5961919490537007E-3</v>
      </c>
      <c r="AZ15" s="16">
        <v>-8.2284052609836733E-3</v>
      </c>
      <c r="BA15" s="16">
        <v>2.839240558930145E-3</v>
      </c>
      <c r="BB15" s="16">
        <f t="shared" si="21"/>
        <v>-7.7015957331882934E-3</v>
      </c>
      <c r="BC15" s="16"/>
      <c r="BD15" s="1"/>
      <c r="BE15" s="16">
        <f>AM15/'2018-19 disagg'!AM15-1</f>
        <v>2.0783754536233046E-2</v>
      </c>
      <c r="BF15" s="16">
        <f>AN15/'2018-19 disagg'!AN15-1</f>
        <v>2.8314782269088123E-2</v>
      </c>
      <c r="BG15" s="16">
        <f>AO15/'2018-19 disagg'!AO15-1</f>
        <v>4.251100448110412E-2</v>
      </c>
      <c r="BH15" s="16">
        <f>AQ15/'2018-19 disagg'!AQ15-1</f>
        <v>2.4469398620304172E-2</v>
      </c>
      <c r="BI15" s="1"/>
      <c r="BJ15" s="16">
        <f>AS15/'2018-19 disagg'!AS15-1</f>
        <v>1.5784179388318442E-2</v>
      </c>
      <c r="BK15" s="16">
        <f>AT15/'2018-19 disagg'!AT15-1</f>
        <v>2.3278321797593149E-2</v>
      </c>
      <c r="BL15" s="16">
        <f>AU15/'2018-19 disagg'!AU15-1</f>
        <v>3.7405014023997651E-2</v>
      </c>
      <c r="BM15" s="16">
        <f>AW15/'2018-19 disagg'!AW15-1</f>
        <v>1.94517719952918E-2</v>
      </c>
    </row>
    <row r="16" spans="1:65" x14ac:dyDescent="0.2">
      <c r="A16" s="156" t="s">
        <v>77</v>
      </c>
      <c r="B16" s="156" t="s">
        <v>78</v>
      </c>
      <c r="D16" s="56">
        <f>VLOOKUP(A16,'2019-20'!$A$12:$AMX224,32,FALSE)</f>
        <v>457723</v>
      </c>
      <c r="E16" s="56">
        <v>1794.5179279579982</v>
      </c>
      <c r="F16" s="16">
        <f>VLOOKUP(A16,'2019-20'!$A$12:$AMX224,34,FALSE)</f>
        <v>2.2077278289373892E-2</v>
      </c>
      <c r="G16" s="16">
        <f>VLOOKUP(A16,'2019-20'!$A$12:$AMX224,35,FALSE)</f>
        <v>1.8620664513422591E-2</v>
      </c>
      <c r="H16" s="56"/>
      <c r="I16" s="56">
        <v>439831.34467926924</v>
      </c>
      <c r="J16" s="56">
        <v>1724.3731106036234</v>
      </c>
      <c r="K16" s="16">
        <f t="shared" si="6"/>
        <v>4.0678445356771009E-2</v>
      </c>
      <c r="L16" s="58">
        <f t="shared" si="6"/>
        <v>4.0678445356771009E-2</v>
      </c>
      <c r="M16" s="10"/>
      <c r="N16" s="56">
        <v>360354</v>
      </c>
      <c r="O16" s="56">
        <v>35208</v>
      </c>
      <c r="P16" s="56">
        <v>62161</v>
      </c>
      <c r="R16" s="56">
        <f t="shared" si="7"/>
        <v>62161</v>
      </c>
      <c r="S16" s="56">
        <f t="shared" si="8"/>
        <v>0</v>
      </c>
      <c r="U16" s="16">
        <v>5.0933338744114209E-2</v>
      </c>
      <c r="V16" s="16">
        <v>5.1561029802596803E-2</v>
      </c>
      <c r="W16" s="56">
        <f t="shared" si="9"/>
        <v>2</v>
      </c>
      <c r="X16" s="56">
        <f t="shared" si="10"/>
        <v>3428.8949328663421</v>
      </c>
      <c r="Y16" s="56">
        <f t="shared" si="10"/>
        <v>334.81651565776815</v>
      </c>
      <c r="AA16" s="56">
        <f t="shared" si="22"/>
        <v>0</v>
      </c>
      <c r="AB16" s="56">
        <v>0</v>
      </c>
      <c r="AC16" s="56">
        <f t="shared" si="11"/>
        <v>0</v>
      </c>
      <c r="AE16" s="56">
        <v>0</v>
      </c>
      <c r="AF16" s="56">
        <f t="shared" si="12"/>
        <v>0</v>
      </c>
      <c r="AG16" s="56">
        <f t="shared" si="13"/>
        <v>0</v>
      </c>
      <c r="AI16" s="56">
        <f t="shared" si="14"/>
        <v>0</v>
      </c>
      <c r="AJ16" s="56">
        <f t="shared" si="15"/>
        <v>0</v>
      </c>
      <c r="AK16" s="56">
        <f t="shared" si="16"/>
        <v>0</v>
      </c>
      <c r="AM16" s="56">
        <f t="shared" si="17"/>
        <v>360354</v>
      </c>
      <c r="AN16" s="56">
        <f t="shared" si="18"/>
        <v>35208</v>
      </c>
      <c r="AO16" s="56">
        <f t="shared" si="19"/>
        <v>62161</v>
      </c>
      <c r="AP16" s="56"/>
      <c r="AQ16" s="56">
        <f t="shared" si="20"/>
        <v>457723</v>
      </c>
      <c r="AR16" s="1"/>
      <c r="AS16" s="56">
        <v>1412.7795924857969</v>
      </c>
      <c r="AT16" s="56">
        <v>138.03411060301798</v>
      </c>
      <c r="AU16" s="56">
        <v>243.70422486918315</v>
      </c>
      <c r="AV16" s="56"/>
      <c r="AW16" s="56">
        <v>1794.5179279579982</v>
      </c>
      <c r="AX16" s="1"/>
      <c r="AY16" s="16">
        <v>5.0933338744114209E-2</v>
      </c>
      <c r="AZ16" s="16">
        <v>5.1561029802596803E-2</v>
      </c>
      <c r="BA16" s="16">
        <v>-2.047267153905763E-2</v>
      </c>
      <c r="BB16" s="16">
        <f t="shared" si="21"/>
        <v>4.0678445356771009E-2</v>
      </c>
      <c r="BC16" s="16"/>
      <c r="BD16" s="1"/>
      <c r="BE16" s="16">
        <f>AM16/'2018-19 disagg'!AM16-1</f>
        <v>1.9201561240507425E-2</v>
      </c>
      <c r="BF16" s="16">
        <f>AN16/'2018-19 disagg'!AN16-1</f>
        <v>1.892689703073458E-2</v>
      </c>
      <c r="BG16" s="16">
        <f>AO16/'2018-19 disagg'!AO16-1</f>
        <v>4.0926369375554605E-2</v>
      </c>
      <c r="BH16" s="16">
        <f>AQ16/'2018-19 disagg'!AQ16-1</f>
        <v>2.2077278289373892E-2</v>
      </c>
      <c r="BI16" s="1"/>
      <c r="BJ16" s="16">
        <f>AS16/'2018-19 disagg'!AS16-1</f>
        <v>1.575467299449218E-2</v>
      </c>
      <c r="BK16" s="16">
        <f>AT16/'2018-19 disagg'!AT16-1</f>
        <v>1.5480937685215856E-2</v>
      </c>
      <c r="BL16" s="16">
        <f>AU16/'2018-19 disagg'!AU16-1</f>
        <v>3.7406008924771195E-2</v>
      </c>
      <c r="BM16" s="16">
        <f>AW16/'2018-19 disagg'!AW16-1</f>
        <v>1.8620664513422591E-2</v>
      </c>
    </row>
    <row r="17" spans="1:65" x14ac:dyDescent="0.2">
      <c r="A17" s="156" t="s">
        <v>79</v>
      </c>
      <c r="B17" s="156" t="s">
        <v>80</v>
      </c>
      <c r="D17" s="56">
        <f>VLOOKUP(A17,'2019-20'!$A$12:$AMX225,32,FALSE)</f>
        <v>418926</v>
      </c>
      <c r="E17" s="56">
        <v>1887.260874084908</v>
      </c>
      <c r="F17" s="16">
        <f>VLOOKUP(A17,'2019-20'!$A$12:$AMX225,34,FALSE)</f>
        <v>2.4770058708414977E-2</v>
      </c>
      <c r="G17" s="16">
        <f>VLOOKUP(A17,'2019-20'!$A$12:$AMX225,35,FALSE)</f>
        <v>1.8763108657894101E-2</v>
      </c>
      <c r="H17" s="56"/>
      <c r="I17" s="56">
        <v>408562.72028365231</v>
      </c>
      <c r="J17" s="56">
        <v>1840.5743176623878</v>
      </c>
      <c r="K17" s="16">
        <f t="shared" si="6"/>
        <v>2.53652112683036E-2</v>
      </c>
      <c r="L17" s="58">
        <f t="shared" si="6"/>
        <v>2.53652112683036E-2</v>
      </c>
      <c r="M17" s="10"/>
      <c r="N17" s="56">
        <v>326341</v>
      </c>
      <c r="O17" s="56">
        <v>29840</v>
      </c>
      <c r="P17" s="56">
        <v>62745</v>
      </c>
      <c r="R17" s="56">
        <f t="shared" si="7"/>
        <v>62745</v>
      </c>
      <c r="S17" s="56">
        <f t="shared" si="8"/>
        <v>0</v>
      </c>
      <c r="U17" s="16">
        <v>4.0512643394939651E-2</v>
      </c>
      <c r="V17" s="16">
        <v>-1.5287971097950215E-2</v>
      </c>
      <c r="W17" s="56">
        <f t="shared" si="9"/>
        <v>3</v>
      </c>
      <c r="X17" s="56">
        <f t="shared" si="10"/>
        <v>3136.3482421052445</v>
      </c>
      <c r="Y17" s="56">
        <f t="shared" si="10"/>
        <v>303.03275601570022</v>
      </c>
      <c r="AA17" s="56">
        <f t="shared" si="22"/>
        <v>0</v>
      </c>
      <c r="AB17" s="56">
        <v>0</v>
      </c>
      <c r="AC17" s="56">
        <f t="shared" si="11"/>
        <v>0</v>
      </c>
      <c r="AE17" s="56">
        <v>0</v>
      </c>
      <c r="AF17" s="56">
        <f t="shared" si="12"/>
        <v>0</v>
      </c>
      <c r="AG17" s="56">
        <f t="shared" si="13"/>
        <v>0</v>
      </c>
      <c r="AI17" s="56">
        <f t="shared" si="14"/>
        <v>0</v>
      </c>
      <c r="AJ17" s="56">
        <f t="shared" si="15"/>
        <v>0</v>
      </c>
      <c r="AK17" s="56">
        <f t="shared" si="16"/>
        <v>0</v>
      </c>
      <c r="AM17" s="56">
        <f t="shared" si="17"/>
        <v>326341</v>
      </c>
      <c r="AN17" s="56">
        <f t="shared" si="18"/>
        <v>29840</v>
      </c>
      <c r="AO17" s="56">
        <f t="shared" si="19"/>
        <v>62745</v>
      </c>
      <c r="AP17" s="56"/>
      <c r="AQ17" s="56">
        <f t="shared" si="20"/>
        <v>418926</v>
      </c>
      <c r="AR17" s="1"/>
      <c r="AS17" s="56">
        <v>1470.1656161463909</v>
      </c>
      <c r="AT17" s="56">
        <v>134.4291461563466</v>
      </c>
      <c r="AU17" s="56">
        <v>282.6661117821705</v>
      </c>
      <c r="AV17" s="56"/>
      <c r="AW17" s="56">
        <v>1887.260874084908</v>
      </c>
      <c r="AX17" s="1"/>
      <c r="AY17" s="16">
        <v>4.0512643394939651E-2</v>
      </c>
      <c r="AZ17" s="16">
        <v>-1.5287971097950215E-2</v>
      </c>
      <c r="BA17" s="16">
        <v>-2.9085207121410939E-2</v>
      </c>
      <c r="BB17" s="16">
        <f t="shared" si="21"/>
        <v>2.53652112683036E-2</v>
      </c>
      <c r="BC17" s="16"/>
      <c r="BD17" s="1"/>
      <c r="BE17" s="16">
        <f>AM17/'2018-19 disagg'!AM17-1</f>
        <v>2.078217812491201E-2</v>
      </c>
      <c r="BF17" s="16">
        <f>AN17/'2018-19 disagg'!AN17-1</f>
        <v>2.9853321829163004E-2</v>
      </c>
      <c r="BG17" s="16">
        <f>AO17/'2018-19 disagg'!AO17-1</f>
        <v>4.3523815859499715E-2</v>
      </c>
      <c r="BH17" s="16">
        <f>AQ17/'2018-19 disagg'!AQ17-1</f>
        <v>2.4770058708414977E-2</v>
      </c>
      <c r="BI17" s="1"/>
      <c r="BJ17" s="16">
        <f>AS17/'2018-19 disagg'!AS17-1</f>
        <v>1.4798604049585995E-2</v>
      </c>
      <c r="BK17" s="16">
        <f>AT17/'2018-19 disagg'!AT17-1</f>
        <v>2.381657494041467E-2</v>
      </c>
      <c r="BL17" s="16">
        <f>AU17/'2018-19 disagg'!AU17-1</f>
        <v>3.7406935896889149E-2</v>
      </c>
      <c r="BM17" s="16">
        <f>AW17/'2018-19 disagg'!AW17-1</f>
        <v>1.8763108657894101E-2</v>
      </c>
    </row>
    <row r="18" spans="1:65" x14ac:dyDescent="0.2">
      <c r="A18" s="156" t="s">
        <v>81</v>
      </c>
      <c r="B18" s="156" t="s">
        <v>82</v>
      </c>
      <c r="D18" s="56">
        <f>VLOOKUP(A18,'2019-20'!$A$12:$AMX226,32,FALSE)</f>
        <v>613106</v>
      </c>
      <c r="E18" s="56">
        <v>1887.2727855911019</v>
      </c>
      <c r="F18" s="16">
        <f>VLOOKUP(A18,'2019-20'!$A$12:$AMX226,34,FALSE)</f>
        <v>2.357146315362435E-2</v>
      </c>
      <c r="G18" s="16">
        <f>VLOOKUP(A18,'2019-20'!$A$12:$AMX226,35,FALSE)</f>
        <v>2.1667531672627804E-2</v>
      </c>
      <c r="H18" s="56"/>
      <c r="I18" s="56">
        <v>593380.9764462742</v>
      </c>
      <c r="J18" s="56">
        <v>1826.5548996984662</v>
      </c>
      <c r="K18" s="16">
        <f t="shared" si="6"/>
        <v>3.3241752494085564E-2</v>
      </c>
      <c r="L18" s="58">
        <f t="shared" si="6"/>
        <v>3.3241752494085564E-2</v>
      </c>
      <c r="M18" s="10"/>
      <c r="N18" s="56">
        <v>476123</v>
      </c>
      <c r="O18" s="56">
        <v>45756</v>
      </c>
      <c r="P18" s="56">
        <v>91227</v>
      </c>
      <c r="R18" s="56">
        <f t="shared" si="7"/>
        <v>91227</v>
      </c>
      <c r="S18" s="56">
        <f t="shared" si="8"/>
        <v>0</v>
      </c>
      <c r="U18" s="16">
        <v>4.0550405784028021E-2</v>
      </c>
      <c r="V18" s="16">
        <v>3.8428493939501873E-2</v>
      </c>
      <c r="W18" s="56">
        <f t="shared" si="9"/>
        <v>2</v>
      </c>
      <c r="X18" s="56">
        <f t="shared" si="10"/>
        <v>4575.6841509398437</v>
      </c>
      <c r="Y18" s="56">
        <f t="shared" si="10"/>
        <v>440.62735438253213</v>
      </c>
      <c r="AA18" s="56">
        <f t="shared" si="22"/>
        <v>0</v>
      </c>
      <c r="AB18" s="56">
        <v>0</v>
      </c>
      <c r="AC18" s="56">
        <f t="shared" si="11"/>
        <v>0</v>
      </c>
      <c r="AE18" s="56">
        <v>0</v>
      </c>
      <c r="AF18" s="56">
        <f t="shared" si="12"/>
        <v>0</v>
      </c>
      <c r="AG18" s="56">
        <f t="shared" si="13"/>
        <v>0</v>
      </c>
      <c r="AI18" s="56">
        <f t="shared" si="14"/>
        <v>0</v>
      </c>
      <c r="AJ18" s="56">
        <f t="shared" si="15"/>
        <v>0</v>
      </c>
      <c r="AK18" s="56">
        <f t="shared" si="16"/>
        <v>0</v>
      </c>
      <c r="AM18" s="56">
        <f t="shared" si="17"/>
        <v>476123</v>
      </c>
      <c r="AN18" s="56">
        <f t="shared" si="18"/>
        <v>45756</v>
      </c>
      <c r="AO18" s="56">
        <f t="shared" si="19"/>
        <v>91227</v>
      </c>
      <c r="AP18" s="56"/>
      <c r="AQ18" s="56">
        <f t="shared" si="20"/>
        <v>613106</v>
      </c>
      <c r="AR18" s="1"/>
      <c r="AS18" s="56">
        <v>1465.6095038932781</v>
      </c>
      <c r="AT18" s="56">
        <v>140.84685776604121</v>
      </c>
      <c r="AU18" s="56">
        <v>280.81642393178254</v>
      </c>
      <c r="AV18" s="56"/>
      <c r="AW18" s="56">
        <v>1887.2727855911019</v>
      </c>
      <c r="AX18" s="1"/>
      <c r="AY18" s="16">
        <v>4.0550405784028021E-2</v>
      </c>
      <c r="AZ18" s="16">
        <v>3.8428493939501873E-2</v>
      </c>
      <c r="BA18" s="16">
        <v>-5.6983858969557044E-3</v>
      </c>
      <c r="BB18" s="16">
        <f t="shared" si="21"/>
        <v>3.3241752494085564E-2</v>
      </c>
      <c r="BC18" s="16"/>
      <c r="BD18" s="1"/>
      <c r="BE18" s="16">
        <f>AM18/'2018-19 disagg'!AM18-1</f>
        <v>2.0783441852886497E-2</v>
      </c>
      <c r="BF18" s="16">
        <f>AN18/'2018-19 disagg'!AN18-1</f>
        <v>2.17269946184937E-2</v>
      </c>
      <c r="BG18" s="16">
        <f>AO18/'2018-19 disagg'!AO18-1</f>
        <v>3.9327826829963053E-2</v>
      </c>
      <c r="BH18" s="16">
        <f>AQ18/'2018-19 disagg'!AQ18-1</f>
        <v>2.357146315362435E-2</v>
      </c>
      <c r="BI18" s="1"/>
      <c r="BJ18" s="16">
        <f>AS18/'2018-19 disagg'!AS18-1</f>
        <v>1.8884696332729378E-2</v>
      </c>
      <c r="BK18" s="16">
        <f>AT18/'2018-19 disagg'!AT18-1</f>
        <v>1.9826494008556184E-2</v>
      </c>
      <c r="BL18" s="16">
        <f>AU18/'2018-19 disagg'!AU18-1</f>
        <v>3.7394587149286007E-2</v>
      </c>
      <c r="BM18" s="16">
        <f>AW18/'2018-19 disagg'!AW18-1</f>
        <v>2.1667531672627804E-2</v>
      </c>
    </row>
    <row r="19" spans="1:65" x14ac:dyDescent="0.2">
      <c r="A19" s="156" t="s">
        <v>83</v>
      </c>
      <c r="B19" s="156" t="s">
        <v>84</v>
      </c>
      <c r="D19" s="56">
        <f>VLOOKUP(A19,'2019-20'!$A$12:$AMX227,32,FALSE)</f>
        <v>582593</v>
      </c>
      <c r="E19" s="56">
        <v>1972.1668904586768</v>
      </c>
      <c r="F19" s="16">
        <f>VLOOKUP(A19,'2019-20'!$A$12:$AMX227,34,FALSE)</f>
        <v>2.3943265901541277E-2</v>
      </c>
      <c r="G19" s="16">
        <f>VLOOKUP(A19,'2019-20'!$A$12:$AMX227,35,FALSE)</f>
        <v>2.2349665001056396E-2</v>
      </c>
      <c r="H19" s="56"/>
      <c r="I19" s="56">
        <v>572159.16794263129</v>
      </c>
      <c r="J19" s="56">
        <v>1936.8467645317448</v>
      </c>
      <c r="K19" s="16">
        <f t="shared" si="6"/>
        <v>1.8235890713569569E-2</v>
      </c>
      <c r="L19" s="58">
        <f t="shared" si="6"/>
        <v>1.8235890713569791E-2</v>
      </c>
      <c r="M19" s="10"/>
      <c r="N19" s="56">
        <v>438934</v>
      </c>
      <c r="O19" s="56">
        <v>45795</v>
      </c>
      <c r="P19" s="56">
        <v>97864</v>
      </c>
      <c r="R19" s="56">
        <f t="shared" si="7"/>
        <v>97864</v>
      </c>
      <c r="S19" s="56">
        <f t="shared" si="8"/>
        <v>0</v>
      </c>
      <c r="U19" s="16">
        <v>1.1731684768617523E-2</v>
      </c>
      <c r="V19" s="16">
        <v>2.1996833394284598E-2</v>
      </c>
      <c r="W19" s="56">
        <f t="shared" si="9"/>
        <v>2</v>
      </c>
      <c r="X19" s="56">
        <f t="shared" si="10"/>
        <v>4338.4427571860024</v>
      </c>
      <c r="Y19" s="56">
        <f t="shared" si="10"/>
        <v>448.09336490705516</v>
      </c>
      <c r="AA19" s="56">
        <f t="shared" si="22"/>
        <v>0</v>
      </c>
      <c r="AB19" s="56">
        <v>0</v>
      </c>
      <c r="AC19" s="56">
        <f t="shared" si="11"/>
        <v>0</v>
      </c>
      <c r="AE19" s="56">
        <v>0</v>
      </c>
      <c r="AF19" s="56">
        <f t="shared" si="12"/>
        <v>0</v>
      </c>
      <c r="AG19" s="56">
        <f t="shared" si="13"/>
        <v>0</v>
      </c>
      <c r="AI19" s="56">
        <f t="shared" si="14"/>
        <v>0</v>
      </c>
      <c r="AJ19" s="56">
        <f t="shared" si="15"/>
        <v>0</v>
      </c>
      <c r="AK19" s="56">
        <f t="shared" si="16"/>
        <v>0</v>
      </c>
      <c r="AM19" s="56">
        <f t="shared" si="17"/>
        <v>438934</v>
      </c>
      <c r="AN19" s="56">
        <f t="shared" si="18"/>
        <v>45795</v>
      </c>
      <c r="AO19" s="56">
        <f t="shared" si="19"/>
        <v>97864</v>
      </c>
      <c r="AP19" s="56"/>
      <c r="AQ19" s="56">
        <f t="shared" si="20"/>
        <v>582593</v>
      </c>
      <c r="AR19" s="1"/>
      <c r="AS19" s="56">
        <v>1485.8590849814345</v>
      </c>
      <c r="AT19" s="56">
        <v>155.02311690760979</v>
      </c>
      <c r="AU19" s="56">
        <v>331.28468856963258</v>
      </c>
      <c r="AV19" s="56"/>
      <c r="AW19" s="56">
        <v>1972.1668904586768</v>
      </c>
      <c r="AX19" s="1"/>
      <c r="AY19" s="16">
        <v>1.1731684768617523E-2</v>
      </c>
      <c r="AZ19" s="16">
        <v>2.1996833394284598E-2</v>
      </c>
      <c r="BA19" s="16">
        <v>4.6611607540246291E-2</v>
      </c>
      <c r="BB19" s="16">
        <f t="shared" si="21"/>
        <v>1.8235890713569569E-2</v>
      </c>
      <c r="BC19" s="16"/>
      <c r="BD19" s="1"/>
      <c r="BE19" s="16">
        <f>AM19/'2018-19 disagg'!AM19-1</f>
        <v>2.078386593394832E-2</v>
      </c>
      <c r="BF19" s="16">
        <f>AN19/'2018-19 disagg'!AN19-1</f>
        <v>2.2575026795284003E-2</v>
      </c>
      <c r="BG19" s="16">
        <f>AO19/'2018-19 disagg'!AO19-1</f>
        <v>3.9017295013218156E-2</v>
      </c>
      <c r="BH19" s="16">
        <f>AQ19/'2018-19 disagg'!AQ19-1</f>
        <v>2.3943265901541277E-2</v>
      </c>
      <c r="BI19" s="1"/>
      <c r="BJ19" s="16">
        <f>AS19/'2018-19 disagg'!AS19-1</f>
        <v>1.9195182124869925E-2</v>
      </c>
      <c r="BK19" s="16">
        <f>AT19/'2018-19 disagg'!AT19-1</f>
        <v>2.0983555336091975E-2</v>
      </c>
      <c r="BL19" s="16">
        <f>AU19/'2018-19 disagg'!AU19-1</f>
        <v>3.7400233841870412E-2</v>
      </c>
      <c r="BM19" s="16">
        <f>AW19/'2018-19 disagg'!AW19-1</f>
        <v>2.2349665001056396E-2</v>
      </c>
    </row>
    <row r="20" spans="1:65" x14ac:dyDescent="0.2">
      <c r="A20" s="156" t="s">
        <v>85</v>
      </c>
      <c r="B20" s="156" t="s">
        <v>86</v>
      </c>
      <c r="D20" s="56">
        <f>VLOOKUP(A20,'2019-20'!$A$12:$AMX228,32,FALSE)</f>
        <v>317569.20020177739</v>
      </c>
      <c r="E20" s="56">
        <v>2023.5646873374799</v>
      </c>
      <c r="F20" s="16">
        <f>VLOOKUP(A20,'2019-20'!$A$12:$AMX228,34,FALSE)</f>
        <v>2.0738822378003841E-2</v>
      </c>
      <c r="G20" s="16">
        <f>VLOOKUP(A20,'2019-20'!$A$12:$AMX228,35,FALSE)</f>
        <v>1.7932747189525422E-2</v>
      </c>
      <c r="H20" s="56"/>
      <c r="I20" s="56">
        <v>304169.79936984938</v>
      </c>
      <c r="J20" s="56">
        <v>1938.1831253417261</v>
      </c>
      <c r="K20" s="16">
        <f t="shared" si="6"/>
        <v>4.4052370944412056E-2</v>
      </c>
      <c r="L20" s="58">
        <f t="shared" si="6"/>
        <v>4.4052370944412278E-2</v>
      </c>
      <c r="M20" s="10"/>
      <c r="N20" s="56">
        <v>252439</v>
      </c>
      <c r="O20" s="56">
        <v>22555</v>
      </c>
      <c r="P20" s="56">
        <v>41534</v>
      </c>
      <c r="R20" s="56">
        <f t="shared" si="7"/>
        <v>41534</v>
      </c>
      <c r="S20" s="56">
        <f t="shared" si="8"/>
        <v>1041.2002017773921</v>
      </c>
      <c r="U20" s="16">
        <v>5.943749971442891E-2</v>
      </c>
      <c r="V20" s="16">
        <v>-2.7265591547265267E-4</v>
      </c>
      <c r="W20" s="56">
        <f t="shared" si="9"/>
        <v>3</v>
      </c>
      <c r="X20" s="56">
        <f t="shared" si="10"/>
        <v>2382.7644393184578</v>
      </c>
      <c r="Y20" s="56">
        <f t="shared" si="10"/>
        <v>225.61151431397644</v>
      </c>
      <c r="AA20" s="56">
        <f t="shared" si="22"/>
        <v>0</v>
      </c>
      <c r="AB20" s="56">
        <v>0</v>
      </c>
      <c r="AC20" s="56">
        <f t="shared" si="11"/>
        <v>1041.2002017773921</v>
      </c>
      <c r="AE20" s="56">
        <v>0</v>
      </c>
      <c r="AF20" s="56">
        <f t="shared" si="12"/>
        <v>6.1497541734856807</v>
      </c>
      <c r="AG20" s="56">
        <f t="shared" si="13"/>
        <v>1035.0504476039064</v>
      </c>
      <c r="AI20" s="56">
        <f t="shared" si="14"/>
        <v>945.5237447717949</v>
      </c>
      <c r="AJ20" s="56">
        <f t="shared" si="15"/>
        <v>89.526702832111525</v>
      </c>
      <c r="AK20" s="56">
        <f t="shared" si="16"/>
        <v>0</v>
      </c>
      <c r="AM20" s="56">
        <f t="shared" si="17"/>
        <v>253385</v>
      </c>
      <c r="AN20" s="56">
        <f t="shared" si="18"/>
        <v>22651</v>
      </c>
      <c r="AO20" s="56">
        <f t="shared" si="19"/>
        <v>41534</v>
      </c>
      <c r="AP20" s="56"/>
      <c r="AQ20" s="56">
        <f t="shared" si="20"/>
        <v>317570</v>
      </c>
      <c r="AR20" s="1"/>
      <c r="AS20" s="56">
        <v>1614.5801859097844</v>
      </c>
      <c r="AT20" s="56">
        <v>144.3331522822682</v>
      </c>
      <c r="AU20" s="56">
        <v>264.65644549431494</v>
      </c>
      <c r="AV20" s="56"/>
      <c r="AW20" s="56">
        <v>2023.5697836863676</v>
      </c>
      <c r="AX20" s="1"/>
      <c r="AY20" s="16">
        <v>6.3407678152506364E-2</v>
      </c>
      <c r="AZ20" s="16">
        <v>3.9824460589061861E-3</v>
      </c>
      <c r="BA20" s="16">
        <v>-4.149809703498597E-2</v>
      </c>
      <c r="BB20" s="16">
        <f t="shared" si="21"/>
        <v>4.4055000390939236E-2</v>
      </c>
      <c r="BC20" s="16"/>
      <c r="BD20" s="1"/>
      <c r="BE20" s="16">
        <f>AM20/'2018-19 disagg'!AM20-1</f>
        <v>1.6810061156679934E-2</v>
      </c>
      <c r="BF20" s="16">
        <f>AN20/'2018-19 disagg'!AN20-1</f>
        <v>2.9871783213603731E-2</v>
      </c>
      <c r="BG20" s="16">
        <f>AO20/'2018-19 disagg'!AO20-1</f>
        <v>4.024845342750516E-2</v>
      </c>
      <c r="BH20" s="16">
        <f>AQ20/'2018-19 disagg'!AQ20-1</f>
        <v>2.0741393109344752E-2</v>
      </c>
      <c r="BI20" s="1"/>
      <c r="BJ20" s="16">
        <f>AS20/'2018-19 disagg'!AS20-1</f>
        <v>1.4014786379769051E-2</v>
      </c>
      <c r="BK20" s="16">
        <f>AT20/'2018-19 disagg'!AT20-1</f>
        <v>2.7040600941671489E-2</v>
      </c>
      <c r="BL20" s="16">
        <f>AU20/'2018-19 disagg'!AU20-1</f>
        <v>3.7388745036855964E-2</v>
      </c>
      <c r="BM20" s="16">
        <f>AW20/'2018-19 disagg'!AW20-1</f>
        <v>1.7935310853764319E-2</v>
      </c>
    </row>
    <row r="21" spans="1:65" x14ac:dyDescent="0.2">
      <c r="A21" s="156" t="s">
        <v>87</v>
      </c>
      <c r="B21" s="156" t="s">
        <v>88</v>
      </c>
      <c r="D21" s="56">
        <f>VLOOKUP(A21,'2019-20'!$A$12:$AMX229,32,FALSE)</f>
        <v>555857</v>
      </c>
      <c r="E21" s="56">
        <v>1949.1233635426056</v>
      </c>
      <c r="F21" s="16">
        <f>VLOOKUP(A21,'2019-20'!$A$12:$AMX229,34,FALSE)</f>
        <v>6.2053223129125978E-3</v>
      </c>
      <c r="G21" s="16">
        <f>VLOOKUP(A21,'2019-20'!$A$12:$AMX229,35,FALSE)</f>
        <v>5.2585352424756593E-3</v>
      </c>
      <c r="H21" s="56"/>
      <c r="I21" s="56">
        <v>514435.51956304099</v>
      </c>
      <c r="J21" s="56">
        <v>1803.8781381119645</v>
      </c>
      <c r="K21" s="16">
        <f t="shared" si="6"/>
        <v>8.0518313494647886E-2</v>
      </c>
      <c r="L21" s="58">
        <f t="shared" si="6"/>
        <v>8.0518313494647886E-2</v>
      </c>
      <c r="M21" s="10"/>
      <c r="N21" s="56">
        <v>448164</v>
      </c>
      <c r="O21" s="56">
        <v>41931</v>
      </c>
      <c r="P21" s="56">
        <v>65762</v>
      </c>
      <c r="R21" s="56">
        <f t="shared" si="7"/>
        <v>65762</v>
      </c>
      <c r="S21" s="56">
        <f t="shared" si="8"/>
        <v>0</v>
      </c>
      <c r="U21" s="16">
        <v>0.11672967081741814</v>
      </c>
      <c r="V21" s="16">
        <v>1.7193902173153752E-2</v>
      </c>
      <c r="W21" s="56">
        <f t="shared" si="9"/>
        <v>2</v>
      </c>
      <c r="X21" s="56">
        <f t="shared" si="10"/>
        <v>4013.1825249342141</v>
      </c>
      <c r="Y21" s="56">
        <f t="shared" si="10"/>
        <v>412.22229026754644</v>
      </c>
      <c r="AA21" s="56">
        <f t="shared" si="22"/>
        <v>0</v>
      </c>
      <c r="AB21" s="56">
        <v>0</v>
      </c>
      <c r="AC21" s="56">
        <f t="shared" si="11"/>
        <v>0</v>
      </c>
      <c r="AE21" s="56">
        <v>0</v>
      </c>
      <c r="AF21" s="56">
        <f t="shared" si="12"/>
        <v>0</v>
      </c>
      <c r="AG21" s="56">
        <f t="shared" si="13"/>
        <v>0</v>
      </c>
      <c r="AI21" s="56">
        <f t="shared" si="14"/>
        <v>0</v>
      </c>
      <c r="AJ21" s="56">
        <f t="shared" si="15"/>
        <v>0</v>
      </c>
      <c r="AK21" s="56">
        <f t="shared" si="16"/>
        <v>0</v>
      </c>
      <c r="AM21" s="56">
        <f t="shared" si="17"/>
        <v>448164</v>
      </c>
      <c r="AN21" s="56">
        <f t="shared" si="18"/>
        <v>41931</v>
      </c>
      <c r="AO21" s="56">
        <f t="shared" si="19"/>
        <v>65762</v>
      </c>
      <c r="AP21" s="56"/>
      <c r="AQ21" s="56">
        <f t="shared" si="20"/>
        <v>555857</v>
      </c>
      <c r="AR21" s="1"/>
      <c r="AS21" s="56">
        <v>1571.4957679739721</v>
      </c>
      <c r="AT21" s="56">
        <v>147.0318656717555</v>
      </c>
      <c r="AU21" s="56">
        <v>230.59572989687783</v>
      </c>
      <c r="AV21" s="56"/>
      <c r="AW21" s="56">
        <v>1949.1233635426056</v>
      </c>
      <c r="AX21" s="1"/>
      <c r="AY21" s="16">
        <v>0.11672967081741814</v>
      </c>
      <c r="AZ21" s="16">
        <v>1.7193902173153752E-2</v>
      </c>
      <c r="BA21" s="16">
        <v>-8.5305442626072647E-2</v>
      </c>
      <c r="BB21" s="16">
        <f t="shared" si="21"/>
        <v>8.0518313494647886E-2</v>
      </c>
      <c r="BC21" s="16"/>
      <c r="BD21" s="1"/>
      <c r="BE21" s="16">
        <f>AM21/'2018-19 disagg'!AM21-1</f>
        <v>1.8523436610795585E-4</v>
      </c>
      <c r="BF21" s="16">
        <f>AN21/'2018-19 disagg'!AN21-1</f>
        <v>2.2308367466354673E-2</v>
      </c>
      <c r="BG21" s="16">
        <f>AO21/'2018-19 disagg'!AO21-1</f>
        <v>3.8369228825870128E-2</v>
      </c>
      <c r="BH21" s="16">
        <f>AQ21/'2018-19 disagg'!AQ21-1</f>
        <v>6.2053223129125978E-3</v>
      </c>
      <c r="BI21" s="1"/>
      <c r="BJ21" s="16">
        <f>AS21/'2018-19 disagg'!AS21-1</f>
        <v>-7.5588811351012808E-4</v>
      </c>
      <c r="BK21" s="16">
        <f>AT21/'2018-19 disagg'!AT21-1</f>
        <v>2.1346428264828798E-2</v>
      </c>
      <c r="BL21" s="16">
        <f>AU21/'2018-19 disagg'!AU21-1</f>
        <v>3.7392177186019504E-2</v>
      </c>
      <c r="BM21" s="16">
        <f>AW21/'2018-19 disagg'!AW21-1</f>
        <v>5.2585352424756593E-3</v>
      </c>
    </row>
    <row r="22" spans="1:65" x14ac:dyDescent="0.2">
      <c r="A22" s="156" t="s">
        <v>89</v>
      </c>
      <c r="B22" s="156" t="s">
        <v>90</v>
      </c>
      <c r="D22" s="56">
        <f>VLOOKUP(A22,'2019-20'!$A$12:$AMX230,32,FALSE)</f>
        <v>306647</v>
      </c>
      <c r="E22" s="56">
        <v>1777.3443725182431</v>
      </c>
      <c r="F22" s="16">
        <f>VLOOKUP(A22,'2019-20'!$A$12:$AMX230,34,FALSE)</f>
        <v>2.3989608065103196E-2</v>
      </c>
      <c r="G22" s="16">
        <f>VLOOKUP(A22,'2019-20'!$A$12:$AMX230,35,FALSE)</f>
        <v>2.2196188140419348E-2</v>
      </c>
      <c r="H22" s="56"/>
      <c r="I22" s="56">
        <v>310598.54382994532</v>
      </c>
      <c r="J22" s="56">
        <v>1800.2477571556683</v>
      </c>
      <c r="K22" s="16">
        <f t="shared" si="6"/>
        <v>-1.2722351435455637E-2</v>
      </c>
      <c r="L22" s="58">
        <f t="shared" si="6"/>
        <v>-1.2722351435455637E-2</v>
      </c>
      <c r="M22" s="10"/>
      <c r="N22" s="56">
        <v>231343</v>
      </c>
      <c r="O22" s="56">
        <v>24713</v>
      </c>
      <c r="P22" s="56">
        <v>50591</v>
      </c>
      <c r="R22" s="56">
        <f t="shared" si="7"/>
        <v>50591</v>
      </c>
      <c r="S22" s="56">
        <f t="shared" si="8"/>
        <v>0</v>
      </c>
      <c r="U22" s="16">
        <v>-1.278546780533274E-2</v>
      </c>
      <c r="V22" s="16">
        <v>1.3784480481118244E-2</v>
      </c>
      <c r="W22" s="56">
        <f t="shared" si="9"/>
        <v>1</v>
      </c>
      <c r="X22" s="56">
        <f t="shared" si="10"/>
        <v>2343.3913547210814</v>
      </c>
      <c r="Y22" s="56">
        <f t="shared" si="10"/>
        <v>243.76976049457565</v>
      </c>
      <c r="AA22" s="56">
        <f t="shared" si="22"/>
        <v>0</v>
      </c>
      <c r="AB22" s="56">
        <v>0</v>
      </c>
      <c r="AC22" s="56">
        <f t="shared" si="11"/>
        <v>0</v>
      </c>
      <c r="AE22" s="56">
        <v>0</v>
      </c>
      <c r="AF22" s="56">
        <f t="shared" si="12"/>
        <v>0</v>
      </c>
      <c r="AG22" s="56">
        <f t="shared" si="13"/>
        <v>0</v>
      </c>
      <c r="AI22" s="56">
        <f t="shared" si="14"/>
        <v>0</v>
      </c>
      <c r="AJ22" s="56">
        <f t="shared" si="15"/>
        <v>0</v>
      </c>
      <c r="AK22" s="56">
        <f t="shared" si="16"/>
        <v>0</v>
      </c>
      <c r="AM22" s="56">
        <f t="shared" si="17"/>
        <v>231343</v>
      </c>
      <c r="AN22" s="56">
        <f t="shared" si="18"/>
        <v>24713</v>
      </c>
      <c r="AO22" s="56">
        <f t="shared" si="19"/>
        <v>50591</v>
      </c>
      <c r="AP22" s="56"/>
      <c r="AQ22" s="56">
        <f t="shared" si="20"/>
        <v>306647</v>
      </c>
      <c r="AR22" s="1"/>
      <c r="AS22" s="56">
        <v>1340.8778796840925</v>
      </c>
      <c r="AT22" s="56">
        <v>143.23802769322165</v>
      </c>
      <c r="AU22" s="56">
        <v>293.22846514092896</v>
      </c>
      <c r="AV22" s="56"/>
      <c r="AW22" s="56">
        <v>1777.3443725182431</v>
      </c>
      <c r="AX22" s="1"/>
      <c r="AY22" s="16">
        <v>-1.278546780533274E-2</v>
      </c>
      <c r="AZ22" s="16">
        <v>1.3784480481118244E-2</v>
      </c>
      <c r="BA22" s="16">
        <v>-2.489151435120851E-2</v>
      </c>
      <c r="BB22" s="16">
        <f t="shared" si="21"/>
        <v>-1.2722351435455637E-2</v>
      </c>
      <c r="BC22" s="16"/>
      <c r="BD22" s="1"/>
      <c r="BE22" s="16">
        <f>AM22/'2018-19 disagg'!AM22-1</f>
        <v>2.0782498576994435E-2</v>
      </c>
      <c r="BF22" s="16">
        <f>AN22/'2018-19 disagg'!AN22-1</f>
        <v>2.3397382806029432E-2</v>
      </c>
      <c r="BG22" s="16">
        <f>AO22/'2018-19 disagg'!AO22-1</f>
        <v>3.9213672404584843E-2</v>
      </c>
      <c r="BH22" s="16">
        <f>AQ22/'2018-19 disagg'!AQ22-1</f>
        <v>2.3989608065103196E-2</v>
      </c>
      <c r="BI22" s="1"/>
      <c r="BJ22" s="16">
        <f>AS22/'2018-19 disagg'!AS22-1</f>
        <v>1.8994695598040678E-2</v>
      </c>
      <c r="BK22" s="16">
        <f>AT22/'2018-19 disagg'!AT22-1</f>
        <v>2.1605000107281391E-2</v>
      </c>
      <c r="BL22" s="16">
        <f>AU22/'2018-19 disagg'!AU22-1</f>
        <v>3.7393588986340154E-2</v>
      </c>
      <c r="BM22" s="16">
        <f>AW22/'2018-19 disagg'!AW22-1</f>
        <v>2.2196188140419348E-2</v>
      </c>
    </row>
    <row r="23" spans="1:65" x14ac:dyDescent="0.2">
      <c r="A23" s="156" t="s">
        <v>91</v>
      </c>
      <c r="B23" s="156" t="s">
        <v>92</v>
      </c>
      <c r="D23" s="56">
        <f>VLOOKUP(A23,'2019-20'!$A$12:$AMX231,32,FALSE)</f>
        <v>352406</v>
      </c>
      <c r="E23" s="56">
        <v>2050.3613556400387</v>
      </c>
      <c r="F23" s="16">
        <f>VLOOKUP(A23,'2019-20'!$A$12:$AMX231,34,FALSE)</f>
        <v>2.4013343329207126E-2</v>
      </c>
      <c r="G23" s="16">
        <f>VLOOKUP(A23,'2019-20'!$A$12:$AMX231,35,FALSE)</f>
        <v>2.3828736428248565E-2</v>
      </c>
      <c r="H23" s="56"/>
      <c r="I23" s="56">
        <v>358454.18424605584</v>
      </c>
      <c r="J23" s="56">
        <v>2085.5507770741342</v>
      </c>
      <c r="K23" s="16">
        <f t="shared" si="6"/>
        <v>-1.6872963162020582E-2</v>
      </c>
      <c r="L23" s="58">
        <f t="shared" si="6"/>
        <v>-1.6872963162020693E-2</v>
      </c>
      <c r="M23" s="10"/>
      <c r="N23" s="56">
        <v>266291</v>
      </c>
      <c r="O23" s="56">
        <v>26603</v>
      </c>
      <c r="P23" s="56">
        <v>59512</v>
      </c>
      <c r="R23" s="56">
        <f t="shared" si="7"/>
        <v>59512</v>
      </c>
      <c r="S23" s="56">
        <f t="shared" si="8"/>
        <v>0</v>
      </c>
      <c r="U23" s="16">
        <v>-2.7748954712492613E-2</v>
      </c>
      <c r="V23" s="16">
        <v>-4.827174230690856E-2</v>
      </c>
      <c r="W23" s="56">
        <f t="shared" si="9"/>
        <v>4</v>
      </c>
      <c r="X23" s="56">
        <f t="shared" si="10"/>
        <v>2738.9119434811641</v>
      </c>
      <c r="Y23" s="56">
        <f t="shared" si="10"/>
        <v>279.52306538090414</v>
      </c>
      <c r="AA23" s="56">
        <f t="shared" si="22"/>
        <v>0</v>
      </c>
      <c r="AB23" s="56">
        <v>0</v>
      </c>
      <c r="AC23" s="56">
        <f t="shared" si="11"/>
        <v>0</v>
      </c>
      <c r="AE23" s="56">
        <v>0</v>
      </c>
      <c r="AF23" s="56">
        <f t="shared" si="12"/>
        <v>0</v>
      </c>
      <c r="AG23" s="56">
        <f t="shared" si="13"/>
        <v>0</v>
      </c>
      <c r="AI23" s="56">
        <f t="shared" si="14"/>
        <v>0</v>
      </c>
      <c r="AJ23" s="56">
        <f t="shared" si="15"/>
        <v>0</v>
      </c>
      <c r="AK23" s="56">
        <f t="shared" si="16"/>
        <v>0</v>
      </c>
      <c r="AM23" s="56">
        <f t="shared" si="17"/>
        <v>266291</v>
      </c>
      <c r="AN23" s="56">
        <f t="shared" si="18"/>
        <v>26603</v>
      </c>
      <c r="AO23" s="56">
        <f t="shared" si="19"/>
        <v>59512</v>
      </c>
      <c r="AP23" s="56"/>
      <c r="AQ23" s="56">
        <f t="shared" si="20"/>
        <v>352406</v>
      </c>
      <c r="AR23" s="1"/>
      <c r="AS23" s="56">
        <v>1549.3288302547107</v>
      </c>
      <c r="AT23" s="56">
        <v>154.78102854120519</v>
      </c>
      <c r="AU23" s="56">
        <v>346.25149684412293</v>
      </c>
      <c r="AV23" s="56"/>
      <c r="AW23" s="56">
        <v>2050.3613556400387</v>
      </c>
      <c r="AX23" s="1"/>
      <c r="AY23" s="16">
        <v>-2.7748954712492613E-2</v>
      </c>
      <c r="AZ23" s="16">
        <v>-4.827174230690856E-2</v>
      </c>
      <c r="BA23" s="16">
        <v>5.1250337709379146E-2</v>
      </c>
      <c r="BB23" s="16">
        <f t="shared" si="21"/>
        <v>-1.6872963162020582E-2</v>
      </c>
      <c r="BC23" s="16"/>
      <c r="BD23" s="1"/>
      <c r="BE23" s="16">
        <f>AM23/'2018-19 disagg'!AM23-1</f>
        <v>2.0784378366153211E-2</v>
      </c>
      <c r="BF23" s="16">
        <f>AN23/'2018-19 disagg'!AN23-1</f>
        <v>2.6469112937454131E-2</v>
      </c>
      <c r="BG23" s="16">
        <f>AO23/'2018-19 disagg'!AO23-1</f>
        <v>3.758979008299046E-2</v>
      </c>
      <c r="BH23" s="16">
        <f>AQ23/'2018-19 disagg'!AQ23-1</f>
        <v>2.4013343329207126E-2</v>
      </c>
      <c r="BI23" s="1"/>
      <c r="BJ23" s="16">
        <f>AS23/'2018-19 disagg'!AS23-1</f>
        <v>2.0600353575983554E-2</v>
      </c>
      <c r="BK23" s="16">
        <f>AT23/'2018-19 disagg'!AT23-1</f>
        <v>2.6284063315685779E-2</v>
      </c>
      <c r="BL23" s="16">
        <f>AU23/'2018-19 disagg'!AU23-1</f>
        <v>3.7402735649704866E-2</v>
      </c>
      <c r="BM23" s="16">
        <f>AW23/'2018-19 disagg'!AW23-1</f>
        <v>2.3828736428248565E-2</v>
      </c>
    </row>
    <row r="24" spans="1:65" x14ac:dyDescent="0.2">
      <c r="A24" s="156" t="s">
        <v>93</v>
      </c>
      <c r="B24" s="156" t="s">
        <v>94</v>
      </c>
      <c r="D24" s="56">
        <f>VLOOKUP(A24,'2019-20'!$A$12:$AMX232,32,FALSE)</f>
        <v>550269.62711129477</v>
      </c>
      <c r="E24" s="56">
        <v>1782.0300099792732</v>
      </c>
      <c r="F24" s="16">
        <f>VLOOKUP(A24,'2019-20'!$A$12:$AMX232,34,FALSE)</f>
        <v>2.7364210934564204E-2</v>
      </c>
      <c r="G24" s="16">
        <f>VLOOKUP(A24,'2019-20'!$A$12:$AMX232,35,FALSE)</f>
        <v>2.1371130578837549E-2</v>
      </c>
      <c r="H24" s="56"/>
      <c r="I24" s="56">
        <v>563028.16760207911</v>
      </c>
      <c r="J24" s="56">
        <v>1823.3481218973693</v>
      </c>
      <c r="K24" s="16">
        <f t="shared" si="6"/>
        <v>-2.2660572285615133E-2</v>
      </c>
      <c r="L24" s="58">
        <f t="shared" si="6"/>
        <v>-2.2660572285615244E-2</v>
      </c>
      <c r="M24" s="10"/>
      <c r="N24" s="56">
        <v>414017</v>
      </c>
      <c r="O24" s="56">
        <v>42671</v>
      </c>
      <c r="P24" s="56">
        <v>92505</v>
      </c>
      <c r="R24" s="56">
        <f t="shared" si="7"/>
        <v>92505</v>
      </c>
      <c r="S24" s="56">
        <f t="shared" si="8"/>
        <v>1076.6271112947725</v>
      </c>
      <c r="U24" s="16">
        <v>-3.4971547384193169E-2</v>
      </c>
      <c r="V24" s="16">
        <v>-3.4948782607676643E-2</v>
      </c>
      <c r="W24" s="56">
        <f t="shared" si="9"/>
        <v>4</v>
      </c>
      <c r="X24" s="56">
        <f t="shared" si="10"/>
        <v>4290.2051113391035</v>
      </c>
      <c r="Y24" s="56">
        <f t="shared" si="10"/>
        <v>442.16306068502593</v>
      </c>
      <c r="AA24" s="56">
        <f t="shared" si="22"/>
        <v>0</v>
      </c>
      <c r="AB24" s="56">
        <v>0</v>
      </c>
      <c r="AC24" s="56">
        <f t="shared" si="11"/>
        <v>1076.6271112947725</v>
      </c>
      <c r="AE24" s="56">
        <v>0</v>
      </c>
      <c r="AF24" s="56">
        <f t="shared" si="12"/>
        <v>0</v>
      </c>
      <c r="AG24" s="56">
        <f t="shared" si="13"/>
        <v>1076.6271112947725</v>
      </c>
      <c r="AI24" s="56">
        <f t="shared" si="14"/>
        <v>976.03376744617651</v>
      </c>
      <c r="AJ24" s="56">
        <f t="shared" si="15"/>
        <v>100.59334384859594</v>
      </c>
      <c r="AK24" s="56">
        <f t="shared" si="16"/>
        <v>0</v>
      </c>
      <c r="AM24" s="56">
        <f t="shared" si="17"/>
        <v>414993</v>
      </c>
      <c r="AN24" s="56">
        <f t="shared" si="18"/>
        <v>42772</v>
      </c>
      <c r="AO24" s="56">
        <f t="shared" si="19"/>
        <v>92505</v>
      </c>
      <c r="AP24" s="56"/>
      <c r="AQ24" s="56">
        <f t="shared" si="20"/>
        <v>550270</v>
      </c>
      <c r="AR24" s="1"/>
      <c r="AS24" s="56">
        <v>1343.9411217616685</v>
      </c>
      <c r="AT24" s="56">
        <v>138.51570908422573</v>
      </c>
      <c r="AU24" s="56">
        <v>299.57438672113301</v>
      </c>
      <c r="AV24" s="56"/>
      <c r="AW24" s="56">
        <v>1782.0312175670272</v>
      </c>
      <c r="AX24" s="1"/>
      <c r="AY24" s="16">
        <v>-3.2696597877885369E-2</v>
      </c>
      <c r="AZ24" s="16">
        <v>-3.266455742062635E-2</v>
      </c>
      <c r="BA24" s="16">
        <v>3.0221726126795634E-2</v>
      </c>
      <c r="BB24" s="16">
        <f t="shared" si="21"/>
        <v>-2.265990999422951E-2</v>
      </c>
      <c r="BC24" s="16"/>
      <c r="BD24" s="1"/>
      <c r="BE24" s="16">
        <f>AM24/'2018-19 disagg'!AM24-1</f>
        <v>2.319107860952152E-2</v>
      </c>
      <c r="BF24" s="16">
        <f>AN24/'2018-19 disagg'!AN24-1</f>
        <v>3.3739365815931954E-2</v>
      </c>
      <c r="BG24" s="16">
        <f>AO24/'2018-19 disagg'!AO24-1</f>
        <v>4.3485617597292636E-2</v>
      </c>
      <c r="BH24" s="16">
        <f>AQ24/'2018-19 disagg'!AQ24-1</f>
        <v>2.7364907125107196E-2</v>
      </c>
      <c r="BI24" s="1"/>
      <c r="BJ24" s="16">
        <f>AS24/'2018-19 disagg'!AS24-1</f>
        <v>1.7222342023115234E-2</v>
      </c>
      <c r="BK24" s="16">
        <f>AT24/'2018-19 disagg'!AT24-1</f>
        <v>2.7709096296832048E-2</v>
      </c>
      <c r="BL24" s="16">
        <f>AU24/'2018-19 disagg'!AU24-1</f>
        <v>3.7398493781078956E-2</v>
      </c>
      <c r="BM24" s="16">
        <f>AW24/'2018-19 disagg'!AW24-1</f>
        <v>2.1371822708185828E-2</v>
      </c>
    </row>
    <row r="25" spans="1:65" x14ac:dyDescent="0.2">
      <c r="A25" s="156" t="s">
        <v>95</v>
      </c>
      <c r="B25" s="156" t="s">
        <v>96</v>
      </c>
      <c r="D25" s="56">
        <f>VLOOKUP(A25,'2019-20'!$A$12:$AMX233,32,FALSE)</f>
        <v>358289</v>
      </c>
      <c r="E25" s="56">
        <v>1756.1790856472271</v>
      </c>
      <c r="F25" s="16">
        <f>VLOOKUP(A25,'2019-20'!$A$12:$AMX233,34,FALSE)</f>
        <v>2.57284527428987E-2</v>
      </c>
      <c r="G25" s="16">
        <f>VLOOKUP(A25,'2019-20'!$A$12:$AMX233,35,FALSE)</f>
        <v>2.0127718134400174E-2</v>
      </c>
      <c r="H25" s="56"/>
      <c r="I25" s="56">
        <v>365579.11169228342</v>
      </c>
      <c r="J25" s="56">
        <v>1791.9120880168796</v>
      </c>
      <c r="K25" s="16">
        <f t="shared" si="6"/>
        <v>-1.9941269780259452E-2</v>
      </c>
      <c r="L25" s="58">
        <f t="shared" si="6"/>
        <v>-1.9941269780259341E-2</v>
      </c>
      <c r="M25" s="10"/>
      <c r="N25" s="56">
        <v>261457</v>
      </c>
      <c r="O25" s="56">
        <v>27288</v>
      </c>
      <c r="P25" s="56">
        <v>69544</v>
      </c>
      <c r="R25" s="56">
        <f t="shared" si="7"/>
        <v>69544</v>
      </c>
      <c r="S25" s="56">
        <f t="shared" si="8"/>
        <v>0</v>
      </c>
      <c r="U25" s="16">
        <v>-4.2791821711479439E-2</v>
      </c>
      <c r="V25" s="16">
        <v>-2.0761446210197376E-2</v>
      </c>
      <c r="W25" s="56">
        <f t="shared" si="9"/>
        <v>4</v>
      </c>
      <c r="X25" s="56">
        <f t="shared" si="10"/>
        <v>2731.4538877789646</v>
      </c>
      <c r="Y25" s="56">
        <f t="shared" si="10"/>
        <v>278.66549876321022</v>
      </c>
      <c r="AA25" s="56">
        <f t="shared" si="22"/>
        <v>0</v>
      </c>
      <c r="AB25" s="56">
        <v>0</v>
      </c>
      <c r="AC25" s="56">
        <f t="shared" si="11"/>
        <v>0</v>
      </c>
      <c r="AE25" s="56">
        <v>0</v>
      </c>
      <c r="AF25" s="56">
        <f t="shared" si="12"/>
        <v>0</v>
      </c>
      <c r="AG25" s="56">
        <f t="shared" si="13"/>
        <v>0</v>
      </c>
      <c r="AI25" s="56">
        <f t="shared" si="14"/>
        <v>0</v>
      </c>
      <c r="AJ25" s="56">
        <f t="shared" si="15"/>
        <v>0</v>
      </c>
      <c r="AK25" s="56">
        <f t="shared" si="16"/>
        <v>0</v>
      </c>
      <c r="AM25" s="56">
        <f t="shared" si="17"/>
        <v>261457</v>
      </c>
      <c r="AN25" s="56">
        <f t="shared" si="18"/>
        <v>27288</v>
      </c>
      <c r="AO25" s="56">
        <f t="shared" si="19"/>
        <v>69544</v>
      </c>
      <c r="AP25" s="56"/>
      <c r="AQ25" s="56">
        <f t="shared" si="20"/>
        <v>358289</v>
      </c>
      <c r="AR25" s="1"/>
      <c r="AS25" s="56">
        <v>1281.5501318658041</v>
      </c>
      <c r="AT25" s="56">
        <v>133.75407810215088</v>
      </c>
      <c r="AU25" s="56">
        <v>340.87487567927224</v>
      </c>
      <c r="AV25" s="56"/>
      <c r="AW25" s="56">
        <v>1756.1790856472271</v>
      </c>
      <c r="AX25" s="1"/>
      <c r="AY25" s="16">
        <v>-4.2791821711479439E-2</v>
      </c>
      <c r="AZ25" s="16">
        <v>-2.0761446210197376E-2</v>
      </c>
      <c r="BA25" s="16">
        <v>7.707983372603322E-2</v>
      </c>
      <c r="BB25" s="16">
        <f t="shared" si="21"/>
        <v>-1.9941269780259452E-2</v>
      </c>
      <c r="BC25" s="16"/>
      <c r="BD25" s="1"/>
      <c r="BE25" s="16">
        <f>AM25/'2018-19 disagg'!AM25-1</f>
        <v>2.0782090624438698E-2</v>
      </c>
      <c r="BF25" s="16">
        <f>AN25/'2018-19 disagg'!AN25-1</f>
        <v>2.9852436124844228E-2</v>
      </c>
      <c r="BG25" s="16">
        <f>AO25/'2018-19 disagg'!AO25-1</f>
        <v>4.3092199007064513E-2</v>
      </c>
      <c r="BH25" s="16">
        <f>AQ25/'2018-19 disagg'!AQ25-1</f>
        <v>2.57284527428987E-2</v>
      </c>
      <c r="BI25" s="1"/>
      <c r="BJ25" s="16">
        <f>AS25/'2018-19 disagg'!AS25-1</f>
        <v>1.5208364393673124E-2</v>
      </c>
      <c r="BK25" s="16">
        <f>AT25/'2018-19 disagg'!AT25-1</f>
        <v>2.4229183532770149E-2</v>
      </c>
      <c r="BL25" s="16">
        <f>AU25/'2018-19 disagg'!AU25-1</f>
        <v>3.7396653989071327E-2</v>
      </c>
      <c r="BM25" s="16">
        <f>AW25/'2018-19 disagg'!AW25-1</f>
        <v>2.0127718134400174E-2</v>
      </c>
    </row>
    <row r="26" spans="1:65" x14ac:dyDescent="0.2">
      <c r="A26" s="156" t="s">
        <v>97</v>
      </c>
      <c r="B26" s="156" t="s">
        <v>98</v>
      </c>
      <c r="D26" s="56">
        <f>VLOOKUP(A26,'2019-20'!$A$12:$AMX234,32,FALSE)</f>
        <v>414869</v>
      </c>
      <c r="E26" s="56">
        <v>1801.7191673211646</v>
      </c>
      <c r="F26" s="16">
        <f>VLOOKUP(A26,'2019-20'!$A$12:$AMX234,34,FALSE)</f>
        <v>2.7312864780271395E-2</v>
      </c>
      <c r="G26" s="16">
        <f>VLOOKUP(A26,'2019-20'!$A$12:$AMX234,35,FALSE)</f>
        <v>2.2455870733204097E-2</v>
      </c>
      <c r="H26" s="56"/>
      <c r="I26" s="56">
        <v>420719.32532257878</v>
      </c>
      <c r="J26" s="56">
        <v>1827.1263278194294</v>
      </c>
      <c r="K26" s="16">
        <f t="shared" si="6"/>
        <v>-1.3905530291704937E-2</v>
      </c>
      <c r="L26" s="58">
        <f t="shared" si="6"/>
        <v>-1.3905530291705048E-2</v>
      </c>
      <c r="M26" s="10"/>
      <c r="N26" s="56">
        <v>270211</v>
      </c>
      <c r="O26" s="56">
        <v>33550</v>
      </c>
      <c r="P26" s="56">
        <v>111108</v>
      </c>
      <c r="R26" s="56">
        <f t="shared" si="7"/>
        <v>111108</v>
      </c>
      <c r="S26" s="56">
        <f t="shared" si="8"/>
        <v>0</v>
      </c>
      <c r="U26" s="16">
        <v>-4.3502797336629651E-2</v>
      </c>
      <c r="V26" s="16">
        <v>-4.9190977021399296E-2</v>
      </c>
      <c r="W26" s="56">
        <f t="shared" si="9"/>
        <v>4</v>
      </c>
      <c r="X26" s="56">
        <f t="shared" si="10"/>
        <v>2825.0056481879546</v>
      </c>
      <c r="Y26" s="56">
        <f t="shared" si="10"/>
        <v>352.8574002684353</v>
      </c>
      <c r="AA26" s="56">
        <f t="shared" si="22"/>
        <v>0</v>
      </c>
      <c r="AB26" s="56">
        <v>0</v>
      </c>
      <c r="AC26" s="56">
        <f t="shared" si="11"/>
        <v>0</v>
      </c>
      <c r="AE26" s="56">
        <v>0</v>
      </c>
      <c r="AF26" s="56">
        <f t="shared" si="12"/>
        <v>0</v>
      </c>
      <c r="AG26" s="56">
        <f t="shared" si="13"/>
        <v>0</v>
      </c>
      <c r="AI26" s="56">
        <f t="shared" si="14"/>
        <v>0</v>
      </c>
      <c r="AJ26" s="56">
        <f t="shared" si="15"/>
        <v>0</v>
      </c>
      <c r="AK26" s="56">
        <f t="shared" si="16"/>
        <v>0</v>
      </c>
      <c r="AM26" s="56">
        <f t="shared" si="17"/>
        <v>270211</v>
      </c>
      <c r="AN26" s="56">
        <f t="shared" si="18"/>
        <v>33550</v>
      </c>
      <c r="AO26" s="56">
        <f t="shared" si="19"/>
        <v>111108</v>
      </c>
      <c r="AP26" s="56"/>
      <c r="AQ26" s="56">
        <f t="shared" si="20"/>
        <v>414869</v>
      </c>
      <c r="AR26" s="1"/>
      <c r="AS26" s="56">
        <v>1173.489313303764</v>
      </c>
      <c r="AT26" s="56">
        <v>145.70304858551754</v>
      </c>
      <c r="AU26" s="56">
        <v>482.52680543188325</v>
      </c>
      <c r="AV26" s="56"/>
      <c r="AW26" s="56">
        <v>1801.7191673211646</v>
      </c>
      <c r="AX26" s="1"/>
      <c r="AY26" s="16">
        <v>-4.3502797336629651E-2</v>
      </c>
      <c r="AZ26" s="16">
        <v>-4.9190977021399296E-2</v>
      </c>
      <c r="BA26" s="16">
        <v>7.9420379244498518E-2</v>
      </c>
      <c r="BB26" s="16">
        <f t="shared" si="21"/>
        <v>-1.3905530291704937E-2</v>
      </c>
      <c r="BC26" s="16"/>
      <c r="BD26" s="1"/>
      <c r="BE26" s="16">
        <f>AM26/'2018-19 disagg'!AM26-1</f>
        <v>2.0785088531179552E-2</v>
      </c>
      <c r="BF26" s="16">
        <f>AN26/'2018-19 disagg'!AN26-1</f>
        <v>3.1228868260896325E-2</v>
      </c>
      <c r="BG26" s="16">
        <f>AO26/'2018-19 disagg'!AO26-1</f>
        <v>4.2328042328042326E-2</v>
      </c>
      <c r="BH26" s="16">
        <f>AQ26/'2018-19 disagg'!AQ26-1</f>
        <v>2.7312864780271395E-2</v>
      </c>
      <c r="BI26" s="1"/>
      <c r="BJ26" s="16">
        <f>AS26/'2018-19 disagg'!AS26-1</f>
        <v>1.5958956913143751E-2</v>
      </c>
      <c r="BK26" s="16">
        <f>AT26/'2018-19 disagg'!AT26-1</f>
        <v>2.6353359887526073E-2</v>
      </c>
      <c r="BL26" s="16">
        <f>AU26/'2018-19 disagg'!AU26-1</f>
        <v>3.7400058584977414E-2</v>
      </c>
      <c r="BM26" s="16">
        <f>AW26/'2018-19 disagg'!AW26-1</f>
        <v>2.2455870733204097E-2</v>
      </c>
    </row>
    <row r="27" spans="1:65" x14ac:dyDescent="0.2">
      <c r="A27" s="156" t="s">
        <v>99</v>
      </c>
      <c r="B27" s="156" t="s">
        <v>100</v>
      </c>
      <c r="D27" s="56">
        <f>VLOOKUP(A27,'2019-20'!$A$12:$AMX235,32,FALSE)</f>
        <v>321854</v>
      </c>
      <c r="E27" s="56">
        <v>1752.2248889607172</v>
      </c>
      <c r="F27" s="16">
        <f>VLOOKUP(A27,'2019-20'!$A$12:$AMX235,34,FALSE)</f>
        <v>2.5319681688148687E-2</v>
      </c>
      <c r="G27" s="16">
        <f>VLOOKUP(A27,'2019-20'!$A$12:$AMX235,35,FALSE)</f>
        <v>1.8923265287978275E-2</v>
      </c>
      <c r="H27" s="56"/>
      <c r="I27" s="56">
        <v>315071.59199764498</v>
      </c>
      <c r="J27" s="56">
        <v>1715.300370052104</v>
      </c>
      <c r="K27" s="16">
        <f t="shared" si="6"/>
        <v>2.1526561500999186E-2</v>
      </c>
      <c r="L27" s="58">
        <f t="shared" si="6"/>
        <v>2.1526561500999186E-2</v>
      </c>
      <c r="M27" s="10"/>
      <c r="N27" s="56">
        <v>246811</v>
      </c>
      <c r="O27" s="56">
        <v>22610</v>
      </c>
      <c r="P27" s="56">
        <v>52433</v>
      </c>
      <c r="R27" s="56">
        <f t="shared" si="7"/>
        <v>52433</v>
      </c>
      <c r="S27" s="56">
        <f t="shared" si="8"/>
        <v>0</v>
      </c>
      <c r="U27" s="16">
        <v>2.8964717417276908E-2</v>
      </c>
      <c r="V27" s="16">
        <v>-4.8702390201581958E-2</v>
      </c>
      <c r="W27" s="56">
        <f t="shared" si="9"/>
        <v>3</v>
      </c>
      <c r="X27" s="56">
        <f t="shared" si="10"/>
        <v>2398.6342371340079</v>
      </c>
      <c r="Y27" s="56">
        <f t="shared" si="10"/>
        <v>237.67535802797934</v>
      </c>
      <c r="AA27" s="56">
        <f t="shared" si="22"/>
        <v>0</v>
      </c>
      <c r="AB27" s="56">
        <v>0</v>
      </c>
      <c r="AC27" s="56">
        <f t="shared" si="11"/>
        <v>0</v>
      </c>
      <c r="AE27" s="56">
        <v>0</v>
      </c>
      <c r="AF27" s="56">
        <f t="shared" si="12"/>
        <v>0</v>
      </c>
      <c r="AG27" s="56">
        <f t="shared" si="13"/>
        <v>0</v>
      </c>
      <c r="AI27" s="56">
        <f t="shared" si="14"/>
        <v>0</v>
      </c>
      <c r="AJ27" s="56">
        <f t="shared" si="15"/>
        <v>0</v>
      </c>
      <c r="AK27" s="56">
        <f t="shared" si="16"/>
        <v>0</v>
      </c>
      <c r="AM27" s="56">
        <f t="shared" si="17"/>
        <v>246811</v>
      </c>
      <c r="AN27" s="56">
        <f t="shared" si="18"/>
        <v>22610</v>
      </c>
      <c r="AO27" s="56">
        <f t="shared" si="19"/>
        <v>52433</v>
      </c>
      <c r="AP27" s="56"/>
      <c r="AQ27" s="56">
        <f t="shared" si="20"/>
        <v>321854</v>
      </c>
      <c r="AR27" s="1"/>
      <c r="AS27" s="56">
        <v>1343.6787396437005</v>
      </c>
      <c r="AT27" s="56">
        <v>123.09247279636672</v>
      </c>
      <c r="AU27" s="56">
        <v>285.45367652064999</v>
      </c>
      <c r="AV27" s="56"/>
      <c r="AW27" s="56">
        <v>1752.2248889607172</v>
      </c>
      <c r="AX27" s="1"/>
      <c r="AY27" s="16">
        <v>2.8964717417276908E-2</v>
      </c>
      <c r="AZ27" s="16">
        <v>-4.8702390201581958E-2</v>
      </c>
      <c r="BA27" s="16">
        <v>1.9291510828753466E-2</v>
      </c>
      <c r="BB27" s="16">
        <f t="shared" si="21"/>
        <v>2.1526561500999186E-2</v>
      </c>
      <c r="BC27" s="16"/>
      <c r="BD27" s="1"/>
      <c r="BE27" s="16">
        <f>AM27/'2018-19 disagg'!AM27-1</f>
        <v>2.0782841024707732E-2</v>
      </c>
      <c r="BF27" s="16">
        <f>AN27/'2018-19 disagg'!AN27-1</f>
        <v>3.275019412597624E-2</v>
      </c>
      <c r="BG27" s="16">
        <f>AO27/'2018-19 disagg'!AO27-1</f>
        <v>4.3920600473848825E-2</v>
      </c>
      <c r="BH27" s="16">
        <f>AQ27/'2018-19 disagg'!AQ27-1</f>
        <v>2.5319681688148687E-2</v>
      </c>
      <c r="BI27" s="1"/>
      <c r="BJ27" s="16">
        <f>AS27/'2018-19 disagg'!AS27-1</f>
        <v>1.441472752610351E-2</v>
      </c>
      <c r="BK27" s="16">
        <f>AT27/'2018-19 disagg'!AT27-1</f>
        <v>2.6307422766988831E-2</v>
      </c>
      <c r="BL27" s="16">
        <f>AU27/'2018-19 disagg'!AU27-1</f>
        <v>3.7408142975370984E-2</v>
      </c>
      <c r="BM27" s="16">
        <f>AW27/'2018-19 disagg'!AW27-1</f>
        <v>1.8923265287978275E-2</v>
      </c>
    </row>
    <row r="28" spans="1:65" x14ac:dyDescent="0.2">
      <c r="A28" s="156" t="s">
        <v>101</v>
      </c>
      <c r="B28" s="156" t="s">
        <v>102</v>
      </c>
      <c r="D28" s="56">
        <f>VLOOKUP(A28,'2019-20'!$A$12:$AMX236,32,FALSE)</f>
        <v>973686</v>
      </c>
      <c r="E28" s="56">
        <v>1866.2302861837115</v>
      </c>
      <c r="F28" s="16">
        <f>VLOOKUP(A28,'2019-20'!$A$12:$AMX236,34,FALSE)</f>
        <v>2.2770817051957604E-2</v>
      </c>
      <c r="G28" s="16">
        <f>VLOOKUP(A28,'2019-20'!$A$12:$AMX236,35,FALSE)</f>
        <v>2.2608090402484127E-2</v>
      </c>
      <c r="H28" s="56"/>
      <c r="I28" s="56">
        <v>937518.73129199725</v>
      </c>
      <c r="J28" s="56">
        <v>1796.9097329135411</v>
      </c>
      <c r="K28" s="16">
        <f t="shared" si="6"/>
        <v>3.8577649172044204E-2</v>
      </c>
      <c r="L28" s="58">
        <f t="shared" si="6"/>
        <v>3.8577649172044204E-2</v>
      </c>
      <c r="M28" s="10"/>
      <c r="N28" s="56">
        <v>763749</v>
      </c>
      <c r="O28" s="56">
        <v>75401</v>
      </c>
      <c r="P28" s="56">
        <v>134536</v>
      </c>
      <c r="R28" s="56">
        <f t="shared" si="7"/>
        <v>134536</v>
      </c>
      <c r="S28" s="56">
        <f t="shared" si="8"/>
        <v>0</v>
      </c>
      <c r="U28" s="16">
        <v>3.8290433563455961E-2</v>
      </c>
      <c r="V28" s="16">
        <v>5.0149673276955964E-2</v>
      </c>
      <c r="W28" s="56">
        <f t="shared" si="9"/>
        <v>2</v>
      </c>
      <c r="X28" s="56">
        <f t="shared" si="10"/>
        <v>7355.8320033709797</v>
      </c>
      <c r="Y28" s="56">
        <f t="shared" si="10"/>
        <v>718.0024135484781</v>
      </c>
      <c r="AA28" s="56">
        <f t="shared" si="22"/>
        <v>0</v>
      </c>
      <c r="AB28" s="56">
        <v>0</v>
      </c>
      <c r="AC28" s="56">
        <f t="shared" si="11"/>
        <v>0</v>
      </c>
      <c r="AE28" s="56">
        <v>0</v>
      </c>
      <c r="AF28" s="56">
        <f t="shared" si="12"/>
        <v>0</v>
      </c>
      <c r="AG28" s="56">
        <f t="shared" si="13"/>
        <v>0</v>
      </c>
      <c r="AI28" s="56">
        <f t="shared" si="14"/>
        <v>0</v>
      </c>
      <c r="AJ28" s="56">
        <f t="shared" si="15"/>
        <v>0</v>
      </c>
      <c r="AK28" s="56">
        <f t="shared" si="16"/>
        <v>0</v>
      </c>
      <c r="AM28" s="56">
        <f t="shared" si="17"/>
        <v>763749</v>
      </c>
      <c r="AN28" s="56">
        <f t="shared" si="18"/>
        <v>75401</v>
      </c>
      <c r="AO28" s="56">
        <f t="shared" si="19"/>
        <v>134536</v>
      </c>
      <c r="AP28" s="56"/>
      <c r="AQ28" s="56">
        <f t="shared" si="20"/>
        <v>973686</v>
      </c>
      <c r="AR28" s="1"/>
      <c r="AS28" s="56">
        <v>1463.8512978953415</v>
      </c>
      <c r="AT28" s="56">
        <v>144.51848933695055</v>
      </c>
      <c r="AU28" s="56">
        <v>257.86049895141946</v>
      </c>
      <c r="AV28" s="56"/>
      <c r="AW28" s="56">
        <v>1866.2302861837115</v>
      </c>
      <c r="AX28" s="1"/>
      <c r="AY28" s="16">
        <v>3.8290433563455961E-2</v>
      </c>
      <c r="AZ28" s="16">
        <v>5.0149673276955964E-2</v>
      </c>
      <c r="BA28" s="16">
        <v>3.3816426070693906E-2</v>
      </c>
      <c r="BB28" s="16">
        <f t="shared" si="21"/>
        <v>3.8577649172044204E-2</v>
      </c>
      <c r="BC28" s="16"/>
      <c r="BD28" s="1"/>
      <c r="BE28" s="16">
        <f>AM28/'2018-19 disagg'!AM28-1</f>
        <v>2.0783240822294546E-2</v>
      </c>
      <c r="BF28" s="16">
        <f>AN28/'2018-19 disagg'!AN28-1</f>
        <v>1.6953495899870497E-2</v>
      </c>
      <c r="BG28" s="16">
        <f>AO28/'2018-19 disagg'!AO28-1</f>
        <v>3.7566035553156185E-2</v>
      </c>
      <c r="BH28" s="16">
        <f>AQ28/'2018-19 disagg'!AQ28-1</f>
        <v>2.2770817051957604E-2</v>
      </c>
      <c r="BI28" s="1"/>
      <c r="BJ28" s="16">
        <f>AS28/'2018-19 disagg'!AS28-1</f>
        <v>2.0620830403608181E-2</v>
      </c>
      <c r="BK28" s="16">
        <f>AT28/'2018-19 disagg'!AT28-1</f>
        <v>1.6791694807877011E-2</v>
      </c>
      <c r="BL28" s="16">
        <f>AU28/'2018-19 disagg'!AU28-1</f>
        <v>3.7400954929268426E-2</v>
      </c>
      <c r="BM28" s="16">
        <f>AW28/'2018-19 disagg'!AW28-1</f>
        <v>2.2608090402484127E-2</v>
      </c>
    </row>
    <row r="29" spans="1:65" x14ac:dyDescent="0.2">
      <c r="A29" s="156" t="s">
        <v>103</v>
      </c>
      <c r="B29" s="156" t="s">
        <v>104</v>
      </c>
      <c r="D29" s="56">
        <f>VLOOKUP(A29,'2019-20'!$A$12:$AMX237,32,FALSE)</f>
        <v>724575</v>
      </c>
      <c r="E29" s="56">
        <v>1919.33840079073</v>
      </c>
      <c r="F29" s="16">
        <f>VLOOKUP(A29,'2019-20'!$A$12:$AMX237,34,FALSE)</f>
        <v>2.3813022627528824E-2</v>
      </c>
      <c r="G29" s="16">
        <f>VLOOKUP(A29,'2019-20'!$A$12:$AMX237,35,FALSE)</f>
        <v>2.1531229342081071E-2</v>
      </c>
      <c r="H29" s="56"/>
      <c r="I29" s="56">
        <v>701338.23761065968</v>
      </c>
      <c r="J29" s="56">
        <v>1857.7861662202431</v>
      </c>
      <c r="K29" s="16">
        <f t="shared" si="6"/>
        <v>3.313203407888321E-2</v>
      </c>
      <c r="L29" s="58">
        <f t="shared" si="6"/>
        <v>3.313203407888321E-2</v>
      </c>
      <c r="M29" s="10"/>
      <c r="N29" s="56">
        <v>559635</v>
      </c>
      <c r="O29" s="56">
        <v>51868</v>
      </c>
      <c r="P29" s="56">
        <v>113072</v>
      </c>
      <c r="R29" s="56">
        <f t="shared" si="7"/>
        <v>113072</v>
      </c>
      <c r="S29" s="56">
        <f t="shared" si="8"/>
        <v>0</v>
      </c>
      <c r="U29" s="16">
        <v>4.9196614431713748E-2</v>
      </c>
      <c r="V29" s="16">
        <v>-1.5624545020658465E-2</v>
      </c>
      <c r="W29" s="56">
        <f t="shared" si="9"/>
        <v>3</v>
      </c>
      <c r="X29" s="56">
        <f t="shared" si="10"/>
        <v>5333.9382943312339</v>
      </c>
      <c r="Y29" s="56">
        <f t="shared" si="10"/>
        <v>526.91277233328128</v>
      </c>
      <c r="AA29" s="56">
        <f t="shared" si="22"/>
        <v>0</v>
      </c>
      <c r="AB29" s="56">
        <v>0</v>
      </c>
      <c r="AC29" s="56">
        <f t="shared" si="11"/>
        <v>0</v>
      </c>
      <c r="AE29" s="56">
        <v>0</v>
      </c>
      <c r="AF29" s="56">
        <f t="shared" si="12"/>
        <v>0</v>
      </c>
      <c r="AG29" s="56">
        <f t="shared" si="13"/>
        <v>0</v>
      </c>
      <c r="AI29" s="56">
        <f t="shared" si="14"/>
        <v>0</v>
      </c>
      <c r="AJ29" s="56">
        <f t="shared" si="15"/>
        <v>0</v>
      </c>
      <c r="AK29" s="56">
        <f t="shared" si="16"/>
        <v>0</v>
      </c>
      <c r="AM29" s="56">
        <f t="shared" si="17"/>
        <v>559635</v>
      </c>
      <c r="AN29" s="56">
        <f t="shared" si="18"/>
        <v>51868</v>
      </c>
      <c r="AO29" s="56">
        <f t="shared" si="19"/>
        <v>113072</v>
      </c>
      <c r="AP29" s="56"/>
      <c r="AQ29" s="56">
        <f t="shared" si="20"/>
        <v>724575</v>
      </c>
      <c r="AR29" s="1"/>
      <c r="AS29" s="56">
        <v>1482.4261752427565</v>
      </c>
      <c r="AT29" s="56">
        <v>137.3939815370577</v>
      </c>
      <c r="AU29" s="56">
        <v>299.51824401091596</v>
      </c>
      <c r="AV29" s="56"/>
      <c r="AW29" s="56">
        <v>1919.33840079073</v>
      </c>
      <c r="AX29" s="1"/>
      <c r="AY29" s="16">
        <v>4.9196614431713748E-2</v>
      </c>
      <c r="AZ29" s="16">
        <v>-1.5624545020658465E-2</v>
      </c>
      <c r="BA29" s="16">
        <v>-1.8924700147747497E-2</v>
      </c>
      <c r="BB29" s="16">
        <f t="shared" si="21"/>
        <v>3.313203407888321E-2</v>
      </c>
      <c r="BC29" s="16"/>
      <c r="BD29" s="1"/>
      <c r="BE29" s="16">
        <f>AM29/'2018-19 disagg'!AM29-1</f>
        <v>2.0447794668694286E-2</v>
      </c>
      <c r="BF29" s="16">
        <f>AN29/'2018-19 disagg'!AN29-1</f>
        <v>2.6113792830576799E-2</v>
      </c>
      <c r="BG29" s="16">
        <f>AO29/'2018-19 disagg'!AO29-1</f>
        <v>3.9713846974336331E-2</v>
      </c>
      <c r="BH29" s="16">
        <f>AQ29/'2018-19 disagg'!AQ29-1</f>
        <v>2.3813022627528824E-2</v>
      </c>
      <c r="BI29" s="1"/>
      <c r="BJ29" s="16">
        <f>AS29/'2018-19 disagg'!AS29-1</f>
        <v>1.8173501536488335E-2</v>
      </c>
      <c r="BK29" s="16">
        <f>AT29/'2018-19 disagg'!AT29-1</f>
        <v>2.3826871770931346E-2</v>
      </c>
      <c r="BL29" s="16">
        <f>AU29/'2018-19 disagg'!AU29-1</f>
        <v>3.7396615192380356E-2</v>
      </c>
      <c r="BM29" s="16">
        <f>AW29/'2018-19 disagg'!AW29-1</f>
        <v>2.1531229342081071E-2</v>
      </c>
    </row>
    <row r="30" spans="1:65" x14ac:dyDescent="0.2">
      <c r="A30" s="156" t="s">
        <v>105</v>
      </c>
      <c r="B30" s="156" t="s">
        <v>106</v>
      </c>
      <c r="D30" s="56">
        <f>VLOOKUP(A30,'2019-20'!$A$12:$AMX238,32,FALSE)</f>
        <v>353788</v>
      </c>
      <c r="E30" s="56">
        <v>1683.9829317103254</v>
      </c>
      <c r="F30" s="16">
        <f>VLOOKUP(A30,'2019-20'!$A$12:$AMX238,34,FALSE)</f>
        <v>2.5288209075470469E-2</v>
      </c>
      <c r="G30" s="16">
        <f>VLOOKUP(A30,'2019-20'!$A$12:$AMX238,35,FALSE)</f>
        <v>2.0352163626990105E-2</v>
      </c>
      <c r="H30" s="56"/>
      <c r="I30" s="56">
        <v>352078.96948975057</v>
      </c>
      <c r="J30" s="56">
        <v>1675.8481781035546</v>
      </c>
      <c r="K30" s="16">
        <f t="shared" si="6"/>
        <v>4.8541113169191519E-3</v>
      </c>
      <c r="L30" s="58">
        <f t="shared" si="6"/>
        <v>4.8541113169191519E-3</v>
      </c>
      <c r="M30" s="10"/>
      <c r="N30" s="56">
        <v>260003</v>
      </c>
      <c r="O30" s="56">
        <v>27261</v>
      </c>
      <c r="P30" s="56">
        <v>66524</v>
      </c>
      <c r="R30" s="56">
        <f t="shared" si="7"/>
        <v>66524</v>
      </c>
      <c r="S30" s="56">
        <f t="shared" si="8"/>
        <v>0</v>
      </c>
      <c r="U30" s="16">
        <v>-3.1128768077286484E-2</v>
      </c>
      <c r="V30" s="16">
        <v>3.5504475016716608E-3</v>
      </c>
      <c r="W30" s="56">
        <f t="shared" si="9"/>
        <v>1</v>
      </c>
      <c r="X30" s="56">
        <f t="shared" si="10"/>
        <v>2683.5661069637408</v>
      </c>
      <c r="Y30" s="56">
        <f t="shared" si="10"/>
        <v>271.64553678259</v>
      </c>
      <c r="AA30" s="56">
        <f t="shared" si="22"/>
        <v>0</v>
      </c>
      <c r="AB30" s="56">
        <v>0</v>
      </c>
      <c r="AC30" s="56">
        <f t="shared" si="11"/>
        <v>0</v>
      </c>
      <c r="AE30" s="56">
        <v>0</v>
      </c>
      <c r="AF30" s="56">
        <f t="shared" si="12"/>
        <v>0</v>
      </c>
      <c r="AG30" s="56">
        <f t="shared" si="13"/>
        <v>0</v>
      </c>
      <c r="AI30" s="56">
        <f t="shared" si="14"/>
        <v>0</v>
      </c>
      <c r="AJ30" s="56">
        <f t="shared" si="15"/>
        <v>0</v>
      </c>
      <c r="AK30" s="56">
        <f t="shared" si="16"/>
        <v>0</v>
      </c>
      <c r="AM30" s="56">
        <f t="shared" si="17"/>
        <v>260003</v>
      </c>
      <c r="AN30" s="56">
        <f t="shared" si="18"/>
        <v>27261</v>
      </c>
      <c r="AO30" s="56">
        <f t="shared" si="19"/>
        <v>66524</v>
      </c>
      <c r="AP30" s="56"/>
      <c r="AQ30" s="56">
        <f t="shared" si="20"/>
        <v>353788</v>
      </c>
      <c r="AR30" s="1"/>
      <c r="AS30" s="56">
        <v>1237.5790422328619</v>
      </c>
      <c r="AT30" s="56">
        <v>129.758665362746</v>
      </c>
      <c r="AU30" s="56">
        <v>316.64522411471751</v>
      </c>
      <c r="AV30" s="56"/>
      <c r="AW30" s="56">
        <v>1683.9829317103254</v>
      </c>
      <c r="AX30" s="1"/>
      <c r="AY30" s="16">
        <v>-3.1128768077286484E-2</v>
      </c>
      <c r="AZ30" s="16">
        <v>3.5504475016716608E-3</v>
      </c>
      <c r="BA30" s="16">
        <v>0.17621254687301668</v>
      </c>
      <c r="BB30" s="16">
        <f t="shared" si="21"/>
        <v>4.8541113169191519E-3</v>
      </c>
      <c r="BC30" s="16"/>
      <c r="BD30" s="1"/>
      <c r="BE30" s="16">
        <f>AM30/'2018-19 disagg'!AM30-1</f>
        <v>2.0784503099615659E-2</v>
      </c>
      <c r="BF30" s="16">
        <f>AN30/'2018-19 disagg'!AN30-1</f>
        <v>2.7321374736207327E-2</v>
      </c>
      <c r="BG30" s="16">
        <f>AO30/'2018-19 disagg'!AO30-1</f>
        <v>4.2418164438942529E-2</v>
      </c>
      <c r="BH30" s="16">
        <f>AQ30/'2018-19 disagg'!AQ30-1</f>
        <v>2.5288209075470469E-2</v>
      </c>
      <c r="BI30" s="1"/>
      <c r="BJ30" s="16">
        <f>AS30/'2018-19 disagg'!AS30-1</f>
        <v>1.5870139844675224E-2</v>
      </c>
      <c r="BK30" s="16">
        <f>AT30/'2018-19 disagg'!AT30-1</f>
        <v>2.2375541017446876E-2</v>
      </c>
      <c r="BL30" s="16">
        <f>AU30/'2018-19 disagg'!AU30-1</f>
        <v>3.7399650239279714E-2</v>
      </c>
      <c r="BM30" s="16">
        <f>AW30/'2018-19 disagg'!AW30-1</f>
        <v>2.0352163626990105E-2</v>
      </c>
    </row>
    <row r="31" spans="1:65" x14ac:dyDescent="0.2">
      <c r="A31" s="156" t="s">
        <v>107</v>
      </c>
      <c r="B31" s="156" t="s">
        <v>108</v>
      </c>
      <c r="D31" s="56">
        <f>VLOOKUP(A31,'2019-20'!$A$12:$AMX239,32,FALSE)</f>
        <v>294189</v>
      </c>
      <c r="E31" s="56">
        <v>1921.549094694348</v>
      </c>
      <c r="F31" s="16">
        <f>VLOOKUP(A31,'2019-20'!$A$12:$AMX239,34,FALSE)</f>
        <v>2.4103179990601076E-2</v>
      </c>
      <c r="G31" s="16">
        <f>VLOOKUP(A31,'2019-20'!$A$12:$AMX239,35,FALSE)</f>
        <v>2.0161139207611534E-2</v>
      </c>
      <c r="H31" s="56"/>
      <c r="I31" s="56">
        <v>284783.20343118522</v>
      </c>
      <c r="J31" s="56">
        <v>1860.1134193914468</v>
      </c>
      <c r="K31" s="16">
        <f t="shared" si="6"/>
        <v>3.3027918976575421E-2</v>
      </c>
      <c r="L31" s="58">
        <f t="shared" si="6"/>
        <v>3.3027918976575421E-2</v>
      </c>
      <c r="M31" s="10"/>
      <c r="N31" s="56">
        <v>227163</v>
      </c>
      <c r="O31" s="56">
        <v>22226</v>
      </c>
      <c r="P31" s="56">
        <v>44800</v>
      </c>
      <c r="R31" s="56">
        <f t="shared" si="7"/>
        <v>44800</v>
      </c>
      <c r="S31" s="56">
        <f t="shared" si="8"/>
        <v>0</v>
      </c>
      <c r="U31" s="16">
        <v>2.1328839636072461E-2</v>
      </c>
      <c r="V31" s="16">
        <v>3.6841425378590253E-2</v>
      </c>
      <c r="W31" s="56">
        <f t="shared" si="9"/>
        <v>2</v>
      </c>
      <c r="X31" s="56">
        <f t="shared" si="10"/>
        <v>2224.1905954691774</v>
      </c>
      <c r="Y31" s="56">
        <f t="shared" si="10"/>
        <v>214.3625771113885</v>
      </c>
      <c r="AA31" s="56">
        <f t="shared" si="22"/>
        <v>0</v>
      </c>
      <c r="AB31" s="56">
        <v>0</v>
      </c>
      <c r="AC31" s="56">
        <f t="shared" si="11"/>
        <v>0</v>
      </c>
      <c r="AE31" s="56">
        <v>0</v>
      </c>
      <c r="AF31" s="56">
        <f t="shared" si="12"/>
        <v>0</v>
      </c>
      <c r="AG31" s="56">
        <f t="shared" si="13"/>
        <v>0</v>
      </c>
      <c r="AI31" s="56">
        <f t="shared" si="14"/>
        <v>0</v>
      </c>
      <c r="AJ31" s="56">
        <f t="shared" si="15"/>
        <v>0</v>
      </c>
      <c r="AK31" s="56">
        <f t="shared" si="16"/>
        <v>0</v>
      </c>
      <c r="AM31" s="56">
        <f t="shared" si="17"/>
        <v>227163</v>
      </c>
      <c r="AN31" s="56">
        <f t="shared" si="18"/>
        <v>22226</v>
      </c>
      <c r="AO31" s="56">
        <f t="shared" si="19"/>
        <v>44800</v>
      </c>
      <c r="AP31" s="56"/>
      <c r="AQ31" s="56">
        <f t="shared" si="20"/>
        <v>294189</v>
      </c>
      <c r="AR31" s="1"/>
      <c r="AS31" s="56">
        <v>1483.756554453267</v>
      </c>
      <c r="AT31" s="56">
        <v>145.17317159607117</v>
      </c>
      <c r="AU31" s="56">
        <v>292.61936864500979</v>
      </c>
      <c r="AV31" s="56"/>
      <c r="AW31" s="56">
        <v>1921.549094694348</v>
      </c>
      <c r="AX31" s="1"/>
      <c r="AY31" s="16">
        <v>2.1328839636072461E-2</v>
      </c>
      <c r="AZ31" s="16">
        <v>3.6841425378590253E-2</v>
      </c>
      <c r="BA31" s="16">
        <v>9.4608204550119535E-2</v>
      </c>
      <c r="BB31" s="16">
        <f t="shared" si="21"/>
        <v>3.3027918976575421E-2</v>
      </c>
      <c r="BC31" s="16"/>
      <c r="BD31" s="1"/>
      <c r="BE31" s="16">
        <f>AM31/'2018-19 disagg'!AM31-1</f>
        <v>2.0782967403319974E-2</v>
      </c>
      <c r="BF31" s="16">
        <f>AN31/'2018-19 disagg'!AN31-1</f>
        <v>2.3862170628339729E-2</v>
      </c>
      <c r="BG31" s="16">
        <f>AO31/'2018-19 disagg'!AO31-1</f>
        <v>4.140031149027168E-2</v>
      </c>
      <c r="BH31" s="16">
        <f>AQ31/'2018-19 disagg'!AQ31-1</f>
        <v>2.4103179990601076E-2</v>
      </c>
      <c r="BI31" s="1"/>
      <c r="BJ31" s="16">
        <f>AS31/'2018-19 disagg'!AS31-1</f>
        <v>1.6853706986296624E-2</v>
      </c>
      <c r="BK31" s="16">
        <f>AT31/'2018-19 disagg'!AT31-1</f>
        <v>1.9921057553372368E-2</v>
      </c>
      <c r="BL31" s="16">
        <f>AU31/'2018-19 disagg'!AU31-1</f>
        <v>3.7391689527638716E-2</v>
      </c>
      <c r="BM31" s="16">
        <f>AW31/'2018-19 disagg'!AW31-1</f>
        <v>2.0161139207611534E-2</v>
      </c>
    </row>
    <row r="32" spans="1:65" x14ac:dyDescent="0.2">
      <c r="A32" s="156" t="s">
        <v>109</v>
      </c>
      <c r="B32" s="156" t="s">
        <v>110</v>
      </c>
      <c r="D32" s="56">
        <f>VLOOKUP(A32,'2019-20'!$A$12:$AMX240,32,FALSE)</f>
        <v>371715</v>
      </c>
      <c r="E32" s="56">
        <v>1747.5100534063536</v>
      </c>
      <c r="F32" s="16">
        <f>VLOOKUP(A32,'2019-20'!$A$12:$AMX240,34,FALSE)</f>
        <v>2.4476757966452878E-2</v>
      </c>
      <c r="G32" s="16">
        <f>VLOOKUP(A32,'2019-20'!$A$12:$AMX240,35,FALSE)</f>
        <v>2.2387900752047329E-2</v>
      </c>
      <c r="H32" s="56"/>
      <c r="I32" s="56">
        <v>371677.98803783517</v>
      </c>
      <c r="J32" s="56">
        <v>1747.336052421784</v>
      </c>
      <c r="K32" s="16">
        <f t="shared" si="6"/>
        <v>9.9580721366399061E-5</v>
      </c>
      <c r="L32" s="58">
        <f t="shared" si="6"/>
        <v>9.9580721366399061E-5</v>
      </c>
      <c r="M32" s="10"/>
      <c r="N32" s="56">
        <v>280669</v>
      </c>
      <c r="O32" s="56">
        <v>28485</v>
      </c>
      <c r="P32" s="56">
        <v>62561</v>
      </c>
      <c r="R32" s="56">
        <f t="shared" si="7"/>
        <v>62561</v>
      </c>
      <c r="S32" s="56">
        <f t="shared" si="8"/>
        <v>0</v>
      </c>
      <c r="U32" s="16">
        <v>3.4384175424764241E-3</v>
      </c>
      <c r="V32" s="16">
        <v>-4.9000481991006151E-2</v>
      </c>
      <c r="W32" s="56">
        <f t="shared" si="9"/>
        <v>3</v>
      </c>
      <c r="X32" s="56">
        <f t="shared" si="10"/>
        <v>2797.0724968592212</v>
      </c>
      <c r="Y32" s="56">
        <f t="shared" si="10"/>
        <v>299.52696568801633</v>
      </c>
      <c r="AA32" s="56">
        <f t="shared" si="22"/>
        <v>0</v>
      </c>
      <c r="AB32" s="56">
        <v>0</v>
      </c>
      <c r="AC32" s="56">
        <f t="shared" si="11"/>
        <v>0</v>
      </c>
      <c r="AE32" s="56">
        <v>0</v>
      </c>
      <c r="AF32" s="56">
        <f t="shared" si="12"/>
        <v>0</v>
      </c>
      <c r="AG32" s="56">
        <f t="shared" si="13"/>
        <v>0</v>
      </c>
      <c r="AI32" s="56">
        <f t="shared" si="14"/>
        <v>0</v>
      </c>
      <c r="AJ32" s="56">
        <f t="shared" si="15"/>
        <v>0</v>
      </c>
      <c r="AK32" s="56">
        <f t="shared" si="16"/>
        <v>0</v>
      </c>
      <c r="AM32" s="56">
        <f t="shared" si="17"/>
        <v>280669</v>
      </c>
      <c r="AN32" s="56">
        <f t="shared" si="18"/>
        <v>28485</v>
      </c>
      <c r="AO32" s="56">
        <f t="shared" si="19"/>
        <v>62561</v>
      </c>
      <c r="AP32" s="56"/>
      <c r="AQ32" s="56">
        <f t="shared" si="20"/>
        <v>371715</v>
      </c>
      <c r="AR32" s="1"/>
      <c r="AS32" s="56">
        <v>1319.4837420591255</v>
      </c>
      <c r="AT32" s="56">
        <v>133.9139498574983</v>
      </c>
      <c r="AU32" s="56">
        <v>294.11236148972972</v>
      </c>
      <c r="AV32" s="56"/>
      <c r="AW32" s="56">
        <v>1747.5100534063536</v>
      </c>
      <c r="AX32" s="1"/>
      <c r="AY32" s="16">
        <v>3.4384175424764241E-3</v>
      </c>
      <c r="AZ32" s="16">
        <v>-4.9000481991006151E-2</v>
      </c>
      <c r="BA32" s="16">
        <v>8.7548429663002469E-3</v>
      </c>
      <c r="BB32" s="16">
        <f t="shared" si="21"/>
        <v>9.9580721366399061E-5</v>
      </c>
      <c r="BC32" s="16"/>
      <c r="BD32" s="1"/>
      <c r="BE32" s="16">
        <f>AM32/'2018-19 disagg'!AM32-1</f>
        <v>2.0785294994799086E-2</v>
      </c>
      <c r="BF32" s="16">
        <f>AN32/'2018-19 disagg'!AN32-1</f>
        <v>2.8450734736614081E-2</v>
      </c>
      <c r="BG32" s="16">
        <f>AO32/'2018-19 disagg'!AO32-1</f>
        <v>3.9512819234667651E-2</v>
      </c>
      <c r="BH32" s="16">
        <f>AQ32/'2018-19 disagg'!AQ32-1</f>
        <v>2.4476757966452878E-2</v>
      </c>
      <c r="BI32" s="1"/>
      <c r="BJ32" s="16">
        <f>AS32/'2018-19 disagg'!AS32-1</f>
        <v>1.8703964490003999E-2</v>
      </c>
      <c r="BK32" s="16">
        <f>AT32/'2018-19 disagg'!AT32-1</f>
        <v>2.635377478099743E-2</v>
      </c>
      <c r="BL32" s="16">
        <f>AU32/'2018-19 disagg'!AU32-1</f>
        <v>3.7393304238314107E-2</v>
      </c>
      <c r="BM32" s="16">
        <f>AW32/'2018-19 disagg'!AW32-1</f>
        <v>2.2387900752047329E-2</v>
      </c>
    </row>
    <row r="33" spans="1:65" x14ac:dyDescent="0.2">
      <c r="A33" s="156" t="s">
        <v>111</v>
      </c>
      <c r="B33" s="156" t="s">
        <v>112</v>
      </c>
      <c r="D33" s="56">
        <f>VLOOKUP(A33,'2019-20'!$A$12:$AMX241,32,FALSE)</f>
        <v>259557</v>
      </c>
      <c r="E33" s="56">
        <v>1979.9923096349489</v>
      </c>
      <c r="F33" s="16">
        <f>VLOOKUP(A33,'2019-20'!$A$12:$AMX241,34,FALSE)</f>
        <v>2.3869257532366017E-2</v>
      </c>
      <c r="G33" s="16">
        <f>VLOOKUP(A33,'2019-20'!$A$12:$AMX241,35,FALSE)</f>
        <v>2.1687927954100017E-2</v>
      </c>
      <c r="H33" s="56"/>
      <c r="I33" s="56">
        <v>250553.40774623753</v>
      </c>
      <c r="J33" s="56">
        <v>1911.3097334704128</v>
      </c>
      <c r="K33" s="16">
        <f t="shared" si="6"/>
        <v>3.5934822578351788E-2</v>
      </c>
      <c r="L33" s="58">
        <f t="shared" si="6"/>
        <v>3.5934822578351788E-2</v>
      </c>
      <c r="M33" s="10"/>
      <c r="N33" s="56">
        <v>203162</v>
      </c>
      <c r="O33" s="56">
        <v>18770</v>
      </c>
      <c r="P33" s="56">
        <v>37625</v>
      </c>
      <c r="R33" s="56">
        <f t="shared" si="7"/>
        <v>37625</v>
      </c>
      <c r="S33" s="56">
        <f t="shared" si="8"/>
        <v>0</v>
      </c>
      <c r="U33" s="16">
        <v>4.1310401011932063E-2</v>
      </c>
      <c r="V33" s="16">
        <v>-1.9268552252293403E-2</v>
      </c>
      <c r="W33" s="56">
        <f t="shared" si="9"/>
        <v>3</v>
      </c>
      <c r="X33" s="56">
        <f t="shared" si="10"/>
        <v>1951.0224790088507</v>
      </c>
      <c r="Y33" s="56">
        <f t="shared" si="10"/>
        <v>191.38776515330613</v>
      </c>
      <c r="AA33" s="56">
        <f t="shared" si="22"/>
        <v>0</v>
      </c>
      <c r="AB33" s="56">
        <v>0</v>
      </c>
      <c r="AC33" s="56">
        <f t="shared" si="11"/>
        <v>0</v>
      </c>
      <c r="AE33" s="56">
        <v>0</v>
      </c>
      <c r="AF33" s="56">
        <f t="shared" si="12"/>
        <v>0</v>
      </c>
      <c r="AG33" s="56">
        <f t="shared" si="13"/>
        <v>0</v>
      </c>
      <c r="AI33" s="56">
        <f t="shared" si="14"/>
        <v>0</v>
      </c>
      <c r="AJ33" s="56">
        <f t="shared" si="15"/>
        <v>0</v>
      </c>
      <c r="AK33" s="56">
        <f t="shared" si="16"/>
        <v>0</v>
      </c>
      <c r="AM33" s="56">
        <f t="shared" si="17"/>
        <v>203162</v>
      </c>
      <c r="AN33" s="56">
        <f t="shared" si="18"/>
        <v>18770</v>
      </c>
      <c r="AO33" s="56">
        <f t="shared" si="19"/>
        <v>37625</v>
      </c>
      <c r="AP33" s="56"/>
      <c r="AQ33" s="56">
        <f t="shared" si="20"/>
        <v>259557</v>
      </c>
      <c r="AR33" s="1"/>
      <c r="AS33" s="56">
        <v>1549.7913660970635</v>
      </c>
      <c r="AT33" s="56">
        <v>143.18417785630126</v>
      </c>
      <c r="AU33" s="56">
        <v>287.01676568158422</v>
      </c>
      <c r="AV33" s="56"/>
      <c r="AW33" s="56">
        <v>1979.9923096349489</v>
      </c>
      <c r="AX33" s="1"/>
      <c r="AY33" s="16">
        <v>4.1310401011932063E-2</v>
      </c>
      <c r="AZ33" s="16">
        <v>-1.9268552252293403E-2</v>
      </c>
      <c r="BA33" s="16">
        <v>3.6147907397005019E-2</v>
      </c>
      <c r="BB33" s="16">
        <f t="shared" si="21"/>
        <v>3.5934822578351788E-2</v>
      </c>
      <c r="BC33" s="16"/>
      <c r="BD33" s="1"/>
      <c r="BE33" s="16">
        <f>AM33/'2018-19 disagg'!AM33-1</f>
        <v>2.0781204465748271E-2</v>
      </c>
      <c r="BF33" s="16">
        <f>AN33/'2018-19 disagg'!AN33-1</f>
        <v>2.629996172562743E-2</v>
      </c>
      <c r="BG33" s="16">
        <f>AO33/'2018-19 disagg'!AO33-1</f>
        <v>3.9623110718134402E-2</v>
      </c>
      <c r="BH33" s="16">
        <f>AQ33/'2018-19 disagg'!AQ33-1</f>
        <v>2.3869257532366017E-2</v>
      </c>
      <c r="BI33" s="1"/>
      <c r="BJ33" s="16">
        <f>AS33/'2018-19 disagg'!AS33-1</f>
        <v>1.860645391253235E-2</v>
      </c>
      <c r="BK33" s="16">
        <f>AT33/'2018-19 disagg'!AT33-1</f>
        <v>2.4113453588757494E-2</v>
      </c>
      <c r="BL33" s="16">
        <f>AU33/'2018-19 disagg'!AU33-1</f>
        <v>3.7408217923009301E-2</v>
      </c>
      <c r="BM33" s="16">
        <f>AW33/'2018-19 disagg'!AW33-1</f>
        <v>2.1687927954100017E-2</v>
      </c>
    </row>
    <row r="34" spans="1:65" x14ac:dyDescent="0.2">
      <c r="A34" s="156" t="s">
        <v>113</v>
      </c>
      <c r="B34" s="156" t="s">
        <v>114</v>
      </c>
      <c r="D34" s="56">
        <f>VLOOKUP(A34,'2019-20'!$A$12:$AMX242,32,FALSE)</f>
        <v>436218</v>
      </c>
      <c r="E34" s="56">
        <v>1900.3040341137478</v>
      </c>
      <c r="F34" s="16">
        <f>VLOOKUP(A34,'2019-20'!$A$12:$AMX242,34,FALSE)</f>
        <v>2.4868842406486236E-2</v>
      </c>
      <c r="G34" s="16">
        <f>VLOOKUP(A34,'2019-20'!$A$12:$AMX242,35,FALSE)</f>
        <v>2.2152028570127769E-2</v>
      </c>
      <c r="H34" s="56"/>
      <c r="I34" s="56">
        <v>443415.21670039446</v>
      </c>
      <c r="J34" s="56">
        <v>1931.6573939708614</v>
      </c>
      <c r="K34" s="16">
        <f t="shared" si="6"/>
        <v>-1.6231325469503344E-2</v>
      </c>
      <c r="L34" s="58">
        <f t="shared" si="6"/>
        <v>-1.6231325469503344E-2</v>
      </c>
      <c r="M34" s="10"/>
      <c r="N34" s="56">
        <v>324713</v>
      </c>
      <c r="O34" s="56">
        <v>31863</v>
      </c>
      <c r="P34" s="56">
        <v>79642</v>
      </c>
      <c r="R34" s="56">
        <f t="shared" si="7"/>
        <v>79642</v>
      </c>
      <c r="S34" s="56">
        <f t="shared" si="8"/>
        <v>0</v>
      </c>
      <c r="U34" s="16">
        <v>-2.7098151251054969E-2</v>
      </c>
      <c r="V34" s="16">
        <v>-4.8505059273617035E-2</v>
      </c>
      <c r="W34" s="56">
        <f t="shared" si="9"/>
        <v>4</v>
      </c>
      <c r="X34" s="56">
        <f t="shared" si="10"/>
        <v>3337.5720317270298</v>
      </c>
      <c r="Y34" s="56">
        <f t="shared" si="10"/>
        <v>334.87303648378196</v>
      </c>
      <c r="AA34" s="56">
        <f t="shared" si="22"/>
        <v>0</v>
      </c>
      <c r="AB34" s="56">
        <v>0</v>
      </c>
      <c r="AC34" s="56">
        <f t="shared" si="11"/>
        <v>0</v>
      </c>
      <c r="AE34" s="56">
        <v>0</v>
      </c>
      <c r="AF34" s="56">
        <f t="shared" si="12"/>
        <v>0</v>
      </c>
      <c r="AG34" s="56">
        <f t="shared" si="13"/>
        <v>0</v>
      </c>
      <c r="AI34" s="56">
        <f t="shared" si="14"/>
        <v>0</v>
      </c>
      <c r="AJ34" s="56">
        <f t="shared" si="15"/>
        <v>0</v>
      </c>
      <c r="AK34" s="56">
        <f t="shared" si="16"/>
        <v>0</v>
      </c>
      <c r="AM34" s="56">
        <f t="shared" si="17"/>
        <v>324713</v>
      </c>
      <c r="AN34" s="56">
        <f t="shared" si="18"/>
        <v>31863</v>
      </c>
      <c r="AO34" s="56">
        <f t="shared" si="19"/>
        <v>79642</v>
      </c>
      <c r="AP34" s="56"/>
      <c r="AQ34" s="56">
        <f t="shared" si="20"/>
        <v>436218</v>
      </c>
      <c r="AR34" s="1"/>
      <c r="AS34" s="56">
        <v>1414.5528699622148</v>
      </c>
      <c r="AT34" s="56">
        <v>138.80533916291017</v>
      </c>
      <c r="AU34" s="56">
        <v>346.94582498862292</v>
      </c>
      <c r="AV34" s="56"/>
      <c r="AW34" s="56">
        <v>1900.3040341137478</v>
      </c>
      <c r="AX34" s="1"/>
      <c r="AY34" s="16">
        <v>-2.7098151251054969E-2</v>
      </c>
      <c r="AZ34" s="16">
        <v>-4.8505059273617035E-2</v>
      </c>
      <c r="BA34" s="16">
        <v>4.5572505838355815E-2</v>
      </c>
      <c r="BB34" s="16">
        <f t="shared" si="21"/>
        <v>-1.6231325469503344E-2</v>
      </c>
      <c r="BC34" s="16"/>
      <c r="BD34" s="1"/>
      <c r="BE34" s="16">
        <f>AM34/'2018-19 disagg'!AM34-1</f>
        <v>2.0782642045633182E-2</v>
      </c>
      <c r="BF34" s="16">
        <f>AN34/'2018-19 disagg'!AN34-1</f>
        <v>2.9033716574085933E-2</v>
      </c>
      <c r="BG34" s="16">
        <f>AO34/'2018-19 disagg'!AO34-1</f>
        <v>4.0160904828450805E-2</v>
      </c>
      <c r="BH34" s="16">
        <f>AQ34/'2018-19 disagg'!AQ34-1</f>
        <v>2.4868842406486236E-2</v>
      </c>
      <c r="BI34" s="1"/>
      <c r="BJ34" s="16">
        <f>AS34/'2018-19 disagg'!AS34-1</f>
        <v>1.8076660274041423E-2</v>
      </c>
      <c r="BK34" s="16">
        <f>AT34/'2018-19 disagg'!AT34-1</f>
        <v>2.630586211740904E-2</v>
      </c>
      <c r="BL34" s="16">
        <f>AU34/'2018-19 disagg'!AU34-1</f>
        <v>3.7403553427620251E-2</v>
      </c>
      <c r="BM34" s="16">
        <f>AW34/'2018-19 disagg'!AW34-1</f>
        <v>2.2152028570127769E-2</v>
      </c>
    </row>
    <row r="35" spans="1:65" x14ac:dyDescent="0.2">
      <c r="A35" s="156" t="s">
        <v>115</v>
      </c>
      <c r="B35" s="156" t="s">
        <v>116</v>
      </c>
      <c r="D35" s="56">
        <f>VLOOKUP(A35,'2019-20'!$A$12:$AMX243,32,FALSE)</f>
        <v>360350</v>
      </c>
      <c r="E35" s="56">
        <v>2212.2633982146558</v>
      </c>
      <c r="F35" s="16">
        <f>VLOOKUP(A35,'2019-20'!$A$12:$AMX243,34,FALSE)</f>
        <v>1.9423792873227708E-2</v>
      </c>
      <c r="G35" s="16">
        <f>VLOOKUP(A35,'2019-20'!$A$12:$AMX243,35,FALSE)</f>
        <v>1.8541889787822674E-2</v>
      </c>
      <c r="H35" s="56"/>
      <c r="I35" s="56">
        <v>338297.17290071229</v>
      </c>
      <c r="J35" s="56">
        <v>2076.8765181843783</v>
      </c>
      <c r="K35" s="16">
        <f t="shared" si="6"/>
        <v>6.5187736894745107E-2</v>
      </c>
      <c r="L35" s="58">
        <f t="shared" si="6"/>
        <v>6.5187736894745107E-2</v>
      </c>
      <c r="M35" s="10"/>
      <c r="N35" s="56">
        <v>275826</v>
      </c>
      <c r="O35" s="56">
        <v>31052</v>
      </c>
      <c r="P35" s="56">
        <v>53472</v>
      </c>
      <c r="R35" s="56">
        <f t="shared" si="7"/>
        <v>53472</v>
      </c>
      <c r="S35" s="56">
        <f t="shared" si="8"/>
        <v>0</v>
      </c>
      <c r="U35" s="16">
        <v>5.4105484909105828E-2</v>
      </c>
      <c r="V35" s="16">
        <v>0.23012057515743156</v>
      </c>
      <c r="W35" s="56">
        <f t="shared" si="9"/>
        <v>2</v>
      </c>
      <c r="X35" s="56">
        <f t="shared" si="10"/>
        <v>2616.6830924305846</v>
      </c>
      <c r="Y35" s="56">
        <f t="shared" si="10"/>
        <v>252.43053914471716</v>
      </c>
      <c r="AA35" s="56">
        <f t="shared" si="22"/>
        <v>0</v>
      </c>
      <c r="AB35" s="56">
        <v>0</v>
      </c>
      <c r="AC35" s="56">
        <f t="shared" si="11"/>
        <v>0</v>
      </c>
      <c r="AE35" s="56">
        <v>0</v>
      </c>
      <c r="AF35" s="56">
        <f t="shared" si="12"/>
        <v>0</v>
      </c>
      <c r="AG35" s="56">
        <f t="shared" si="13"/>
        <v>0</v>
      </c>
      <c r="AI35" s="56">
        <f t="shared" si="14"/>
        <v>0</v>
      </c>
      <c r="AJ35" s="56">
        <f t="shared" si="15"/>
        <v>0</v>
      </c>
      <c r="AK35" s="56">
        <f t="shared" si="16"/>
        <v>0</v>
      </c>
      <c r="AM35" s="56">
        <f t="shared" si="17"/>
        <v>275826</v>
      </c>
      <c r="AN35" s="56">
        <f t="shared" si="18"/>
        <v>31052</v>
      </c>
      <c r="AO35" s="56">
        <f t="shared" si="19"/>
        <v>53472</v>
      </c>
      <c r="AP35" s="56"/>
      <c r="AQ35" s="56">
        <f t="shared" si="20"/>
        <v>360350</v>
      </c>
      <c r="AR35" s="1"/>
      <c r="AS35" s="56">
        <v>1693.3530292103667</v>
      </c>
      <c r="AT35" s="56">
        <v>190.63466918651724</v>
      </c>
      <c r="AU35" s="56">
        <v>328.27569981777179</v>
      </c>
      <c r="AV35" s="56"/>
      <c r="AW35" s="56">
        <v>2212.2633982146558</v>
      </c>
      <c r="AX35" s="1"/>
      <c r="AY35" s="16">
        <v>5.4105484909105828E-2</v>
      </c>
      <c r="AZ35" s="16">
        <v>0.23012057515743156</v>
      </c>
      <c r="BA35" s="16">
        <v>4.0598567332971847E-2</v>
      </c>
      <c r="BB35" s="16">
        <f t="shared" si="21"/>
        <v>6.5187736894745107E-2</v>
      </c>
      <c r="BC35" s="16"/>
      <c r="BD35" s="1"/>
      <c r="BE35" s="16">
        <f>AM35/'2018-19 disagg'!AM35-1</f>
        <v>1.6911284881598876E-2</v>
      </c>
      <c r="BF35" s="16">
        <f>AN35/'2018-19 disagg'!AN35-1</f>
        <v>9.9853634737354646E-3</v>
      </c>
      <c r="BG35" s="16">
        <f>AO35/'2018-19 disagg'!AO35-1</f>
        <v>3.8291262135922377E-2</v>
      </c>
      <c r="BH35" s="16">
        <f>AQ35/'2018-19 disagg'!AQ35-1</f>
        <v>1.9423792873227708E-2</v>
      </c>
      <c r="BI35" s="1"/>
      <c r="BJ35" s="16">
        <f>AS35/'2018-19 disagg'!AS35-1</f>
        <v>1.6031555365778383E-2</v>
      </c>
      <c r="BK35" s="16">
        <f>AT35/'2018-19 disagg'!AT35-1</f>
        <v>9.1116255695504744E-3</v>
      </c>
      <c r="BL35" s="16">
        <f>AU35/'2018-19 disagg'!AU35-1</f>
        <v>3.7393036810960956E-2</v>
      </c>
      <c r="BM35" s="16">
        <f>AW35/'2018-19 disagg'!AW35-1</f>
        <v>1.8541889787822674E-2</v>
      </c>
    </row>
    <row r="36" spans="1:65" x14ac:dyDescent="0.2">
      <c r="A36" s="156" t="s">
        <v>117</v>
      </c>
      <c r="B36" s="156" t="s">
        <v>118</v>
      </c>
      <c r="D36" s="56">
        <f>VLOOKUP(A36,'2019-20'!$A$12:$AMX244,32,FALSE)</f>
        <v>285777</v>
      </c>
      <c r="E36" s="56">
        <v>1793.591936475485</v>
      </c>
      <c r="F36" s="16">
        <f>VLOOKUP(A36,'2019-20'!$A$12:$AMX244,34,FALSE)</f>
        <v>2.3919656325129601E-2</v>
      </c>
      <c r="G36" s="16">
        <f>VLOOKUP(A36,'2019-20'!$A$12:$AMX244,35,FALSE)</f>
        <v>2.2026322963447198E-2</v>
      </c>
      <c r="H36" s="56"/>
      <c r="I36" s="56">
        <v>276425.55500913493</v>
      </c>
      <c r="J36" s="56">
        <v>1734.9004521012714</v>
      </c>
      <c r="K36" s="16">
        <f t="shared" si="6"/>
        <v>3.382988591831193E-2</v>
      </c>
      <c r="L36" s="58">
        <f t="shared" si="6"/>
        <v>3.3829885918311708E-2</v>
      </c>
      <c r="M36" s="10"/>
      <c r="N36" s="56">
        <v>222438</v>
      </c>
      <c r="O36" s="56">
        <v>21263</v>
      </c>
      <c r="P36" s="56">
        <v>42076</v>
      </c>
      <c r="R36" s="56">
        <f t="shared" si="7"/>
        <v>42076</v>
      </c>
      <c r="S36" s="56">
        <f t="shared" si="8"/>
        <v>0</v>
      </c>
      <c r="U36" s="16">
        <v>4.3991859224414842E-2</v>
      </c>
      <c r="V36" s="16">
        <v>-3.0008575811852789E-2</v>
      </c>
      <c r="W36" s="56">
        <f t="shared" si="9"/>
        <v>3</v>
      </c>
      <c r="X36" s="56">
        <f t="shared" si="10"/>
        <v>2130.6487980208003</v>
      </c>
      <c r="Y36" s="56">
        <f t="shared" si="10"/>
        <v>219.20812359548924</v>
      </c>
      <c r="AA36" s="56">
        <f t="shared" si="22"/>
        <v>0</v>
      </c>
      <c r="AB36" s="56">
        <v>0</v>
      </c>
      <c r="AC36" s="56">
        <f t="shared" si="11"/>
        <v>0</v>
      </c>
      <c r="AE36" s="56">
        <v>0</v>
      </c>
      <c r="AF36" s="56">
        <f t="shared" si="12"/>
        <v>0</v>
      </c>
      <c r="AG36" s="56">
        <f t="shared" si="13"/>
        <v>0</v>
      </c>
      <c r="AI36" s="56">
        <f t="shared" si="14"/>
        <v>0</v>
      </c>
      <c r="AJ36" s="56">
        <f t="shared" si="15"/>
        <v>0</v>
      </c>
      <c r="AK36" s="56">
        <f t="shared" si="16"/>
        <v>0</v>
      </c>
      <c r="AM36" s="56">
        <f t="shared" si="17"/>
        <v>222438</v>
      </c>
      <c r="AN36" s="56">
        <f t="shared" si="18"/>
        <v>21263</v>
      </c>
      <c r="AO36" s="56">
        <f t="shared" si="19"/>
        <v>42076</v>
      </c>
      <c r="AP36" s="56"/>
      <c r="AQ36" s="56">
        <f t="shared" si="20"/>
        <v>285777</v>
      </c>
      <c r="AR36" s="1"/>
      <c r="AS36" s="56">
        <v>1396.0640750156028</v>
      </c>
      <c r="AT36" s="56">
        <v>133.4507162762512</v>
      </c>
      <c r="AU36" s="56">
        <v>264.07714518363093</v>
      </c>
      <c r="AV36" s="56"/>
      <c r="AW36" s="56">
        <v>1793.591936475485</v>
      </c>
      <c r="AX36" s="1"/>
      <c r="AY36" s="16">
        <v>4.3991859224414842E-2</v>
      </c>
      <c r="AZ36" s="16">
        <v>-3.0008575811852789E-2</v>
      </c>
      <c r="BA36" s="16">
        <v>1.5350850818087514E-2</v>
      </c>
      <c r="BB36" s="16">
        <f t="shared" si="21"/>
        <v>3.382988591831193E-2</v>
      </c>
      <c r="BC36" s="16"/>
      <c r="BD36" s="1"/>
      <c r="BE36" s="16">
        <f>AM36/'2018-19 disagg'!AM36-1</f>
        <v>2.0783905208137332E-2</v>
      </c>
      <c r="BF36" s="16">
        <f>AN36/'2018-19 disagg'!AN36-1</f>
        <v>2.6801236237202986E-2</v>
      </c>
      <c r="BG36" s="16">
        <f>AO36/'2018-19 disagg'!AO36-1</f>
        <v>3.9324177452820797E-2</v>
      </c>
      <c r="BH36" s="16">
        <f>AQ36/'2018-19 disagg'!AQ36-1</f>
        <v>2.3919656325129601E-2</v>
      </c>
      <c r="BI36" s="1"/>
      <c r="BJ36" s="16">
        <f>AS36/'2018-19 disagg'!AS36-1</f>
        <v>1.8896370174641186E-2</v>
      </c>
      <c r="BK36" s="16">
        <f>AT36/'2018-19 disagg'!AT36-1</f>
        <v>2.4902574536184385E-2</v>
      </c>
      <c r="BL36" s="16">
        <f>AU36/'2018-19 disagg'!AU36-1</f>
        <v>3.7402359538086127E-2</v>
      </c>
      <c r="BM36" s="16">
        <f>AW36/'2018-19 disagg'!AW36-1</f>
        <v>2.2026322963447198E-2</v>
      </c>
    </row>
    <row r="37" spans="1:65" x14ac:dyDescent="0.2">
      <c r="A37" s="156" t="s">
        <v>119</v>
      </c>
      <c r="B37" s="156" t="s">
        <v>120</v>
      </c>
      <c r="D37" s="56">
        <f>VLOOKUP(A37,'2019-20'!$A$12:$AMX245,32,FALSE)</f>
        <v>1056089</v>
      </c>
      <c r="E37" s="56">
        <v>2068.8331314780453</v>
      </c>
      <c r="F37" s="16">
        <f>VLOOKUP(A37,'2019-20'!$A$12:$AMX245,34,FALSE)</f>
        <v>2.08877688425404E-2</v>
      </c>
      <c r="G37" s="16">
        <f>VLOOKUP(A37,'2019-20'!$A$12:$AMX245,35,FALSE)</f>
        <v>1.9114021472594889E-2</v>
      </c>
      <c r="H37" s="56"/>
      <c r="I37" s="56">
        <v>1012525.7630174196</v>
      </c>
      <c r="J37" s="56">
        <v>1983.4946155158566</v>
      </c>
      <c r="K37" s="16">
        <f t="shared" si="6"/>
        <v>4.3024324490033683E-2</v>
      </c>
      <c r="L37" s="58">
        <f t="shared" si="6"/>
        <v>4.3024324490033683E-2</v>
      </c>
      <c r="M37" s="10"/>
      <c r="N37" s="56">
        <v>807364</v>
      </c>
      <c r="O37" s="56">
        <v>77152</v>
      </c>
      <c r="P37" s="56">
        <v>171573</v>
      </c>
      <c r="R37" s="56">
        <f t="shared" si="7"/>
        <v>171573</v>
      </c>
      <c r="S37" s="56">
        <f t="shared" si="8"/>
        <v>0</v>
      </c>
      <c r="U37" s="16">
        <v>5.4812348096921371E-2</v>
      </c>
      <c r="V37" s="16">
        <v>-4.9175035327055916E-2</v>
      </c>
      <c r="W37" s="56">
        <f t="shared" si="9"/>
        <v>3</v>
      </c>
      <c r="X37" s="56">
        <f t="shared" si="10"/>
        <v>7654.1007645258951</v>
      </c>
      <c r="Y37" s="56">
        <f t="shared" si="10"/>
        <v>811.42169028489934</v>
      </c>
      <c r="AA37" s="56">
        <f t="shared" si="22"/>
        <v>0</v>
      </c>
      <c r="AB37" s="56">
        <v>0</v>
      </c>
      <c r="AC37" s="56">
        <f t="shared" si="11"/>
        <v>0</v>
      </c>
      <c r="AE37" s="56">
        <v>0</v>
      </c>
      <c r="AF37" s="56">
        <f t="shared" si="12"/>
        <v>0</v>
      </c>
      <c r="AG37" s="56">
        <f t="shared" si="13"/>
        <v>0</v>
      </c>
      <c r="AI37" s="56">
        <f t="shared" si="14"/>
        <v>0</v>
      </c>
      <c r="AJ37" s="56">
        <f t="shared" si="15"/>
        <v>0</v>
      </c>
      <c r="AK37" s="56">
        <f t="shared" si="16"/>
        <v>0</v>
      </c>
      <c r="AM37" s="56">
        <f t="shared" si="17"/>
        <v>807364</v>
      </c>
      <c r="AN37" s="56">
        <f t="shared" si="18"/>
        <v>77152</v>
      </c>
      <c r="AO37" s="56">
        <f t="shared" si="19"/>
        <v>171573</v>
      </c>
      <c r="AP37" s="56"/>
      <c r="AQ37" s="56">
        <f t="shared" si="20"/>
        <v>1056089</v>
      </c>
      <c r="AR37" s="1"/>
      <c r="AS37" s="56">
        <v>1581.5915063622863</v>
      </c>
      <c r="AT37" s="56">
        <v>151.13746451273914</v>
      </c>
      <c r="AU37" s="56">
        <v>336.10416060301986</v>
      </c>
      <c r="AV37" s="56"/>
      <c r="AW37" s="56">
        <v>2068.8331314780453</v>
      </c>
      <c r="AX37" s="1"/>
      <c r="AY37" s="16">
        <v>5.4812348096921371E-2</v>
      </c>
      <c r="AZ37" s="16">
        <v>-4.9175035327055916E-2</v>
      </c>
      <c r="BA37" s="16">
        <v>3.3737204264733256E-2</v>
      </c>
      <c r="BB37" s="16">
        <f t="shared" si="21"/>
        <v>4.3024324490033683E-2</v>
      </c>
      <c r="BC37" s="16"/>
      <c r="BD37" s="1"/>
      <c r="BE37" s="16">
        <f>AM37/'2018-19 disagg'!AM37-1</f>
        <v>1.6396001712113195E-2</v>
      </c>
      <c r="BF37" s="16">
        <f>AN37/'2018-19 disagg'!AN37-1</f>
        <v>2.8131288229101381E-2</v>
      </c>
      <c r="BG37" s="16">
        <f>AO37/'2018-19 disagg'!AO37-1</f>
        <v>3.9206541490006019E-2</v>
      </c>
      <c r="BH37" s="16">
        <f>AQ37/'2018-19 disagg'!AQ37-1</f>
        <v>2.08877688425404E-2</v>
      </c>
      <c r="BI37" s="1"/>
      <c r="BJ37" s="16">
        <f>AS37/'2018-19 disagg'!AS37-1</f>
        <v>1.4630058588998018E-2</v>
      </c>
      <c r="BK37" s="16">
        <f>AT37/'2018-19 disagg'!AT37-1</f>
        <v>2.6344955564422401E-2</v>
      </c>
      <c r="BL37" s="16">
        <f>AU37/'2018-19 disagg'!AU37-1</f>
        <v>3.7400966062368202E-2</v>
      </c>
      <c r="BM37" s="16">
        <f>AW37/'2018-19 disagg'!AW37-1</f>
        <v>1.9114021472594889E-2</v>
      </c>
    </row>
    <row r="38" spans="1:65" x14ac:dyDescent="0.2">
      <c r="A38" s="156" t="s">
        <v>121</v>
      </c>
      <c r="B38" s="156" t="s">
        <v>122</v>
      </c>
      <c r="D38" s="56">
        <f>VLOOKUP(A38,'2019-20'!$A$12:$AMX246,32,FALSE)</f>
        <v>431011.43214792566</v>
      </c>
      <c r="E38" s="56">
        <v>2057.8379931893551</v>
      </c>
      <c r="F38" s="16">
        <f>VLOOKUP(A38,'2019-20'!$A$12:$AMX246,34,FALSE)</f>
        <v>3.0711105194133559E-2</v>
      </c>
      <c r="G38" s="16">
        <f>VLOOKUP(A38,'2019-20'!$A$12:$AMX246,35,FALSE)</f>
        <v>2.4092560640081029E-2</v>
      </c>
      <c r="H38" s="56"/>
      <c r="I38" s="56">
        <v>443391.36432826601</v>
      </c>
      <c r="J38" s="56">
        <v>2116.9452300133389</v>
      </c>
      <c r="K38" s="16">
        <f t="shared" si="6"/>
        <v>-2.7921004278231298E-2</v>
      </c>
      <c r="L38" s="58">
        <f t="shared" si="6"/>
        <v>-2.7921004278231298E-2</v>
      </c>
      <c r="M38" s="10"/>
      <c r="N38" s="56">
        <v>299639</v>
      </c>
      <c r="O38" s="56">
        <v>34776</v>
      </c>
      <c r="P38" s="56">
        <v>94971</v>
      </c>
      <c r="R38" s="56">
        <f t="shared" si="7"/>
        <v>94971</v>
      </c>
      <c r="S38" s="56">
        <f t="shared" si="8"/>
        <v>1625.4321479256614</v>
      </c>
      <c r="U38" s="16">
        <v>-4.8201192675367821E-2</v>
      </c>
      <c r="V38" s="16">
        <v>-4.6763031927839482E-2</v>
      </c>
      <c r="W38" s="56">
        <f t="shared" si="9"/>
        <v>4</v>
      </c>
      <c r="X38" s="56">
        <f t="shared" si="10"/>
        <v>3148.1338040571995</v>
      </c>
      <c r="Y38" s="56">
        <f t="shared" si="10"/>
        <v>364.82009368910082</v>
      </c>
      <c r="AA38" s="56">
        <f t="shared" si="22"/>
        <v>0</v>
      </c>
      <c r="AB38" s="56">
        <v>0</v>
      </c>
      <c r="AC38" s="56">
        <f t="shared" si="11"/>
        <v>1625.4321479256614</v>
      </c>
      <c r="AE38" s="56">
        <v>0</v>
      </c>
      <c r="AF38" s="56">
        <f t="shared" si="12"/>
        <v>0</v>
      </c>
      <c r="AG38" s="56">
        <f t="shared" si="13"/>
        <v>1625.4321479256614</v>
      </c>
      <c r="AI38" s="56">
        <f t="shared" si="14"/>
        <v>1456.631097370474</v>
      </c>
      <c r="AJ38" s="56">
        <f t="shared" si="15"/>
        <v>168.80105055518749</v>
      </c>
      <c r="AK38" s="56">
        <f t="shared" si="16"/>
        <v>0</v>
      </c>
      <c r="AM38" s="56">
        <f t="shared" si="17"/>
        <v>301096</v>
      </c>
      <c r="AN38" s="56">
        <f t="shared" si="18"/>
        <v>34945</v>
      </c>
      <c r="AO38" s="56">
        <f t="shared" si="19"/>
        <v>94971</v>
      </c>
      <c r="AP38" s="56"/>
      <c r="AQ38" s="56">
        <f t="shared" si="20"/>
        <v>431012</v>
      </c>
      <c r="AR38" s="1"/>
      <c r="AS38" s="56">
        <v>1437.5646263245503</v>
      </c>
      <c r="AT38" s="56">
        <v>166.84278724032006</v>
      </c>
      <c r="AU38" s="56">
        <v>453.43329079984079</v>
      </c>
      <c r="AV38" s="56"/>
      <c r="AW38" s="56">
        <v>2057.8407043647112</v>
      </c>
      <c r="AX38" s="1"/>
      <c r="AY38" s="16">
        <v>-4.3573053940850648E-2</v>
      </c>
      <c r="AZ38" s="16">
        <v>-4.2130611649366045E-2</v>
      </c>
      <c r="BA38" s="16">
        <v>3.1217710223476303E-2</v>
      </c>
      <c r="BB38" s="16">
        <f t="shared" si="21"/>
        <v>-2.7919723576530719E-2</v>
      </c>
      <c r="BC38" s="16"/>
      <c r="BD38" s="1"/>
      <c r="BE38" s="16">
        <f>AM38/'2018-19 disagg'!AM38-1</f>
        <v>2.5747944048130078E-2</v>
      </c>
      <c r="BF38" s="16">
        <f>AN38/'2018-19 disagg'!AN38-1</f>
        <v>3.7805892135899244E-2</v>
      </c>
      <c r="BG38" s="16">
        <f>AO38/'2018-19 disagg'!AO38-1</f>
        <v>4.4107784826130425E-2</v>
      </c>
      <c r="BH38" s="16">
        <f>AQ38/'2018-19 disagg'!AQ38-1</f>
        <v>3.0712463142891888E-2</v>
      </c>
      <c r="BI38" s="1"/>
      <c r="BJ38" s="16">
        <f>AS38/'2018-19 disagg'!AS38-1</f>
        <v>1.9161269630149746E-2</v>
      </c>
      <c r="BK38" s="16">
        <f>AT38/'2018-19 disagg'!AT38-1</f>
        <v>3.1141789555704236E-2</v>
      </c>
      <c r="BL38" s="16">
        <f>AU38/'2018-19 disagg'!AU38-1</f>
        <v>3.7403215661909295E-2</v>
      </c>
      <c r="BM38" s="16">
        <f>AW38/'2018-19 disagg'!AW38-1</f>
        <v>2.4093909868991181E-2</v>
      </c>
    </row>
    <row r="39" spans="1:65" x14ac:dyDescent="0.2">
      <c r="A39" s="156" t="s">
        <v>123</v>
      </c>
      <c r="B39" s="156" t="s">
        <v>124</v>
      </c>
      <c r="D39" s="56">
        <f>VLOOKUP(A39,'2019-20'!$A$12:$AMX247,32,FALSE)</f>
        <v>457828</v>
      </c>
      <c r="E39" s="56">
        <v>1816.5184325009445</v>
      </c>
      <c r="F39" s="16">
        <f>VLOOKUP(A39,'2019-20'!$A$12:$AMX247,34,FALSE)</f>
        <v>2.3974019758045584E-2</v>
      </c>
      <c r="G39" s="16">
        <f>VLOOKUP(A39,'2019-20'!$A$12:$AMX247,35,FALSE)</f>
        <v>1.9707871730602289E-2</v>
      </c>
      <c r="H39" s="56"/>
      <c r="I39" s="56">
        <v>452419.10882880416</v>
      </c>
      <c r="J39" s="56">
        <v>1795.0576426150726</v>
      </c>
      <c r="K39" s="16">
        <f t="shared" si="6"/>
        <v>1.1955487877596704E-2</v>
      </c>
      <c r="L39" s="58">
        <f t="shared" si="6"/>
        <v>1.1955487877596704E-2</v>
      </c>
      <c r="M39" s="10"/>
      <c r="N39" s="56">
        <v>341833</v>
      </c>
      <c r="O39" s="56">
        <v>38251</v>
      </c>
      <c r="P39" s="56">
        <v>77744</v>
      </c>
      <c r="R39" s="56">
        <f t="shared" si="7"/>
        <v>77744</v>
      </c>
      <c r="S39" s="56">
        <f t="shared" si="8"/>
        <v>0</v>
      </c>
      <c r="U39" s="16">
        <v>1.8247732250955551E-3</v>
      </c>
      <c r="V39" s="16">
        <v>5.7826495908738229E-2</v>
      </c>
      <c r="W39" s="56">
        <f t="shared" si="9"/>
        <v>2</v>
      </c>
      <c r="X39" s="56">
        <f t="shared" si="10"/>
        <v>3412.1036845551739</v>
      </c>
      <c r="Y39" s="56">
        <f t="shared" si="10"/>
        <v>361.59994240964852</v>
      </c>
      <c r="AA39" s="56">
        <f t="shared" si="22"/>
        <v>0</v>
      </c>
      <c r="AB39" s="56">
        <v>0</v>
      </c>
      <c r="AC39" s="56">
        <f t="shared" si="11"/>
        <v>0</v>
      </c>
      <c r="AE39" s="56">
        <v>0</v>
      </c>
      <c r="AF39" s="56">
        <f t="shared" si="12"/>
        <v>0</v>
      </c>
      <c r="AG39" s="56">
        <f t="shared" si="13"/>
        <v>0</v>
      </c>
      <c r="AI39" s="56">
        <f t="shared" si="14"/>
        <v>0</v>
      </c>
      <c r="AJ39" s="56">
        <f t="shared" si="15"/>
        <v>0</v>
      </c>
      <c r="AK39" s="56">
        <f t="shared" si="16"/>
        <v>0</v>
      </c>
      <c r="AM39" s="56">
        <f t="shared" si="17"/>
        <v>341833</v>
      </c>
      <c r="AN39" s="56">
        <f t="shared" si="18"/>
        <v>38251</v>
      </c>
      <c r="AO39" s="56">
        <f t="shared" si="19"/>
        <v>77744</v>
      </c>
      <c r="AP39" s="56"/>
      <c r="AQ39" s="56">
        <f t="shared" si="20"/>
        <v>457828</v>
      </c>
      <c r="AR39" s="1"/>
      <c r="AS39" s="56">
        <v>1356.286521001545</v>
      </c>
      <c r="AT39" s="56">
        <v>151.76801454169168</v>
      </c>
      <c r="AU39" s="56">
        <v>308.46389695770773</v>
      </c>
      <c r="AV39" s="56"/>
      <c r="AW39" s="56">
        <v>1816.5184325009445</v>
      </c>
      <c r="AX39" s="1"/>
      <c r="AY39" s="16">
        <v>1.8247732250955551E-3</v>
      </c>
      <c r="AZ39" s="16">
        <v>5.7826495908738229E-2</v>
      </c>
      <c r="BA39" s="16">
        <v>3.5913376393070129E-2</v>
      </c>
      <c r="BB39" s="16">
        <f t="shared" si="21"/>
        <v>1.1955487877596704E-2</v>
      </c>
      <c r="BC39" s="16"/>
      <c r="BD39" s="1"/>
      <c r="BE39" s="16">
        <f>AM39/'2018-19 disagg'!AM39-1</f>
        <v>2.0783998709958729E-2</v>
      </c>
      <c r="BF39" s="16">
        <f>AN39/'2018-19 disagg'!AN39-1</f>
        <v>1.7124471507963923E-2</v>
      </c>
      <c r="BG39" s="16">
        <f>AO39/'2018-19 disagg'!AO39-1</f>
        <v>4.1739806241541499E-2</v>
      </c>
      <c r="BH39" s="16">
        <f>AQ39/'2018-19 disagg'!AQ39-1</f>
        <v>2.3974019758045584E-2</v>
      </c>
      <c r="BI39" s="1"/>
      <c r="BJ39" s="16">
        <f>AS39/'2018-19 disagg'!AS39-1</f>
        <v>1.6531141158385942E-2</v>
      </c>
      <c r="BK39" s="16">
        <f>AT39/'2018-19 disagg'!AT39-1</f>
        <v>1.2886860519734533E-2</v>
      </c>
      <c r="BL39" s="16">
        <f>AU39/'2018-19 disagg'!AU39-1</f>
        <v>3.7399641223920366E-2</v>
      </c>
      <c r="BM39" s="16">
        <f>AW39/'2018-19 disagg'!AW39-1</f>
        <v>1.9707871730602289E-2</v>
      </c>
    </row>
    <row r="40" spans="1:65" x14ac:dyDescent="0.2">
      <c r="A40" s="156" t="s">
        <v>125</v>
      </c>
      <c r="B40" s="156" t="s">
        <v>126</v>
      </c>
      <c r="D40" s="56">
        <f>VLOOKUP(A40,'2019-20'!$A$12:$AMX248,32,FALSE)</f>
        <v>534302</v>
      </c>
      <c r="E40" s="56">
        <v>1974.4447478812849</v>
      </c>
      <c r="F40" s="16">
        <f>VLOOKUP(A40,'2019-20'!$A$12:$AMX248,34,FALSE)</f>
        <v>2.8544258230440711E-2</v>
      </c>
      <c r="G40" s="16">
        <f>VLOOKUP(A40,'2019-20'!$A$12:$AMX248,35,FALSE)</f>
        <v>1.9052071683092642E-2</v>
      </c>
      <c r="H40" s="56"/>
      <c r="I40" s="56">
        <v>541830.01968697889</v>
      </c>
      <c r="J40" s="56">
        <v>2002.2635824222421</v>
      </c>
      <c r="K40" s="16">
        <f t="shared" si="6"/>
        <v>-1.3893692511404043E-2</v>
      </c>
      <c r="L40" s="58">
        <f t="shared" si="6"/>
        <v>-1.3893692511404154E-2</v>
      </c>
      <c r="M40" s="10"/>
      <c r="N40" s="56">
        <v>390640</v>
      </c>
      <c r="O40" s="56">
        <v>40156</v>
      </c>
      <c r="P40" s="56">
        <v>103506</v>
      </c>
      <c r="R40" s="56">
        <f t="shared" si="7"/>
        <v>103506</v>
      </c>
      <c r="S40" s="56">
        <f t="shared" si="8"/>
        <v>0</v>
      </c>
      <c r="U40" s="16">
        <v>-3.0077329487659066E-2</v>
      </c>
      <c r="V40" s="16">
        <v>-4.8750048605120111E-2</v>
      </c>
      <c r="W40" s="56">
        <f t="shared" si="9"/>
        <v>4</v>
      </c>
      <c r="X40" s="56">
        <f t="shared" si="10"/>
        <v>4027.537574656882</v>
      </c>
      <c r="Y40" s="56">
        <f t="shared" si="10"/>
        <v>422.13931197701123</v>
      </c>
      <c r="AA40" s="56">
        <f t="shared" si="22"/>
        <v>0</v>
      </c>
      <c r="AB40" s="56">
        <v>0</v>
      </c>
      <c r="AC40" s="56">
        <f t="shared" si="11"/>
        <v>0</v>
      </c>
      <c r="AE40" s="56">
        <v>0</v>
      </c>
      <c r="AF40" s="56">
        <f t="shared" si="12"/>
        <v>0</v>
      </c>
      <c r="AG40" s="56">
        <f t="shared" si="13"/>
        <v>0</v>
      </c>
      <c r="AI40" s="56">
        <f t="shared" si="14"/>
        <v>0</v>
      </c>
      <c r="AJ40" s="56">
        <f t="shared" si="15"/>
        <v>0</v>
      </c>
      <c r="AK40" s="56">
        <f t="shared" si="16"/>
        <v>0</v>
      </c>
      <c r="AM40" s="56">
        <f t="shared" si="17"/>
        <v>390640</v>
      </c>
      <c r="AN40" s="56">
        <f t="shared" si="18"/>
        <v>40156</v>
      </c>
      <c r="AO40" s="56">
        <f t="shared" si="19"/>
        <v>103506</v>
      </c>
      <c r="AP40" s="56"/>
      <c r="AQ40" s="56">
        <f t="shared" si="20"/>
        <v>534302</v>
      </c>
      <c r="AR40" s="1"/>
      <c r="AS40" s="56">
        <v>1443.5601893916646</v>
      </c>
      <c r="AT40" s="56">
        <v>148.39136536251198</v>
      </c>
      <c r="AU40" s="56">
        <v>382.49319312710844</v>
      </c>
      <c r="AV40" s="56"/>
      <c r="AW40" s="56">
        <v>1974.4447478812849</v>
      </c>
      <c r="AX40" s="1"/>
      <c r="AY40" s="16">
        <v>-3.0077329487659066E-2</v>
      </c>
      <c r="AZ40" s="16">
        <v>-4.8750048605120111E-2</v>
      </c>
      <c r="BA40" s="16">
        <v>6.8588778591261335E-2</v>
      </c>
      <c r="BB40" s="16">
        <f t="shared" si="21"/>
        <v>-1.3893692511404043E-2</v>
      </c>
      <c r="BC40" s="16"/>
      <c r="BD40" s="1"/>
      <c r="BE40" s="16">
        <f>AM40/'2018-19 disagg'!AM40-1</f>
        <v>2.3006114886540807E-2</v>
      </c>
      <c r="BF40" s="16">
        <f>AN40/'2018-19 disagg'!AN40-1</f>
        <v>3.5882884044885932E-2</v>
      </c>
      <c r="BG40" s="16">
        <f>AO40/'2018-19 disagg'!AO40-1</f>
        <v>4.7059299573107838E-2</v>
      </c>
      <c r="BH40" s="16">
        <f>AQ40/'2018-19 disagg'!AQ40-1</f>
        <v>2.8544258230440711E-2</v>
      </c>
      <c r="BI40" s="1"/>
      <c r="BJ40" s="16">
        <f>AS40/'2018-19 disagg'!AS40-1</f>
        <v>1.3565038526552664E-2</v>
      </c>
      <c r="BK40" s="16">
        <f>AT40/'2018-19 disagg'!AT40-1</f>
        <v>2.6322971092305636E-2</v>
      </c>
      <c r="BL40" s="16">
        <f>AU40/'2018-19 disagg'!AU40-1</f>
        <v>3.7396242180922412E-2</v>
      </c>
      <c r="BM40" s="16">
        <f>AW40/'2018-19 disagg'!AW40-1</f>
        <v>1.9052071683092642E-2</v>
      </c>
    </row>
    <row r="41" spans="1:65" x14ac:dyDescent="0.2">
      <c r="A41" s="156" t="s">
        <v>127</v>
      </c>
      <c r="B41" s="156" t="s">
        <v>128</v>
      </c>
      <c r="D41" s="56">
        <f>VLOOKUP(A41,'2019-20'!$A$12:$AMX249,32,FALSE)</f>
        <v>302916</v>
      </c>
      <c r="E41" s="56">
        <v>1658.6390179114533</v>
      </c>
      <c r="F41" s="16">
        <f>VLOOKUP(A41,'2019-20'!$A$12:$AMX249,34,FALSE)</f>
        <v>2.4098340703476717E-2</v>
      </c>
      <c r="G41" s="16">
        <f>VLOOKUP(A41,'2019-20'!$A$12:$AMX249,35,FALSE)</f>
        <v>2.0528828561910961E-2</v>
      </c>
      <c r="H41" s="56"/>
      <c r="I41" s="56">
        <v>307390.067245338</v>
      </c>
      <c r="J41" s="56">
        <v>1683.1371048460398</v>
      </c>
      <c r="K41" s="16">
        <f t="shared" si="6"/>
        <v>-1.4555015669283522E-2</v>
      </c>
      <c r="L41" s="58">
        <f t="shared" si="6"/>
        <v>-1.4555015669283522E-2</v>
      </c>
      <c r="M41" s="10"/>
      <c r="N41" s="56">
        <v>233581</v>
      </c>
      <c r="O41" s="56">
        <v>24232</v>
      </c>
      <c r="P41" s="56">
        <v>45103</v>
      </c>
      <c r="R41" s="56">
        <f t="shared" si="7"/>
        <v>45103</v>
      </c>
      <c r="S41" s="56">
        <f t="shared" si="8"/>
        <v>0</v>
      </c>
      <c r="U41" s="16">
        <v>-3.4668997109528421E-2</v>
      </c>
      <c r="V41" s="16">
        <v>1.4514709670670367E-2</v>
      </c>
      <c r="W41" s="56">
        <f t="shared" si="9"/>
        <v>1</v>
      </c>
      <c r="X41" s="56">
        <f t="shared" si="10"/>
        <v>2419.6985210315738</v>
      </c>
      <c r="Y41" s="56">
        <f t="shared" si="10"/>
        <v>238.8531163620697</v>
      </c>
      <c r="AA41" s="56">
        <f t="shared" si="22"/>
        <v>0</v>
      </c>
      <c r="AB41" s="56">
        <v>0</v>
      </c>
      <c r="AC41" s="56">
        <f t="shared" si="11"/>
        <v>0</v>
      </c>
      <c r="AE41" s="56">
        <v>0</v>
      </c>
      <c r="AF41" s="56">
        <f t="shared" si="12"/>
        <v>0</v>
      </c>
      <c r="AG41" s="56">
        <f t="shared" si="13"/>
        <v>0</v>
      </c>
      <c r="AI41" s="56">
        <f t="shared" si="14"/>
        <v>0</v>
      </c>
      <c r="AJ41" s="56">
        <f t="shared" si="15"/>
        <v>0</v>
      </c>
      <c r="AK41" s="56">
        <f t="shared" si="16"/>
        <v>0</v>
      </c>
      <c r="AM41" s="56">
        <f t="shared" si="17"/>
        <v>233581</v>
      </c>
      <c r="AN41" s="56">
        <f t="shared" si="18"/>
        <v>24232</v>
      </c>
      <c r="AO41" s="56">
        <f t="shared" si="19"/>
        <v>45103</v>
      </c>
      <c r="AP41" s="56"/>
      <c r="AQ41" s="56">
        <f t="shared" si="20"/>
        <v>302916</v>
      </c>
      <c r="AR41" s="1"/>
      <c r="AS41" s="56">
        <v>1278.9900845210393</v>
      </c>
      <c r="AT41" s="56">
        <v>132.68411269800978</v>
      </c>
      <c r="AU41" s="56">
        <v>246.96482069240409</v>
      </c>
      <c r="AV41" s="56"/>
      <c r="AW41" s="56">
        <v>1658.6390179114533</v>
      </c>
      <c r="AX41" s="1"/>
      <c r="AY41" s="16">
        <v>-3.4668997109528421E-2</v>
      </c>
      <c r="AZ41" s="16">
        <v>1.4514709670670367E-2</v>
      </c>
      <c r="BA41" s="16">
        <v>8.5905977692067426E-2</v>
      </c>
      <c r="BB41" s="16">
        <f t="shared" si="21"/>
        <v>-1.4555015669283522E-2</v>
      </c>
      <c r="BC41" s="16"/>
      <c r="BD41" s="1"/>
      <c r="BE41" s="16">
        <f>AM41/'2018-19 disagg'!AM41-1</f>
        <v>2.0784442259368596E-2</v>
      </c>
      <c r="BF41" s="16">
        <f>AN41/'2018-19 disagg'!AN41-1</f>
        <v>2.5129029528724978E-2</v>
      </c>
      <c r="BG41" s="16">
        <f>AO41/'2018-19 disagg'!AO41-1</f>
        <v>4.1038661281015631E-2</v>
      </c>
      <c r="BH41" s="16">
        <f>AQ41/'2018-19 disagg'!AQ41-1</f>
        <v>2.4098340703476717E-2</v>
      </c>
      <c r="BI41" s="1"/>
      <c r="BJ41" s="16">
        <f>AS41/'2018-19 disagg'!AS41-1</f>
        <v>1.7226480767053909E-2</v>
      </c>
      <c r="BK41" s="16">
        <f>AT41/'2018-19 disagg'!AT41-1</f>
        <v>2.1555924903771784E-2</v>
      </c>
      <c r="BL41" s="16">
        <f>AU41/'2018-19 disagg'!AU41-1</f>
        <v>3.7410103364664105E-2</v>
      </c>
      <c r="BM41" s="16">
        <f>AW41/'2018-19 disagg'!AW41-1</f>
        <v>2.0528828561910961E-2</v>
      </c>
    </row>
    <row r="42" spans="1:65" x14ac:dyDescent="0.2">
      <c r="A42" s="156" t="s">
        <v>129</v>
      </c>
      <c r="B42" s="156" t="s">
        <v>130</v>
      </c>
      <c r="D42" s="56">
        <f>VLOOKUP(A42,'2019-20'!$A$12:$AMX250,32,FALSE)</f>
        <v>330321</v>
      </c>
      <c r="E42" s="56">
        <v>1863.0325763612525</v>
      </c>
      <c r="F42" s="16">
        <f>VLOOKUP(A42,'2019-20'!$A$12:$AMX250,34,FALSE)</f>
        <v>2.58225002018595E-2</v>
      </c>
      <c r="G42" s="16">
        <f>VLOOKUP(A42,'2019-20'!$A$12:$AMX250,35,FALSE)</f>
        <v>1.8529047917836605E-2</v>
      </c>
      <c r="H42" s="56"/>
      <c r="I42" s="56">
        <v>319428.82698127045</v>
      </c>
      <c r="J42" s="56">
        <v>1801.5999905999588</v>
      </c>
      <c r="K42" s="16">
        <f t="shared" si="6"/>
        <v>3.4098904352700243E-2</v>
      </c>
      <c r="L42" s="58">
        <f t="shared" si="6"/>
        <v>3.4098904352700243E-2</v>
      </c>
      <c r="M42" s="10"/>
      <c r="N42" s="56">
        <v>248491</v>
      </c>
      <c r="O42" s="56">
        <v>25629</v>
      </c>
      <c r="P42" s="56">
        <v>56201</v>
      </c>
      <c r="R42" s="56">
        <f t="shared" si="7"/>
        <v>56201</v>
      </c>
      <c r="S42" s="56">
        <f t="shared" si="8"/>
        <v>0</v>
      </c>
      <c r="U42" s="16">
        <v>2.5485920680002216E-2</v>
      </c>
      <c r="V42" s="16">
        <v>-4.912453474566425E-2</v>
      </c>
      <c r="W42" s="56">
        <f t="shared" si="9"/>
        <v>3</v>
      </c>
      <c r="X42" s="56">
        <f t="shared" si="10"/>
        <v>2423.153697080746</v>
      </c>
      <c r="Y42" s="56">
        <f t="shared" si="10"/>
        <v>269.53056353331061</v>
      </c>
      <c r="AA42" s="56">
        <f t="shared" si="22"/>
        <v>0</v>
      </c>
      <c r="AB42" s="56">
        <v>0</v>
      </c>
      <c r="AC42" s="56">
        <f t="shared" si="11"/>
        <v>0</v>
      </c>
      <c r="AE42" s="56">
        <v>0</v>
      </c>
      <c r="AF42" s="56">
        <f t="shared" si="12"/>
        <v>0</v>
      </c>
      <c r="AG42" s="56">
        <f t="shared" si="13"/>
        <v>0</v>
      </c>
      <c r="AI42" s="56">
        <f t="shared" si="14"/>
        <v>0</v>
      </c>
      <c r="AJ42" s="56">
        <f t="shared" si="15"/>
        <v>0</v>
      </c>
      <c r="AK42" s="56">
        <f t="shared" si="16"/>
        <v>0</v>
      </c>
      <c r="AM42" s="56">
        <f t="shared" si="17"/>
        <v>248491</v>
      </c>
      <c r="AN42" s="56">
        <f t="shared" si="18"/>
        <v>25629</v>
      </c>
      <c r="AO42" s="56">
        <f t="shared" si="19"/>
        <v>56201</v>
      </c>
      <c r="AP42" s="56"/>
      <c r="AQ42" s="56">
        <f t="shared" si="20"/>
        <v>330321</v>
      </c>
      <c r="AR42" s="1"/>
      <c r="AS42" s="56">
        <v>1401.5058925487147</v>
      </c>
      <c r="AT42" s="56">
        <v>144.54927751963254</v>
      </c>
      <c r="AU42" s="56">
        <v>316.97740629290524</v>
      </c>
      <c r="AV42" s="56"/>
      <c r="AW42" s="56">
        <v>1863.0325763612525</v>
      </c>
      <c r="AX42" s="1"/>
      <c r="AY42" s="16">
        <v>2.5485920680002216E-2</v>
      </c>
      <c r="AZ42" s="16">
        <v>-4.912453474566425E-2</v>
      </c>
      <c r="BA42" s="16">
        <v>0.12042565388952098</v>
      </c>
      <c r="BB42" s="16">
        <f t="shared" si="21"/>
        <v>3.4098904352700243E-2</v>
      </c>
      <c r="BC42" s="16"/>
      <c r="BD42" s="1"/>
      <c r="BE42" s="16">
        <f>AM42/'2018-19 disagg'!AM42-1</f>
        <v>2.0823918955558574E-2</v>
      </c>
      <c r="BF42" s="16">
        <f>AN42/'2018-19 disagg'!AN42-1</f>
        <v>3.3677502621602073E-2</v>
      </c>
      <c r="BG42" s="16">
        <f>AO42/'2018-19 disagg'!AO42-1</f>
        <v>4.4822457705893326E-2</v>
      </c>
      <c r="BH42" s="16">
        <f>AQ42/'2018-19 disagg'!AQ42-1</f>
        <v>2.58225002018595E-2</v>
      </c>
      <c r="BI42" s="1"/>
      <c r="BJ42" s="16">
        <f>AS42/'2018-19 disagg'!AS42-1</f>
        <v>1.3566005874273479E-2</v>
      </c>
      <c r="BK42" s="16">
        <f>AT42/'2018-19 disagg'!AT42-1</f>
        <v>2.6328202385981214E-2</v>
      </c>
      <c r="BL42" s="16">
        <f>AU42/'2018-19 disagg'!AU42-1</f>
        <v>3.7393918422484962E-2</v>
      </c>
      <c r="BM42" s="16">
        <f>AW42/'2018-19 disagg'!AW42-1</f>
        <v>1.8529047917836605E-2</v>
      </c>
    </row>
    <row r="43" spans="1:65" x14ac:dyDescent="0.2">
      <c r="A43" s="156" t="s">
        <v>131</v>
      </c>
      <c r="B43" s="156" t="s">
        <v>132</v>
      </c>
      <c r="D43" s="56">
        <f>VLOOKUP(A43,'2019-20'!$A$12:$AMX251,32,FALSE)</f>
        <v>327620</v>
      </c>
      <c r="E43" s="56">
        <v>2112.4890060340626</v>
      </c>
      <c r="F43" s="16">
        <f>VLOOKUP(A43,'2019-20'!$A$12:$AMX251,34,FALSE)</f>
        <v>1.9860540405927107E-2</v>
      </c>
      <c r="G43" s="16">
        <f>VLOOKUP(A43,'2019-20'!$A$12:$AMX251,35,FALSE)</f>
        <v>1.9299497300918622E-2</v>
      </c>
      <c r="H43" s="56"/>
      <c r="I43" s="56">
        <v>309908.00600943598</v>
      </c>
      <c r="J43" s="56">
        <v>1998.2823257947368</v>
      </c>
      <c r="K43" s="16">
        <f t="shared" si="6"/>
        <v>5.7152424742537011E-2</v>
      </c>
      <c r="L43" s="58">
        <f t="shared" si="6"/>
        <v>5.7152424742537233E-2</v>
      </c>
      <c r="M43" s="10"/>
      <c r="N43" s="56">
        <v>248075</v>
      </c>
      <c r="O43" s="56">
        <v>21999</v>
      </c>
      <c r="P43" s="56">
        <v>57546</v>
      </c>
      <c r="R43" s="56">
        <f t="shared" si="7"/>
        <v>57546</v>
      </c>
      <c r="S43" s="56">
        <f t="shared" si="8"/>
        <v>0</v>
      </c>
      <c r="U43" s="16">
        <v>5.6536913098881758E-2</v>
      </c>
      <c r="V43" s="16">
        <v>-4.8704423659186591E-2</v>
      </c>
      <c r="W43" s="56">
        <f t="shared" si="9"/>
        <v>3</v>
      </c>
      <c r="X43" s="56">
        <f t="shared" si="10"/>
        <v>2348.0012569781607</v>
      </c>
      <c r="Y43" s="56">
        <f t="shared" si="10"/>
        <v>231.25304634149362</v>
      </c>
      <c r="AA43" s="56">
        <f t="shared" si="22"/>
        <v>0</v>
      </c>
      <c r="AB43" s="56">
        <v>0</v>
      </c>
      <c r="AC43" s="56">
        <f t="shared" si="11"/>
        <v>0</v>
      </c>
      <c r="AE43" s="56">
        <v>0</v>
      </c>
      <c r="AF43" s="56">
        <f t="shared" si="12"/>
        <v>0</v>
      </c>
      <c r="AG43" s="56">
        <f t="shared" si="13"/>
        <v>0</v>
      </c>
      <c r="AI43" s="56">
        <f t="shared" si="14"/>
        <v>0</v>
      </c>
      <c r="AJ43" s="56">
        <f t="shared" si="15"/>
        <v>0</v>
      </c>
      <c r="AK43" s="56">
        <f t="shared" si="16"/>
        <v>0</v>
      </c>
      <c r="AM43" s="56">
        <f t="shared" si="17"/>
        <v>248075</v>
      </c>
      <c r="AN43" s="56">
        <f t="shared" si="18"/>
        <v>21999</v>
      </c>
      <c r="AO43" s="56">
        <f t="shared" si="19"/>
        <v>57546</v>
      </c>
      <c r="AP43" s="56"/>
      <c r="AQ43" s="56">
        <f t="shared" si="20"/>
        <v>327620</v>
      </c>
      <c r="AR43" s="1"/>
      <c r="AS43" s="56">
        <v>1599.5840002805082</v>
      </c>
      <c r="AT43" s="56">
        <v>141.84923278109807</v>
      </c>
      <c r="AU43" s="56">
        <v>371.05577297245645</v>
      </c>
      <c r="AV43" s="56"/>
      <c r="AW43" s="56">
        <v>2112.4890060340626</v>
      </c>
      <c r="AX43" s="1"/>
      <c r="AY43" s="16">
        <v>5.6536913098881758E-2</v>
      </c>
      <c r="AZ43" s="16">
        <v>-4.8704423659186591E-2</v>
      </c>
      <c r="BA43" s="16">
        <v>0.10702479148105404</v>
      </c>
      <c r="BB43" s="16">
        <f t="shared" si="21"/>
        <v>5.7152424742537011E-2</v>
      </c>
      <c r="BC43" s="16"/>
      <c r="BD43" s="1"/>
      <c r="BE43" s="16">
        <f>AM43/'2018-19 disagg'!AM43-1</f>
        <v>1.5136510950338744E-2</v>
      </c>
      <c r="BF43" s="16">
        <f>AN43/'2018-19 disagg'!AN43-1</f>
        <v>2.6886990617560613E-2</v>
      </c>
      <c r="BG43" s="16">
        <f>AO43/'2018-19 disagg'!AO43-1</f>
        <v>3.7968290615248534E-2</v>
      </c>
      <c r="BH43" s="16">
        <f>AQ43/'2018-19 disagg'!AQ43-1</f>
        <v>1.9860540405927107E-2</v>
      </c>
      <c r="BI43" s="1"/>
      <c r="BJ43" s="16">
        <f>AS43/'2018-19 disagg'!AS43-1</f>
        <v>1.4578066616484975E-2</v>
      </c>
      <c r="BK43" s="16">
        <f>AT43/'2018-19 disagg'!AT43-1</f>
        <v>2.6322082139506042E-2</v>
      </c>
      <c r="BL43" s="16">
        <f>AU43/'2018-19 disagg'!AU43-1</f>
        <v>3.7397286120423257E-2</v>
      </c>
      <c r="BM43" s="16">
        <f>AW43/'2018-19 disagg'!AW43-1</f>
        <v>1.9299497300918622E-2</v>
      </c>
    </row>
    <row r="44" spans="1:65" x14ac:dyDescent="0.2">
      <c r="A44" s="156" t="s">
        <v>133</v>
      </c>
      <c r="B44" s="156" t="s">
        <v>134</v>
      </c>
      <c r="D44" s="56">
        <f>VLOOKUP(A44,'2019-20'!$A$12:$AMX252,32,FALSE)</f>
        <v>240660</v>
      </c>
      <c r="E44" s="56">
        <v>1928.1123061001267</v>
      </c>
      <c r="F44" s="16">
        <f>VLOOKUP(A44,'2019-20'!$A$12:$AMX252,34,FALSE)</f>
        <v>2.3893398682799827E-2</v>
      </c>
      <c r="G44" s="16">
        <f>VLOOKUP(A44,'2019-20'!$A$12:$AMX252,35,FALSE)</f>
        <v>2.1562692846158082E-2</v>
      </c>
      <c r="H44" s="56"/>
      <c r="I44" s="56">
        <v>234250.35033539205</v>
      </c>
      <c r="J44" s="56">
        <v>1876.7596741873822</v>
      </c>
      <c r="K44" s="16">
        <f t="shared" si="6"/>
        <v>2.7362390943837633E-2</v>
      </c>
      <c r="L44" s="58">
        <f t="shared" si="6"/>
        <v>2.7362390943837633E-2</v>
      </c>
      <c r="M44" s="10"/>
      <c r="N44" s="56">
        <v>188801</v>
      </c>
      <c r="O44" s="56">
        <v>16995</v>
      </c>
      <c r="P44" s="56">
        <v>34864</v>
      </c>
      <c r="R44" s="56">
        <f t="shared" si="7"/>
        <v>34864</v>
      </c>
      <c r="S44" s="56">
        <f t="shared" si="8"/>
        <v>0</v>
      </c>
      <c r="U44" s="16">
        <v>3.2567775574780633E-2</v>
      </c>
      <c r="V44" s="16">
        <v>-2.0313227948595691E-2</v>
      </c>
      <c r="W44" s="56">
        <f t="shared" si="9"/>
        <v>3</v>
      </c>
      <c r="X44" s="56">
        <f t="shared" si="10"/>
        <v>1828.4610895871083</v>
      </c>
      <c r="Y44" s="56">
        <f t="shared" si="10"/>
        <v>173.47381310879098</v>
      </c>
      <c r="AA44" s="56">
        <f t="shared" si="22"/>
        <v>0</v>
      </c>
      <c r="AB44" s="56">
        <v>0</v>
      </c>
      <c r="AC44" s="56">
        <f t="shared" si="11"/>
        <v>0</v>
      </c>
      <c r="AE44" s="56">
        <v>0</v>
      </c>
      <c r="AF44" s="56">
        <f t="shared" si="12"/>
        <v>0</v>
      </c>
      <c r="AG44" s="56">
        <f t="shared" si="13"/>
        <v>0</v>
      </c>
      <c r="AI44" s="56">
        <f t="shared" si="14"/>
        <v>0</v>
      </c>
      <c r="AJ44" s="56">
        <f t="shared" si="15"/>
        <v>0</v>
      </c>
      <c r="AK44" s="56">
        <f t="shared" si="16"/>
        <v>0</v>
      </c>
      <c r="AM44" s="56">
        <f t="shared" si="17"/>
        <v>188801</v>
      </c>
      <c r="AN44" s="56">
        <f t="shared" si="18"/>
        <v>16995</v>
      </c>
      <c r="AO44" s="56">
        <f t="shared" si="19"/>
        <v>34864</v>
      </c>
      <c r="AP44" s="56"/>
      <c r="AQ44" s="56">
        <f t="shared" si="20"/>
        <v>240660</v>
      </c>
      <c r="AR44" s="1"/>
      <c r="AS44" s="56">
        <v>1512.6299821491316</v>
      </c>
      <c r="AT44" s="56">
        <v>136.1600126409526</v>
      </c>
      <c r="AU44" s="56">
        <v>279.32231131004244</v>
      </c>
      <c r="AV44" s="56"/>
      <c r="AW44" s="56">
        <v>1928.1123061001267</v>
      </c>
      <c r="AX44" s="1"/>
      <c r="AY44" s="16">
        <v>3.2567775574780633E-2</v>
      </c>
      <c r="AZ44" s="16">
        <v>-2.0313227948595691E-2</v>
      </c>
      <c r="BA44" s="16">
        <v>2.3699775394395495E-2</v>
      </c>
      <c r="BB44" s="16">
        <f t="shared" si="21"/>
        <v>2.7362390943837633E-2</v>
      </c>
      <c r="BC44" s="16"/>
      <c r="BD44" s="1"/>
      <c r="BE44" s="16">
        <f>AM44/'2018-19 disagg'!AM44-1</f>
        <v>2.0783209070216246E-2</v>
      </c>
      <c r="BF44" s="16">
        <f>AN44/'2018-19 disagg'!AN44-1</f>
        <v>2.6516066682773509E-2</v>
      </c>
      <c r="BG44" s="16">
        <f>AO44/'2018-19 disagg'!AO44-1</f>
        <v>3.9754257254480896E-2</v>
      </c>
      <c r="BH44" s="16">
        <f>AQ44/'2018-19 disagg'!AQ44-1</f>
        <v>2.3893398682799827E-2</v>
      </c>
      <c r="BI44" s="1"/>
      <c r="BJ44" s="16">
        <f>AS44/'2018-19 disagg'!AS44-1</f>
        <v>1.8459583010719705E-2</v>
      </c>
      <c r="BK44" s="16">
        <f>AT44/'2018-19 disagg'!AT44-1</f>
        <v>2.4179390822667512E-2</v>
      </c>
      <c r="BL44" s="16">
        <f>AU44/'2018-19 disagg'!AU44-1</f>
        <v>3.7387447077587677E-2</v>
      </c>
      <c r="BM44" s="16">
        <f>AW44/'2018-19 disagg'!AW44-1</f>
        <v>2.1562692846158082E-2</v>
      </c>
    </row>
    <row r="45" spans="1:65" x14ac:dyDescent="0.2">
      <c r="A45" s="156" t="s">
        <v>135</v>
      </c>
      <c r="B45" s="156" t="s">
        <v>136</v>
      </c>
      <c r="D45" s="56">
        <f>VLOOKUP(A45,'2019-20'!$A$12:$AMX253,32,FALSE)</f>
        <v>390095</v>
      </c>
      <c r="E45" s="56">
        <v>1963.674379423984</v>
      </c>
      <c r="F45" s="16">
        <f>VLOOKUP(A45,'2019-20'!$A$12:$AMX253,34,FALSE)</f>
        <v>2.4220862761572093E-2</v>
      </c>
      <c r="G45" s="16">
        <f>VLOOKUP(A45,'2019-20'!$A$12:$AMX253,35,FALSE)</f>
        <v>2.0005042658072902E-2</v>
      </c>
      <c r="H45" s="56"/>
      <c r="I45" s="56">
        <v>385343.91103805014</v>
      </c>
      <c r="J45" s="56">
        <v>1939.7581752456554</v>
      </c>
      <c r="K45" s="16">
        <f t="shared" si="6"/>
        <v>1.232947719129962E-2</v>
      </c>
      <c r="L45" s="58">
        <f t="shared" si="6"/>
        <v>1.2329477191299842E-2</v>
      </c>
      <c r="M45" s="10"/>
      <c r="N45" s="56">
        <v>302618</v>
      </c>
      <c r="O45" s="56">
        <v>29295</v>
      </c>
      <c r="P45" s="56">
        <v>58182</v>
      </c>
      <c r="R45" s="56">
        <f t="shared" si="7"/>
        <v>58182</v>
      </c>
      <c r="S45" s="56">
        <f t="shared" si="8"/>
        <v>0</v>
      </c>
      <c r="U45" s="16">
        <v>3.374300416863818E-3</v>
      </c>
      <c r="V45" s="16">
        <v>1.4473024476340912E-2</v>
      </c>
      <c r="W45" s="56">
        <f t="shared" si="9"/>
        <v>2</v>
      </c>
      <c r="X45" s="56">
        <f t="shared" si="10"/>
        <v>3016.0030994841482</v>
      </c>
      <c r="Y45" s="56">
        <f t="shared" si="10"/>
        <v>288.77061580934333</v>
      </c>
      <c r="AA45" s="56">
        <f t="shared" si="22"/>
        <v>0</v>
      </c>
      <c r="AB45" s="56">
        <v>0</v>
      </c>
      <c r="AC45" s="56">
        <f t="shared" si="11"/>
        <v>0</v>
      </c>
      <c r="AE45" s="56">
        <v>0</v>
      </c>
      <c r="AF45" s="56">
        <f t="shared" si="12"/>
        <v>0</v>
      </c>
      <c r="AG45" s="56">
        <f t="shared" si="13"/>
        <v>0</v>
      </c>
      <c r="AI45" s="56">
        <f t="shared" si="14"/>
        <v>0</v>
      </c>
      <c r="AJ45" s="56">
        <f t="shared" si="15"/>
        <v>0</v>
      </c>
      <c r="AK45" s="56">
        <f t="shared" si="16"/>
        <v>0</v>
      </c>
      <c r="AM45" s="56">
        <f t="shared" si="17"/>
        <v>302618</v>
      </c>
      <c r="AN45" s="56">
        <f t="shared" si="18"/>
        <v>29295</v>
      </c>
      <c r="AO45" s="56">
        <f t="shared" si="19"/>
        <v>58182</v>
      </c>
      <c r="AP45" s="56"/>
      <c r="AQ45" s="56">
        <f t="shared" si="20"/>
        <v>390095</v>
      </c>
      <c r="AR45" s="1"/>
      <c r="AS45" s="56">
        <v>1523.3294796204186</v>
      </c>
      <c r="AT45" s="56">
        <v>147.46623500743564</v>
      </c>
      <c r="AU45" s="56">
        <v>292.87866479612973</v>
      </c>
      <c r="AV45" s="56"/>
      <c r="AW45" s="56">
        <v>1963.674379423984</v>
      </c>
      <c r="AX45" s="1"/>
      <c r="AY45" s="16">
        <v>3.374300416863818E-3</v>
      </c>
      <c r="AZ45" s="16">
        <v>1.4473024476340912E-2</v>
      </c>
      <c r="BA45" s="16">
        <v>6.0427731017612007E-2</v>
      </c>
      <c r="BB45" s="16">
        <f t="shared" si="21"/>
        <v>1.232947719129962E-2</v>
      </c>
      <c r="BC45" s="16"/>
      <c r="BD45" s="1"/>
      <c r="BE45" s="16">
        <f>AM45/'2018-19 disagg'!AM45-1</f>
        <v>2.0782103306719035E-2</v>
      </c>
      <c r="BF45" s="16">
        <f>AN45/'2018-19 disagg'!AN45-1</f>
        <v>2.5771210476557282E-2</v>
      </c>
      <c r="BG45" s="16">
        <f>AO45/'2018-19 disagg'!AO45-1</f>
        <v>4.168009453217314E-2</v>
      </c>
      <c r="BH45" s="16">
        <f>AQ45/'2018-19 disagg'!AQ45-1</f>
        <v>2.4220862761572093E-2</v>
      </c>
      <c r="BI45" s="1"/>
      <c r="BJ45" s="16">
        <f>AS45/'2018-19 disagg'!AS45-1</f>
        <v>1.6580437563639583E-2</v>
      </c>
      <c r="BK45" s="16">
        <f>AT45/'2018-19 disagg'!AT45-1</f>
        <v>2.1549008949576232E-2</v>
      </c>
      <c r="BL45" s="16">
        <f>AU45/'2018-19 disagg'!AU45-1</f>
        <v>3.739241006526739E-2</v>
      </c>
      <c r="BM45" s="16">
        <f>AW45/'2018-19 disagg'!AW45-1</f>
        <v>2.0005042658072902E-2</v>
      </c>
    </row>
    <row r="46" spans="1:65" x14ac:dyDescent="0.2">
      <c r="A46" s="156" t="s">
        <v>137</v>
      </c>
      <c r="B46" s="156" t="s">
        <v>138</v>
      </c>
      <c r="D46" s="56">
        <f>VLOOKUP(A46,'2019-20'!$A$12:$AMX254,32,FALSE)</f>
        <v>550939</v>
      </c>
      <c r="E46" s="56">
        <v>1765.5413673071337</v>
      </c>
      <c r="F46" s="16">
        <f>VLOOKUP(A46,'2019-20'!$A$12:$AMX254,34,FALSE)</f>
        <v>2.5239311022449806E-2</v>
      </c>
      <c r="G46" s="16">
        <f>VLOOKUP(A46,'2019-20'!$A$12:$AMX254,35,FALSE)</f>
        <v>2.0266200404718937E-2</v>
      </c>
      <c r="H46" s="56"/>
      <c r="I46" s="56">
        <v>560266.46028360107</v>
      </c>
      <c r="J46" s="56">
        <v>1795.4321845892864</v>
      </c>
      <c r="K46" s="16">
        <f t="shared" si="6"/>
        <v>-1.6648257471774452E-2</v>
      </c>
      <c r="L46" s="58">
        <f t="shared" si="6"/>
        <v>-1.6648257471774341E-2</v>
      </c>
      <c r="M46" s="10"/>
      <c r="N46" s="56">
        <v>415270</v>
      </c>
      <c r="O46" s="56">
        <v>40384</v>
      </c>
      <c r="P46" s="56">
        <v>95285</v>
      </c>
      <c r="R46" s="56">
        <f t="shared" si="7"/>
        <v>95285</v>
      </c>
      <c r="S46" s="56">
        <f t="shared" si="8"/>
        <v>0</v>
      </c>
      <c r="U46" s="16">
        <v>-4.3127889867272673E-2</v>
      </c>
      <c r="V46" s="16">
        <v>-4.8889352203941638E-2</v>
      </c>
      <c r="W46" s="56">
        <f t="shared" si="9"/>
        <v>4</v>
      </c>
      <c r="X46" s="56">
        <f t="shared" si="10"/>
        <v>4339.8694099506993</v>
      </c>
      <c r="Y46" s="56">
        <f t="shared" si="10"/>
        <v>424.5983376758424</v>
      </c>
      <c r="AA46" s="56">
        <f t="shared" si="22"/>
        <v>0</v>
      </c>
      <c r="AB46" s="56">
        <v>0</v>
      </c>
      <c r="AC46" s="56">
        <f t="shared" si="11"/>
        <v>0</v>
      </c>
      <c r="AE46" s="56">
        <v>0</v>
      </c>
      <c r="AF46" s="56">
        <f t="shared" si="12"/>
        <v>0</v>
      </c>
      <c r="AG46" s="56">
        <f t="shared" si="13"/>
        <v>0</v>
      </c>
      <c r="AI46" s="56">
        <f t="shared" si="14"/>
        <v>0</v>
      </c>
      <c r="AJ46" s="56">
        <f t="shared" si="15"/>
        <v>0</v>
      </c>
      <c r="AK46" s="56">
        <f t="shared" si="16"/>
        <v>0</v>
      </c>
      <c r="AM46" s="56">
        <f t="shared" si="17"/>
        <v>415270</v>
      </c>
      <c r="AN46" s="56">
        <f t="shared" si="18"/>
        <v>40384</v>
      </c>
      <c r="AO46" s="56">
        <f t="shared" si="19"/>
        <v>95285</v>
      </c>
      <c r="AP46" s="56"/>
      <c r="AQ46" s="56">
        <f t="shared" si="20"/>
        <v>550939</v>
      </c>
      <c r="AR46" s="1"/>
      <c r="AS46" s="56">
        <v>1330.7759363588953</v>
      </c>
      <c r="AT46" s="56">
        <v>129.41473117229182</v>
      </c>
      <c r="AU46" s="56">
        <v>305.35069977594657</v>
      </c>
      <c r="AV46" s="56"/>
      <c r="AW46" s="56">
        <v>1765.5413673071337</v>
      </c>
      <c r="AX46" s="1"/>
      <c r="AY46" s="16">
        <v>-4.3127889867272673E-2</v>
      </c>
      <c r="AZ46" s="16">
        <v>-4.8889352203941638E-2</v>
      </c>
      <c r="BA46" s="16">
        <v>0.13678546283960791</v>
      </c>
      <c r="BB46" s="16">
        <f t="shared" si="21"/>
        <v>-1.6648257471774452E-2</v>
      </c>
      <c r="BC46" s="16"/>
      <c r="BD46" s="1"/>
      <c r="BE46" s="16">
        <f>AM46/'2018-19 disagg'!AM46-1</f>
        <v>2.0783402775217175E-2</v>
      </c>
      <c r="BF46" s="16">
        <f>AN46/'2018-19 disagg'!AN46-1</f>
        <v>3.133539341624747E-2</v>
      </c>
      <c r="BG46" s="16">
        <f>AO46/'2018-19 disagg'!AO46-1</f>
        <v>4.2459848584307069E-2</v>
      </c>
      <c r="BH46" s="16">
        <f>AQ46/'2018-19 disagg'!AQ46-1</f>
        <v>2.5239311022449806E-2</v>
      </c>
      <c r="BI46" s="1"/>
      <c r="BJ46" s="16">
        <f>AS46/'2018-19 disagg'!AS46-1</f>
        <v>1.5831906354657255E-2</v>
      </c>
      <c r="BK46" s="16">
        <f>AT46/'2018-19 disagg'!AT46-1</f>
        <v>2.6332712636942146E-2</v>
      </c>
      <c r="BL46" s="16">
        <f>AU46/'2018-19 disagg'!AU46-1</f>
        <v>3.7403206602463213E-2</v>
      </c>
      <c r="BM46" s="16">
        <f>AW46/'2018-19 disagg'!AW46-1</f>
        <v>2.0266200404718937E-2</v>
      </c>
    </row>
    <row r="47" spans="1:65" x14ac:dyDescent="0.2">
      <c r="A47" s="156" t="s">
        <v>139</v>
      </c>
      <c r="B47" s="156" t="s">
        <v>140</v>
      </c>
      <c r="D47" s="56">
        <f>VLOOKUP(A47,'2019-20'!$A$12:$AMX255,32,FALSE)</f>
        <v>467360</v>
      </c>
      <c r="E47" s="56">
        <v>1873.1786796659001</v>
      </c>
      <c r="F47" s="16">
        <f>VLOOKUP(A47,'2019-20'!$A$12:$AMX255,34,FALSE)</f>
        <v>2.5215798536847522E-2</v>
      </c>
      <c r="G47" s="16">
        <f>VLOOKUP(A47,'2019-20'!$A$12:$AMX255,35,FALSE)</f>
        <v>1.927493700777072E-2</v>
      </c>
      <c r="H47" s="56"/>
      <c r="I47" s="56">
        <v>466593.86423813499</v>
      </c>
      <c r="J47" s="56">
        <v>1870.1080078607495</v>
      </c>
      <c r="K47" s="16">
        <f t="shared" si="6"/>
        <v>1.6419756464565172E-3</v>
      </c>
      <c r="L47" s="58">
        <f t="shared" si="6"/>
        <v>1.6419756464565172E-3</v>
      </c>
      <c r="M47" s="10"/>
      <c r="N47" s="56">
        <v>357739</v>
      </c>
      <c r="O47" s="56">
        <v>34108</v>
      </c>
      <c r="P47" s="56">
        <v>75513</v>
      </c>
      <c r="R47" s="56">
        <f t="shared" si="7"/>
        <v>75513</v>
      </c>
      <c r="S47" s="56">
        <f t="shared" si="8"/>
        <v>0</v>
      </c>
      <c r="U47" s="16">
        <v>-7.3687630678523908E-3</v>
      </c>
      <c r="V47" s="16">
        <v>-4.861409853253007E-2</v>
      </c>
      <c r="W47" s="56">
        <f t="shared" si="9"/>
        <v>4</v>
      </c>
      <c r="X47" s="56">
        <f t="shared" si="10"/>
        <v>3603.9466288169374</v>
      </c>
      <c r="Y47" s="56">
        <f t="shared" si="10"/>
        <v>358.50857099511296</v>
      </c>
      <c r="AA47" s="56">
        <f t="shared" si="22"/>
        <v>0</v>
      </c>
      <c r="AB47" s="56">
        <v>0</v>
      </c>
      <c r="AC47" s="56">
        <f t="shared" si="11"/>
        <v>0</v>
      </c>
      <c r="AE47" s="56">
        <v>0</v>
      </c>
      <c r="AF47" s="56">
        <f t="shared" si="12"/>
        <v>0</v>
      </c>
      <c r="AG47" s="56">
        <f t="shared" si="13"/>
        <v>0</v>
      </c>
      <c r="AI47" s="56">
        <f t="shared" si="14"/>
        <v>0</v>
      </c>
      <c r="AJ47" s="56">
        <f t="shared" si="15"/>
        <v>0</v>
      </c>
      <c r="AK47" s="56">
        <f t="shared" si="16"/>
        <v>0</v>
      </c>
      <c r="AM47" s="56">
        <f t="shared" si="17"/>
        <v>357739</v>
      </c>
      <c r="AN47" s="56">
        <f t="shared" si="18"/>
        <v>34108</v>
      </c>
      <c r="AO47" s="56">
        <f t="shared" si="19"/>
        <v>75513</v>
      </c>
      <c r="AP47" s="56"/>
      <c r="AQ47" s="56">
        <f t="shared" si="20"/>
        <v>467360</v>
      </c>
      <c r="AR47" s="1"/>
      <c r="AS47" s="56">
        <v>1433.8177586549971</v>
      </c>
      <c r="AT47" s="56">
        <v>136.70484937958858</v>
      </c>
      <c r="AU47" s="56">
        <v>302.65607163131443</v>
      </c>
      <c r="AV47" s="56"/>
      <c r="AW47" s="56">
        <v>1873.1786796659001</v>
      </c>
      <c r="AX47" s="1"/>
      <c r="AY47" s="16">
        <v>-7.3687630678523908E-3</v>
      </c>
      <c r="AZ47" s="16">
        <v>-4.861409853253007E-2</v>
      </c>
      <c r="BA47" s="16">
        <v>7.3415455582116484E-2</v>
      </c>
      <c r="BB47" s="16">
        <f t="shared" si="21"/>
        <v>1.6419756464565172E-3</v>
      </c>
      <c r="BC47" s="16"/>
      <c r="BD47" s="1"/>
      <c r="BE47" s="16">
        <f>AM47/'2018-19 disagg'!AM47-1</f>
        <v>2.0784408839936708E-2</v>
      </c>
      <c r="BF47" s="16">
        <f>AN47/'2018-19 disagg'!AN47-1</f>
        <v>3.2293211464544003E-2</v>
      </c>
      <c r="BG47" s="16">
        <f>AO47/'2018-19 disagg'!AO47-1</f>
        <v>4.3444016084234871E-2</v>
      </c>
      <c r="BH47" s="16">
        <f>AQ47/'2018-19 disagg'!AQ47-1</f>
        <v>2.5215798536847522E-2</v>
      </c>
      <c r="BI47" s="1"/>
      <c r="BJ47" s="16">
        <f>AS47/'2018-19 disagg'!AS47-1</f>
        <v>1.4869226072939279E-2</v>
      </c>
      <c r="BK47" s="16">
        <f>AT47/'2018-19 disagg'!AT47-1</f>
        <v>2.6311338150194707E-2</v>
      </c>
      <c r="BL47" s="16">
        <f>AU47/'2018-19 disagg'!AU47-1</f>
        <v>3.7397526728777164E-2</v>
      </c>
      <c r="BM47" s="16">
        <f>AW47/'2018-19 disagg'!AW47-1</f>
        <v>1.927493700777072E-2</v>
      </c>
    </row>
    <row r="48" spans="1:65" x14ac:dyDescent="0.2">
      <c r="A48" s="156" t="s">
        <v>141</v>
      </c>
      <c r="B48" s="156" t="s">
        <v>142</v>
      </c>
      <c r="D48" s="56">
        <f>VLOOKUP(A48,'2019-20'!$A$12:$AMX256,32,FALSE)</f>
        <v>419437</v>
      </c>
      <c r="E48" s="56">
        <v>1706.9971180834816</v>
      </c>
      <c r="F48" s="16">
        <f>VLOOKUP(A48,'2019-20'!$A$12:$AMX256,34,FALSE)</f>
        <v>2.5796732120453303E-2</v>
      </c>
      <c r="G48" s="16">
        <f>VLOOKUP(A48,'2019-20'!$A$12:$AMX256,35,FALSE)</f>
        <v>1.8665338681461696E-2</v>
      </c>
      <c r="H48" s="56"/>
      <c r="I48" s="56">
        <v>414064.62415352714</v>
      </c>
      <c r="J48" s="56">
        <v>1685.1329761809063</v>
      </c>
      <c r="K48" s="16">
        <f t="shared" si="6"/>
        <v>1.2974727936383434E-2</v>
      </c>
      <c r="L48" s="58">
        <f t="shared" si="6"/>
        <v>1.2974727936383434E-2</v>
      </c>
      <c r="M48" s="10"/>
      <c r="N48" s="56">
        <v>311684</v>
      </c>
      <c r="O48" s="56">
        <v>31726</v>
      </c>
      <c r="P48" s="56">
        <v>76027</v>
      </c>
      <c r="R48" s="56">
        <f t="shared" si="7"/>
        <v>76027</v>
      </c>
      <c r="S48" s="56">
        <f t="shared" si="8"/>
        <v>0</v>
      </c>
      <c r="U48" s="16">
        <v>-4.3116752750552712E-3</v>
      </c>
      <c r="V48" s="16">
        <v>-1.4813419232561964E-2</v>
      </c>
      <c r="W48" s="56">
        <f t="shared" si="9"/>
        <v>4</v>
      </c>
      <c r="X48" s="56">
        <f t="shared" si="10"/>
        <v>3130.3369966309647</v>
      </c>
      <c r="Y48" s="56">
        <f t="shared" si="10"/>
        <v>322.03037088960514</v>
      </c>
      <c r="AA48" s="56">
        <f t="shared" si="22"/>
        <v>0</v>
      </c>
      <c r="AB48" s="56">
        <v>0</v>
      </c>
      <c r="AC48" s="56">
        <f t="shared" si="11"/>
        <v>0</v>
      </c>
      <c r="AE48" s="56">
        <v>0</v>
      </c>
      <c r="AF48" s="56">
        <f t="shared" si="12"/>
        <v>0</v>
      </c>
      <c r="AG48" s="56">
        <f t="shared" si="13"/>
        <v>0</v>
      </c>
      <c r="AI48" s="56">
        <f t="shared" si="14"/>
        <v>0</v>
      </c>
      <c r="AJ48" s="56">
        <f t="shared" si="15"/>
        <v>0</v>
      </c>
      <c r="AK48" s="56">
        <f t="shared" si="16"/>
        <v>0</v>
      </c>
      <c r="AM48" s="56">
        <f t="shared" si="17"/>
        <v>311684</v>
      </c>
      <c r="AN48" s="56">
        <f t="shared" si="18"/>
        <v>31726</v>
      </c>
      <c r="AO48" s="56">
        <f t="shared" si="19"/>
        <v>76027</v>
      </c>
      <c r="AP48" s="56"/>
      <c r="AQ48" s="56">
        <f t="shared" si="20"/>
        <v>419437</v>
      </c>
      <c r="AR48" s="1"/>
      <c r="AS48" s="56">
        <v>1268.4710451217511</v>
      </c>
      <c r="AT48" s="56">
        <v>129.11638832128909</v>
      </c>
      <c r="AU48" s="56">
        <v>309.40968464044147</v>
      </c>
      <c r="AV48" s="56"/>
      <c r="AW48" s="56">
        <v>1706.9971180834816</v>
      </c>
      <c r="AX48" s="1"/>
      <c r="AY48" s="16">
        <v>-4.3116752750552712E-3</v>
      </c>
      <c r="AZ48" s="16">
        <v>-1.4813419232561964E-2</v>
      </c>
      <c r="BA48" s="16">
        <v>0.10459586761014039</v>
      </c>
      <c r="BB48" s="16">
        <f t="shared" si="21"/>
        <v>1.2974727936383434E-2</v>
      </c>
      <c r="BC48" s="16"/>
      <c r="BD48" s="1"/>
      <c r="BE48" s="16">
        <f>AM48/'2018-19 disagg'!AM48-1</f>
        <v>2.0783525142628934E-2</v>
      </c>
      <c r="BF48" s="16">
        <f>AN48/'2018-19 disagg'!AN48-1</f>
        <v>3.0935205043218339E-2</v>
      </c>
      <c r="BG48" s="16">
        <f>AO48/'2018-19 disagg'!AO48-1</f>
        <v>4.4656965799634518E-2</v>
      </c>
      <c r="BH48" s="16">
        <f>AQ48/'2018-19 disagg'!AQ48-1</f>
        <v>2.5796732120453303E-2</v>
      </c>
      <c r="BI48" s="1"/>
      <c r="BJ48" s="16">
        <f>AS48/'2018-19 disagg'!AS48-1</f>
        <v>1.3686983785176077E-2</v>
      </c>
      <c r="BK48" s="16">
        <f>AT48/'2018-19 disagg'!AT48-1</f>
        <v>2.3768088667176501E-2</v>
      </c>
      <c r="BL48" s="16">
        <f>AU48/'2018-19 disagg'!AU48-1</f>
        <v>3.7394455013018302E-2</v>
      </c>
      <c r="BM48" s="16">
        <f>AW48/'2018-19 disagg'!AW48-1</f>
        <v>1.8665338681461696E-2</v>
      </c>
    </row>
    <row r="49" spans="1:65" x14ac:dyDescent="0.2">
      <c r="A49" s="156" t="s">
        <v>143</v>
      </c>
      <c r="B49" s="156" t="s">
        <v>144</v>
      </c>
      <c r="D49" s="56">
        <f>VLOOKUP(A49,'2019-20'!$A$12:$AMX257,32,FALSE)</f>
        <v>175699</v>
      </c>
      <c r="E49" s="56">
        <v>1681.0201885072822</v>
      </c>
      <c r="F49" s="16">
        <f>VLOOKUP(A49,'2019-20'!$A$12:$AMX257,34,FALSE)</f>
        <v>2.3940649567867789E-2</v>
      </c>
      <c r="G49" s="16">
        <f>VLOOKUP(A49,'2019-20'!$A$12:$AMX257,35,FALSE)</f>
        <v>2.2063067687107196E-2</v>
      </c>
      <c r="H49" s="56"/>
      <c r="I49" s="56">
        <v>177618.46014367451</v>
      </c>
      <c r="J49" s="56">
        <v>1699.3848419916617</v>
      </c>
      <c r="K49" s="16">
        <f t="shared" si="6"/>
        <v>-1.0806647811955283E-2</v>
      </c>
      <c r="L49" s="58">
        <f t="shared" si="6"/>
        <v>-1.0806647811955505E-2</v>
      </c>
      <c r="M49" s="10"/>
      <c r="N49" s="56">
        <v>135819</v>
      </c>
      <c r="O49" s="56">
        <v>13320</v>
      </c>
      <c r="P49" s="56">
        <v>26560</v>
      </c>
      <c r="R49" s="56">
        <f t="shared" si="7"/>
        <v>26560</v>
      </c>
      <c r="S49" s="56">
        <f t="shared" si="8"/>
        <v>0</v>
      </c>
      <c r="U49" s="16">
        <v>-2.5129230884881393E-2</v>
      </c>
      <c r="V49" s="16">
        <v>-2.0979994050448814E-2</v>
      </c>
      <c r="W49" s="56">
        <f t="shared" si="9"/>
        <v>4</v>
      </c>
      <c r="X49" s="56">
        <f t="shared" si="10"/>
        <v>1393.2000456150888</v>
      </c>
      <c r="Y49" s="56">
        <f t="shared" si="10"/>
        <v>136.05442094189829</v>
      </c>
      <c r="AA49" s="56">
        <f t="shared" si="22"/>
        <v>0</v>
      </c>
      <c r="AB49" s="56">
        <v>0</v>
      </c>
      <c r="AC49" s="56">
        <f t="shared" si="11"/>
        <v>0</v>
      </c>
      <c r="AE49" s="56">
        <v>0</v>
      </c>
      <c r="AF49" s="56">
        <f t="shared" si="12"/>
        <v>0</v>
      </c>
      <c r="AG49" s="56">
        <f t="shared" si="13"/>
        <v>0</v>
      </c>
      <c r="AI49" s="56">
        <f t="shared" si="14"/>
        <v>0</v>
      </c>
      <c r="AJ49" s="56">
        <f t="shared" si="15"/>
        <v>0</v>
      </c>
      <c r="AK49" s="56">
        <f t="shared" si="16"/>
        <v>0</v>
      </c>
      <c r="AM49" s="56">
        <f t="shared" si="17"/>
        <v>135819</v>
      </c>
      <c r="AN49" s="56">
        <f t="shared" si="18"/>
        <v>13320</v>
      </c>
      <c r="AO49" s="56">
        <f t="shared" si="19"/>
        <v>26560</v>
      </c>
      <c r="AP49" s="56"/>
      <c r="AQ49" s="56">
        <f t="shared" si="20"/>
        <v>175699</v>
      </c>
      <c r="AR49" s="1"/>
      <c r="AS49" s="56">
        <v>1299.4637475618563</v>
      </c>
      <c r="AT49" s="56">
        <v>127.44061668488153</v>
      </c>
      <c r="AU49" s="56">
        <v>254.11582426054457</v>
      </c>
      <c r="AV49" s="56"/>
      <c r="AW49" s="56">
        <v>1681.0201885072822</v>
      </c>
      <c r="AX49" s="1"/>
      <c r="AY49" s="16">
        <v>-2.5129230884881393E-2</v>
      </c>
      <c r="AZ49" s="16">
        <v>-2.0979994050448814E-2</v>
      </c>
      <c r="BA49" s="16">
        <v>7.5607884510868528E-2</v>
      </c>
      <c r="BB49" s="16">
        <f t="shared" si="21"/>
        <v>-1.0806647811955283E-2</v>
      </c>
      <c r="BC49" s="16"/>
      <c r="BD49" s="1"/>
      <c r="BE49" s="16">
        <f>AM49/'2018-19 disagg'!AM49-1</f>
        <v>2.0781036270987707E-2</v>
      </c>
      <c r="BF49" s="16">
        <f>AN49/'2018-19 disagg'!AN49-1</f>
        <v>2.6115091287266079E-2</v>
      </c>
      <c r="BG49" s="16">
        <f>AO49/'2018-19 disagg'!AO49-1</f>
        <v>3.9286273282203688E-2</v>
      </c>
      <c r="BH49" s="16">
        <f>AQ49/'2018-19 disagg'!AQ49-1</f>
        <v>2.3940649567867789E-2</v>
      </c>
      <c r="BI49" s="1"/>
      <c r="BJ49" s="16">
        <f>AS49/'2018-19 disagg'!AS49-1</f>
        <v>1.8909248117313648E-2</v>
      </c>
      <c r="BK49" s="16">
        <f>AT49/'2018-19 disagg'!AT49-1</f>
        <v>2.4233522171137167E-2</v>
      </c>
      <c r="BL49" s="16">
        <f>AU49/'2018-19 disagg'!AU49-1</f>
        <v>3.7380552402325407E-2</v>
      </c>
      <c r="BM49" s="16">
        <f>AW49/'2018-19 disagg'!AW49-1</f>
        <v>2.2063067687107196E-2</v>
      </c>
    </row>
    <row r="50" spans="1:65" x14ac:dyDescent="0.2">
      <c r="A50" s="156" t="s">
        <v>145</v>
      </c>
      <c r="B50" s="156" t="s">
        <v>146</v>
      </c>
      <c r="D50" s="56">
        <f>VLOOKUP(A50,'2019-20'!$A$12:$AMX258,32,FALSE)</f>
        <v>371594.99294826697</v>
      </c>
      <c r="E50" s="56">
        <v>1681.8800216400857</v>
      </c>
      <c r="F50" s="16">
        <f>VLOOKUP(A50,'2019-20'!$A$12:$AMX258,34,FALSE)</f>
        <v>2.6273034694535902E-2</v>
      </c>
      <c r="G50" s="16">
        <f>VLOOKUP(A50,'2019-20'!$A$12:$AMX258,35,FALSE)</f>
        <v>1.8825117914447187E-2</v>
      </c>
      <c r="H50" s="56"/>
      <c r="I50" s="56">
        <v>378654.03150260664</v>
      </c>
      <c r="J50" s="56">
        <v>1713.8300105845917</v>
      </c>
      <c r="K50" s="16">
        <f t="shared" si="6"/>
        <v>-1.8642449220274804E-2</v>
      </c>
      <c r="L50" s="58">
        <f t="shared" si="6"/>
        <v>-1.8642449220274693E-2</v>
      </c>
      <c r="M50" s="10"/>
      <c r="N50" s="56">
        <v>285675</v>
      </c>
      <c r="O50" s="56">
        <v>28008</v>
      </c>
      <c r="P50" s="56">
        <v>57637</v>
      </c>
      <c r="R50" s="56">
        <f t="shared" si="7"/>
        <v>57637</v>
      </c>
      <c r="S50" s="56">
        <f t="shared" si="8"/>
        <v>274.9929482669686</v>
      </c>
      <c r="U50" s="16">
        <v>-1.8713685268549107E-2</v>
      </c>
      <c r="V50" s="16">
        <v>-3.4658001079986289E-2</v>
      </c>
      <c r="W50" s="56">
        <f t="shared" si="9"/>
        <v>4</v>
      </c>
      <c r="X50" s="56">
        <f t="shared" si="10"/>
        <v>2911.229838950529</v>
      </c>
      <c r="Y50" s="56">
        <f t="shared" si="10"/>
        <v>290.13551706373738</v>
      </c>
      <c r="AA50" s="56">
        <f t="shared" si="22"/>
        <v>0</v>
      </c>
      <c r="AB50" s="56">
        <v>0</v>
      </c>
      <c r="AC50" s="56">
        <f t="shared" si="11"/>
        <v>274.9929482669686</v>
      </c>
      <c r="AE50" s="56">
        <v>0</v>
      </c>
      <c r="AF50" s="56">
        <f t="shared" si="12"/>
        <v>0</v>
      </c>
      <c r="AG50" s="56">
        <f t="shared" si="13"/>
        <v>274.9929482669686</v>
      </c>
      <c r="AI50" s="56">
        <f t="shared" si="14"/>
        <v>250.07070030035351</v>
      </c>
      <c r="AJ50" s="56">
        <f t="shared" si="15"/>
        <v>24.922247966615082</v>
      </c>
      <c r="AK50" s="56">
        <f t="shared" si="16"/>
        <v>0</v>
      </c>
      <c r="AM50" s="56">
        <f t="shared" si="17"/>
        <v>285925</v>
      </c>
      <c r="AN50" s="56">
        <f t="shared" si="18"/>
        <v>28033</v>
      </c>
      <c r="AO50" s="56">
        <f t="shared" si="19"/>
        <v>57637</v>
      </c>
      <c r="AP50" s="56"/>
      <c r="AQ50" s="56">
        <f t="shared" si="20"/>
        <v>371595</v>
      </c>
      <c r="AR50" s="1"/>
      <c r="AS50" s="56">
        <v>1294.1281618786254</v>
      </c>
      <c r="AT50" s="56">
        <v>126.88045732952175</v>
      </c>
      <c r="AU50" s="56">
        <v>260.87143434886184</v>
      </c>
      <c r="AV50" s="56"/>
      <c r="AW50" s="56">
        <v>1681.880053557009</v>
      </c>
      <c r="AX50" s="1"/>
      <c r="AY50" s="16">
        <v>-1.7854941665913726E-2</v>
      </c>
      <c r="AZ50" s="16">
        <v>-3.3796334771324488E-2</v>
      </c>
      <c r="BA50" s="16">
        <v>-1.504671188710649E-2</v>
      </c>
      <c r="BB50" s="16">
        <f t="shared" si="21"/>
        <v>-1.8642430597119009E-2</v>
      </c>
      <c r="BC50" s="16"/>
      <c r="BD50" s="1"/>
      <c r="BE50" s="16">
        <f>AM50/'2018-19 disagg'!AM50-1</f>
        <v>2.1868723329735662E-2</v>
      </c>
      <c r="BF50" s="16">
        <f>AN50/'2018-19 disagg'!AN50-1</f>
        <v>3.3665191740412936E-2</v>
      </c>
      <c r="BG50" s="16">
        <f>AO50/'2018-19 disagg'!AO50-1</f>
        <v>4.4981506998331922E-2</v>
      </c>
      <c r="BH50" s="16">
        <f>AQ50/'2018-19 disagg'!AQ50-1</f>
        <v>2.627305417004977E-2</v>
      </c>
      <c r="BI50" s="1"/>
      <c r="BJ50" s="16">
        <f>AS50/'2018-19 disagg'!AS50-1</f>
        <v>1.4452769724561998E-2</v>
      </c>
      <c r="BK50" s="16">
        <f>AT50/'2018-19 disagg'!AT50-1</f>
        <v>2.6163628251659077E-2</v>
      </c>
      <c r="BL50" s="16">
        <f>AU50/'2018-19 disagg'!AU50-1</f>
        <v>3.7397818215968215E-2</v>
      </c>
      <c r="BM50" s="16">
        <f>AW50/'2018-19 disagg'!AW50-1</f>
        <v>1.8825137248622559E-2</v>
      </c>
    </row>
    <row r="51" spans="1:65" x14ac:dyDescent="0.2">
      <c r="A51" s="156" t="s">
        <v>147</v>
      </c>
      <c r="B51" s="156" t="s">
        <v>148</v>
      </c>
      <c r="D51" s="56">
        <f>VLOOKUP(A51,'2019-20'!$A$12:$AMX259,32,FALSE)</f>
        <v>452478</v>
      </c>
      <c r="E51" s="56">
        <v>1725.7493607164204</v>
      </c>
      <c r="F51" s="16">
        <f>VLOOKUP(A51,'2019-20'!$A$12:$AMX259,34,FALSE)</f>
        <v>2.3900469772536015E-2</v>
      </c>
      <c r="G51" s="16">
        <f>VLOOKUP(A51,'2019-20'!$A$12:$AMX259,35,FALSE)</f>
        <v>2.1111332241590786E-2</v>
      </c>
      <c r="H51" s="56"/>
      <c r="I51" s="56">
        <v>453466.05356226728</v>
      </c>
      <c r="J51" s="56">
        <v>1729.5177932223905</v>
      </c>
      <c r="K51" s="16">
        <f t="shared" si="6"/>
        <v>-2.1788920129863776E-3</v>
      </c>
      <c r="L51" s="58">
        <f t="shared" si="6"/>
        <v>-2.1788920129863776E-3</v>
      </c>
      <c r="M51" s="10"/>
      <c r="N51" s="56">
        <v>347966</v>
      </c>
      <c r="O51" s="56">
        <v>36296</v>
      </c>
      <c r="P51" s="56">
        <v>68216</v>
      </c>
      <c r="R51" s="56">
        <f t="shared" si="7"/>
        <v>68216</v>
      </c>
      <c r="S51" s="56">
        <f t="shared" si="8"/>
        <v>0</v>
      </c>
      <c r="U51" s="16">
        <v>-1.7702108083213153E-2</v>
      </c>
      <c r="V51" s="16">
        <v>2.3367627010208114E-2</v>
      </c>
      <c r="W51" s="56">
        <f t="shared" si="9"/>
        <v>1</v>
      </c>
      <c r="X51" s="56">
        <f t="shared" si="10"/>
        <v>3542.3673700551644</v>
      </c>
      <c r="Y51" s="56">
        <f t="shared" si="10"/>
        <v>354.67215340824873</v>
      </c>
      <c r="AA51" s="56">
        <f t="shared" si="22"/>
        <v>0</v>
      </c>
      <c r="AB51" s="56">
        <v>0</v>
      </c>
      <c r="AC51" s="56">
        <f t="shared" si="11"/>
        <v>0</v>
      </c>
      <c r="AE51" s="56">
        <v>0</v>
      </c>
      <c r="AF51" s="56">
        <f t="shared" si="12"/>
        <v>0</v>
      </c>
      <c r="AG51" s="56">
        <f t="shared" si="13"/>
        <v>0</v>
      </c>
      <c r="AI51" s="56">
        <f t="shared" si="14"/>
        <v>0</v>
      </c>
      <c r="AJ51" s="56">
        <f t="shared" si="15"/>
        <v>0</v>
      </c>
      <c r="AK51" s="56">
        <f t="shared" si="16"/>
        <v>0</v>
      </c>
      <c r="AM51" s="56">
        <f t="shared" si="17"/>
        <v>347966</v>
      </c>
      <c r="AN51" s="56">
        <f t="shared" si="18"/>
        <v>36296</v>
      </c>
      <c r="AO51" s="56">
        <f t="shared" si="19"/>
        <v>68216</v>
      </c>
      <c r="AP51" s="56"/>
      <c r="AQ51" s="56">
        <f t="shared" si="20"/>
        <v>452478</v>
      </c>
      <c r="AR51" s="1"/>
      <c r="AS51" s="56">
        <v>1327.1409926030656</v>
      </c>
      <c r="AT51" s="56">
        <v>138.43280512326166</v>
      </c>
      <c r="AU51" s="56">
        <v>260.17556299009306</v>
      </c>
      <c r="AV51" s="56"/>
      <c r="AW51" s="56">
        <v>1725.7493607164204</v>
      </c>
      <c r="AX51" s="1"/>
      <c r="AY51" s="16">
        <v>-1.7702108083213153E-2</v>
      </c>
      <c r="AZ51" s="16">
        <v>2.3367627010208114E-2</v>
      </c>
      <c r="BA51" s="16">
        <v>6.9851819484291866E-2</v>
      </c>
      <c r="BB51" s="16">
        <f t="shared" si="21"/>
        <v>-2.1788920129863776E-3</v>
      </c>
      <c r="BC51" s="16"/>
      <c r="BD51" s="1"/>
      <c r="BE51" s="16">
        <f>AM51/'2018-19 disagg'!AM51-1</f>
        <v>2.0784379299521039E-2</v>
      </c>
      <c r="BF51" s="16">
        <f>AN51/'2018-19 disagg'!AN51-1</f>
        <v>2.3662464393490623E-2</v>
      </c>
      <c r="BG51" s="16">
        <f>AO51/'2018-19 disagg'!AO51-1</f>
        <v>4.0226905364604049E-2</v>
      </c>
      <c r="BH51" s="16">
        <f>AQ51/'2018-19 disagg'!AQ51-1</f>
        <v>2.3900469772536015E-2</v>
      </c>
      <c r="BI51" s="1"/>
      <c r="BJ51" s="16">
        <f>AS51/'2018-19 disagg'!AS51-1</f>
        <v>1.8003730098393733E-2</v>
      </c>
      <c r="BK51" s="16">
        <f>AT51/'2018-19 disagg'!AT51-1</f>
        <v>2.0873975196787908E-2</v>
      </c>
      <c r="BL51" s="16">
        <f>AU51/'2018-19 disagg'!AU51-1</f>
        <v>3.7393294102470387E-2</v>
      </c>
      <c r="BM51" s="16">
        <f>AW51/'2018-19 disagg'!AW51-1</f>
        <v>2.1111332241590786E-2</v>
      </c>
    </row>
    <row r="52" spans="1:65" x14ac:dyDescent="0.2">
      <c r="A52" s="156" t="s">
        <v>149</v>
      </c>
      <c r="B52" s="156" t="s">
        <v>150</v>
      </c>
      <c r="D52" s="56">
        <f>VLOOKUP(A52,'2019-20'!$A$12:$AMX260,32,FALSE)</f>
        <v>199236</v>
      </c>
      <c r="E52" s="56">
        <v>1775.9296803111995</v>
      </c>
      <c r="F52" s="16">
        <f>VLOOKUP(A52,'2019-20'!$A$12:$AMX260,34,FALSE)</f>
        <v>2.3686455047116084E-2</v>
      </c>
      <c r="G52" s="16">
        <f>VLOOKUP(A52,'2019-20'!$A$12:$AMX260,35,FALSE)</f>
        <v>2.3192478989773502E-2</v>
      </c>
      <c r="H52" s="56"/>
      <c r="I52" s="56">
        <v>195441.8666428187</v>
      </c>
      <c r="J52" s="56">
        <v>1742.1099186211582</v>
      </c>
      <c r="K52" s="16">
        <f t="shared" si="6"/>
        <v>1.9413104379090385E-2</v>
      </c>
      <c r="L52" s="58">
        <f t="shared" si="6"/>
        <v>1.9413104379090385E-2</v>
      </c>
      <c r="M52" s="10"/>
      <c r="N52" s="56">
        <v>155669</v>
      </c>
      <c r="O52" s="56">
        <v>14402</v>
      </c>
      <c r="P52" s="56">
        <v>29165</v>
      </c>
      <c r="R52" s="56">
        <f t="shared" si="7"/>
        <v>29165</v>
      </c>
      <c r="S52" s="56">
        <f t="shared" si="8"/>
        <v>0</v>
      </c>
      <c r="U52" s="16">
        <v>3.1301804619955576E-2</v>
      </c>
      <c r="V52" s="16">
        <v>-4.8862383619717731E-2</v>
      </c>
      <c r="W52" s="56">
        <f t="shared" si="9"/>
        <v>3</v>
      </c>
      <c r="X52" s="56">
        <f t="shared" si="10"/>
        <v>1509.4417492788689</v>
      </c>
      <c r="Y52" s="56">
        <f t="shared" si="10"/>
        <v>151.41867750756498</v>
      </c>
      <c r="AA52" s="56">
        <f t="shared" si="22"/>
        <v>0</v>
      </c>
      <c r="AB52" s="56">
        <v>0</v>
      </c>
      <c r="AC52" s="56">
        <f t="shared" si="11"/>
        <v>0</v>
      </c>
      <c r="AE52" s="56">
        <v>0</v>
      </c>
      <c r="AF52" s="56">
        <f t="shared" si="12"/>
        <v>0</v>
      </c>
      <c r="AG52" s="56">
        <f t="shared" si="13"/>
        <v>0</v>
      </c>
      <c r="AI52" s="56">
        <f t="shared" si="14"/>
        <v>0</v>
      </c>
      <c r="AJ52" s="56">
        <f t="shared" si="15"/>
        <v>0</v>
      </c>
      <c r="AK52" s="56">
        <f t="shared" si="16"/>
        <v>0</v>
      </c>
      <c r="AM52" s="56">
        <f t="shared" si="17"/>
        <v>155669</v>
      </c>
      <c r="AN52" s="56">
        <f t="shared" si="18"/>
        <v>14402</v>
      </c>
      <c r="AO52" s="56">
        <f t="shared" si="19"/>
        <v>29165</v>
      </c>
      <c r="AP52" s="56"/>
      <c r="AQ52" s="56">
        <f t="shared" si="20"/>
        <v>199236</v>
      </c>
      <c r="AR52" s="1"/>
      <c r="AS52" s="56">
        <v>1387.5865677104746</v>
      </c>
      <c r="AT52" s="56">
        <v>128.37508911964653</v>
      </c>
      <c r="AU52" s="56">
        <v>259.96802348107838</v>
      </c>
      <c r="AV52" s="56"/>
      <c r="AW52" s="56">
        <v>1775.9296803111995</v>
      </c>
      <c r="AX52" s="1"/>
      <c r="AY52" s="16">
        <v>3.1301804619955576E-2</v>
      </c>
      <c r="AZ52" s="16">
        <v>-4.8862383619717731E-2</v>
      </c>
      <c r="BA52" s="16">
        <v>-6.5003784055998048E-3</v>
      </c>
      <c r="BB52" s="16">
        <f t="shared" si="21"/>
        <v>1.9413104379090385E-2</v>
      </c>
      <c r="BC52" s="16"/>
      <c r="BD52" s="1"/>
      <c r="BE52" s="16">
        <f>AM52/'2018-19 disagg'!AM52-1</f>
        <v>2.0780327868852533E-2</v>
      </c>
      <c r="BF52" s="16">
        <f>AN52/'2018-19 disagg'!AN52-1</f>
        <v>2.6807357764152329E-2</v>
      </c>
      <c r="BG52" s="16">
        <f>AO52/'2018-19 disagg'!AO52-1</f>
        <v>3.7900355871886227E-2</v>
      </c>
      <c r="BH52" s="16">
        <f>AQ52/'2018-19 disagg'!AQ52-1</f>
        <v>2.3686455047116084E-2</v>
      </c>
      <c r="BI52" s="1"/>
      <c r="BJ52" s="16">
        <f>AS52/'2018-19 disagg'!AS52-1</f>
        <v>2.0287754152274129E-2</v>
      </c>
      <c r="BK52" s="16">
        <f>AT52/'2018-19 disagg'!AT52-1</f>
        <v>2.6311875726915401E-2</v>
      </c>
      <c r="BL52" s="16">
        <f>AU52/'2018-19 disagg'!AU52-1</f>
        <v>3.7399520950040621E-2</v>
      </c>
      <c r="BM52" s="16">
        <f>AW52/'2018-19 disagg'!AW52-1</f>
        <v>2.3192478989773502E-2</v>
      </c>
    </row>
    <row r="53" spans="1:65" x14ac:dyDescent="0.2">
      <c r="A53" s="156" t="s">
        <v>151</v>
      </c>
      <c r="B53" s="156" t="s">
        <v>152</v>
      </c>
      <c r="D53" s="56">
        <f>VLOOKUP(A53,'2019-20'!$A$12:$AMX261,32,FALSE)</f>
        <v>616886</v>
      </c>
      <c r="E53" s="56">
        <v>1864.870147317725</v>
      </c>
      <c r="F53" s="16">
        <f>VLOOKUP(A53,'2019-20'!$A$12:$AMX261,34,FALSE)</f>
        <v>2.4649279290951176E-2</v>
      </c>
      <c r="G53" s="16">
        <f>VLOOKUP(A53,'2019-20'!$A$12:$AMX261,35,FALSE)</f>
        <v>1.8971450063164141E-2</v>
      </c>
      <c r="H53" s="56"/>
      <c r="I53" s="56">
        <v>615111.28793368605</v>
      </c>
      <c r="J53" s="56">
        <v>1859.5051243595876</v>
      </c>
      <c r="K53" s="16">
        <f t="shared" si="6"/>
        <v>2.8851885847773762E-3</v>
      </c>
      <c r="L53" s="58">
        <f t="shared" si="6"/>
        <v>2.8851885847773762E-3</v>
      </c>
      <c r="M53" s="10"/>
      <c r="N53" s="56">
        <v>470940</v>
      </c>
      <c r="O53" s="56">
        <v>48089</v>
      </c>
      <c r="P53" s="56">
        <v>97857</v>
      </c>
      <c r="R53" s="56">
        <f t="shared" si="7"/>
        <v>97857</v>
      </c>
      <c r="S53" s="56">
        <f t="shared" si="8"/>
        <v>0</v>
      </c>
      <c r="U53" s="16">
        <v>-3.8392820478183598E-3</v>
      </c>
      <c r="V53" s="16">
        <v>3.7488398938401613E-2</v>
      </c>
      <c r="W53" s="56">
        <f t="shared" si="9"/>
        <v>1</v>
      </c>
      <c r="X53" s="56">
        <f t="shared" si="10"/>
        <v>4727.5503993784905</v>
      </c>
      <c r="Y53" s="56">
        <f t="shared" si="10"/>
        <v>463.51361662652351</v>
      </c>
      <c r="AA53" s="56">
        <f t="shared" si="22"/>
        <v>0</v>
      </c>
      <c r="AB53" s="56">
        <v>0</v>
      </c>
      <c r="AC53" s="56">
        <f t="shared" si="11"/>
        <v>0</v>
      </c>
      <c r="AE53" s="56">
        <v>0</v>
      </c>
      <c r="AF53" s="56">
        <f t="shared" si="12"/>
        <v>0</v>
      </c>
      <c r="AG53" s="56">
        <f t="shared" si="13"/>
        <v>0</v>
      </c>
      <c r="AI53" s="56">
        <f t="shared" si="14"/>
        <v>0</v>
      </c>
      <c r="AJ53" s="56">
        <f t="shared" si="15"/>
        <v>0</v>
      </c>
      <c r="AK53" s="56">
        <f t="shared" si="16"/>
        <v>0</v>
      </c>
      <c r="AM53" s="56">
        <f t="shared" si="17"/>
        <v>470940</v>
      </c>
      <c r="AN53" s="56">
        <f t="shared" si="18"/>
        <v>48089</v>
      </c>
      <c r="AO53" s="56">
        <f t="shared" si="19"/>
        <v>97857</v>
      </c>
      <c r="AP53" s="56"/>
      <c r="AQ53" s="56">
        <f t="shared" si="20"/>
        <v>616886</v>
      </c>
      <c r="AR53" s="1"/>
      <c r="AS53" s="56">
        <v>1423.6697658527012</v>
      </c>
      <c r="AT53" s="56">
        <v>145.37489992374941</v>
      </c>
      <c r="AU53" s="56">
        <v>295.82548154127443</v>
      </c>
      <c r="AV53" s="56"/>
      <c r="AW53" s="56">
        <v>1864.870147317725</v>
      </c>
      <c r="AX53" s="1"/>
      <c r="AY53" s="16">
        <v>-3.8392820478183598E-3</v>
      </c>
      <c r="AZ53" s="16">
        <v>3.7488398938401613E-2</v>
      </c>
      <c r="BA53" s="16">
        <v>1.9291868753299912E-2</v>
      </c>
      <c r="BB53" s="16">
        <f t="shared" si="21"/>
        <v>2.8851885847773762E-3</v>
      </c>
      <c r="BC53" s="16"/>
      <c r="BD53" s="1"/>
      <c r="BE53" s="16">
        <f>AM53/'2018-19 disagg'!AM53-1</f>
        <v>2.0784608681893024E-2</v>
      </c>
      <c r="BF53" s="16">
        <f>AN53/'2018-19 disagg'!AN53-1</f>
        <v>2.5592356416217044E-2</v>
      </c>
      <c r="BG53" s="16">
        <f>AO53/'2018-19 disagg'!AO53-1</f>
        <v>4.3184870903780093E-2</v>
      </c>
      <c r="BH53" s="16">
        <f>AQ53/'2018-19 disagg'!AQ53-1</f>
        <v>2.4649279290951176E-2</v>
      </c>
      <c r="BI53" s="1"/>
      <c r="BJ53" s="16">
        <f>AS53/'2018-19 disagg'!AS53-1</f>
        <v>1.51281945277153E-2</v>
      </c>
      <c r="BK53" s="16">
        <f>AT53/'2018-19 disagg'!AT53-1</f>
        <v>1.9909301370216737E-2</v>
      </c>
      <c r="BL53" s="16">
        <f>AU53/'2018-19 disagg'!AU53-1</f>
        <v>3.7404331484378384E-2</v>
      </c>
      <c r="BM53" s="16">
        <f>AW53/'2018-19 disagg'!AW53-1</f>
        <v>1.8971450063164141E-2</v>
      </c>
    </row>
    <row r="54" spans="1:65" x14ac:dyDescent="0.2">
      <c r="A54" s="156" t="s">
        <v>153</v>
      </c>
      <c r="B54" s="156" t="s">
        <v>154</v>
      </c>
      <c r="D54" s="56">
        <f>VLOOKUP(A54,'2019-20'!$A$12:$AMX262,32,FALSE)</f>
        <v>662702</v>
      </c>
      <c r="E54" s="56">
        <v>1966.1526213196682</v>
      </c>
      <c r="F54" s="16">
        <f>VLOOKUP(A54,'2019-20'!$A$12:$AMX262,34,FALSE)</f>
        <v>2.3863818952624571E-2</v>
      </c>
      <c r="G54" s="16">
        <f>VLOOKUP(A54,'2019-20'!$A$12:$AMX262,35,FALSE)</f>
        <v>2.1808610750553736E-2</v>
      </c>
      <c r="H54" s="56"/>
      <c r="I54" s="56">
        <v>663000.55003346805</v>
      </c>
      <c r="J54" s="56">
        <v>1967.0383813308017</v>
      </c>
      <c r="K54" s="16">
        <f t="shared" si="6"/>
        <v>-4.5030133602907974E-4</v>
      </c>
      <c r="L54" s="58">
        <f t="shared" si="6"/>
        <v>-4.5030133602896871E-4</v>
      </c>
      <c r="M54" s="10"/>
      <c r="N54" s="56">
        <v>516636</v>
      </c>
      <c r="O54" s="56">
        <v>48619</v>
      </c>
      <c r="P54" s="56">
        <v>97447</v>
      </c>
      <c r="R54" s="56">
        <f t="shared" si="7"/>
        <v>97447</v>
      </c>
      <c r="S54" s="56">
        <f t="shared" si="8"/>
        <v>0</v>
      </c>
      <c r="U54" s="16">
        <v>-1.1511689826451676E-2</v>
      </c>
      <c r="V54" s="16">
        <v>-1.5031171305094126E-2</v>
      </c>
      <c r="W54" s="56">
        <f t="shared" si="9"/>
        <v>4</v>
      </c>
      <c r="X54" s="56">
        <f t="shared" si="10"/>
        <v>5226.5261478842831</v>
      </c>
      <c r="Y54" s="56">
        <f t="shared" si="10"/>
        <v>493.6095293941504</v>
      </c>
      <c r="AA54" s="56">
        <f t="shared" si="22"/>
        <v>0</v>
      </c>
      <c r="AB54" s="56">
        <v>0</v>
      </c>
      <c r="AC54" s="56">
        <f t="shared" si="11"/>
        <v>0</v>
      </c>
      <c r="AE54" s="56">
        <v>0</v>
      </c>
      <c r="AF54" s="56">
        <f t="shared" si="12"/>
        <v>0</v>
      </c>
      <c r="AG54" s="56">
        <f t="shared" si="13"/>
        <v>0</v>
      </c>
      <c r="AI54" s="56">
        <f t="shared" si="14"/>
        <v>0</v>
      </c>
      <c r="AJ54" s="56">
        <f t="shared" si="15"/>
        <v>0</v>
      </c>
      <c r="AK54" s="56">
        <f t="shared" si="16"/>
        <v>0</v>
      </c>
      <c r="AM54" s="56">
        <f t="shared" si="17"/>
        <v>516636</v>
      </c>
      <c r="AN54" s="56">
        <f t="shared" si="18"/>
        <v>48619</v>
      </c>
      <c r="AO54" s="56">
        <f t="shared" si="19"/>
        <v>97447</v>
      </c>
      <c r="AP54" s="56"/>
      <c r="AQ54" s="56">
        <f t="shared" si="20"/>
        <v>662702</v>
      </c>
      <c r="AR54" s="1"/>
      <c r="AS54" s="56">
        <v>1532.793360617756</v>
      </c>
      <c r="AT54" s="56">
        <v>144.24639475351054</v>
      </c>
      <c r="AU54" s="56">
        <v>289.11286594840169</v>
      </c>
      <c r="AV54" s="56"/>
      <c r="AW54" s="56">
        <v>1966.1526213196682</v>
      </c>
      <c r="AX54" s="1"/>
      <c r="AY54" s="16">
        <v>-1.1511689826451676E-2</v>
      </c>
      <c r="AZ54" s="16">
        <v>-1.5031171305094126E-2</v>
      </c>
      <c r="BA54" s="16">
        <v>7.0999362004073197E-2</v>
      </c>
      <c r="BB54" s="16">
        <f t="shared" si="21"/>
        <v>-4.5030133602907974E-4</v>
      </c>
      <c r="BC54" s="16"/>
      <c r="BD54" s="1"/>
      <c r="BE54" s="16">
        <f>AM54/'2018-19 disagg'!AM54-1</f>
        <v>2.0783731824854712E-2</v>
      </c>
      <c r="BF54" s="16">
        <f>AN54/'2018-19 disagg'!AN54-1</f>
        <v>2.5847153648141052E-2</v>
      </c>
      <c r="BG54" s="16">
        <f>AO54/'2018-19 disagg'!AO54-1</f>
        <v>3.9490106138994063E-2</v>
      </c>
      <c r="BH54" s="16">
        <f>AQ54/'2018-19 disagg'!AQ54-1</f>
        <v>2.3863818952624571E-2</v>
      </c>
      <c r="BI54" s="1"/>
      <c r="BJ54" s="16">
        <f>AS54/'2018-19 disagg'!AS54-1</f>
        <v>1.8734706300803206E-2</v>
      </c>
      <c r="BK54" s="16">
        <f>AT54/'2018-19 disagg'!AT54-1</f>
        <v>2.3787964286019259E-2</v>
      </c>
      <c r="BL54" s="16">
        <f>AU54/'2018-19 disagg'!AU54-1</f>
        <v>3.7403531193613171E-2</v>
      </c>
      <c r="BM54" s="16">
        <f>AW54/'2018-19 disagg'!AW54-1</f>
        <v>2.1808610750553736E-2</v>
      </c>
    </row>
    <row r="55" spans="1:65" x14ac:dyDescent="0.2">
      <c r="A55" s="156" t="s">
        <v>155</v>
      </c>
      <c r="B55" s="156" t="s">
        <v>156</v>
      </c>
      <c r="D55" s="56">
        <f>VLOOKUP(A55,'2019-20'!$A$12:$AMX263,32,FALSE)</f>
        <v>271803</v>
      </c>
      <c r="E55" s="56">
        <v>1680.3494016263678</v>
      </c>
      <c r="F55" s="16">
        <f>VLOOKUP(A55,'2019-20'!$A$12:$AMX263,34,FALSE)</f>
        <v>2.465477658022408E-2</v>
      </c>
      <c r="G55" s="16">
        <f>VLOOKUP(A55,'2019-20'!$A$12:$AMX263,35,FALSE)</f>
        <v>1.8860908881718652E-2</v>
      </c>
      <c r="H55" s="56"/>
      <c r="I55" s="56">
        <v>276302.63886910741</v>
      </c>
      <c r="J55" s="56">
        <v>1708.1672162981683</v>
      </c>
      <c r="K55" s="16">
        <f t="shared" si="6"/>
        <v>-1.6285182391033937E-2</v>
      </c>
      <c r="L55" s="58">
        <f t="shared" si="6"/>
        <v>-1.6285182391034048E-2</v>
      </c>
      <c r="M55" s="10"/>
      <c r="N55" s="56">
        <v>214082</v>
      </c>
      <c r="O55" s="56">
        <v>20724</v>
      </c>
      <c r="P55" s="56">
        <v>36997</v>
      </c>
      <c r="R55" s="56">
        <f t="shared" si="7"/>
        <v>36997</v>
      </c>
      <c r="S55" s="56">
        <f t="shared" si="8"/>
        <v>0</v>
      </c>
      <c r="U55" s="16">
        <v>-1.2855351145720451E-2</v>
      </c>
      <c r="V55" s="16">
        <v>-4.9211267919274659E-2</v>
      </c>
      <c r="W55" s="56">
        <f t="shared" si="9"/>
        <v>4</v>
      </c>
      <c r="X55" s="56">
        <f t="shared" si="10"/>
        <v>2168.6993922164529</v>
      </c>
      <c r="Y55" s="56">
        <f t="shared" si="10"/>
        <v>217.96640305830275</v>
      </c>
      <c r="AA55" s="56">
        <f t="shared" si="22"/>
        <v>0</v>
      </c>
      <c r="AB55" s="56">
        <v>0</v>
      </c>
      <c r="AC55" s="56">
        <f t="shared" si="11"/>
        <v>0</v>
      </c>
      <c r="AE55" s="56">
        <v>0</v>
      </c>
      <c r="AF55" s="56">
        <f t="shared" si="12"/>
        <v>0</v>
      </c>
      <c r="AG55" s="56">
        <f t="shared" si="13"/>
        <v>0</v>
      </c>
      <c r="AI55" s="56">
        <f t="shared" si="14"/>
        <v>0</v>
      </c>
      <c r="AJ55" s="56">
        <f t="shared" si="15"/>
        <v>0</v>
      </c>
      <c r="AK55" s="56">
        <f t="shared" si="16"/>
        <v>0</v>
      </c>
      <c r="AM55" s="56">
        <f t="shared" si="17"/>
        <v>214082</v>
      </c>
      <c r="AN55" s="56">
        <f t="shared" si="18"/>
        <v>20724</v>
      </c>
      <c r="AO55" s="56">
        <f t="shared" si="19"/>
        <v>36997</v>
      </c>
      <c r="AP55" s="56"/>
      <c r="AQ55" s="56">
        <f t="shared" si="20"/>
        <v>271803</v>
      </c>
      <c r="AR55" s="1"/>
      <c r="AS55" s="56">
        <v>1323.5047464486267</v>
      </c>
      <c r="AT55" s="56">
        <v>128.12059101372998</v>
      </c>
      <c r="AU55" s="56">
        <v>228.72406416401117</v>
      </c>
      <c r="AV55" s="56"/>
      <c r="AW55" s="56">
        <v>1680.3494016263678</v>
      </c>
      <c r="AX55" s="1"/>
      <c r="AY55" s="16">
        <v>-1.2855351145720451E-2</v>
      </c>
      <c r="AZ55" s="16">
        <v>-4.9211267919274659E-2</v>
      </c>
      <c r="BA55" s="16">
        <v>-1.6979974864821279E-2</v>
      </c>
      <c r="BB55" s="16">
        <f t="shared" si="21"/>
        <v>-1.6285182391033937E-2</v>
      </c>
      <c r="BC55" s="16"/>
      <c r="BD55" s="1"/>
      <c r="BE55" s="16">
        <f>AM55/'2018-19 disagg'!AM55-1</f>
        <v>2.078455867978235E-2</v>
      </c>
      <c r="BF55" s="16">
        <f>AN55/'2018-19 disagg'!AN55-1</f>
        <v>3.2174519374439603E-2</v>
      </c>
      <c r="BG55" s="16">
        <f>AO55/'2018-19 disagg'!AO55-1</f>
        <v>4.3285770684112546E-2</v>
      </c>
      <c r="BH55" s="16">
        <f>AQ55/'2018-19 disagg'!AQ55-1</f>
        <v>2.465477658022408E-2</v>
      </c>
      <c r="BI55" s="1"/>
      <c r="BJ55" s="16">
        <f>AS55/'2018-19 disagg'!AS55-1</f>
        <v>1.5012574966978276E-2</v>
      </c>
      <c r="BK55" s="16">
        <f>AT55/'2018-19 disagg'!AT55-1</f>
        <v>2.6338131603933057E-2</v>
      </c>
      <c r="BL55" s="16">
        <f>AU55/'2018-19 disagg'!AU55-1</f>
        <v>3.7386554806496441E-2</v>
      </c>
      <c r="BM55" s="16">
        <f>AW55/'2018-19 disagg'!AW55-1</f>
        <v>1.8860908881718652E-2</v>
      </c>
    </row>
    <row r="56" spans="1:65" x14ac:dyDescent="0.2">
      <c r="A56" s="156" t="s">
        <v>157</v>
      </c>
      <c r="B56" s="156" t="s">
        <v>158</v>
      </c>
      <c r="D56" s="56">
        <f>VLOOKUP(A56,'2019-20'!$A$12:$AMX264,32,FALSE)</f>
        <v>494862</v>
      </c>
      <c r="E56" s="56">
        <v>1888.2879881640081</v>
      </c>
      <c r="F56" s="16">
        <f>VLOOKUP(A56,'2019-20'!$A$12:$AMX264,34,FALSE)</f>
        <v>2.3469847822400247E-2</v>
      </c>
      <c r="G56" s="16">
        <f>VLOOKUP(A56,'2019-20'!$A$12:$AMX264,35,FALSE)</f>
        <v>1.712140956038688E-2</v>
      </c>
      <c r="H56" s="56"/>
      <c r="I56" s="56">
        <v>473427.17511600582</v>
      </c>
      <c r="J56" s="56">
        <v>1806.4972619477194</v>
      </c>
      <c r="K56" s="16">
        <f t="shared" si="6"/>
        <v>4.5275865034029694E-2</v>
      </c>
      <c r="L56" s="58">
        <f t="shared" si="6"/>
        <v>4.5275865034029472E-2</v>
      </c>
      <c r="M56" s="10"/>
      <c r="N56" s="56">
        <v>386525</v>
      </c>
      <c r="O56" s="56">
        <v>36977</v>
      </c>
      <c r="P56" s="56">
        <v>71360</v>
      </c>
      <c r="R56" s="56">
        <f t="shared" si="7"/>
        <v>71360</v>
      </c>
      <c r="S56" s="56">
        <f t="shared" si="8"/>
        <v>0</v>
      </c>
      <c r="U56" s="16">
        <v>5.0903340581539336E-2</v>
      </c>
      <c r="V56" s="16">
        <v>-6.3581997743500374E-3</v>
      </c>
      <c r="W56" s="56">
        <f t="shared" si="9"/>
        <v>3</v>
      </c>
      <c r="X56" s="56">
        <f t="shared" si="10"/>
        <v>3678.0261806581402</v>
      </c>
      <c r="Y56" s="56">
        <f t="shared" si="10"/>
        <v>372.13611576729915</v>
      </c>
      <c r="AA56" s="56">
        <f t="shared" si="22"/>
        <v>0</v>
      </c>
      <c r="AB56" s="56">
        <v>0</v>
      </c>
      <c r="AC56" s="56">
        <f t="shared" si="11"/>
        <v>0</v>
      </c>
      <c r="AE56" s="56">
        <v>0</v>
      </c>
      <c r="AF56" s="56">
        <f t="shared" si="12"/>
        <v>0</v>
      </c>
      <c r="AG56" s="56">
        <f t="shared" si="13"/>
        <v>0</v>
      </c>
      <c r="AI56" s="56">
        <f t="shared" si="14"/>
        <v>0</v>
      </c>
      <c r="AJ56" s="56">
        <f t="shared" si="15"/>
        <v>0</v>
      </c>
      <c r="AK56" s="56">
        <f t="shared" si="16"/>
        <v>0</v>
      </c>
      <c r="AM56" s="56">
        <f t="shared" si="17"/>
        <v>386525</v>
      </c>
      <c r="AN56" s="56">
        <f t="shared" si="18"/>
        <v>36977</v>
      </c>
      <c r="AO56" s="56">
        <f t="shared" si="19"/>
        <v>71360</v>
      </c>
      <c r="AP56" s="56"/>
      <c r="AQ56" s="56">
        <f t="shared" si="20"/>
        <v>494862</v>
      </c>
      <c r="AR56" s="1"/>
      <c r="AS56" s="56">
        <v>1474.8970715575115</v>
      </c>
      <c r="AT56" s="56">
        <v>141.09635603125827</v>
      </c>
      <c r="AU56" s="56">
        <v>272.29456057523839</v>
      </c>
      <c r="AV56" s="56"/>
      <c r="AW56" s="56">
        <v>1888.2879881640081</v>
      </c>
      <c r="AX56" s="1"/>
      <c r="AY56" s="16">
        <v>5.0903340581539336E-2</v>
      </c>
      <c r="AZ56" s="16">
        <v>-6.3581997743500374E-3</v>
      </c>
      <c r="BA56" s="16">
        <v>4.3107934061254793E-2</v>
      </c>
      <c r="BB56" s="16">
        <f t="shared" si="21"/>
        <v>4.5275865034029694E-2</v>
      </c>
      <c r="BC56" s="16"/>
      <c r="BD56" s="1"/>
      <c r="BE56" s="16">
        <f>AM56/'2018-19 disagg'!AM56-1</f>
        <v>1.9220221708909468E-2</v>
      </c>
      <c r="BF56" s="16">
        <f>AN56/'2018-19 disagg'!AN56-1</f>
        <v>2.9512487123089404E-2</v>
      </c>
      <c r="BG56" s="16">
        <f>AO56/'2018-19 disagg'!AO56-1</f>
        <v>4.3870042860695513E-2</v>
      </c>
      <c r="BH56" s="16">
        <f>AQ56/'2018-19 disagg'!AQ56-1</f>
        <v>2.3469847822400247E-2</v>
      </c>
      <c r="BI56" s="1"/>
      <c r="BJ56" s="16">
        <f>AS56/'2018-19 disagg'!AS56-1</f>
        <v>1.2898143274765683E-2</v>
      </c>
      <c r="BK56" s="16">
        <f>AT56/'2018-19 disagg'!AT56-1</f>
        <v>2.3126567226788852E-2</v>
      </c>
      <c r="BL56" s="16">
        <f>AU56/'2018-19 disagg'!AU56-1</f>
        <v>3.7395065083122292E-2</v>
      </c>
      <c r="BM56" s="16">
        <f>AW56/'2018-19 disagg'!AW56-1</f>
        <v>1.712140956038688E-2</v>
      </c>
    </row>
    <row r="57" spans="1:65" x14ac:dyDescent="0.2">
      <c r="A57" s="156" t="s">
        <v>159</v>
      </c>
      <c r="B57" s="156" t="s">
        <v>160</v>
      </c>
      <c r="D57" s="56">
        <f>VLOOKUP(A57,'2019-20'!$A$12:$AMX265,32,FALSE)</f>
        <v>209707</v>
      </c>
      <c r="E57" s="56">
        <v>1806.6161257229792</v>
      </c>
      <c r="F57" s="16">
        <f>VLOOKUP(A57,'2019-20'!$A$12:$AMX265,34,FALSE)</f>
        <v>2.3110699126701384E-2</v>
      </c>
      <c r="G57" s="16">
        <f>VLOOKUP(A57,'2019-20'!$A$12:$AMX265,35,FALSE)</f>
        <v>1.8899634671170062E-2</v>
      </c>
      <c r="H57" s="56"/>
      <c r="I57" s="56">
        <v>205622.23036506135</v>
      </c>
      <c r="J57" s="56">
        <v>1771.4260238554034</v>
      </c>
      <c r="K57" s="16">
        <f t="shared" si="6"/>
        <v>1.9865408655895589E-2</v>
      </c>
      <c r="L57" s="58">
        <f t="shared" si="6"/>
        <v>1.9865408655895589E-2</v>
      </c>
      <c r="M57" s="10"/>
      <c r="N57" s="56">
        <v>162590</v>
      </c>
      <c r="O57" s="56">
        <v>16935</v>
      </c>
      <c r="P57" s="56">
        <v>30182</v>
      </c>
      <c r="R57" s="56">
        <f t="shared" si="7"/>
        <v>30182</v>
      </c>
      <c r="S57" s="56">
        <f t="shared" si="8"/>
        <v>0</v>
      </c>
      <c r="U57" s="16">
        <v>2.2894520869974677E-2</v>
      </c>
      <c r="V57" s="16">
        <v>6.7614956082802768E-2</v>
      </c>
      <c r="W57" s="56">
        <f t="shared" si="9"/>
        <v>2</v>
      </c>
      <c r="X57" s="56">
        <f t="shared" si="10"/>
        <v>1589.5089540778529</v>
      </c>
      <c r="Y57" s="56">
        <f t="shared" si="10"/>
        <v>158.62460434365201</v>
      </c>
      <c r="AA57" s="56">
        <f t="shared" si="22"/>
        <v>0</v>
      </c>
      <c r="AB57" s="56">
        <v>0</v>
      </c>
      <c r="AC57" s="56">
        <f t="shared" si="11"/>
        <v>0</v>
      </c>
      <c r="AE57" s="56">
        <v>0</v>
      </c>
      <c r="AF57" s="56">
        <f t="shared" si="12"/>
        <v>0</v>
      </c>
      <c r="AG57" s="56">
        <f t="shared" si="13"/>
        <v>0</v>
      </c>
      <c r="AI57" s="56">
        <f t="shared" si="14"/>
        <v>0</v>
      </c>
      <c r="AJ57" s="56">
        <f t="shared" si="15"/>
        <v>0</v>
      </c>
      <c r="AK57" s="56">
        <f t="shared" si="16"/>
        <v>0</v>
      </c>
      <c r="AM57" s="56">
        <f t="shared" si="17"/>
        <v>162590</v>
      </c>
      <c r="AN57" s="56">
        <f t="shared" si="18"/>
        <v>16935</v>
      </c>
      <c r="AO57" s="56">
        <f t="shared" si="19"/>
        <v>30182</v>
      </c>
      <c r="AP57" s="56"/>
      <c r="AQ57" s="56">
        <f t="shared" si="20"/>
        <v>209707</v>
      </c>
      <c r="AR57" s="1"/>
      <c r="AS57" s="56">
        <v>1400.7053454643822</v>
      </c>
      <c r="AT57" s="56">
        <v>145.89424334485093</v>
      </c>
      <c r="AU57" s="56">
        <v>260.01653691374611</v>
      </c>
      <c r="AV57" s="56"/>
      <c r="AW57" s="56">
        <v>1806.6161257229792</v>
      </c>
      <c r="AX57" s="1"/>
      <c r="AY57" s="16">
        <v>2.2894520869974677E-2</v>
      </c>
      <c r="AZ57" s="16">
        <v>6.7614956082802768E-2</v>
      </c>
      <c r="BA57" s="16">
        <v>-2.0347206206597912E-2</v>
      </c>
      <c r="BB57" s="16">
        <f t="shared" si="21"/>
        <v>1.9865408655895589E-2</v>
      </c>
      <c r="BC57" s="16"/>
      <c r="BD57" s="1"/>
      <c r="BE57" s="16">
        <f>AM57/'2018-19 disagg'!AM57-1</f>
        <v>2.0781014565544931E-2</v>
      </c>
      <c r="BF57" s="16">
        <f>AN57/'2018-19 disagg'!AN57-1</f>
        <v>1.3101220387652601E-2</v>
      </c>
      <c r="BG57" s="16">
        <f>AO57/'2018-19 disagg'!AO57-1</f>
        <v>4.1692551943121492E-2</v>
      </c>
      <c r="BH57" s="16">
        <f>AQ57/'2018-19 disagg'!AQ57-1</f>
        <v>2.3110699126701384E-2</v>
      </c>
      <c r="BI57" s="1"/>
      <c r="BJ57" s="16">
        <f>AS57/'2018-19 disagg'!AS57-1</f>
        <v>1.6579538956906337E-2</v>
      </c>
      <c r="BK57" s="16">
        <f>AT57/'2018-19 disagg'!AT57-1</f>
        <v>8.9313543676106111E-3</v>
      </c>
      <c r="BL57" s="16">
        <f>AU57/'2018-19 disagg'!AU57-1</f>
        <v>3.7405005656269141E-2</v>
      </c>
      <c r="BM57" s="16">
        <f>AW57/'2018-19 disagg'!AW57-1</f>
        <v>1.8899634671170062E-2</v>
      </c>
    </row>
    <row r="58" spans="1:65" x14ac:dyDescent="0.2">
      <c r="A58" s="156" t="s">
        <v>161</v>
      </c>
      <c r="B58" s="156" t="s">
        <v>162</v>
      </c>
      <c r="D58" s="56">
        <f>VLOOKUP(A58,'2019-20'!$A$12:$AMX266,32,FALSE)</f>
        <v>190079.04980515296</v>
      </c>
      <c r="E58" s="56">
        <v>1515.8863448072118</v>
      </c>
      <c r="F58" s="16">
        <f>VLOOKUP(A58,'2019-20'!$A$12:$AMX266,34,FALSE)</f>
        <v>2.8477241175834056E-2</v>
      </c>
      <c r="G58" s="16">
        <f>VLOOKUP(A58,'2019-20'!$A$12:$AMX266,35,FALSE)</f>
        <v>2.4081734926397758E-2</v>
      </c>
      <c r="H58" s="56"/>
      <c r="I58" s="56">
        <v>195365.85727628556</v>
      </c>
      <c r="J58" s="56">
        <v>1558.0487991194041</v>
      </c>
      <c r="K58" s="16">
        <f t="shared" si="6"/>
        <v>-2.7061061460990188E-2</v>
      </c>
      <c r="L58" s="58">
        <f t="shared" si="6"/>
        <v>-2.7061061460990299E-2</v>
      </c>
      <c r="M58" s="10"/>
      <c r="N58" s="56">
        <v>140482</v>
      </c>
      <c r="O58" s="56">
        <v>18780</v>
      </c>
      <c r="P58" s="56">
        <v>30076</v>
      </c>
      <c r="R58" s="56">
        <f t="shared" si="7"/>
        <v>30076</v>
      </c>
      <c r="S58" s="56">
        <f t="shared" si="8"/>
        <v>741.04980515295756</v>
      </c>
      <c r="U58" s="16">
        <v>-3.3831725167795867E-2</v>
      </c>
      <c r="V58" s="16">
        <v>3.0097844428677689E-2</v>
      </c>
      <c r="W58" s="56">
        <f t="shared" si="9"/>
        <v>1</v>
      </c>
      <c r="X58" s="56">
        <f t="shared" si="10"/>
        <v>1454.0117250734372</v>
      </c>
      <c r="Y58" s="56">
        <f t="shared" si="10"/>
        <v>182.31277835957357</v>
      </c>
      <c r="AA58" s="56">
        <f t="shared" si="22"/>
        <v>741.04980515295756</v>
      </c>
      <c r="AB58" s="56">
        <v>0</v>
      </c>
      <c r="AC58" s="56">
        <f t="shared" si="11"/>
        <v>0</v>
      </c>
      <c r="AE58" s="56">
        <v>0</v>
      </c>
      <c r="AF58" s="56">
        <f t="shared" si="12"/>
        <v>0</v>
      </c>
      <c r="AG58" s="56">
        <f t="shared" si="13"/>
        <v>0</v>
      </c>
      <c r="AI58" s="56">
        <f t="shared" si="14"/>
        <v>0</v>
      </c>
      <c r="AJ58" s="56">
        <f t="shared" si="15"/>
        <v>0</v>
      </c>
      <c r="AK58" s="56">
        <f t="shared" si="16"/>
        <v>0</v>
      </c>
      <c r="AM58" s="56">
        <f t="shared" si="17"/>
        <v>141223</v>
      </c>
      <c r="AN58" s="56">
        <f t="shared" si="18"/>
        <v>18780</v>
      </c>
      <c r="AO58" s="56">
        <f t="shared" si="19"/>
        <v>30076</v>
      </c>
      <c r="AP58" s="56"/>
      <c r="AQ58" s="56">
        <f t="shared" si="20"/>
        <v>190079</v>
      </c>
      <c r="AR58" s="1"/>
      <c r="AS58" s="56">
        <v>1126.257825321396</v>
      </c>
      <c r="AT58" s="56">
        <v>149.77108515989474</v>
      </c>
      <c r="AU58" s="56">
        <v>239.85703712827447</v>
      </c>
      <c r="AV58" s="56"/>
      <c r="AW58" s="56">
        <v>1515.8859476095652</v>
      </c>
      <c r="AX58" s="1"/>
      <c r="AY58" s="16">
        <v>-2.8735480156686477E-2</v>
      </c>
      <c r="AZ58" s="16">
        <v>3.0097844428677689E-2</v>
      </c>
      <c r="BA58" s="16">
        <v>-5.2229088937240431E-2</v>
      </c>
      <c r="BB58" s="16">
        <f t="shared" si="21"/>
        <v>-2.7061316393728441E-2</v>
      </c>
      <c r="BC58" s="16"/>
      <c r="BD58" s="1"/>
      <c r="BE58" s="16">
        <f>AM58/'2018-19 disagg'!AM58-1</f>
        <v>2.61658746421356E-2</v>
      </c>
      <c r="BF58" s="16">
        <f>AN58/'2018-19 disagg'!AN58-1</f>
        <v>2.4773545781949124E-2</v>
      </c>
      <c r="BG58" s="16">
        <f>AO58/'2018-19 disagg'!AO58-1</f>
        <v>4.1845642233615088E-2</v>
      </c>
      <c r="BH58" s="16">
        <f>AQ58/'2018-19 disagg'!AQ58-1</f>
        <v>2.8476971690762687E-2</v>
      </c>
      <c r="BI58" s="1"/>
      <c r="BJ58" s="16">
        <f>AS58/'2018-19 disagg'!AS58-1</f>
        <v>2.1780246711476936E-2</v>
      </c>
      <c r="BK58" s="16">
        <f>AT58/'2018-19 disagg'!AT58-1</f>
        <v>2.039386838666557E-2</v>
      </c>
      <c r="BL58" s="16">
        <f>AU58/'2018-19 disagg'!AU58-1</f>
        <v>3.7393002108929263E-2</v>
      </c>
      <c r="BM58" s="16">
        <f>AW58/'2018-19 disagg'!AW58-1</f>
        <v>2.408146659305177E-2</v>
      </c>
    </row>
    <row r="59" spans="1:65" x14ac:dyDescent="0.2">
      <c r="A59" s="156" t="s">
        <v>163</v>
      </c>
      <c r="B59" s="156" t="s">
        <v>164</v>
      </c>
      <c r="D59" s="56">
        <f>VLOOKUP(A59,'2019-20'!$A$12:$AMX267,32,FALSE)</f>
        <v>590531</v>
      </c>
      <c r="E59" s="56">
        <v>1696.4074308112577</v>
      </c>
      <c r="F59" s="16">
        <f>VLOOKUP(A59,'2019-20'!$A$12:$AMX267,34,FALSE)</f>
        <v>2.3933292644019444E-2</v>
      </c>
      <c r="G59" s="16">
        <f>VLOOKUP(A59,'2019-20'!$A$12:$AMX267,35,FALSE)</f>
        <v>1.7735193689903728E-2</v>
      </c>
      <c r="H59" s="56"/>
      <c r="I59" s="56">
        <v>598978.21540053992</v>
      </c>
      <c r="J59" s="56">
        <v>1720.6735895313573</v>
      </c>
      <c r="K59" s="16">
        <f t="shared" si="6"/>
        <v>-1.4102708885482929E-2</v>
      </c>
      <c r="L59" s="58">
        <f t="shared" si="6"/>
        <v>-1.4102708885482929E-2</v>
      </c>
      <c r="M59" s="10"/>
      <c r="N59" s="56">
        <v>458931</v>
      </c>
      <c r="O59" s="56">
        <v>51744</v>
      </c>
      <c r="P59" s="56">
        <v>79856</v>
      </c>
      <c r="R59" s="56">
        <f t="shared" si="7"/>
        <v>79856</v>
      </c>
      <c r="S59" s="56">
        <f t="shared" si="8"/>
        <v>0</v>
      </c>
      <c r="U59" s="16">
        <v>-1.6717784168253425E-2</v>
      </c>
      <c r="V59" s="16">
        <v>5.0983468829630008E-2</v>
      </c>
      <c r="W59" s="56">
        <f t="shared" si="9"/>
        <v>1</v>
      </c>
      <c r="X59" s="56">
        <f t="shared" si="10"/>
        <v>4667.3375416618901</v>
      </c>
      <c r="Y59" s="56">
        <f t="shared" si="10"/>
        <v>492.338857219342</v>
      </c>
      <c r="AA59" s="56">
        <f t="shared" si="22"/>
        <v>0</v>
      </c>
      <c r="AB59" s="56">
        <v>0</v>
      </c>
      <c r="AC59" s="56">
        <f t="shared" si="11"/>
        <v>0</v>
      </c>
      <c r="AE59" s="56">
        <v>0</v>
      </c>
      <c r="AF59" s="56">
        <f t="shared" si="12"/>
        <v>0</v>
      </c>
      <c r="AG59" s="56">
        <f t="shared" si="13"/>
        <v>0</v>
      </c>
      <c r="AI59" s="56">
        <f t="shared" si="14"/>
        <v>0</v>
      </c>
      <c r="AJ59" s="56">
        <f t="shared" si="15"/>
        <v>0</v>
      </c>
      <c r="AK59" s="56">
        <f t="shared" si="16"/>
        <v>0</v>
      </c>
      <c r="AM59" s="56">
        <f t="shared" si="17"/>
        <v>458931</v>
      </c>
      <c r="AN59" s="56">
        <f t="shared" si="18"/>
        <v>51744</v>
      </c>
      <c r="AO59" s="56">
        <f t="shared" si="19"/>
        <v>79856</v>
      </c>
      <c r="AP59" s="56"/>
      <c r="AQ59" s="56">
        <f t="shared" si="20"/>
        <v>590531</v>
      </c>
      <c r="AR59" s="1"/>
      <c r="AS59" s="56">
        <v>1318.3625561226104</v>
      </c>
      <c r="AT59" s="56">
        <v>148.64402732438722</v>
      </c>
      <c r="AU59" s="56">
        <v>229.40084736425993</v>
      </c>
      <c r="AV59" s="56"/>
      <c r="AW59" s="56">
        <v>1696.4074308112577</v>
      </c>
      <c r="AX59" s="1"/>
      <c r="AY59" s="16">
        <v>-1.6717784168253425E-2</v>
      </c>
      <c r="AZ59" s="16">
        <v>5.0983468829630008E-2</v>
      </c>
      <c r="BA59" s="16">
        <v>-3.8002091817142536E-2</v>
      </c>
      <c r="BB59" s="16">
        <f t="shared" si="21"/>
        <v>-1.4102708885482929E-2</v>
      </c>
      <c r="BC59" s="16"/>
      <c r="BD59" s="1"/>
      <c r="BE59" s="16">
        <f>AM59/'2018-19 disagg'!AM59-1</f>
        <v>2.0783519096415182E-2</v>
      </c>
      <c r="BF59" s="16">
        <f>AN59/'2018-19 disagg'!AN59-1</f>
        <v>2.2002765158996684E-2</v>
      </c>
      <c r="BG59" s="16">
        <f>AO59/'2018-19 disagg'!AO59-1</f>
        <v>4.3719203774620574E-2</v>
      </c>
      <c r="BH59" s="16">
        <f>AQ59/'2018-19 disagg'!AQ59-1</f>
        <v>2.3933292644019444E-2</v>
      </c>
      <c r="BI59" s="1"/>
      <c r="BJ59" s="16">
        <f>AS59/'2018-19 disagg'!AS59-1</f>
        <v>1.4604486431355035E-2</v>
      </c>
      <c r="BK59" s="16">
        <f>AT59/'2018-19 disagg'!AT59-1</f>
        <v>1.5816352122774102E-2</v>
      </c>
      <c r="BL59" s="16">
        <f>AU59/'2018-19 disagg'!AU59-1</f>
        <v>3.7401336241862371E-2</v>
      </c>
      <c r="BM59" s="16">
        <f>AW59/'2018-19 disagg'!AW59-1</f>
        <v>1.7735193689903728E-2</v>
      </c>
    </row>
    <row r="60" spans="1:65" x14ac:dyDescent="0.2">
      <c r="A60" s="156" t="s">
        <v>165</v>
      </c>
      <c r="B60" s="156" t="s">
        <v>166</v>
      </c>
      <c r="D60" s="56">
        <f>VLOOKUP(A60,'2019-20'!$A$12:$AMX268,32,FALSE)</f>
        <v>367315</v>
      </c>
      <c r="E60" s="56">
        <v>1642.6206809463677</v>
      </c>
      <c r="F60" s="16">
        <f>VLOOKUP(A60,'2019-20'!$A$12:$AMX268,34,FALSE)</f>
        <v>2.127263223453002E-2</v>
      </c>
      <c r="G60" s="16">
        <f>VLOOKUP(A60,'2019-20'!$A$12:$AMX268,35,FALSE)</f>
        <v>1.4851312419963625E-2</v>
      </c>
      <c r="H60" s="56"/>
      <c r="I60" s="56">
        <v>354593.70115455438</v>
      </c>
      <c r="J60" s="56">
        <v>1585.7314480753221</v>
      </c>
      <c r="K60" s="16">
        <f t="shared" si="6"/>
        <v>3.5875704514843898E-2</v>
      </c>
      <c r="L60" s="58">
        <f t="shared" si="6"/>
        <v>3.5875704514843676E-2</v>
      </c>
      <c r="M60" s="10"/>
      <c r="N60" s="56">
        <v>290057</v>
      </c>
      <c r="O60" s="56">
        <v>30312</v>
      </c>
      <c r="P60" s="56">
        <v>46946</v>
      </c>
      <c r="R60" s="56">
        <f t="shared" si="7"/>
        <v>46946</v>
      </c>
      <c r="S60" s="56">
        <f t="shared" si="8"/>
        <v>0</v>
      </c>
      <c r="U60" s="16">
        <v>5.4167949240246704E-2</v>
      </c>
      <c r="V60" s="16">
        <v>-2.6168203169633086E-3</v>
      </c>
      <c r="W60" s="56">
        <f t="shared" si="9"/>
        <v>3</v>
      </c>
      <c r="X60" s="56">
        <f t="shared" si="10"/>
        <v>2751.5255060547806</v>
      </c>
      <c r="Y60" s="56">
        <f t="shared" si="10"/>
        <v>303.91529170998251</v>
      </c>
      <c r="AA60" s="56">
        <f t="shared" si="22"/>
        <v>0</v>
      </c>
      <c r="AB60" s="56">
        <v>0</v>
      </c>
      <c r="AC60" s="56">
        <f t="shared" si="11"/>
        <v>0</v>
      </c>
      <c r="AE60" s="56">
        <v>0</v>
      </c>
      <c r="AF60" s="56">
        <f t="shared" si="12"/>
        <v>0</v>
      </c>
      <c r="AG60" s="56">
        <f t="shared" si="13"/>
        <v>0</v>
      </c>
      <c r="AI60" s="56">
        <f t="shared" si="14"/>
        <v>0</v>
      </c>
      <c r="AJ60" s="56">
        <f t="shared" si="15"/>
        <v>0</v>
      </c>
      <c r="AK60" s="56">
        <f t="shared" si="16"/>
        <v>0</v>
      </c>
      <c r="AM60" s="56">
        <f t="shared" si="17"/>
        <v>290057</v>
      </c>
      <c r="AN60" s="56">
        <f t="shared" si="18"/>
        <v>30312</v>
      </c>
      <c r="AO60" s="56">
        <f t="shared" si="19"/>
        <v>46946</v>
      </c>
      <c r="AP60" s="56"/>
      <c r="AQ60" s="56">
        <f t="shared" si="20"/>
        <v>367315</v>
      </c>
      <c r="AR60" s="1"/>
      <c r="AS60" s="56">
        <v>1297.125428728096</v>
      </c>
      <c r="AT60" s="56">
        <v>135.5542737999981</v>
      </c>
      <c r="AU60" s="56">
        <v>209.94097841827363</v>
      </c>
      <c r="AV60" s="56"/>
      <c r="AW60" s="56">
        <v>1642.6206809463677</v>
      </c>
      <c r="AX60" s="1"/>
      <c r="AY60" s="16">
        <v>5.4167949240246704E-2</v>
      </c>
      <c r="AZ60" s="16">
        <v>-2.6168203169633086E-3</v>
      </c>
      <c r="BA60" s="16">
        <v>-4.2887617049338855E-2</v>
      </c>
      <c r="BB60" s="16">
        <f t="shared" si="21"/>
        <v>3.5875704514843898E-2</v>
      </c>
      <c r="BC60" s="16"/>
      <c r="BD60" s="1"/>
      <c r="BE60" s="16">
        <f>AM60/'2018-19 disagg'!AM60-1</f>
        <v>1.6866143609375772E-2</v>
      </c>
      <c r="BF60" s="16">
        <f>AN60/'2018-19 disagg'!AN60-1</f>
        <v>2.930489999660435E-2</v>
      </c>
      <c r="BG60" s="16">
        <f>AO60/'2018-19 disagg'!AO60-1</f>
        <v>4.3963619382241026E-2</v>
      </c>
      <c r="BH60" s="16">
        <f>AQ60/'2018-19 disagg'!AQ60-1</f>
        <v>2.127263223453002E-2</v>
      </c>
      <c r="BI60" s="1"/>
      <c r="BJ60" s="16">
        <f>AS60/'2018-19 disagg'!AS60-1</f>
        <v>1.0472529886041304E-2</v>
      </c>
      <c r="BK60" s="16">
        <f>AT60/'2018-19 disagg'!AT60-1</f>
        <v>2.2833076762570403E-2</v>
      </c>
      <c r="BL60" s="16">
        <f>AU60/'2018-19 disagg'!AU60-1</f>
        <v>3.7399628472039037E-2</v>
      </c>
      <c r="BM60" s="16">
        <f>AW60/'2018-19 disagg'!AW60-1</f>
        <v>1.4851312419963625E-2</v>
      </c>
    </row>
    <row r="61" spans="1:65" x14ac:dyDescent="0.2">
      <c r="A61" s="156" t="s">
        <v>167</v>
      </c>
      <c r="B61" s="156" t="s">
        <v>168</v>
      </c>
      <c r="D61" s="56">
        <f>VLOOKUP(A61,'2019-20'!$A$12:$AMX269,32,FALSE)</f>
        <v>594204</v>
      </c>
      <c r="E61" s="56">
        <v>1874.905105138085</v>
      </c>
      <c r="F61" s="16">
        <f>VLOOKUP(A61,'2019-20'!$A$12:$AMX269,34,FALSE)</f>
        <v>2.0770881255014029E-2</v>
      </c>
      <c r="G61" s="16">
        <f>VLOOKUP(A61,'2019-20'!$A$12:$AMX269,35,FALSE)</f>
        <v>1.8309456903338628E-2</v>
      </c>
      <c r="H61" s="56"/>
      <c r="I61" s="56">
        <v>566039.63248643791</v>
      </c>
      <c r="J61" s="56">
        <v>1786.0374495279532</v>
      </c>
      <c r="K61" s="16">
        <f t="shared" si="6"/>
        <v>4.9756882552277615E-2</v>
      </c>
      <c r="L61" s="58">
        <f t="shared" si="6"/>
        <v>4.9756882552277615E-2</v>
      </c>
      <c r="M61" s="10"/>
      <c r="N61" s="56">
        <v>459636</v>
      </c>
      <c r="O61" s="56">
        <v>44459</v>
      </c>
      <c r="P61" s="56">
        <v>90109</v>
      </c>
      <c r="R61" s="56">
        <f t="shared" si="7"/>
        <v>90109</v>
      </c>
      <c r="S61" s="56">
        <f t="shared" si="8"/>
        <v>0</v>
      </c>
      <c r="U61" s="16">
        <v>5.4458033621129776E-2</v>
      </c>
      <c r="V61" s="16">
        <v>-4.5904182909376479E-3</v>
      </c>
      <c r="W61" s="56">
        <f t="shared" si="9"/>
        <v>3</v>
      </c>
      <c r="X61" s="56">
        <f t="shared" si="10"/>
        <v>4358.9785970102312</v>
      </c>
      <c r="Y61" s="56">
        <f t="shared" si="10"/>
        <v>446.64026564488552</v>
      </c>
      <c r="AA61" s="56">
        <f t="shared" si="22"/>
        <v>0</v>
      </c>
      <c r="AB61" s="56">
        <v>0</v>
      </c>
      <c r="AC61" s="56">
        <f t="shared" si="11"/>
        <v>0</v>
      </c>
      <c r="AE61" s="56">
        <v>0</v>
      </c>
      <c r="AF61" s="56">
        <f t="shared" si="12"/>
        <v>0</v>
      </c>
      <c r="AG61" s="56">
        <f t="shared" si="13"/>
        <v>0</v>
      </c>
      <c r="AI61" s="56">
        <f t="shared" si="14"/>
        <v>0</v>
      </c>
      <c r="AJ61" s="56">
        <f t="shared" si="15"/>
        <v>0</v>
      </c>
      <c r="AK61" s="56">
        <f t="shared" si="16"/>
        <v>0</v>
      </c>
      <c r="AM61" s="56">
        <f t="shared" si="17"/>
        <v>459636</v>
      </c>
      <c r="AN61" s="56">
        <f t="shared" si="18"/>
        <v>44459</v>
      </c>
      <c r="AO61" s="56">
        <f t="shared" si="19"/>
        <v>90109</v>
      </c>
      <c r="AP61" s="56"/>
      <c r="AQ61" s="56">
        <f t="shared" si="20"/>
        <v>594204</v>
      </c>
      <c r="AR61" s="1"/>
      <c r="AS61" s="56">
        <v>1450.2996999435361</v>
      </c>
      <c r="AT61" s="56">
        <v>140.28247212966275</v>
      </c>
      <c r="AU61" s="56">
        <v>284.32293306488629</v>
      </c>
      <c r="AV61" s="56"/>
      <c r="AW61" s="56">
        <v>1874.905105138085</v>
      </c>
      <c r="AX61" s="1"/>
      <c r="AY61" s="16">
        <v>5.4458033621129776E-2</v>
      </c>
      <c r="AZ61" s="16">
        <v>-4.5904182909376479E-3</v>
      </c>
      <c r="BA61" s="16">
        <v>5.4180812946376111E-2</v>
      </c>
      <c r="BB61" s="16">
        <f t="shared" si="21"/>
        <v>4.9756882552277615E-2</v>
      </c>
      <c r="BC61" s="16"/>
      <c r="BD61" s="1"/>
      <c r="BE61" s="16">
        <f>AM61/'2018-19 disagg'!AM61-1</f>
        <v>1.6653137421008823E-2</v>
      </c>
      <c r="BF61" s="16">
        <f>AN61/'2018-19 disagg'!AN61-1</f>
        <v>2.5464190981432377E-2</v>
      </c>
      <c r="BG61" s="16">
        <f>AO61/'2018-19 disagg'!AO61-1</f>
        <v>3.9907213996376312E-2</v>
      </c>
      <c r="BH61" s="16">
        <f>AQ61/'2018-19 disagg'!AQ61-1</f>
        <v>2.0770881255014029E-2</v>
      </c>
      <c r="BI61" s="1"/>
      <c r="BJ61" s="16">
        <f>AS61/'2018-19 disagg'!AS61-1</f>
        <v>1.4201642344485288E-2</v>
      </c>
      <c r="BK61" s="16">
        <f>AT61/'2018-19 disagg'!AT61-1</f>
        <v>2.2991449470282088E-2</v>
      </c>
      <c r="BL61" s="16">
        <f>AU61/'2018-19 disagg'!AU61-1</f>
        <v>3.7399645464575304E-2</v>
      </c>
      <c r="BM61" s="16">
        <f>AW61/'2018-19 disagg'!AW61-1</f>
        <v>1.8309456903338628E-2</v>
      </c>
    </row>
    <row r="62" spans="1:65" x14ac:dyDescent="0.2">
      <c r="A62" s="156" t="s">
        <v>169</v>
      </c>
      <c r="B62" s="156" t="s">
        <v>170</v>
      </c>
      <c r="D62" s="56">
        <f>VLOOKUP(A62,'2019-20'!$A$12:$AMX270,32,FALSE)</f>
        <v>516784</v>
      </c>
      <c r="E62" s="56">
        <v>1682.5313096620187</v>
      </c>
      <c r="F62" s="16">
        <f>VLOOKUP(A62,'2019-20'!$A$12:$AMX270,34,FALSE)</f>
        <v>2.4751042034336646E-2</v>
      </c>
      <c r="G62" s="16">
        <f>VLOOKUP(A62,'2019-20'!$A$12:$AMX270,35,FALSE)</f>
        <v>1.9920970234552193E-2</v>
      </c>
      <c r="H62" s="56"/>
      <c r="I62" s="56">
        <v>515744.89478156285</v>
      </c>
      <c r="J62" s="56">
        <v>1679.1482191173159</v>
      </c>
      <c r="K62" s="16">
        <f t="shared" si="6"/>
        <v>2.0147658831934923E-3</v>
      </c>
      <c r="L62" s="58">
        <f t="shared" si="6"/>
        <v>2.0147658831934923E-3</v>
      </c>
      <c r="M62" s="10"/>
      <c r="N62" s="56">
        <v>399813</v>
      </c>
      <c r="O62" s="56">
        <v>39282</v>
      </c>
      <c r="P62" s="56">
        <v>77689</v>
      </c>
      <c r="R62" s="56">
        <f t="shared" si="7"/>
        <v>77689</v>
      </c>
      <c r="S62" s="56">
        <f t="shared" si="8"/>
        <v>0</v>
      </c>
      <c r="U62" s="16">
        <v>5.4022658866834661E-3</v>
      </c>
      <c r="V62" s="16">
        <v>-4.8864983861552247E-2</v>
      </c>
      <c r="W62" s="56">
        <f t="shared" si="9"/>
        <v>3</v>
      </c>
      <c r="X62" s="56">
        <f t="shared" si="10"/>
        <v>3976.6470950550056</v>
      </c>
      <c r="Y62" s="56">
        <f t="shared" si="10"/>
        <v>413.00130195482251</v>
      </c>
      <c r="AA62" s="56">
        <f t="shared" si="22"/>
        <v>0</v>
      </c>
      <c r="AB62" s="56">
        <v>0</v>
      </c>
      <c r="AC62" s="56">
        <f t="shared" si="11"/>
        <v>0</v>
      </c>
      <c r="AE62" s="56">
        <v>0</v>
      </c>
      <c r="AF62" s="56">
        <f t="shared" si="12"/>
        <v>0</v>
      </c>
      <c r="AG62" s="56">
        <f t="shared" si="13"/>
        <v>0</v>
      </c>
      <c r="AI62" s="56">
        <f t="shared" si="14"/>
        <v>0</v>
      </c>
      <c r="AJ62" s="56">
        <f t="shared" si="15"/>
        <v>0</v>
      </c>
      <c r="AK62" s="56">
        <f t="shared" si="16"/>
        <v>0</v>
      </c>
      <c r="AM62" s="56">
        <f t="shared" si="17"/>
        <v>399813</v>
      </c>
      <c r="AN62" s="56">
        <f t="shared" si="18"/>
        <v>39282</v>
      </c>
      <c r="AO62" s="56">
        <f t="shared" si="19"/>
        <v>77689</v>
      </c>
      <c r="AP62" s="56"/>
      <c r="AQ62" s="56">
        <f t="shared" si="20"/>
        <v>516784</v>
      </c>
      <c r="AR62" s="1"/>
      <c r="AS62" s="56">
        <v>1301.7003051756647</v>
      </c>
      <c r="AT62" s="56">
        <v>127.89326857283395</v>
      </c>
      <c r="AU62" s="56">
        <v>252.9377359135201</v>
      </c>
      <c r="AV62" s="56"/>
      <c r="AW62" s="56">
        <v>1682.5313096620187</v>
      </c>
      <c r="AX62" s="1"/>
      <c r="AY62" s="16">
        <v>5.4022658866834661E-3</v>
      </c>
      <c r="AZ62" s="16">
        <v>-4.8864983861552247E-2</v>
      </c>
      <c r="BA62" s="16">
        <v>1.1838294703826469E-2</v>
      </c>
      <c r="BB62" s="16">
        <f t="shared" si="21"/>
        <v>2.0147658831934923E-3</v>
      </c>
      <c r="BC62" s="16"/>
      <c r="BD62" s="1"/>
      <c r="BE62" s="16">
        <f>AM62/'2018-19 disagg'!AM62-1</f>
        <v>2.0782642663650597E-2</v>
      </c>
      <c r="BF62" s="16">
        <f>AN62/'2018-19 disagg'!AN62-1</f>
        <v>3.1186013545440261E-2</v>
      </c>
      <c r="BG62" s="16">
        <f>AO62/'2018-19 disagg'!AO62-1</f>
        <v>4.2315690615147172E-2</v>
      </c>
      <c r="BH62" s="16">
        <f>AQ62/'2018-19 disagg'!AQ62-1</f>
        <v>2.4751042034336646E-2</v>
      </c>
      <c r="BI62" s="1"/>
      <c r="BJ62" s="16">
        <f>AS62/'2018-19 disagg'!AS62-1</f>
        <v>1.5971275557107978E-2</v>
      </c>
      <c r="BK62" s="16">
        <f>AT62/'2018-19 disagg'!AT62-1</f>
        <v>2.6325611086643663E-2</v>
      </c>
      <c r="BL62" s="16">
        <f>AU62/'2018-19 disagg'!AU62-1</f>
        <v>3.7402829425254192E-2</v>
      </c>
      <c r="BM62" s="16">
        <f>AW62/'2018-19 disagg'!AW62-1</f>
        <v>1.9920970234552193E-2</v>
      </c>
    </row>
    <row r="63" spans="1:65" x14ac:dyDescent="0.2">
      <c r="A63" s="156" t="s">
        <v>171</v>
      </c>
      <c r="B63" s="156" t="s">
        <v>172</v>
      </c>
      <c r="D63" s="56">
        <f>VLOOKUP(A63,'2019-20'!$A$12:$AMX271,32,FALSE)</f>
        <v>393625</v>
      </c>
      <c r="E63" s="56">
        <v>1567.8910150635825</v>
      </c>
      <c r="F63" s="16">
        <f>VLOOKUP(A63,'2019-20'!$A$12:$AMX271,34,FALSE)</f>
        <v>2.4462165496348609E-2</v>
      </c>
      <c r="G63" s="16">
        <f>VLOOKUP(A63,'2019-20'!$A$12:$AMX271,35,FALSE)</f>
        <v>1.8107583870678345E-2</v>
      </c>
      <c r="H63" s="56"/>
      <c r="I63" s="56">
        <v>382893.78841001866</v>
      </c>
      <c r="J63" s="56">
        <v>1525.1463463238483</v>
      </c>
      <c r="K63" s="16">
        <f t="shared" si="6"/>
        <v>2.8026601409605334E-2</v>
      </c>
      <c r="L63" s="58">
        <f t="shared" si="6"/>
        <v>2.8026601409605112E-2</v>
      </c>
      <c r="M63" s="10"/>
      <c r="N63" s="56">
        <v>308231</v>
      </c>
      <c r="O63" s="56">
        <v>33826</v>
      </c>
      <c r="P63" s="56">
        <v>51568</v>
      </c>
      <c r="R63" s="56">
        <f t="shared" si="7"/>
        <v>51568</v>
      </c>
      <c r="S63" s="56">
        <f t="shared" si="8"/>
        <v>0</v>
      </c>
      <c r="U63" s="16">
        <v>3.6975927643833284E-2</v>
      </c>
      <c r="V63" s="16">
        <v>-9.296474366905505E-4</v>
      </c>
      <c r="W63" s="56">
        <f t="shared" si="9"/>
        <v>3</v>
      </c>
      <c r="X63" s="56">
        <f t="shared" si="10"/>
        <v>2972.4026545181969</v>
      </c>
      <c r="Y63" s="56">
        <f t="shared" si="10"/>
        <v>338.57475515325632</v>
      </c>
      <c r="AA63" s="56">
        <f t="shared" si="22"/>
        <v>0</v>
      </c>
      <c r="AB63" s="56">
        <v>0</v>
      </c>
      <c r="AC63" s="56">
        <f t="shared" si="11"/>
        <v>0</v>
      </c>
      <c r="AE63" s="56">
        <v>0</v>
      </c>
      <c r="AF63" s="56">
        <f t="shared" si="12"/>
        <v>0</v>
      </c>
      <c r="AG63" s="56">
        <f t="shared" si="13"/>
        <v>0</v>
      </c>
      <c r="AI63" s="56">
        <f t="shared" si="14"/>
        <v>0</v>
      </c>
      <c r="AJ63" s="56">
        <f t="shared" si="15"/>
        <v>0</v>
      </c>
      <c r="AK63" s="56">
        <f t="shared" si="16"/>
        <v>0</v>
      </c>
      <c r="AM63" s="56">
        <f t="shared" si="17"/>
        <v>308231</v>
      </c>
      <c r="AN63" s="56">
        <f t="shared" si="18"/>
        <v>33826</v>
      </c>
      <c r="AO63" s="56">
        <f t="shared" si="19"/>
        <v>51568</v>
      </c>
      <c r="AP63" s="56"/>
      <c r="AQ63" s="56">
        <f t="shared" si="20"/>
        <v>393625</v>
      </c>
      <c r="AR63" s="1"/>
      <c r="AS63" s="56">
        <v>1227.7487849198174</v>
      </c>
      <c r="AT63" s="56">
        <v>134.73605963935407</v>
      </c>
      <c r="AU63" s="56">
        <v>205.40617050441111</v>
      </c>
      <c r="AV63" s="56"/>
      <c r="AW63" s="56">
        <v>1567.8910150635825</v>
      </c>
      <c r="AX63" s="1"/>
      <c r="AY63" s="16">
        <v>3.6975927643833284E-2</v>
      </c>
      <c r="AZ63" s="16">
        <v>-9.296474366905505E-4</v>
      </c>
      <c r="BA63" s="16">
        <v>-4.4027962389381337E-3</v>
      </c>
      <c r="BB63" s="16">
        <f t="shared" si="21"/>
        <v>2.8026601409605334E-2</v>
      </c>
      <c r="BC63" s="16"/>
      <c r="BD63" s="1"/>
      <c r="BE63" s="16">
        <f>AM63/'2018-19 disagg'!AM63-1</f>
        <v>2.0784553989833032E-2</v>
      </c>
      <c r="BF63" s="16">
        <f>AN63/'2018-19 disagg'!AN63-1</f>
        <v>2.9084271372071813E-2</v>
      </c>
      <c r="BG63" s="16">
        <f>AO63/'2018-19 disagg'!AO63-1</f>
        <v>4.3865508795368546E-2</v>
      </c>
      <c r="BH63" s="16">
        <f>AQ63/'2018-19 disagg'!AQ63-1</f>
        <v>2.4462165496348609E-2</v>
      </c>
      <c r="BI63" s="1"/>
      <c r="BJ63" s="16">
        <f>AS63/'2018-19 disagg'!AS63-1</f>
        <v>1.4452784024068688E-2</v>
      </c>
      <c r="BK63" s="16">
        <f>AT63/'2018-19 disagg'!AT63-1</f>
        <v>2.2701019532840983E-2</v>
      </c>
      <c r="BL63" s="16">
        <f>AU63/'2018-19 disagg'!AU63-1</f>
        <v>3.7390571208339107E-2</v>
      </c>
      <c r="BM63" s="16">
        <f>AW63/'2018-19 disagg'!AW63-1</f>
        <v>1.8107583870678345E-2</v>
      </c>
    </row>
    <row r="64" spans="1:65" x14ac:dyDescent="0.2">
      <c r="A64" s="156" t="s">
        <v>173</v>
      </c>
      <c r="B64" s="156" t="s">
        <v>174</v>
      </c>
      <c r="D64" s="56">
        <f>VLOOKUP(A64,'2019-20'!$A$12:$AMX272,32,FALSE)</f>
        <v>253019</v>
      </c>
      <c r="E64" s="56">
        <v>1750.9811931472414</v>
      </c>
      <c r="F64" s="16">
        <f>VLOOKUP(A64,'2019-20'!$A$12:$AMX272,34,FALSE)</f>
        <v>1.9337762218041288E-2</v>
      </c>
      <c r="G64" s="16">
        <f>VLOOKUP(A64,'2019-20'!$A$12:$AMX272,35,FALSE)</f>
        <v>1.751868780768806E-2</v>
      </c>
      <c r="H64" s="56"/>
      <c r="I64" s="56">
        <v>238227.27509671106</v>
      </c>
      <c r="J64" s="56">
        <v>1648.6172121028667</v>
      </c>
      <c r="K64" s="16">
        <f t="shared" si="6"/>
        <v>6.2090811798456214E-2</v>
      </c>
      <c r="L64" s="58">
        <f t="shared" si="6"/>
        <v>6.2090811798456214E-2</v>
      </c>
      <c r="M64" s="10"/>
      <c r="N64" s="56">
        <v>193187</v>
      </c>
      <c r="O64" s="56">
        <v>20837</v>
      </c>
      <c r="P64" s="56">
        <v>38995</v>
      </c>
      <c r="R64" s="56">
        <f t="shared" si="7"/>
        <v>38995</v>
      </c>
      <c r="S64" s="56">
        <f t="shared" si="8"/>
        <v>0</v>
      </c>
      <c r="U64" s="16">
        <v>5.4779861244977468E-2</v>
      </c>
      <c r="V64" s="16">
        <v>9.1766183060328244E-2</v>
      </c>
      <c r="W64" s="56">
        <f t="shared" si="9"/>
        <v>2</v>
      </c>
      <c r="X64" s="56">
        <f t="shared" si="10"/>
        <v>1831.5385712045882</v>
      </c>
      <c r="Y64" s="56">
        <f t="shared" si="10"/>
        <v>190.85588400981459</v>
      </c>
      <c r="AA64" s="56">
        <f t="shared" si="22"/>
        <v>0</v>
      </c>
      <c r="AB64" s="56">
        <v>0</v>
      </c>
      <c r="AC64" s="56">
        <f t="shared" si="11"/>
        <v>0</v>
      </c>
      <c r="AE64" s="56">
        <v>0</v>
      </c>
      <c r="AF64" s="56">
        <f t="shared" si="12"/>
        <v>0</v>
      </c>
      <c r="AG64" s="56">
        <f t="shared" si="13"/>
        <v>0</v>
      </c>
      <c r="AI64" s="56">
        <f t="shared" si="14"/>
        <v>0</v>
      </c>
      <c r="AJ64" s="56">
        <f t="shared" si="15"/>
        <v>0</v>
      </c>
      <c r="AK64" s="56">
        <f t="shared" si="16"/>
        <v>0</v>
      </c>
      <c r="AM64" s="56">
        <f t="shared" si="17"/>
        <v>193187</v>
      </c>
      <c r="AN64" s="56">
        <f t="shared" si="18"/>
        <v>20837</v>
      </c>
      <c r="AO64" s="56">
        <f t="shared" si="19"/>
        <v>38995</v>
      </c>
      <c r="AP64" s="56"/>
      <c r="AQ64" s="56">
        <f t="shared" si="20"/>
        <v>253019</v>
      </c>
      <c r="AR64" s="1"/>
      <c r="AS64" s="56">
        <v>1336.9225384676097</v>
      </c>
      <c r="AT64" s="56">
        <v>144.19942819159456</v>
      </c>
      <c r="AU64" s="56">
        <v>269.85922648803717</v>
      </c>
      <c r="AV64" s="56"/>
      <c r="AW64" s="56">
        <v>1750.9811931472414</v>
      </c>
      <c r="AX64" s="1"/>
      <c r="AY64" s="16">
        <v>5.4779861244977468E-2</v>
      </c>
      <c r="AZ64" s="16">
        <v>9.1766183060328244E-2</v>
      </c>
      <c r="BA64" s="16">
        <v>8.3560760963357072E-2</v>
      </c>
      <c r="BB64" s="16">
        <f t="shared" si="21"/>
        <v>6.2090811798456214E-2</v>
      </c>
      <c r="BC64" s="16"/>
      <c r="BD64" s="1"/>
      <c r="BE64" s="16">
        <f>AM64/'2018-19 disagg'!AM64-1</f>
        <v>1.6420611787484329E-2</v>
      </c>
      <c r="BF64" s="16">
        <f>AN64/'2018-19 disagg'!AN64-1</f>
        <v>9.98497406814991E-3</v>
      </c>
      <c r="BG64" s="16">
        <f>AO64/'2018-19 disagg'!AO64-1</f>
        <v>3.9256969244709783E-2</v>
      </c>
      <c r="BH64" s="16">
        <f>AQ64/'2018-19 disagg'!AQ64-1</f>
        <v>1.9337762218041288E-2</v>
      </c>
      <c r="BI64" s="1"/>
      <c r="BJ64" s="16">
        <f>AS64/'2018-19 disagg'!AS64-1</f>
        <v>1.4606743221450946E-2</v>
      </c>
      <c r="BK64" s="16">
        <f>AT64/'2018-19 disagg'!AT64-1</f>
        <v>8.1825903154171264E-3</v>
      </c>
      <c r="BL64" s="16">
        <f>AU64/'2018-19 disagg'!AU64-1</f>
        <v>3.7402347716296358E-2</v>
      </c>
      <c r="BM64" s="16">
        <f>AW64/'2018-19 disagg'!AW64-1</f>
        <v>1.751868780768806E-2</v>
      </c>
    </row>
    <row r="65" spans="1:65" x14ac:dyDescent="0.2">
      <c r="A65" s="156" t="s">
        <v>175</v>
      </c>
      <c r="B65" s="156" t="s">
        <v>176</v>
      </c>
      <c r="D65" s="56">
        <f>VLOOKUP(A65,'2019-20'!$A$12:$AMX273,32,FALSE)</f>
        <v>260372</v>
      </c>
      <c r="E65" s="56">
        <v>1588.9456116265919</v>
      </c>
      <c r="F65" s="16">
        <f>VLOOKUP(A65,'2019-20'!$A$12:$AMX273,34,FALSE)</f>
        <v>2.3828997451948775E-2</v>
      </c>
      <c r="G65" s="16">
        <f>VLOOKUP(A65,'2019-20'!$A$12:$AMX273,35,FALSE)</f>
        <v>2.064767099504361E-2</v>
      </c>
      <c r="H65" s="56"/>
      <c r="I65" s="56">
        <v>254534.60582125114</v>
      </c>
      <c r="J65" s="56">
        <v>1553.3223423670033</v>
      </c>
      <c r="K65" s="16">
        <f t="shared" si="6"/>
        <v>2.293359741758727E-2</v>
      </c>
      <c r="L65" s="58">
        <f t="shared" si="6"/>
        <v>2.293359741758727E-2</v>
      </c>
      <c r="M65" s="10"/>
      <c r="N65" s="56">
        <v>201609</v>
      </c>
      <c r="O65" s="56">
        <v>21093</v>
      </c>
      <c r="P65" s="56">
        <v>37670</v>
      </c>
      <c r="R65" s="56">
        <f t="shared" si="7"/>
        <v>37670</v>
      </c>
      <c r="S65" s="56">
        <f t="shared" si="8"/>
        <v>0</v>
      </c>
      <c r="U65" s="16">
        <v>3.1600637238302198E-2</v>
      </c>
      <c r="V65" s="16">
        <v>3.0965250828182134E-2</v>
      </c>
      <c r="W65" s="56">
        <f t="shared" si="9"/>
        <v>2</v>
      </c>
      <c r="X65" s="56">
        <f t="shared" si="10"/>
        <v>1954.3318676084516</v>
      </c>
      <c r="Y65" s="56">
        <f t="shared" si="10"/>
        <v>204.59467458341427</v>
      </c>
      <c r="AA65" s="56">
        <f t="shared" si="22"/>
        <v>0</v>
      </c>
      <c r="AB65" s="56">
        <v>0</v>
      </c>
      <c r="AC65" s="56">
        <f t="shared" si="11"/>
        <v>0</v>
      </c>
      <c r="AE65" s="56">
        <v>0</v>
      </c>
      <c r="AF65" s="56">
        <f t="shared" si="12"/>
        <v>0</v>
      </c>
      <c r="AG65" s="56">
        <f t="shared" si="13"/>
        <v>0</v>
      </c>
      <c r="AI65" s="56">
        <f t="shared" si="14"/>
        <v>0</v>
      </c>
      <c r="AJ65" s="56">
        <f t="shared" si="15"/>
        <v>0</v>
      </c>
      <c r="AK65" s="56">
        <f t="shared" si="16"/>
        <v>0</v>
      </c>
      <c r="AM65" s="56">
        <f t="shared" si="17"/>
        <v>201609</v>
      </c>
      <c r="AN65" s="56">
        <f t="shared" si="18"/>
        <v>21093</v>
      </c>
      <c r="AO65" s="56">
        <f t="shared" si="19"/>
        <v>37670</v>
      </c>
      <c r="AP65" s="56"/>
      <c r="AQ65" s="56">
        <f t="shared" si="20"/>
        <v>260372</v>
      </c>
      <c r="AR65" s="1"/>
      <c r="AS65" s="56">
        <v>1230.3386532131933</v>
      </c>
      <c r="AT65" s="56">
        <v>128.72209679243431</v>
      </c>
      <c r="AU65" s="56">
        <v>229.8848616209643</v>
      </c>
      <c r="AV65" s="56"/>
      <c r="AW65" s="56">
        <v>1588.9456116265919</v>
      </c>
      <c r="AX65" s="1"/>
      <c r="AY65" s="16">
        <v>3.1600637238302198E-2</v>
      </c>
      <c r="AZ65" s="16">
        <v>3.0965250828182134E-2</v>
      </c>
      <c r="BA65" s="16">
        <v>-2.5152756570727797E-2</v>
      </c>
      <c r="BB65" s="16">
        <f t="shared" si="21"/>
        <v>2.293359741758727E-2</v>
      </c>
      <c r="BC65" s="16"/>
      <c r="BD65" s="1"/>
      <c r="BE65" s="16">
        <f>AM65/'2018-19 disagg'!AM65-1</f>
        <v>2.0784389176928153E-2</v>
      </c>
      <c r="BF65" s="16">
        <f>AN65/'2018-19 disagg'!AN65-1</f>
        <v>2.3484885244310805E-2</v>
      </c>
      <c r="BG65" s="16">
        <f>AO65/'2018-19 disagg'!AO65-1</f>
        <v>4.063648167076428E-2</v>
      </c>
      <c r="BH65" s="16">
        <f>AQ65/'2018-19 disagg'!AQ65-1</f>
        <v>2.3828997451948775E-2</v>
      </c>
      <c r="BI65" s="1"/>
      <c r="BJ65" s="16">
        <f>AS65/'2018-19 disagg'!AS65-1</f>
        <v>1.7612523179611816E-2</v>
      </c>
      <c r="BK65" s="16">
        <f>AT65/'2018-19 disagg'!AT65-1</f>
        <v>2.0304628041424966E-2</v>
      </c>
      <c r="BL65" s="16">
        <f>AU65/'2018-19 disagg'!AU65-1</f>
        <v>3.7402929603574275E-2</v>
      </c>
      <c r="BM65" s="16">
        <f>AW65/'2018-19 disagg'!AW65-1</f>
        <v>2.064767099504361E-2</v>
      </c>
    </row>
    <row r="66" spans="1:65" x14ac:dyDescent="0.2">
      <c r="A66" s="156" t="s">
        <v>177</v>
      </c>
      <c r="B66" s="156" t="s">
        <v>178</v>
      </c>
      <c r="D66" s="56">
        <f>VLOOKUP(A66,'2019-20'!$A$12:$AMX274,32,FALSE)</f>
        <v>532487</v>
      </c>
      <c r="E66" s="56">
        <v>1808.9277013362387</v>
      </c>
      <c r="F66" s="16">
        <f>VLOOKUP(A66,'2019-20'!$A$12:$AMX274,34,FALSE)</f>
        <v>2.4102085757421232E-2</v>
      </c>
      <c r="G66" s="16">
        <f>VLOOKUP(A66,'2019-20'!$A$12:$AMX274,35,FALSE)</f>
        <v>2.1708715750671237E-2</v>
      </c>
      <c r="H66" s="56"/>
      <c r="I66" s="56">
        <v>522228.39362769068</v>
      </c>
      <c r="J66" s="56">
        <v>1774.0778791922712</v>
      </c>
      <c r="K66" s="16">
        <f t="shared" si="6"/>
        <v>1.9643907718320808E-2</v>
      </c>
      <c r="L66" s="58">
        <f t="shared" si="6"/>
        <v>1.9643907718320808E-2</v>
      </c>
      <c r="M66" s="10"/>
      <c r="N66" s="56">
        <v>405613</v>
      </c>
      <c r="O66" s="56">
        <v>43330</v>
      </c>
      <c r="P66" s="56">
        <v>83544</v>
      </c>
      <c r="R66" s="56">
        <f t="shared" si="7"/>
        <v>83544</v>
      </c>
      <c r="S66" s="56">
        <f t="shared" si="8"/>
        <v>0</v>
      </c>
      <c r="U66" s="16">
        <v>2.9632304146907984E-2</v>
      </c>
      <c r="V66" s="16">
        <v>-4.9697318370506283E-3</v>
      </c>
      <c r="W66" s="56">
        <f t="shared" si="9"/>
        <v>3</v>
      </c>
      <c r="X66" s="56">
        <f t="shared" si="10"/>
        <v>3939.3966017418884</v>
      </c>
      <c r="Y66" s="56">
        <f t="shared" si="10"/>
        <v>435.46414000045411</v>
      </c>
      <c r="AA66" s="56">
        <f t="shared" si="22"/>
        <v>0</v>
      </c>
      <c r="AB66" s="56">
        <v>0</v>
      </c>
      <c r="AC66" s="56">
        <f t="shared" si="11"/>
        <v>0</v>
      </c>
      <c r="AE66" s="56">
        <v>0</v>
      </c>
      <c r="AF66" s="56">
        <f t="shared" si="12"/>
        <v>0</v>
      </c>
      <c r="AG66" s="56">
        <f t="shared" si="13"/>
        <v>0</v>
      </c>
      <c r="AI66" s="56">
        <f t="shared" si="14"/>
        <v>0</v>
      </c>
      <c r="AJ66" s="56">
        <f t="shared" si="15"/>
        <v>0</v>
      </c>
      <c r="AK66" s="56">
        <f t="shared" si="16"/>
        <v>0</v>
      </c>
      <c r="AM66" s="56">
        <f t="shared" si="17"/>
        <v>405613</v>
      </c>
      <c r="AN66" s="56">
        <f t="shared" si="18"/>
        <v>43330</v>
      </c>
      <c r="AO66" s="56">
        <f t="shared" si="19"/>
        <v>83544</v>
      </c>
      <c r="AP66" s="56"/>
      <c r="AQ66" s="56">
        <f t="shared" si="20"/>
        <v>532487</v>
      </c>
      <c r="AR66" s="1"/>
      <c r="AS66" s="56">
        <v>1377.9201965908946</v>
      </c>
      <c r="AT66" s="56">
        <v>147.19765421296523</v>
      </c>
      <c r="AU66" s="56">
        <v>283.80985053237868</v>
      </c>
      <c r="AV66" s="56"/>
      <c r="AW66" s="56">
        <v>1808.9277013362387</v>
      </c>
      <c r="AX66" s="1"/>
      <c r="AY66" s="16">
        <v>2.9632304146907984E-2</v>
      </c>
      <c r="AZ66" s="16">
        <v>-4.9697318370506283E-3</v>
      </c>
      <c r="BA66" s="16">
        <v>-1.4140744095569979E-2</v>
      </c>
      <c r="BB66" s="16">
        <f t="shared" si="21"/>
        <v>1.9643907718320808E-2</v>
      </c>
      <c r="BC66" s="16"/>
      <c r="BD66" s="1"/>
      <c r="BE66" s="16">
        <f>AM66/'2018-19 disagg'!AM66-1</f>
        <v>2.0782423777226944E-2</v>
      </c>
      <c r="BF66" s="16">
        <f>AN66/'2018-19 disagg'!AN66-1</f>
        <v>2.5416508898144619E-2</v>
      </c>
      <c r="BG66" s="16">
        <f>AO66/'2018-19 disagg'!AO66-1</f>
        <v>3.9828736433336731E-2</v>
      </c>
      <c r="BH66" s="16">
        <f>AQ66/'2018-19 disagg'!AQ66-1</f>
        <v>2.4102085757421232E-2</v>
      </c>
      <c r="BI66" s="1"/>
      <c r="BJ66" s="16">
        <f>AS66/'2018-19 disagg'!AS66-1</f>
        <v>1.8396811961311821E-2</v>
      </c>
      <c r="BK66" s="16">
        <f>AT66/'2018-19 disagg'!AT66-1</f>
        <v>2.3020067028769908E-2</v>
      </c>
      <c r="BL66" s="16">
        <f>AU66/'2018-19 disagg'!AU66-1</f>
        <v>3.7398612576987178E-2</v>
      </c>
      <c r="BM66" s="16">
        <f>AW66/'2018-19 disagg'!AW66-1</f>
        <v>2.1708715750671237E-2</v>
      </c>
    </row>
    <row r="67" spans="1:65" x14ac:dyDescent="0.2">
      <c r="A67" s="156" t="s">
        <v>179</v>
      </c>
      <c r="B67" s="156" t="s">
        <v>180</v>
      </c>
      <c r="D67" s="56">
        <f>VLOOKUP(A67,'2019-20'!$A$12:$AMX275,32,FALSE)</f>
        <v>358304</v>
      </c>
      <c r="E67" s="56">
        <v>1641.5016576466803</v>
      </c>
      <c r="F67" s="16">
        <f>VLOOKUP(A67,'2019-20'!$A$12:$AMX275,34,FALSE)</f>
        <v>2.6409040778033965E-2</v>
      </c>
      <c r="G67" s="16">
        <f>VLOOKUP(A67,'2019-20'!$A$12:$AMX275,35,FALSE)</f>
        <v>1.871686702531572E-2</v>
      </c>
      <c r="H67" s="56"/>
      <c r="I67" s="56">
        <v>347778.24176190584</v>
      </c>
      <c r="J67" s="56">
        <v>1593.2798973654114</v>
      </c>
      <c r="K67" s="16">
        <f t="shared" si="6"/>
        <v>3.0265718133396735E-2</v>
      </c>
      <c r="L67" s="58">
        <f t="shared" si="6"/>
        <v>3.0265718133396735E-2</v>
      </c>
      <c r="M67" s="10"/>
      <c r="N67" s="56">
        <v>266519</v>
      </c>
      <c r="O67" s="56">
        <v>28129</v>
      </c>
      <c r="P67" s="56">
        <v>63656</v>
      </c>
      <c r="R67" s="56">
        <f t="shared" si="7"/>
        <v>63656</v>
      </c>
      <c r="S67" s="56">
        <f t="shared" si="8"/>
        <v>0</v>
      </c>
      <c r="U67" s="16">
        <v>1.6666017757247742E-2</v>
      </c>
      <c r="V67" s="16">
        <v>-4.8280121850478364E-2</v>
      </c>
      <c r="W67" s="56">
        <f t="shared" si="9"/>
        <v>3</v>
      </c>
      <c r="X67" s="56">
        <f t="shared" si="10"/>
        <v>2621.5000338846526</v>
      </c>
      <c r="Y67" s="56">
        <f t="shared" si="10"/>
        <v>295.55965621620379</v>
      </c>
      <c r="AA67" s="56">
        <f t="shared" si="22"/>
        <v>0</v>
      </c>
      <c r="AB67" s="56">
        <v>0</v>
      </c>
      <c r="AC67" s="56">
        <f t="shared" si="11"/>
        <v>0</v>
      </c>
      <c r="AE67" s="56">
        <v>0</v>
      </c>
      <c r="AF67" s="56">
        <f t="shared" si="12"/>
        <v>0</v>
      </c>
      <c r="AG67" s="56">
        <f t="shared" si="13"/>
        <v>0</v>
      </c>
      <c r="AI67" s="56">
        <f t="shared" si="14"/>
        <v>0</v>
      </c>
      <c r="AJ67" s="56">
        <f t="shared" si="15"/>
        <v>0</v>
      </c>
      <c r="AK67" s="56">
        <f t="shared" si="16"/>
        <v>0</v>
      </c>
      <c r="AM67" s="56">
        <f t="shared" si="17"/>
        <v>266519</v>
      </c>
      <c r="AN67" s="56">
        <f t="shared" si="18"/>
        <v>28129</v>
      </c>
      <c r="AO67" s="56">
        <f t="shared" si="19"/>
        <v>63656</v>
      </c>
      <c r="AP67" s="56"/>
      <c r="AQ67" s="56">
        <f t="shared" si="20"/>
        <v>358304</v>
      </c>
      <c r="AR67" s="1"/>
      <c r="AS67" s="56">
        <v>1221.0061296952742</v>
      </c>
      <c r="AT67" s="56">
        <v>128.8676658031824</v>
      </c>
      <c r="AU67" s="56">
        <v>291.62786214822353</v>
      </c>
      <c r="AV67" s="56"/>
      <c r="AW67" s="56">
        <v>1641.5016576466803</v>
      </c>
      <c r="AX67" s="1"/>
      <c r="AY67" s="16">
        <v>1.6666017757247742E-2</v>
      </c>
      <c r="AZ67" s="16">
        <v>-4.8280121850478364E-2</v>
      </c>
      <c r="BA67" s="16">
        <v>0.13524915035539786</v>
      </c>
      <c r="BB67" s="16">
        <f t="shared" si="21"/>
        <v>3.0265718133396735E-2</v>
      </c>
      <c r="BC67" s="16"/>
      <c r="BD67" s="1"/>
      <c r="BE67" s="16">
        <f>AM67/'2018-19 disagg'!AM67-1</f>
        <v>2.1219935550863767E-2</v>
      </c>
      <c r="BF67" s="16">
        <f>AN67/'2018-19 disagg'!AN67-1</f>
        <v>3.4040363195235734E-2</v>
      </c>
      <c r="BG67" s="16">
        <f>AO67/'2018-19 disagg'!AO67-1</f>
        <v>4.5237352424426502E-2</v>
      </c>
      <c r="BH67" s="16">
        <f>AQ67/'2018-19 disagg'!AQ67-1</f>
        <v>2.6409040778033965E-2</v>
      </c>
      <c r="BI67" s="1"/>
      <c r="BJ67" s="16">
        <f>AS67/'2018-19 disagg'!AS67-1</f>
        <v>1.3566650289421833E-2</v>
      </c>
      <c r="BK67" s="16">
        <f>AT67/'2018-19 disagg'!AT67-1</f>
        <v>2.6290998346507832E-2</v>
      </c>
      <c r="BL67" s="16">
        <f>AU67/'2018-19 disagg'!AU67-1</f>
        <v>3.7404074454090663E-2</v>
      </c>
      <c r="BM67" s="16">
        <f>AW67/'2018-19 disagg'!AW67-1</f>
        <v>1.871686702531572E-2</v>
      </c>
    </row>
    <row r="68" spans="1:65" x14ac:dyDescent="0.2">
      <c r="A68" s="156" t="s">
        <v>181</v>
      </c>
      <c r="B68" s="156" t="s">
        <v>182</v>
      </c>
      <c r="D68" s="56">
        <f>VLOOKUP(A68,'2019-20'!$A$12:$AMX276,32,FALSE)</f>
        <v>525219</v>
      </c>
      <c r="E68" s="56">
        <v>1872.4020121260151</v>
      </c>
      <c r="F68" s="16">
        <f>VLOOKUP(A68,'2019-20'!$A$12:$AMX276,34,FALSE)</f>
        <v>2.597666436813495E-2</v>
      </c>
      <c r="G68" s="16">
        <f>VLOOKUP(A68,'2019-20'!$A$12:$AMX276,35,FALSE)</f>
        <v>1.9366709725709086E-2</v>
      </c>
      <c r="H68" s="56"/>
      <c r="I68" s="56">
        <v>520592.35348638514</v>
      </c>
      <c r="J68" s="56">
        <v>1855.9080500997209</v>
      </c>
      <c r="K68" s="16">
        <f t="shared" si="6"/>
        <v>8.8872732813503053E-3</v>
      </c>
      <c r="L68" s="58">
        <f t="shared" si="6"/>
        <v>8.8872732813503053E-3</v>
      </c>
      <c r="M68" s="10"/>
      <c r="N68" s="56">
        <v>387146</v>
      </c>
      <c r="O68" s="56">
        <v>40525</v>
      </c>
      <c r="P68" s="56">
        <v>97548</v>
      </c>
      <c r="R68" s="56">
        <f t="shared" si="7"/>
        <v>97548</v>
      </c>
      <c r="S68" s="56">
        <f t="shared" si="8"/>
        <v>0</v>
      </c>
      <c r="U68" s="16">
        <v>-1.689903295405526E-2</v>
      </c>
      <c r="V68" s="16">
        <v>-4.8613846329382482E-2</v>
      </c>
      <c r="W68" s="56">
        <f t="shared" si="9"/>
        <v>4</v>
      </c>
      <c r="X68" s="56">
        <f t="shared" si="10"/>
        <v>3938.0085360236139</v>
      </c>
      <c r="Y68" s="56">
        <f t="shared" si="10"/>
        <v>425.95742899607399</v>
      </c>
      <c r="AA68" s="56">
        <f t="shared" si="22"/>
        <v>0</v>
      </c>
      <c r="AB68" s="56">
        <v>0</v>
      </c>
      <c r="AC68" s="56">
        <f t="shared" si="11"/>
        <v>0</v>
      </c>
      <c r="AE68" s="56">
        <v>0</v>
      </c>
      <c r="AF68" s="56">
        <f t="shared" si="12"/>
        <v>0</v>
      </c>
      <c r="AG68" s="56">
        <f t="shared" si="13"/>
        <v>0</v>
      </c>
      <c r="AI68" s="56">
        <f t="shared" si="14"/>
        <v>0</v>
      </c>
      <c r="AJ68" s="56">
        <f t="shared" si="15"/>
        <v>0</v>
      </c>
      <c r="AK68" s="56">
        <f t="shared" si="16"/>
        <v>0</v>
      </c>
      <c r="AM68" s="56">
        <f t="shared" si="17"/>
        <v>387146</v>
      </c>
      <c r="AN68" s="56">
        <f t="shared" si="18"/>
        <v>40525</v>
      </c>
      <c r="AO68" s="56">
        <f t="shared" si="19"/>
        <v>97548</v>
      </c>
      <c r="AP68" s="56"/>
      <c r="AQ68" s="56">
        <f t="shared" si="20"/>
        <v>525219</v>
      </c>
      <c r="AR68" s="1"/>
      <c r="AS68" s="56">
        <v>1380.1727458194357</v>
      </c>
      <c r="AT68" s="56">
        <v>144.47133774940883</v>
      </c>
      <c r="AU68" s="56">
        <v>347.75792855717049</v>
      </c>
      <c r="AV68" s="56"/>
      <c r="AW68" s="56">
        <v>1872.4020121260151</v>
      </c>
      <c r="AX68" s="1"/>
      <c r="AY68" s="16">
        <v>-1.689903295405526E-2</v>
      </c>
      <c r="AZ68" s="16">
        <v>-4.8613846329382482E-2</v>
      </c>
      <c r="BA68" s="16">
        <v>0.15858569949142454</v>
      </c>
      <c r="BB68" s="16">
        <f t="shared" si="21"/>
        <v>8.8872732813503053E-3</v>
      </c>
      <c r="BC68" s="16"/>
      <c r="BD68" s="1"/>
      <c r="BE68" s="16">
        <f>AM68/'2018-19 disagg'!AM68-1</f>
        <v>2.0782357408032359E-2</v>
      </c>
      <c r="BF68" s="16">
        <f>AN68/'2018-19 disagg'!AN68-1</f>
        <v>3.2957789559543205E-2</v>
      </c>
      <c r="BG68" s="16">
        <f>AO68/'2018-19 disagg'!AO68-1</f>
        <v>4.4131656408884057E-2</v>
      </c>
      <c r="BH68" s="16">
        <f>AQ68/'2018-19 disagg'!AQ68-1</f>
        <v>2.597666436813495E-2</v>
      </c>
      <c r="BI68" s="1"/>
      <c r="BJ68" s="16">
        <f>AS68/'2018-19 disagg'!AS68-1</f>
        <v>1.4205867594386357E-2</v>
      </c>
      <c r="BK68" s="16">
        <f>AT68/'2018-19 disagg'!AT68-1</f>
        <v>2.6302858337755586E-2</v>
      </c>
      <c r="BL68" s="16">
        <f>AU68/'2018-19 disagg'!AU68-1</f>
        <v>3.7404736461017496E-2</v>
      </c>
      <c r="BM68" s="16">
        <f>AW68/'2018-19 disagg'!AW68-1</f>
        <v>1.9366709725709086E-2</v>
      </c>
    </row>
    <row r="69" spans="1:65" x14ac:dyDescent="0.2">
      <c r="A69" s="156" t="s">
        <v>183</v>
      </c>
      <c r="B69" s="156" t="s">
        <v>184</v>
      </c>
      <c r="D69" s="56">
        <f>VLOOKUP(A69,'2019-20'!$A$12:$AMX277,32,FALSE)</f>
        <v>575681</v>
      </c>
      <c r="E69" s="56">
        <v>1535.0578994696691</v>
      </c>
      <c r="F69" s="16">
        <f>VLOOKUP(A69,'2019-20'!$A$12:$AMX277,34,FALSE)</f>
        <v>2.5023725711192712E-2</v>
      </c>
      <c r="G69" s="16">
        <f>VLOOKUP(A69,'2019-20'!$A$12:$AMX277,35,FALSE)</f>
        <v>2.0420337268464595E-2</v>
      </c>
      <c r="H69" s="56"/>
      <c r="I69" s="56">
        <v>559517.44244398887</v>
      </c>
      <c r="J69" s="56">
        <v>1491.9576465346452</v>
      </c>
      <c r="K69" s="16">
        <f t="shared" si="6"/>
        <v>2.888838904719071E-2</v>
      </c>
      <c r="L69" s="58">
        <f t="shared" si="6"/>
        <v>2.888838904719071E-2</v>
      </c>
      <c r="M69" s="10"/>
      <c r="N69" s="56">
        <v>434599</v>
      </c>
      <c r="O69" s="56">
        <v>47474</v>
      </c>
      <c r="P69" s="56">
        <v>93608</v>
      </c>
      <c r="R69" s="56">
        <f t="shared" si="7"/>
        <v>93608</v>
      </c>
      <c r="S69" s="56">
        <f t="shared" si="8"/>
        <v>0</v>
      </c>
      <c r="U69" s="16">
        <v>1.1209239219179601E-2</v>
      </c>
      <c r="V69" s="16">
        <v>-4.8647052972498384E-2</v>
      </c>
      <c r="W69" s="56">
        <f t="shared" si="9"/>
        <v>3</v>
      </c>
      <c r="X69" s="56">
        <f t="shared" si="10"/>
        <v>4297.8147661663188</v>
      </c>
      <c r="Y69" s="56">
        <f t="shared" si="10"/>
        <v>499.01564028715438</v>
      </c>
      <c r="AA69" s="56">
        <f t="shared" si="22"/>
        <v>0</v>
      </c>
      <c r="AB69" s="56">
        <v>0</v>
      </c>
      <c r="AC69" s="56">
        <f t="shared" si="11"/>
        <v>0</v>
      </c>
      <c r="AE69" s="56">
        <v>0</v>
      </c>
      <c r="AF69" s="56">
        <f t="shared" si="12"/>
        <v>0</v>
      </c>
      <c r="AG69" s="56">
        <f t="shared" si="13"/>
        <v>0</v>
      </c>
      <c r="AI69" s="56">
        <f t="shared" si="14"/>
        <v>0</v>
      </c>
      <c r="AJ69" s="56">
        <f t="shared" si="15"/>
        <v>0</v>
      </c>
      <c r="AK69" s="56">
        <f t="shared" si="16"/>
        <v>0</v>
      </c>
      <c r="AM69" s="56">
        <f t="shared" si="17"/>
        <v>434599</v>
      </c>
      <c r="AN69" s="56">
        <f t="shared" si="18"/>
        <v>47474</v>
      </c>
      <c r="AO69" s="56">
        <f t="shared" si="19"/>
        <v>93608</v>
      </c>
      <c r="AP69" s="56"/>
      <c r="AQ69" s="56">
        <f t="shared" si="20"/>
        <v>575681</v>
      </c>
      <c r="AR69" s="1"/>
      <c r="AS69" s="56">
        <v>1158.8616404773109</v>
      </c>
      <c r="AT69" s="56">
        <v>126.58979316569953</v>
      </c>
      <c r="AU69" s="56">
        <v>249.60646582665885</v>
      </c>
      <c r="AV69" s="56"/>
      <c r="AW69" s="56">
        <v>1535.0578994696691</v>
      </c>
      <c r="AX69" s="1"/>
      <c r="AY69" s="16">
        <v>1.1209239219179601E-2</v>
      </c>
      <c r="AZ69" s="16">
        <v>-4.8647052972498384E-2</v>
      </c>
      <c r="BA69" s="16">
        <v>0.17252710474487354</v>
      </c>
      <c r="BB69" s="16">
        <f t="shared" si="21"/>
        <v>2.888838904719071E-2</v>
      </c>
      <c r="BC69" s="16"/>
      <c r="BD69" s="1"/>
      <c r="BE69" s="16">
        <f>AM69/'2018-19 disagg'!AM69-1</f>
        <v>2.0784497944803304E-2</v>
      </c>
      <c r="BF69" s="16">
        <f>AN69/'2018-19 disagg'!AN69-1</f>
        <v>3.094529740059504E-2</v>
      </c>
      <c r="BG69" s="16">
        <f>AO69/'2018-19 disagg'!AO69-1</f>
        <v>4.2080420358908244E-2</v>
      </c>
      <c r="BH69" s="16">
        <f>AQ69/'2018-19 disagg'!AQ69-1</f>
        <v>2.5023725711192712E-2</v>
      </c>
      <c r="BI69" s="1"/>
      <c r="BJ69" s="16">
        <f>AS69/'2018-19 disagg'!AS69-1</f>
        <v>1.6200147902471596E-2</v>
      </c>
      <c r="BK69" s="16">
        <f>AT69/'2018-19 disagg'!AT69-1</f>
        <v>2.6315315139602946E-2</v>
      </c>
      <c r="BL69" s="16">
        <f>AU69/'2018-19 disagg'!AU69-1</f>
        <v>3.7400430185856148E-2</v>
      </c>
      <c r="BM69" s="16">
        <f>AW69/'2018-19 disagg'!AW69-1</f>
        <v>2.0420337268464595E-2</v>
      </c>
    </row>
    <row r="70" spans="1:65" x14ac:dyDescent="0.2">
      <c r="A70" s="156" t="s">
        <v>185</v>
      </c>
      <c r="B70" s="156" t="s">
        <v>186</v>
      </c>
      <c r="D70" s="56">
        <f>VLOOKUP(A70,'2019-20'!$A$12:$AMX278,32,FALSE)</f>
        <v>307875</v>
      </c>
      <c r="E70" s="56">
        <v>1812.8238047239995</v>
      </c>
      <c r="F70" s="16">
        <f>VLOOKUP(A70,'2019-20'!$A$12:$AMX278,34,FALSE)</f>
        <v>2.2398963902633406E-2</v>
      </c>
      <c r="G70" s="16">
        <f>VLOOKUP(A70,'2019-20'!$A$12:$AMX278,35,FALSE)</f>
        <v>2.0974541452062567E-2</v>
      </c>
      <c r="H70" s="56"/>
      <c r="I70" s="56">
        <v>298591.71520667081</v>
      </c>
      <c r="J70" s="56">
        <v>1758.1621411937374</v>
      </c>
      <c r="K70" s="16">
        <f t="shared" si="6"/>
        <v>3.1090228966680344E-2</v>
      </c>
      <c r="L70" s="58">
        <f t="shared" si="6"/>
        <v>3.1090228966680344E-2</v>
      </c>
      <c r="M70" s="10"/>
      <c r="N70" s="56">
        <v>234914</v>
      </c>
      <c r="O70" s="56">
        <v>27879</v>
      </c>
      <c r="P70" s="56">
        <v>45082</v>
      </c>
      <c r="R70" s="56">
        <f t="shared" si="7"/>
        <v>45082</v>
      </c>
      <c r="S70" s="56">
        <f t="shared" si="8"/>
        <v>0</v>
      </c>
      <c r="U70" s="16">
        <v>3.214508350189349E-2</v>
      </c>
      <c r="V70" s="16">
        <v>0.15576112157192212</v>
      </c>
      <c r="W70" s="56">
        <f t="shared" si="9"/>
        <v>2</v>
      </c>
      <c r="X70" s="56">
        <f t="shared" si="10"/>
        <v>2275.9784816585725</v>
      </c>
      <c r="Y70" s="56">
        <f t="shared" si="10"/>
        <v>241.21766582771411</v>
      </c>
      <c r="AA70" s="56">
        <f t="shared" si="22"/>
        <v>0</v>
      </c>
      <c r="AB70" s="56">
        <v>0</v>
      </c>
      <c r="AC70" s="56">
        <f t="shared" si="11"/>
        <v>0</v>
      </c>
      <c r="AE70" s="56">
        <v>0</v>
      </c>
      <c r="AF70" s="56">
        <f t="shared" si="12"/>
        <v>0</v>
      </c>
      <c r="AG70" s="56">
        <f t="shared" si="13"/>
        <v>0</v>
      </c>
      <c r="AI70" s="56">
        <f t="shared" si="14"/>
        <v>0</v>
      </c>
      <c r="AJ70" s="56">
        <f t="shared" si="15"/>
        <v>0</v>
      </c>
      <c r="AK70" s="56">
        <f t="shared" si="16"/>
        <v>0</v>
      </c>
      <c r="AM70" s="56">
        <f t="shared" si="17"/>
        <v>234914</v>
      </c>
      <c r="AN70" s="56">
        <f t="shared" si="18"/>
        <v>27879</v>
      </c>
      <c r="AO70" s="56">
        <f t="shared" si="19"/>
        <v>45082</v>
      </c>
      <c r="AP70" s="56"/>
      <c r="AQ70" s="56">
        <f t="shared" si="20"/>
        <v>307875</v>
      </c>
      <c r="AR70" s="1"/>
      <c r="AS70" s="56">
        <v>1383.2162119786719</v>
      </c>
      <c r="AT70" s="56">
        <v>164.1566052842887</v>
      </c>
      <c r="AU70" s="56">
        <v>265.45098746103889</v>
      </c>
      <c r="AV70" s="56"/>
      <c r="AW70" s="56">
        <v>1812.8238047239995</v>
      </c>
      <c r="AX70" s="1"/>
      <c r="AY70" s="16">
        <v>3.214508350189349E-2</v>
      </c>
      <c r="AZ70" s="16">
        <v>0.15576112157192212</v>
      </c>
      <c r="BA70" s="16">
        <v>-3.8191172158895448E-2</v>
      </c>
      <c r="BB70" s="16">
        <f t="shared" si="21"/>
        <v>3.1090228966680344E-2</v>
      </c>
      <c r="BC70" s="16"/>
      <c r="BD70" s="1"/>
      <c r="BE70" s="16">
        <f>AM70/'2018-19 disagg'!AM70-1</f>
        <v>2.0783814436125425E-2</v>
      </c>
      <c r="BF70" s="16">
        <f>AN70/'2018-19 disagg'!AN70-1</f>
        <v>9.9989131616129434E-3</v>
      </c>
      <c r="BG70" s="16">
        <f>AO70/'2018-19 disagg'!AO70-1</f>
        <v>3.8851507051341105E-2</v>
      </c>
      <c r="BH70" s="16">
        <f>AQ70/'2018-19 disagg'!AQ70-1</f>
        <v>2.2398963902633406E-2</v>
      </c>
      <c r="BI70" s="1"/>
      <c r="BJ70" s="16">
        <f>AS70/'2018-19 disagg'!AS70-1</f>
        <v>1.9361642237405663E-2</v>
      </c>
      <c r="BK70" s="16">
        <f>AT70/'2018-19 disagg'!AT70-1</f>
        <v>8.5917666583847918E-3</v>
      </c>
      <c r="BL70" s="16">
        <f>AU70/'2018-19 disagg'!AU70-1</f>
        <v>3.7404162656737183E-2</v>
      </c>
      <c r="BM70" s="16">
        <f>AW70/'2018-19 disagg'!AW70-1</f>
        <v>2.0974541452062567E-2</v>
      </c>
    </row>
    <row r="71" spans="1:65" x14ac:dyDescent="0.2">
      <c r="A71" s="156" t="s">
        <v>187</v>
      </c>
      <c r="B71" s="156" t="s">
        <v>188</v>
      </c>
      <c r="D71" s="56">
        <f>VLOOKUP(A71,'2019-20'!$A$12:$AMX279,32,FALSE)</f>
        <v>328143</v>
      </c>
      <c r="E71" s="56">
        <v>1681.2722602313995</v>
      </c>
      <c r="F71" s="16">
        <f>VLOOKUP(A71,'2019-20'!$A$12:$AMX279,34,FALSE)</f>
        <v>2.4876787287071656E-2</v>
      </c>
      <c r="G71" s="16">
        <f>VLOOKUP(A71,'2019-20'!$A$12:$AMX279,35,FALSE)</f>
        <v>1.8239718045981235E-2</v>
      </c>
      <c r="H71" s="56"/>
      <c r="I71" s="56">
        <v>315066.00760657387</v>
      </c>
      <c r="J71" s="56">
        <v>1614.2710304068282</v>
      </c>
      <c r="K71" s="16">
        <f t="shared" si="6"/>
        <v>4.1505564160242647E-2</v>
      </c>
      <c r="L71" s="58">
        <f t="shared" si="6"/>
        <v>4.1505564160242425E-2</v>
      </c>
      <c r="M71" s="10"/>
      <c r="N71" s="56">
        <v>251207</v>
      </c>
      <c r="O71" s="56">
        <v>26032</v>
      </c>
      <c r="P71" s="56">
        <v>50904</v>
      </c>
      <c r="R71" s="56">
        <f t="shared" si="7"/>
        <v>50904</v>
      </c>
      <c r="S71" s="56">
        <f t="shared" si="8"/>
        <v>0</v>
      </c>
      <c r="U71" s="16">
        <v>4.903737289831156E-2</v>
      </c>
      <c r="V71" s="16">
        <v>-5.0925637652163847E-3</v>
      </c>
      <c r="W71" s="56">
        <f t="shared" si="9"/>
        <v>3</v>
      </c>
      <c r="X71" s="56">
        <f t="shared" si="10"/>
        <v>2394.642998332441</v>
      </c>
      <c r="Y71" s="56">
        <f t="shared" si="10"/>
        <v>261.65248194865063</v>
      </c>
      <c r="AA71" s="56">
        <f t="shared" si="22"/>
        <v>0</v>
      </c>
      <c r="AB71" s="56">
        <v>0</v>
      </c>
      <c r="AC71" s="56">
        <f t="shared" si="11"/>
        <v>0</v>
      </c>
      <c r="AE71" s="56">
        <v>0</v>
      </c>
      <c r="AF71" s="56">
        <f t="shared" si="12"/>
        <v>0</v>
      </c>
      <c r="AG71" s="56">
        <f t="shared" si="13"/>
        <v>0</v>
      </c>
      <c r="AI71" s="56">
        <f t="shared" si="14"/>
        <v>0</v>
      </c>
      <c r="AJ71" s="56">
        <f t="shared" si="15"/>
        <v>0</v>
      </c>
      <c r="AK71" s="56">
        <f t="shared" si="16"/>
        <v>0</v>
      </c>
      <c r="AM71" s="56">
        <f t="shared" si="17"/>
        <v>251207</v>
      </c>
      <c r="AN71" s="56">
        <f t="shared" si="18"/>
        <v>26032</v>
      </c>
      <c r="AO71" s="56">
        <f t="shared" si="19"/>
        <v>50904</v>
      </c>
      <c r="AP71" s="56"/>
      <c r="AQ71" s="56">
        <f t="shared" si="20"/>
        <v>328143</v>
      </c>
      <c r="AR71" s="1"/>
      <c r="AS71" s="56">
        <v>1287.0832553976443</v>
      </c>
      <c r="AT71" s="56">
        <v>133.37745884673387</v>
      </c>
      <c r="AU71" s="56">
        <v>260.81154598702142</v>
      </c>
      <c r="AV71" s="56"/>
      <c r="AW71" s="56">
        <v>1681.2722602313995</v>
      </c>
      <c r="AX71" s="1"/>
      <c r="AY71" s="16">
        <v>4.903737289831156E-2</v>
      </c>
      <c r="AZ71" s="16">
        <v>-5.0925637652163847E-3</v>
      </c>
      <c r="BA71" s="16">
        <v>2.9685386737820396E-2</v>
      </c>
      <c r="BB71" s="16">
        <f t="shared" si="21"/>
        <v>4.1505564160242647E-2</v>
      </c>
      <c r="BC71" s="16"/>
      <c r="BD71" s="1"/>
      <c r="BE71" s="16">
        <f>AM71/'2018-19 disagg'!AM71-1</f>
        <v>2.0560967880851155E-2</v>
      </c>
      <c r="BF71" s="16">
        <f>AN71/'2018-19 disagg'!AN71-1</f>
        <v>2.9706103397808548E-2</v>
      </c>
      <c r="BG71" s="16">
        <f>AO71/'2018-19 disagg'!AO71-1</f>
        <v>4.4163196652376335E-2</v>
      </c>
      <c r="BH71" s="16">
        <f>AQ71/'2018-19 disagg'!AQ71-1</f>
        <v>2.4876787287071656E-2</v>
      </c>
      <c r="BI71" s="1"/>
      <c r="BJ71" s="16">
        <f>AS71/'2018-19 disagg'!AS71-1</f>
        <v>1.3951847747972312E-2</v>
      </c>
      <c r="BK71" s="16">
        <f>AT71/'2018-19 disagg'!AT71-1</f>
        <v>2.3037759660299306E-2</v>
      </c>
      <c r="BL71" s="16">
        <f>AU71/'2018-19 disagg'!AU71-1</f>
        <v>3.7401229242103984E-2</v>
      </c>
      <c r="BM71" s="16">
        <f>AW71/'2018-19 disagg'!AW71-1</f>
        <v>1.8239718045981235E-2</v>
      </c>
    </row>
    <row r="72" spans="1:65" x14ac:dyDescent="0.2">
      <c r="A72" s="156" t="s">
        <v>189</v>
      </c>
      <c r="B72" s="156" t="s">
        <v>190</v>
      </c>
      <c r="D72" s="56">
        <f>VLOOKUP(A72,'2019-20'!$A$12:$AMX280,32,FALSE)</f>
        <v>294334</v>
      </c>
      <c r="E72" s="56">
        <v>1681.9797982301311</v>
      </c>
      <c r="F72" s="16">
        <f>VLOOKUP(A72,'2019-20'!$A$12:$AMX280,34,FALSE)</f>
        <v>2.4508080600641247E-2</v>
      </c>
      <c r="G72" s="16">
        <f>VLOOKUP(A72,'2019-20'!$A$12:$AMX280,35,FALSE)</f>
        <v>1.9705209784108835E-2</v>
      </c>
      <c r="H72" s="56"/>
      <c r="I72" s="56">
        <v>295897.28925777657</v>
      </c>
      <c r="J72" s="56">
        <v>1690.9132580083774</v>
      </c>
      <c r="K72" s="16">
        <f t="shared" si="6"/>
        <v>-5.2832158810846019E-3</v>
      </c>
      <c r="L72" s="58">
        <f t="shared" si="6"/>
        <v>-5.2832158810846019E-3</v>
      </c>
      <c r="M72" s="10"/>
      <c r="N72" s="56">
        <v>230512</v>
      </c>
      <c r="O72" s="56">
        <v>23245</v>
      </c>
      <c r="P72" s="56">
        <v>40577</v>
      </c>
      <c r="R72" s="56">
        <f t="shared" si="7"/>
        <v>40577</v>
      </c>
      <c r="S72" s="56">
        <f t="shared" si="8"/>
        <v>0</v>
      </c>
      <c r="U72" s="16">
        <v>1.2308572167706533E-2</v>
      </c>
      <c r="V72" s="16">
        <v>-4.8623663368111303E-2</v>
      </c>
      <c r="W72" s="56">
        <f t="shared" si="9"/>
        <v>3</v>
      </c>
      <c r="X72" s="56">
        <f t="shared" si="10"/>
        <v>2277.0922457605316</v>
      </c>
      <c r="Y72" s="56">
        <f t="shared" si="10"/>
        <v>244.33023089782895</v>
      </c>
      <c r="AA72" s="56">
        <f t="shared" si="22"/>
        <v>0</v>
      </c>
      <c r="AB72" s="56">
        <v>0</v>
      </c>
      <c r="AC72" s="56">
        <f t="shared" si="11"/>
        <v>0</v>
      </c>
      <c r="AE72" s="56">
        <v>0</v>
      </c>
      <c r="AF72" s="56">
        <f t="shared" si="12"/>
        <v>0</v>
      </c>
      <c r="AG72" s="56">
        <f t="shared" si="13"/>
        <v>0</v>
      </c>
      <c r="AI72" s="56">
        <f t="shared" si="14"/>
        <v>0</v>
      </c>
      <c r="AJ72" s="56">
        <f t="shared" si="15"/>
        <v>0</v>
      </c>
      <c r="AK72" s="56">
        <f t="shared" si="16"/>
        <v>0</v>
      </c>
      <c r="AM72" s="56">
        <f t="shared" si="17"/>
        <v>230512</v>
      </c>
      <c r="AN72" s="56">
        <f t="shared" si="18"/>
        <v>23245</v>
      </c>
      <c r="AO72" s="56">
        <f t="shared" si="19"/>
        <v>40577</v>
      </c>
      <c r="AP72" s="56"/>
      <c r="AQ72" s="56">
        <f t="shared" si="20"/>
        <v>294334</v>
      </c>
      <c r="AR72" s="1"/>
      <c r="AS72" s="56">
        <v>1317.2672108883919</v>
      </c>
      <c r="AT72" s="56">
        <v>132.83419655853348</v>
      </c>
      <c r="AU72" s="56">
        <v>231.87839078320556</v>
      </c>
      <c r="AV72" s="56"/>
      <c r="AW72" s="56">
        <v>1681.9797982301311</v>
      </c>
      <c r="AX72" s="1"/>
      <c r="AY72" s="16">
        <v>1.2308572167706533E-2</v>
      </c>
      <c r="AZ72" s="16">
        <v>-4.8623663368111303E-2</v>
      </c>
      <c r="BA72" s="16">
        <v>-7.2632580756725185E-2</v>
      </c>
      <c r="BB72" s="16">
        <f t="shared" si="21"/>
        <v>-5.2832158810846019E-3</v>
      </c>
      <c r="BC72" s="16"/>
      <c r="BD72" s="1"/>
      <c r="BE72" s="16">
        <f>AM72/'2018-19 disagg'!AM72-1</f>
        <v>2.0782130821587197E-2</v>
      </c>
      <c r="BF72" s="16">
        <f>AN72/'2018-19 disagg'!AN72-1</f>
        <v>3.114048706915673E-2</v>
      </c>
      <c r="BG72" s="16">
        <f>AO72/'2018-19 disagg'!AO72-1</f>
        <v>4.2279931160257966E-2</v>
      </c>
      <c r="BH72" s="16">
        <f>AQ72/'2018-19 disagg'!AQ72-1</f>
        <v>2.4508080600641247E-2</v>
      </c>
      <c r="BI72" s="1"/>
      <c r="BJ72" s="16">
        <f>AS72/'2018-19 disagg'!AS72-1</f>
        <v>1.5996727173734682E-2</v>
      </c>
      <c r="BK72" s="16">
        <f>AT72/'2018-19 disagg'!AT72-1</f>
        <v>2.6306523680418747E-2</v>
      </c>
      <c r="BL72" s="16">
        <f>AU72/'2018-19 disagg'!AU72-1</f>
        <v>3.7393746308409526E-2</v>
      </c>
      <c r="BM72" s="16">
        <f>AW72/'2018-19 disagg'!AW72-1</f>
        <v>1.9705209784108835E-2</v>
      </c>
    </row>
    <row r="73" spans="1:65" x14ac:dyDescent="0.2">
      <c r="A73" s="156" t="s">
        <v>191</v>
      </c>
      <c r="B73" s="156" t="s">
        <v>192</v>
      </c>
      <c r="D73" s="56">
        <f>VLOOKUP(A73,'2019-20'!$A$12:$AMX281,32,FALSE)</f>
        <v>477093</v>
      </c>
      <c r="E73" s="56">
        <v>1813.7272788554594</v>
      </c>
      <c r="F73" s="16">
        <f>VLOOKUP(A73,'2019-20'!$A$12:$AMX281,34,FALSE)</f>
        <v>2.1166342753914824E-2</v>
      </c>
      <c r="G73" s="16">
        <f>VLOOKUP(A73,'2019-20'!$A$12:$AMX281,35,FALSE)</f>
        <v>1.7444649025543546E-2</v>
      </c>
      <c r="H73" s="56"/>
      <c r="I73" s="56">
        <v>457166.46930502093</v>
      </c>
      <c r="J73" s="56">
        <v>1737.9741399612938</v>
      </c>
      <c r="K73" s="16">
        <f t="shared" si="6"/>
        <v>4.358703455498647E-2</v>
      </c>
      <c r="L73" s="58">
        <f t="shared" si="6"/>
        <v>4.358703455498647E-2</v>
      </c>
      <c r="M73" s="10"/>
      <c r="N73" s="56">
        <v>370593</v>
      </c>
      <c r="O73" s="56">
        <v>38029</v>
      </c>
      <c r="P73" s="56">
        <v>68471</v>
      </c>
      <c r="R73" s="56">
        <f t="shared" si="7"/>
        <v>68471</v>
      </c>
      <c r="S73" s="56">
        <f t="shared" si="8"/>
        <v>0</v>
      </c>
      <c r="U73" s="16">
        <v>5.3612209745747208E-2</v>
      </c>
      <c r="V73" s="16">
        <v>3.1754375098575593E-2</v>
      </c>
      <c r="W73" s="56">
        <f t="shared" si="9"/>
        <v>2</v>
      </c>
      <c r="X73" s="56">
        <f t="shared" si="10"/>
        <v>3517.3567330757278</v>
      </c>
      <c r="Y73" s="56">
        <f t="shared" si="10"/>
        <v>368.58578861239766</v>
      </c>
      <c r="AA73" s="56">
        <f t="shared" si="22"/>
        <v>0</v>
      </c>
      <c r="AB73" s="56">
        <v>0</v>
      </c>
      <c r="AC73" s="56">
        <f t="shared" si="11"/>
        <v>0</v>
      </c>
      <c r="AE73" s="56">
        <v>0</v>
      </c>
      <c r="AF73" s="56">
        <f t="shared" si="12"/>
        <v>0</v>
      </c>
      <c r="AG73" s="56">
        <f t="shared" si="13"/>
        <v>0</v>
      </c>
      <c r="AI73" s="56">
        <f t="shared" si="14"/>
        <v>0</v>
      </c>
      <c r="AJ73" s="56">
        <f t="shared" si="15"/>
        <v>0</v>
      </c>
      <c r="AK73" s="56">
        <f t="shared" si="16"/>
        <v>0</v>
      </c>
      <c r="AM73" s="56">
        <f t="shared" si="17"/>
        <v>370593</v>
      </c>
      <c r="AN73" s="56">
        <f t="shared" si="18"/>
        <v>38029</v>
      </c>
      <c r="AO73" s="56">
        <f t="shared" si="19"/>
        <v>68471</v>
      </c>
      <c r="AP73" s="56"/>
      <c r="AQ73" s="56">
        <f t="shared" si="20"/>
        <v>477093</v>
      </c>
      <c r="AR73" s="1"/>
      <c r="AS73" s="56">
        <v>1408.8545282636328</v>
      </c>
      <c r="AT73" s="56">
        <v>144.57188574888809</v>
      </c>
      <c r="AU73" s="56">
        <v>260.30086484293872</v>
      </c>
      <c r="AV73" s="56"/>
      <c r="AW73" s="56">
        <v>1813.7272788554594</v>
      </c>
      <c r="AX73" s="1"/>
      <c r="AY73" s="16">
        <v>5.3612209745747208E-2</v>
      </c>
      <c r="AZ73" s="16">
        <v>3.1754375098575593E-2</v>
      </c>
      <c r="BA73" s="16">
        <v>-1.4760662617534503E-3</v>
      </c>
      <c r="BB73" s="16">
        <f t="shared" si="21"/>
        <v>4.358703455498647E-2</v>
      </c>
      <c r="BC73" s="16"/>
      <c r="BD73" s="1"/>
      <c r="BE73" s="16">
        <f>AM73/'2018-19 disagg'!AM73-1</f>
        <v>1.7265847385280919E-2</v>
      </c>
      <c r="BF73" s="16">
        <f>AN73/'2018-19 disagg'!AN73-1</f>
        <v>2.3964027033576585E-2</v>
      </c>
      <c r="BG73" s="16">
        <f>AO73/'2018-19 disagg'!AO73-1</f>
        <v>4.119400261549222E-2</v>
      </c>
      <c r="BH73" s="16">
        <f>AQ73/'2018-19 disagg'!AQ73-1</f>
        <v>2.1166342753914824E-2</v>
      </c>
      <c r="BI73" s="1"/>
      <c r="BJ73" s="16">
        <f>AS73/'2018-19 disagg'!AS73-1</f>
        <v>1.3558369214692334E-2</v>
      </c>
      <c r="BK73" s="16">
        <f>AT73/'2018-19 disagg'!AT73-1</f>
        <v>2.023213699966564E-2</v>
      </c>
      <c r="BL73" s="16">
        <f>AU73/'2018-19 disagg'!AU73-1</f>
        <v>3.7399317041444169E-2</v>
      </c>
      <c r="BM73" s="16">
        <f>AW73/'2018-19 disagg'!AW73-1</f>
        <v>1.7444649025543546E-2</v>
      </c>
    </row>
    <row r="74" spans="1:65" x14ac:dyDescent="0.2">
      <c r="A74" s="156" t="s">
        <v>193</v>
      </c>
      <c r="B74" s="156" t="s">
        <v>194</v>
      </c>
      <c r="D74" s="56">
        <f>VLOOKUP(A74,'2019-20'!$A$12:$AMX282,32,FALSE)</f>
        <v>211216</v>
      </c>
      <c r="E74" s="56">
        <v>1767.9251981673237</v>
      </c>
      <c r="F74" s="16">
        <f>VLOOKUP(A74,'2019-20'!$A$12:$AMX282,34,FALSE)</f>
        <v>2.325401131695215E-2</v>
      </c>
      <c r="G74" s="16">
        <f>VLOOKUP(A74,'2019-20'!$A$12:$AMX282,35,FALSE)</f>
        <v>2.2119902410351999E-2</v>
      </c>
      <c r="H74" s="56"/>
      <c r="I74" s="56">
        <v>206640.05293481459</v>
      </c>
      <c r="J74" s="56">
        <v>1729.6234969608759</v>
      </c>
      <c r="K74" s="16">
        <f t="shared" si="6"/>
        <v>2.2144531034498538E-2</v>
      </c>
      <c r="L74" s="58">
        <f t="shared" si="6"/>
        <v>2.2144531034498538E-2</v>
      </c>
      <c r="M74" s="10"/>
      <c r="N74" s="56">
        <v>167901</v>
      </c>
      <c r="O74" s="56">
        <v>16871</v>
      </c>
      <c r="P74" s="56">
        <v>26444</v>
      </c>
      <c r="R74" s="56">
        <f t="shared" si="7"/>
        <v>26444</v>
      </c>
      <c r="S74" s="56">
        <f t="shared" si="8"/>
        <v>0</v>
      </c>
      <c r="U74" s="16">
        <v>2.6988835897771235E-2</v>
      </c>
      <c r="V74" s="16">
        <v>-6.1962360623284418E-3</v>
      </c>
      <c r="W74" s="56">
        <f t="shared" si="9"/>
        <v>3</v>
      </c>
      <c r="X74" s="56">
        <f t="shared" si="10"/>
        <v>1634.8863213612699</v>
      </c>
      <c r="Y74" s="56">
        <f t="shared" si="10"/>
        <v>169.76188471206171</v>
      </c>
      <c r="AA74" s="56">
        <f t="shared" si="22"/>
        <v>0</v>
      </c>
      <c r="AB74" s="56">
        <v>0</v>
      </c>
      <c r="AC74" s="56">
        <f t="shared" si="11"/>
        <v>0</v>
      </c>
      <c r="AE74" s="56">
        <v>0</v>
      </c>
      <c r="AF74" s="56">
        <f t="shared" si="12"/>
        <v>0</v>
      </c>
      <c r="AG74" s="56">
        <f t="shared" si="13"/>
        <v>0</v>
      </c>
      <c r="AI74" s="56">
        <f t="shared" si="14"/>
        <v>0</v>
      </c>
      <c r="AJ74" s="56">
        <f t="shared" si="15"/>
        <v>0</v>
      </c>
      <c r="AK74" s="56">
        <f t="shared" si="16"/>
        <v>0</v>
      </c>
      <c r="AM74" s="56">
        <f t="shared" si="17"/>
        <v>167901</v>
      </c>
      <c r="AN74" s="56">
        <f t="shared" si="18"/>
        <v>16871</v>
      </c>
      <c r="AO74" s="56">
        <f t="shared" si="19"/>
        <v>26444</v>
      </c>
      <c r="AP74" s="56"/>
      <c r="AQ74" s="56">
        <f t="shared" si="20"/>
        <v>211216</v>
      </c>
      <c r="AR74" s="1"/>
      <c r="AS74" s="56">
        <v>1405.368952624289</v>
      </c>
      <c r="AT74" s="56">
        <v>141.21404637092323</v>
      </c>
      <c r="AU74" s="56">
        <v>221.34219917211152</v>
      </c>
      <c r="AV74" s="56"/>
      <c r="AW74" s="56">
        <v>1767.9251981673237</v>
      </c>
      <c r="AX74" s="1"/>
      <c r="AY74" s="16">
        <v>2.6988835897771235E-2</v>
      </c>
      <c r="AZ74" s="16">
        <v>-6.1962360623284418E-3</v>
      </c>
      <c r="BA74" s="16">
        <v>1.0268014784204027E-2</v>
      </c>
      <c r="BB74" s="16">
        <f t="shared" si="21"/>
        <v>2.2144531034498538E-2</v>
      </c>
      <c r="BC74" s="16"/>
      <c r="BD74" s="1"/>
      <c r="BE74" s="16">
        <f>AM74/'2018-19 disagg'!AM74-1</f>
        <v>2.0786469036125466E-2</v>
      </c>
      <c r="BF74" s="16">
        <f>AN74/'2018-19 disagg'!AN74-1</f>
        <v>2.4222923749392944E-2</v>
      </c>
      <c r="BG74" s="16">
        <f>AO74/'2018-19 disagg'!AO74-1</f>
        <v>3.8567276726101607E-2</v>
      </c>
      <c r="BH74" s="16">
        <f>AQ74/'2018-19 disagg'!AQ74-1</f>
        <v>2.325401131695215E-2</v>
      </c>
      <c r="BI74" s="1"/>
      <c r="BJ74" s="16">
        <f>AS74/'2018-19 disagg'!AS74-1</f>
        <v>1.9655094994619482E-2</v>
      </c>
      <c r="BK74" s="16">
        <f>AT74/'2018-19 disagg'!AT74-1</f>
        <v>2.3087740962595582E-2</v>
      </c>
      <c r="BL74" s="16">
        <f>AU74/'2018-19 disagg'!AU74-1</f>
        <v>3.7416195581427836E-2</v>
      </c>
      <c r="BM74" s="16">
        <f>AW74/'2018-19 disagg'!AW74-1</f>
        <v>2.2119902410351999E-2</v>
      </c>
    </row>
    <row r="75" spans="1:65" x14ac:dyDescent="0.2">
      <c r="A75" s="156" t="s">
        <v>195</v>
      </c>
      <c r="B75" s="156" t="s">
        <v>196</v>
      </c>
      <c r="D75" s="56">
        <f>VLOOKUP(A75,'2019-20'!$A$12:$AMX283,32,FALSE)</f>
        <v>1059595</v>
      </c>
      <c r="E75" s="56">
        <v>1772.4216906028694</v>
      </c>
      <c r="F75" s="16">
        <f>VLOOKUP(A75,'2019-20'!$A$12:$AMX283,34,FALSE)</f>
        <v>2.39423512710919E-2</v>
      </c>
      <c r="G75" s="16">
        <f>VLOOKUP(A75,'2019-20'!$A$12:$AMX283,35,FALSE)</f>
        <v>1.8934764387590119E-2</v>
      </c>
      <c r="H75" s="56"/>
      <c r="I75" s="56">
        <v>1000501.329014689</v>
      </c>
      <c r="J75" s="56">
        <v>1673.5736361747956</v>
      </c>
      <c r="K75" s="16">
        <f t="shared" si="6"/>
        <v>5.9064060458078105E-2</v>
      </c>
      <c r="L75" s="58">
        <f t="shared" si="6"/>
        <v>5.9064060458078105E-2</v>
      </c>
      <c r="M75" s="10"/>
      <c r="N75" s="56">
        <v>776048</v>
      </c>
      <c r="O75" s="56">
        <v>79868</v>
      </c>
      <c r="P75" s="56">
        <v>203679</v>
      </c>
      <c r="R75" s="56">
        <f t="shared" si="7"/>
        <v>203679</v>
      </c>
      <c r="S75" s="56">
        <f t="shared" si="8"/>
        <v>0</v>
      </c>
      <c r="U75" s="16">
        <v>5.1719584475425462E-2</v>
      </c>
      <c r="V75" s="16">
        <v>-2.1991271330187856E-2</v>
      </c>
      <c r="W75" s="56">
        <f t="shared" si="9"/>
        <v>3</v>
      </c>
      <c r="X75" s="56">
        <f t="shared" si="10"/>
        <v>7378.8489960189872</v>
      </c>
      <c r="Y75" s="56">
        <f t="shared" si="10"/>
        <v>816.6389282499382</v>
      </c>
      <c r="AA75" s="56">
        <f t="shared" si="22"/>
        <v>0</v>
      </c>
      <c r="AB75" s="56">
        <v>0</v>
      </c>
      <c r="AC75" s="56">
        <f t="shared" si="11"/>
        <v>0</v>
      </c>
      <c r="AE75" s="56">
        <v>0</v>
      </c>
      <c r="AF75" s="56">
        <f t="shared" si="12"/>
        <v>0</v>
      </c>
      <c r="AG75" s="56">
        <f t="shared" si="13"/>
        <v>0</v>
      </c>
      <c r="AI75" s="56">
        <f t="shared" si="14"/>
        <v>0</v>
      </c>
      <c r="AJ75" s="56">
        <f t="shared" si="15"/>
        <v>0</v>
      </c>
      <c r="AK75" s="56">
        <f t="shared" si="16"/>
        <v>0</v>
      </c>
      <c r="AM75" s="56">
        <f t="shared" si="17"/>
        <v>776048</v>
      </c>
      <c r="AN75" s="56">
        <f t="shared" si="18"/>
        <v>79868</v>
      </c>
      <c r="AO75" s="56">
        <f t="shared" si="19"/>
        <v>203679</v>
      </c>
      <c r="AP75" s="56"/>
      <c r="AQ75" s="56">
        <f t="shared" si="20"/>
        <v>1059595</v>
      </c>
      <c r="AR75" s="1"/>
      <c r="AS75" s="56">
        <v>1298.1226866387399</v>
      </c>
      <c r="AT75" s="56">
        <v>133.59800261899119</v>
      </c>
      <c r="AU75" s="56">
        <v>340.70100134513831</v>
      </c>
      <c r="AV75" s="56"/>
      <c r="AW75" s="56">
        <v>1772.4216906028694</v>
      </c>
      <c r="AX75" s="1"/>
      <c r="AY75" s="16">
        <v>5.1719584475425462E-2</v>
      </c>
      <c r="AZ75" s="16">
        <v>-2.1991271330187856E-2</v>
      </c>
      <c r="BA75" s="16">
        <v>0.12559350557198146</v>
      </c>
      <c r="BB75" s="16">
        <f t="shared" si="21"/>
        <v>5.9064060458078105E-2</v>
      </c>
      <c r="BC75" s="16"/>
      <c r="BD75" s="1"/>
      <c r="BE75" s="16">
        <f>AM75/'2018-19 disagg'!AM75-1</f>
        <v>1.8633540372670732E-2</v>
      </c>
      <c r="BF75" s="16">
        <f>AN75/'2018-19 disagg'!AN75-1</f>
        <v>2.9346187057777362E-2</v>
      </c>
      <c r="BG75" s="16">
        <f>AO75/'2018-19 disagg'!AO75-1</f>
        <v>4.2497543198755316E-2</v>
      </c>
      <c r="BH75" s="16">
        <f>AQ75/'2018-19 disagg'!AQ75-1</f>
        <v>2.39423512710919E-2</v>
      </c>
      <c r="BI75" s="1"/>
      <c r="BJ75" s="16">
        <f>AS75/'2018-19 disagg'!AS75-1</f>
        <v>1.3651916212352733E-2</v>
      </c>
      <c r="BK75" s="16">
        <f>AT75/'2018-19 disagg'!AT75-1</f>
        <v>2.4312172732171788E-2</v>
      </c>
      <c r="BL75" s="16">
        <f>AU75/'2018-19 disagg'!AU75-1</f>
        <v>3.7399212206854715E-2</v>
      </c>
      <c r="BM75" s="16">
        <f>AW75/'2018-19 disagg'!AW75-1</f>
        <v>1.8934764387590119E-2</v>
      </c>
    </row>
    <row r="76" spans="1:65" x14ac:dyDescent="0.2">
      <c r="A76" s="156" t="s">
        <v>197</v>
      </c>
      <c r="B76" s="156" t="s">
        <v>198</v>
      </c>
      <c r="D76" s="56">
        <f>VLOOKUP(A76,'2019-20'!$A$12:$AMX284,32,FALSE)</f>
        <v>542877</v>
      </c>
      <c r="E76" s="56">
        <v>1503.7224078163918</v>
      </c>
      <c r="F76" s="16">
        <f>VLOOKUP(A76,'2019-20'!$A$12:$AMX284,34,FALSE)</f>
        <v>2.5029219007554504E-2</v>
      </c>
      <c r="G76" s="16">
        <f>VLOOKUP(A76,'2019-20'!$A$12:$AMX284,35,FALSE)</f>
        <v>1.9052176643064467E-2</v>
      </c>
      <c r="H76" s="56"/>
      <c r="I76" s="56">
        <v>533400.31900179188</v>
      </c>
      <c r="J76" s="56">
        <v>1477.4728198457587</v>
      </c>
      <c r="K76" s="16">
        <f t="shared" si="6"/>
        <v>1.7766545426787239E-2</v>
      </c>
      <c r="L76" s="58">
        <f t="shared" si="6"/>
        <v>1.7766545426787239E-2</v>
      </c>
      <c r="M76" s="10"/>
      <c r="N76" s="56">
        <v>418426</v>
      </c>
      <c r="O76" s="56">
        <v>43425</v>
      </c>
      <c r="P76" s="56">
        <v>81026</v>
      </c>
      <c r="R76" s="56">
        <f t="shared" si="7"/>
        <v>81026</v>
      </c>
      <c r="S76" s="56">
        <f t="shared" si="8"/>
        <v>0</v>
      </c>
      <c r="U76" s="16">
        <v>2.02737476524677E-2</v>
      </c>
      <c r="V76" s="16">
        <v>-4.8556091745903585E-2</v>
      </c>
      <c r="W76" s="56">
        <f t="shared" si="9"/>
        <v>3</v>
      </c>
      <c r="X76" s="56">
        <f t="shared" si="10"/>
        <v>4101.1150288121207</v>
      </c>
      <c r="Y76" s="56">
        <f t="shared" si="10"/>
        <v>456.41156166194872</v>
      </c>
      <c r="AA76" s="56">
        <f t="shared" si="22"/>
        <v>0</v>
      </c>
      <c r="AB76" s="56">
        <v>0</v>
      </c>
      <c r="AC76" s="56">
        <f t="shared" si="11"/>
        <v>0</v>
      </c>
      <c r="AE76" s="56">
        <v>0</v>
      </c>
      <c r="AF76" s="56">
        <f t="shared" si="12"/>
        <v>0</v>
      </c>
      <c r="AG76" s="56">
        <f t="shared" si="13"/>
        <v>0</v>
      </c>
      <c r="AI76" s="56">
        <f t="shared" si="14"/>
        <v>0</v>
      </c>
      <c r="AJ76" s="56">
        <f t="shared" si="15"/>
        <v>0</v>
      </c>
      <c r="AK76" s="56">
        <f t="shared" si="16"/>
        <v>0</v>
      </c>
      <c r="AM76" s="56">
        <f t="shared" si="17"/>
        <v>418426</v>
      </c>
      <c r="AN76" s="56">
        <f t="shared" si="18"/>
        <v>43425</v>
      </c>
      <c r="AO76" s="56">
        <f t="shared" si="19"/>
        <v>81026</v>
      </c>
      <c r="AP76" s="56"/>
      <c r="AQ76" s="56">
        <f t="shared" si="20"/>
        <v>542877</v>
      </c>
      <c r="AR76" s="1"/>
      <c r="AS76" s="56">
        <v>1159.0038852502159</v>
      </c>
      <c r="AT76" s="56">
        <v>120.28349987092253</v>
      </c>
      <c r="AU76" s="56">
        <v>224.43502269525317</v>
      </c>
      <c r="AV76" s="56"/>
      <c r="AW76" s="56">
        <v>1503.7224078163918</v>
      </c>
      <c r="AX76" s="1"/>
      <c r="AY76" s="16">
        <v>2.02737476524677E-2</v>
      </c>
      <c r="AZ76" s="16">
        <v>-4.8556091745903585E-2</v>
      </c>
      <c r="BA76" s="16">
        <v>4.3508587993503767E-2</v>
      </c>
      <c r="BB76" s="16">
        <f t="shared" si="21"/>
        <v>1.7766545426787239E-2</v>
      </c>
      <c r="BC76" s="16"/>
      <c r="BD76" s="1"/>
      <c r="BE76" s="16">
        <f>AM76/'2018-19 disagg'!AM76-1</f>
        <v>2.078276291939396E-2</v>
      </c>
      <c r="BF76" s="16">
        <f>AN76/'2018-19 disagg'!AN76-1</f>
        <v>3.2330916438844559E-2</v>
      </c>
      <c r="BG76" s="16">
        <f>AO76/'2018-19 disagg'!AO76-1</f>
        <v>4.3490579402181595E-2</v>
      </c>
      <c r="BH76" s="16">
        <f>AQ76/'2018-19 disagg'!AQ76-1</f>
        <v>2.5029219007554504E-2</v>
      </c>
      <c r="BI76" s="1"/>
      <c r="BJ76" s="16">
        <f>AS76/'2018-19 disagg'!AS76-1</f>
        <v>1.4830482042154314E-2</v>
      </c>
      <c r="BK76" s="16">
        <f>AT76/'2018-19 disagg'!AT76-1</f>
        <v>2.6311297185744653E-2</v>
      </c>
      <c r="BL76" s="16">
        <f>AU76/'2018-19 disagg'!AU76-1</f>
        <v>3.7405887098413082E-2</v>
      </c>
      <c r="BM76" s="16">
        <f>AW76/'2018-19 disagg'!AW76-1</f>
        <v>1.9052176643064467E-2</v>
      </c>
    </row>
    <row r="77" spans="1:65" x14ac:dyDescent="0.2">
      <c r="A77" s="156" t="s">
        <v>199</v>
      </c>
      <c r="B77" s="156" t="s">
        <v>200</v>
      </c>
      <c r="D77" s="56">
        <f>VLOOKUP(A77,'2019-20'!$A$12:$AMX285,32,FALSE)</f>
        <v>667424</v>
      </c>
      <c r="E77" s="56">
        <v>1799.4715406142104</v>
      </c>
      <c r="F77" s="16">
        <f>VLOOKUP(A77,'2019-20'!$A$12:$AMX285,34,FALSE)</f>
        <v>2.2781116774294397E-2</v>
      </c>
      <c r="G77" s="16">
        <f>VLOOKUP(A77,'2019-20'!$A$12:$AMX285,35,FALSE)</f>
        <v>1.7518755283704612E-2</v>
      </c>
      <c r="H77" s="56"/>
      <c r="I77" s="56">
        <v>645532.83746820258</v>
      </c>
      <c r="J77" s="56">
        <v>1740.4498033573398</v>
      </c>
      <c r="K77" s="16">
        <f t="shared" ref="K77:L140" si="23">D77/I77-1</f>
        <v>3.3911772199932022E-2</v>
      </c>
      <c r="L77" s="58">
        <f t="shared" si="23"/>
        <v>3.3911772199932022E-2</v>
      </c>
      <c r="M77" s="10"/>
      <c r="N77" s="56">
        <v>519079</v>
      </c>
      <c r="O77" s="56">
        <v>57452</v>
      </c>
      <c r="P77" s="56">
        <v>90893</v>
      </c>
      <c r="R77" s="56">
        <f t="shared" ref="R77:R140" si="24">ROUND(P77,0)</f>
        <v>90893</v>
      </c>
      <c r="S77" s="56">
        <f t="shared" ref="S77:S140" si="25">D77-SUM(N77:P77)</f>
        <v>0</v>
      </c>
      <c r="U77" s="16">
        <v>2.7067202816954294E-2</v>
      </c>
      <c r="V77" s="16">
        <v>0.11554572764327697</v>
      </c>
      <c r="W77" s="56">
        <f t="shared" ref="W77:W140" si="26">IF(AND(U77&lt;0,V77&gt;0),1,IF(AND(U77&gt;0,V77&gt;0),2,IF(AND(U77&gt;0,V77&lt;0),3,IF(AND(U77&lt;0,V77&lt;0),4,5))))</f>
        <v>2</v>
      </c>
      <c r="X77" s="56">
        <f t="shared" ref="X77:Y140" si="27">N77/(1+U77)/100</f>
        <v>5053.992558386768</v>
      </c>
      <c r="Y77" s="56">
        <f t="shared" si="27"/>
        <v>515.01250532664574</v>
      </c>
      <c r="AA77" s="56">
        <f t="shared" si="22"/>
        <v>0</v>
      </c>
      <c r="AB77" s="56">
        <v>0</v>
      </c>
      <c r="AC77" s="56">
        <f t="shared" ref="AC77:AC140" si="28">S77-AA77-AB77</f>
        <v>0</v>
      </c>
      <c r="AE77" s="56">
        <v>0</v>
      </c>
      <c r="AF77" s="56">
        <f t="shared" ref="AF77:AF140" si="29">IF(W77=3,MIN(S77,-1*V77*O77),0)</f>
        <v>0</v>
      </c>
      <c r="AG77" s="56">
        <f t="shared" ref="AG77:AG140" si="30">AC77-AE77-AF77</f>
        <v>0</v>
      </c>
      <c r="AI77" s="56">
        <f t="shared" ref="AI77:AI140" si="31">AG77*X77/(X77+Y77)</f>
        <v>0</v>
      </c>
      <c r="AJ77" s="56">
        <f t="shared" ref="AJ77:AJ140" si="32">AG77*Y77/(X77+Y77)</f>
        <v>0</v>
      </c>
      <c r="AK77" s="56">
        <f t="shared" ref="AK77:AK140" si="33">S77-SUM(AA77:AB77)-SUM(AE77:AF77)-SUM(AI77:AJ77)</f>
        <v>0</v>
      </c>
      <c r="AM77" s="56">
        <f t="shared" ref="AM77:AM140" si="34">ROUND(N77+AA77+AE77+AI77,0)</f>
        <v>519079</v>
      </c>
      <c r="AN77" s="56">
        <f t="shared" ref="AN77:AN140" si="35">ROUND(O77+AB77+AF77+AJ77,0)</f>
        <v>57452</v>
      </c>
      <c r="AO77" s="56">
        <f t="shared" ref="AO77:AO140" si="36">R77</f>
        <v>90893</v>
      </c>
      <c r="AP77" s="56"/>
      <c r="AQ77" s="56">
        <f t="shared" ref="AQ77:AQ140" si="37">SUM(AM77:AP77)</f>
        <v>667424</v>
      </c>
      <c r="AR77" s="1"/>
      <c r="AS77" s="56">
        <v>1399.5119861294825</v>
      </c>
      <c r="AT77" s="56">
        <v>154.89889328428049</v>
      </c>
      <c r="AU77" s="56">
        <v>245.06066120044741</v>
      </c>
      <c r="AV77" s="56"/>
      <c r="AW77" s="56">
        <v>1799.4715406142104</v>
      </c>
      <c r="AX77" s="1"/>
      <c r="AY77" s="16">
        <v>2.7067202816954294E-2</v>
      </c>
      <c r="AZ77" s="16">
        <v>0.11554572764327697</v>
      </c>
      <c r="BA77" s="16">
        <v>2.5506142907018914E-2</v>
      </c>
      <c r="BB77" s="16">
        <f t="shared" ref="BB77:BB140" si="38">SUM(AM77:AO77)/I77-1</f>
        <v>3.3911772199932022E-2</v>
      </c>
      <c r="BC77" s="16"/>
      <c r="BD77" s="1"/>
      <c r="BE77" s="16">
        <f>AM77/'2018-19 disagg'!AM77-1</f>
        <v>2.0784252030441985E-2</v>
      </c>
      <c r="BF77" s="16">
        <f>AN77/'2018-19 disagg'!AN77-1</f>
        <v>1.000298859061588E-2</v>
      </c>
      <c r="BG77" s="16">
        <f>AO77/'2018-19 disagg'!AO77-1</f>
        <v>4.2769460219124644E-2</v>
      </c>
      <c r="BH77" s="16">
        <f>AQ77/'2018-19 disagg'!AQ77-1</f>
        <v>2.2781116774294397E-2</v>
      </c>
      <c r="BI77" s="1"/>
      <c r="BJ77" s="16">
        <f>AS77/'2018-19 disagg'!AS77-1</f>
        <v>1.5532164706980822E-2</v>
      </c>
      <c r="BK77" s="16">
        <f>AT77/'2018-19 disagg'!AT77-1</f>
        <v>4.80637247660054E-3</v>
      </c>
      <c r="BL77" s="16">
        <f>AU77/'2018-19 disagg'!AU77-1</f>
        <v>3.7404255718354262E-2</v>
      </c>
      <c r="BM77" s="16">
        <f>AW77/'2018-19 disagg'!AW77-1</f>
        <v>1.7518755283704612E-2</v>
      </c>
    </row>
    <row r="78" spans="1:65" x14ac:dyDescent="0.2">
      <c r="A78" s="156" t="s">
        <v>201</v>
      </c>
      <c r="B78" s="156" t="s">
        <v>202</v>
      </c>
      <c r="D78" s="56">
        <f>VLOOKUP(A78,'2019-20'!$A$12:$AMX286,32,FALSE)</f>
        <v>1324852</v>
      </c>
      <c r="E78" s="56">
        <v>1793.9821183450908</v>
      </c>
      <c r="F78" s="16">
        <f>VLOOKUP(A78,'2019-20'!$A$12:$AMX286,34,FALSE)</f>
        <v>2.6530049309939852E-2</v>
      </c>
      <c r="G78" s="16">
        <f>VLOOKUP(A78,'2019-20'!$A$12:$AMX286,35,FALSE)</f>
        <v>1.9480512954989981E-2</v>
      </c>
      <c r="H78" s="56"/>
      <c r="I78" s="56">
        <v>1326231.1729883065</v>
      </c>
      <c r="J78" s="56">
        <v>1795.8496565147327</v>
      </c>
      <c r="K78" s="16">
        <f t="shared" si="23"/>
        <v>-1.0399189948151477E-3</v>
      </c>
      <c r="L78" s="58">
        <f t="shared" si="23"/>
        <v>-1.0399189948151477E-3</v>
      </c>
      <c r="M78" s="10"/>
      <c r="N78" s="56">
        <v>951849</v>
      </c>
      <c r="O78" s="56">
        <v>102276</v>
      </c>
      <c r="P78" s="56">
        <v>270727</v>
      </c>
      <c r="R78" s="56">
        <f t="shared" si="24"/>
        <v>270727</v>
      </c>
      <c r="S78" s="56">
        <f t="shared" si="25"/>
        <v>0</v>
      </c>
      <c r="U78" s="16">
        <v>-1.2313589522003787E-2</v>
      </c>
      <c r="V78" s="16">
        <v>-4.8945022294944573E-2</v>
      </c>
      <c r="W78" s="56">
        <f t="shared" si="26"/>
        <v>4</v>
      </c>
      <c r="X78" s="56">
        <f t="shared" si="27"/>
        <v>9637.1580078675725</v>
      </c>
      <c r="Y78" s="56">
        <f t="shared" si="27"/>
        <v>1075.3952442034135</v>
      </c>
      <c r="AA78" s="56">
        <f t="shared" ref="AA78:AA141" si="39">IF(W78=1,MIN(S78,-1*U78*N78),0)</f>
        <v>0</v>
      </c>
      <c r="AB78" s="56">
        <v>0</v>
      </c>
      <c r="AC78" s="56">
        <f t="shared" si="28"/>
        <v>0</v>
      </c>
      <c r="AE78" s="56">
        <v>0</v>
      </c>
      <c r="AF78" s="56">
        <f t="shared" si="29"/>
        <v>0</v>
      </c>
      <c r="AG78" s="56">
        <f t="shared" si="30"/>
        <v>0</v>
      </c>
      <c r="AI78" s="56">
        <f t="shared" si="31"/>
        <v>0</v>
      </c>
      <c r="AJ78" s="56">
        <f t="shared" si="32"/>
        <v>0</v>
      </c>
      <c r="AK78" s="56">
        <f t="shared" si="33"/>
        <v>0</v>
      </c>
      <c r="AM78" s="56">
        <f t="shared" si="34"/>
        <v>951849</v>
      </c>
      <c r="AN78" s="56">
        <f t="shared" si="35"/>
        <v>102276</v>
      </c>
      <c r="AO78" s="56">
        <f t="shared" si="36"/>
        <v>270727</v>
      </c>
      <c r="AP78" s="56"/>
      <c r="AQ78" s="56">
        <f t="shared" si="37"/>
        <v>1324852</v>
      </c>
      <c r="AR78" s="1"/>
      <c r="AS78" s="56">
        <v>1288.8987489656629</v>
      </c>
      <c r="AT78" s="56">
        <v>138.49193354115215</v>
      </c>
      <c r="AU78" s="56">
        <v>366.5914358382758</v>
      </c>
      <c r="AV78" s="56"/>
      <c r="AW78" s="56">
        <v>1793.9821183450908</v>
      </c>
      <c r="AX78" s="1"/>
      <c r="AY78" s="16">
        <v>-1.2313589522003787E-2</v>
      </c>
      <c r="AZ78" s="16">
        <v>-4.8945022294944573E-2</v>
      </c>
      <c r="BA78" s="16">
        <v>6.1775075387955791E-2</v>
      </c>
      <c r="BB78" s="16">
        <f t="shared" si="38"/>
        <v>-1.0399189948151477E-3</v>
      </c>
      <c r="BC78" s="16"/>
      <c r="BD78" s="1"/>
      <c r="BE78" s="16">
        <f>AM78/'2018-19 disagg'!AM78-1</f>
        <v>2.0783532750150435E-2</v>
      </c>
      <c r="BF78" s="16">
        <f>AN78/'2018-19 disagg'!AN78-1</f>
        <v>3.3424945436908882E-2</v>
      </c>
      <c r="BG78" s="16">
        <f>AO78/'2018-19 disagg'!AO78-1</f>
        <v>4.4572200250795779E-2</v>
      </c>
      <c r="BH78" s="16">
        <f>AQ78/'2018-19 disagg'!AQ78-1</f>
        <v>2.6530049309939852E-2</v>
      </c>
      <c r="BI78" s="1"/>
      <c r="BJ78" s="16">
        <f>AS78/'2018-19 disagg'!AS78-1</f>
        <v>1.3773459708943392E-2</v>
      </c>
      <c r="BK78" s="16">
        <f>AT78/'2018-19 disagg'!AT78-1</f>
        <v>2.6328059449141739E-2</v>
      </c>
      <c r="BL78" s="16">
        <f>AU78/'2018-19 disagg'!AU78-1</f>
        <v>3.7398762214580161E-2</v>
      </c>
      <c r="BM78" s="16">
        <f>AW78/'2018-19 disagg'!AW78-1</f>
        <v>1.9480512954989981E-2</v>
      </c>
    </row>
    <row r="79" spans="1:65" x14ac:dyDescent="0.2">
      <c r="A79" s="156" t="s">
        <v>203</v>
      </c>
      <c r="B79" s="156" t="s">
        <v>204</v>
      </c>
      <c r="D79" s="56">
        <f>VLOOKUP(A79,'2019-20'!$A$12:$AMX287,32,FALSE)</f>
        <v>508489.49641033367</v>
      </c>
      <c r="E79" s="56">
        <v>1687.076963488099</v>
      </c>
      <c r="F79" s="16">
        <f>VLOOKUP(A79,'2019-20'!$A$12:$AMX287,34,FALSE)</f>
        <v>2.6353707585755615E-2</v>
      </c>
      <c r="G79" s="16">
        <f>VLOOKUP(A79,'2019-20'!$A$12:$AMX287,35,FALSE)</f>
        <v>1.9908497496955668E-2</v>
      </c>
      <c r="H79" s="56"/>
      <c r="I79" s="56">
        <v>519478.63308914978</v>
      </c>
      <c r="J79" s="56">
        <v>1723.5369483458628</v>
      </c>
      <c r="K79" s="16">
        <f t="shared" si="23"/>
        <v>-2.1154164923911756E-2</v>
      </c>
      <c r="L79" s="58">
        <f t="shared" si="23"/>
        <v>-2.1154164923911645E-2</v>
      </c>
      <c r="M79" s="10"/>
      <c r="N79" s="56">
        <v>363011</v>
      </c>
      <c r="O79" s="56">
        <v>42240</v>
      </c>
      <c r="P79" s="56">
        <v>103173</v>
      </c>
      <c r="R79" s="56">
        <f t="shared" si="24"/>
        <v>103173</v>
      </c>
      <c r="S79" s="56">
        <f t="shared" si="25"/>
        <v>65.496410333667882</v>
      </c>
      <c r="U79" s="16">
        <v>-3.687611544745284E-2</v>
      </c>
      <c r="V79" s="16">
        <v>-2.0106818680813876E-2</v>
      </c>
      <c r="W79" s="56">
        <f t="shared" si="26"/>
        <v>4</v>
      </c>
      <c r="X79" s="56">
        <f t="shared" si="27"/>
        <v>3769.0997578016604</v>
      </c>
      <c r="Y79" s="56">
        <f t="shared" si="27"/>
        <v>431.06739392894013</v>
      </c>
      <c r="AA79" s="56">
        <f t="shared" si="39"/>
        <v>0</v>
      </c>
      <c r="AB79" s="56">
        <v>0</v>
      </c>
      <c r="AC79" s="56">
        <f t="shared" si="28"/>
        <v>65.496410333667882</v>
      </c>
      <c r="AE79" s="56">
        <v>0</v>
      </c>
      <c r="AF79" s="56">
        <f t="shared" si="29"/>
        <v>0</v>
      </c>
      <c r="AG79" s="56">
        <f t="shared" si="30"/>
        <v>65.496410333667882</v>
      </c>
      <c r="AI79" s="56">
        <f t="shared" si="31"/>
        <v>58.774447636873383</v>
      </c>
      <c r="AJ79" s="56">
        <f t="shared" si="32"/>
        <v>6.7219626967945043</v>
      </c>
      <c r="AK79" s="56">
        <f t="shared" si="33"/>
        <v>0</v>
      </c>
      <c r="AM79" s="56">
        <f t="shared" si="34"/>
        <v>363070</v>
      </c>
      <c r="AN79" s="56">
        <f t="shared" si="35"/>
        <v>42247</v>
      </c>
      <c r="AO79" s="56">
        <f t="shared" si="36"/>
        <v>103173</v>
      </c>
      <c r="AP79" s="56"/>
      <c r="AQ79" s="56">
        <f t="shared" si="37"/>
        <v>508490</v>
      </c>
      <c r="AR79" s="1"/>
      <c r="AS79" s="56">
        <v>1204.6011519564127</v>
      </c>
      <c r="AT79" s="56">
        <v>140.16796999670191</v>
      </c>
      <c r="AU79" s="56">
        <v>342.30951235519035</v>
      </c>
      <c r="AV79" s="56"/>
      <c r="AW79" s="56">
        <v>1687.0786343083048</v>
      </c>
      <c r="AX79" s="1"/>
      <c r="AY79" s="16">
        <v>-3.6719579394306812E-2</v>
      </c>
      <c r="AZ79" s="16">
        <v>-1.9944431079742975E-2</v>
      </c>
      <c r="BA79" s="16">
        <v>3.7311587808322111E-2</v>
      </c>
      <c r="BB79" s="16">
        <f t="shared" si="38"/>
        <v>-2.1153195510283829E-2</v>
      </c>
      <c r="BC79" s="16"/>
      <c r="BD79" s="1"/>
      <c r="BE79" s="16">
        <f>AM79/'2018-19 disagg'!AM79-1</f>
        <v>2.0949327934311812E-2</v>
      </c>
      <c r="BF79" s="16">
        <f>AN79/'2018-19 disagg'!AN79-1</f>
        <v>3.0816904157719982E-2</v>
      </c>
      <c r="BG79" s="16">
        <f>AO79/'2018-19 disagg'!AO79-1</f>
        <v>4.3954709650001478E-2</v>
      </c>
      <c r="BH79" s="16">
        <f>AQ79/'2018-19 disagg'!AQ79-1</f>
        <v>2.6354724049467926E-2</v>
      </c>
      <c r="BI79" s="1"/>
      <c r="BJ79" s="16">
        <f>AS79/'2018-19 disagg'!AS79-1</f>
        <v>1.4538055816404105E-2</v>
      </c>
      <c r="BK79" s="16">
        <f>AT79/'2018-19 disagg'!AT79-1</f>
        <v>2.4343666460736602E-2</v>
      </c>
      <c r="BL79" s="16">
        <f>AU79/'2018-19 disagg'!AU79-1</f>
        <v>3.7398970261955933E-2</v>
      </c>
      <c r="BM79" s="16">
        <f>AW79/'2018-19 disagg'!AW79-1</f>
        <v>1.9909507577564156E-2</v>
      </c>
    </row>
    <row r="80" spans="1:65" x14ac:dyDescent="0.2">
      <c r="A80" s="156" t="s">
        <v>205</v>
      </c>
      <c r="B80" s="156" t="s">
        <v>206</v>
      </c>
      <c r="D80" s="56">
        <f>VLOOKUP(A80,'2019-20'!$A$12:$AMX288,32,FALSE)</f>
        <v>224814</v>
      </c>
      <c r="E80" s="56">
        <v>1684.8935776639821</v>
      </c>
      <c r="F80" s="16">
        <f>VLOOKUP(A80,'2019-20'!$A$12:$AMX288,34,FALSE)</f>
        <v>2.3621975540236484E-2</v>
      </c>
      <c r="G80" s="16">
        <f>VLOOKUP(A80,'2019-20'!$A$12:$AMX288,35,FALSE)</f>
        <v>2.0534291806193483E-2</v>
      </c>
      <c r="H80" s="56"/>
      <c r="I80" s="56">
        <v>225918.55263520594</v>
      </c>
      <c r="J80" s="56">
        <v>1693.1717704867169</v>
      </c>
      <c r="K80" s="16">
        <f t="shared" si="23"/>
        <v>-4.8891630294279897E-3</v>
      </c>
      <c r="L80" s="58">
        <f t="shared" si="23"/>
        <v>-4.8891630294279897E-3</v>
      </c>
      <c r="M80" s="10"/>
      <c r="N80" s="56">
        <v>174401</v>
      </c>
      <c r="O80" s="56">
        <v>18292</v>
      </c>
      <c r="P80" s="56">
        <v>32121</v>
      </c>
      <c r="R80" s="56">
        <f t="shared" si="24"/>
        <v>32121</v>
      </c>
      <c r="S80" s="56">
        <f t="shared" si="25"/>
        <v>0</v>
      </c>
      <c r="U80" s="16">
        <v>-6.2253446134165058E-3</v>
      </c>
      <c r="V80" s="16">
        <v>4.3424162187636117E-2</v>
      </c>
      <c r="W80" s="56">
        <f t="shared" si="26"/>
        <v>1</v>
      </c>
      <c r="X80" s="56">
        <f t="shared" si="27"/>
        <v>1754.9350756199062</v>
      </c>
      <c r="Y80" s="56">
        <f t="shared" si="27"/>
        <v>175.30742207128034</v>
      </c>
      <c r="AA80" s="56">
        <f t="shared" si="39"/>
        <v>0</v>
      </c>
      <c r="AB80" s="56">
        <v>0</v>
      </c>
      <c r="AC80" s="56">
        <f t="shared" si="28"/>
        <v>0</v>
      </c>
      <c r="AE80" s="56">
        <v>0</v>
      </c>
      <c r="AF80" s="56">
        <f t="shared" si="29"/>
        <v>0</v>
      </c>
      <c r="AG80" s="56">
        <f t="shared" si="30"/>
        <v>0</v>
      </c>
      <c r="AI80" s="56">
        <f t="shared" si="31"/>
        <v>0</v>
      </c>
      <c r="AJ80" s="56">
        <f t="shared" si="32"/>
        <v>0</v>
      </c>
      <c r="AK80" s="56">
        <f t="shared" si="33"/>
        <v>0</v>
      </c>
      <c r="AM80" s="56">
        <f t="shared" si="34"/>
        <v>174401</v>
      </c>
      <c r="AN80" s="56">
        <f t="shared" si="35"/>
        <v>18292</v>
      </c>
      <c r="AO80" s="56">
        <f t="shared" si="36"/>
        <v>32121</v>
      </c>
      <c r="AP80" s="56"/>
      <c r="AQ80" s="56">
        <f t="shared" si="37"/>
        <v>224814</v>
      </c>
      <c r="AR80" s="1"/>
      <c r="AS80" s="56">
        <v>1307.0677308271554</v>
      </c>
      <c r="AT80" s="56">
        <v>137.09143257372565</v>
      </c>
      <c r="AU80" s="56">
        <v>240.73441426310092</v>
      </c>
      <c r="AV80" s="56"/>
      <c r="AW80" s="56">
        <v>1684.8935776639821</v>
      </c>
      <c r="AX80" s="1"/>
      <c r="AY80" s="16">
        <v>-6.2253446134165058E-3</v>
      </c>
      <c r="AZ80" s="16">
        <v>4.3424162187636117E-2</v>
      </c>
      <c r="BA80" s="16">
        <v>-2.3508717276526703E-2</v>
      </c>
      <c r="BB80" s="16">
        <f t="shared" si="38"/>
        <v>-4.8891630294279897E-3</v>
      </c>
      <c r="BC80" s="16"/>
      <c r="BD80" s="1"/>
      <c r="BE80" s="16">
        <f>AM80/'2018-19 disagg'!AM80-1</f>
        <v>2.0784313725490167E-2</v>
      </c>
      <c r="BF80" s="16">
        <f>AN80/'2018-19 disagg'!AN80-1</f>
        <v>2.1557019993298399E-2</v>
      </c>
      <c r="BG80" s="16">
        <f>AO80/'2018-19 disagg'!AO80-1</f>
        <v>4.0524781341107818E-2</v>
      </c>
      <c r="BH80" s="16">
        <f>AQ80/'2018-19 disagg'!AQ80-1</f>
        <v>2.3621975540236484E-2</v>
      </c>
      <c r="BI80" s="1"/>
      <c r="BJ80" s="16">
        <f>AS80/'2018-19 disagg'!AS80-1</f>
        <v>1.7705189598838489E-2</v>
      </c>
      <c r="BK80" s="16">
        <f>AT80/'2018-19 disagg'!AT80-1</f>
        <v>1.8475565052507248E-2</v>
      </c>
      <c r="BL80" s="16">
        <f>AU80/'2018-19 disagg'!AU80-1</f>
        <v>3.7386111481543693E-2</v>
      </c>
      <c r="BM80" s="16">
        <f>AW80/'2018-19 disagg'!AW80-1</f>
        <v>2.0534291806193483E-2</v>
      </c>
    </row>
    <row r="81" spans="1:65" x14ac:dyDescent="0.2">
      <c r="A81" s="156" t="s">
        <v>207</v>
      </c>
      <c r="B81" s="156" t="s">
        <v>208</v>
      </c>
      <c r="D81" s="56">
        <f>VLOOKUP(A81,'2019-20'!$A$12:$AMX289,32,FALSE)</f>
        <v>838056</v>
      </c>
      <c r="E81" s="56">
        <v>1644.6390664853059</v>
      </c>
      <c r="F81" s="16">
        <f>VLOOKUP(A81,'2019-20'!$A$12:$AMX289,34,FALSE)</f>
        <v>2.9648959853745493E-2</v>
      </c>
      <c r="G81" s="16">
        <f>VLOOKUP(A81,'2019-20'!$A$12:$AMX289,35,FALSE)</f>
        <v>1.8751461056374152E-2</v>
      </c>
      <c r="H81" s="56"/>
      <c r="I81" s="56">
        <v>849490.37656480097</v>
      </c>
      <c r="J81" s="56">
        <v>1667.0784051445073</v>
      </c>
      <c r="K81" s="16">
        <f t="shared" si="23"/>
        <v>-1.3460277926913955E-2</v>
      </c>
      <c r="L81" s="58">
        <f t="shared" si="23"/>
        <v>-1.3460277926913955E-2</v>
      </c>
      <c r="M81" s="10"/>
      <c r="N81" s="56">
        <v>620687</v>
      </c>
      <c r="O81" s="56">
        <v>69189</v>
      </c>
      <c r="P81" s="56">
        <v>148180</v>
      </c>
      <c r="R81" s="56">
        <f t="shared" si="24"/>
        <v>148180</v>
      </c>
      <c r="S81" s="56">
        <f t="shared" si="25"/>
        <v>0</v>
      </c>
      <c r="U81" s="16">
        <v>-2.6439413281563295E-2</v>
      </c>
      <c r="V81" s="16">
        <v>-4.894547421587625E-2</v>
      </c>
      <c r="W81" s="56">
        <f t="shared" si="26"/>
        <v>4</v>
      </c>
      <c r="X81" s="56">
        <f t="shared" si="27"/>
        <v>6375.432700004204</v>
      </c>
      <c r="Y81" s="56">
        <f t="shared" si="27"/>
        <v>727.49772094249988</v>
      </c>
      <c r="AA81" s="56">
        <f t="shared" si="39"/>
        <v>0</v>
      </c>
      <c r="AB81" s="56">
        <v>0</v>
      </c>
      <c r="AC81" s="56">
        <f t="shared" si="28"/>
        <v>0</v>
      </c>
      <c r="AE81" s="56">
        <v>0</v>
      </c>
      <c r="AF81" s="56">
        <f t="shared" si="29"/>
        <v>0</v>
      </c>
      <c r="AG81" s="56">
        <f t="shared" si="30"/>
        <v>0</v>
      </c>
      <c r="AI81" s="56">
        <f t="shared" si="31"/>
        <v>0</v>
      </c>
      <c r="AJ81" s="56">
        <f t="shared" si="32"/>
        <v>0</v>
      </c>
      <c r="AK81" s="56">
        <f t="shared" si="33"/>
        <v>0</v>
      </c>
      <c r="AM81" s="56">
        <f t="shared" si="34"/>
        <v>620687</v>
      </c>
      <c r="AN81" s="56">
        <f t="shared" si="35"/>
        <v>69189</v>
      </c>
      <c r="AO81" s="56">
        <f t="shared" si="36"/>
        <v>148180</v>
      </c>
      <c r="AP81" s="56"/>
      <c r="AQ81" s="56">
        <f t="shared" si="37"/>
        <v>838056</v>
      </c>
      <c r="AR81" s="1"/>
      <c r="AS81" s="56">
        <v>1218.0642919561044</v>
      </c>
      <c r="AT81" s="56">
        <v>135.77962853443185</v>
      </c>
      <c r="AU81" s="56">
        <v>290.7951459947696</v>
      </c>
      <c r="AV81" s="56"/>
      <c r="AW81" s="56">
        <v>1644.6390664853059</v>
      </c>
      <c r="AX81" s="1"/>
      <c r="AY81" s="16">
        <v>-2.6439413281563295E-2</v>
      </c>
      <c r="AZ81" s="16">
        <v>-4.894547421587625E-2</v>
      </c>
      <c r="BA81" s="16">
        <v>6.4531878890230709E-2</v>
      </c>
      <c r="BB81" s="16">
        <f t="shared" si="38"/>
        <v>-1.3460277926913955E-2</v>
      </c>
      <c r="BC81" s="16"/>
      <c r="BD81" s="1"/>
      <c r="BE81" s="16">
        <f>AM81/'2018-19 disagg'!AM81-1</f>
        <v>2.440839877339096E-2</v>
      </c>
      <c r="BF81" s="16">
        <f>AN81/'2018-19 disagg'!AN81-1</f>
        <v>3.7316341829085387E-2</v>
      </c>
      <c r="BG81" s="16">
        <f>AO81/'2018-19 disagg'!AO81-1</f>
        <v>4.8497799414120468E-2</v>
      </c>
      <c r="BH81" s="16">
        <f>AQ81/'2018-19 disagg'!AQ81-1</f>
        <v>2.9648959853745493E-2</v>
      </c>
      <c r="BI81" s="1"/>
      <c r="BJ81" s="16">
        <f>AS81/'2018-19 disagg'!AS81-1</f>
        <v>1.3566364518108331E-2</v>
      </c>
      <c r="BK81" s="16">
        <f>AT81/'2018-19 disagg'!AT81-1</f>
        <v>2.6337693738009982E-2</v>
      </c>
      <c r="BL81" s="16">
        <f>AU81/'2018-19 disagg'!AU81-1</f>
        <v>3.7400810096727577E-2</v>
      </c>
      <c r="BM81" s="16">
        <f>AW81/'2018-19 disagg'!AW81-1</f>
        <v>1.8751461056374152E-2</v>
      </c>
    </row>
    <row r="82" spans="1:65" x14ac:dyDescent="0.2">
      <c r="A82" s="156" t="s">
        <v>209</v>
      </c>
      <c r="B82" s="156" t="s">
        <v>210</v>
      </c>
      <c r="D82" s="56">
        <f>VLOOKUP(A82,'2019-20'!$A$12:$AMX290,32,FALSE)</f>
        <v>562265</v>
      </c>
      <c r="E82" s="56">
        <v>1761.599897268411</v>
      </c>
      <c r="F82" s="16">
        <f>VLOOKUP(A82,'2019-20'!$A$12:$AMX290,34,FALSE)</f>
        <v>2.4462547304400672E-2</v>
      </c>
      <c r="G82" s="16">
        <f>VLOOKUP(A82,'2019-20'!$A$12:$AMX290,35,FALSE)</f>
        <v>2.1363890003640806E-2</v>
      </c>
      <c r="H82" s="56"/>
      <c r="I82" s="56">
        <v>572110.43883675931</v>
      </c>
      <c r="J82" s="56">
        <v>1792.4460713027145</v>
      </c>
      <c r="K82" s="16">
        <f t="shared" si="23"/>
        <v>-1.720898303617302E-2</v>
      </c>
      <c r="L82" s="58">
        <f t="shared" si="23"/>
        <v>-1.720898303617302E-2</v>
      </c>
      <c r="M82" s="10"/>
      <c r="N82" s="56">
        <v>430035</v>
      </c>
      <c r="O82" s="56">
        <v>42556</v>
      </c>
      <c r="P82" s="56">
        <v>89674</v>
      </c>
      <c r="R82" s="56">
        <f t="shared" si="24"/>
        <v>89674</v>
      </c>
      <c r="S82" s="56">
        <f t="shared" si="25"/>
        <v>0</v>
      </c>
      <c r="U82" s="16">
        <v>-2.3483201162695422E-2</v>
      </c>
      <c r="V82" s="16">
        <v>-3.5319172319336678E-2</v>
      </c>
      <c r="W82" s="56">
        <f t="shared" si="26"/>
        <v>4</v>
      </c>
      <c r="X82" s="56">
        <f t="shared" si="27"/>
        <v>4403.7644873290828</v>
      </c>
      <c r="Y82" s="56">
        <f t="shared" si="27"/>
        <v>441.14072529372629</v>
      </c>
      <c r="AA82" s="56">
        <f t="shared" si="39"/>
        <v>0</v>
      </c>
      <c r="AB82" s="56">
        <v>0</v>
      </c>
      <c r="AC82" s="56">
        <f t="shared" si="28"/>
        <v>0</v>
      </c>
      <c r="AE82" s="56">
        <v>0</v>
      </c>
      <c r="AF82" s="56">
        <f t="shared" si="29"/>
        <v>0</v>
      </c>
      <c r="AG82" s="56">
        <f t="shared" si="30"/>
        <v>0</v>
      </c>
      <c r="AI82" s="56">
        <f t="shared" si="31"/>
        <v>0</v>
      </c>
      <c r="AJ82" s="56">
        <f t="shared" si="32"/>
        <v>0</v>
      </c>
      <c r="AK82" s="56">
        <f t="shared" si="33"/>
        <v>0</v>
      </c>
      <c r="AM82" s="56">
        <f t="shared" si="34"/>
        <v>430035</v>
      </c>
      <c r="AN82" s="56">
        <f t="shared" si="35"/>
        <v>42556</v>
      </c>
      <c r="AO82" s="56">
        <f t="shared" si="36"/>
        <v>89674</v>
      </c>
      <c r="AP82" s="56"/>
      <c r="AQ82" s="56">
        <f t="shared" si="37"/>
        <v>562265</v>
      </c>
      <c r="AR82" s="1"/>
      <c r="AS82" s="56">
        <v>1347.3177448744295</v>
      </c>
      <c r="AT82" s="56">
        <v>133.32973816288495</v>
      </c>
      <c r="AU82" s="56">
        <v>280.95241423109655</v>
      </c>
      <c r="AV82" s="56"/>
      <c r="AW82" s="56">
        <v>1761.599897268411</v>
      </c>
      <c r="AX82" s="1"/>
      <c r="AY82" s="16">
        <v>-2.3483201162695422E-2</v>
      </c>
      <c r="AZ82" s="16">
        <v>-3.5319172319336678E-2</v>
      </c>
      <c r="BA82" s="16">
        <v>2.3443099267647538E-2</v>
      </c>
      <c r="BB82" s="16">
        <f t="shared" si="38"/>
        <v>-1.720898303617302E-2</v>
      </c>
      <c r="BC82" s="16"/>
      <c r="BD82" s="1"/>
      <c r="BE82" s="16">
        <f>AM82/'2018-19 disagg'!AM82-1</f>
        <v>2.0784325826827432E-2</v>
      </c>
      <c r="BF82" s="16">
        <f>AN82/'2018-19 disagg'!AN82-1</f>
        <v>2.8419526341227686E-2</v>
      </c>
      <c r="BG82" s="16">
        <f>AO82/'2018-19 disagg'!AO82-1</f>
        <v>4.0543049431422507E-2</v>
      </c>
      <c r="BH82" s="16">
        <f>AQ82/'2018-19 disagg'!AQ82-1</f>
        <v>2.4462547304400672E-2</v>
      </c>
      <c r="BI82" s="1"/>
      <c r="BJ82" s="16">
        <f>AS82/'2018-19 disagg'!AS82-1</f>
        <v>1.7696793918464904E-2</v>
      </c>
      <c r="BK82" s="16">
        <f>AT82/'2018-19 disagg'!AT82-1</f>
        <v>2.530890049948642E-2</v>
      </c>
      <c r="BL82" s="16">
        <f>AU82/'2018-19 disagg'!AU82-1</f>
        <v>3.7395753978446411E-2</v>
      </c>
      <c r="BM82" s="16">
        <f>AW82/'2018-19 disagg'!AW82-1</f>
        <v>2.1363890003640806E-2</v>
      </c>
    </row>
    <row r="83" spans="1:65" x14ac:dyDescent="0.2">
      <c r="A83" s="156" t="s">
        <v>211</v>
      </c>
      <c r="B83" s="156" t="s">
        <v>212</v>
      </c>
      <c r="D83" s="56">
        <f>VLOOKUP(A83,'2019-20'!$A$12:$AMX291,32,FALSE)</f>
        <v>217134.30208265546</v>
      </c>
      <c r="E83" s="56">
        <v>1530.411493338433</v>
      </c>
      <c r="F83" s="16">
        <f>VLOOKUP(A83,'2019-20'!$A$12:$AMX291,34,FALSE)</f>
        <v>2.752879362595273E-2</v>
      </c>
      <c r="G83" s="16">
        <f>VLOOKUP(A83,'2019-20'!$A$12:$AMX291,35,FALSE)</f>
        <v>2.0816108959805568E-2</v>
      </c>
      <c r="H83" s="56"/>
      <c r="I83" s="56">
        <v>221913.88991279667</v>
      </c>
      <c r="J83" s="56">
        <v>1564.0991054683866</v>
      </c>
      <c r="K83" s="16">
        <f t="shared" si="23"/>
        <v>-2.1538029151845328E-2</v>
      </c>
      <c r="L83" s="58">
        <f t="shared" si="23"/>
        <v>-2.1538029151845439E-2</v>
      </c>
      <c r="M83" s="10"/>
      <c r="N83" s="56">
        <v>166726</v>
      </c>
      <c r="O83" s="56">
        <v>18834</v>
      </c>
      <c r="P83" s="56">
        <v>30987</v>
      </c>
      <c r="R83" s="56">
        <f t="shared" si="24"/>
        <v>30987</v>
      </c>
      <c r="S83" s="56">
        <f t="shared" si="25"/>
        <v>587.30208265545662</v>
      </c>
      <c r="U83" s="16">
        <v>-2.6817872635192308E-2</v>
      </c>
      <c r="V83" s="16">
        <v>1.0474732666534425E-2</v>
      </c>
      <c r="W83" s="56">
        <f t="shared" si="26"/>
        <v>1</v>
      </c>
      <c r="X83" s="56">
        <f t="shared" si="27"/>
        <v>1713.2045000812163</v>
      </c>
      <c r="Y83" s="56">
        <f t="shared" si="27"/>
        <v>186.38763930592398</v>
      </c>
      <c r="AA83" s="56">
        <f t="shared" si="39"/>
        <v>587.30208265545662</v>
      </c>
      <c r="AB83" s="56">
        <v>0</v>
      </c>
      <c r="AC83" s="56">
        <f t="shared" si="28"/>
        <v>0</v>
      </c>
      <c r="AE83" s="56">
        <v>0</v>
      </c>
      <c r="AF83" s="56">
        <f t="shared" si="29"/>
        <v>0</v>
      </c>
      <c r="AG83" s="56">
        <f t="shared" si="30"/>
        <v>0</v>
      </c>
      <c r="AI83" s="56">
        <f t="shared" si="31"/>
        <v>0</v>
      </c>
      <c r="AJ83" s="56">
        <f t="shared" si="32"/>
        <v>0</v>
      </c>
      <c r="AK83" s="56">
        <f t="shared" si="33"/>
        <v>0</v>
      </c>
      <c r="AM83" s="56">
        <f t="shared" si="34"/>
        <v>167313</v>
      </c>
      <c r="AN83" s="56">
        <f t="shared" si="35"/>
        <v>18834</v>
      </c>
      <c r="AO83" s="56">
        <f t="shared" si="36"/>
        <v>30987</v>
      </c>
      <c r="AP83" s="56"/>
      <c r="AQ83" s="56">
        <f t="shared" si="37"/>
        <v>217134</v>
      </c>
      <c r="AR83" s="1"/>
      <c r="AS83" s="56">
        <v>1179.2597287897008</v>
      </c>
      <c r="AT83" s="56">
        <v>132.7462763325338</v>
      </c>
      <c r="AU83" s="56">
        <v>218.40335906956699</v>
      </c>
      <c r="AV83" s="56"/>
      <c r="AW83" s="56">
        <v>1530.4093641918016</v>
      </c>
      <c r="AX83" s="1"/>
      <c r="AY83" s="16">
        <v>-2.3391544955267518E-2</v>
      </c>
      <c r="AZ83" s="16">
        <v>1.0474732666534425E-2</v>
      </c>
      <c r="BA83" s="16">
        <v>-3.0282765967256209E-2</v>
      </c>
      <c r="BB83" s="16">
        <f t="shared" si="38"/>
        <v>-2.1539390412537829E-2</v>
      </c>
      <c r="BC83" s="16"/>
      <c r="BD83" s="1"/>
      <c r="BE83" s="16">
        <f>AM83/'2018-19 disagg'!AM83-1</f>
        <v>2.4379940121593613E-2</v>
      </c>
      <c r="BF83" s="16">
        <f>AN83/'2018-19 disagg'!AN83-1</f>
        <v>2.8562066517394014E-2</v>
      </c>
      <c r="BG83" s="16">
        <f>AO83/'2018-19 disagg'!AO83-1</f>
        <v>4.4212299915753928E-2</v>
      </c>
      <c r="BH83" s="16">
        <f>AQ83/'2018-19 disagg'!AQ83-1</f>
        <v>2.7527364102272855E-2</v>
      </c>
      <c r="BI83" s="1"/>
      <c r="BJ83" s="16">
        <f>AS83/'2018-19 disagg'!AS83-1</f>
        <v>1.7687826422182917E-2</v>
      </c>
      <c r="BK83" s="16">
        <f>AT83/'2018-19 disagg'!AT83-1</f>
        <v>2.184263164128919E-2</v>
      </c>
      <c r="BL83" s="16">
        <f>AU83/'2018-19 disagg'!AU83-1</f>
        <v>3.7390624516165705E-2</v>
      </c>
      <c r="BM83" s="16">
        <f>AW83/'2018-19 disagg'!AW83-1</f>
        <v>2.0814688774979828E-2</v>
      </c>
    </row>
    <row r="84" spans="1:65" x14ac:dyDescent="0.2">
      <c r="A84" s="156" t="s">
        <v>213</v>
      </c>
      <c r="B84" s="156" t="s">
        <v>214</v>
      </c>
      <c r="D84" s="56">
        <f>VLOOKUP(A84,'2019-20'!$A$12:$AMX292,32,FALSE)</f>
        <v>315146</v>
      </c>
      <c r="E84" s="56">
        <v>1672.4102807330312</v>
      </c>
      <c r="F84" s="16">
        <f>VLOOKUP(A84,'2019-20'!$A$12:$AMX292,34,FALSE)</f>
        <v>2.467510087561009E-2</v>
      </c>
      <c r="G84" s="16">
        <f>VLOOKUP(A84,'2019-20'!$A$12:$AMX292,35,FALSE)</f>
        <v>1.9134703493106642E-2</v>
      </c>
      <c r="H84" s="56"/>
      <c r="I84" s="56">
        <v>314809.35858577071</v>
      </c>
      <c r="J84" s="56">
        <v>1670.62379903224</v>
      </c>
      <c r="K84" s="16">
        <f t="shared" si="23"/>
        <v>1.06935008457687E-3</v>
      </c>
      <c r="L84" s="58">
        <f t="shared" si="23"/>
        <v>1.06935008457687E-3</v>
      </c>
      <c r="M84" s="10"/>
      <c r="N84" s="56">
        <v>239149</v>
      </c>
      <c r="O84" s="56">
        <v>26462</v>
      </c>
      <c r="P84" s="56">
        <v>49535</v>
      </c>
      <c r="R84" s="56">
        <f t="shared" si="24"/>
        <v>49535</v>
      </c>
      <c r="S84" s="56">
        <f t="shared" si="25"/>
        <v>0</v>
      </c>
      <c r="U84" s="16">
        <v>2.6392971939039889E-3</v>
      </c>
      <c r="V84" s="16">
        <v>2.5871960689658913E-2</v>
      </c>
      <c r="W84" s="56">
        <f t="shared" si="26"/>
        <v>2</v>
      </c>
      <c r="X84" s="56">
        <f t="shared" si="27"/>
        <v>2385.1947621573236</v>
      </c>
      <c r="Y84" s="56">
        <f t="shared" si="27"/>
        <v>257.94642035259932</v>
      </c>
      <c r="AA84" s="56">
        <f t="shared" si="39"/>
        <v>0</v>
      </c>
      <c r="AB84" s="56">
        <v>0</v>
      </c>
      <c r="AC84" s="56">
        <f t="shared" si="28"/>
        <v>0</v>
      </c>
      <c r="AE84" s="56">
        <v>0</v>
      </c>
      <c r="AF84" s="56">
        <f t="shared" si="29"/>
        <v>0</v>
      </c>
      <c r="AG84" s="56">
        <f t="shared" si="30"/>
        <v>0</v>
      </c>
      <c r="AI84" s="56">
        <f t="shared" si="31"/>
        <v>0</v>
      </c>
      <c r="AJ84" s="56">
        <f t="shared" si="32"/>
        <v>0</v>
      </c>
      <c r="AK84" s="56">
        <f t="shared" si="33"/>
        <v>0</v>
      </c>
      <c r="AM84" s="56">
        <f t="shared" si="34"/>
        <v>239149</v>
      </c>
      <c r="AN84" s="56">
        <f t="shared" si="35"/>
        <v>26462</v>
      </c>
      <c r="AO84" s="56">
        <f t="shared" si="36"/>
        <v>49535</v>
      </c>
      <c r="AP84" s="56"/>
      <c r="AQ84" s="56">
        <f t="shared" si="37"/>
        <v>315146</v>
      </c>
      <c r="AR84" s="1"/>
      <c r="AS84" s="56">
        <v>1269.1109715085188</v>
      </c>
      <c r="AT84" s="56">
        <v>140.42799479846633</v>
      </c>
      <c r="AU84" s="56">
        <v>262.87131442604601</v>
      </c>
      <c r="AV84" s="56"/>
      <c r="AW84" s="56">
        <v>1672.4102807330312</v>
      </c>
      <c r="AX84" s="1"/>
      <c r="AY84" s="16">
        <v>2.6392971939039889E-3</v>
      </c>
      <c r="AZ84" s="16">
        <v>2.5871960689658913E-2</v>
      </c>
      <c r="BA84" s="16">
        <v>-1.901645241040828E-2</v>
      </c>
      <c r="BB84" s="16">
        <f t="shared" si="38"/>
        <v>1.06935008457687E-3</v>
      </c>
      <c r="BC84" s="16"/>
      <c r="BD84" s="1"/>
      <c r="BE84" s="16">
        <f>AM84/'2018-19 disagg'!AM84-1</f>
        <v>2.0782823971316366E-2</v>
      </c>
      <c r="BF84" s="16">
        <f>AN84/'2018-19 disagg'!AN84-1</f>
        <v>2.6215776002481928E-2</v>
      </c>
      <c r="BG84" s="16">
        <f>AO84/'2018-19 disagg'!AO84-1</f>
        <v>4.3039733844307371E-2</v>
      </c>
      <c r="BH84" s="16">
        <f>AQ84/'2018-19 disagg'!AQ84-1</f>
        <v>2.467510087561009E-2</v>
      </c>
      <c r="BI84" s="1"/>
      <c r="BJ84" s="16">
        <f>AS84/'2018-19 disagg'!AS84-1</f>
        <v>1.5263472050690785E-2</v>
      </c>
      <c r="BK84" s="16">
        <f>AT84/'2018-19 disagg'!AT84-1</f>
        <v>2.0667048220974094E-2</v>
      </c>
      <c r="BL84" s="16">
        <f>AU84/'2018-19 disagg'!AU84-1</f>
        <v>3.7400039265703899E-2</v>
      </c>
      <c r="BM84" s="16">
        <f>AW84/'2018-19 disagg'!AW84-1</f>
        <v>1.9134703493106642E-2</v>
      </c>
    </row>
    <row r="85" spans="1:65" x14ac:dyDescent="0.2">
      <c r="A85" s="156" t="s">
        <v>215</v>
      </c>
      <c r="B85" s="156" t="s">
        <v>216</v>
      </c>
      <c r="D85" s="56">
        <f>VLOOKUP(A85,'2019-20'!$A$12:$AMX293,32,FALSE)</f>
        <v>386458</v>
      </c>
      <c r="E85" s="56">
        <v>1771.8935152526692</v>
      </c>
      <c r="F85" s="16">
        <f>VLOOKUP(A85,'2019-20'!$A$12:$AMX293,34,FALSE)</f>
        <v>2.4294180634627738E-2</v>
      </c>
      <c r="G85" s="16">
        <f>VLOOKUP(A85,'2019-20'!$A$12:$AMX293,35,FALSE)</f>
        <v>2.2256713321051613E-2</v>
      </c>
      <c r="H85" s="56"/>
      <c r="I85" s="56">
        <v>376948.97528400359</v>
      </c>
      <c r="J85" s="56">
        <v>1728.2950408242673</v>
      </c>
      <c r="K85" s="16">
        <f t="shared" si="23"/>
        <v>2.5226291459824468E-2</v>
      </c>
      <c r="L85" s="58">
        <f t="shared" si="23"/>
        <v>2.5226291459824246E-2</v>
      </c>
      <c r="M85" s="10"/>
      <c r="N85" s="56">
        <v>292441</v>
      </c>
      <c r="O85" s="56">
        <v>28251</v>
      </c>
      <c r="P85" s="56">
        <v>65766</v>
      </c>
      <c r="R85" s="56">
        <f t="shared" si="24"/>
        <v>65766</v>
      </c>
      <c r="S85" s="56">
        <f t="shared" si="25"/>
        <v>0</v>
      </c>
      <c r="U85" s="16">
        <v>1.9610302969935711E-2</v>
      </c>
      <c r="V85" s="16">
        <v>-1.6848001511442168E-2</v>
      </c>
      <c r="W85" s="56">
        <f t="shared" si="26"/>
        <v>3</v>
      </c>
      <c r="X85" s="56">
        <f t="shared" si="27"/>
        <v>2868.164426626267</v>
      </c>
      <c r="Y85" s="56">
        <f t="shared" si="27"/>
        <v>287.35129505337414</v>
      </c>
      <c r="AA85" s="56">
        <f t="shared" si="39"/>
        <v>0</v>
      </c>
      <c r="AB85" s="56">
        <v>0</v>
      </c>
      <c r="AC85" s="56">
        <f t="shared" si="28"/>
        <v>0</v>
      </c>
      <c r="AE85" s="56">
        <v>0</v>
      </c>
      <c r="AF85" s="56">
        <f t="shared" si="29"/>
        <v>0</v>
      </c>
      <c r="AG85" s="56">
        <f t="shared" si="30"/>
        <v>0</v>
      </c>
      <c r="AI85" s="56">
        <f t="shared" si="31"/>
        <v>0</v>
      </c>
      <c r="AJ85" s="56">
        <f t="shared" si="32"/>
        <v>0</v>
      </c>
      <c r="AK85" s="56">
        <f t="shared" si="33"/>
        <v>0</v>
      </c>
      <c r="AM85" s="56">
        <f t="shared" si="34"/>
        <v>292441</v>
      </c>
      <c r="AN85" s="56">
        <f t="shared" si="35"/>
        <v>28251</v>
      </c>
      <c r="AO85" s="56">
        <f t="shared" si="36"/>
        <v>65766</v>
      </c>
      <c r="AP85" s="56"/>
      <c r="AQ85" s="56">
        <f t="shared" si="37"/>
        <v>386458</v>
      </c>
      <c r="AR85" s="1"/>
      <c r="AS85" s="56">
        <v>1340.8295636110672</v>
      </c>
      <c r="AT85" s="56">
        <v>129.52963504288476</v>
      </c>
      <c r="AU85" s="56">
        <v>301.53431659871717</v>
      </c>
      <c r="AV85" s="56"/>
      <c r="AW85" s="56">
        <v>1771.8935152526692</v>
      </c>
      <c r="AX85" s="1"/>
      <c r="AY85" s="16">
        <v>1.9610302969935711E-2</v>
      </c>
      <c r="AZ85" s="16">
        <v>-1.6848001511442168E-2</v>
      </c>
      <c r="BA85" s="16">
        <v>7.1152795757565279E-2</v>
      </c>
      <c r="BB85" s="16">
        <f t="shared" si="38"/>
        <v>2.5226291459824468E-2</v>
      </c>
      <c r="BC85" s="16"/>
      <c r="BD85" s="1"/>
      <c r="BE85" s="16">
        <f>AM85/'2018-19 disagg'!AM85-1</f>
        <v>2.0782792936503203E-2</v>
      </c>
      <c r="BF85" s="16">
        <f>AN85/'2018-19 disagg'!AN85-1</f>
        <v>2.5966008134805429E-2</v>
      </c>
      <c r="BG85" s="16">
        <f>AO85/'2018-19 disagg'!AO85-1</f>
        <v>3.9466405348590916E-2</v>
      </c>
      <c r="BH85" s="16">
        <f>AQ85/'2018-19 disagg'!AQ85-1</f>
        <v>2.4294180634627738E-2</v>
      </c>
      <c r="BI85" s="1"/>
      <c r="BJ85" s="16">
        <f>AS85/'2018-19 disagg'!AS85-1</f>
        <v>1.8752310274207318E-2</v>
      </c>
      <c r="BK85" s="16">
        <f>AT85/'2018-19 disagg'!AT85-1</f>
        <v>2.3925215317726289E-2</v>
      </c>
      <c r="BL85" s="16">
        <f>AU85/'2018-19 disagg'!AU85-1</f>
        <v>3.7398758314663327E-2</v>
      </c>
      <c r="BM85" s="16">
        <f>AW85/'2018-19 disagg'!AW85-1</f>
        <v>2.2256713321051613E-2</v>
      </c>
    </row>
    <row r="86" spans="1:65" x14ac:dyDescent="0.2">
      <c r="A86" s="156" t="s">
        <v>217</v>
      </c>
      <c r="B86" s="156" t="s">
        <v>218</v>
      </c>
      <c r="D86" s="56">
        <f>VLOOKUP(A86,'2019-20'!$A$12:$AMX294,32,FALSE)</f>
        <v>277638</v>
      </c>
      <c r="E86" s="56">
        <v>1566.1858935197452</v>
      </c>
      <c r="F86" s="16">
        <f>VLOOKUP(A86,'2019-20'!$A$12:$AMX294,34,FALSE)</f>
        <v>2.4562517067554301E-2</v>
      </c>
      <c r="G86" s="16">
        <f>VLOOKUP(A86,'2019-20'!$A$12:$AMX294,35,FALSE)</f>
        <v>2.0173282374956303E-2</v>
      </c>
      <c r="H86" s="56"/>
      <c r="I86" s="56">
        <v>280527.35163139837</v>
      </c>
      <c r="J86" s="56">
        <v>1582.4850376085024</v>
      </c>
      <c r="K86" s="16">
        <f t="shared" si="23"/>
        <v>-1.0299714500548451E-2</v>
      </c>
      <c r="L86" s="58">
        <f t="shared" si="23"/>
        <v>-1.0299714500548451E-2</v>
      </c>
      <c r="M86" s="10"/>
      <c r="N86" s="56">
        <v>209755</v>
      </c>
      <c r="O86" s="56">
        <v>23293</v>
      </c>
      <c r="P86" s="56">
        <v>44590</v>
      </c>
      <c r="R86" s="56">
        <f t="shared" si="24"/>
        <v>44590</v>
      </c>
      <c r="S86" s="56">
        <f t="shared" si="25"/>
        <v>0</v>
      </c>
      <c r="U86" s="16">
        <v>-1.1565162049007038E-2</v>
      </c>
      <c r="V86" s="16">
        <v>1.2001324517478151E-2</v>
      </c>
      <c r="W86" s="56">
        <f t="shared" si="26"/>
        <v>1</v>
      </c>
      <c r="X86" s="56">
        <f t="shared" si="27"/>
        <v>2122.0923418160596</v>
      </c>
      <c r="Y86" s="56">
        <f t="shared" si="27"/>
        <v>230.16768294355833</v>
      </c>
      <c r="AA86" s="56">
        <f t="shared" si="39"/>
        <v>0</v>
      </c>
      <c r="AB86" s="56">
        <v>0</v>
      </c>
      <c r="AC86" s="56">
        <f t="shared" si="28"/>
        <v>0</v>
      </c>
      <c r="AE86" s="56">
        <v>0</v>
      </c>
      <c r="AF86" s="56">
        <f t="shared" si="29"/>
        <v>0</v>
      </c>
      <c r="AG86" s="56">
        <f t="shared" si="30"/>
        <v>0</v>
      </c>
      <c r="AI86" s="56">
        <f t="shared" si="31"/>
        <v>0</v>
      </c>
      <c r="AJ86" s="56">
        <f t="shared" si="32"/>
        <v>0</v>
      </c>
      <c r="AK86" s="56">
        <f t="shared" si="33"/>
        <v>0</v>
      </c>
      <c r="AM86" s="56">
        <f t="shared" si="34"/>
        <v>209755</v>
      </c>
      <c r="AN86" s="56">
        <f t="shared" si="35"/>
        <v>23293</v>
      </c>
      <c r="AO86" s="56">
        <f t="shared" si="36"/>
        <v>44590</v>
      </c>
      <c r="AP86" s="56"/>
      <c r="AQ86" s="56">
        <f t="shared" si="37"/>
        <v>277638</v>
      </c>
      <c r="AR86" s="1"/>
      <c r="AS86" s="56">
        <v>1183.2505712302859</v>
      </c>
      <c r="AT86" s="56">
        <v>131.39832450080831</v>
      </c>
      <c r="AU86" s="56">
        <v>251.53699778865081</v>
      </c>
      <c r="AV86" s="56"/>
      <c r="AW86" s="56">
        <v>1566.1858935197452</v>
      </c>
      <c r="AX86" s="1"/>
      <c r="AY86" s="16">
        <v>-1.1565162049007038E-2</v>
      </c>
      <c r="AZ86" s="16">
        <v>1.2001324517478151E-2</v>
      </c>
      <c r="BA86" s="16">
        <v>-1.5702604198294723E-2</v>
      </c>
      <c r="BB86" s="16">
        <f t="shared" si="38"/>
        <v>-1.0299714500548451E-2</v>
      </c>
      <c r="BC86" s="16"/>
      <c r="BD86" s="1"/>
      <c r="BE86" s="16">
        <f>AM86/'2018-19 disagg'!AM86-1</f>
        <v>2.078507329037782E-2</v>
      </c>
      <c r="BF86" s="16">
        <f>AN86/'2018-19 disagg'!AN86-1</f>
        <v>2.6123348017621062E-2</v>
      </c>
      <c r="BG86" s="16">
        <f>AO86/'2018-19 disagg'!AO86-1</f>
        <v>4.1871115472685627E-2</v>
      </c>
      <c r="BH86" s="16">
        <f>AQ86/'2018-19 disagg'!AQ86-1</f>
        <v>2.4562517067554301E-2</v>
      </c>
      <c r="BI86" s="1"/>
      <c r="BJ86" s="16">
        <f>AS86/'2018-19 disagg'!AS86-1</f>
        <v>1.6412021199621929E-2</v>
      </c>
      <c r="BK86" s="16">
        <f>AT86/'2018-19 disagg'!AT86-1</f>
        <v>2.1727426711720899E-2</v>
      </c>
      <c r="BL86" s="16">
        <f>AU86/'2018-19 disagg'!AU86-1</f>
        <v>3.7407730594682276E-2</v>
      </c>
      <c r="BM86" s="16">
        <f>AW86/'2018-19 disagg'!AW86-1</f>
        <v>2.0173282374956303E-2</v>
      </c>
    </row>
    <row r="87" spans="1:65" x14ac:dyDescent="0.2">
      <c r="A87" s="156" t="s">
        <v>219</v>
      </c>
      <c r="B87" s="156" t="s">
        <v>220</v>
      </c>
      <c r="D87" s="56">
        <f>VLOOKUP(A87,'2019-20'!$A$12:$AMX295,32,FALSE)</f>
        <v>983897.46473086323</v>
      </c>
      <c r="E87" s="56">
        <v>1691.5898110821229</v>
      </c>
      <c r="F87" s="16">
        <f>VLOOKUP(A87,'2019-20'!$A$12:$AMX295,34,FALSE)</f>
        <v>2.8043718072324975E-2</v>
      </c>
      <c r="G87" s="16">
        <f>VLOOKUP(A87,'2019-20'!$A$12:$AMX295,35,FALSE)</f>
        <v>1.9946488010006647E-2</v>
      </c>
      <c r="H87" s="56"/>
      <c r="I87" s="56">
        <v>1005012.8829884764</v>
      </c>
      <c r="J87" s="56">
        <v>1727.8930110208344</v>
      </c>
      <c r="K87" s="16">
        <f t="shared" si="23"/>
        <v>-2.1010097099278036E-2</v>
      </c>
      <c r="L87" s="58">
        <f t="shared" si="23"/>
        <v>-2.1010097099277925E-2</v>
      </c>
      <c r="M87" s="10"/>
      <c r="N87" s="56">
        <v>711411</v>
      </c>
      <c r="O87" s="56">
        <v>83411</v>
      </c>
      <c r="P87" s="56">
        <v>188130</v>
      </c>
      <c r="R87" s="56">
        <f t="shared" si="24"/>
        <v>188130</v>
      </c>
      <c r="S87" s="56">
        <f t="shared" si="25"/>
        <v>945.46473086322658</v>
      </c>
      <c r="U87" s="16">
        <v>-3.5586757479820208E-2</v>
      </c>
      <c r="V87" s="16">
        <v>-2.4103850243795355E-2</v>
      </c>
      <c r="W87" s="56">
        <f t="shared" si="26"/>
        <v>4</v>
      </c>
      <c r="X87" s="56">
        <f t="shared" si="27"/>
        <v>7376.6199864796454</v>
      </c>
      <c r="Y87" s="56">
        <f t="shared" si="27"/>
        <v>854.71184634591987</v>
      </c>
      <c r="AA87" s="56">
        <f t="shared" si="39"/>
        <v>0</v>
      </c>
      <c r="AB87" s="56">
        <v>0</v>
      </c>
      <c r="AC87" s="56">
        <f t="shared" si="28"/>
        <v>945.46473086322658</v>
      </c>
      <c r="AE87" s="56">
        <v>0</v>
      </c>
      <c r="AF87" s="56">
        <f t="shared" si="29"/>
        <v>0</v>
      </c>
      <c r="AG87" s="56">
        <f t="shared" si="30"/>
        <v>945.46473086322658</v>
      </c>
      <c r="AI87" s="56">
        <f t="shared" si="31"/>
        <v>847.29107899458847</v>
      </c>
      <c r="AJ87" s="56">
        <f t="shared" si="32"/>
        <v>98.173651868638188</v>
      </c>
      <c r="AK87" s="56">
        <f t="shared" si="33"/>
        <v>0</v>
      </c>
      <c r="AM87" s="56">
        <f t="shared" si="34"/>
        <v>712258</v>
      </c>
      <c r="AN87" s="56">
        <f t="shared" si="35"/>
        <v>83509</v>
      </c>
      <c r="AO87" s="56">
        <f t="shared" si="36"/>
        <v>188130</v>
      </c>
      <c r="AP87" s="56"/>
      <c r="AQ87" s="56">
        <f t="shared" si="37"/>
        <v>983897</v>
      </c>
      <c r="AR87" s="1"/>
      <c r="AS87" s="56">
        <v>1224.5670091154332</v>
      </c>
      <c r="AT87" s="56">
        <v>143.57489331705747</v>
      </c>
      <c r="AU87" s="56">
        <v>323.44710964971466</v>
      </c>
      <c r="AV87" s="56"/>
      <c r="AW87" s="56">
        <v>1691.5890120822053</v>
      </c>
      <c r="AX87" s="1"/>
      <c r="AY87" s="16">
        <v>-3.4438535121135039E-2</v>
      </c>
      <c r="AZ87" s="16">
        <v>-2.2957264989139414E-2</v>
      </c>
      <c r="BA87" s="16">
        <v>3.4365024267063449E-2</v>
      </c>
      <c r="BB87" s="16">
        <f t="shared" si="38"/>
        <v>-2.101055951211972E-2</v>
      </c>
      <c r="BC87" s="16"/>
      <c r="BD87" s="1"/>
      <c r="BE87" s="16">
        <f>AM87/'2018-19 disagg'!AM87-1</f>
        <v>2.2828676505433299E-2</v>
      </c>
      <c r="BF87" s="16">
        <f>AN87/'2018-19 disagg'!AN87-1</f>
        <v>3.3808710292406285E-2</v>
      </c>
      <c r="BG87" s="16">
        <f>AO87/'2018-19 disagg'!AO87-1</f>
        <v>4.5637203408200433E-2</v>
      </c>
      <c r="BH87" s="16">
        <f>AQ87/'2018-19 disagg'!AQ87-1</f>
        <v>2.8043232489566972E-2</v>
      </c>
      <c r="BI87" s="1"/>
      <c r="BJ87" s="16">
        <f>AS87/'2018-19 disagg'!AS87-1</f>
        <v>1.4772521925226378E-2</v>
      </c>
      <c r="BK87" s="16">
        <f>AT87/'2018-19 disagg'!AT87-1</f>
        <v>2.5666073145260038E-2</v>
      </c>
      <c r="BL87" s="16">
        <f>AU87/'2018-19 disagg'!AU87-1</f>
        <v>3.7401400933193329E-2</v>
      </c>
      <c r="BM87" s="16">
        <f>AW87/'2018-19 disagg'!AW87-1</f>
        <v>1.9946006251867265E-2</v>
      </c>
    </row>
    <row r="88" spans="1:65" x14ac:dyDescent="0.2">
      <c r="A88" s="156" t="s">
        <v>221</v>
      </c>
      <c r="B88" s="156" t="s">
        <v>222</v>
      </c>
      <c r="D88" s="56">
        <f>VLOOKUP(A88,'2019-20'!$A$12:$AMX296,32,FALSE)</f>
        <v>529505</v>
      </c>
      <c r="E88" s="56">
        <v>1713.3283792238904</v>
      </c>
      <c r="F88" s="16">
        <f>VLOOKUP(A88,'2019-20'!$A$12:$AMX296,34,FALSE)</f>
        <v>2.356200078868631E-2</v>
      </c>
      <c r="G88" s="16">
        <f>VLOOKUP(A88,'2019-20'!$A$12:$AMX296,35,FALSE)</f>
        <v>1.9077975159497607E-2</v>
      </c>
      <c r="H88" s="56"/>
      <c r="I88" s="56">
        <v>537711.47305706644</v>
      </c>
      <c r="J88" s="56">
        <v>1739.8822043662556</v>
      </c>
      <c r="K88" s="16">
        <f t="shared" si="23"/>
        <v>-1.5261852253979136E-2</v>
      </c>
      <c r="L88" s="58">
        <f t="shared" si="23"/>
        <v>-1.5261852253979025E-2</v>
      </c>
      <c r="M88" s="10"/>
      <c r="N88" s="56">
        <v>400186</v>
      </c>
      <c r="O88" s="56">
        <v>43951</v>
      </c>
      <c r="P88" s="56">
        <v>85368</v>
      </c>
      <c r="R88" s="56">
        <f t="shared" si="24"/>
        <v>85368</v>
      </c>
      <c r="S88" s="56">
        <f t="shared" si="25"/>
        <v>0</v>
      </c>
      <c r="U88" s="16">
        <v>-1.806658956264362E-2</v>
      </c>
      <c r="V88" s="16">
        <v>6.5825347122008049E-2</v>
      </c>
      <c r="W88" s="56">
        <f t="shared" si="26"/>
        <v>1</v>
      </c>
      <c r="X88" s="56">
        <f t="shared" si="27"/>
        <v>4075.4902088702311</v>
      </c>
      <c r="Y88" s="56">
        <f t="shared" si="27"/>
        <v>412.36587325192227</v>
      </c>
      <c r="AA88" s="56">
        <f t="shared" si="39"/>
        <v>0</v>
      </c>
      <c r="AB88" s="56">
        <v>0</v>
      </c>
      <c r="AC88" s="56">
        <f t="shared" si="28"/>
        <v>0</v>
      </c>
      <c r="AE88" s="56">
        <v>0</v>
      </c>
      <c r="AF88" s="56">
        <f t="shared" si="29"/>
        <v>0</v>
      </c>
      <c r="AG88" s="56">
        <f t="shared" si="30"/>
        <v>0</v>
      </c>
      <c r="AI88" s="56">
        <f t="shared" si="31"/>
        <v>0</v>
      </c>
      <c r="AJ88" s="56">
        <f t="shared" si="32"/>
        <v>0</v>
      </c>
      <c r="AK88" s="56">
        <f t="shared" si="33"/>
        <v>0</v>
      </c>
      <c r="AM88" s="56">
        <f t="shared" si="34"/>
        <v>400186</v>
      </c>
      <c r="AN88" s="56">
        <f t="shared" si="35"/>
        <v>43951</v>
      </c>
      <c r="AO88" s="56">
        <f t="shared" si="36"/>
        <v>85368</v>
      </c>
      <c r="AP88" s="56"/>
      <c r="AQ88" s="56">
        <f t="shared" si="37"/>
        <v>529505</v>
      </c>
      <c r="AR88" s="1"/>
      <c r="AS88" s="56">
        <v>1294.8886804998854</v>
      </c>
      <c r="AT88" s="56">
        <v>142.21300194572137</v>
      </c>
      <c r="AU88" s="56">
        <v>276.22669677828361</v>
      </c>
      <c r="AV88" s="56"/>
      <c r="AW88" s="56">
        <v>1713.3283792238904</v>
      </c>
      <c r="AX88" s="1"/>
      <c r="AY88" s="16">
        <v>-1.806658956264362E-2</v>
      </c>
      <c r="AZ88" s="16">
        <v>6.5825347122008049E-2</v>
      </c>
      <c r="BA88" s="16">
        <v>-4.0009336440623766E-2</v>
      </c>
      <c r="BB88" s="16">
        <f t="shared" si="38"/>
        <v>-1.5261852253979136E-2</v>
      </c>
      <c r="BC88" s="16"/>
      <c r="BD88" s="1"/>
      <c r="BE88" s="16">
        <f>AM88/'2018-19 disagg'!AM88-1</f>
        <v>2.0783699539330458E-2</v>
      </c>
      <c r="BF88" s="16">
        <f>AN88/'2018-19 disagg'!AN88-1</f>
        <v>1.3910676386453824E-2</v>
      </c>
      <c r="BG88" s="16">
        <f>AO88/'2018-19 disagg'!AO88-1</f>
        <v>4.1962651043573773E-2</v>
      </c>
      <c r="BH88" s="16">
        <f>AQ88/'2018-19 disagg'!AQ88-1</f>
        <v>2.356200078868631E-2</v>
      </c>
      <c r="BI88" s="1"/>
      <c r="BJ88" s="16">
        <f>AS88/'2018-19 disagg'!AS88-1</f>
        <v>1.6311845106413259E-2</v>
      </c>
      <c r="BK88" s="16">
        <f>AT88/'2018-19 disagg'!AT88-1</f>
        <v>9.4689313283902177E-3</v>
      </c>
      <c r="BL88" s="16">
        <f>AU88/'2018-19 disagg'!AU88-1</f>
        <v>3.7398015751977765E-2</v>
      </c>
      <c r="BM88" s="16">
        <f>AW88/'2018-19 disagg'!AW88-1</f>
        <v>1.9077975159497607E-2</v>
      </c>
    </row>
    <row r="89" spans="1:65" x14ac:dyDescent="0.2">
      <c r="A89" s="156" t="s">
        <v>223</v>
      </c>
      <c r="B89" s="156" t="s">
        <v>224</v>
      </c>
      <c r="D89" s="56">
        <f>VLOOKUP(A89,'2019-20'!$A$12:$AMX297,32,FALSE)</f>
        <v>411455.20020640804</v>
      </c>
      <c r="E89" s="56">
        <v>1655.8717531399968</v>
      </c>
      <c r="F89" s="16">
        <f>VLOOKUP(A89,'2019-20'!$A$12:$AMX297,34,FALSE)</f>
        <v>2.6602760543243065E-2</v>
      </c>
      <c r="G89" s="16">
        <f>VLOOKUP(A89,'2019-20'!$A$12:$AMX297,35,FALSE)</f>
        <v>2.0828297986200228E-2</v>
      </c>
      <c r="H89" s="56"/>
      <c r="I89" s="56">
        <v>420627.58841535624</v>
      </c>
      <c r="J89" s="56">
        <v>1692.7853673959655</v>
      </c>
      <c r="K89" s="16">
        <f t="shared" si="23"/>
        <v>-2.1806435102137756E-2</v>
      </c>
      <c r="L89" s="58">
        <f t="shared" si="23"/>
        <v>-2.1806435102137867E-2</v>
      </c>
      <c r="M89" s="10"/>
      <c r="N89" s="56">
        <v>309871</v>
      </c>
      <c r="O89" s="56">
        <v>32545</v>
      </c>
      <c r="P89" s="56">
        <v>68540</v>
      </c>
      <c r="R89" s="56">
        <f t="shared" si="24"/>
        <v>68540</v>
      </c>
      <c r="S89" s="56">
        <f t="shared" si="25"/>
        <v>499.20020640804432</v>
      </c>
      <c r="U89" s="16">
        <v>-3.2792150410284604E-2</v>
      </c>
      <c r="V89" s="16">
        <v>-4.7957331001680092E-2</v>
      </c>
      <c r="W89" s="56">
        <f t="shared" si="26"/>
        <v>4</v>
      </c>
      <c r="X89" s="56">
        <f t="shared" si="27"/>
        <v>3203.7684571257942</v>
      </c>
      <c r="Y89" s="56">
        <f t="shared" si="27"/>
        <v>341.84392212422398</v>
      </c>
      <c r="AA89" s="56">
        <f t="shared" si="39"/>
        <v>0</v>
      </c>
      <c r="AB89" s="56">
        <v>0</v>
      </c>
      <c r="AC89" s="56">
        <f t="shared" si="28"/>
        <v>499.20020640804432</v>
      </c>
      <c r="AE89" s="56">
        <v>0</v>
      </c>
      <c r="AF89" s="56">
        <f t="shared" si="29"/>
        <v>0</v>
      </c>
      <c r="AG89" s="56">
        <f t="shared" si="30"/>
        <v>499.20020640804432</v>
      </c>
      <c r="AI89" s="56">
        <f t="shared" si="31"/>
        <v>451.07070486342133</v>
      </c>
      <c r="AJ89" s="56">
        <f t="shared" si="32"/>
        <v>48.129501544622968</v>
      </c>
      <c r="AK89" s="56">
        <f t="shared" si="33"/>
        <v>0</v>
      </c>
      <c r="AM89" s="56">
        <f t="shared" si="34"/>
        <v>310322</v>
      </c>
      <c r="AN89" s="56">
        <f t="shared" si="35"/>
        <v>32593</v>
      </c>
      <c r="AO89" s="56">
        <f t="shared" si="36"/>
        <v>68540</v>
      </c>
      <c r="AP89" s="56"/>
      <c r="AQ89" s="56">
        <f t="shared" si="37"/>
        <v>411455</v>
      </c>
      <c r="AR89" s="1"/>
      <c r="AS89" s="56">
        <v>1248.8684890120082</v>
      </c>
      <c r="AT89" s="56">
        <v>131.16817583789864</v>
      </c>
      <c r="AU89" s="56">
        <v>275.83428257385248</v>
      </c>
      <c r="AV89" s="56"/>
      <c r="AW89" s="56">
        <v>1655.8709474237594</v>
      </c>
      <c r="AX89" s="1"/>
      <c r="AY89" s="16">
        <v>-3.1384433198396566E-2</v>
      </c>
      <c r="AZ89" s="16">
        <v>-4.655318142073317E-2</v>
      </c>
      <c r="BA89" s="16">
        <v>3.7441897293944759E-2</v>
      </c>
      <c r="BB89" s="16">
        <f t="shared" si="38"/>
        <v>-2.1806911072838608E-2</v>
      </c>
      <c r="BC89" s="16"/>
      <c r="BD89" s="1"/>
      <c r="BE89" s="16">
        <f>AM89/'2018-19 disagg'!AM89-1</f>
        <v>2.2268926940789635E-2</v>
      </c>
      <c r="BF89" s="16">
        <f>AN89/'2018-19 disagg'!AN89-1</f>
        <v>3.3582799517980488E-2</v>
      </c>
      <c r="BG89" s="16">
        <f>AO89/'2018-19 disagg'!AO89-1</f>
        <v>4.3274426533936206E-2</v>
      </c>
      <c r="BH89" s="16">
        <f>AQ89/'2018-19 disagg'!AQ89-1</f>
        <v>2.6602261017532713E-2</v>
      </c>
      <c r="BI89" s="1"/>
      <c r="BJ89" s="16">
        <f>AS89/'2018-19 disagg'!AS89-1</f>
        <v>1.6518841446450994E-2</v>
      </c>
      <c r="BK89" s="16">
        <f>AT89/'2018-19 disagg'!AT89-1</f>
        <v>2.7769075451758773E-2</v>
      </c>
      <c r="BL89" s="16">
        <f>AU89/'2018-19 disagg'!AU89-1</f>
        <v>3.7406188745882085E-2</v>
      </c>
      <c r="BM89" s="16">
        <f>AW89/'2018-19 disagg'!AW89-1</f>
        <v>2.0827801270235424E-2</v>
      </c>
    </row>
    <row r="90" spans="1:65" x14ac:dyDescent="0.2">
      <c r="A90" s="156" t="s">
        <v>225</v>
      </c>
      <c r="B90" s="156" t="s">
        <v>226</v>
      </c>
      <c r="D90" s="56">
        <f>VLOOKUP(A90,'2019-20'!$A$12:$AMX298,32,FALSE)</f>
        <v>349398.16201661486</v>
      </c>
      <c r="E90" s="56">
        <v>1586.2481851287116</v>
      </c>
      <c r="F90" s="16">
        <f>VLOOKUP(A90,'2019-20'!$A$12:$AMX298,34,FALSE)</f>
        <v>2.6699505208793273E-2</v>
      </c>
      <c r="G90" s="16">
        <f>VLOOKUP(A90,'2019-20'!$A$12:$AMX298,35,FALSE)</f>
        <v>2.2381004142903782E-2</v>
      </c>
      <c r="H90" s="56"/>
      <c r="I90" s="56">
        <v>358106.52643682063</v>
      </c>
      <c r="J90" s="56">
        <v>1625.7836743175012</v>
      </c>
      <c r="K90" s="16">
        <f t="shared" si="23"/>
        <v>-2.4317804276996702E-2</v>
      </c>
      <c r="L90" s="58">
        <f t="shared" si="23"/>
        <v>-2.4317804276996702E-2</v>
      </c>
      <c r="M90" s="10"/>
      <c r="N90" s="56">
        <v>263562</v>
      </c>
      <c r="O90" s="56">
        <v>27545</v>
      </c>
      <c r="P90" s="56">
        <v>57652</v>
      </c>
      <c r="R90" s="56">
        <f t="shared" si="24"/>
        <v>57652</v>
      </c>
      <c r="S90" s="56">
        <f t="shared" si="25"/>
        <v>639.16201661486411</v>
      </c>
      <c r="U90" s="16">
        <v>-2.7712859869128748E-2</v>
      </c>
      <c r="V90" s="16">
        <v>-2.3079567562459991E-2</v>
      </c>
      <c r="W90" s="56">
        <f t="shared" si="26"/>
        <v>4</v>
      </c>
      <c r="X90" s="56">
        <f t="shared" si="27"/>
        <v>2710.7424249643391</v>
      </c>
      <c r="Y90" s="56">
        <f t="shared" si="27"/>
        <v>281.95745615916479</v>
      </c>
      <c r="AA90" s="56">
        <f t="shared" si="39"/>
        <v>0</v>
      </c>
      <c r="AB90" s="56">
        <v>0</v>
      </c>
      <c r="AC90" s="56">
        <f t="shared" si="28"/>
        <v>639.16201661486411</v>
      </c>
      <c r="AE90" s="56">
        <v>0</v>
      </c>
      <c r="AF90" s="56">
        <f t="shared" si="29"/>
        <v>0</v>
      </c>
      <c r="AG90" s="56">
        <f t="shared" si="30"/>
        <v>639.16201661486411</v>
      </c>
      <c r="AI90" s="56">
        <f t="shared" si="31"/>
        <v>578.94331663261494</v>
      </c>
      <c r="AJ90" s="56">
        <f t="shared" si="32"/>
        <v>60.218699982249127</v>
      </c>
      <c r="AK90" s="56">
        <f t="shared" si="33"/>
        <v>0</v>
      </c>
      <c r="AM90" s="56">
        <f t="shared" si="34"/>
        <v>264141</v>
      </c>
      <c r="AN90" s="56">
        <f t="shared" si="35"/>
        <v>27605</v>
      </c>
      <c r="AO90" s="56">
        <f t="shared" si="36"/>
        <v>57652</v>
      </c>
      <c r="AP90" s="56"/>
      <c r="AQ90" s="56">
        <f t="shared" si="37"/>
        <v>349398</v>
      </c>
      <c r="AR90" s="1"/>
      <c r="AS90" s="56">
        <v>1199.1854205808866</v>
      </c>
      <c r="AT90" s="56">
        <v>125.32516169445627</v>
      </c>
      <c r="AU90" s="56">
        <v>261.73686730696585</v>
      </c>
      <c r="AV90" s="56"/>
      <c r="AW90" s="56">
        <v>1586.2474495823087</v>
      </c>
      <c r="AX90" s="1"/>
      <c r="AY90" s="16">
        <v>-2.5576913662407885E-2</v>
      </c>
      <c r="AZ90" s="16">
        <v>-2.0951586950869738E-2</v>
      </c>
      <c r="BA90" s="16">
        <v>-2.013269913905813E-2</v>
      </c>
      <c r="BB90" s="16">
        <f t="shared" si="38"/>
        <v>-2.4318256702749674E-2</v>
      </c>
      <c r="BC90" s="16"/>
      <c r="BD90" s="1"/>
      <c r="BE90" s="16">
        <f>AM90/'2018-19 disagg'!AM90-1</f>
        <v>2.3025143689290317E-2</v>
      </c>
      <c r="BF90" s="16">
        <f>AN90/'2018-19 disagg'!AN90-1</f>
        <v>3.0960561697042088E-2</v>
      </c>
      <c r="BG90" s="16">
        <f>AO90/'2018-19 disagg'!AO90-1</f>
        <v>4.1778099024214033E-2</v>
      </c>
      <c r="BH90" s="16">
        <f>AQ90/'2018-19 disagg'!AQ90-1</f>
        <v>2.6699029126213691E-2</v>
      </c>
      <c r="BI90" s="1"/>
      <c r="BJ90" s="16">
        <f>AS90/'2018-19 disagg'!AS90-1</f>
        <v>1.8722097714260366E-2</v>
      </c>
      <c r="BK90" s="16">
        <f>AT90/'2018-19 disagg'!AT90-1</f>
        <v>2.6624137785283164E-2</v>
      </c>
      <c r="BL90" s="16">
        <f>AU90/'2018-19 disagg'!AU90-1</f>
        <v>3.7396174412161587E-2</v>
      </c>
      <c r="BM90" s="16">
        <f>AW90/'2018-19 disagg'!AW90-1</f>
        <v>2.2380530062821702E-2</v>
      </c>
    </row>
    <row r="91" spans="1:65" x14ac:dyDescent="0.2">
      <c r="A91" s="156" t="s">
        <v>227</v>
      </c>
      <c r="B91" s="156" t="s">
        <v>228</v>
      </c>
      <c r="D91" s="56">
        <f>VLOOKUP(A91,'2019-20'!$A$12:$AMX299,32,FALSE)</f>
        <v>451207</v>
      </c>
      <c r="E91" s="56">
        <v>1591.1742721758421</v>
      </c>
      <c r="F91" s="16">
        <f>VLOOKUP(A91,'2019-20'!$A$12:$AMX299,34,FALSE)</f>
        <v>2.4818297447079196E-2</v>
      </c>
      <c r="G91" s="16">
        <f>VLOOKUP(A91,'2019-20'!$A$12:$AMX299,35,FALSE)</f>
        <v>1.9087306368969603E-2</v>
      </c>
      <c r="H91" s="56"/>
      <c r="I91" s="56">
        <v>452533.92903700029</v>
      </c>
      <c r="J91" s="56">
        <v>1595.8536662115682</v>
      </c>
      <c r="K91" s="16">
        <f t="shared" si="23"/>
        <v>-2.9322199991147491E-3</v>
      </c>
      <c r="L91" s="58">
        <f t="shared" si="23"/>
        <v>-2.9322199991147491E-3</v>
      </c>
      <c r="M91" s="10"/>
      <c r="N91" s="56">
        <v>339821</v>
      </c>
      <c r="O91" s="56">
        <v>37478</v>
      </c>
      <c r="P91" s="56">
        <v>73908</v>
      </c>
      <c r="R91" s="56">
        <f t="shared" si="24"/>
        <v>73908</v>
      </c>
      <c r="S91" s="56">
        <f t="shared" si="25"/>
        <v>0</v>
      </c>
      <c r="U91" s="16">
        <v>-2.6315393055882486E-2</v>
      </c>
      <c r="V91" s="16">
        <v>3.3329932560304254E-2</v>
      </c>
      <c r="W91" s="56">
        <f t="shared" si="26"/>
        <v>1</v>
      </c>
      <c r="X91" s="56">
        <f t="shared" si="27"/>
        <v>3490.0520926023355</v>
      </c>
      <c r="Y91" s="56">
        <f t="shared" si="27"/>
        <v>362.69151622405764</v>
      </c>
      <c r="AA91" s="56">
        <f t="shared" si="39"/>
        <v>0</v>
      </c>
      <c r="AB91" s="56">
        <v>0</v>
      </c>
      <c r="AC91" s="56">
        <f t="shared" si="28"/>
        <v>0</v>
      </c>
      <c r="AE91" s="56">
        <v>0</v>
      </c>
      <c r="AF91" s="56">
        <f t="shared" si="29"/>
        <v>0</v>
      </c>
      <c r="AG91" s="56">
        <f t="shared" si="30"/>
        <v>0</v>
      </c>
      <c r="AI91" s="56">
        <f t="shared" si="31"/>
        <v>0</v>
      </c>
      <c r="AJ91" s="56">
        <f t="shared" si="32"/>
        <v>0</v>
      </c>
      <c r="AK91" s="56">
        <f t="shared" si="33"/>
        <v>0</v>
      </c>
      <c r="AM91" s="56">
        <f t="shared" si="34"/>
        <v>339821</v>
      </c>
      <c r="AN91" s="56">
        <f t="shared" si="35"/>
        <v>37478</v>
      </c>
      <c r="AO91" s="56">
        <f t="shared" si="36"/>
        <v>73908</v>
      </c>
      <c r="AP91" s="56"/>
      <c r="AQ91" s="56">
        <f t="shared" si="37"/>
        <v>451207</v>
      </c>
      <c r="AR91" s="1"/>
      <c r="AS91" s="56">
        <v>1198.3733238736695</v>
      </c>
      <c r="AT91" s="56">
        <v>132.16556784936006</v>
      </c>
      <c r="AU91" s="56">
        <v>260.6353804528124</v>
      </c>
      <c r="AV91" s="56"/>
      <c r="AW91" s="56">
        <v>1591.1742721758421</v>
      </c>
      <c r="AX91" s="1"/>
      <c r="AY91" s="16">
        <v>-2.6315393055882486E-2</v>
      </c>
      <c r="AZ91" s="16">
        <v>3.3329932560304254E-2</v>
      </c>
      <c r="BA91" s="16">
        <v>9.8847376337308779E-2</v>
      </c>
      <c r="BB91" s="16">
        <f t="shared" si="38"/>
        <v>-2.9322199991147491E-3</v>
      </c>
      <c r="BC91" s="16"/>
      <c r="BD91" s="1"/>
      <c r="BE91" s="16">
        <f>AM91/'2018-19 disagg'!AM91-1</f>
        <v>2.0783894359300836E-2</v>
      </c>
      <c r="BF91" s="16">
        <f>AN91/'2018-19 disagg'!AN91-1</f>
        <v>2.5867024334163657E-2</v>
      </c>
      <c r="BG91" s="16">
        <f>AO91/'2018-19 disagg'!AO91-1</f>
        <v>4.3235231844166888E-2</v>
      </c>
      <c r="BH91" s="16">
        <f>AQ91/'2018-19 disagg'!AQ91-1</f>
        <v>2.4818297447079196E-2</v>
      </c>
      <c r="BI91" s="1"/>
      <c r="BJ91" s="16">
        <f>AS91/'2018-19 disagg'!AS91-1</f>
        <v>1.5075464478780276E-2</v>
      </c>
      <c r="BK91" s="16">
        <f>AT91/'2018-19 disagg'!AT91-1</f>
        <v>2.0130168563309736E-2</v>
      </c>
      <c r="BL91" s="16">
        <f>AU91/'2018-19 disagg'!AU91-1</f>
        <v>3.7401249546073378E-2</v>
      </c>
      <c r="BM91" s="16">
        <f>AW91/'2018-19 disagg'!AW91-1</f>
        <v>1.9087306368969603E-2</v>
      </c>
    </row>
    <row r="92" spans="1:65" x14ac:dyDescent="0.2">
      <c r="A92" s="156" t="s">
        <v>229</v>
      </c>
      <c r="B92" s="156" t="s">
        <v>230</v>
      </c>
      <c r="D92" s="56">
        <f>VLOOKUP(A92,'2019-20'!$A$12:$AMX300,32,FALSE)</f>
        <v>480311.40975913272</v>
      </c>
      <c r="E92" s="56">
        <v>1568.2811892582972</v>
      </c>
      <c r="F92" s="16">
        <f>VLOOKUP(A92,'2019-20'!$A$12:$AMX300,34,FALSE)</f>
        <v>2.3895463586027565E-2</v>
      </c>
      <c r="G92" s="16">
        <f>VLOOKUP(A92,'2019-20'!$A$12:$AMX300,35,FALSE)</f>
        <v>1.9446768197245223E-2</v>
      </c>
      <c r="H92" s="56"/>
      <c r="I92" s="56">
        <v>490063.58434950199</v>
      </c>
      <c r="J92" s="56">
        <v>1600.1233476032519</v>
      </c>
      <c r="K92" s="16">
        <f t="shared" si="23"/>
        <v>-1.9899814844055563E-2</v>
      </c>
      <c r="L92" s="58">
        <f t="shared" si="23"/>
        <v>-1.9899814844055341E-2</v>
      </c>
      <c r="M92" s="10"/>
      <c r="N92" s="56">
        <v>357844</v>
      </c>
      <c r="O92" s="56">
        <v>46177</v>
      </c>
      <c r="P92" s="56">
        <v>75877</v>
      </c>
      <c r="R92" s="56">
        <f t="shared" si="24"/>
        <v>75877</v>
      </c>
      <c r="S92" s="56">
        <f t="shared" si="25"/>
        <v>413.40975913271541</v>
      </c>
      <c r="U92" s="16">
        <v>-2.8391001873964705E-2</v>
      </c>
      <c r="V92" s="16">
        <v>0.14384461638341772</v>
      </c>
      <c r="W92" s="56">
        <f t="shared" si="26"/>
        <v>1</v>
      </c>
      <c r="X92" s="56">
        <f t="shared" si="27"/>
        <v>3683.0041785345952</v>
      </c>
      <c r="Y92" s="56">
        <f t="shared" si="27"/>
        <v>403.69993737437346</v>
      </c>
      <c r="AA92" s="56">
        <f t="shared" si="39"/>
        <v>413.40975913271541</v>
      </c>
      <c r="AB92" s="56">
        <v>0</v>
      </c>
      <c r="AC92" s="56">
        <f t="shared" si="28"/>
        <v>0</v>
      </c>
      <c r="AE92" s="56">
        <v>0</v>
      </c>
      <c r="AF92" s="56">
        <f t="shared" si="29"/>
        <v>0</v>
      </c>
      <c r="AG92" s="56">
        <f t="shared" si="30"/>
        <v>0</v>
      </c>
      <c r="AI92" s="56">
        <f t="shared" si="31"/>
        <v>0</v>
      </c>
      <c r="AJ92" s="56">
        <f t="shared" si="32"/>
        <v>0</v>
      </c>
      <c r="AK92" s="56">
        <f t="shared" si="33"/>
        <v>0</v>
      </c>
      <c r="AM92" s="56">
        <f t="shared" si="34"/>
        <v>358257</v>
      </c>
      <c r="AN92" s="56">
        <f t="shared" si="35"/>
        <v>46177</v>
      </c>
      <c r="AO92" s="56">
        <f t="shared" si="36"/>
        <v>75877</v>
      </c>
      <c r="AP92" s="56"/>
      <c r="AQ92" s="56">
        <f t="shared" si="37"/>
        <v>480311</v>
      </c>
      <c r="AR92" s="1"/>
      <c r="AS92" s="56">
        <v>1169.7571671301041</v>
      </c>
      <c r="AT92" s="56">
        <v>150.77409989635044</v>
      </c>
      <c r="AU92" s="56">
        <v>247.74858431330276</v>
      </c>
      <c r="AV92" s="56"/>
      <c r="AW92" s="56">
        <v>1568.2798513397572</v>
      </c>
      <c r="AX92" s="1"/>
      <c r="AY92" s="16">
        <v>-2.7269634696574396E-2</v>
      </c>
      <c r="AZ92" s="16">
        <v>0.14384461638341772</v>
      </c>
      <c r="BA92" s="16">
        <v>-6.77719343238391E-2</v>
      </c>
      <c r="BB92" s="16">
        <f t="shared" si="38"/>
        <v>-1.9900650978683321E-2</v>
      </c>
      <c r="BC92" s="16"/>
      <c r="BD92" s="1"/>
      <c r="BE92" s="16">
        <f>AM92/'2018-19 disagg'!AM92-1</f>
        <v>2.196212894870464E-2</v>
      </c>
      <c r="BF92" s="16">
        <f>AN92/'2018-19 disagg'!AN92-1</f>
        <v>9.9956255468065525E-3</v>
      </c>
      <c r="BG92" s="16">
        <f>AO92/'2018-19 disagg'!AO92-1</f>
        <v>4.192299242008124E-2</v>
      </c>
      <c r="BH92" s="16">
        <f>AQ92/'2018-19 disagg'!AQ92-1</f>
        <v>2.3894590089148959E-2</v>
      </c>
      <c r="BI92" s="1"/>
      <c r="BJ92" s="16">
        <f>AS92/'2018-19 disagg'!AS92-1</f>
        <v>1.7521833652697216E-2</v>
      </c>
      <c r="BK92" s="16">
        <f>AT92/'2018-19 disagg'!AT92-1</f>
        <v>5.6073231840596538E-3</v>
      </c>
      <c r="BL92" s="16">
        <f>AU92/'2018-19 disagg'!AU92-1</f>
        <v>3.7395969714451249E-2</v>
      </c>
      <c r="BM92" s="16">
        <f>AW92/'2018-19 disagg'!AW92-1</f>
        <v>1.944589849559919E-2</v>
      </c>
    </row>
    <row r="93" spans="1:65" x14ac:dyDescent="0.2">
      <c r="A93" s="156" t="s">
        <v>231</v>
      </c>
      <c r="B93" s="156" t="s">
        <v>232</v>
      </c>
      <c r="D93" s="56">
        <f>VLOOKUP(A93,'2019-20'!$A$12:$AMX301,32,FALSE)</f>
        <v>240277</v>
      </c>
      <c r="E93" s="56">
        <v>1615.2639160416634</v>
      </c>
      <c r="F93" s="16">
        <f>VLOOKUP(A93,'2019-20'!$A$12:$AMX301,34,FALSE)</f>
        <v>2.4377661910222947E-2</v>
      </c>
      <c r="G93" s="16">
        <f>VLOOKUP(A93,'2019-20'!$A$12:$AMX301,35,FALSE)</f>
        <v>2.0641214645117145E-2</v>
      </c>
      <c r="H93" s="56"/>
      <c r="I93" s="56">
        <v>241325.01242710196</v>
      </c>
      <c r="J93" s="56">
        <v>1622.3091873621022</v>
      </c>
      <c r="K93" s="16">
        <f t="shared" si="23"/>
        <v>-4.3427426629411015E-3</v>
      </c>
      <c r="L93" s="58">
        <f t="shared" si="23"/>
        <v>-4.3427426629412125E-3</v>
      </c>
      <c r="M93" s="10"/>
      <c r="N93" s="56">
        <v>178694</v>
      </c>
      <c r="O93" s="56">
        <v>19551</v>
      </c>
      <c r="P93" s="56">
        <v>42032</v>
      </c>
      <c r="R93" s="56">
        <f t="shared" si="24"/>
        <v>42032</v>
      </c>
      <c r="S93" s="56">
        <f t="shared" si="25"/>
        <v>0</v>
      </c>
      <c r="U93" s="16">
        <v>-2.3359502642324559E-2</v>
      </c>
      <c r="V93" s="16">
        <v>4.4830130992476125E-2</v>
      </c>
      <c r="W93" s="56">
        <f t="shared" si="26"/>
        <v>1</v>
      </c>
      <c r="X93" s="56">
        <f t="shared" si="27"/>
        <v>1829.6804247157572</v>
      </c>
      <c r="Y93" s="56">
        <f t="shared" si="27"/>
        <v>187.12132642488646</v>
      </c>
      <c r="AA93" s="56">
        <f t="shared" si="39"/>
        <v>0</v>
      </c>
      <c r="AB93" s="56">
        <v>0</v>
      </c>
      <c r="AC93" s="56">
        <f t="shared" si="28"/>
        <v>0</v>
      </c>
      <c r="AE93" s="56">
        <v>0</v>
      </c>
      <c r="AF93" s="56">
        <f t="shared" si="29"/>
        <v>0</v>
      </c>
      <c r="AG93" s="56">
        <f t="shared" si="30"/>
        <v>0</v>
      </c>
      <c r="AI93" s="56">
        <f t="shared" si="31"/>
        <v>0</v>
      </c>
      <c r="AJ93" s="56">
        <f t="shared" si="32"/>
        <v>0</v>
      </c>
      <c r="AK93" s="56">
        <f t="shared" si="33"/>
        <v>0</v>
      </c>
      <c r="AM93" s="56">
        <f t="shared" si="34"/>
        <v>178694</v>
      </c>
      <c r="AN93" s="56">
        <f t="shared" si="35"/>
        <v>19551</v>
      </c>
      <c r="AO93" s="56">
        <f t="shared" si="36"/>
        <v>42032</v>
      </c>
      <c r="AP93" s="56"/>
      <c r="AQ93" s="56">
        <f t="shared" si="37"/>
        <v>240277</v>
      </c>
      <c r="AR93" s="1"/>
      <c r="AS93" s="56">
        <v>1201.2717414198987</v>
      </c>
      <c r="AT93" s="56">
        <v>131.43174262426515</v>
      </c>
      <c r="AU93" s="56">
        <v>282.56043199749956</v>
      </c>
      <c r="AV93" s="56"/>
      <c r="AW93" s="56">
        <v>1615.2639160416634</v>
      </c>
      <c r="AX93" s="1"/>
      <c r="AY93" s="16">
        <v>-2.3359502642324559E-2</v>
      </c>
      <c r="AZ93" s="16">
        <v>4.4830130992476125E-2</v>
      </c>
      <c r="BA93" s="16">
        <v>6.0213708738750427E-2</v>
      </c>
      <c r="BB93" s="16">
        <f t="shared" si="38"/>
        <v>-4.3427426629411015E-3</v>
      </c>
      <c r="BC93" s="16"/>
      <c r="BD93" s="1"/>
      <c r="BE93" s="16">
        <f>AM93/'2018-19 disagg'!AM93-1</f>
        <v>2.0781921213782972E-2</v>
      </c>
      <c r="BF93" s="16">
        <f>AN93/'2018-19 disagg'!AN93-1</f>
        <v>2.1793665725932998E-2</v>
      </c>
      <c r="BG93" s="16">
        <f>AO93/'2018-19 disagg'!AO93-1</f>
        <v>4.1194976343233769E-2</v>
      </c>
      <c r="BH93" s="16">
        <f>AQ93/'2018-19 disagg'!AQ93-1</f>
        <v>2.4377661910222947E-2</v>
      </c>
      <c r="BI93" s="1"/>
      <c r="BJ93" s="16">
        <f>AS93/'2018-19 disagg'!AS93-1</f>
        <v>1.7058589517271683E-2</v>
      </c>
      <c r="BK93" s="16">
        <f>AT93/'2018-19 disagg'!AT93-1</f>
        <v>1.8066643661936777E-2</v>
      </c>
      <c r="BL93" s="16">
        <f>AU93/'2018-19 disagg'!AU93-1</f>
        <v>3.7397187435435075E-2</v>
      </c>
      <c r="BM93" s="16">
        <f>AW93/'2018-19 disagg'!AW93-1</f>
        <v>2.0641214645117145E-2</v>
      </c>
    </row>
    <row r="94" spans="1:65" x14ac:dyDescent="0.2">
      <c r="A94" s="156" t="s">
        <v>233</v>
      </c>
      <c r="B94" s="156" t="s">
        <v>234</v>
      </c>
      <c r="D94" s="56">
        <f>VLOOKUP(A94,'2019-20'!$A$12:$AMX302,32,FALSE)</f>
        <v>534365</v>
      </c>
      <c r="E94" s="56">
        <v>1851.9168688527354</v>
      </c>
      <c r="F94" s="16">
        <f>VLOOKUP(A94,'2019-20'!$A$12:$AMX302,34,FALSE)</f>
        <v>2.4659399238741608E-2</v>
      </c>
      <c r="G94" s="16">
        <f>VLOOKUP(A94,'2019-20'!$A$12:$AMX302,35,FALSE)</f>
        <v>2.1628778335344379E-2</v>
      </c>
      <c r="H94" s="56"/>
      <c r="I94" s="56">
        <v>527239.42727788573</v>
      </c>
      <c r="J94" s="56">
        <v>1827.2221970004989</v>
      </c>
      <c r="K94" s="16">
        <f t="shared" si="23"/>
        <v>1.3514870765457099E-2</v>
      </c>
      <c r="L94" s="58">
        <f t="shared" si="23"/>
        <v>1.3514870765457099E-2</v>
      </c>
      <c r="M94" s="10"/>
      <c r="N94" s="56">
        <v>402605</v>
      </c>
      <c r="O94" s="56">
        <v>40137</v>
      </c>
      <c r="P94" s="56">
        <v>91623</v>
      </c>
      <c r="R94" s="56">
        <f t="shared" si="24"/>
        <v>91623</v>
      </c>
      <c r="S94" s="56">
        <f t="shared" si="25"/>
        <v>0</v>
      </c>
      <c r="U94" s="16">
        <v>2.326916357038078E-3</v>
      </c>
      <c r="V94" s="16">
        <v>-3.2538409833626658E-2</v>
      </c>
      <c r="W94" s="56">
        <f t="shared" si="26"/>
        <v>3</v>
      </c>
      <c r="X94" s="56">
        <f t="shared" si="27"/>
        <v>4016.7034670012631</v>
      </c>
      <c r="Y94" s="56">
        <f t="shared" si="27"/>
        <v>414.86918352073991</v>
      </c>
      <c r="AA94" s="56">
        <f t="shared" si="39"/>
        <v>0</v>
      </c>
      <c r="AB94" s="56">
        <v>0</v>
      </c>
      <c r="AC94" s="56">
        <f t="shared" si="28"/>
        <v>0</v>
      </c>
      <c r="AE94" s="56">
        <v>0</v>
      </c>
      <c r="AF94" s="56">
        <f t="shared" si="29"/>
        <v>0</v>
      </c>
      <c r="AG94" s="56">
        <f t="shared" si="30"/>
        <v>0</v>
      </c>
      <c r="AI94" s="56">
        <f t="shared" si="31"/>
        <v>0</v>
      </c>
      <c r="AJ94" s="56">
        <f t="shared" si="32"/>
        <v>0</v>
      </c>
      <c r="AK94" s="56">
        <f t="shared" si="33"/>
        <v>0</v>
      </c>
      <c r="AM94" s="56">
        <f t="shared" si="34"/>
        <v>402605</v>
      </c>
      <c r="AN94" s="56">
        <f t="shared" si="35"/>
        <v>40137</v>
      </c>
      <c r="AO94" s="56">
        <f t="shared" si="36"/>
        <v>91623</v>
      </c>
      <c r="AP94" s="56"/>
      <c r="AQ94" s="56">
        <f t="shared" si="37"/>
        <v>534365</v>
      </c>
      <c r="AR94" s="1"/>
      <c r="AS94" s="56">
        <v>1395.2841054044625</v>
      </c>
      <c r="AT94" s="56">
        <v>139.10040396572052</v>
      </c>
      <c r="AU94" s="56">
        <v>317.53235948255252</v>
      </c>
      <c r="AV94" s="56"/>
      <c r="AW94" s="56">
        <v>1851.9168688527354</v>
      </c>
      <c r="AX94" s="1"/>
      <c r="AY94" s="16">
        <v>2.326916357038078E-3</v>
      </c>
      <c r="AZ94" s="16">
        <v>-3.2538409833626658E-2</v>
      </c>
      <c r="BA94" s="16">
        <v>8.9684156243200919E-2</v>
      </c>
      <c r="BB94" s="16">
        <f t="shared" si="38"/>
        <v>1.3514870765457099E-2</v>
      </c>
      <c r="BC94" s="16"/>
      <c r="BD94" s="1"/>
      <c r="BE94" s="16">
        <f>AM94/'2018-19 disagg'!AM94-1</f>
        <v>2.0783046997018273E-2</v>
      </c>
      <c r="BF94" s="16">
        <f>AN94/'2018-19 disagg'!AN94-1</f>
        <v>2.8152056970131678E-2</v>
      </c>
      <c r="BG94" s="16">
        <f>AO94/'2018-19 disagg'!AO94-1</f>
        <v>4.0472864783838158E-2</v>
      </c>
      <c r="BH94" s="16">
        <f>AQ94/'2018-19 disagg'!AQ94-1</f>
        <v>2.4659399238741608E-2</v>
      </c>
      <c r="BI94" s="1"/>
      <c r="BJ94" s="16">
        <f>AS94/'2018-19 disagg'!AS94-1</f>
        <v>1.776389112692045E-2</v>
      </c>
      <c r="BK94" s="16">
        <f>AT94/'2018-19 disagg'!AT94-1</f>
        <v>2.5111105881370221E-2</v>
      </c>
      <c r="BL94" s="16">
        <f>AU94/'2018-19 disagg'!AU94-1</f>
        <v>3.7395472612572034E-2</v>
      </c>
      <c r="BM94" s="16">
        <f>AW94/'2018-19 disagg'!AW94-1</f>
        <v>2.1628778335344379E-2</v>
      </c>
    </row>
    <row r="95" spans="1:65" x14ac:dyDescent="0.2">
      <c r="A95" s="156" t="s">
        <v>235</v>
      </c>
      <c r="B95" s="156" t="s">
        <v>236</v>
      </c>
      <c r="D95" s="56">
        <f>VLOOKUP(A95,'2019-20'!$A$12:$AMX303,32,FALSE)</f>
        <v>290480</v>
      </c>
      <c r="E95" s="56">
        <v>1598.4660944620823</v>
      </c>
      <c r="F95" s="16">
        <f>VLOOKUP(A95,'2019-20'!$A$12:$AMX303,34,FALSE)</f>
        <v>2.4581056819664937E-2</v>
      </c>
      <c r="G95" s="16">
        <f>VLOOKUP(A95,'2019-20'!$A$12:$AMX303,35,FALSE)</f>
        <v>2.0769797597650186E-2</v>
      </c>
      <c r="H95" s="56"/>
      <c r="I95" s="56">
        <v>296879.4359301005</v>
      </c>
      <c r="J95" s="56">
        <v>1633.6811913980091</v>
      </c>
      <c r="K95" s="16">
        <f t="shared" si="23"/>
        <v>-2.1555672625325317E-2</v>
      </c>
      <c r="L95" s="58">
        <f t="shared" si="23"/>
        <v>-2.1555672625325206E-2</v>
      </c>
      <c r="M95" s="10"/>
      <c r="N95" s="56">
        <v>218257</v>
      </c>
      <c r="O95" s="56">
        <v>24051</v>
      </c>
      <c r="P95" s="56">
        <v>48172</v>
      </c>
      <c r="R95" s="56">
        <f t="shared" si="24"/>
        <v>48172</v>
      </c>
      <c r="S95" s="56">
        <f t="shared" si="25"/>
        <v>0</v>
      </c>
      <c r="U95" s="16">
        <v>-2.803655706522068E-2</v>
      </c>
      <c r="V95" s="16">
        <v>2.3354747470833992E-3</v>
      </c>
      <c r="W95" s="56">
        <f t="shared" si="26"/>
        <v>1</v>
      </c>
      <c r="X95" s="56">
        <f t="shared" si="27"/>
        <v>2245.5268414312727</v>
      </c>
      <c r="Y95" s="56">
        <f t="shared" si="27"/>
        <v>239.94960375984621</v>
      </c>
      <c r="AA95" s="56">
        <f t="shared" si="39"/>
        <v>0</v>
      </c>
      <c r="AB95" s="56">
        <v>0</v>
      </c>
      <c r="AC95" s="56">
        <f t="shared" si="28"/>
        <v>0</v>
      </c>
      <c r="AE95" s="56">
        <v>0</v>
      </c>
      <c r="AF95" s="56">
        <f t="shared" si="29"/>
        <v>0</v>
      </c>
      <c r="AG95" s="56">
        <f t="shared" si="30"/>
        <v>0</v>
      </c>
      <c r="AI95" s="56">
        <f t="shared" si="31"/>
        <v>0</v>
      </c>
      <c r="AJ95" s="56">
        <f t="shared" si="32"/>
        <v>0</v>
      </c>
      <c r="AK95" s="56">
        <f t="shared" si="33"/>
        <v>0</v>
      </c>
      <c r="AM95" s="56">
        <f t="shared" si="34"/>
        <v>218257</v>
      </c>
      <c r="AN95" s="56">
        <f t="shared" si="35"/>
        <v>24051</v>
      </c>
      <c r="AO95" s="56">
        <f t="shared" si="36"/>
        <v>48172</v>
      </c>
      <c r="AP95" s="56"/>
      <c r="AQ95" s="56">
        <f t="shared" si="37"/>
        <v>290480</v>
      </c>
      <c r="AR95" s="1"/>
      <c r="AS95" s="56">
        <v>1201.0341998726615</v>
      </c>
      <c r="AT95" s="56">
        <v>132.34889850560293</v>
      </c>
      <c r="AU95" s="56">
        <v>265.08299608381793</v>
      </c>
      <c r="AV95" s="56"/>
      <c r="AW95" s="56">
        <v>1598.4660944620823</v>
      </c>
      <c r="AX95" s="1"/>
      <c r="AY95" s="16">
        <v>-2.803655706522068E-2</v>
      </c>
      <c r="AZ95" s="16">
        <v>2.3354747470833992E-3</v>
      </c>
      <c r="BA95" s="16">
        <v>-3.3061346646522383E-3</v>
      </c>
      <c r="BB95" s="16">
        <f t="shared" si="38"/>
        <v>-2.1555672625325317E-2</v>
      </c>
      <c r="BC95" s="16"/>
      <c r="BD95" s="1"/>
      <c r="BE95" s="16">
        <f>AM95/'2018-19 disagg'!AM95-1</f>
        <v>2.0784517311856598E-2</v>
      </c>
      <c r="BF95" s="16">
        <f>AN95/'2018-19 disagg'!AN95-1</f>
        <v>2.628547045018137E-2</v>
      </c>
      <c r="BG95" s="16">
        <f>AO95/'2018-19 disagg'!AO95-1</f>
        <v>4.1264077124267828E-2</v>
      </c>
      <c r="BH95" s="16">
        <f>AQ95/'2018-19 disagg'!AQ95-1</f>
        <v>2.4581056819664937E-2</v>
      </c>
      <c r="BI95" s="1"/>
      <c r="BJ95" s="16">
        <f>AS95/'2018-19 disagg'!AS95-1</f>
        <v>1.6987380541271913E-2</v>
      </c>
      <c r="BK95" s="16">
        <f>AT95/'2018-19 disagg'!AT95-1</f>
        <v>2.2467871112736848E-2</v>
      </c>
      <c r="BL95" s="16">
        <f>AU95/'2018-19 disagg'!AU95-1</f>
        <v>3.7390760035221904E-2</v>
      </c>
      <c r="BM95" s="16">
        <f>AW95/'2018-19 disagg'!AW95-1</f>
        <v>2.0769797597650186E-2</v>
      </c>
    </row>
    <row r="96" spans="1:65" x14ac:dyDescent="0.2">
      <c r="A96" s="156" t="s">
        <v>237</v>
      </c>
      <c r="B96" s="156" t="s">
        <v>238</v>
      </c>
      <c r="D96" s="56">
        <f>VLOOKUP(A96,'2019-20'!$A$12:$AMX304,32,FALSE)</f>
        <v>514351</v>
      </c>
      <c r="E96" s="56">
        <v>1811.4724778325367</v>
      </c>
      <c r="F96" s="16">
        <f>VLOOKUP(A96,'2019-20'!$A$12:$AMX304,34,FALSE)</f>
        <v>2.2698758288844489E-2</v>
      </c>
      <c r="G96" s="16">
        <f>VLOOKUP(A96,'2019-20'!$A$12:$AMX304,35,FALSE)</f>
        <v>1.7533720235723749E-2</v>
      </c>
      <c r="H96" s="56"/>
      <c r="I96" s="56">
        <v>495105.65507469513</v>
      </c>
      <c r="J96" s="56">
        <v>1743.6930574394903</v>
      </c>
      <c r="K96" s="16">
        <f t="shared" si="23"/>
        <v>3.8871187852623779E-2</v>
      </c>
      <c r="L96" s="58">
        <f t="shared" si="23"/>
        <v>3.8871187852623779E-2</v>
      </c>
      <c r="M96" s="10"/>
      <c r="N96" s="56">
        <v>390877</v>
      </c>
      <c r="O96" s="56">
        <v>40073</v>
      </c>
      <c r="P96" s="56">
        <v>83401</v>
      </c>
      <c r="R96" s="56">
        <f t="shared" si="24"/>
        <v>83401</v>
      </c>
      <c r="S96" s="56">
        <f t="shared" si="25"/>
        <v>0</v>
      </c>
      <c r="U96" s="16">
        <v>5.2760360771606285E-2</v>
      </c>
      <c r="V96" s="16">
        <v>-1.776551038320151E-2</v>
      </c>
      <c r="W96" s="56">
        <f t="shared" si="26"/>
        <v>3</v>
      </c>
      <c r="X96" s="56">
        <f t="shared" si="27"/>
        <v>3712.8772564490559</v>
      </c>
      <c r="Y96" s="56">
        <f t="shared" si="27"/>
        <v>407.97793626279383</v>
      </c>
      <c r="AA96" s="56">
        <f t="shared" si="39"/>
        <v>0</v>
      </c>
      <c r="AB96" s="56">
        <v>0</v>
      </c>
      <c r="AC96" s="56">
        <f t="shared" si="28"/>
        <v>0</v>
      </c>
      <c r="AE96" s="56">
        <v>0</v>
      </c>
      <c r="AF96" s="56">
        <f t="shared" si="29"/>
        <v>0</v>
      </c>
      <c r="AG96" s="56">
        <f t="shared" si="30"/>
        <v>0</v>
      </c>
      <c r="AI96" s="56">
        <f t="shared" si="31"/>
        <v>0</v>
      </c>
      <c r="AJ96" s="56">
        <f t="shared" si="32"/>
        <v>0</v>
      </c>
      <c r="AK96" s="56">
        <f t="shared" si="33"/>
        <v>0</v>
      </c>
      <c r="AM96" s="56">
        <f t="shared" si="34"/>
        <v>390877</v>
      </c>
      <c r="AN96" s="56">
        <f t="shared" si="35"/>
        <v>40073</v>
      </c>
      <c r="AO96" s="56">
        <f t="shared" si="36"/>
        <v>83401</v>
      </c>
      <c r="AP96" s="56"/>
      <c r="AQ96" s="56">
        <f t="shared" si="37"/>
        <v>514351</v>
      </c>
      <c r="AR96" s="1"/>
      <c r="AS96" s="56">
        <v>1376.6142725837969</v>
      </c>
      <c r="AT96" s="56">
        <v>141.13151642396582</v>
      </c>
      <c r="AU96" s="56">
        <v>293.72668882477416</v>
      </c>
      <c r="AV96" s="56"/>
      <c r="AW96" s="56">
        <v>1811.4724778325367</v>
      </c>
      <c r="AX96" s="1"/>
      <c r="AY96" s="16">
        <v>5.2760360771606285E-2</v>
      </c>
      <c r="AZ96" s="16">
        <v>-1.776551038320151E-2</v>
      </c>
      <c r="BA96" s="16">
        <v>4.5876123039754191E-3</v>
      </c>
      <c r="BB96" s="16">
        <f t="shared" si="38"/>
        <v>3.8871187852623779E-2</v>
      </c>
      <c r="BC96" s="16"/>
      <c r="BD96" s="1"/>
      <c r="BE96" s="16">
        <f>AM96/'2018-19 disagg'!AM96-1</f>
        <v>1.7882346813885119E-2</v>
      </c>
      <c r="BF96" s="16">
        <f>AN96/'2018-19 disagg'!AN96-1</f>
        <v>2.9175334514728979E-2</v>
      </c>
      <c r="BG96" s="16">
        <f>AO96/'2018-19 disagg'!AO96-1</f>
        <v>4.2668900335050219E-2</v>
      </c>
      <c r="BH96" s="16">
        <f>AQ96/'2018-19 disagg'!AQ96-1</f>
        <v>2.2698758288844489E-2</v>
      </c>
      <c r="BI96" s="1"/>
      <c r="BJ96" s="16">
        <f>AS96/'2018-19 disagg'!AS96-1</f>
        <v>1.2741633566427879E-2</v>
      </c>
      <c r="BK96" s="16">
        <f>AT96/'2018-19 disagg'!AT96-1</f>
        <v>2.3977587159490277E-2</v>
      </c>
      <c r="BL96" s="16">
        <f>AU96/'2018-19 disagg'!AU96-1</f>
        <v>3.7403005071769968E-2</v>
      </c>
      <c r="BM96" s="16">
        <f>AW96/'2018-19 disagg'!AW96-1</f>
        <v>1.7533720235723749E-2</v>
      </c>
    </row>
    <row r="97" spans="1:65" x14ac:dyDescent="0.2">
      <c r="A97" s="156" t="s">
        <v>239</v>
      </c>
      <c r="B97" s="156" t="s">
        <v>240</v>
      </c>
      <c r="D97" s="56">
        <f>VLOOKUP(A97,'2019-20'!$A$12:$AMX305,32,FALSE)</f>
        <v>316378.37138195575</v>
      </c>
      <c r="E97" s="56">
        <v>1664.2247502284513</v>
      </c>
      <c r="F97" s="16">
        <f>VLOOKUP(A97,'2019-20'!$A$12:$AMX305,34,FALSE)</f>
        <v>2.5285088217994023E-2</v>
      </c>
      <c r="G97" s="16">
        <f>VLOOKUP(A97,'2019-20'!$A$12:$AMX305,35,FALSE)</f>
        <v>2.0016629378885042E-2</v>
      </c>
      <c r="H97" s="56"/>
      <c r="I97" s="56">
        <v>322971.99324356526</v>
      </c>
      <c r="J97" s="56">
        <v>1698.9087542196414</v>
      </c>
      <c r="K97" s="16">
        <f t="shared" si="23"/>
        <v>-2.0415460162321319E-2</v>
      </c>
      <c r="L97" s="58">
        <f t="shared" si="23"/>
        <v>-2.041546016232143E-2</v>
      </c>
      <c r="M97" s="10"/>
      <c r="N97" s="56">
        <v>243335</v>
      </c>
      <c r="O97" s="56">
        <v>24403</v>
      </c>
      <c r="P97" s="56">
        <v>48530</v>
      </c>
      <c r="R97" s="56">
        <f t="shared" si="24"/>
        <v>48530</v>
      </c>
      <c r="S97" s="56">
        <f t="shared" si="25"/>
        <v>110.37138195574516</v>
      </c>
      <c r="U97" s="16">
        <v>-2.0937780964414343E-2</v>
      </c>
      <c r="V97" s="16">
        <v>-4.869267870734062E-2</v>
      </c>
      <c r="W97" s="56">
        <f t="shared" si="26"/>
        <v>4</v>
      </c>
      <c r="X97" s="56">
        <f t="shared" si="27"/>
        <v>2485.3885204527087</v>
      </c>
      <c r="Y97" s="56">
        <f t="shared" si="27"/>
        <v>256.52067900455779</v>
      </c>
      <c r="AA97" s="56">
        <f t="shared" si="39"/>
        <v>0</v>
      </c>
      <c r="AB97" s="56">
        <v>0</v>
      </c>
      <c r="AC97" s="56">
        <f t="shared" si="28"/>
        <v>110.37138195574516</v>
      </c>
      <c r="AE97" s="56">
        <v>0</v>
      </c>
      <c r="AF97" s="56">
        <f t="shared" si="29"/>
        <v>0</v>
      </c>
      <c r="AG97" s="56">
        <f t="shared" si="30"/>
        <v>110.37138195574516</v>
      </c>
      <c r="AI97" s="56">
        <f t="shared" si="31"/>
        <v>100.04553241719616</v>
      </c>
      <c r="AJ97" s="56">
        <f t="shared" si="32"/>
        <v>10.325849538549027</v>
      </c>
      <c r="AK97" s="56">
        <f t="shared" si="33"/>
        <v>0</v>
      </c>
      <c r="AM97" s="56">
        <f t="shared" si="34"/>
        <v>243435</v>
      </c>
      <c r="AN97" s="56">
        <f t="shared" si="35"/>
        <v>24413</v>
      </c>
      <c r="AO97" s="56">
        <f t="shared" si="36"/>
        <v>48530</v>
      </c>
      <c r="AP97" s="56"/>
      <c r="AQ97" s="56">
        <f t="shared" si="37"/>
        <v>316378</v>
      </c>
      <c r="AR97" s="1"/>
      <c r="AS97" s="56">
        <v>1280.5254363698555</v>
      </c>
      <c r="AT97" s="56">
        <v>128.41813000635602</v>
      </c>
      <c r="AU97" s="56">
        <v>255.27923029568092</v>
      </c>
      <c r="AV97" s="56"/>
      <c r="AW97" s="56">
        <v>1664.2227966718924</v>
      </c>
      <c r="AX97" s="1"/>
      <c r="AY97" s="16">
        <v>-2.0535429383657156E-2</v>
      </c>
      <c r="AZ97" s="16">
        <v>-4.8302846587809145E-2</v>
      </c>
      <c r="BA97" s="16">
        <v>-5.1469408289903651E-3</v>
      </c>
      <c r="BB97" s="16">
        <f t="shared" si="38"/>
        <v>-2.041661005136286E-2</v>
      </c>
      <c r="BC97" s="16"/>
      <c r="BD97" s="1"/>
      <c r="BE97" s="16">
        <f>AM97/'2018-19 disagg'!AM97-1</f>
        <v>2.1201354134767536E-2</v>
      </c>
      <c r="BF97" s="16">
        <f>AN97/'2018-19 disagg'!AN97-1</f>
        <v>3.2043965335024405E-2</v>
      </c>
      <c r="BG97" s="16">
        <f>AO97/'2018-19 disagg'!AO97-1</f>
        <v>4.2758917060593093E-2</v>
      </c>
      <c r="BH97" s="16">
        <f>AQ97/'2018-19 disagg'!AQ97-1</f>
        <v>2.5283884683189983E-2</v>
      </c>
      <c r="BI97" s="1"/>
      <c r="BJ97" s="16">
        <f>AS97/'2018-19 disagg'!AS97-1</f>
        <v>1.5953879688365147E-2</v>
      </c>
      <c r="BK97" s="16">
        <f>AT97/'2018-19 disagg'!AT97-1</f>
        <v>2.6740775798766991E-2</v>
      </c>
      <c r="BL97" s="16">
        <f>AU97/'2018-19 disagg'!AU97-1</f>
        <v>3.7400668416602834E-2</v>
      </c>
      <c r="BM97" s="16">
        <f>AW97/'2018-19 disagg'!AW97-1</f>
        <v>2.001543202848155E-2</v>
      </c>
    </row>
    <row r="98" spans="1:65" x14ac:dyDescent="0.2">
      <c r="A98" s="156" t="s">
        <v>241</v>
      </c>
      <c r="B98" s="156" t="s">
        <v>242</v>
      </c>
      <c r="D98" s="56">
        <f>VLOOKUP(A98,'2019-20'!$A$12:$AMX306,32,FALSE)</f>
        <v>479643</v>
      </c>
      <c r="E98" s="56">
        <v>1764.7002954452321</v>
      </c>
      <c r="F98" s="16">
        <f>VLOOKUP(A98,'2019-20'!$A$12:$AMX306,34,FALSE)</f>
        <v>2.5003045242689925E-2</v>
      </c>
      <c r="G98" s="16">
        <f>VLOOKUP(A98,'2019-20'!$A$12:$AMX306,35,FALSE)</f>
        <v>2.1284195017330143E-2</v>
      </c>
      <c r="H98" s="56"/>
      <c r="I98" s="56">
        <v>487410.12999525241</v>
      </c>
      <c r="J98" s="56">
        <v>1793.2770840096091</v>
      </c>
      <c r="K98" s="16">
        <f t="shared" si="23"/>
        <v>-1.5935512040605504E-2</v>
      </c>
      <c r="L98" s="58">
        <f t="shared" si="23"/>
        <v>-1.5935512040605504E-2</v>
      </c>
      <c r="M98" s="10"/>
      <c r="N98" s="56">
        <v>358352</v>
      </c>
      <c r="O98" s="56">
        <v>37849</v>
      </c>
      <c r="P98" s="56">
        <v>83442</v>
      </c>
      <c r="R98" s="56">
        <f t="shared" si="24"/>
        <v>83442</v>
      </c>
      <c r="S98" s="56">
        <f t="shared" si="25"/>
        <v>0</v>
      </c>
      <c r="U98" s="16">
        <v>-1.6141778091390058E-2</v>
      </c>
      <c r="V98" s="16">
        <v>-4.8710920317622364E-2</v>
      </c>
      <c r="W98" s="56">
        <f t="shared" si="26"/>
        <v>4</v>
      </c>
      <c r="X98" s="56">
        <f t="shared" si="27"/>
        <v>3642.3134148823237</v>
      </c>
      <c r="Y98" s="56">
        <f t="shared" si="27"/>
        <v>397.87064529992568</v>
      </c>
      <c r="AA98" s="56">
        <f t="shared" si="39"/>
        <v>0</v>
      </c>
      <c r="AB98" s="56">
        <v>0</v>
      </c>
      <c r="AC98" s="56">
        <f t="shared" si="28"/>
        <v>0</v>
      </c>
      <c r="AE98" s="56">
        <v>0</v>
      </c>
      <c r="AF98" s="56">
        <f t="shared" si="29"/>
        <v>0</v>
      </c>
      <c r="AG98" s="56">
        <f t="shared" si="30"/>
        <v>0</v>
      </c>
      <c r="AI98" s="56">
        <f t="shared" si="31"/>
        <v>0</v>
      </c>
      <c r="AJ98" s="56">
        <f t="shared" si="32"/>
        <v>0</v>
      </c>
      <c r="AK98" s="56">
        <f t="shared" si="33"/>
        <v>0</v>
      </c>
      <c r="AM98" s="56">
        <f t="shared" si="34"/>
        <v>358352</v>
      </c>
      <c r="AN98" s="56">
        <f t="shared" si="35"/>
        <v>37849</v>
      </c>
      <c r="AO98" s="56">
        <f t="shared" si="36"/>
        <v>83442</v>
      </c>
      <c r="AP98" s="56"/>
      <c r="AQ98" s="56">
        <f t="shared" si="37"/>
        <v>479643</v>
      </c>
      <c r="AR98" s="1"/>
      <c r="AS98" s="56">
        <v>1318.4470122015537</v>
      </c>
      <c r="AT98" s="56">
        <v>139.25386481676287</v>
      </c>
      <c r="AU98" s="56">
        <v>306.99941842691555</v>
      </c>
      <c r="AV98" s="56"/>
      <c r="AW98" s="56">
        <v>1764.7002954452321</v>
      </c>
      <c r="AX98" s="1"/>
      <c r="AY98" s="16">
        <v>-1.6141778091390058E-2</v>
      </c>
      <c r="AZ98" s="16">
        <v>-4.8710920317622364E-2</v>
      </c>
      <c r="BA98" s="16">
        <v>6.0288983816181307E-4</v>
      </c>
      <c r="BB98" s="16">
        <f t="shared" si="38"/>
        <v>-1.5935512040605504E-2</v>
      </c>
      <c r="BC98" s="16"/>
      <c r="BD98" s="1"/>
      <c r="BE98" s="16">
        <f>AM98/'2018-19 disagg'!AM98-1</f>
        <v>2.0783008978624506E-2</v>
      </c>
      <c r="BF98" s="16">
        <f>AN98/'2018-19 disagg'!AN98-1</f>
        <v>3.0044904068580847E-2</v>
      </c>
      <c r="BG98" s="16">
        <f>AO98/'2018-19 disagg'!AO98-1</f>
        <v>4.1176910983005133E-2</v>
      </c>
      <c r="BH98" s="16">
        <f>AQ98/'2018-19 disagg'!AQ98-1</f>
        <v>2.5003045242689925E-2</v>
      </c>
      <c r="BI98" s="1"/>
      <c r="BJ98" s="16">
        <f>AS98/'2018-19 disagg'!AS98-1</f>
        <v>1.7079469617836684E-2</v>
      </c>
      <c r="BK98" s="16">
        <f>AT98/'2018-19 disagg'!AT98-1</f>
        <v>2.630776129480572E-2</v>
      </c>
      <c r="BL98" s="16">
        <f>AU98/'2018-19 disagg'!AU98-1</f>
        <v>3.7399379776615671E-2</v>
      </c>
      <c r="BM98" s="16">
        <f>AW98/'2018-19 disagg'!AW98-1</f>
        <v>2.1284195017330143E-2</v>
      </c>
    </row>
    <row r="99" spans="1:65" x14ac:dyDescent="0.2">
      <c r="A99" s="156" t="s">
        <v>243</v>
      </c>
      <c r="B99" s="156" t="s">
        <v>244</v>
      </c>
      <c r="D99" s="56">
        <f>VLOOKUP(A99,'2019-20'!$A$12:$AMX307,32,FALSE)</f>
        <v>188675</v>
      </c>
      <c r="E99" s="56">
        <v>1640.0758533399132</v>
      </c>
      <c r="F99" s="16">
        <f>VLOOKUP(A99,'2019-20'!$A$12:$AMX307,34,FALSE)</f>
        <v>2.3566301924255795E-2</v>
      </c>
      <c r="G99" s="16">
        <f>VLOOKUP(A99,'2019-20'!$A$12:$AMX307,35,FALSE)</f>
        <v>2.1514937529295342E-2</v>
      </c>
      <c r="H99" s="56"/>
      <c r="I99" s="56">
        <v>192059.24983264771</v>
      </c>
      <c r="J99" s="56">
        <v>1669.4937753337922</v>
      </c>
      <c r="K99" s="16">
        <f t="shared" si="23"/>
        <v>-1.7620863538707954E-2</v>
      </c>
      <c r="L99" s="58">
        <f t="shared" si="23"/>
        <v>-1.7620863538707843E-2</v>
      </c>
      <c r="M99" s="10"/>
      <c r="N99" s="56">
        <v>144610</v>
      </c>
      <c r="O99" s="56">
        <v>16202</v>
      </c>
      <c r="P99" s="56">
        <v>27863</v>
      </c>
      <c r="R99" s="56">
        <f t="shared" si="24"/>
        <v>27863</v>
      </c>
      <c r="S99" s="56">
        <f t="shared" si="25"/>
        <v>0</v>
      </c>
      <c r="U99" s="16">
        <v>-1.4064769110821662E-2</v>
      </c>
      <c r="V99" s="16">
        <v>3.9377497218905155E-2</v>
      </c>
      <c r="W99" s="56">
        <f t="shared" si="26"/>
        <v>1</v>
      </c>
      <c r="X99" s="56">
        <f t="shared" si="27"/>
        <v>1466.7292076537485</v>
      </c>
      <c r="Y99" s="56">
        <f t="shared" si="27"/>
        <v>155.88176618555045</v>
      </c>
      <c r="AA99" s="56">
        <f t="shared" si="39"/>
        <v>0</v>
      </c>
      <c r="AB99" s="56">
        <v>0</v>
      </c>
      <c r="AC99" s="56">
        <f t="shared" si="28"/>
        <v>0</v>
      </c>
      <c r="AE99" s="56">
        <v>0</v>
      </c>
      <c r="AF99" s="56">
        <f t="shared" si="29"/>
        <v>0</v>
      </c>
      <c r="AG99" s="56">
        <f t="shared" si="30"/>
        <v>0</v>
      </c>
      <c r="AI99" s="56">
        <f t="shared" si="31"/>
        <v>0</v>
      </c>
      <c r="AJ99" s="56">
        <f t="shared" si="32"/>
        <v>0</v>
      </c>
      <c r="AK99" s="56">
        <f t="shared" si="33"/>
        <v>0</v>
      </c>
      <c r="AM99" s="56">
        <f t="shared" si="34"/>
        <v>144610</v>
      </c>
      <c r="AN99" s="56">
        <f t="shared" si="35"/>
        <v>16202</v>
      </c>
      <c r="AO99" s="56">
        <f t="shared" si="36"/>
        <v>27863</v>
      </c>
      <c r="AP99" s="56"/>
      <c r="AQ99" s="56">
        <f t="shared" si="37"/>
        <v>188675</v>
      </c>
      <c r="AR99" s="1"/>
      <c r="AS99" s="56">
        <v>1257.0365398250158</v>
      </c>
      <c r="AT99" s="56">
        <v>140.83746641480468</v>
      </c>
      <c r="AU99" s="56">
        <v>242.20184710009275</v>
      </c>
      <c r="AV99" s="56"/>
      <c r="AW99" s="56">
        <v>1640.0758533399132</v>
      </c>
      <c r="AX99" s="1"/>
      <c r="AY99" s="16">
        <v>-1.4064769110821662E-2</v>
      </c>
      <c r="AZ99" s="16">
        <v>3.9377497218905155E-2</v>
      </c>
      <c r="BA99" s="16">
        <v>-6.4942027934388968E-2</v>
      </c>
      <c r="BB99" s="16">
        <f t="shared" si="38"/>
        <v>-1.7620863538707954E-2</v>
      </c>
      <c r="BC99" s="16"/>
      <c r="BD99" s="1"/>
      <c r="BE99" s="16">
        <f>AM99/'2018-19 disagg'!AM99-1</f>
        <v>2.0781274264820127E-2</v>
      </c>
      <c r="BF99" s="16">
        <f>AN99/'2018-19 disagg'!AN99-1</f>
        <v>2.1563682219419844E-2</v>
      </c>
      <c r="BG99" s="16">
        <f>AO99/'2018-19 disagg'!AO99-1</f>
        <v>3.9470248088043336E-2</v>
      </c>
      <c r="BH99" s="16">
        <f>AQ99/'2018-19 disagg'!AQ99-1</f>
        <v>2.3566301924255795E-2</v>
      </c>
      <c r="BI99" s="1"/>
      <c r="BJ99" s="16">
        <f>AS99/'2018-19 disagg'!AS99-1</f>
        <v>1.8735491439483942E-2</v>
      </c>
      <c r="BK99" s="16">
        <f>AT99/'2018-19 disagg'!AT99-1</f>
        <v>1.9516331343418791E-2</v>
      </c>
      <c r="BL99" s="16">
        <f>AU99/'2018-19 disagg'!AU99-1</f>
        <v>3.7387010048123281E-2</v>
      </c>
      <c r="BM99" s="16">
        <f>AW99/'2018-19 disagg'!AW99-1</f>
        <v>2.1514937529295342E-2</v>
      </c>
    </row>
    <row r="100" spans="1:65" x14ac:dyDescent="0.2">
      <c r="A100" s="156" t="s">
        <v>245</v>
      </c>
      <c r="B100" s="156" t="s">
        <v>246</v>
      </c>
      <c r="D100" s="56">
        <f>VLOOKUP(A100,'2019-20'!$A$12:$AMX308,32,FALSE)</f>
        <v>128960.171239634</v>
      </c>
      <c r="E100" s="56">
        <v>1630.1667820577309</v>
      </c>
      <c r="F100" s="16">
        <f>VLOOKUP(A100,'2019-20'!$A$12:$AMX308,34,FALSE)</f>
        <v>4.0001380964790334E-2</v>
      </c>
      <c r="G100" s="16">
        <f>VLOOKUP(A100,'2019-20'!$A$12:$AMX308,35,FALSE)</f>
        <v>2.566754519486647E-2</v>
      </c>
      <c r="H100" s="56"/>
      <c r="I100" s="56">
        <v>132740.87841790763</v>
      </c>
      <c r="J100" s="56">
        <v>1677.9581520246365</v>
      </c>
      <c r="K100" s="16">
        <f t="shared" si="23"/>
        <v>-2.8481860473838716E-2</v>
      </c>
      <c r="L100" s="58">
        <f t="shared" si="23"/>
        <v>-2.8481860473838605E-2</v>
      </c>
      <c r="M100" s="10"/>
      <c r="N100" s="56">
        <v>102438</v>
      </c>
      <c r="O100" s="56">
        <v>10823</v>
      </c>
      <c r="P100" s="56">
        <v>14641</v>
      </c>
      <c r="R100" s="56">
        <f t="shared" si="24"/>
        <v>14641</v>
      </c>
      <c r="S100" s="56">
        <f t="shared" si="25"/>
        <v>1058.1712396340008</v>
      </c>
      <c r="U100" s="16">
        <v>-3.2168087326598482E-2</v>
      </c>
      <c r="V100" s="16">
        <v>-4.0351542468874735E-2</v>
      </c>
      <c r="W100" s="56">
        <f t="shared" si="26"/>
        <v>4</v>
      </c>
      <c r="X100" s="56">
        <f t="shared" si="27"/>
        <v>1058.4275911820246</v>
      </c>
      <c r="Y100" s="56">
        <f t="shared" si="27"/>
        <v>112.78088257281408</v>
      </c>
      <c r="AA100" s="56">
        <f t="shared" si="39"/>
        <v>0</v>
      </c>
      <c r="AB100" s="56">
        <v>0</v>
      </c>
      <c r="AC100" s="56">
        <f t="shared" si="28"/>
        <v>1058.1712396340008</v>
      </c>
      <c r="AE100" s="56">
        <v>0</v>
      </c>
      <c r="AF100" s="56">
        <f t="shared" si="29"/>
        <v>0</v>
      </c>
      <c r="AG100" s="56">
        <f t="shared" si="30"/>
        <v>1058.1712396340008</v>
      </c>
      <c r="AI100" s="56">
        <f t="shared" si="31"/>
        <v>956.27521600253908</v>
      </c>
      <c r="AJ100" s="56">
        <f t="shared" si="32"/>
        <v>101.8960236314618</v>
      </c>
      <c r="AK100" s="56">
        <f t="shared" si="33"/>
        <v>0</v>
      </c>
      <c r="AM100" s="56">
        <f t="shared" si="34"/>
        <v>103394</v>
      </c>
      <c r="AN100" s="56">
        <f t="shared" si="35"/>
        <v>10925</v>
      </c>
      <c r="AO100" s="56">
        <f t="shared" si="36"/>
        <v>14641</v>
      </c>
      <c r="AP100" s="56"/>
      <c r="AQ100" s="56">
        <f t="shared" si="37"/>
        <v>128960</v>
      </c>
      <c r="AR100" s="1"/>
      <c r="AS100" s="56">
        <v>1306.9885271079404</v>
      </c>
      <c r="AT100" s="56">
        <v>138.10133720190967</v>
      </c>
      <c r="AU100" s="56">
        <v>185.07475313255463</v>
      </c>
      <c r="AV100" s="56"/>
      <c r="AW100" s="56">
        <v>1630.1646174424047</v>
      </c>
      <c r="AX100" s="1"/>
      <c r="AY100" s="16">
        <v>-2.3135820896994508E-2</v>
      </c>
      <c r="AZ100" s="16">
        <v>-3.1307456479022111E-2</v>
      </c>
      <c r="BA100" s="16">
        <v>-6.2677919126071568E-2</v>
      </c>
      <c r="BB100" s="16">
        <f t="shared" si="38"/>
        <v>-2.8483150503225585E-2</v>
      </c>
      <c r="BC100" s="16"/>
      <c r="BD100" s="1"/>
      <c r="BE100" s="16">
        <f>AM100/'2018-19 disagg'!AM100-1</f>
        <v>3.7321668639765715E-2</v>
      </c>
      <c r="BF100" s="16">
        <f>AN100/'2018-19 disagg'!AN100-1</f>
        <v>4.9774190448736322E-2</v>
      </c>
      <c r="BG100" s="16">
        <f>AO100/'2018-19 disagg'!AO100-1</f>
        <v>5.1871542495868894E-2</v>
      </c>
      <c r="BH100" s="16">
        <f>AQ100/'2018-19 disagg'!AQ100-1</f>
        <v>4.0000000000000036E-2</v>
      </c>
      <c r="BI100" s="1"/>
      <c r="BJ100" s="16">
        <f>AS100/'2018-19 disagg'!AS100-1</f>
        <v>2.3024766048086009E-2</v>
      </c>
      <c r="BK100" s="16">
        <f>AT100/'2018-19 disagg'!AT100-1</f>
        <v>3.5305660774825887E-2</v>
      </c>
      <c r="BL100" s="16">
        <f>AU100/'2018-19 disagg'!AU100-1</f>
        <v>3.7374106033615906E-2</v>
      </c>
      <c r="BM100" s="16">
        <f>AW100/'2018-19 disagg'!AW100-1</f>
        <v>2.5666183263245435E-2</v>
      </c>
    </row>
    <row r="101" spans="1:65" x14ac:dyDescent="0.2">
      <c r="A101" s="156" t="s">
        <v>247</v>
      </c>
      <c r="B101" s="156" t="s">
        <v>248</v>
      </c>
      <c r="D101" s="56">
        <f>VLOOKUP(A101,'2019-20'!$A$12:$AMX309,32,FALSE)</f>
        <v>500929</v>
      </c>
      <c r="E101" s="56">
        <v>1512.2818088195388</v>
      </c>
      <c r="F101" s="16">
        <f>VLOOKUP(A101,'2019-20'!$A$12:$AMX309,34,FALSE)</f>
        <v>2.4312989352587522E-2</v>
      </c>
      <c r="G101" s="16">
        <f>VLOOKUP(A101,'2019-20'!$A$12:$AMX309,35,FALSE)</f>
        <v>1.8607113158353616E-2</v>
      </c>
      <c r="H101" s="56"/>
      <c r="I101" s="56">
        <v>509541.57532660768</v>
      </c>
      <c r="J101" s="56">
        <v>1538.2827810002607</v>
      </c>
      <c r="K101" s="16">
        <f t="shared" si="23"/>
        <v>-1.6902595869801473E-2</v>
      </c>
      <c r="L101" s="58">
        <f t="shared" si="23"/>
        <v>-1.6902595869801584E-2</v>
      </c>
      <c r="M101" s="10"/>
      <c r="N101" s="56">
        <v>379783</v>
      </c>
      <c r="O101" s="56">
        <v>43226</v>
      </c>
      <c r="P101" s="56">
        <v>77920</v>
      </c>
      <c r="R101" s="56">
        <f t="shared" si="24"/>
        <v>77920</v>
      </c>
      <c r="S101" s="56">
        <f t="shared" si="25"/>
        <v>0</v>
      </c>
      <c r="U101" s="16">
        <v>-1.8276961024175642E-2</v>
      </c>
      <c r="V101" s="16">
        <v>4.9879280541171411E-2</v>
      </c>
      <c r="W101" s="56">
        <f t="shared" si="26"/>
        <v>1</v>
      </c>
      <c r="X101" s="56">
        <f t="shared" si="27"/>
        <v>3868.5350645962831</v>
      </c>
      <c r="Y101" s="56">
        <f t="shared" si="27"/>
        <v>411.72352670602942</v>
      </c>
      <c r="AA101" s="56">
        <f t="shared" si="39"/>
        <v>0</v>
      </c>
      <c r="AB101" s="56">
        <v>0</v>
      </c>
      <c r="AC101" s="56">
        <f t="shared" si="28"/>
        <v>0</v>
      </c>
      <c r="AE101" s="56">
        <v>0</v>
      </c>
      <c r="AF101" s="56">
        <f t="shared" si="29"/>
        <v>0</v>
      </c>
      <c r="AG101" s="56">
        <f t="shared" si="30"/>
        <v>0</v>
      </c>
      <c r="AI101" s="56">
        <f t="shared" si="31"/>
        <v>0</v>
      </c>
      <c r="AJ101" s="56">
        <f t="shared" si="32"/>
        <v>0</v>
      </c>
      <c r="AK101" s="56">
        <f t="shared" si="33"/>
        <v>0</v>
      </c>
      <c r="AM101" s="56">
        <f t="shared" si="34"/>
        <v>379783</v>
      </c>
      <c r="AN101" s="56">
        <f t="shared" si="35"/>
        <v>43226</v>
      </c>
      <c r="AO101" s="56">
        <f t="shared" si="36"/>
        <v>77920</v>
      </c>
      <c r="AP101" s="56"/>
      <c r="AQ101" s="56">
        <f t="shared" si="37"/>
        <v>500929</v>
      </c>
      <c r="AR101" s="1"/>
      <c r="AS101" s="56">
        <v>1146.5475590331382</v>
      </c>
      <c r="AT101" s="56">
        <v>130.4973229100998</v>
      </c>
      <c r="AU101" s="56">
        <v>235.23692687630074</v>
      </c>
      <c r="AV101" s="56"/>
      <c r="AW101" s="56">
        <v>1512.2818088195388</v>
      </c>
      <c r="AX101" s="1"/>
      <c r="AY101" s="16">
        <v>-1.8276961024175642E-2</v>
      </c>
      <c r="AZ101" s="16">
        <v>4.9879280541171411E-2</v>
      </c>
      <c r="BA101" s="16">
        <v>-4.4110710966632771E-2</v>
      </c>
      <c r="BB101" s="16">
        <f t="shared" si="38"/>
        <v>-1.6902595869801473E-2</v>
      </c>
      <c r="BC101" s="16"/>
      <c r="BD101" s="1"/>
      <c r="BE101" s="16">
        <f>AM101/'2018-19 disagg'!AM101-1</f>
        <v>2.0784840747211319E-2</v>
      </c>
      <c r="BF101" s="16">
        <f>AN101/'2018-19 disagg'!AN101-1</f>
        <v>2.1963732652434009E-2</v>
      </c>
      <c r="BG101" s="16">
        <f>AO101/'2018-19 disagg'!AO101-1</f>
        <v>4.3217479783644874E-2</v>
      </c>
      <c r="BH101" s="16">
        <f>AQ101/'2018-19 disagg'!AQ101-1</f>
        <v>2.4312989352587522E-2</v>
      </c>
      <c r="BI101" s="1"/>
      <c r="BJ101" s="16">
        <f>AS101/'2018-19 disagg'!AS101-1</f>
        <v>1.5098617900485944E-2</v>
      </c>
      <c r="BK101" s="16">
        <f>AT101/'2018-19 disagg'!AT101-1</f>
        <v>1.6270942856614345E-2</v>
      </c>
      <c r="BL101" s="16">
        <f>AU101/'2018-19 disagg'!AU101-1</f>
        <v>3.7406297220131224E-2</v>
      </c>
      <c r="BM101" s="16">
        <f>AW101/'2018-19 disagg'!AW101-1</f>
        <v>1.8607113158353616E-2</v>
      </c>
    </row>
    <row r="102" spans="1:65" x14ac:dyDescent="0.2">
      <c r="A102" s="156" t="s">
        <v>249</v>
      </c>
      <c r="B102" s="156" t="s">
        <v>250</v>
      </c>
      <c r="D102" s="56">
        <f>VLOOKUP(A102,'2019-20'!$A$12:$AMX310,32,FALSE)</f>
        <v>169478</v>
      </c>
      <c r="E102" s="56">
        <v>1702.6733222404241</v>
      </c>
      <c r="F102" s="16">
        <f>VLOOKUP(A102,'2019-20'!$A$12:$AMX310,34,FALSE)</f>
        <v>2.4209533939276717E-2</v>
      </c>
      <c r="G102" s="16">
        <f>VLOOKUP(A102,'2019-20'!$A$12:$AMX310,35,FALSE)</f>
        <v>1.845546204753834E-2</v>
      </c>
      <c r="H102" s="56"/>
      <c r="I102" s="56">
        <v>169128.61824704366</v>
      </c>
      <c r="J102" s="56">
        <v>1699.1632324940481</v>
      </c>
      <c r="K102" s="16">
        <f t="shared" si="23"/>
        <v>2.0657754824555674E-3</v>
      </c>
      <c r="L102" s="58">
        <f t="shared" si="23"/>
        <v>2.0657754824555674E-3</v>
      </c>
      <c r="M102" s="10"/>
      <c r="N102" s="56">
        <v>133484</v>
      </c>
      <c r="O102" s="56">
        <v>13273</v>
      </c>
      <c r="P102" s="56">
        <v>22721</v>
      </c>
      <c r="R102" s="56">
        <f t="shared" si="24"/>
        <v>22721</v>
      </c>
      <c r="S102" s="56">
        <f t="shared" si="25"/>
        <v>0</v>
      </c>
      <c r="U102" s="16">
        <v>1.450834455667338E-2</v>
      </c>
      <c r="V102" s="16">
        <v>2.1312139297668731E-2</v>
      </c>
      <c r="W102" s="56">
        <f t="shared" si="26"/>
        <v>2</v>
      </c>
      <c r="X102" s="56">
        <f t="shared" si="27"/>
        <v>1315.7506364162111</v>
      </c>
      <c r="Y102" s="56">
        <f t="shared" si="27"/>
        <v>129.96026865134019</v>
      </c>
      <c r="AA102" s="56">
        <f t="shared" si="39"/>
        <v>0</v>
      </c>
      <c r="AB102" s="56">
        <v>0</v>
      </c>
      <c r="AC102" s="56">
        <f t="shared" si="28"/>
        <v>0</v>
      </c>
      <c r="AE102" s="56">
        <v>0</v>
      </c>
      <c r="AF102" s="56">
        <f t="shared" si="29"/>
        <v>0</v>
      </c>
      <c r="AG102" s="56">
        <f t="shared" si="30"/>
        <v>0</v>
      </c>
      <c r="AI102" s="56">
        <f t="shared" si="31"/>
        <v>0</v>
      </c>
      <c r="AJ102" s="56">
        <f t="shared" si="32"/>
        <v>0</v>
      </c>
      <c r="AK102" s="56">
        <f t="shared" si="33"/>
        <v>0</v>
      </c>
      <c r="AM102" s="56">
        <f t="shared" si="34"/>
        <v>133484</v>
      </c>
      <c r="AN102" s="56">
        <f t="shared" si="35"/>
        <v>13273</v>
      </c>
      <c r="AO102" s="56">
        <f t="shared" si="36"/>
        <v>22721</v>
      </c>
      <c r="AP102" s="56"/>
      <c r="AQ102" s="56">
        <f t="shared" si="37"/>
        <v>169478</v>
      </c>
      <c r="AR102" s="1"/>
      <c r="AS102" s="56">
        <v>1341.0569262437648</v>
      </c>
      <c r="AT102" s="56">
        <v>133.34818092081068</v>
      </c>
      <c r="AU102" s="56">
        <v>228.26821507584864</v>
      </c>
      <c r="AV102" s="56"/>
      <c r="AW102" s="56">
        <v>1702.6733222404241</v>
      </c>
      <c r="AX102" s="1"/>
      <c r="AY102" s="16">
        <v>1.450834455667338E-2</v>
      </c>
      <c r="AZ102" s="16">
        <v>2.1312139297668731E-2</v>
      </c>
      <c r="BA102" s="16">
        <v>-7.4784716104608906E-2</v>
      </c>
      <c r="BB102" s="16">
        <f t="shared" si="38"/>
        <v>2.0657754824555674E-3</v>
      </c>
      <c r="BC102" s="16"/>
      <c r="BD102" s="1"/>
      <c r="BE102" s="16">
        <f>AM102/'2018-19 disagg'!AM102-1</f>
        <v>2.0785219399538146E-2</v>
      </c>
      <c r="BF102" s="16">
        <f>AN102/'2018-19 disagg'!AN102-1</f>
        <v>2.6765684226812025E-2</v>
      </c>
      <c r="BG102" s="16">
        <f>AO102/'2018-19 disagg'!AO102-1</f>
        <v>4.3252674594793206E-2</v>
      </c>
      <c r="BH102" s="16">
        <f>AQ102/'2018-19 disagg'!AQ102-1</f>
        <v>2.4209533939276717E-2</v>
      </c>
      <c r="BI102" s="1"/>
      <c r="BJ102" s="16">
        <f>AS102/'2018-19 disagg'!AS102-1</f>
        <v>1.5050385516613751E-2</v>
      </c>
      <c r="BK102" s="16">
        <f>AT102/'2018-19 disagg'!AT102-1</f>
        <v>2.0997251726201149E-2</v>
      </c>
      <c r="BL102" s="16">
        <f>AU102/'2018-19 disagg'!AU102-1</f>
        <v>3.7391617172511049E-2</v>
      </c>
      <c r="BM102" s="16">
        <f>AW102/'2018-19 disagg'!AW102-1</f>
        <v>1.845546204753834E-2</v>
      </c>
    </row>
    <row r="103" spans="1:65" x14ac:dyDescent="0.2">
      <c r="A103" s="156" t="s">
        <v>251</v>
      </c>
      <c r="B103" s="156" t="s">
        <v>252</v>
      </c>
      <c r="D103" s="56">
        <f>VLOOKUP(A103,'2019-20'!$A$12:$AMX311,32,FALSE)</f>
        <v>189390</v>
      </c>
      <c r="E103" s="56">
        <v>1817.2645756201932</v>
      </c>
      <c r="F103" s="16">
        <f>VLOOKUP(A103,'2019-20'!$A$12:$AMX311,34,FALSE)</f>
        <v>2.3873625482500271E-2</v>
      </c>
      <c r="G103" s="16">
        <f>VLOOKUP(A103,'2019-20'!$A$12:$AMX311,35,FALSE)</f>
        <v>1.9607377273484605E-2</v>
      </c>
      <c r="H103" s="56"/>
      <c r="I103" s="56">
        <v>187400.36305987282</v>
      </c>
      <c r="J103" s="56">
        <v>1798.1732997891645</v>
      </c>
      <c r="K103" s="16">
        <f t="shared" si="23"/>
        <v>1.0617038876768348E-2</v>
      </c>
      <c r="L103" s="58">
        <f t="shared" si="23"/>
        <v>1.061703887676857E-2</v>
      </c>
      <c r="M103" s="10"/>
      <c r="N103" s="56">
        <v>152293</v>
      </c>
      <c r="O103" s="56">
        <v>13992</v>
      </c>
      <c r="P103" s="56">
        <v>23105</v>
      </c>
      <c r="R103" s="56">
        <f t="shared" si="24"/>
        <v>23105</v>
      </c>
      <c r="S103" s="56">
        <f t="shared" si="25"/>
        <v>0</v>
      </c>
      <c r="U103" s="16">
        <v>2.4901038935287501E-2</v>
      </c>
      <c r="V103" s="16">
        <v>-2.1859100452951474E-2</v>
      </c>
      <c r="W103" s="56">
        <f t="shared" si="26"/>
        <v>3</v>
      </c>
      <c r="X103" s="56">
        <f t="shared" si="27"/>
        <v>1485.9288283892142</v>
      </c>
      <c r="Y103" s="56">
        <f t="shared" si="27"/>
        <v>143.04687603267922</v>
      </c>
      <c r="AA103" s="56">
        <f t="shared" si="39"/>
        <v>0</v>
      </c>
      <c r="AB103" s="56">
        <v>0</v>
      </c>
      <c r="AC103" s="56">
        <f t="shared" si="28"/>
        <v>0</v>
      </c>
      <c r="AE103" s="56">
        <v>0</v>
      </c>
      <c r="AF103" s="56">
        <f t="shared" si="29"/>
        <v>0</v>
      </c>
      <c r="AG103" s="56">
        <f t="shared" si="30"/>
        <v>0</v>
      </c>
      <c r="AI103" s="56">
        <f t="shared" si="31"/>
        <v>0</v>
      </c>
      <c r="AJ103" s="56">
        <f t="shared" si="32"/>
        <v>0</v>
      </c>
      <c r="AK103" s="56">
        <f t="shared" si="33"/>
        <v>0</v>
      </c>
      <c r="AM103" s="56">
        <f t="shared" si="34"/>
        <v>152293</v>
      </c>
      <c r="AN103" s="56">
        <f t="shared" si="35"/>
        <v>13992</v>
      </c>
      <c r="AO103" s="56">
        <f t="shared" si="36"/>
        <v>23105</v>
      </c>
      <c r="AP103" s="56"/>
      <c r="AQ103" s="56">
        <f t="shared" si="37"/>
        <v>189390</v>
      </c>
      <c r="AR103" s="1"/>
      <c r="AS103" s="56">
        <v>1461.305633955996</v>
      </c>
      <c r="AT103" s="56">
        <v>134.25822874532838</v>
      </c>
      <c r="AU103" s="56">
        <v>221.70071291886879</v>
      </c>
      <c r="AV103" s="56"/>
      <c r="AW103" s="56">
        <v>1817.2645756201932</v>
      </c>
      <c r="AX103" s="1"/>
      <c r="AY103" s="16">
        <v>2.4901038935287501E-2</v>
      </c>
      <c r="AZ103" s="16">
        <v>-2.1859100452951474E-2</v>
      </c>
      <c r="BA103" s="16">
        <v>-5.7046257522283761E-2</v>
      </c>
      <c r="BB103" s="16">
        <f t="shared" si="38"/>
        <v>1.0617038876768348E-2</v>
      </c>
      <c r="BC103" s="16"/>
      <c r="BD103" s="1"/>
      <c r="BE103" s="16">
        <f>AM103/'2018-19 disagg'!AM103-1</f>
        <v>2.078529679875607E-2</v>
      </c>
      <c r="BF103" s="16">
        <f>AN103/'2018-19 disagg'!AN103-1</f>
        <v>2.8596633095640644E-2</v>
      </c>
      <c r="BG103" s="16">
        <f>AO103/'2018-19 disagg'!AO103-1</f>
        <v>4.1751206095856475E-2</v>
      </c>
      <c r="BH103" s="16">
        <f>AQ103/'2018-19 disagg'!AQ103-1</f>
        <v>2.3873625482500271E-2</v>
      </c>
      <c r="BI103" s="1"/>
      <c r="BJ103" s="16">
        <f>AS103/'2018-19 disagg'!AS103-1</f>
        <v>1.6531916951995296E-2</v>
      </c>
      <c r="BK103" s="16">
        <f>AT103/'2018-19 disagg'!AT103-1</f>
        <v>2.4310705189571458E-2</v>
      </c>
      <c r="BL103" s="16">
        <f>AU103/'2018-19 disagg'!AU103-1</f>
        <v>3.741046608006382E-2</v>
      </c>
      <c r="BM103" s="16">
        <f>AW103/'2018-19 disagg'!AW103-1</f>
        <v>1.9607377273484605E-2</v>
      </c>
    </row>
    <row r="104" spans="1:65" x14ac:dyDescent="0.2">
      <c r="A104" s="156" t="s">
        <v>253</v>
      </c>
      <c r="B104" s="156" t="s">
        <v>254</v>
      </c>
      <c r="D104" s="56">
        <f>VLOOKUP(A104,'2019-20'!$A$12:$AMX312,32,FALSE)</f>
        <v>611704</v>
      </c>
      <c r="E104" s="56">
        <v>1548.7850825621983</v>
      </c>
      <c r="F104" s="16">
        <f>VLOOKUP(A104,'2019-20'!$A$12:$AMX312,34,FALSE)</f>
        <v>2.5406170165686692E-2</v>
      </c>
      <c r="G104" s="16">
        <f>VLOOKUP(A104,'2019-20'!$A$12:$AMX312,35,FALSE)</f>
        <v>2.0079493400433357E-2</v>
      </c>
      <c r="H104" s="56"/>
      <c r="I104" s="56">
        <v>624830.31275561417</v>
      </c>
      <c r="J104" s="56">
        <v>1582.0198454294366</v>
      </c>
      <c r="K104" s="16">
        <f t="shared" si="23"/>
        <v>-2.1007804019182008E-2</v>
      </c>
      <c r="L104" s="58">
        <f t="shared" si="23"/>
        <v>-2.1007804019182008E-2</v>
      </c>
      <c r="M104" s="10"/>
      <c r="N104" s="56">
        <v>454473</v>
      </c>
      <c r="O104" s="56">
        <v>53249</v>
      </c>
      <c r="P104" s="56">
        <v>103982</v>
      </c>
      <c r="R104" s="56">
        <f t="shared" si="24"/>
        <v>103982</v>
      </c>
      <c r="S104" s="56">
        <f t="shared" si="25"/>
        <v>0</v>
      </c>
      <c r="U104" s="16">
        <v>-1.1081027858616754E-2</v>
      </c>
      <c r="V104" s="16">
        <v>-4.8499993556086807E-2</v>
      </c>
      <c r="W104" s="56">
        <f t="shared" si="26"/>
        <v>4</v>
      </c>
      <c r="X104" s="56">
        <f t="shared" si="27"/>
        <v>4595.6545763895519</v>
      </c>
      <c r="Y104" s="56">
        <f t="shared" si="27"/>
        <v>559.63215595772886</v>
      </c>
      <c r="AA104" s="56">
        <f t="shared" si="39"/>
        <v>0</v>
      </c>
      <c r="AB104" s="56">
        <v>0</v>
      </c>
      <c r="AC104" s="56">
        <f t="shared" si="28"/>
        <v>0</v>
      </c>
      <c r="AE104" s="56">
        <v>0</v>
      </c>
      <c r="AF104" s="56">
        <f t="shared" si="29"/>
        <v>0</v>
      </c>
      <c r="AG104" s="56">
        <f t="shared" si="30"/>
        <v>0</v>
      </c>
      <c r="AI104" s="56">
        <f t="shared" si="31"/>
        <v>0</v>
      </c>
      <c r="AJ104" s="56">
        <f t="shared" si="32"/>
        <v>0</v>
      </c>
      <c r="AK104" s="56">
        <f t="shared" si="33"/>
        <v>0</v>
      </c>
      <c r="AM104" s="56">
        <f t="shared" si="34"/>
        <v>454473</v>
      </c>
      <c r="AN104" s="56">
        <f t="shared" si="35"/>
        <v>53249</v>
      </c>
      <c r="AO104" s="56">
        <f t="shared" si="36"/>
        <v>103982</v>
      </c>
      <c r="AP104" s="56"/>
      <c r="AQ104" s="56">
        <f t="shared" si="37"/>
        <v>611704</v>
      </c>
      <c r="AR104" s="1"/>
      <c r="AS104" s="56">
        <v>1150.688899904676</v>
      </c>
      <c r="AT104" s="56">
        <v>134.82216376115653</v>
      </c>
      <c r="AU104" s="56">
        <v>263.27401889636576</v>
      </c>
      <c r="AV104" s="56"/>
      <c r="AW104" s="56">
        <v>1548.7850825621983</v>
      </c>
      <c r="AX104" s="1"/>
      <c r="AY104" s="16">
        <v>-1.1081027858616754E-2</v>
      </c>
      <c r="AZ104" s="16">
        <v>-4.8499993556086807E-2</v>
      </c>
      <c r="BA104" s="16">
        <v>-4.8669347909182314E-2</v>
      </c>
      <c r="BB104" s="16">
        <f t="shared" si="38"/>
        <v>-2.1007804019182008E-2</v>
      </c>
      <c r="BC104" s="16"/>
      <c r="BD104" s="1"/>
      <c r="BE104" s="16">
        <f>AM104/'2018-19 disagg'!AM104-1</f>
        <v>2.0782983693454993E-2</v>
      </c>
      <c r="BF104" s="16">
        <f>AN104/'2018-19 disagg'!AN104-1</f>
        <v>3.1657463915528483E-2</v>
      </c>
      <c r="BG104" s="16">
        <f>AO104/'2018-19 disagg'!AO104-1</f>
        <v>4.2812872945353186E-2</v>
      </c>
      <c r="BH104" s="16">
        <f>AQ104/'2018-19 disagg'!AQ104-1</f>
        <v>2.5406170165686692E-2</v>
      </c>
      <c r="BI104" s="1"/>
      <c r="BJ104" s="16">
        <f>AS104/'2018-19 disagg'!AS104-1</f>
        <v>1.5480322991962003E-2</v>
      </c>
      <c r="BK104" s="16">
        <f>AT104/'2018-19 disagg'!AT104-1</f>
        <v>2.6298313558698494E-2</v>
      </c>
      <c r="BL104" s="16">
        <f>AU104/'2018-19 disagg'!AU104-1</f>
        <v>3.7395773592491466E-2</v>
      </c>
      <c r="BM104" s="16">
        <f>AW104/'2018-19 disagg'!AW104-1</f>
        <v>2.0079493400433357E-2</v>
      </c>
    </row>
    <row r="105" spans="1:65" x14ac:dyDescent="0.2">
      <c r="A105" s="156" t="s">
        <v>255</v>
      </c>
      <c r="B105" s="156" t="s">
        <v>256</v>
      </c>
      <c r="D105" s="56">
        <f>VLOOKUP(A105,'2019-20'!$A$12:$AMX313,32,FALSE)</f>
        <v>460480.56237122027</v>
      </c>
      <c r="E105" s="56">
        <v>1823.9188042015141</v>
      </c>
      <c r="F105" s="16">
        <f>VLOOKUP(A105,'2019-20'!$A$12:$AMX313,34,FALSE)</f>
        <v>2.6229716613188181E-2</v>
      </c>
      <c r="G105" s="16">
        <f>VLOOKUP(A105,'2019-20'!$A$12:$AMX313,35,FALSE)</f>
        <v>1.9376257613157755E-2</v>
      </c>
      <c r="H105" s="56"/>
      <c r="I105" s="56">
        <v>469690.92521605466</v>
      </c>
      <c r="J105" s="56">
        <v>1860.4001572899203</v>
      </c>
      <c r="K105" s="16">
        <f t="shared" si="23"/>
        <v>-1.9609411956591827E-2</v>
      </c>
      <c r="L105" s="58">
        <f t="shared" si="23"/>
        <v>-1.9609411956591827E-2</v>
      </c>
      <c r="M105" s="10"/>
      <c r="N105" s="56">
        <v>356617</v>
      </c>
      <c r="O105" s="56">
        <v>38157</v>
      </c>
      <c r="P105" s="56">
        <v>64814</v>
      </c>
      <c r="R105" s="56">
        <f t="shared" si="24"/>
        <v>64814</v>
      </c>
      <c r="S105" s="56">
        <f t="shared" si="25"/>
        <v>892.56237122026505</v>
      </c>
      <c r="U105" s="16">
        <v>-4.3043916913217961E-3</v>
      </c>
      <c r="V105" s="16">
        <v>5.0225613401404967E-2</v>
      </c>
      <c r="W105" s="56">
        <f t="shared" si="26"/>
        <v>1</v>
      </c>
      <c r="X105" s="56">
        <f t="shared" si="27"/>
        <v>3581.5865513935687</v>
      </c>
      <c r="Y105" s="56">
        <f t="shared" si="27"/>
        <v>363.32193305036139</v>
      </c>
      <c r="AA105" s="56">
        <f t="shared" si="39"/>
        <v>892.56237122026505</v>
      </c>
      <c r="AB105" s="56">
        <v>0</v>
      </c>
      <c r="AC105" s="56">
        <f t="shared" si="28"/>
        <v>0</v>
      </c>
      <c r="AE105" s="56">
        <v>0</v>
      </c>
      <c r="AF105" s="56">
        <f t="shared" si="29"/>
        <v>0</v>
      </c>
      <c r="AG105" s="56">
        <f t="shared" si="30"/>
        <v>0</v>
      </c>
      <c r="AI105" s="56">
        <f t="shared" si="31"/>
        <v>0</v>
      </c>
      <c r="AJ105" s="56">
        <f t="shared" si="32"/>
        <v>0</v>
      </c>
      <c r="AK105" s="56">
        <f t="shared" si="33"/>
        <v>0</v>
      </c>
      <c r="AM105" s="56">
        <f t="shared" si="34"/>
        <v>357510</v>
      </c>
      <c r="AN105" s="56">
        <f t="shared" si="35"/>
        <v>38157</v>
      </c>
      <c r="AO105" s="56">
        <f t="shared" si="36"/>
        <v>64814</v>
      </c>
      <c r="AP105" s="56"/>
      <c r="AQ105" s="56">
        <f t="shared" si="37"/>
        <v>460481</v>
      </c>
      <c r="AR105" s="1"/>
      <c r="AS105" s="56">
        <v>1416.0624030084732</v>
      </c>
      <c r="AT105" s="56">
        <v>151.13617272690081</v>
      </c>
      <c r="AU105" s="56">
        <v>256.72196187125166</v>
      </c>
      <c r="AV105" s="56"/>
      <c r="AW105" s="56">
        <v>1823.9205376066257</v>
      </c>
      <c r="AX105" s="1"/>
      <c r="AY105" s="16">
        <v>-1.8110832449503844E-3</v>
      </c>
      <c r="AZ105" s="16">
        <v>5.0225613401404967E-2</v>
      </c>
      <c r="BA105" s="16">
        <v>-0.13811258202831433</v>
      </c>
      <c r="BB105" s="16">
        <f t="shared" si="38"/>
        <v>-1.9608480218812341E-2</v>
      </c>
      <c r="BC105" s="16"/>
      <c r="BD105" s="1"/>
      <c r="BE105" s="16">
        <f>AM105/'2018-19 disagg'!AM105-1</f>
        <v>2.334008862020398E-2</v>
      </c>
      <c r="BF105" s="16">
        <f>AN105/'2018-19 disagg'!AN105-1</f>
        <v>2.3113017830808325E-2</v>
      </c>
      <c r="BG105" s="16">
        <f>AO105/'2018-19 disagg'!AO105-1</f>
        <v>4.4376409925878102E-2</v>
      </c>
      <c r="BH105" s="16">
        <f>AQ105/'2018-19 disagg'!AQ105-1</f>
        <v>2.6230691915286153E-2</v>
      </c>
      <c r="BI105" s="1"/>
      <c r="BJ105" s="16">
        <f>AS105/'2018-19 disagg'!AS105-1</f>
        <v>1.6505927392060915E-2</v>
      </c>
      <c r="BK105" s="16">
        <f>AT105/'2018-19 disagg'!AT105-1</f>
        <v>1.6280373047102614E-2</v>
      </c>
      <c r="BL105" s="16">
        <f>AU105/'2018-19 disagg'!AU105-1</f>
        <v>3.7401762056931354E-2</v>
      </c>
      <c r="BM105" s="16">
        <f>AW105/'2018-19 disagg'!AW105-1</f>
        <v>1.9377226401906089E-2</v>
      </c>
    </row>
    <row r="106" spans="1:65" x14ac:dyDescent="0.2">
      <c r="A106" s="156" t="s">
        <v>257</v>
      </c>
      <c r="B106" s="156" t="s">
        <v>258</v>
      </c>
      <c r="D106" s="56">
        <f>VLOOKUP(A106,'2019-20'!$A$12:$AMX314,32,FALSE)</f>
        <v>391357</v>
      </c>
      <c r="E106" s="56">
        <v>1635.0598612802598</v>
      </c>
      <c r="F106" s="16">
        <f>VLOOKUP(A106,'2019-20'!$A$12:$AMX314,34,FALSE)</f>
        <v>2.4929420330087604E-2</v>
      </c>
      <c r="G106" s="16">
        <f>VLOOKUP(A106,'2019-20'!$A$12:$AMX314,35,FALSE)</f>
        <v>1.9592627798037165E-2</v>
      </c>
      <c r="H106" s="56"/>
      <c r="I106" s="56">
        <v>394706.45861883019</v>
      </c>
      <c r="J106" s="56">
        <v>1649.0536453308032</v>
      </c>
      <c r="K106" s="16">
        <f t="shared" si="23"/>
        <v>-8.4859483438672889E-3</v>
      </c>
      <c r="L106" s="58">
        <f t="shared" si="23"/>
        <v>-8.4859483438673999E-3</v>
      </c>
      <c r="M106" s="10"/>
      <c r="N106" s="56">
        <v>296364</v>
      </c>
      <c r="O106" s="56">
        <v>31686</v>
      </c>
      <c r="P106" s="56">
        <v>63307</v>
      </c>
      <c r="R106" s="56">
        <f t="shared" si="24"/>
        <v>63307</v>
      </c>
      <c r="S106" s="56">
        <f t="shared" si="25"/>
        <v>0</v>
      </c>
      <c r="U106" s="16">
        <v>1.1594753362795585E-2</v>
      </c>
      <c r="V106" s="16">
        <v>-9.8680178065209123E-3</v>
      </c>
      <c r="W106" s="56">
        <f t="shared" si="26"/>
        <v>3</v>
      </c>
      <c r="X106" s="56">
        <f t="shared" si="27"/>
        <v>2929.6711851738205</v>
      </c>
      <c r="Y106" s="56">
        <f t="shared" si="27"/>
        <v>320.01794275753758</v>
      </c>
      <c r="AA106" s="56">
        <f t="shared" si="39"/>
        <v>0</v>
      </c>
      <c r="AB106" s="56">
        <v>0</v>
      </c>
      <c r="AC106" s="56">
        <f t="shared" si="28"/>
        <v>0</v>
      </c>
      <c r="AE106" s="56">
        <v>0</v>
      </c>
      <c r="AF106" s="56">
        <f t="shared" si="29"/>
        <v>0</v>
      </c>
      <c r="AG106" s="56">
        <f t="shared" si="30"/>
        <v>0</v>
      </c>
      <c r="AI106" s="56">
        <f t="shared" si="31"/>
        <v>0</v>
      </c>
      <c r="AJ106" s="56">
        <f t="shared" si="32"/>
        <v>0</v>
      </c>
      <c r="AK106" s="56">
        <f t="shared" si="33"/>
        <v>0</v>
      </c>
      <c r="AM106" s="56">
        <f t="shared" si="34"/>
        <v>296364</v>
      </c>
      <c r="AN106" s="56">
        <f t="shared" si="35"/>
        <v>31686</v>
      </c>
      <c r="AO106" s="56">
        <f t="shared" si="36"/>
        <v>63307</v>
      </c>
      <c r="AP106" s="56"/>
      <c r="AQ106" s="56">
        <f t="shared" si="37"/>
        <v>391357</v>
      </c>
      <c r="AR106" s="1"/>
      <c r="AS106" s="56">
        <v>1238.186312570014</v>
      </c>
      <c r="AT106" s="56">
        <v>132.38170459331587</v>
      </c>
      <c r="AU106" s="56">
        <v>264.49184411693011</v>
      </c>
      <c r="AV106" s="56"/>
      <c r="AW106" s="56">
        <v>1635.0598612802598</v>
      </c>
      <c r="AX106" s="1"/>
      <c r="AY106" s="16">
        <v>1.1594753362795585E-2</v>
      </c>
      <c r="AZ106" s="16">
        <v>-9.8680178065209123E-3</v>
      </c>
      <c r="BA106" s="16">
        <v>-9.2210670013641804E-2</v>
      </c>
      <c r="BB106" s="16">
        <f t="shared" si="38"/>
        <v>-8.4859483438672889E-3</v>
      </c>
      <c r="BC106" s="16"/>
      <c r="BD106" s="1"/>
      <c r="BE106" s="16">
        <f>AM106/'2018-19 disagg'!AM106-1</f>
        <v>2.0783246650363463E-2</v>
      </c>
      <c r="BF106" s="16">
        <f>AN106/'2018-19 disagg'!AN106-1</f>
        <v>2.8732833349566667E-2</v>
      </c>
      <c r="BG106" s="16">
        <f>AO106/'2018-19 disagg'!AO106-1</f>
        <v>4.2828668852026963E-2</v>
      </c>
      <c r="BH106" s="16">
        <f>AQ106/'2018-19 disagg'!AQ106-1</f>
        <v>2.4929420330087604E-2</v>
      </c>
      <c r="BI106" s="1"/>
      <c r="BJ106" s="16">
        <f>AS106/'2018-19 disagg'!AS106-1</f>
        <v>1.5468043184146962E-2</v>
      </c>
      <c r="BK106" s="16">
        <f>AT106/'2018-19 disagg'!AT106-1</f>
        <v>2.3376236501437608E-2</v>
      </c>
      <c r="BL106" s="16">
        <f>AU106/'2018-19 disagg'!AU106-1</f>
        <v>3.7398675194175723E-2</v>
      </c>
      <c r="BM106" s="16">
        <f>AW106/'2018-19 disagg'!AW106-1</f>
        <v>1.9592627798037165E-2</v>
      </c>
    </row>
    <row r="107" spans="1:65" x14ac:dyDescent="0.2">
      <c r="A107" s="156" t="s">
        <v>259</v>
      </c>
      <c r="B107" s="156" t="s">
        <v>260</v>
      </c>
      <c r="D107" s="56">
        <f>VLOOKUP(A107,'2019-20'!$A$12:$AMX315,32,FALSE)</f>
        <v>347494</v>
      </c>
      <c r="E107" s="56">
        <v>1800.0344271298727</v>
      </c>
      <c r="F107" s="16">
        <f>VLOOKUP(A107,'2019-20'!$A$12:$AMX315,34,FALSE)</f>
        <v>2.4367092339075747E-2</v>
      </c>
      <c r="G107" s="16">
        <f>VLOOKUP(A107,'2019-20'!$A$12:$AMX315,35,FALSE)</f>
        <v>1.9491061015596278E-2</v>
      </c>
      <c r="H107" s="56"/>
      <c r="I107" s="56">
        <v>354421.94904295693</v>
      </c>
      <c r="J107" s="56">
        <v>1835.9215123363049</v>
      </c>
      <c r="K107" s="16">
        <f t="shared" si="23"/>
        <v>-1.9547178332674942E-2</v>
      </c>
      <c r="L107" s="58">
        <f t="shared" si="23"/>
        <v>-1.9547178332675053E-2</v>
      </c>
      <c r="M107" s="10"/>
      <c r="N107" s="56">
        <v>268179</v>
      </c>
      <c r="O107" s="56">
        <v>27431</v>
      </c>
      <c r="P107" s="56">
        <v>51884</v>
      </c>
      <c r="R107" s="56">
        <f t="shared" si="24"/>
        <v>51884</v>
      </c>
      <c r="S107" s="56">
        <f t="shared" si="25"/>
        <v>0</v>
      </c>
      <c r="U107" s="16">
        <v>-1.1099370654260143E-2</v>
      </c>
      <c r="V107" s="16">
        <v>1.9088125145357404E-2</v>
      </c>
      <c r="W107" s="56">
        <f t="shared" si="26"/>
        <v>1</v>
      </c>
      <c r="X107" s="56">
        <f t="shared" si="27"/>
        <v>2711.8902753396787</v>
      </c>
      <c r="Y107" s="56">
        <f t="shared" si="27"/>
        <v>269.17201096899629</v>
      </c>
      <c r="AA107" s="56">
        <f t="shared" si="39"/>
        <v>0</v>
      </c>
      <c r="AB107" s="56">
        <v>0</v>
      </c>
      <c r="AC107" s="56">
        <f t="shared" si="28"/>
        <v>0</v>
      </c>
      <c r="AE107" s="56">
        <v>0</v>
      </c>
      <c r="AF107" s="56">
        <f t="shared" si="29"/>
        <v>0</v>
      </c>
      <c r="AG107" s="56">
        <f t="shared" si="30"/>
        <v>0</v>
      </c>
      <c r="AI107" s="56">
        <f t="shared" si="31"/>
        <v>0</v>
      </c>
      <c r="AJ107" s="56">
        <f t="shared" si="32"/>
        <v>0</v>
      </c>
      <c r="AK107" s="56">
        <f t="shared" si="33"/>
        <v>0</v>
      </c>
      <c r="AM107" s="56">
        <f t="shared" si="34"/>
        <v>268179</v>
      </c>
      <c r="AN107" s="56">
        <f t="shared" si="35"/>
        <v>27431</v>
      </c>
      <c r="AO107" s="56">
        <f t="shared" si="36"/>
        <v>51884</v>
      </c>
      <c r="AP107" s="56"/>
      <c r="AQ107" s="56">
        <f t="shared" si="37"/>
        <v>347494</v>
      </c>
      <c r="AR107" s="1"/>
      <c r="AS107" s="56">
        <v>1389.1791876500374</v>
      </c>
      <c r="AT107" s="56">
        <v>142.09380412496199</v>
      </c>
      <c r="AU107" s="56">
        <v>268.76143535487324</v>
      </c>
      <c r="AV107" s="56"/>
      <c r="AW107" s="56">
        <v>1800.0344271298727</v>
      </c>
      <c r="AX107" s="1"/>
      <c r="AY107" s="16">
        <v>-1.1099370654260143E-2</v>
      </c>
      <c r="AZ107" s="16">
        <v>1.9088125145357404E-2</v>
      </c>
      <c r="BA107" s="16">
        <v>-7.8694197280268496E-2</v>
      </c>
      <c r="BB107" s="16">
        <f t="shared" si="38"/>
        <v>-1.9547178332674942E-2</v>
      </c>
      <c r="BC107" s="16"/>
      <c r="BD107" s="1"/>
      <c r="BE107" s="16">
        <f>AM107/'2018-19 disagg'!AM107-1</f>
        <v>2.0782661322553686E-2</v>
      </c>
      <c r="BF107" s="16">
        <f>AN107/'2018-19 disagg'!AN107-1</f>
        <v>2.6071669035684808E-2</v>
      </c>
      <c r="BG107" s="16">
        <f>AO107/'2018-19 disagg'!AO107-1</f>
        <v>4.2370668006027179E-2</v>
      </c>
      <c r="BH107" s="16">
        <f>AQ107/'2018-19 disagg'!AQ107-1</f>
        <v>2.4367092339075747E-2</v>
      </c>
      <c r="BI107" s="1"/>
      <c r="BJ107" s="16">
        <f>AS107/'2018-19 disagg'!AS107-1</f>
        <v>1.592369204455002E-2</v>
      </c>
      <c r="BK107" s="16">
        <f>AT107/'2018-19 disagg'!AT107-1</f>
        <v>2.1187523853972268E-2</v>
      </c>
      <c r="BL107" s="16">
        <f>AU107/'2018-19 disagg'!AU107-1</f>
        <v>3.7408938889692767E-2</v>
      </c>
      <c r="BM107" s="16">
        <f>AW107/'2018-19 disagg'!AW107-1</f>
        <v>1.9491061015596278E-2</v>
      </c>
    </row>
    <row r="108" spans="1:65" x14ac:dyDescent="0.2">
      <c r="A108" s="156" t="s">
        <v>261</v>
      </c>
      <c r="B108" s="156" t="s">
        <v>262</v>
      </c>
      <c r="D108" s="56">
        <f>VLOOKUP(A108,'2019-20'!$A$12:$AMX316,32,FALSE)</f>
        <v>444139.05942414195</v>
      </c>
      <c r="E108" s="56">
        <v>1490.5196093361078</v>
      </c>
      <c r="F108" s="16">
        <f>VLOOKUP(A108,'2019-20'!$A$12:$AMX316,34,FALSE)</f>
        <v>3.5047912897091527E-2</v>
      </c>
      <c r="G108" s="16">
        <f>VLOOKUP(A108,'2019-20'!$A$12:$AMX316,35,FALSE)</f>
        <v>2.2089769464302744E-2</v>
      </c>
      <c r="H108" s="56"/>
      <c r="I108" s="56">
        <v>455219.5525018347</v>
      </c>
      <c r="J108" s="56">
        <v>1527.7054678256266</v>
      </c>
      <c r="K108" s="16">
        <f t="shared" si="23"/>
        <v>-2.4340986710249202E-2</v>
      </c>
      <c r="L108" s="58">
        <f t="shared" si="23"/>
        <v>-2.4340986710249313E-2</v>
      </c>
      <c r="M108" s="10"/>
      <c r="N108" s="56">
        <v>319642</v>
      </c>
      <c r="O108" s="56">
        <v>35481</v>
      </c>
      <c r="P108" s="56">
        <v>87763</v>
      </c>
      <c r="R108" s="56">
        <f t="shared" si="24"/>
        <v>87763</v>
      </c>
      <c r="S108" s="56">
        <f t="shared" si="25"/>
        <v>1253.0594241419458</v>
      </c>
      <c r="U108" s="16">
        <v>-4.256141698651017E-2</v>
      </c>
      <c r="V108" s="16">
        <v>-4.6646534125105665E-2</v>
      </c>
      <c r="W108" s="56">
        <f t="shared" si="26"/>
        <v>4</v>
      </c>
      <c r="X108" s="56">
        <f t="shared" si="27"/>
        <v>3338.5117925156396</v>
      </c>
      <c r="Y108" s="56">
        <f t="shared" si="27"/>
        <v>372.17046216367419</v>
      </c>
      <c r="AA108" s="56">
        <f t="shared" si="39"/>
        <v>0</v>
      </c>
      <c r="AB108" s="56">
        <v>0</v>
      </c>
      <c r="AC108" s="56">
        <f t="shared" si="28"/>
        <v>1253.0594241419458</v>
      </c>
      <c r="AE108" s="56">
        <v>0</v>
      </c>
      <c r="AF108" s="56">
        <f t="shared" si="29"/>
        <v>0</v>
      </c>
      <c r="AG108" s="56">
        <f t="shared" si="30"/>
        <v>1253.0594241419458</v>
      </c>
      <c r="AI108" s="56">
        <f t="shared" si="31"/>
        <v>1127.3812676753371</v>
      </c>
      <c r="AJ108" s="56">
        <f t="shared" si="32"/>
        <v>125.67815646660877</v>
      </c>
      <c r="AK108" s="56">
        <f t="shared" si="33"/>
        <v>0</v>
      </c>
      <c r="AM108" s="56">
        <f t="shared" si="34"/>
        <v>320769</v>
      </c>
      <c r="AN108" s="56">
        <f t="shared" si="35"/>
        <v>35607</v>
      </c>
      <c r="AO108" s="56">
        <f t="shared" si="36"/>
        <v>87763</v>
      </c>
      <c r="AP108" s="56"/>
      <c r="AQ108" s="56">
        <f t="shared" si="37"/>
        <v>444139</v>
      </c>
      <c r="AR108" s="1"/>
      <c r="AS108" s="56">
        <v>1076.4927659977509</v>
      </c>
      <c r="AT108" s="56">
        <v>119.49620418083391</v>
      </c>
      <c r="AU108" s="56">
        <v>294.53043973158447</v>
      </c>
      <c r="AV108" s="56"/>
      <c r="AW108" s="56">
        <v>1490.5194099101693</v>
      </c>
      <c r="AX108" s="1"/>
      <c r="AY108" s="16">
        <v>-3.9185661350341627E-2</v>
      </c>
      <c r="AZ108" s="16">
        <v>-4.3260988714879378E-2</v>
      </c>
      <c r="BA108" s="16">
        <v>4.2918788014377984E-2</v>
      </c>
      <c r="BB108" s="16">
        <f t="shared" si="38"/>
        <v>-2.4341117249769395E-2</v>
      </c>
      <c r="BC108" s="16"/>
      <c r="BD108" s="1"/>
      <c r="BE108" s="16">
        <f>AM108/'2018-19 disagg'!AM108-1</f>
        <v>3.0033781180157648E-2</v>
      </c>
      <c r="BF108" s="16">
        <f>AN108/'2018-19 disagg'!AN108-1</f>
        <v>4.2847938144329856E-2</v>
      </c>
      <c r="BG108" s="16">
        <f>AO108/'2018-19 disagg'!AO108-1</f>
        <v>5.0550634426621999E-2</v>
      </c>
      <c r="BH108" s="16">
        <f>AQ108/'2018-19 disagg'!AQ108-1</f>
        <v>3.5047774411559152E-2</v>
      </c>
      <c r="BI108" s="1"/>
      <c r="BJ108" s="16">
        <f>AS108/'2018-19 disagg'!AS108-1</f>
        <v>1.7138411496457673E-2</v>
      </c>
      <c r="BK108" s="16">
        <f>AT108/'2018-19 disagg'!AT108-1</f>
        <v>2.9792143342291855E-2</v>
      </c>
      <c r="BL108" s="16">
        <f>AU108/'2018-19 disagg'!AU108-1</f>
        <v>3.7398406752249036E-2</v>
      </c>
      <c r="BM108" s="16">
        <f>AW108/'2018-19 disagg'!AW108-1</f>
        <v>2.2089632712521734E-2</v>
      </c>
    </row>
    <row r="109" spans="1:65" x14ac:dyDescent="0.2">
      <c r="A109" s="156" t="s">
        <v>263</v>
      </c>
      <c r="B109" s="156" t="s">
        <v>264</v>
      </c>
      <c r="D109" s="56">
        <f>VLOOKUP(A109,'2019-20'!$A$12:$AMX317,32,FALSE)</f>
        <v>1075966.3053559028</v>
      </c>
      <c r="E109" s="56">
        <v>1579.0315591351591</v>
      </c>
      <c r="F109" s="16">
        <f>VLOOKUP(A109,'2019-20'!$A$12:$AMX317,34,FALSE)</f>
        <v>2.9217201623748856E-2</v>
      </c>
      <c r="G109" s="16">
        <f>VLOOKUP(A109,'2019-20'!$A$12:$AMX317,35,FALSE)</f>
        <v>2.1362295122806074E-2</v>
      </c>
      <c r="H109" s="56"/>
      <c r="I109" s="56">
        <v>1100954.9084253253</v>
      </c>
      <c r="J109" s="56">
        <v>1615.7035187206116</v>
      </c>
      <c r="K109" s="16">
        <f t="shared" si="23"/>
        <v>-2.2697208467114427E-2</v>
      </c>
      <c r="L109" s="58">
        <f t="shared" si="23"/>
        <v>-2.2697208467114649E-2</v>
      </c>
      <c r="M109" s="10"/>
      <c r="N109" s="56">
        <v>813473</v>
      </c>
      <c r="O109" s="56">
        <v>87480</v>
      </c>
      <c r="P109" s="56">
        <v>171671</v>
      </c>
      <c r="R109" s="56">
        <f t="shared" si="24"/>
        <v>171671</v>
      </c>
      <c r="S109" s="56">
        <f t="shared" si="25"/>
        <v>3342.3053559027612</v>
      </c>
      <c r="U109" s="16">
        <v>-2.5537350000459536E-2</v>
      </c>
      <c r="V109" s="16">
        <v>-2.3515915859943615E-2</v>
      </c>
      <c r="W109" s="56">
        <f t="shared" si="26"/>
        <v>4</v>
      </c>
      <c r="X109" s="56">
        <f t="shared" si="27"/>
        <v>8347.913591150811</v>
      </c>
      <c r="Y109" s="56">
        <f t="shared" si="27"/>
        <v>895.86713619648526</v>
      </c>
      <c r="AA109" s="56">
        <f t="shared" si="39"/>
        <v>0</v>
      </c>
      <c r="AB109" s="56">
        <v>0</v>
      </c>
      <c r="AC109" s="56">
        <f t="shared" si="28"/>
        <v>3342.3053559027612</v>
      </c>
      <c r="AE109" s="56">
        <v>0</v>
      </c>
      <c r="AF109" s="56">
        <f t="shared" si="29"/>
        <v>0</v>
      </c>
      <c r="AG109" s="56">
        <f t="shared" si="30"/>
        <v>3342.3053559027612</v>
      </c>
      <c r="AI109" s="56">
        <f t="shared" si="31"/>
        <v>3018.3836169731044</v>
      </c>
      <c r="AJ109" s="56">
        <f t="shared" si="32"/>
        <v>323.92173892965644</v>
      </c>
      <c r="AK109" s="56">
        <f t="shared" si="33"/>
        <v>0</v>
      </c>
      <c r="AM109" s="56">
        <f t="shared" si="34"/>
        <v>816491</v>
      </c>
      <c r="AN109" s="56">
        <f t="shared" si="35"/>
        <v>87804</v>
      </c>
      <c r="AO109" s="56">
        <f t="shared" si="36"/>
        <v>171671</v>
      </c>
      <c r="AP109" s="56"/>
      <c r="AQ109" s="56">
        <f t="shared" si="37"/>
        <v>1075966</v>
      </c>
      <c r="AR109" s="1"/>
      <c r="AS109" s="56">
        <v>1198.2392481364634</v>
      </c>
      <c r="AT109" s="56">
        <v>128.85653233578086</v>
      </c>
      <c r="AU109" s="56">
        <v>251.93533053865238</v>
      </c>
      <c r="AV109" s="56"/>
      <c r="AW109" s="56">
        <v>1579.0311110108967</v>
      </c>
      <c r="AX109" s="1"/>
      <c r="AY109" s="16">
        <v>-2.1922075396755947E-2</v>
      </c>
      <c r="AZ109" s="16">
        <v>-1.9899308140906458E-2</v>
      </c>
      <c r="BA109" s="16">
        <v>-2.7783008294428369E-2</v>
      </c>
      <c r="BB109" s="16">
        <f t="shared" si="38"/>
        <v>-2.2697485822617769E-2</v>
      </c>
      <c r="BC109" s="16"/>
      <c r="BD109" s="1"/>
      <c r="BE109" s="16">
        <f>AM109/'2018-19 disagg'!AM109-1</f>
        <v>2.5150038922230777E-2</v>
      </c>
      <c r="BF109" s="16">
        <f>AN109/'2018-19 disagg'!AN109-1</f>
        <v>3.6120977543868005E-2</v>
      </c>
      <c r="BG109" s="16">
        <f>AO109/'2018-19 disagg'!AO109-1</f>
        <v>4.537842758755084E-2</v>
      </c>
      <c r="BH109" s="16">
        <f>AQ109/'2018-19 disagg'!AQ109-1</f>
        <v>2.9216909535096924E-2</v>
      </c>
      <c r="BI109" s="1"/>
      <c r="BJ109" s="16">
        <f>AS109/'2018-19 disagg'!AS109-1</f>
        <v>1.7326172694122954E-2</v>
      </c>
      <c r="BK109" s="16">
        <f>AT109/'2018-19 disagg'!AT109-1</f>
        <v>2.8213381956238459E-2</v>
      </c>
      <c r="BL109" s="16">
        <f>AU109/'2018-19 disagg'!AU109-1</f>
        <v>3.7400179853400939E-2</v>
      </c>
      <c r="BM109" s="16">
        <f>AW109/'2018-19 disagg'!AW109-1</f>
        <v>2.1362005263352302E-2</v>
      </c>
    </row>
    <row r="110" spans="1:65" x14ac:dyDescent="0.2">
      <c r="A110" s="156" t="s">
        <v>265</v>
      </c>
      <c r="B110" s="156" t="s">
        <v>266</v>
      </c>
      <c r="D110" s="56">
        <f>VLOOKUP(A110,'2019-20'!$A$12:$AMX318,32,FALSE)</f>
        <v>223266.21944193184</v>
      </c>
      <c r="E110" s="56">
        <v>1663.3037096962905</v>
      </c>
      <c r="F110" s="16">
        <f>VLOOKUP(A110,'2019-20'!$A$12:$AMX318,34,FALSE)</f>
        <v>2.5469382567284926E-2</v>
      </c>
      <c r="G110" s="16">
        <f>VLOOKUP(A110,'2019-20'!$A$12:$AMX318,35,FALSE)</f>
        <v>1.9507263950400588E-2</v>
      </c>
      <c r="H110" s="56"/>
      <c r="I110" s="56">
        <v>227711.05529410139</v>
      </c>
      <c r="J110" s="56">
        <v>1696.4171470106512</v>
      </c>
      <c r="K110" s="16">
        <f t="shared" si="23"/>
        <v>-1.9519631343453248E-2</v>
      </c>
      <c r="L110" s="58">
        <f t="shared" si="23"/>
        <v>-1.9519631343453248E-2</v>
      </c>
      <c r="M110" s="10"/>
      <c r="N110" s="56">
        <v>174823</v>
      </c>
      <c r="O110" s="56">
        <v>17973</v>
      </c>
      <c r="P110" s="56">
        <v>30223</v>
      </c>
      <c r="R110" s="56">
        <f t="shared" si="24"/>
        <v>30223</v>
      </c>
      <c r="S110" s="56">
        <f t="shared" si="25"/>
        <v>247.21944193184027</v>
      </c>
      <c r="U110" s="16">
        <v>-1.04865321690647E-2</v>
      </c>
      <c r="V110" s="16">
        <v>1.5360092735525299E-2</v>
      </c>
      <c r="W110" s="56">
        <f t="shared" si="26"/>
        <v>1</v>
      </c>
      <c r="X110" s="56">
        <f t="shared" si="27"/>
        <v>1766.7571557486838</v>
      </c>
      <c r="Y110" s="56">
        <f t="shared" si="27"/>
        <v>177.01109319333369</v>
      </c>
      <c r="AA110" s="56">
        <f t="shared" si="39"/>
        <v>247.21944193184027</v>
      </c>
      <c r="AB110" s="56">
        <v>0</v>
      </c>
      <c r="AC110" s="56">
        <f t="shared" si="28"/>
        <v>0</v>
      </c>
      <c r="AE110" s="56">
        <v>0</v>
      </c>
      <c r="AF110" s="56">
        <f t="shared" si="29"/>
        <v>0</v>
      </c>
      <c r="AG110" s="56">
        <f t="shared" si="30"/>
        <v>0</v>
      </c>
      <c r="AI110" s="56">
        <f t="shared" si="31"/>
        <v>0</v>
      </c>
      <c r="AJ110" s="56">
        <f t="shared" si="32"/>
        <v>0</v>
      </c>
      <c r="AK110" s="56">
        <f t="shared" si="33"/>
        <v>0</v>
      </c>
      <c r="AM110" s="56">
        <f t="shared" si="34"/>
        <v>175070</v>
      </c>
      <c r="AN110" s="56">
        <f t="shared" si="35"/>
        <v>17973</v>
      </c>
      <c r="AO110" s="56">
        <f t="shared" si="36"/>
        <v>30223</v>
      </c>
      <c r="AP110" s="56"/>
      <c r="AQ110" s="56">
        <f t="shared" si="37"/>
        <v>223266</v>
      </c>
      <c r="AR110" s="1"/>
      <c r="AS110" s="56">
        <v>1304.2482699997743</v>
      </c>
      <c r="AT110" s="56">
        <v>133.89646516653877</v>
      </c>
      <c r="AU110" s="56">
        <v>225.15733971670292</v>
      </c>
      <c r="AV110" s="56"/>
      <c r="AW110" s="56">
        <v>1663.3020748830161</v>
      </c>
      <c r="AX110" s="1"/>
      <c r="AY110" s="16">
        <v>-9.0884905695368667E-3</v>
      </c>
      <c r="AZ110" s="16">
        <v>1.5360092735525299E-2</v>
      </c>
      <c r="BA110" s="16">
        <v>-9.3334400181892763E-2</v>
      </c>
      <c r="BB110" s="16">
        <f t="shared" si="38"/>
        <v>-1.9520595029346999E-2</v>
      </c>
      <c r="BC110" s="16"/>
      <c r="BD110" s="1"/>
      <c r="BE110" s="16">
        <f>AM110/'2018-19 disagg'!AM110-1</f>
        <v>2.2223000747384258E-2</v>
      </c>
      <c r="BF110" s="16">
        <f>AN110/'2018-19 disagg'!AN110-1</f>
        <v>2.7439547247470442E-2</v>
      </c>
      <c r="BG110" s="16">
        <f>AO110/'2018-19 disagg'!AO110-1</f>
        <v>4.3467753072780058E-2</v>
      </c>
      <c r="BH110" s="16">
        <f>AQ110/'2018-19 disagg'!AQ110-1</f>
        <v>2.5468374662986015E-2</v>
      </c>
      <c r="BI110" s="1"/>
      <c r="BJ110" s="16">
        <f>AS110/'2018-19 disagg'!AS110-1</f>
        <v>1.6279756719848937E-2</v>
      </c>
      <c r="BK110" s="16">
        <f>AT110/'2018-19 disagg'!AT110-1</f>
        <v>2.1465974017003564E-2</v>
      </c>
      <c r="BL110" s="16">
        <f>AU110/'2018-19 disagg'!AU110-1</f>
        <v>3.7400991234275871E-2</v>
      </c>
      <c r="BM110" s="16">
        <f>AW110/'2018-19 disagg'!AW110-1</f>
        <v>1.9506261906096389E-2</v>
      </c>
    </row>
    <row r="111" spans="1:65" x14ac:dyDescent="0.2">
      <c r="A111" s="156" t="s">
        <v>267</v>
      </c>
      <c r="B111" s="156" t="s">
        <v>268</v>
      </c>
      <c r="D111" s="56">
        <f>VLOOKUP(A111,'2019-20'!$A$12:$AMX319,32,FALSE)</f>
        <v>526612</v>
      </c>
      <c r="E111" s="56">
        <v>1782.1195412728046</v>
      </c>
      <c r="F111" s="16">
        <f>VLOOKUP(A111,'2019-20'!$A$12:$AMX319,34,FALSE)</f>
        <v>2.0411643201221574E-2</v>
      </c>
      <c r="G111" s="16">
        <f>VLOOKUP(A111,'2019-20'!$A$12:$AMX319,35,FALSE)</f>
        <v>1.6469715948883135E-2</v>
      </c>
      <c r="H111" s="56"/>
      <c r="I111" s="56">
        <v>499063.53110842843</v>
      </c>
      <c r="J111" s="56">
        <v>1688.8921466372556</v>
      </c>
      <c r="K111" s="16">
        <f t="shared" si="23"/>
        <v>5.5200324556647029E-2</v>
      </c>
      <c r="L111" s="58">
        <f t="shared" si="23"/>
        <v>5.5200324556647029E-2</v>
      </c>
      <c r="M111" s="10"/>
      <c r="N111" s="56">
        <v>407331</v>
      </c>
      <c r="O111" s="56">
        <v>40420</v>
      </c>
      <c r="P111" s="56">
        <v>78861</v>
      </c>
      <c r="R111" s="56">
        <f t="shared" si="24"/>
        <v>78861</v>
      </c>
      <c r="S111" s="56">
        <f t="shared" si="25"/>
        <v>0</v>
      </c>
      <c r="U111" s="16">
        <v>5.5108794027604269E-2</v>
      </c>
      <c r="V111" s="16">
        <v>4.2250260458951638E-2</v>
      </c>
      <c r="W111" s="56">
        <f t="shared" si="26"/>
        <v>2</v>
      </c>
      <c r="X111" s="56">
        <f t="shared" si="27"/>
        <v>3860.5592362197976</v>
      </c>
      <c r="Y111" s="56">
        <f t="shared" si="27"/>
        <v>387.8147267835767</v>
      </c>
      <c r="AA111" s="56">
        <f t="shared" si="39"/>
        <v>0</v>
      </c>
      <c r="AB111" s="56">
        <v>0</v>
      </c>
      <c r="AC111" s="56">
        <f t="shared" si="28"/>
        <v>0</v>
      </c>
      <c r="AE111" s="56">
        <v>0</v>
      </c>
      <c r="AF111" s="56">
        <f t="shared" si="29"/>
        <v>0</v>
      </c>
      <c r="AG111" s="56">
        <f t="shared" si="30"/>
        <v>0</v>
      </c>
      <c r="AI111" s="56">
        <f t="shared" si="31"/>
        <v>0</v>
      </c>
      <c r="AJ111" s="56">
        <f t="shared" si="32"/>
        <v>0</v>
      </c>
      <c r="AK111" s="56">
        <f t="shared" si="33"/>
        <v>0</v>
      </c>
      <c r="AM111" s="56">
        <f t="shared" si="34"/>
        <v>407331</v>
      </c>
      <c r="AN111" s="56">
        <f t="shared" si="35"/>
        <v>40420</v>
      </c>
      <c r="AO111" s="56">
        <f t="shared" si="36"/>
        <v>78861</v>
      </c>
      <c r="AP111" s="56"/>
      <c r="AQ111" s="56">
        <f t="shared" si="37"/>
        <v>526612</v>
      </c>
      <c r="AR111" s="1"/>
      <c r="AS111" s="56">
        <v>1378.4580200720695</v>
      </c>
      <c r="AT111" s="56">
        <v>136.78623323860216</v>
      </c>
      <c r="AU111" s="56">
        <v>266.87528796213269</v>
      </c>
      <c r="AV111" s="56"/>
      <c r="AW111" s="56">
        <v>1782.1195412728046</v>
      </c>
      <c r="AX111" s="1"/>
      <c r="AY111" s="16">
        <v>5.5108794027604269E-2</v>
      </c>
      <c r="AZ111" s="16">
        <v>4.2250260458951638E-2</v>
      </c>
      <c r="BA111" s="16">
        <v>6.2442496889973942E-2</v>
      </c>
      <c r="BB111" s="16">
        <f t="shared" si="38"/>
        <v>5.5200324556647029E-2</v>
      </c>
      <c r="BC111" s="16"/>
      <c r="BD111" s="1"/>
      <c r="BE111" s="16">
        <f>AM111/'2018-19 disagg'!AM111-1</f>
        <v>1.6180818021928722E-2</v>
      </c>
      <c r="BF111" s="16">
        <f>AN111/'2018-19 disagg'!AN111-1</f>
        <v>2.3058037409197985E-2</v>
      </c>
      <c r="BG111" s="16">
        <f>AO111/'2018-19 disagg'!AO111-1</f>
        <v>4.1426760340182778E-2</v>
      </c>
      <c r="BH111" s="16">
        <f>AQ111/'2018-19 disagg'!AQ111-1</f>
        <v>2.0411643201221574E-2</v>
      </c>
      <c r="BI111" s="1"/>
      <c r="BJ111" s="16">
        <f>AS111/'2018-19 disagg'!AS111-1</f>
        <v>1.225523476682433E-2</v>
      </c>
      <c r="BK111" s="16">
        <f>AT111/'2018-19 disagg'!AT111-1</f>
        <v>1.9105886936144234E-2</v>
      </c>
      <c r="BL111" s="16">
        <f>AU111/'2018-19 disagg'!AU111-1</f>
        <v>3.7403650103003727E-2</v>
      </c>
      <c r="BM111" s="16">
        <f>AW111/'2018-19 disagg'!AW111-1</f>
        <v>1.6469715948883135E-2</v>
      </c>
    </row>
    <row r="112" spans="1:65" x14ac:dyDescent="0.2">
      <c r="A112" s="156" t="s">
        <v>269</v>
      </c>
      <c r="B112" s="156" t="s">
        <v>270</v>
      </c>
      <c r="D112" s="56">
        <f>VLOOKUP(A112,'2019-20'!$A$12:$AMX320,32,FALSE)</f>
        <v>617101</v>
      </c>
      <c r="E112" s="56">
        <v>1702.8863067502068</v>
      </c>
      <c r="F112" s="16">
        <f>VLOOKUP(A112,'2019-20'!$A$12:$AMX320,34,FALSE)</f>
        <v>2.555660993513631E-2</v>
      </c>
      <c r="G112" s="16">
        <f>VLOOKUP(A112,'2019-20'!$A$12:$AMX320,35,FALSE)</f>
        <v>2.1497708444287111E-2</v>
      </c>
      <c r="H112" s="56"/>
      <c r="I112" s="56">
        <v>618297.50864279876</v>
      </c>
      <c r="J112" s="56">
        <v>1706.1880647828957</v>
      </c>
      <c r="K112" s="16">
        <f t="shared" si="23"/>
        <v>-1.9351665275590957E-3</v>
      </c>
      <c r="L112" s="58">
        <f t="shared" si="23"/>
        <v>-1.9351665275592067E-3</v>
      </c>
      <c r="M112" s="10"/>
      <c r="N112" s="56">
        <v>446243</v>
      </c>
      <c r="O112" s="56">
        <v>50032</v>
      </c>
      <c r="P112" s="56">
        <v>120826</v>
      </c>
      <c r="R112" s="56">
        <f t="shared" si="24"/>
        <v>120826</v>
      </c>
      <c r="S112" s="56">
        <f t="shared" si="25"/>
        <v>0</v>
      </c>
      <c r="U112" s="16">
        <v>3.4566894171670359E-3</v>
      </c>
      <c r="V112" s="16">
        <v>-4.8627013355644566E-2</v>
      </c>
      <c r="W112" s="56">
        <f t="shared" si="26"/>
        <v>3</v>
      </c>
      <c r="X112" s="56">
        <f t="shared" si="27"/>
        <v>4447.0579020125842</v>
      </c>
      <c r="Y112" s="56">
        <f t="shared" si="27"/>
        <v>525.89258579299019</v>
      </c>
      <c r="AA112" s="56">
        <f t="shared" si="39"/>
        <v>0</v>
      </c>
      <c r="AB112" s="56">
        <v>0</v>
      </c>
      <c r="AC112" s="56">
        <f t="shared" si="28"/>
        <v>0</v>
      </c>
      <c r="AE112" s="56">
        <v>0</v>
      </c>
      <c r="AF112" s="56">
        <f t="shared" si="29"/>
        <v>0</v>
      </c>
      <c r="AG112" s="56">
        <f t="shared" si="30"/>
        <v>0</v>
      </c>
      <c r="AI112" s="56">
        <f t="shared" si="31"/>
        <v>0</v>
      </c>
      <c r="AJ112" s="56">
        <f t="shared" si="32"/>
        <v>0</v>
      </c>
      <c r="AK112" s="56">
        <f t="shared" si="33"/>
        <v>0</v>
      </c>
      <c r="AM112" s="56">
        <f t="shared" si="34"/>
        <v>446243</v>
      </c>
      <c r="AN112" s="56">
        <f t="shared" si="35"/>
        <v>50032</v>
      </c>
      <c r="AO112" s="56">
        <f t="shared" si="36"/>
        <v>120826</v>
      </c>
      <c r="AP112" s="56"/>
      <c r="AQ112" s="56">
        <f t="shared" si="37"/>
        <v>617101</v>
      </c>
      <c r="AR112" s="1"/>
      <c r="AS112" s="56">
        <v>1231.404736312423</v>
      </c>
      <c r="AT112" s="56">
        <v>138.06298758116799</v>
      </c>
      <c r="AU112" s="56">
        <v>333.41858285661584</v>
      </c>
      <c r="AV112" s="56"/>
      <c r="AW112" s="56">
        <v>1702.8863067502068</v>
      </c>
      <c r="AX112" s="1"/>
      <c r="AY112" s="16">
        <v>3.4566894171670359E-3</v>
      </c>
      <c r="AZ112" s="16">
        <v>-4.8627013355644566E-2</v>
      </c>
      <c r="BA112" s="16">
        <v>-1.4583163221825179E-3</v>
      </c>
      <c r="BB112" s="16">
        <f t="shared" si="38"/>
        <v>-1.9351665275590957E-3</v>
      </c>
      <c r="BC112" s="16"/>
      <c r="BD112" s="1"/>
      <c r="BE112" s="16">
        <f>AM112/'2018-19 disagg'!AM112-1</f>
        <v>2.0784294887191468E-2</v>
      </c>
      <c r="BF112" s="16">
        <f>AN112/'2018-19 disagg'!AN112-1</f>
        <v>3.037667071688932E-2</v>
      </c>
      <c r="BG112" s="16">
        <f>AO112/'2018-19 disagg'!AO112-1</f>
        <v>4.152264048478993E-2</v>
      </c>
      <c r="BH112" s="16">
        <f>AQ112/'2018-19 disagg'!AQ112-1</f>
        <v>2.555660993513631E-2</v>
      </c>
      <c r="BI112" s="1"/>
      <c r="BJ112" s="16">
        <f>AS112/'2018-19 disagg'!AS112-1</f>
        <v>1.6744281048642895E-2</v>
      </c>
      <c r="BK112" s="16">
        <f>AT112/'2018-19 disagg'!AT112-1</f>
        <v>2.6298692607837459E-2</v>
      </c>
      <c r="BL112" s="16">
        <f>AU112/'2018-19 disagg'!AU112-1</f>
        <v>3.740054936152748E-2</v>
      </c>
      <c r="BM112" s="16">
        <f>AW112/'2018-19 disagg'!AW112-1</f>
        <v>2.1497708444287111E-2</v>
      </c>
    </row>
    <row r="113" spans="1:65" x14ac:dyDescent="0.2">
      <c r="A113" s="156" t="s">
        <v>271</v>
      </c>
      <c r="B113" s="156" t="s">
        <v>272</v>
      </c>
      <c r="D113" s="56">
        <f>VLOOKUP(A113,'2019-20'!$A$12:$AMX321,32,FALSE)</f>
        <v>253585.65210507525</v>
      </c>
      <c r="E113" s="56">
        <v>1649.072118201552</v>
      </c>
      <c r="F113" s="16">
        <f>VLOOKUP(A113,'2019-20'!$A$12:$AMX321,34,FALSE)</f>
        <v>2.6591903006980333E-2</v>
      </c>
      <c r="G113" s="16">
        <f>VLOOKUP(A113,'2019-20'!$A$12:$AMX321,35,FALSE)</f>
        <v>2.0426731220885896E-2</v>
      </c>
      <c r="H113" s="56"/>
      <c r="I113" s="56">
        <v>259070.61320778553</v>
      </c>
      <c r="J113" s="56">
        <v>1684.7409202367385</v>
      </c>
      <c r="K113" s="16">
        <f t="shared" si="23"/>
        <v>-2.1171683792291396E-2</v>
      </c>
      <c r="L113" s="58">
        <f t="shared" si="23"/>
        <v>-2.1171683792291507E-2</v>
      </c>
      <c r="M113" s="10"/>
      <c r="N113" s="56">
        <v>194470</v>
      </c>
      <c r="O113" s="56">
        <v>20111</v>
      </c>
      <c r="P113" s="56">
        <v>38569</v>
      </c>
      <c r="R113" s="56">
        <f t="shared" si="24"/>
        <v>38569</v>
      </c>
      <c r="S113" s="56">
        <f t="shared" si="25"/>
        <v>435.65210507524898</v>
      </c>
      <c r="U113" s="16">
        <v>-1.810776871678843E-2</v>
      </c>
      <c r="V113" s="16">
        <v>2.7198576855447243E-3</v>
      </c>
      <c r="W113" s="56">
        <f t="shared" si="26"/>
        <v>1</v>
      </c>
      <c r="X113" s="56">
        <f t="shared" si="27"/>
        <v>1980.56358736897</v>
      </c>
      <c r="Y113" s="56">
        <f t="shared" si="27"/>
        <v>200.56449312193493</v>
      </c>
      <c r="AA113" s="56">
        <f t="shared" si="39"/>
        <v>435.65210507524898</v>
      </c>
      <c r="AB113" s="56">
        <v>0</v>
      </c>
      <c r="AC113" s="56">
        <f t="shared" si="28"/>
        <v>0</v>
      </c>
      <c r="AE113" s="56">
        <v>0</v>
      </c>
      <c r="AF113" s="56">
        <f t="shared" si="29"/>
        <v>0</v>
      </c>
      <c r="AG113" s="56">
        <f t="shared" si="30"/>
        <v>0</v>
      </c>
      <c r="AI113" s="56">
        <f t="shared" si="31"/>
        <v>0</v>
      </c>
      <c r="AJ113" s="56">
        <f t="shared" si="32"/>
        <v>0</v>
      </c>
      <c r="AK113" s="56">
        <f t="shared" si="33"/>
        <v>0</v>
      </c>
      <c r="AM113" s="56">
        <f t="shared" si="34"/>
        <v>194906</v>
      </c>
      <c r="AN113" s="56">
        <f t="shared" si="35"/>
        <v>20111</v>
      </c>
      <c r="AO113" s="56">
        <f t="shared" si="36"/>
        <v>38569</v>
      </c>
      <c r="AP113" s="56"/>
      <c r="AQ113" s="56">
        <f t="shared" si="37"/>
        <v>253586</v>
      </c>
      <c r="AR113" s="1"/>
      <c r="AS113" s="56">
        <v>1267.4772709025794</v>
      </c>
      <c r="AT113" s="56">
        <v>130.78219959940574</v>
      </c>
      <c r="AU113" s="56">
        <v>250.81491006660434</v>
      </c>
      <c r="AV113" s="56"/>
      <c r="AW113" s="56">
        <v>1649.0743805685895</v>
      </c>
      <c r="AX113" s="1"/>
      <c r="AY113" s="16">
        <v>-1.5906375119629557E-2</v>
      </c>
      <c r="AZ113" s="16">
        <v>2.7198576855447243E-3</v>
      </c>
      <c r="BA113" s="16">
        <v>-5.8323563712444737E-2</v>
      </c>
      <c r="BB113" s="16">
        <f t="shared" si="38"/>
        <v>-2.1170340934757559E-2</v>
      </c>
      <c r="BC113" s="16"/>
      <c r="BD113" s="1"/>
      <c r="BE113" s="16">
        <f>AM113/'2018-19 disagg'!AM113-1</f>
        <v>2.3069534042653661E-2</v>
      </c>
      <c r="BF113" s="16">
        <f>AN113/'2018-19 disagg'!AN113-1</f>
        <v>2.8643036161833058E-2</v>
      </c>
      <c r="BG113" s="16">
        <f>AO113/'2018-19 disagg'!AO113-1</f>
        <v>4.3674739548098973E-2</v>
      </c>
      <c r="BH113" s="16">
        <f>AQ113/'2018-19 disagg'!AQ113-1</f>
        <v>2.6593311391523766E-2</v>
      </c>
      <c r="BI113" s="1"/>
      <c r="BJ113" s="16">
        <f>AS113/'2018-19 disagg'!AS113-1</f>
        <v>1.692551575455159E-2</v>
      </c>
      <c r="BK113" s="16">
        <f>AT113/'2018-19 disagg'!AT113-1</f>
        <v>2.2465546347300469E-2</v>
      </c>
      <c r="BL113" s="16">
        <f>AU113/'2018-19 disagg'!AU113-1</f>
        <v>3.7406977217932402E-2</v>
      </c>
      <c r="BM113" s="16">
        <f>AW113/'2018-19 disagg'!AW113-1</f>
        <v>2.0428131147411488E-2</v>
      </c>
    </row>
    <row r="114" spans="1:65" x14ac:dyDescent="0.2">
      <c r="A114" s="156" t="s">
        <v>273</v>
      </c>
      <c r="B114" s="156" t="s">
        <v>274</v>
      </c>
      <c r="D114" s="56">
        <f>VLOOKUP(A114,'2019-20'!$A$12:$AMX322,32,FALSE)</f>
        <v>161489</v>
      </c>
      <c r="E114" s="56">
        <v>1660.8837087915224</v>
      </c>
      <c r="F114" s="16">
        <f>VLOOKUP(A114,'2019-20'!$A$12:$AMX322,34,FALSE)</f>
        <v>2.476092571087718E-2</v>
      </c>
      <c r="G114" s="16">
        <f>VLOOKUP(A114,'2019-20'!$A$12:$AMX322,35,FALSE)</f>
        <v>1.8044823076907246E-2</v>
      </c>
      <c r="H114" s="56"/>
      <c r="I114" s="56">
        <v>161748.50620088537</v>
      </c>
      <c r="J114" s="56">
        <v>1663.5526808043587</v>
      </c>
      <c r="K114" s="16">
        <f t="shared" si="23"/>
        <v>-1.60438081921499E-3</v>
      </c>
      <c r="L114" s="58">
        <f t="shared" si="23"/>
        <v>-1.604380819215101E-3</v>
      </c>
      <c r="M114" s="10"/>
      <c r="N114" s="56">
        <v>124443</v>
      </c>
      <c r="O114" s="56">
        <v>13002</v>
      </c>
      <c r="P114" s="56">
        <v>24044</v>
      </c>
      <c r="R114" s="56">
        <f t="shared" si="24"/>
        <v>24044</v>
      </c>
      <c r="S114" s="56">
        <f t="shared" si="25"/>
        <v>0</v>
      </c>
      <c r="U114" s="16">
        <v>6.861914252139556E-3</v>
      </c>
      <c r="V114" s="16">
        <v>2.4215168244796414E-2</v>
      </c>
      <c r="W114" s="56">
        <f t="shared" si="26"/>
        <v>2</v>
      </c>
      <c r="X114" s="56">
        <f t="shared" si="27"/>
        <v>1235.9490237788141</v>
      </c>
      <c r="Y114" s="56">
        <f t="shared" si="27"/>
        <v>126.9459816952487</v>
      </c>
      <c r="AA114" s="56">
        <f t="shared" si="39"/>
        <v>0</v>
      </c>
      <c r="AB114" s="56">
        <v>0</v>
      </c>
      <c r="AC114" s="56">
        <f t="shared" si="28"/>
        <v>0</v>
      </c>
      <c r="AE114" s="56">
        <v>0</v>
      </c>
      <c r="AF114" s="56">
        <f t="shared" si="29"/>
        <v>0</v>
      </c>
      <c r="AG114" s="56">
        <f t="shared" si="30"/>
        <v>0</v>
      </c>
      <c r="AI114" s="56">
        <f t="shared" si="31"/>
        <v>0</v>
      </c>
      <c r="AJ114" s="56">
        <f t="shared" si="32"/>
        <v>0</v>
      </c>
      <c r="AK114" s="56">
        <f t="shared" si="33"/>
        <v>0</v>
      </c>
      <c r="AM114" s="56">
        <f t="shared" si="34"/>
        <v>124443</v>
      </c>
      <c r="AN114" s="56">
        <f t="shared" si="35"/>
        <v>13002</v>
      </c>
      <c r="AO114" s="56">
        <f t="shared" si="36"/>
        <v>24044</v>
      </c>
      <c r="AP114" s="56"/>
      <c r="AQ114" s="56">
        <f t="shared" si="37"/>
        <v>161489</v>
      </c>
      <c r="AR114" s="1"/>
      <c r="AS114" s="56">
        <v>1279.8726314061232</v>
      </c>
      <c r="AT114" s="56">
        <v>133.72310176982566</v>
      </c>
      <c r="AU114" s="56">
        <v>247.2879756155736</v>
      </c>
      <c r="AV114" s="56"/>
      <c r="AW114" s="56">
        <v>1660.8837087915224</v>
      </c>
      <c r="AX114" s="1"/>
      <c r="AY114" s="16">
        <v>6.861914252139556E-3</v>
      </c>
      <c r="AZ114" s="16">
        <v>2.4215168244796414E-2</v>
      </c>
      <c r="BA114" s="16">
        <v>-5.5579769011352087E-2</v>
      </c>
      <c r="BB114" s="16">
        <f t="shared" si="38"/>
        <v>-1.60438081921499E-3</v>
      </c>
      <c r="BC114" s="16"/>
      <c r="BD114" s="1"/>
      <c r="BE114" s="16">
        <f>AM114/'2018-19 disagg'!AM114-1</f>
        <v>2.0785996111853944E-2</v>
      </c>
      <c r="BF114" s="16">
        <f>AN114/'2018-19 disagg'!AN114-1</f>
        <v>2.7582391527700922E-2</v>
      </c>
      <c r="BG114" s="16">
        <f>AO114/'2018-19 disagg'!AO114-1</f>
        <v>4.4256243213897983E-2</v>
      </c>
      <c r="BH114" s="16">
        <f>AQ114/'2018-19 disagg'!AQ114-1</f>
        <v>2.476092571087718E-2</v>
      </c>
      <c r="BI114" s="1"/>
      <c r="BJ114" s="16">
        <f>AS114/'2018-19 disagg'!AS114-1</f>
        <v>1.4095944466441468E-2</v>
      </c>
      <c r="BK114" s="16">
        <f>AT114/'2018-19 disagg'!AT114-1</f>
        <v>2.0847797503662724E-2</v>
      </c>
      <c r="BL114" s="16">
        <f>AU114/'2018-19 disagg'!AU114-1</f>
        <v>3.7412371702380876E-2</v>
      </c>
      <c r="BM114" s="16">
        <f>AW114/'2018-19 disagg'!AW114-1</f>
        <v>1.8044823076907246E-2</v>
      </c>
    </row>
    <row r="115" spans="1:65" x14ac:dyDescent="0.2">
      <c r="A115" s="156" t="s">
        <v>275</v>
      </c>
      <c r="B115" s="156" t="s">
        <v>276</v>
      </c>
      <c r="D115" s="56">
        <f>VLOOKUP(A115,'2019-20'!$A$12:$AMX323,32,FALSE)</f>
        <v>190452.87911277567</v>
      </c>
      <c r="E115" s="56">
        <v>1492.7195444406564</v>
      </c>
      <c r="F115" s="16">
        <f>VLOOKUP(A115,'2019-20'!$A$12:$AMX323,34,FALSE)</f>
        <v>2.5732484786727738E-2</v>
      </c>
      <c r="G115" s="16">
        <f>VLOOKUP(A115,'2019-20'!$A$12:$AMX323,35,FALSE)</f>
        <v>1.8858199009411658E-2</v>
      </c>
      <c r="H115" s="56"/>
      <c r="I115" s="56">
        <v>194077.33997520333</v>
      </c>
      <c r="J115" s="56">
        <v>1521.1271148203214</v>
      </c>
      <c r="K115" s="16">
        <f t="shared" si="23"/>
        <v>-1.8675342844717169E-2</v>
      </c>
      <c r="L115" s="58">
        <f t="shared" si="23"/>
        <v>-1.8675342844717169E-2</v>
      </c>
      <c r="M115" s="10"/>
      <c r="N115" s="56">
        <v>145932</v>
      </c>
      <c r="O115" s="56">
        <v>16370</v>
      </c>
      <c r="P115" s="56">
        <v>27925</v>
      </c>
      <c r="R115" s="56">
        <f t="shared" si="24"/>
        <v>27925</v>
      </c>
      <c r="S115" s="56">
        <f t="shared" si="25"/>
        <v>225.87911277567036</v>
      </c>
      <c r="U115" s="16">
        <v>-2.0582182121978265E-2</v>
      </c>
      <c r="V115" s="16">
        <v>4.7293492243978275E-2</v>
      </c>
      <c r="W115" s="56">
        <f t="shared" si="26"/>
        <v>1</v>
      </c>
      <c r="X115" s="56">
        <f t="shared" si="27"/>
        <v>1489.9871876557447</v>
      </c>
      <c r="Y115" s="56">
        <f t="shared" si="27"/>
        <v>156.30766467310801</v>
      </c>
      <c r="AA115" s="56">
        <f t="shared" si="39"/>
        <v>225.87911277567036</v>
      </c>
      <c r="AB115" s="56">
        <v>0</v>
      </c>
      <c r="AC115" s="56">
        <f t="shared" si="28"/>
        <v>0</v>
      </c>
      <c r="AE115" s="56">
        <v>0</v>
      </c>
      <c r="AF115" s="56">
        <f t="shared" si="29"/>
        <v>0</v>
      </c>
      <c r="AG115" s="56">
        <f t="shared" si="30"/>
        <v>0</v>
      </c>
      <c r="AI115" s="56">
        <f t="shared" si="31"/>
        <v>0</v>
      </c>
      <c r="AJ115" s="56">
        <f t="shared" si="32"/>
        <v>0</v>
      </c>
      <c r="AK115" s="56">
        <f t="shared" si="33"/>
        <v>0</v>
      </c>
      <c r="AM115" s="56">
        <f t="shared" si="34"/>
        <v>146158</v>
      </c>
      <c r="AN115" s="56">
        <f t="shared" si="35"/>
        <v>16370</v>
      </c>
      <c r="AO115" s="56">
        <f t="shared" si="36"/>
        <v>27925</v>
      </c>
      <c r="AP115" s="56"/>
      <c r="AQ115" s="56">
        <f t="shared" si="37"/>
        <v>190453</v>
      </c>
      <c r="AR115" s="1"/>
      <c r="AS115" s="56">
        <v>1145.5479391685515</v>
      </c>
      <c r="AT115" s="56">
        <v>128.3037518588732</v>
      </c>
      <c r="AU115" s="56">
        <v>218.86880089548163</v>
      </c>
      <c r="AV115" s="56"/>
      <c r="AW115" s="56">
        <v>1492.7204919229064</v>
      </c>
      <c r="AX115" s="1"/>
      <c r="AY115" s="16">
        <v>-1.9065390555766393E-2</v>
      </c>
      <c r="AZ115" s="16">
        <v>4.7293492243978275E-2</v>
      </c>
      <c r="BA115" s="16">
        <v>-5.1713605478012292E-2</v>
      </c>
      <c r="BB115" s="16">
        <f t="shared" si="38"/>
        <v>-1.8674719963012731E-2</v>
      </c>
      <c r="BC115" s="16"/>
      <c r="BD115" s="1"/>
      <c r="BE115" s="16">
        <f>AM115/'2018-19 disagg'!AM115-1</f>
        <v>2.2362742286357928E-2</v>
      </c>
      <c r="BF115" s="16">
        <f>AN115/'2018-19 disagg'!AN115-1</f>
        <v>2.4661992989484238E-2</v>
      </c>
      <c r="BG115" s="16">
        <f>AO115/'2018-19 disagg'!AO115-1</f>
        <v>4.4393746727503958E-2</v>
      </c>
      <c r="BH115" s="16">
        <f>AQ115/'2018-19 disagg'!AQ115-1</f>
        <v>2.5733135855661837E-2</v>
      </c>
      <c r="BI115" s="1"/>
      <c r="BJ115" s="16">
        <f>AS115/'2018-19 disagg'!AS115-1</f>
        <v>1.5511039953835626E-2</v>
      </c>
      <c r="BK115" s="16">
        <f>AT115/'2018-19 disagg'!AT115-1</f>
        <v>1.7794881467293688E-2</v>
      </c>
      <c r="BL115" s="16">
        <f>AU115/'2018-19 disagg'!AU115-1</f>
        <v>3.7394396326176471E-2</v>
      </c>
      <c r="BM115" s="16">
        <f>AW115/'2018-19 disagg'!AW115-1</f>
        <v>1.8858845714991856E-2</v>
      </c>
    </row>
    <row r="116" spans="1:65" x14ac:dyDescent="0.2">
      <c r="A116" s="156" t="s">
        <v>277</v>
      </c>
      <c r="B116" s="156" t="s">
        <v>278</v>
      </c>
      <c r="D116" s="56">
        <f>VLOOKUP(A116,'2019-20'!$A$12:$AMX324,32,FALSE)</f>
        <v>268795.15477235982</v>
      </c>
      <c r="E116" s="56">
        <v>1591.081276298846</v>
      </c>
      <c r="F116" s="16">
        <f>VLOOKUP(A116,'2019-20'!$A$12:$AMX324,34,FALSE)</f>
        <v>2.7437646530461768E-2</v>
      </c>
      <c r="G116" s="16">
        <f>VLOOKUP(A116,'2019-20'!$A$12:$AMX324,35,FALSE)</f>
        <v>1.8769649769541097E-2</v>
      </c>
      <c r="H116" s="56"/>
      <c r="I116" s="56">
        <v>273811.0388113528</v>
      </c>
      <c r="J116" s="56">
        <v>1620.7718381889465</v>
      </c>
      <c r="K116" s="16">
        <f t="shared" si="23"/>
        <v>-1.831877947933569E-2</v>
      </c>
      <c r="L116" s="58">
        <f t="shared" si="23"/>
        <v>-1.8318779479335467E-2</v>
      </c>
      <c r="M116" s="10"/>
      <c r="N116" s="56">
        <v>214044</v>
      </c>
      <c r="O116" s="56">
        <v>23660</v>
      </c>
      <c r="P116" s="56">
        <v>30153</v>
      </c>
      <c r="R116" s="56">
        <f t="shared" si="24"/>
        <v>30153</v>
      </c>
      <c r="S116" s="56">
        <f t="shared" si="25"/>
        <v>938.15477235981962</v>
      </c>
      <c r="U116" s="16">
        <v>4.6790115556729628E-3</v>
      </c>
      <c r="V116" s="16">
        <v>7.3143561522704958E-2</v>
      </c>
      <c r="W116" s="56">
        <f t="shared" si="26"/>
        <v>2</v>
      </c>
      <c r="X116" s="56">
        <f t="shared" si="27"/>
        <v>2130.4714992360427</v>
      </c>
      <c r="Y116" s="56">
        <f t="shared" si="27"/>
        <v>220.47376370062128</v>
      </c>
      <c r="AA116" s="56">
        <f t="shared" si="39"/>
        <v>0</v>
      </c>
      <c r="AB116" s="56">
        <v>0</v>
      </c>
      <c r="AC116" s="56">
        <f t="shared" si="28"/>
        <v>938.15477235981962</v>
      </c>
      <c r="AE116" s="56">
        <v>0</v>
      </c>
      <c r="AF116" s="56">
        <f t="shared" si="29"/>
        <v>0</v>
      </c>
      <c r="AG116" s="56">
        <f t="shared" si="30"/>
        <v>938.15477235981962</v>
      </c>
      <c r="AI116" s="56">
        <f t="shared" si="31"/>
        <v>850.17377303297917</v>
      </c>
      <c r="AJ116" s="56">
        <f t="shared" si="32"/>
        <v>87.980999326840276</v>
      </c>
      <c r="AK116" s="56">
        <f t="shared" si="33"/>
        <v>0</v>
      </c>
      <c r="AM116" s="56">
        <f t="shared" si="34"/>
        <v>214894</v>
      </c>
      <c r="AN116" s="56">
        <f t="shared" si="35"/>
        <v>23748</v>
      </c>
      <c r="AO116" s="56">
        <f t="shared" si="36"/>
        <v>30153</v>
      </c>
      <c r="AP116" s="56"/>
      <c r="AQ116" s="56">
        <f t="shared" si="37"/>
        <v>268795</v>
      </c>
      <c r="AR116" s="1"/>
      <c r="AS116" s="56">
        <v>1272.0237464046845</v>
      </c>
      <c r="AT116" s="56">
        <v>140.57172340604413</v>
      </c>
      <c r="AU116" s="56">
        <v>178.48489034286882</v>
      </c>
      <c r="AV116" s="56"/>
      <c r="AW116" s="56">
        <v>1591.0803601535974</v>
      </c>
      <c r="AX116" s="1"/>
      <c r="AY116" s="16">
        <v>8.6687387137447391E-3</v>
      </c>
      <c r="AZ116" s="16">
        <v>7.713496614713411E-2</v>
      </c>
      <c r="BA116" s="16">
        <v>-0.22118501798875656</v>
      </c>
      <c r="BB116" s="16">
        <f t="shared" si="38"/>
        <v>-1.8319344731783094E-2</v>
      </c>
      <c r="BC116" s="16"/>
      <c r="BD116" s="1"/>
      <c r="BE116" s="16">
        <f>AM116/'2018-19 disagg'!AM116-1</f>
        <v>2.6246669022626845E-2</v>
      </c>
      <c r="BF116" s="16">
        <f>AN116/'2018-19 disagg'!AN116-1</f>
        <v>1.4958543465253493E-2</v>
      </c>
      <c r="BG116" s="16">
        <f>AO116/'2018-19 disagg'!AO116-1</f>
        <v>4.6216300614135619E-2</v>
      </c>
      <c r="BH116" s="16">
        <f>AQ116/'2018-19 disagg'!AQ116-1</f>
        <v>2.7437054931445548E-2</v>
      </c>
      <c r="BI116" s="1"/>
      <c r="BJ116" s="16">
        <f>AS116/'2018-19 disagg'!AS116-1</f>
        <v>1.758871996553979E-2</v>
      </c>
      <c r="BK116" s="16">
        <f>AT116/'2018-19 disagg'!AT116-1</f>
        <v>6.3958268887929215E-3</v>
      </c>
      <c r="BL116" s="16">
        <f>AU116/'2018-19 disagg'!AU116-1</f>
        <v>3.7389877389748527E-2</v>
      </c>
      <c r="BM116" s="16">
        <f>AW116/'2018-19 disagg'!AW116-1</f>
        <v>1.8769063161560684E-2</v>
      </c>
    </row>
    <row r="117" spans="1:65" x14ac:dyDescent="0.2">
      <c r="A117" s="156" t="s">
        <v>279</v>
      </c>
      <c r="B117" s="156" t="s">
        <v>280</v>
      </c>
      <c r="D117" s="56">
        <f>VLOOKUP(A117,'2019-20'!$A$12:$AMX325,32,FALSE)</f>
        <v>216923</v>
      </c>
      <c r="E117" s="56">
        <v>1591.7984106059419</v>
      </c>
      <c r="F117" s="16">
        <f>VLOOKUP(A117,'2019-20'!$A$12:$AMX325,34,FALSE)</f>
        <v>2.3685253699788689E-2</v>
      </c>
      <c r="G117" s="16">
        <f>VLOOKUP(A117,'2019-20'!$A$12:$AMX325,35,FALSE)</f>
        <v>1.5865624759251462E-2</v>
      </c>
      <c r="H117" s="56"/>
      <c r="I117" s="56">
        <v>217864.12412245909</v>
      </c>
      <c r="J117" s="56">
        <v>1598.7044550655578</v>
      </c>
      <c r="K117" s="16">
        <f t="shared" si="23"/>
        <v>-4.3197755768641377E-3</v>
      </c>
      <c r="L117" s="58">
        <f t="shared" si="23"/>
        <v>-4.3197755768640267E-3</v>
      </c>
      <c r="M117" s="10"/>
      <c r="N117" s="56">
        <v>167148</v>
      </c>
      <c r="O117" s="56">
        <v>19071</v>
      </c>
      <c r="P117" s="56">
        <v>30704</v>
      </c>
      <c r="R117" s="56">
        <f t="shared" si="24"/>
        <v>30704</v>
      </c>
      <c r="S117" s="56">
        <f t="shared" si="25"/>
        <v>0</v>
      </c>
      <c r="U117" s="16">
        <v>1.1379625224603895E-2</v>
      </c>
      <c r="V117" s="16">
        <v>7.7195102105125146E-2</v>
      </c>
      <c r="W117" s="56">
        <f t="shared" si="26"/>
        <v>2</v>
      </c>
      <c r="X117" s="56">
        <f t="shared" si="27"/>
        <v>1652.6731983836466</v>
      </c>
      <c r="Y117" s="56">
        <f t="shared" si="27"/>
        <v>177.04313696497695</v>
      </c>
      <c r="AA117" s="56">
        <f t="shared" si="39"/>
        <v>0</v>
      </c>
      <c r="AB117" s="56">
        <v>0</v>
      </c>
      <c r="AC117" s="56">
        <f t="shared" si="28"/>
        <v>0</v>
      </c>
      <c r="AE117" s="56">
        <v>0</v>
      </c>
      <c r="AF117" s="56">
        <f t="shared" si="29"/>
        <v>0</v>
      </c>
      <c r="AG117" s="56">
        <f t="shared" si="30"/>
        <v>0</v>
      </c>
      <c r="AI117" s="56">
        <f t="shared" si="31"/>
        <v>0</v>
      </c>
      <c r="AJ117" s="56">
        <f t="shared" si="32"/>
        <v>0</v>
      </c>
      <c r="AK117" s="56">
        <f t="shared" si="33"/>
        <v>0</v>
      </c>
      <c r="AM117" s="56">
        <f t="shared" si="34"/>
        <v>167148</v>
      </c>
      <c r="AN117" s="56">
        <f t="shared" si="35"/>
        <v>19071</v>
      </c>
      <c r="AO117" s="56">
        <f t="shared" si="36"/>
        <v>30704</v>
      </c>
      <c r="AP117" s="56"/>
      <c r="AQ117" s="56">
        <f t="shared" si="37"/>
        <v>216923</v>
      </c>
      <c r="AR117" s="1"/>
      <c r="AS117" s="56">
        <v>1226.5454596145266</v>
      </c>
      <c r="AT117" s="56">
        <v>139.9445309564496</v>
      </c>
      <c r="AU117" s="56">
        <v>225.30842003496556</v>
      </c>
      <c r="AV117" s="56"/>
      <c r="AW117" s="56">
        <v>1591.7984106059419</v>
      </c>
      <c r="AX117" s="1"/>
      <c r="AY117" s="16">
        <v>1.1379625224603895E-2</v>
      </c>
      <c r="AZ117" s="16">
        <v>7.7195102105125146E-2</v>
      </c>
      <c r="BA117" s="16">
        <v>-0.12003988586259351</v>
      </c>
      <c r="BB117" s="16">
        <f t="shared" si="38"/>
        <v>-4.3197755768641377E-3</v>
      </c>
      <c r="BC117" s="16"/>
      <c r="BD117" s="1"/>
      <c r="BE117" s="16">
        <f>AM117/'2018-19 disagg'!AM117-1</f>
        <v>2.1368644249042168E-2</v>
      </c>
      <c r="BF117" s="16">
        <f>AN117/'2018-19 disagg'!AN117-1</f>
        <v>1.0009532888465289E-2</v>
      </c>
      <c r="BG117" s="16">
        <f>AO117/'2018-19 disagg'!AO117-1</f>
        <v>4.538490347621793E-2</v>
      </c>
      <c r="BH117" s="16">
        <f>AQ117/'2018-19 disagg'!AQ117-1</f>
        <v>2.3685253699788689E-2</v>
      </c>
      <c r="BI117" s="1"/>
      <c r="BJ117" s="16">
        <f>AS117/'2018-19 disagg'!AS117-1</f>
        <v>1.356671120305819E-2</v>
      </c>
      <c r="BK117" s="16">
        <f>AT117/'2018-19 disagg'!AT117-1</f>
        <v>2.2943687351784092E-3</v>
      </c>
      <c r="BL117" s="16">
        <f>AU117/'2018-19 disagg'!AU117-1</f>
        <v>3.739951732781055E-2</v>
      </c>
      <c r="BM117" s="16">
        <f>AW117/'2018-19 disagg'!AW117-1</f>
        <v>1.5865624759251462E-2</v>
      </c>
    </row>
    <row r="118" spans="1:65" x14ac:dyDescent="0.2">
      <c r="A118" s="156" t="s">
        <v>281</v>
      </c>
      <c r="B118" s="156" t="s">
        <v>282</v>
      </c>
      <c r="D118" s="56">
        <f>VLOOKUP(A118,'2019-20'!$A$12:$AMX326,32,FALSE)</f>
        <v>903762</v>
      </c>
      <c r="E118" s="56">
        <v>1616.3617245404153</v>
      </c>
      <c r="F118" s="16">
        <f>VLOOKUP(A118,'2019-20'!$A$12:$AMX326,34,FALSE)</f>
        <v>2.478036257750249E-2</v>
      </c>
      <c r="G118" s="16">
        <f>VLOOKUP(A118,'2019-20'!$A$12:$AMX326,35,FALSE)</f>
        <v>1.7897323271214516E-2</v>
      </c>
      <c r="H118" s="56"/>
      <c r="I118" s="56">
        <v>915403.64925917494</v>
      </c>
      <c r="J118" s="56">
        <v>1637.1826002500097</v>
      </c>
      <c r="K118" s="16">
        <f t="shared" si="23"/>
        <v>-1.2717503659283369E-2</v>
      </c>
      <c r="L118" s="58">
        <f t="shared" si="23"/>
        <v>-1.2717503659283369E-2</v>
      </c>
      <c r="M118" s="10"/>
      <c r="N118" s="56">
        <v>705701</v>
      </c>
      <c r="O118" s="56">
        <v>72679</v>
      </c>
      <c r="P118" s="56">
        <v>125382</v>
      </c>
      <c r="R118" s="56">
        <f t="shared" si="24"/>
        <v>125382</v>
      </c>
      <c r="S118" s="56">
        <f t="shared" si="25"/>
        <v>0</v>
      </c>
      <c r="U118" s="16">
        <v>-5.7143624503944723E-3</v>
      </c>
      <c r="V118" s="16">
        <v>-1.2956014935991078E-2</v>
      </c>
      <c r="W118" s="56">
        <f t="shared" si="26"/>
        <v>4</v>
      </c>
      <c r="X118" s="56">
        <f t="shared" si="27"/>
        <v>7097.5680765055013</v>
      </c>
      <c r="Y118" s="56">
        <f t="shared" si="27"/>
        <v>736.32990119773467</v>
      </c>
      <c r="AA118" s="56">
        <f t="shared" si="39"/>
        <v>0</v>
      </c>
      <c r="AB118" s="56">
        <v>0</v>
      </c>
      <c r="AC118" s="56">
        <f t="shared" si="28"/>
        <v>0</v>
      </c>
      <c r="AE118" s="56">
        <v>0</v>
      </c>
      <c r="AF118" s="56">
        <f t="shared" si="29"/>
        <v>0</v>
      </c>
      <c r="AG118" s="56">
        <f t="shared" si="30"/>
        <v>0</v>
      </c>
      <c r="AI118" s="56">
        <f t="shared" si="31"/>
        <v>0</v>
      </c>
      <c r="AJ118" s="56">
        <f t="shared" si="32"/>
        <v>0</v>
      </c>
      <c r="AK118" s="56">
        <f t="shared" si="33"/>
        <v>0</v>
      </c>
      <c r="AM118" s="56">
        <f t="shared" si="34"/>
        <v>705701</v>
      </c>
      <c r="AN118" s="56">
        <f t="shared" si="35"/>
        <v>72679</v>
      </c>
      <c r="AO118" s="56">
        <f t="shared" si="36"/>
        <v>125382</v>
      </c>
      <c r="AP118" s="56"/>
      <c r="AQ118" s="56">
        <f t="shared" si="37"/>
        <v>903762</v>
      </c>
      <c r="AR118" s="1"/>
      <c r="AS118" s="56">
        <v>1262.133266689566</v>
      </c>
      <c r="AT118" s="56">
        <v>129.98505555430836</v>
      </c>
      <c r="AU118" s="56">
        <v>224.24340229654084</v>
      </c>
      <c r="AV118" s="56"/>
      <c r="AW118" s="56">
        <v>1616.3617245404153</v>
      </c>
      <c r="AX118" s="1"/>
      <c r="AY118" s="16">
        <v>-5.7143624503944723E-3</v>
      </c>
      <c r="AZ118" s="16">
        <v>-1.2956014935991078E-2</v>
      </c>
      <c r="BA118" s="16">
        <v>-5.0236027614204426E-2</v>
      </c>
      <c r="BB118" s="16">
        <f t="shared" si="38"/>
        <v>-1.2717503659283369E-2</v>
      </c>
      <c r="BC118" s="16"/>
      <c r="BD118" s="1"/>
      <c r="BE118" s="16">
        <f>AM118/'2018-19 disagg'!AM118-1</f>
        <v>2.0783037986035646E-2</v>
      </c>
      <c r="BF118" s="16">
        <f>AN118/'2018-19 disagg'!AN118-1</f>
        <v>3.0542360864941553E-2</v>
      </c>
      <c r="BG118" s="16">
        <f>AO118/'2018-19 disagg'!AO118-1</f>
        <v>4.4414827155351944E-2</v>
      </c>
      <c r="BH118" s="16">
        <f>AQ118/'2018-19 disagg'!AQ118-1</f>
        <v>2.478036257750249E-2</v>
      </c>
      <c r="BI118" s="1"/>
      <c r="BJ118" s="16">
        <f>AS118/'2018-19 disagg'!AS118-1</f>
        <v>1.3926847108238105E-2</v>
      </c>
      <c r="BK118" s="16">
        <f>AT118/'2018-19 disagg'!AT118-1</f>
        <v>2.3620620523638225E-2</v>
      </c>
      <c r="BL118" s="16">
        <f>AU118/'2018-19 disagg'!AU118-1</f>
        <v>3.7399911013419551E-2</v>
      </c>
      <c r="BM118" s="16">
        <f>AW118/'2018-19 disagg'!AW118-1</f>
        <v>1.7897323271214516E-2</v>
      </c>
    </row>
    <row r="119" spans="1:65" x14ac:dyDescent="0.2">
      <c r="A119" s="156" t="s">
        <v>283</v>
      </c>
      <c r="B119" s="156" t="s">
        <v>284</v>
      </c>
      <c r="D119" s="56">
        <f>VLOOKUP(A119,'2019-20'!$A$12:$AMX327,32,FALSE)</f>
        <v>572645.34296273347</v>
      </c>
      <c r="E119" s="56">
        <v>1472.5972851146555</v>
      </c>
      <c r="F119" s="16">
        <f>VLOOKUP(A119,'2019-20'!$A$12:$AMX327,34,FALSE)</f>
        <v>2.4958507256535256E-2</v>
      </c>
      <c r="G119" s="16">
        <f>VLOOKUP(A119,'2019-20'!$A$12:$AMX327,35,FALSE)</f>
        <v>1.8395687747480016E-2</v>
      </c>
      <c r="H119" s="56"/>
      <c r="I119" s="56">
        <v>583164.00282807532</v>
      </c>
      <c r="J119" s="56">
        <v>1499.6467497634142</v>
      </c>
      <c r="K119" s="16">
        <f t="shared" si="23"/>
        <v>-1.8037224201650326E-2</v>
      </c>
      <c r="L119" s="58">
        <f t="shared" si="23"/>
        <v>-1.8037224201650215E-2</v>
      </c>
      <c r="M119" s="10"/>
      <c r="N119" s="56">
        <v>439337</v>
      </c>
      <c r="O119" s="56">
        <v>48488</v>
      </c>
      <c r="P119" s="56">
        <v>84803</v>
      </c>
      <c r="R119" s="56">
        <f t="shared" si="24"/>
        <v>84803</v>
      </c>
      <c r="S119" s="56">
        <f t="shared" si="25"/>
        <v>17.342962733469903</v>
      </c>
      <c r="U119" s="16">
        <v>-1.276813165247459E-2</v>
      </c>
      <c r="V119" s="16">
        <v>-6.8041482469451964E-3</v>
      </c>
      <c r="W119" s="56">
        <f t="shared" si="26"/>
        <v>4</v>
      </c>
      <c r="X119" s="56">
        <f t="shared" si="27"/>
        <v>4450.1906197110784</v>
      </c>
      <c r="Y119" s="56">
        <f t="shared" si="27"/>
        <v>488.20179740396168</v>
      </c>
      <c r="AA119" s="56">
        <f t="shared" si="39"/>
        <v>0</v>
      </c>
      <c r="AB119" s="56">
        <v>0</v>
      </c>
      <c r="AC119" s="56">
        <f t="shared" si="28"/>
        <v>17.342962733469903</v>
      </c>
      <c r="AE119" s="56">
        <v>0</v>
      </c>
      <c r="AF119" s="56">
        <f t="shared" si="29"/>
        <v>0</v>
      </c>
      <c r="AG119" s="56">
        <f t="shared" si="30"/>
        <v>17.342962733469903</v>
      </c>
      <c r="AI119" s="56">
        <f t="shared" si="31"/>
        <v>15.628464398050827</v>
      </c>
      <c r="AJ119" s="56">
        <f t="shared" si="32"/>
        <v>1.7144983354190777</v>
      </c>
      <c r="AK119" s="56">
        <f t="shared" si="33"/>
        <v>0</v>
      </c>
      <c r="AM119" s="56">
        <f t="shared" si="34"/>
        <v>439353</v>
      </c>
      <c r="AN119" s="56">
        <f t="shared" si="35"/>
        <v>48490</v>
      </c>
      <c r="AO119" s="56">
        <f t="shared" si="36"/>
        <v>84803</v>
      </c>
      <c r="AP119" s="56"/>
      <c r="AQ119" s="56">
        <f t="shared" si="37"/>
        <v>572646</v>
      </c>
      <c r="AR119" s="1"/>
      <c r="AS119" s="56">
        <v>1129.8267644325956</v>
      </c>
      <c r="AT119" s="56">
        <v>124.69540394019515</v>
      </c>
      <c r="AU119" s="56">
        <v>218.07680635884449</v>
      </c>
      <c r="AV119" s="56"/>
      <c r="AW119" s="56">
        <v>1472.5989747316353</v>
      </c>
      <c r="AX119" s="1"/>
      <c r="AY119" s="16">
        <v>-1.2732178136395711E-2</v>
      </c>
      <c r="AZ119" s="16">
        <v>-6.763181580893729E-3</v>
      </c>
      <c r="BA119" s="16">
        <v>-5.0621586445334099E-2</v>
      </c>
      <c r="BB119" s="16">
        <f t="shared" si="38"/>
        <v>-1.8036097524997907E-2</v>
      </c>
      <c r="BC119" s="16"/>
      <c r="BD119" s="1"/>
      <c r="BE119" s="16">
        <f>AM119/'2018-19 disagg'!AM119-1</f>
        <v>2.0820554285395643E-2</v>
      </c>
      <c r="BF119" s="16">
        <f>AN119/'2018-19 disagg'!AN119-1</f>
        <v>2.9795909699067646E-2</v>
      </c>
      <c r="BG119" s="16">
        <f>AO119/'2018-19 disagg'!AO119-1</f>
        <v>4.4089039915293782E-2</v>
      </c>
      <c r="BH119" s="16">
        <f>AQ119/'2018-19 disagg'!AQ119-1</f>
        <v>2.4959683265288524E-2</v>
      </c>
      <c r="BI119" s="1"/>
      <c r="BJ119" s="16">
        <f>AS119/'2018-19 disagg'!AS119-1</f>
        <v>1.4284230130341635E-2</v>
      </c>
      <c r="BK119" s="16">
        <f>AT119/'2018-19 disagg'!AT119-1</f>
        <v>2.320211625409363E-2</v>
      </c>
      <c r="BL119" s="16">
        <f>AU119/'2018-19 disagg'!AU119-1</f>
        <v>3.7403727415485477E-2</v>
      </c>
      <c r="BM119" s="16">
        <f>AW119/'2018-19 disagg'!AW119-1</f>
        <v>1.8396856226237546E-2</v>
      </c>
    </row>
    <row r="120" spans="1:65" x14ac:dyDescent="0.2">
      <c r="A120" s="156" t="s">
        <v>285</v>
      </c>
      <c r="B120" s="156" t="s">
        <v>286</v>
      </c>
      <c r="D120" s="56">
        <f>VLOOKUP(A120,'2019-20'!$A$12:$AMX328,32,FALSE)</f>
        <v>459802.97832867148</v>
      </c>
      <c r="E120" s="56">
        <v>1636.2626390706314</v>
      </c>
      <c r="F120" s="16">
        <f>VLOOKUP(A120,'2019-20'!$A$12:$AMX328,34,FALSE)</f>
        <v>2.8966583035524573E-2</v>
      </c>
      <c r="G120" s="16">
        <f>VLOOKUP(A120,'2019-20'!$A$12:$AMX328,35,FALSE)</f>
        <v>2.1621947319415913E-2</v>
      </c>
      <c r="H120" s="56"/>
      <c r="I120" s="56">
        <v>470714.01057268115</v>
      </c>
      <c r="J120" s="56">
        <v>1675.0908225666642</v>
      </c>
      <c r="K120" s="16">
        <f t="shared" si="23"/>
        <v>-2.3179748210033213E-2</v>
      </c>
      <c r="L120" s="58">
        <f t="shared" si="23"/>
        <v>-2.3179748210033324E-2</v>
      </c>
      <c r="M120" s="10"/>
      <c r="N120" s="56">
        <v>354953</v>
      </c>
      <c r="O120" s="56">
        <v>35316</v>
      </c>
      <c r="P120" s="56">
        <v>67899</v>
      </c>
      <c r="R120" s="56">
        <f t="shared" si="24"/>
        <v>67899</v>
      </c>
      <c r="S120" s="56">
        <f t="shared" si="25"/>
        <v>1634.978328671481</v>
      </c>
      <c r="U120" s="16">
        <v>-2.1147701262994589E-3</v>
      </c>
      <c r="V120" s="16">
        <v>-4.5466017476951781E-2</v>
      </c>
      <c r="W120" s="56">
        <f t="shared" si="26"/>
        <v>4</v>
      </c>
      <c r="X120" s="56">
        <f t="shared" si="27"/>
        <v>3557.0523480433253</v>
      </c>
      <c r="Y120" s="56">
        <f t="shared" si="27"/>
        <v>369.9815894102781</v>
      </c>
      <c r="AA120" s="56">
        <f t="shared" si="39"/>
        <v>0</v>
      </c>
      <c r="AB120" s="56">
        <v>0</v>
      </c>
      <c r="AC120" s="56">
        <f t="shared" si="28"/>
        <v>1634.978328671481</v>
      </c>
      <c r="AE120" s="56">
        <v>0</v>
      </c>
      <c r="AF120" s="56">
        <f t="shared" si="29"/>
        <v>0</v>
      </c>
      <c r="AG120" s="56">
        <f t="shared" si="30"/>
        <v>1634.978328671481</v>
      </c>
      <c r="AI120" s="56">
        <f t="shared" si="31"/>
        <v>1480.9404745740255</v>
      </c>
      <c r="AJ120" s="56">
        <f t="shared" si="32"/>
        <v>154.03785409745558</v>
      </c>
      <c r="AK120" s="56">
        <f t="shared" si="33"/>
        <v>0</v>
      </c>
      <c r="AM120" s="56">
        <f t="shared" si="34"/>
        <v>356434</v>
      </c>
      <c r="AN120" s="56">
        <f t="shared" si="35"/>
        <v>35470</v>
      </c>
      <c r="AO120" s="56">
        <f t="shared" si="36"/>
        <v>67899</v>
      </c>
      <c r="AP120" s="56"/>
      <c r="AQ120" s="56">
        <f t="shared" si="37"/>
        <v>459803</v>
      </c>
      <c r="AR120" s="1"/>
      <c r="AS120" s="56">
        <v>1268.4120481655746</v>
      </c>
      <c r="AT120" s="56">
        <v>126.22414064997427</v>
      </c>
      <c r="AU120" s="56">
        <v>241.62652737503817</v>
      </c>
      <c r="AV120" s="56"/>
      <c r="AW120" s="56">
        <v>1636.2627161905871</v>
      </c>
      <c r="AX120" s="1"/>
      <c r="AY120" s="16">
        <v>2.048789627929759E-3</v>
      </c>
      <c r="AZ120" s="16">
        <v>-4.1303648202159926E-2</v>
      </c>
      <c r="BA120" s="16">
        <v>-0.1296184703897828</v>
      </c>
      <c r="BB120" s="16">
        <f t="shared" si="38"/>
        <v>-2.3179702170765148E-2</v>
      </c>
      <c r="BC120" s="16"/>
      <c r="BD120" s="1"/>
      <c r="BE120" s="16">
        <f>AM120/'2018-19 disagg'!AM120-1</f>
        <v>2.5113459226579149E-2</v>
      </c>
      <c r="BF120" s="16">
        <f>AN120/'2018-19 disagg'!AN120-1</f>
        <v>3.7953940245222917E-2</v>
      </c>
      <c r="BG120" s="16">
        <f>AO120/'2018-19 disagg'!AO120-1</f>
        <v>4.4857195617382661E-2</v>
      </c>
      <c r="BH120" s="16">
        <f>AQ120/'2018-19 disagg'!AQ120-1</f>
        <v>2.8966631532541642E-2</v>
      </c>
      <c r="BI120" s="1"/>
      <c r="BJ120" s="16">
        <f>AS120/'2018-19 disagg'!AS120-1</f>
        <v>1.7796326629825776E-2</v>
      </c>
      <c r="BK120" s="16">
        <f>AT120/'2018-19 disagg'!AT120-1</f>
        <v>3.0545153889196319E-2</v>
      </c>
      <c r="BL120" s="16">
        <f>AU120/'2018-19 disagg'!AU120-1</f>
        <v>3.7399134681598722E-2</v>
      </c>
      <c r="BM120" s="16">
        <f>AW120/'2018-19 disagg'!AW120-1</f>
        <v>2.1621995470267219E-2</v>
      </c>
    </row>
    <row r="121" spans="1:65" x14ac:dyDescent="0.2">
      <c r="A121" s="156" t="s">
        <v>287</v>
      </c>
      <c r="B121" s="156" t="s">
        <v>288</v>
      </c>
      <c r="D121" s="56">
        <f>VLOOKUP(A121,'2019-20'!$A$12:$AMX329,32,FALSE)</f>
        <v>761840.41006478353</v>
      </c>
      <c r="E121" s="56">
        <v>1571.1827757381513</v>
      </c>
      <c r="F121" s="16">
        <f>VLOOKUP(A121,'2019-20'!$A$12:$AMX329,34,FALSE)</f>
        <v>3.7836393546061942E-2</v>
      </c>
      <c r="G121" s="16">
        <f>VLOOKUP(A121,'2019-20'!$A$12:$AMX329,35,FALSE)</f>
        <v>2.625254734376381E-2</v>
      </c>
      <c r="H121" s="56"/>
      <c r="I121" s="56">
        <v>786466.4543968162</v>
      </c>
      <c r="J121" s="56">
        <v>1621.9703372508882</v>
      </c>
      <c r="K121" s="16">
        <f t="shared" si="23"/>
        <v>-3.1312262836333815E-2</v>
      </c>
      <c r="L121" s="58">
        <f t="shared" si="23"/>
        <v>-3.1312262836333815E-2</v>
      </c>
      <c r="M121" s="10"/>
      <c r="N121" s="56">
        <v>581504</v>
      </c>
      <c r="O121" s="56">
        <v>62270</v>
      </c>
      <c r="P121" s="56">
        <v>111795</v>
      </c>
      <c r="R121" s="56">
        <f t="shared" si="24"/>
        <v>111795</v>
      </c>
      <c r="S121" s="56">
        <f t="shared" si="25"/>
        <v>6271.4100647835294</v>
      </c>
      <c r="U121" s="16">
        <v>-1.8216438246963396E-2</v>
      </c>
      <c r="V121" s="16">
        <v>-5.4764252815854286E-3</v>
      </c>
      <c r="W121" s="56">
        <f t="shared" si="26"/>
        <v>4</v>
      </c>
      <c r="X121" s="56">
        <f t="shared" si="27"/>
        <v>5922.9347755801482</v>
      </c>
      <c r="Y121" s="56">
        <f t="shared" si="27"/>
        <v>626.12894840256422</v>
      </c>
      <c r="AA121" s="56">
        <f t="shared" si="39"/>
        <v>0</v>
      </c>
      <c r="AB121" s="56">
        <v>0</v>
      </c>
      <c r="AC121" s="56">
        <f t="shared" si="28"/>
        <v>6271.4100647835294</v>
      </c>
      <c r="AE121" s="56">
        <v>0</v>
      </c>
      <c r="AF121" s="56">
        <f t="shared" si="29"/>
        <v>0</v>
      </c>
      <c r="AG121" s="56">
        <f t="shared" si="30"/>
        <v>6271.4100647835294</v>
      </c>
      <c r="AI121" s="56">
        <f t="shared" si="31"/>
        <v>5671.826436594888</v>
      </c>
      <c r="AJ121" s="56">
        <f t="shared" si="32"/>
        <v>599.58362818864123</v>
      </c>
      <c r="AK121" s="56">
        <f t="shared" si="33"/>
        <v>0</v>
      </c>
      <c r="AM121" s="56">
        <f t="shared" si="34"/>
        <v>587176</v>
      </c>
      <c r="AN121" s="56">
        <f t="shared" si="35"/>
        <v>62870</v>
      </c>
      <c r="AO121" s="56">
        <f t="shared" si="36"/>
        <v>111795</v>
      </c>
      <c r="AP121" s="56"/>
      <c r="AQ121" s="56">
        <f t="shared" si="37"/>
        <v>761841</v>
      </c>
      <c r="AR121" s="1"/>
      <c r="AS121" s="56">
        <v>1210.9633531363534</v>
      </c>
      <c r="AT121" s="56">
        <v>129.66004402714438</v>
      </c>
      <c r="AU121" s="56">
        <v>230.56059522848111</v>
      </c>
      <c r="AV121" s="56"/>
      <c r="AW121" s="56">
        <v>1571.1839923919788</v>
      </c>
      <c r="AX121" s="1"/>
      <c r="AY121" s="16">
        <v>-8.6401045291158995E-3</v>
      </c>
      <c r="AZ121" s="16">
        <v>4.1062653371883862E-3</v>
      </c>
      <c r="BA121" s="16">
        <v>-0.15023616357098057</v>
      </c>
      <c r="BB121" s="16">
        <f t="shared" si="38"/>
        <v>-3.1311512727777768E-2</v>
      </c>
      <c r="BC121" s="16"/>
      <c r="BD121" s="1"/>
      <c r="BE121" s="16">
        <f>AM121/'2018-19 disagg'!AM121-1</f>
        <v>3.5005120593953665E-2</v>
      </c>
      <c r="BF121" s="16">
        <f>AN121/'2018-19 disagg'!AN121-1</f>
        <v>4.4577732732982156E-2</v>
      </c>
      <c r="BG121" s="16">
        <f>AO121/'2018-19 disagg'!AO121-1</f>
        <v>4.9107561795011412E-2</v>
      </c>
      <c r="BH121" s="16">
        <f>AQ121/'2018-19 disagg'!AQ121-1</f>
        <v>3.7837197200251804E-2</v>
      </c>
      <c r="BI121" s="1"/>
      <c r="BJ121" s="16">
        <f>AS121/'2018-19 disagg'!AS121-1</f>
        <v>2.3452875740998858E-2</v>
      </c>
      <c r="BK121" s="16">
        <f>AT121/'2018-19 disagg'!AT121-1</f>
        <v>3.2918642844083079E-2</v>
      </c>
      <c r="BL121" s="16">
        <f>AU121/'2018-19 disagg'!AU121-1</f>
        <v>3.7397912064981664E-2</v>
      </c>
      <c r="BM121" s="16">
        <f>AW121/'2018-19 disagg'!AW121-1</f>
        <v>2.625334202793983E-2</v>
      </c>
    </row>
    <row r="122" spans="1:65" x14ac:dyDescent="0.2">
      <c r="A122" s="156" t="s">
        <v>289</v>
      </c>
      <c r="B122" s="156" t="s">
        <v>290</v>
      </c>
      <c r="D122" s="56">
        <f>VLOOKUP(A122,'2019-20'!$A$12:$AMX330,32,FALSE)</f>
        <v>1406578.3074840715</v>
      </c>
      <c r="E122" s="56">
        <v>1469.3496816058762</v>
      </c>
      <c r="F122" s="16">
        <f>VLOOKUP(A122,'2019-20'!$A$12:$AMX330,34,FALSE)</f>
        <v>2.9262884998310756E-2</v>
      </c>
      <c r="G122" s="16">
        <f>VLOOKUP(A122,'2019-20'!$A$12:$AMX330,35,FALSE)</f>
        <v>2.0319361205575426E-2</v>
      </c>
      <c r="H122" s="56"/>
      <c r="I122" s="56">
        <v>1437129.5052221105</v>
      </c>
      <c r="J122" s="56">
        <v>1501.264287732115</v>
      </c>
      <c r="K122" s="16">
        <f t="shared" si="23"/>
        <v>-2.1258486188631465E-2</v>
      </c>
      <c r="L122" s="58">
        <f t="shared" si="23"/>
        <v>-2.1258486188631465E-2</v>
      </c>
      <c r="M122" s="10"/>
      <c r="N122" s="56">
        <v>1062836</v>
      </c>
      <c r="O122" s="56">
        <v>129404</v>
      </c>
      <c r="P122" s="56">
        <v>210654</v>
      </c>
      <c r="R122" s="56">
        <f t="shared" si="24"/>
        <v>210654</v>
      </c>
      <c r="S122" s="56">
        <f t="shared" si="25"/>
        <v>3684.3074840714689</v>
      </c>
      <c r="U122" s="16">
        <v>-1.1918445346331685E-2</v>
      </c>
      <c r="V122" s="16">
        <v>4.5541129779261391E-2</v>
      </c>
      <c r="W122" s="56">
        <f t="shared" si="26"/>
        <v>1</v>
      </c>
      <c r="X122" s="56">
        <f t="shared" si="27"/>
        <v>10756.561490235832</v>
      </c>
      <c r="Y122" s="56">
        <f t="shared" si="27"/>
        <v>1237.6748873315032</v>
      </c>
      <c r="AA122" s="56">
        <f t="shared" si="39"/>
        <v>3684.3074840714689</v>
      </c>
      <c r="AB122" s="56">
        <v>0</v>
      </c>
      <c r="AC122" s="56">
        <f t="shared" si="28"/>
        <v>0</v>
      </c>
      <c r="AE122" s="56">
        <v>0</v>
      </c>
      <c r="AF122" s="56">
        <f t="shared" si="29"/>
        <v>0</v>
      </c>
      <c r="AG122" s="56">
        <f t="shared" si="30"/>
        <v>0</v>
      </c>
      <c r="AI122" s="56">
        <f t="shared" si="31"/>
        <v>0</v>
      </c>
      <c r="AJ122" s="56">
        <f t="shared" si="32"/>
        <v>0</v>
      </c>
      <c r="AK122" s="56">
        <f t="shared" si="33"/>
        <v>0</v>
      </c>
      <c r="AM122" s="56">
        <f t="shared" si="34"/>
        <v>1066520</v>
      </c>
      <c r="AN122" s="56">
        <f t="shared" si="35"/>
        <v>129404</v>
      </c>
      <c r="AO122" s="56">
        <f t="shared" si="36"/>
        <v>210654</v>
      </c>
      <c r="AP122" s="56"/>
      <c r="AQ122" s="56">
        <f t="shared" si="37"/>
        <v>1406578</v>
      </c>
      <c r="AR122" s="1"/>
      <c r="AS122" s="56">
        <v>1114.1155910681819</v>
      </c>
      <c r="AT122" s="56">
        <v>135.17891267541819</v>
      </c>
      <c r="AU122" s="56">
        <v>220.05485665611218</v>
      </c>
      <c r="AV122" s="56"/>
      <c r="AW122" s="56">
        <v>1469.3493603997122</v>
      </c>
      <c r="AX122" s="1"/>
      <c r="AY122" s="16">
        <v>-8.49355905404936E-3</v>
      </c>
      <c r="AZ122" s="16">
        <v>4.5541129779261391E-2</v>
      </c>
      <c r="BA122" s="16">
        <v>-0.11380395340606053</v>
      </c>
      <c r="BB122" s="16">
        <f t="shared" si="38"/>
        <v>-2.1258700145738607E-2</v>
      </c>
      <c r="BC122" s="16"/>
      <c r="BD122" s="1"/>
      <c r="BE122" s="16">
        <f>AM122/'2018-19 disagg'!AM122-1</f>
        <v>2.5994253000724443E-2</v>
      </c>
      <c r="BF122" s="16">
        <f>AN122/'2018-19 disagg'!AN122-1</f>
        <v>2.8697712132534248E-2</v>
      </c>
      <c r="BG122" s="16">
        <f>AO122/'2018-19 disagg'!AO122-1</f>
        <v>4.6493951662982091E-2</v>
      </c>
      <c r="BH122" s="16">
        <f>AQ122/'2018-19 disagg'!AQ122-1</f>
        <v>2.9262659997014495E-2</v>
      </c>
      <c r="BI122" s="1"/>
      <c r="BJ122" s="16">
        <f>AS122/'2018-19 disagg'!AS122-1</f>
        <v>1.7079131172605067E-2</v>
      </c>
      <c r="BK122" s="16">
        <f>AT122/'2018-19 disagg'!AT122-1</f>
        <v>1.9759099268819913E-2</v>
      </c>
      <c r="BL122" s="16">
        <f>AU122/'2018-19 disagg'!AU122-1</f>
        <v>3.7400702802981911E-2</v>
      </c>
      <c r="BM122" s="16">
        <f>AW122/'2018-19 disagg'!AW122-1</f>
        <v>2.0319138159371919E-2</v>
      </c>
    </row>
    <row r="123" spans="1:65" x14ac:dyDescent="0.2">
      <c r="A123" s="156" t="s">
        <v>291</v>
      </c>
      <c r="B123" s="156" t="s">
        <v>292</v>
      </c>
      <c r="D123" s="56">
        <f>VLOOKUP(A123,'2019-20'!$A$12:$AMX331,32,FALSE)</f>
        <v>305696.78359173337</v>
      </c>
      <c r="E123" s="56">
        <v>1639.5075726998377</v>
      </c>
      <c r="F123" s="16">
        <f>VLOOKUP(A123,'2019-20'!$A$12:$AMX331,34,FALSE)</f>
        <v>2.7117199410445991E-2</v>
      </c>
      <c r="G123" s="16">
        <f>VLOOKUP(A123,'2019-20'!$A$12:$AMX331,35,FALSE)</f>
        <v>2.2090931422295235E-2</v>
      </c>
      <c r="H123" s="56"/>
      <c r="I123" s="56">
        <v>313149.33499234379</v>
      </c>
      <c r="J123" s="56">
        <v>1679.4769643096417</v>
      </c>
      <c r="K123" s="16">
        <f t="shared" si="23"/>
        <v>-2.3798713801492233E-2</v>
      </c>
      <c r="L123" s="58">
        <f t="shared" si="23"/>
        <v>-2.3798713801492122E-2</v>
      </c>
      <c r="M123" s="10"/>
      <c r="N123" s="56">
        <v>242509</v>
      </c>
      <c r="O123" s="56">
        <v>24242</v>
      </c>
      <c r="P123" s="56">
        <v>38018</v>
      </c>
      <c r="R123" s="56">
        <f t="shared" si="24"/>
        <v>38018</v>
      </c>
      <c r="S123" s="56">
        <f t="shared" si="25"/>
        <v>927.7835917333723</v>
      </c>
      <c r="U123" s="16">
        <v>1.7650849376603661E-2</v>
      </c>
      <c r="V123" s="16">
        <v>-1.0035891088040483E-3</v>
      </c>
      <c r="W123" s="56">
        <f t="shared" si="26"/>
        <v>3</v>
      </c>
      <c r="X123" s="56">
        <f t="shared" si="27"/>
        <v>2383.02753983409</v>
      </c>
      <c r="Y123" s="56">
        <f t="shared" si="27"/>
        <v>242.66353448030833</v>
      </c>
      <c r="AA123" s="56">
        <f t="shared" si="39"/>
        <v>0</v>
      </c>
      <c r="AB123" s="56">
        <v>0</v>
      </c>
      <c r="AC123" s="56">
        <f t="shared" si="28"/>
        <v>927.7835917333723</v>
      </c>
      <c r="AE123" s="56">
        <v>0</v>
      </c>
      <c r="AF123" s="56">
        <f t="shared" si="29"/>
        <v>24.329007175627737</v>
      </c>
      <c r="AG123" s="56">
        <f t="shared" si="30"/>
        <v>903.45458455774451</v>
      </c>
      <c r="AI123" s="56">
        <f t="shared" si="31"/>
        <v>819.95828719212</v>
      </c>
      <c r="AJ123" s="56">
        <f t="shared" si="32"/>
        <v>83.496297365624415</v>
      </c>
      <c r="AK123" s="56">
        <f t="shared" si="33"/>
        <v>0</v>
      </c>
      <c r="AM123" s="56">
        <f t="shared" si="34"/>
        <v>243329</v>
      </c>
      <c r="AN123" s="56">
        <f t="shared" si="35"/>
        <v>24350</v>
      </c>
      <c r="AO123" s="56">
        <f t="shared" si="36"/>
        <v>38018</v>
      </c>
      <c r="AP123" s="56"/>
      <c r="AQ123" s="56">
        <f t="shared" si="37"/>
        <v>305697</v>
      </c>
      <c r="AR123" s="1"/>
      <c r="AS123" s="56">
        <v>1305.0177809206982</v>
      </c>
      <c r="AT123" s="56">
        <v>130.59348850905153</v>
      </c>
      <c r="AU123" s="56">
        <v>203.89746390706864</v>
      </c>
      <c r="AV123" s="56"/>
      <c r="AW123" s="56">
        <v>1639.5087333368183</v>
      </c>
      <c r="AX123" s="1"/>
      <c r="AY123" s="16">
        <v>2.1091850314667093E-2</v>
      </c>
      <c r="AZ123" s="16">
        <v>3.4470177873369146E-3</v>
      </c>
      <c r="BA123" s="16">
        <v>-0.24836241683131399</v>
      </c>
      <c r="BB123" s="16">
        <f t="shared" si="38"/>
        <v>-2.3798022730995072E-2</v>
      </c>
      <c r="BC123" s="16"/>
      <c r="BD123" s="1"/>
      <c r="BE123" s="16">
        <f>AM123/'2018-19 disagg'!AM123-1</f>
        <v>2.4236964949425621E-2</v>
      </c>
      <c r="BF123" s="16">
        <f>AN123/'2018-19 disagg'!AN123-1</f>
        <v>3.2348327468520788E-2</v>
      </c>
      <c r="BG123" s="16">
        <f>AO123/'2018-19 disagg'!AO123-1</f>
        <v>4.2503016343095279E-2</v>
      </c>
      <c r="BH123" s="16">
        <f>AQ123/'2018-19 disagg'!AQ123-1</f>
        <v>2.7117926525236369E-2</v>
      </c>
      <c r="BI123" s="1"/>
      <c r="BJ123" s="16">
        <f>AS123/'2018-19 disagg'!AS123-1</f>
        <v>1.9224791584827372E-2</v>
      </c>
      <c r="BK123" s="16">
        <f>AT123/'2018-19 disagg'!AT123-1</f>
        <v>2.7296460598844829E-2</v>
      </c>
      <c r="BL123" s="16">
        <f>AU123/'2018-19 disagg'!AU123-1</f>
        <v>3.7401456811618772E-2</v>
      </c>
      <c r="BM123" s="16">
        <f>AW123/'2018-19 disagg'!AW123-1</f>
        <v>2.2091654978899866E-2</v>
      </c>
    </row>
    <row r="124" spans="1:65" x14ac:dyDescent="0.2">
      <c r="A124" s="156" t="s">
        <v>293</v>
      </c>
      <c r="B124" s="156" t="s">
        <v>294</v>
      </c>
      <c r="D124" s="56">
        <f>VLOOKUP(A124,'2019-20'!$A$12:$AMX332,32,FALSE)</f>
        <v>972797.43117220479</v>
      </c>
      <c r="E124" s="56">
        <v>1597.7700315409218</v>
      </c>
      <c r="F124" s="16">
        <f>VLOOKUP(A124,'2019-20'!$A$12:$AMX332,34,FALSE)</f>
        <v>3.2696952508558752E-2</v>
      </c>
      <c r="G124" s="16">
        <f>VLOOKUP(A124,'2019-20'!$A$12:$AMX332,35,FALSE)</f>
        <v>2.3025959724351175E-2</v>
      </c>
      <c r="H124" s="56"/>
      <c r="I124" s="56">
        <v>997933.31174248457</v>
      </c>
      <c r="J124" s="56">
        <v>1639.0544299209537</v>
      </c>
      <c r="K124" s="16">
        <f t="shared" si="23"/>
        <v>-2.5187936182218595E-2</v>
      </c>
      <c r="L124" s="58">
        <f t="shared" si="23"/>
        <v>-2.5187936182218706E-2</v>
      </c>
      <c r="M124" s="10"/>
      <c r="N124" s="56">
        <v>751411</v>
      </c>
      <c r="O124" s="56">
        <v>74230</v>
      </c>
      <c r="P124" s="56">
        <v>142320</v>
      </c>
      <c r="R124" s="56">
        <f t="shared" si="24"/>
        <v>142320</v>
      </c>
      <c r="S124" s="56">
        <f t="shared" si="25"/>
        <v>4836.431172204786</v>
      </c>
      <c r="U124" s="16">
        <v>-1.3526525010760349E-2</v>
      </c>
      <c r="V124" s="16">
        <v>-4.2474466613233175E-2</v>
      </c>
      <c r="W124" s="56">
        <f t="shared" si="26"/>
        <v>4</v>
      </c>
      <c r="X124" s="56">
        <f t="shared" si="27"/>
        <v>7617.1434818173529</v>
      </c>
      <c r="Y124" s="56">
        <f t="shared" si="27"/>
        <v>775.22736900235509</v>
      </c>
      <c r="AA124" s="56">
        <f t="shared" si="39"/>
        <v>0</v>
      </c>
      <c r="AB124" s="56">
        <v>0</v>
      </c>
      <c r="AC124" s="56">
        <f t="shared" si="28"/>
        <v>4836.431172204786</v>
      </c>
      <c r="AE124" s="56">
        <v>0</v>
      </c>
      <c r="AF124" s="56">
        <f t="shared" si="29"/>
        <v>0</v>
      </c>
      <c r="AG124" s="56">
        <f t="shared" si="30"/>
        <v>4836.431172204786</v>
      </c>
      <c r="AI124" s="56">
        <f t="shared" si="31"/>
        <v>4389.6761515275139</v>
      </c>
      <c r="AJ124" s="56">
        <f t="shared" si="32"/>
        <v>446.75502067727183</v>
      </c>
      <c r="AK124" s="56">
        <f t="shared" si="33"/>
        <v>0</v>
      </c>
      <c r="AM124" s="56">
        <f t="shared" si="34"/>
        <v>755801</v>
      </c>
      <c r="AN124" s="56">
        <f t="shared" si="35"/>
        <v>74677</v>
      </c>
      <c r="AO124" s="56">
        <f t="shared" si="36"/>
        <v>142320</v>
      </c>
      <c r="AP124" s="56"/>
      <c r="AQ124" s="56">
        <f t="shared" si="37"/>
        <v>972798</v>
      </c>
      <c r="AR124" s="1"/>
      <c r="AS124" s="56">
        <v>1241.3644906047161</v>
      </c>
      <c r="AT124" s="56">
        <v>122.65315349528299</v>
      </c>
      <c r="AU124" s="56">
        <v>233.75332171148648</v>
      </c>
      <c r="AV124" s="56"/>
      <c r="AW124" s="56">
        <v>1597.7709658114857</v>
      </c>
      <c r="AX124" s="1"/>
      <c r="AY124" s="16">
        <v>-7.7632096544469897E-3</v>
      </c>
      <c r="AZ124" s="16">
        <v>-3.6708416317882464E-2</v>
      </c>
      <c r="BA124" s="16">
        <v>-0.1031922875869391</v>
      </c>
      <c r="BB124" s="16">
        <f t="shared" si="38"/>
        <v>-2.5187366176399051E-2</v>
      </c>
      <c r="BC124" s="16"/>
      <c r="BD124" s="1"/>
      <c r="BE124" s="16">
        <f>AM124/'2018-19 disagg'!AM124-1</f>
        <v>2.9125380747292651E-2</v>
      </c>
      <c r="BF124" s="16">
        <f>AN124/'2018-19 disagg'!AN124-1</f>
        <v>4.178175832147546E-2</v>
      </c>
      <c r="BG124" s="16">
        <f>AO124/'2018-19 disagg'!AO124-1</f>
        <v>4.7209795149517397E-2</v>
      </c>
      <c r="BH124" s="16">
        <f>AQ124/'2018-19 disagg'!AQ124-1</f>
        <v>3.2697556361644509E-2</v>
      </c>
      <c r="BI124" s="1"/>
      <c r="BJ124" s="16">
        <f>AS124/'2018-19 disagg'!AS124-1</f>
        <v>1.9487834991903874E-2</v>
      </c>
      <c r="BK124" s="16">
        <f>AT124/'2018-19 disagg'!AT124-1</f>
        <v>3.2025688214972092E-2</v>
      </c>
      <c r="BL124" s="16">
        <f>AU124/'2018-19 disagg'!AU124-1</f>
        <v>3.7402892603866311E-2</v>
      </c>
      <c r="BM124" s="16">
        <f>AW124/'2018-19 disagg'!AW124-1</f>
        <v>2.3026557922478208E-2</v>
      </c>
    </row>
    <row r="125" spans="1:65" x14ac:dyDescent="0.2">
      <c r="A125" s="156" t="s">
        <v>295</v>
      </c>
      <c r="B125" s="156" t="s">
        <v>296</v>
      </c>
      <c r="D125" s="56">
        <f>VLOOKUP(A125,'2019-20'!$A$12:$AMX333,32,FALSE)</f>
        <v>426596</v>
      </c>
      <c r="E125" s="56">
        <v>1776.3469838968686</v>
      </c>
      <c r="F125" s="16">
        <f>VLOOKUP(A125,'2019-20'!$A$12:$AMX333,34,FALSE)</f>
        <v>2.3849238825994323E-2</v>
      </c>
      <c r="G125" s="16">
        <f>VLOOKUP(A125,'2019-20'!$A$12:$AMX333,35,FALSE)</f>
        <v>1.9727553262343767E-2</v>
      </c>
      <c r="H125" s="56"/>
      <c r="I125" s="56">
        <v>435039.30434240901</v>
      </c>
      <c r="J125" s="56">
        <v>1811.5049277190365</v>
      </c>
      <c r="K125" s="16">
        <f t="shared" si="23"/>
        <v>-1.9408141421087488E-2</v>
      </c>
      <c r="L125" s="58">
        <f t="shared" si="23"/>
        <v>-1.9408141421087488E-2</v>
      </c>
      <c r="M125" s="10"/>
      <c r="N125" s="56">
        <v>339269</v>
      </c>
      <c r="O125" s="56">
        <v>34728</v>
      </c>
      <c r="P125" s="56">
        <v>52599</v>
      </c>
      <c r="R125" s="56">
        <f t="shared" si="24"/>
        <v>52599</v>
      </c>
      <c r="S125" s="56">
        <f t="shared" si="25"/>
        <v>0</v>
      </c>
      <c r="U125" s="16">
        <v>1.3509396496924619E-2</v>
      </c>
      <c r="V125" s="16">
        <v>-9.2382948468591186E-3</v>
      </c>
      <c r="W125" s="56">
        <f t="shared" si="26"/>
        <v>3</v>
      </c>
      <c r="X125" s="56">
        <f t="shared" si="27"/>
        <v>3347.4677311591113</v>
      </c>
      <c r="Y125" s="56">
        <f t="shared" si="27"/>
        <v>350.51819039202906</v>
      </c>
      <c r="AA125" s="56">
        <f t="shared" si="39"/>
        <v>0</v>
      </c>
      <c r="AB125" s="56">
        <v>0</v>
      </c>
      <c r="AC125" s="56">
        <f t="shared" si="28"/>
        <v>0</v>
      </c>
      <c r="AE125" s="56">
        <v>0</v>
      </c>
      <c r="AF125" s="56">
        <f t="shared" si="29"/>
        <v>0</v>
      </c>
      <c r="AG125" s="56">
        <f t="shared" si="30"/>
        <v>0</v>
      </c>
      <c r="AI125" s="56">
        <f t="shared" si="31"/>
        <v>0</v>
      </c>
      <c r="AJ125" s="56">
        <f t="shared" si="32"/>
        <v>0</v>
      </c>
      <c r="AK125" s="56">
        <f t="shared" si="33"/>
        <v>0</v>
      </c>
      <c r="AM125" s="56">
        <f t="shared" si="34"/>
        <v>339269</v>
      </c>
      <c r="AN125" s="56">
        <f t="shared" si="35"/>
        <v>34728</v>
      </c>
      <c r="AO125" s="56">
        <f t="shared" si="36"/>
        <v>52599</v>
      </c>
      <c r="AP125" s="56"/>
      <c r="AQ125" s="56">
        <f t="shared" si="37"/>
        <v>426596</v>
      </c>
      <c r="AR125" s="1"/>
      <c r="AS125" s="56">
        <v>1412.7171020818448</v>
      </c>
      <c r="AT125" s="56">
        <v>144.60749293657335</v>
      </c>
      <c r="AU125" s="56">
        <v>219.0223888784503</v>
      </c>
      <c r="AV125" s="56"/>
      <c r="AW125" s="56">
        <v>1776.3469838968686</v>
      </c>
      <c r="AX125" s="1"/>
      <c r="AY125" s="16">
        <v>1.3509396496924619E-2</v>
      </c>
      <c r="AZ125" s="16">
        <v>-9.2382948468591186E-3</v>
      </c>
      <c r="BA125" s="16">
        <v>-0.19377029715743821</v>
      </c>
      <c r="BB125" s="16">
        <f t="shared" si="38"/>
        <v>-1.9408141421087488E-2</v>
      </c>
      <c r="BC125" s="16"/>
      <c r="BD125" s="1"/>
      <c r="BE125" s="16">
        <f>AM125/'2018-19 disagg'!AM125-1</f>
        <v>2.0784628762098967E-2</v>
      </c>
      <c r="BF125" s="16">
        <f>AN125/'2018-19 disagg'!AN125-1</f>
        <v>2.7486020296458413E-2</v>
      </c>
      <c r="BG125" s="16">
        <f>AO125/'2018-19 disagg'!AO125-1</f>
        <v>4.1584981880829375E-2</v>
      </c>
      <c r="BH125" s="16">
        <f>AQ125/'2018-19 disagg'!AQ125-1</f>
        <v>2.3849238825994323E-2</v>
      </c>
      <c r="BI125" s="1"/>
      <c r="BJ125" s="16">
        <f>AS125/'2018-19 disagg'!AS125-1</f>
        <v>1.6675280326396091E-2</v>
      </c>
      <c r="BK125" s="16">
        <f>AT125/'2018-19 disagg'!AT125-1</f>
        <v>2.3349694228018025E-2</v>
      </c>
      <c r="BL125" s="16">
        <f>AU125/'2018-19 disagg'!AU125-1</f>
        <v>3.739189795759823E-2</v>
      </c>
      <c r="BM125" s="16">
        <f>AW125/'2018-19 disagg'!AW125-1</f>
        <v>1.9727553262343767E-2</v>
      </c>
    </row>
    <row r="126" spans="1:65" x14ac:dyDescent="0.2">
      <c r="A126" s="156" t="s">
        <v>297</v>
      </c>
      <c r="B126" s="156" t="s">
        <v>298</v>
      </c>
      <c r="D126" s="56">
        <f>VLOOKUP(A126,'2019-20'!$A$12:$AMX334,32,FALSE)</f>
        <v>1047180.2137356107</v>
      </c>
      <c r="E126" s="56">
        <v>1588.697664362418</v>
      </c>
      <c r="F126" s="16">
        <f>VLOOKUP(A126,'2019-20'!$A$12:$AMX334,34,FALSE)</f>
        <v>3.3973273118073521E-2</v>
      </c>
      <c r="G126" s="16">
        <f>VLOOKUP(A126,'2019-20'!$A$12:$AMX334,35,FALSE)</f>
        <v>2.2950713449750637E-2</v>
      </c>
      <c r="H126" s="56"/>
      <c r="I126" s="56">
        <v>1074283.3248370865</v>
      </c>
      <c r="J126" s="56">
        <v>1629.8163264027046</v>
      </c>
      <c r="K126" s="16">
        <f t="shared" si="23"/>
        <v>-2.5229015916807485E-2</v>
      </c>
      <c r="L126" s="58">
        <f t="shared" si="23"/>
        <v>-2.5229015916807485E-2</v>
      </c>
      <c r="M126" s="10"/>
      <c r="N126" s="56">
        <v>794398</v>
      </c>
      <c r="O126" s="56">
        <v>80183</v>
      </c>
      <c r="P126" s="56">
        <v>167811</v>
      </c>
      <c r="R126" s="56">
        <f t="shared" si="24"/>
        <v>167811</v>
      </c>
      <c r="S126" s="56">
        <f t="shared" si="25"/>
        <v>4788.2137356107123</v>
      </c>
      <c r="U126" s="16">
        <v>-2.1556042297056544E-2</v>
      </c>
      <c r="V126" s="16">
        <v>-4.3073481607870501E-2</v>
      </c>
      <c r="W126" s="56">
        <f t="shared" si="26"/>
        <v>4</v>
      </c>
      <c r="X126" s="56">
        <f t="shared" si="27"/>
        <v>8118.9933643719232</v>
      </c>
      <c r="Y126" s="56">
        <f t="shared" si="27"/>
        <v>837.9222276620261</v>
      </c>
      <c r="AA126" s="56">
        <f t="shared" si="39"/>
        <v>0</v>
      </c>
      <c r="AB126" s="56">
        <v>0</v>
      </c>
      <c r="AC126" s="56">
        <f t="shared" si="28"/>
        <v>4788.2137356107123</v>
      </c>
      <c r="AE126" s="56">
        <v>0</v>
      </c>
      <c r="AF126" s="56">
        <f t="shared" si="29"/>
        <v>0</v>
      </c>
      <c r="AG126" s="56">
        <f t="shared" si="30"/>
        <v>4788.2137356107123</v>
      </c>
      <c r="AI126" s="56">
        <f t="shared" si="31"/>
        <v>4340.2748576968534</v>
      </c>
      <c r="AJ126" s="56">
        <f t="shared" si="32"/>
        <v>447.93887791385953</v>
      </c>
      <c r="AK126" s="56">
        <f t="shared" si="33"/>
        <v>0</v>
      </c>
      <c r="AM126" s="56">
        <f t="shared" si="34"/>
        <v>798738</v>
      </c>
      <c r="AN126" s="56">
        <f t="shared" si="35"/>
        <v>80631</v>
      </c>
      <c r="AO126" s="56">
        <f t="shared" si="36"/>
        <v>167811</v>
      </c>
      <c r="AP126" s="56"/>
      <c r="AQ126" s="56">
        <f t="shared" si="37"/>
        <v>1047180</v>
      </c>
      <c r="AR126" s="1"/>
      <c r="AS126" s="56">
        <v>1211.7811035702887</v>
      </c>
      <c r="AT126" s="56">
        <v>122.32687334517193</v>
      </c>
      <c r="AU126" s="56">
        <v>254.58936318446561</v>
      </c>
      <c r="AV126" s="56"/>
      <c r="AW126" s="56">
        <v>1588.6973400999261</v>
      </c>
      <c r="AX126" s="1"/>
      <c r="AY126" s="16">
        <v>-1.6210552030929581E-2</v>
      </c>
      <c r="AZ126" s="16">
        <v>-3.7726923356873665E-2</v>
      </c>
      <c r="BA126" s="16">
        <v>-6.0365412679798336E-2</v>
      </c>
      <c r="BB126" s="16">
        <f t="shared" si="38"/>
        <v>-2.5229214873270678E-2</v>
      </c>
      <c r="BC126" s="16"/>
      <c r="BD126" s="1"/>
      <c r="BE126" s="16">
        <f>AM126/'2018-19 disagg'!AM126-1</f>
        <v>3.0084729368978991E-2</v>
      </c>
      <c r="BF126" s="16">
        <f>AN126/'2018-19 disagg'!AN126-1</f>
        <v>4.2741122002948551E-2</v>
      </c>
      <c r="BG126" s="16">
        <f>AO126/'2018-19 disagg'!AO126-1</f>
        <v>4.857626673831672E-2</v>
      </c>
      <c r="BH126" s="16">
        <f>AQ126/'2018-19 disagg'!AQ126-1</f>
        <v>3.397306207807671E-2</v>
      </c>
      <c r="BI126" s="1"/>
      <c r="BJ126" s="16">
        <f>AS126/'2018-19 disagg'!AS126-1</f>
        <v>1.9103623098545297E-2</v>
      </c>
      <c r="BK126" s="16">
        <f>AT126/'2018-19 disagg'!AT126-1</f>
        <v>3.1625093634796375E-2</v>
      </c>
      <c r="BL126" s="16">
        <f>AU126/'2018-19 disagg'!AU126-1</f>
        <v>3.7398033444088652E-2</v>
      </c>
      <c r="BM126" s="16">
        <f>AW126/'2018-19 disagg'!AW126-1</f>
        <v>2.2950504659522641E-2</v>
      </c>
    </row>
    <row r="127" spans="1:65" x14ac:dyDescent="0.2">
      <c r="A127" s="156" t="s">
        <v>299</v>
      </c>
      <c r="B127" s="156" t="s">
        <v>300</v>
      </c>
      <c r="D127" s="56">
        <f>VLOOKUP(A127,'2019-20'!$A$12:$AMX335,32,FALSE)</f>
        <v>641440.69649618759</v>
      </c>
      <c r="E127" s="56">
        <v>1571.1937732115077</v>
      </c>
      <c r="F127" s="16">
        <f>VLOOKUP(A127,'2019-20'!$A$12:$AMX335,34,FALSE)</f>
        <v>2.7470677130036369E-2</v>
      </c>
      <c r="G127" s="16">
        <f>VLOOKUP(A127,'2019-20'!$A$12:$AMX335,35,FALSE)</f>
        <v>2.1828049268456606E-2</v>
      </c>
      <c r="H127" s="56"/>
      <c r="I127" s="56">
        <v>656719.75451186381</v>
      </c>
      <c r="J127" s="56">
        <v>1608.6194634520873</v>
      </c>
      <c r="K127" s="16">
        <f t="shared" si="23"/>
        <v>-2.326572013511774E-2</v>
      </c>
      <c r="L127" s="58">
        <f t="shared" si="23"/>
        <v>-2.326572013511774E-2</v>
      </c>
      <c r="M127" s="10"/>
      <c r="N127" s="56">
        <v>491123</v>
      </c>
      <c r="O127" s="56">
        <v>56236</v>
      </c>
      <c r="P127" s="56">
        <v>91894</v>
      </c>
      <c r="R127" s="56">
        <f t="shared" si="24"/>
        <v>91894</v>
      </c>
      <c r="S127" s="56">
        <f t="shared" si="25"/>
        <v>2187.6964961875929</v>
      </c>
      <c r="U127" s="16">
        <v>-2.2536874164919896E-2</v>
      </c>
      <c r="V127" s="16">
        <v>5.1447287897782523E-2</v>
      </c>
      <c r="W127" s="56">
        <f t="shared" si="26"/>
        <v>1</v>
      </c>
      <c r="X127" s="56">
        <f t="shared" si="27"/>
        <v>5024.4657524079676</v>
      </c>
      <c r="Y127" s="56">
        <f t="shared" si="27"/>
        <v>534.84374012163539</v>
      </c>
      <c r="AA127" s="56">
        <f t="shared" si="39"/>
        <v>2187.6964961875929</v>
      </c>
      <c r="AB127" s="56">
        <v>0</v>
      </c>
      <c r="AC127" s="56">
        <f t="shared" si="28"/>
        <v>0</v>
      </c>
      <c r="AE127" s="56">
        <v>0</v>
      </c>
      <c r="AF127" s="56">
        <f t="shared" si="29"/>
        <v>0</v>
      </c>
      <c r="AG127" s="56">
        <f t="shared" si="30"/>
        <v>0</v>
      </c>
      <c r="AI127" s="56">
        <f t="shared" si="31"/>
        <v>0</v>
      </c>
      <c r="AJ127" s="56">
        <f t="shared" si="32"/>
        <v>0</v>
      </c>
      <c r="AK127" s="56">
        <f t="shared" si="33"/>
        <v>0</v>
      </c>
      <c r="AM127" s="56">
        <f t="shared" si="34"/>
        <v>493311</v>
      </c>
      <c r="AN127" s="56">
        <f t="shared" si="35"/>
        <v>56236</v>
      </c>
      <c r="AO127" s="56">
        <f t="shared" si="36"/>
        <v>91894</v>
      </c>
      <c r="AP127" s="56"/>
      <c r="AQ127" s="56">
        <f t="shared" si="37"/>
        <v>641441</v>
      </c>
      <c r="AR127" s="1"/>
      <c r="AS127" s="56">
        <v>1208.3535947915161</v>
      </c>
      <c r="AT127" s="56">
        <v>137.74874826771691</v>
      </c>
      <c r="AU127" s="56">
        <v>225.09217357766516</v>
      </c>
      <c r="AV127" s="56"/>
      <c r="AW127" s="56">
        <v>1571.1945166368982</v>
      </c>
      <c r="AX127" s="1"/>
      <c r="AY127" s="16">
        <v>-1.8182182327381891E-2</v>
      </c>
      <c r="AZ127" s="16">
        <v>5.1447287897782523E-2</v>
      </c>
      <c r="BA127" s="16">
        <v>-8.8251916828012811E-2</v>
      </c>
      <c r="BB127" s="16">
        <f t="shared" si="38"/>
        <v>-2.3265257983933196E-2</v>
      </c>
      <c r="BC127" s="16"/>
      <c r="BD127" s="1"/>
      <c r="BE127" s="16">
        <f>AM127/'2018-19 disagg'!AM127-1</f>
        <v>2.5330268288424662E-2</v>
      </c>
      <c r="BF127" s="16">
        <f>AN127/'2018-19 disagg'!AN127-1</f>
        <v>2.1135967460778726E-2</v>
      </c>
      <c r="BG127" s="16">
        <f>AO127/'2018-19 disagg'!AO127-1</f>
        <v>4.3123900334865795E-2</v>
      </c>
      <c r="BH127" s="16">
        <f>AQ127/'2018-19 disagg'!AQ127-1</f>
        <v>2.7471163287633438E-2</v>
      </c>
      <c r="BI127" s="1"/>
      <c r="BJ127" s="16">
        <f>AS127/'2018-19 disagg'!AS127-1</f>
        <v>1.969939504995355E-2</v>
      </c>
      <c r="BK127" s="16">
        <f>AT127/'2018-19 disagg'!AT127-1</f>
        <v>1.5528128338255121E-2</v>
      </c>
      <c r="BL127" s="16">
        <f>AU127/'2018-19 disagg'!AU127-1</f>
        <v>3.7395308644492697E-2</v>
      </c>
      <c r="BM127" s="16">
        <f>AW127/'2018-19 disagg'!AW127-1</f>
        <v>2.1828532756190455E-2</v>
      </c>
    </row>
    <row r="128" spans="1:65" x14ac:dyDescent="0.2">
      <c r="A128" s="156" t="s">
        <v>301</v>
      </c>
      <c r="B128" s="156" t="s">
        <v>302</v>
      </c>
      <c r="D128" s="56">
        <f>VLOOKUP(A128,'2019-20'!$A$12:$AMX336,32,FALSE)</f>
        <v>385662.47558842856</v>
      </c>
      <c r="E128" s="56">
        <v>1621.8524775318065</v>
      </c>
      <c r="F128" s="16">
        <f>VLOOKUP(A128,'2019-20'!$A$12:$AMX336,34,FALSE)</f>
        <v>3.5127090085026014E-2</v>
      </c>
      <c r="G128" s="16">
        <f>VLOOKUP(A128,'2019-20'!$A$12:$AMX336,35,FALSE)</f>
        <v>2.394814019267133E-2</v>
      </c>
      <c r="H128" s="56"/>
      <c r="I128" s="56">
        <v>396359.70226891362</v>
      </c>
      <c r="J128" s="56">
        <v>1666.8382479726386</v>
      </c>
      <c r="K128" s="16">
        <f t="shared" si="23"/>
        <v>-2.6988683812330216E-2</v>
      </c>
      <c r="L128" s="58">
        <f t="shared" si="23"/>
        <v>-2.6988683812330216E-2</v>
      </c>
      <c r="M128" s="10"/>
      <c r="N128" s="56">
        <v>284655</v>
      </c>
      <c r="O128" s="56">
        <v>30936</v>
      </c>
      <c r="P128" s="56">
        <v>68097</v>
      </c>
      <c r="R128" s="56">
        <f t="shared" si="24"/>
        <v>68097</v>
      </c>
      <c r="S128" s="56">
        <f t="shared" si="25"/>
        <v>1974.4755884285551</v>
      </c>
      <c r="U128" s="16">
        <v>-3.434457512719391E-2</v>
      </c>
      <c r="V128" s="16">
        <v>-4.284821840052655E-2</v>
      </c>
      <c r="W128" s="56">
        <f t="shared" si="26"/>
        <v>4</v>
      </c>
      <c r="X128" s="56">
        <f t="shared" si="27"/>
        <v>2947.7906162800682</v>
      </c>
      <c r="Y128" s="56">
        <f t="shared" si="27"/>
        <v>323.20892667935686</v>
      </c>
      <c r="AA128" s="56">
        <f t="shared" si="39"/>
        <v>0</v>
      </c>
      <c r="AB128" s="56">
        <v>0</v>
      </c>
      <c r="AC128" s="56">
        <f t="shared" si="28"/>
        <v>1974.4755884285551</v>
      </c>
      <c r="AE128" s="56">
        <v>0</v>
      </c>
      <c r="AF128" s="56">
        <f t="shared" si="29"/>
        <v>0</v>
      </c>
      <c r="AG128" s="56">
        <f t="shared" si="30"/>
        <v>1974.4755884285551</v>
      </c>
      <c r="AI128" s="56">
        <f t="shared" si="31"/>
        <v>1779.3767731247765</v>
      </c>
      <c r="AJ128" s="56">
        <f t="shared" si="32"/>
        <v>195.09881530377854</v>
      </c>
      <c r="AK128" s="56">
        <f t="shared" si="33"/>
        <v>0</v>
      </c>
      <c r="AM128" s="56">
        <f t="shared" si="34"/>
        <v>286434</v>
      </c>
      <c r="AN128" s="56">
        <f t="shared" si="35"/>
        <v>31131</v>
      </c>
      <c r="AO128" s="56">
        <f t="shared" si="36"/>
        <v>68097</v>
      </c>
      <c r="AP128" s="56"/>
      <c r="AQ128" s="56">
        <f t="shared" si="37"/>
        <v>385662</v>
      </c>
      <c r="AR128" s="1"/>
      <c r="AS128" s="56">
        <v>1204.5602617691748</v>
      </c>
      <c r="AT128" s="56">
        <v>130.91729860678615</v>
      </c>
      <c r="AU128" s="56">
        <v>286.37291713167951</v>
      </c>
      <c r="AV128" s="56"/>
      <c r="AW128" s="56">
        <v>1621.8504775076403</v>
      </c>
      <c r="AX128" s="1"/>
      <c r="AY128" s="16">
        <v>-2.8309546756539183E-2</v>
      </c>
      <c r="AZ128" s="16">
        <v>-3.6814969195332004E-2</v>
      </c>
      <c r="BA128" s="16">
        <v>-1.6788221254066205E-2</v>
      </c>
      <c r="BB128" s="16">
        <f t="shared" si="38"/>
        <v>-2.6989883703302575E-2</v>
      </c>
      <c r="BC128" s="16"/>
      <c r="BD128" s="1"/>
      <c r="BE128" s="16">
        <f>AM128/'2018-19 disagg'!AM128-1</f>
        <v>3.1035376441622464E-2</v>
      </c>
      <c r="BF128" s="16">
        <f>AN128/'2018-19 disagg'!AN128-1</f>
        <v>4.3613811599061414E-2</v>
      </c>
      <c r="BG128" s="16">
        <f>AO128/'2018-19 disagg'!AO128-1</f>
        <v>4.8727149523354774E-2</v>
      </c>
      <c r="BH128" s="16">
        <f>AQ128/'2018-19 disagg'!AQ128-1</f>
        <v>3.5125813594578226E-2</v>
      </c>
      <c r="BI128" s="1"/>
      <c r="BJ128" s="16">
        <f>AS128/'2018-19 disagg'!AS128-1</f>
        <v>1.9900615385818998E-2</v>
      </c>
      <c r="BK128" s="16">
        <f>AT128/'2018-19 disagg'!AT128-1</f>
        <v>3.2343208579796556E-2</v>
      </c>
      <c r="BL128" s="16">
        <f>AU128/'2018-19 disagg'!AU128-1</f>
        <v>3.7401324542472025E-2</v>
      </c>
      <c r="BM128" s="16">
        <f>AW128/'2018-19 disagg'!AW128-1</f>
        <v>2.3946877487799112E-2</v>
      </c>
    </row>
    <row r="129" spans="1:65" x14ac:dyDescent="0.2">
      <c r="A129" s="156" t="s">
        <v>303</v>
      </c>
      <c r="B129" s="156" t="s">
        <v>304</v>
      </c>
      <c r="D129" s="56">
        <f>VLOOKUP(A129,'2019-20'!$A$12:$AMX337,32,FALSE)</f>
        <v>608813.64290555404</v>
      </c>
      <c r="E129" s="56">
        <v>1544.9881034954478</v>
      </c>
      <c r="F129" s="16">
        <f>VLOOKUP(A129,'2019-20'!$A$12:$AMX337,34,FALSE)</f>
        <v>2.8125288825389783E-2</v>
      </c>
      <c r="G129" s="16">
        <f>VLOOKUP(A129,'2019-20'!$A$12:$AMX337,35,FALSE)</f>
        <v>2.0708903292581349E-2</v>
      </c>
      <c r="H129" s="56"/>
      <c r="I129" s="56">
        <v>622207.96467784396</v>
      </c>
      <c r="J129" s="56">
        <v>1578.9789117398486</v>
      </c>
      <c r="K129" s="16">
        <f t="shared" si="23"/>
        <v>-2.1527081832237616E-2</v>
      </c>
      <c r="L129" s="58">
        <f t="shared" si="23"/>
        <v>-2.1527081832237394E-2</v>
      </c>
      <c r="M129" s="10"/>
      <c r="N129" s="56">
        <v>472502</v>
      </c>
      <c r="O129" s="56">
        <v>49850</v>
      </c>
      <c r="P129" s="56">
        <v>84517</v>
      </c>
      <c r="R129" s="56">
        <f t="shared" si="24"/>
        <v>84517</v>
      </c>
      <c r="S129" s="56">
        <f t="shared" si="25"/>
        <v>1944.6429055540357</v>
      </c>
      <c r="U129" s="16">
        <v>-1.0523602658822906E-2</v>
      </c>
      <c r="V129" s="16">
        <v>1.8888465739600235E-2</v>
      </c>
      <c r="W129" s="56">
        <f t="shared" si="26"/>
        <v>1</v>
      </c>
      <c r="X129" s="56">
        <f t="shared" si="27"/>
        <v>4775.2730764438702</v>
      </c>
      <c r="Y129" s="56">
        <f t="shared" si="27"/>
        <v>489.25865466358403</v>
      </c>
      <c r="AA129" s="56">
        <f t="shared" si="39"/>
        <v>1944.6429055540357</v>
      </c>
      <c r="AB129" s="56">
        <v>0</v>
      </c>
      <c r="AC129" s="56">
        <f t="shared" si="28"/>
        <v>0</v>
      </c>
      <c r="AE129" s="56">
        <v>0</v>
      </c>
      <c r="AF129" s="56">
        <f t="shared" si="29"/>
        <v>0</v>
      </c>
      <c r="AG129" s="56">
        <f t="shared" si="30"/>
        <v>0</v>
      </c>
      <c r="AI129" s="56">
        <f t="shared" si="31"/>
        <v>0</v>
      </c>
      <c r="AJ129" s="56">
        <f t="shared" si="32"/>
        <v>0</v>
      </c>
      <c r="AK129" s="56">
        <f t="shared" si="33"/>
        <v>0</v>
      </c>
      <c r="AM129" s="56">
        <f t="shared" si="34"/>
        <v>474447</v>
      </c>
      <c r="AN129" s="56">
        <f t="shared" si="35"/>
        <v>49850</v>
      </c>
      <c r="AO129" s="56">
        <f t="shared" si="36"/>
        <v>84517</v>
      </c>
      <c r="AP129" s="56"/>
      <c r="AQ129" s="56">
        <f t="shared" si="37"/>
        <v>608814</v>
      </c>
      <c r="AR129" s="1"/>
      <c r="AS129" s="56">
        <v>1204.0054937678492</v>
      </c>
      <c r="AT129" s="56">
        <v>126.50448598964118</v>
      </c>
      <c r="AU129" s="56">
        <v>214.47902993754269</v>
      </c>
      <c r="AV129" s="56"/>
      <c r="AW129" s="56">
        <v>1544.9890096950332</v>
      </c>
      <c r="AX129" s="1"/>
      <c r="AY129" s="16">
        <v>-6.4505371631665698E-3</v>
      </c>
      <c r="AZ129" s="16">
        <v>1.8888465739600235E-2</v>
      </c>
      <c r="BA129" s="16">
        <v>-0.11736009637934253</v>
      </c>
      <c r="BB129" s="16">
        <f t="shared" si="38"/>
        <v>-2.1526507917298821E-2</v>
      </c>
      <c r="BC129" s="16"/>
      <c r="BD129" s="1"/>
      <c r="BE129" s="16">
        <f>AM129/'2018-19 disagg'!AM129-1</f>
        <v>2.5133152555556704E-2</v>
      </c>
      <c r="BF129" s="16">
        <f>AN129/'2018-19 disagg'!AN129-1</f>
        <v>2.8640997069869112E-2</v>
      </c>
      <c r="BG129" s="16">
        <f>AO129/'2018-19 disagg'!AO129-1</f>
        <v>4.4942014292425947E-2</v>
      </c>
      <c r="BH129" s="16">
        <f>AQ129/'2018-19 disagg'!AQ129-1</f>
        <v>2.8125891863502783E-2</v>
      </c>
      <c r="BI129" s="1"/>
      <c r="BJ129" s="16">
        <f>AS129/'2018-19 disagg'!AS129-1</f>
        <v>1.7738350808678804E-2</v>
      </c>
      <c r="BK129" s="16">
        <f>AT129/'2018-19 disagg'!AT129-1</f>
        <v>2.1220891473752168E-2</v>
      </c>
      <c r="BL129" s="16">
        <f>AU129/'2018-19 disagg'!AU129-1</f>
        <v>3.7404321248929229E-2</v>
      </c>
      <c r="BM129" s="16">
        <f>AW129/'2018-19 disagg'!AW129-1</f>
        <v>2.070950198067667E-2</v>
      </c>
    </row>
    <row r="130" spans="1:65" x14ac:dyDescent="0.2">
      <c r="A130" s="156" t="s">
        <v>305</v>
      </c>
      <c r="B130" s="156" t="s">
        <v>306</v>
      </c>
      <c r="D130" s="56">
        <f>VLOOKUP(A130,'2019-20'!$A$12:$AMX338,32,FALSE)</f>
        <v>611311.01072431169</v>
      </c>
      <c r="E130" s="56">
        <v>1743.645800339556</v>
      </c>
      <c r="F130" s="16">
        <f>VLOOKUP(A130,'2019-20'!$A$12:$AMX338,34,FALSE)</f>
        <v>2.9481076657003058E-2</v>
      </c>
      <c r="G130" s="16">
        <f>VLOOKUP(A130,'2019-20'!$A$12:$AMX338,35,FALSE)</f>
        <v>2.0782187351388925E-2</v>
      </c>
      <c r="H130" s="56"/>
      <c r="I130" s="56">
        <v>624704.76473501686</v>
      </c>
      <c r="J130" s="56">
        <v>1781.8488794954117</v>
      </c>
      <c r="K130" s="16">
        <f t="shared" si="23"/>
        <v>-2.1440134231065833E-2</v>
      </c>
      <c r="L130" s="58">
        <f t="shared" si="23"/>
        <v>-2.1440134231065722E-2</v>
      </c>
      <c r="M130" s="10"/>
      <c r="N130" s="56">
        <v>478064</v>
      </c>
      <c r="O130" s="56">
        <v>49245</v>
      </c>
      <c r="P130" s="56">
        <v>82013</v>
      </c>
      <c r="R130" s="56">
        <f t="shared" si="24"/>
        <v>82013</v>
      </c>
      <c r="S130" s="56">
        <f t="shared" si="25"/>
        <v>1989.0107243116945</v>
      </c>
      <c r="U130" s="16">
        <v>-1.4570295673011824E-2</v>
      </c>
      <c r="V130" s="16">
        <v>-3.0209837621179014E-3</v>
      </c>
      <c r="W130" s="56">
        <f t="shared" si="26"/>
        <v>4</v>
      </c>
      <c r="X130" s="56">
        <f t="shared" si="27"/>
        <v>4851.3252431993606</v>
      </c>
      <c r="Y130" s="56">
        <f t="shared" si="27"/>
        <v>493.94219133946143</v>
      </c>
      <c r="AA130" s="56">
        <f t="shared" si="39"/>
        <v>0</v>
      </c>
      <c r="AB130" s="56">
        <v>0</v>
      </c>
      <c r="AC130" s="56">
        <f t="shared" si="28"/>
        <v>1989.0107243116945</v>
      </c>
      <c r="AE130" s="56">
        <v>0</v>
      </c>
      <c r="AF130" s="56">
        <f t="shared" si="29"/>
        <v>0</v>
      </c>
      <c r="AG130" s="56">
        <f t="shared" si="30"/>
        <v>1989.0107243116945</v>
      </c>
      <c r="AI130" s="56">
        <f t="shared" si="31"/>
        <v>1805.2114424617355</v>
      </c>
      <c r="AJ130" s="56">
        <f t="shared" si="32"/>
        <v>183.7992818499589</v>
      </c>
      <c r="AK130" s="56">
        <f t="shared" si="33"/>
        <v>0</v>
      </c>
      <c r="AM130" s="56">
        <f t="shared" si="34"/>
        <v>479869</v>
      </c>
      <c r="AN130" s="56">
        <f t="shared" si="35"/>
        <v>49429</v>
      </c>
      <c r="AO130" s="56">
        <f t="shared" si="36"/>
        <v>82013</v>
      </c>
      <c r="AP130" s="56"/>
      <c r="AQ130" s="56">
        <f t="shared" si="37"/>
        <v>611311</v>
      </c>
      <c r="AR130" s="1"/>
      <c r="AS130" s="56">
        <v>1368.7330211372325</v>
      </c>
      <c r="AT130" s="56">
        <v>140.9866119749187</v>
      </c>
      <c r="AU130" s="56">
        <v>233.9261366383906</v>
      </c>
      <c r="AV130" s="56"/>
      <c r="AW130" s="56">
        <v>1743.6457697505418</v>
      </c>
      <c r="AX130" s="1"/>
      <c r="AY130" s="16">
        <v>-1.0849662836591945E-2</v>
      </c>
      <c r="AZ130" s="16">
        <v>7.0414851502231812E-4</v>
      </c>
      <c r="BA130" s="16">
        <v>-9.0543362619144085E-2</v>
      </c>
      <c r="BB130" s="16">
        <f t="shared" si="38"/>
        <v>-2.144015139807387E-2</v>
      </c>
      <c r="BC130" s="16"/>
      <c r="BD130" s="1"/>
      <c r="BE130" s="16">
        <f>AM130/'2018-19 disagg'!AM130-1</f>
        <v>2.6062692439274615E-2</v>
      </c>
      <c r="BF130" s="16">
        <f>AN130/'2018-19 disagg'!AN130-1</f>
        <v>3.5444204704945914E-2</v>
      </c>
      <c r="BG130" s="16">
        <f>AO130/'2018-19 disagg'!AO130-1</f>
        <v>4.6244323110680163E-2</v>
      </c>
      <c r="BH130" s="16">
        <f>AQ130/'2018-19 disagg'!AQ130-1</f>
        <v>2.9481058596677379E-2</v>
      </c>
      <c r="BI130" s="1"/>
      <c r="BJ130" s="16">
        <f>AS130/'2018-19 disagg'!AS130-1</f>
        <v>1.739268773055902E-2</v>
      </c>
      <c r="BK130" s="16">
        <f>AT130/'2018-19 disagg'!AT130-1</f>
        <v>2.6694928275196261E-2</v>
      </c>
      <c r="BL130" s="16">
        <f>AU130/'2018-19 disagg'!AU130-1</f>
        <v>3.7403788049150899E-2</v>
      </c>
      <c r="BM130" s="16">
        <f>AW130/'2018-19 disagg'!AW130-1</f>
        <v>2.078216944366873E-2</v>
      </c>
    </row>
    <row r="131" spans="1:65" x14ac:dyDescent="0.2">
      <c r="A131" s="156" t="s">
        <v>307</v>
      </c>
      <c r="B131" s="156" t="s">
        <v>308</v>
      </c>
      <c r="D131" s="56">
        <f>VLOOKUP(A131,'2019-20'!$A$12:$AMX339,32,FALSE)</f>
        <v>315704</v>
      </c>
      <c r="E131" s="56">
        <v>1807.0686201450833</v>
      </c>
      <c r="F131" s="16">
        <f>VLOOKUP(A131,'2019-20'!$A$12:$AMX339,34,FALSE)</f>
        <v>2.3013460703430244E-2</v>
      </c>
      <c r="G131" s="16">
        <f>VLOOKUP(A131,'2019-20'!$A$12:$AMX339,35,FALSE)</f>
        <v>1.7572437315925393E-2</v>
      </c>
      <c r="H131" s="56"/>
      <c r="I131" s="56">
        <v>312785.30967483623</v>
      </c>
      <c r="J131" s="56">
        <v>1790.3622315705813</v>
      </c>
      <c r="K131" s="16">
        <f t="shared" si="23"/>
        <v>9.331289657426689E-3</v>
      </c>
      <c r="L131" s="58">
        <f t="shared" si="23"/>
        <v>9.331289657426689E-3</v>
      </c>
      <c r="M131" s="10"/>
      <c r="N131" s="56">
        <v>240843</v>
      </c>
      <c r="O131" s="56">
        <v>28278</v>
      </c>
      <c r="P131" s="56">
        <v>46583</v>
      </c>
      <c r="R131" s="56">
        <f t="shared" si="24"/>
        <v>46583</v>
      </c>
      <c r="S131" s="56">
        <f t="shared" si="25"/>
        <v>0</v>
      </c>
      <c r="U131" s="16">
        <v>2.6392123486546293E-2</v>
      </c>
      <c r="V131" s="16">
        <v>0.17303733753450556</v>
      </c>
      <c r="W131" s="56">
        <f t="shared" si="26"/>
        <v>2</v>
      </c>
      <c r="X131" s="56">
        <f t="shared" si="27"/>
        <v>2346.5008595533805</v>
      </c>
      <c r="Y131" s="56">
        <f t="shared" si="27"/>
        <v>241.06649545729562</v>
      </c>
      <c r="AA131" s="56">
        <f t="shared" si="39"/>
        <v>0</v>
      </c>
      <c r="AB131" s="56">
        <v>0</v>
      </c>
      <c r="AC131" s="56">
        <f t="shared" si="28"/>
        <v>0</v>
      </c>
      <c r="AE131" s="56">
        <v>0</v>
      </c>
      <c r="AF131" s="56">
        <f t="shared" si="29"/>
        <v>0</v>
      </c>
      <c r="AG131" s="56">
        <f t="shared" si="30"/>
        <v>0</v>
      </c>
      <c r="AI131" s="56">
        <f t="shared" si="31"/>
        <v>0</v>
      </c>
      <c r="AJ131" s="56">
        <f t="shared" si="32"/>
        <v>0</v>
      </c>
      <c r="AK131" s="56">
        <f t="shared" si="33"/>
        <v>0</v>
      </c>
      <c r="AM131" s="56">
        <f t="shared" si="34"/>
        <v>240843</v>
      </c>
      <c r="AN131" s="56">
        <f t="shared" si="35"/>
        <v>28278</v>
      </c>
      <c r="AO131" s="56">
        <f t="shared" si="36"/>
        <v>46583</v>
      </c>
      <c r="AP131" s="56"/>
      <c r="AQ131" s="56">
        <f t="shared" si="37"/>
        <v>315704</v>
      </c>
      <c r="AR131" s="1"/>
      <c r="AS131" s="56">
        <v>1378.5692537364187</v>
      </c>
      <c r="AT131" s="56">
        <v>161.86138420945778</v>
      </c>
      <c r="AU131" s="56">
        <v>266.63798219920687</v>
      </c>
      <c r="AV131" s="56"/>
      <c r="AW131" s="56">
        <v>1807.0686201450833</v>
      </c>
      <c r="AX131" s="1"/>
      <c r="AY131" s="16">
        <v>2.6392123486546293E-2</v>
      </c>
      <c r="AZ131" s="16">
        <v>0.17303733753450556</v>
      </c>
      <c r="BA131" s="16">
        <v>-0.13780808188315175</v>
      </c>
      <c r="BB131" s="16">
        <f t="shared" si="38"/>
        <v>9.331289657426689E-3</v>
      </c>
      <c r="BC131" s="16"/>
      <c r="BD131" s="1"/>
      <c r="BE131" s="16">
        <f>AM131/'2018-19 disagg'!AM131-1</f>
        <v>2.0785033419655097E-2</v>
      </c>
      <c r="BF131" s="16">
        <f>AN131/'2018-19 disagg'!AN131-1</f>
        <v>1.0000714336738437E-2</v>
      </c>
      <c r="BG131" s="16">
        <f>AO131/'2018-19 disagg'!AO131-1</f>
        <v>4.2941900817194734E-2</v>
      </c>
      <c r="BH131" s="16">
        <f>AQ131/'2018-19 disagg'!AQ131-1</f>
        <v>2.3013460703430244E-2</v>
      </c>
      <c r="BI131" s="1"/>
      <c r="BJ131" s="16">
        <f>AS131/'2018-19 disagg'!AS131-1</f>
        <v>1.5355862197770742E-2</v>
      </c>
      <c r="BK131" s="16">
        <f>AT131/'2018-19 disagg'!AT131-1</f>
        <v>4.62890084728107E-3</v>
      </c>
      <c r="BL131" s="16">
        <f>AU131/'2018-19 disagg'!AU131-1</f>
        <v>3.7394885560666946E-2</v>
      </c>
      <c r="BM131" s="16">
        <f>AW131/'2018-19 disagg'!AW131-1</f>
        <v>1.7572437315925393E-2</v>
      </c>
    </row>
    <row r="132" spans="1:65" x14ac:dyDescent="0.2">
      <c r="A132" s="156" t="s">
        <v>309</v>
      </c>
      <c r="B132" s="156" t="s">
        <v>310</v>
      </c>
      <c r="D132" s="56">
        <f>VLOOKUP(A132,'2019-20'!$A$12:$AMX340,32,FALSE)</f>
        <v>336454.31842060888</v>
      </c>
      <c r="E132" s="56">
        <v>1516.6629507725359</v>
      </c>
      <c r="F132" s="16">
        <f>VLOOKUP(A132,'2019-20'!$A$12:$AMX340,34,FALSE)</f>
        <v>2.5175258448130622E-2</v>
      </c>
      <c r="G132" s="16">
        <f>VLOOKUP(A132,'2019-20'!$A$12:$AMX340,35,FALSE)</f>
        <v>1.881702050728995E-2</v>
      </c>
      <c r="H132" s="56"/>
      <c r="I132" s="56">
        <v>342996.08819839952</v>
      </c>
      <c r="J132" s="56">
        <v>1546.1518273042238</v>
      </c>
      <c r="K132" s="16">
        <f t="shared" si="23"/>
        <v>-1.9072432610387935E-2</v>
      </c>
      <c r="L132" s="58">
        <f t="shared" si="23"/>
        <v>-1.9072432610387935E-2</v>
      </c>
      <c r="M132" s="10"/>
      <c r="N132" s="56">
        <v>254052</v>
      </c>
      <c r="O132" s="56">
        <v>31054</v>
      </c>
      <c r="P132" s="56">
        <v>50800</v>
      </c>
      <c r="R132" s="56">
        <f t="shared" si="24"/>
        <v>50800</v>
      </c>
      <c r="S132" s="56">
        <f t="shared" si="25"/>
        <v>548.3184206088772</v>
      </c>
      <c r="U132" s="16">
        <v>-4.7653963811926658E-3</v>
      </c>
      <c r="V132" s="16">
        <v>6.8743239653817456E-2</v>
      </c>
      <c r="W132" s="56">
        <f t="shared" si="26"/>
        <v>1</v>
      </c>
      <c r="X132" s="56">
        <f t="shared" si="27"/>
        <v>2552.6845537346935</v>
      </c>
      <c r="Y132" s="56">
        <f t="shared" si="27"/>
        <v>290.56558065395456</v>
      </c>
      <c r="AA132" s="56">
        <f t="shared" si="39"/>
        <v>548.3184206088772</v>
      </c>
      <c r="AB132" s="56">
        <v>0</v>
      </c>
      <c r="AC132" s="56">
        <f t="shared" si="28"/>
        <v>0</v>
      </c>
      <c r="AE132" s="56">
        <v>0</v>
      </c>
      <c r="AF132" s="56">
        <f t="shared" si="29"/>
        <v>0</v>
      </c>
      <c r="AG132" s="56">
        <f t="shared" si="30"/>
        <v>0</v>
      </c>
      <c r="AI132" s="56">
        <f t="shared" si="31"/>
        <v>0</v>
      </c>
      <c r="AJ132" s="56">
        <f t="shared" si="32"/>
        <v>0</v>
      </c>
      <c r="AK132" s="56">
        <f t="shared" si="33"/>
        <v>0</v>
      </c>
      <c r="AM132" s="56">
        <f t="shared" si="34"/>
        <v>254600</v>
      </c>
      <c r="AN132" s="56">
        <f t="shared" si="35"/>
        <v>31054</v>
      </c>
      <c r="AO132" s="56">
        <f t="shared" si="36"/>
        <v>50800</v>
      </c>
      <c r="AP132" s="56"/>
      <c r="AQ132" s="56">
        <f t="shared" si="37"/>
        <v>336454</v>
      </c>
      <c r="AR132" s="1"/>
      <c r="AS132" s="56">
        <v>1147.6814715273251</v>
      </c>
      <c r="AT132" s="56">
        <v>139.98468349100375</v>
      </c>
      <c r="AU132" s="56">
        <v>228.99536038329975</v>
      </c>
      <c r="AV132" s="56"/>
      <c r="AW132" s="56">
        <v>1516.6615154016285</v>
      </c>
      <c r="AX132" s="1"/>
      <c r="AY132" s="16">
        <v>-2.6186368092030454E-3</v>
      </c>
      <c r="AZ132" s="16">
        <v>6.8743239653817456E-2</v>
      </c>
      <c r="BA132" s="16">
        <v>-0.1341559668336495</v>
      </c>
      <c r="BB132" s="16">
        <f t="shared" si="38"/>
        <v>-1.9073360960943031E-2</v>
      </c>
      <c r="BC132" s="16"/>
      <c r="BD132" s="1"/>
      <c r="BE132" s="16">
        <f>AM132/'2018-19 disagg'!AM132-1</f>
        <v>2.2987074039995337E-2</v>
      </c>
      <c r="BF132" s="16">
        <f>AN132/'2018-19 disagg'!AN132-1</f>
        <v>1.3247193944139868E-2</v>
      </c>
      <c r="BG132" s="16">
        <f>AO132/'2018-19 disagg'!AO132-1</f>
        <v>4.387136545772119E-2</v>
      </c>
      <c r="BH132" s="16">
        <f>AQ132/'2018-19 disagg'!AQ132-1</f>
        <v>2.5174288221528895E-2</v>
      </c>
      <c r="BI132" s="1"/>
      <c r="BJ132" s="16">
        <f>AS132/'2018-19 disagg'!AS132-1</f>
        <v>1.6642407434407591E-2</v>
      </c>
      <c r="BK132" s="16">
        <f>AT132/'2018-19 disagg'!AT132-1</f>
        <v>6.9629350343627383E-3</v>
      </c>
      <c r="BL132" s="16">
        <f>AU132/'2018-19 disagg'!AU132-1</f>
        <v>3.7397172419491476E-2</v>
      </c>
      <c r="BM132" s="16">
        <f>AW132/'2018-19 disagg'!AW132-1</f>
        <v>1.8816056298129213E-2</v>
      </c>
    </row>
    <row r="133" spans="1:65" x14ac:dyDescent="0.2">
      <c r="A133" s="156" t="s">
        <v>311</v>
      </c>
      <c r="B133" s="156" t="s">
        <v>312</v>
      </c>
      <c r="D133" s="56">
        <f>VLOOKUP(A133,'2019-20'!$A$12:$AMX341,32,FALSE)</f>
        <v>376686.71634289523</v>
      </c>
      <c r="E133" s="56">
        <v>1552.7917584947973</v>
      </c>
      <c r="F133" s="16">
        <f>VLOOKUP(A133,'2019-20'!$A$12:$AMX341,34,FALSE)</f>
        <v>2.8532661481213584E-2</v>
      </c>
      <c r="G133" s="16">
        <f>VLOOKUP(A133,'2019-20'!$A$12:$AMX341,35,FALSE)</f>
        <v>1.9052613705059951E-2</v>
      </c>
      <c r="H133" s="56"/>
      <c r="I133" s="56">
        <v>384145.14823406393</v>
      </c>
      <c r="J133" s="56">
        <v>1583.5371792102947</v>
      </c>
      <c r="K133" s="16">
        <f t="shared" si="23"/>
        <v>-1.9415660787219458E-2</v>
      </c>
      <c r="L133" s="58">
        <f t="shared" si="23"/>
        <v>-1.9415660787219458E-2</v>
      </c>
      <c r="M133" s="10"/>
      <c r="N133" s="56">
        <v>285599</v>
      </c>
      <c r="O133" s="56">
        <v>34469</v>
      </c>
      <c r="P133" s="56">
        <v>55420</v>
      </c>
      <c r="R133" s="56">
        <f t="shared" si="24"/>
        <v>55420</v>
      </c>
      <c r="S133" s="56">
        <f t="shared" si="25"/>
        <v>1198.7163428952335</v>
      </c>
      <c r="U133" s="16">
        <v>-4.3303302367438956E-3</v>
      </c>
      <c r="V133" s="16">
        <v>0.10570468956074075</v>
      </c>
      <c r="W133" s="56">
        <f t="shared" si="26"/>
        <v>1</v>
      </c>
      <c r="X133" s="56">
        <f t="shared" si="27"/>
        <v>2868.4111676105176</v>
      </c>
      <c r="Y133" s="56">
        <f t="shared" si="27"/>
        <v>311.73784759557611</v>
      </c>
      <c r="AA133" s="56">
        <f t="shared" si="39"/>
        <v>1198.7163428952335</v>
      </c>
      <c r="AB133" s="56">
        <v>0</v>
      </c>
      <c r="AC133" s="56">
        <f t="shared" si="28"/>
        <v>0</v>
      </c>
      <c r="AE133" s="56">
        <v>0</v>
      </c>
      <c r="AF133" s="56">
        <f t="shared" si="29"/>
        <v>0</v>
      </c>
      <c r="AG133" s="56">
        <f t="shared" si="30"/>
        <v>0</v>
      </c>
      <c r="AI133" s="56">
        <f t="shared" si="31"/>
        <v>0</v>
      </c>
      <c r="AJ133" s="56">
        <f t="shared" si="32"/>
        <v>0</v>
      </c>
      <c r="AK133" s="56">
        <f t="shared" si="33"/>
        <v>0</v>
      </c>
      <c r="AM133" s="56">
        <f t="shared" si="34"/>
        <v>286798</v>
      </c>
      <c r="AN133" s="56">
        <f t="shared" si="35"/>
        <v>34469</v>
      </c>
      <c r="AO133" s="56">
        <f t="shared" si="36"/>
        <v>55420</v>
      </c>
      <c r="AP133" s="56"/>
      <c r="AQ133" s="56">
        <f t="shared" si="37"/>
        <v>376687</v>
      </c>
      <c r="AR133" s="1"/>
      <c r="AS133" s="56">
        <v>1182.249204528368</v>
      </c>
      <c r="AT133" s="56">
        <v>142.08937241852564</v>
      </c>
      <c r="AU133" s="56">
        <v>228.45435084959504</v>
      </c>
      <c r="AV133" s="56"/>
      <c r="AW133" s="56">
        <v>1552.7929277964888</v>
      </c>
      <c r="AX133" s="1"/>
      <c r="AY133" s="16">
        <v>-1.5031583176994268E-4</v>
      </c>
      <c r="AZ133" s="16">
        <v>0.10570468956074075</v>
      </c>
      <c r="BA133" s="16">
        <v>-0.16195685402267634</v>
      </c>
      <c r="BB133" s="16">
        <f t="shared" si="38"/>
        <v>-1.9414922375954657E-2</v>
      </c>
      <c r="BC133" s="16"/>
      <c r="BD133" s="1"/>
      <c r="BE133" s="16">
        <f>AM133/'2018-19 disagg'!AM133-1</f>
        <v>2.7290734618291568E-2</v>
      </c>
      <c r="BF133" s="16">
        <f>AN133/'2018-19 disagg'!AN133-1</f>
        <v>9.9917955930615143E-3</v>
      </c>
      <c r="BG133" s="16">
        <f>AO133/'2018-19 disagg'!AO133-1</f>
        <v>4.7043264689212272E-2</v>
      </c>
      <c r="BH133" s="16">
        <f>AQ133/'2018-19 disagg'!AQ133-1</f>
        <v>2.8533435999093415E-2</v>
      </c>
      <c r="BI133" s="1"/>
      <c r="BJ133" s="16">
        <f>AS133/'2018-19 disagg'!AS133-1</f>
        <v>1.7822133757180891E-2</v>
      </c>
      <c r="BK133" s="16">
        <f>AT133/'2018-19 disagg'!AT133-1</f>
        <v>6.8264009968421746E-4</v>
      </c>
      <c r="BL133" s="16">
        <f>AU133/'2018-19 disagg'!AU133-1</f>
        <v>3.7392603563235927E-2</v>
      </c>
      <c r="BM133" s="16">
        <f>AW133/'2018-19 disagg'!AW133-1</f>
        <v>1.9053381084161769E-2</v>
      </c>
    </row>
    <row r="134" spans="1:65" x14ac:dyDescent="0.2">
      <c r="A134" s="156" t="s">
        <v>313</v>
      </c>
      <c r="B134" s="156" t="s">
        <v>314</v>
      </c>
      <c r="D134" s="56">
        <f>VLOOKUP(A134,'2019-20'!$A$12:$AMX342,32,FALSE)</f>
        <v>326725.32597524225</v>
      </c>
      <c r="E134" s="56">
        <v>1711.3124104892825</v>
      </c>
      <c r="F134" s="16">
        <f>VLOOKUP(A134,'2019-20'!$A$12:$AMX342,34,FALSE)</f>
        <v>2.7379978413933248E-2</v>
      </c>
      <c r="G134" s="16">
        <f>VLOOKUP(A134,'2019-20'!$A$12:$AMX342,35,FALSE)</f>
        <v>1.9628820618290632E-2</v>
      </c>
      <c r="H134" s="56"/>
      <c r="I134" s="56">
        <v>333345.82271107764</v>
      </c>
      <c r="J134" s="56">
        <v>1745.9890557533761</v>
      </c>
      <c r="K134" s="16">
        <f t="shared" si="23"/>
        <v>-1.9860746062426604E-2</v>
      </c>
      <c r="L134" s="58">
        <f t="shared" si="23"/>
        <v>-1.9860746062426493E-2</v>
      </c>
      <c r="M134" s="10"/>
      <c r="N134" s="56">
        <v>254656</v>
      </c>
      <c r="O134" s="56">
        <v>25564</v>
      </c>
      <c r="P134" s="56">
        <v>45890</v>
      </c>
      <c r="R134" s="56">
        <f t="shared" si="24"/>
        <v>45890</v>
      </c>
      <c r="S134" s="56">
        <f t="shared" si="25"/>
        <v>615.32597524224548</v>
      </c>
      <c r="U134" s="16">
        <v>-5.506949425149732E-3</v>
      </c>
      <c r="V134" s="16">
        <v>-2.4712081663545105E-2</v>
      </c>
      <c r="W134" s="56">
        <f t="shared" si="26"/>
        <v>4</v>
      </c>
      <c r="X134" s="56">
        <f t="shared" si="27"/>
        <v>2560.6614330064981</v>
      </c>
      <c r="Y134" s="56">
        <f t="shared" si="27"/>
        <v>262.11746828161699</v>
      </c>
      <c r="AA134" s="56">
        <f t="shared" si="39"/>
        <v>0</v>
      </c>
      <c r="AB134" s="56">
        <v>0</v>
      </c>
      <c r="AC134" s="56">
        <f t="shared" si="28"/>
        <v>615.32597524224548</v>
      </c>
      <c r="AE134" s="56">
        <v>0</v>
      </c>
      <c r="AF134" s="56">
        <f t="shared" si="29"/>
        <v>0</v>
      </c>
      <c r="AG134" s="56">
        <f t="shared" si="30"/>
        <v>615.32597524224548</v>
      </c>
      <c r="AI134" s="56">
        <f t="shared" si="31"/>
        <v>558.18806524695185</v>
      </c>
      <c r="AJ134" s="56">
        <f t="shared" si="32"/>
        <v>57.137909995293697</v>
      </c>
      <c r="AK134" s="56">
        <f t="shared" si="33"/>
        <v>0</v>
      </c>
      <c r="AM134" s="56">
        <f t="shared" si="34"/>
        <v>255214</v>
      </c>
      <c r="AN134" s="56">
        <f t="shared" si="35"/>
        <v>25621</v>
      </c>
      <c r="AO134" s="56">
        <f t="shared" si="36"/>
        <v>45890</v>
      </c>
      <c r="AP134" s="56"/>
      <c r="AQ134" s="56">
        <f t="shared" si="37"/>
        <v>326725</v>
      </c>
      <c r="AR134" s="1"/>
      <c r="AS134" s="56">
        <v>1336.7524670055932</v>
      </c>
      <c r="AT134" s="56">
        <v>134.19692868396837</v>
      </c>
      <c r="AU134" s="56">
        <v>240.36130741607701</v>
      </c>
      <c r="AV134" s="56"/>
      <c r="AW134" s="56">
        <v>1711.3107031056386</v>
      </c>
      <c r="AX134" s="1"/>
      <c r="AY134" s="16">
        <v>-3.3278249504828938E-3</v>
      </c>
      <c r="AZ134" s="16">
        <v>-2.25374841300926E-2</v>
      </c>
      <c r="BA134" s="16">
        <v>-0.1013930331705698</v>
      </c>
      <c r="BB134" s="16">
        <f t="shared" si="38"/>
        <v>-1.9861723951513643E-2</v>
      </c>
      <c r="BC134" s="16"/>
      <c r="BD134" s="1"/>
      <c r="BE134" s="16">
        <f>AM134/'2018-19 disagg'!AM134-1</f>
        <v>2.3508935159934463E-2</v>
      </c>
      <c r="BF134" s="16">
        <f>AN134/'2018-19 disagg'!AN134-1</f>
        <v>3.4606687126473856E-2</v>
      </c>
      <c r="BG134" s="16">
        <f>AO134/'2018-19 disagg'!AO134-1</f>
        <v>4.5282675048972765E-2</v>
      </c>
      <c r="BH134" s="16">
        <f>AQ134/'2018-19 disagg'!AQ134-1</f>
        <v>2.7378953392575234E-2</v>
      </c>
      <c r="BI134" s="1"/>
      <c r="BJ134" s="16">
        <f>AS134/'2018-19 disagg'!AS134-1</f>
        <v>1.5786982787529436E-2</v>
      </c>
      <c r="BK134" s="16">
        <f>AT134/'2018-19 disagg'!AT134-1</f>
        <v>2.6801006797054772E-2</v>
      </c>
      <c r="BL134" s="16">
        <f>AU134/'2018-19 disagg'!AU134-1</f>
        <v>3.7396448798131976E-2</v>
      </c>
      <c r="BM134" s="16">
        <f>AW134/'2018-19 disagg'!AW134-1</f>
        <v>1.9627803330295457E-2</v>
      </c>
    </row>
    <row r="135" spans="1:65" x14ac:dyDescent="0.2">
      <c r="A135" s="156" t="s">
        <v>315</v>
      </c>
      <c r="B135" s="156" t="s">
        <v>316</v>
      </c>
      <c r="D135" s="56">
        <f>VLOOKUP(A135,'2019-20'!$A$12:$AMX343,32,FALSE)</f>
        <v>280585.84813486488</v>
      </c>
      <c r="E135" s="56">
        <v>1578.4477666794282</v>
      </c>
      <c r="F135" s="16">
        <f>VLOOKUP(A135,'2019-20'!$A$12:$AMX343,34,FALSE)</f>
        <v>3.0398842982449548E-2</v>
      </c>
      <c r="G135" s="16">
        <f>VLOOKUP(A135,'2019-20'!$A$12:$AMX343,35,FALSE)</f>
        <v>1.981849395890678E-2</v>
      </c>
      <c r="H135" s="56"/>
      <c r="I135" s="56">
        <v>286420.73000179196</v>
      </c>
      <c r="J135" s="56">
        <v>1611.2721457880371</v>
      </c>
      <c r="K135" s="16">
        <f t="shared" si="23"/>
        <v>-2.0371716345009561E-2</v>
      </c>
      <c r="L135" s="58">
        <f t="shared" si="23"/>
        <v>-2.0371716345009561E-2</v>
      </c>
      <c r="M135" s="10"/>
      <c r="N135" s="56">
        <v>216081</v>
      </c>
      <c r="O135" s="56">
        <v>22232</v>
      </c>
      <c r="P135" s="56">
        <v>41772</v>
      </c>
      <c r="R135" s="56">
        <f t="shared" si="24"/>
        <v>41772</v>
      </c>
      <c r="S135" s="56">
        <f t="shared" si="25"/>
        <v>500.84813486487838</v>
      </c>
      <c r="U135" s="16">
        <v>-3.1373231471426566E-3</v>
      </c>
      <c r="V135" s="16">
        <v>-3.8639774530535465E-2</v>
      </c>
      <c r="W135" s="56">
        <f t="shared" si="26"/>
        <v>4</v>
      </c>
      <c r="X135" s="56">
        <f t="shared" si="27"/>
        <v>2167.610494578631</v>
      </c>
      <c r="Y135" s="56">
        <f t="shared" si="27"/>
        <v>231.2556668250277</v>
      </c>
      <c r="AA135" s="56">
        <f t="shared" si="39"/>
        <v>0</v>
      </c>
      <c r="AB135" s="56">
        <v>0</v>
      </c>
      <c r="AC135" s="56">
        <f t="shared" si="28"/>
        <v>500.84813486487838</v>
      </c>
      <c r="AE135" s="56">
        <v>0</v>
      </c>
      <c r="AF135" s="56">
        <f t="shared" si="29"/>
        <v>0</v>
      </c>
      <c r="AG135" s="56">
        <f t="shared" si="30"/>
        <v>500.84813486487838</v>
      </c>
      <c r="AI135" s="56">
        <f t="shared" si="31"/>
        <v>452.56533723748748</v>
      </c>
      <c r="AJ135" s="56">
        <f t="shared" si="32"/>
        <v>48.282797627390885</v>
      </c>
      <c r="AK135" s="56">
        <f t="shared" si="33"/>
        <v>0</v>
      </c>
      <c r="AM135" s="56">
        <f t="shared" si="34"/>
        <v>216534</v>
      </c>
      <c r="AN135" s="56">
        <f t="shared" si="35"/>
        <v>22280</v>
      </c>
      <c r="AO135" s="56">
        <f t="shared" si="36"/>
        <v>41772</v>
      </c>
      <c r="AP135" s="56"/>
      <c r="AQ135" s="56">
        <f t="shared" si="37"/>
        <v>280586</v>
      </c>
      <c r="AR135" s="1"/>
      <c r="AS135" s="56">
        <v>1218.1213378441009</v>
      </c>
      <c r="AT135" s="56">
        <v>125.33709905680664</v>
      </c>
      <c r="AU135" s="56">
        <v>234.99018410237554</v>
      </c>
      <c r="AV135" s="56"/>
      <c r="AW135" s="56">
        <v>1578.4486210032831</v>
      </c>
      <c r="AX135" s="1"/>
      <c r="AY135" s="16">
        <v>-1.0474642858159244E-3</v>
      </c>
      <c r="AZ135" s="16">
        <v>-3.6564149718438688E-2</v>
      </c>
      <c r="BA135" s="16">
        <v>-0.10233597389663807</v>
      </c>
      <c r="BB135" s="16">
        <f t="shared" si="38"/>
        <v>-2.0371186128027352E-2</v>
      </c>
      <c r="BC135" s="16"/>
      <c r="BD135" s="1"/>
      <c r="BE135" s="16">
        <f>AM135/'2018-19 disagg'!AM135-1</f>
        <v>2.6227488151658873E-2</v>
      </c>
      <c r="BF135" s="16">
        <f>AN135/'2018-19 disagg'!AN135-1</f>
        <v>3.8452575157305935E-2</v>
      </c>
      <c r="BG135" s="16">
        <f>AO135/'2018-19 disagg'!AO135-1</f>
        <v>4.8151958447293808E-2</v>
      </c>
      <c r="BH135" s="16">
        <f>AQ135/'2018-19 disagg'!AQ135-1</f>
        <v>3.0399400678643218E-2</v>
      </c>
      <c r="BI135" s="1"/>
      <c r="BJ135" s="16">
        <f>AS135/'2018-19 disagg'!AS135-1</f>
        <v>1.5689971464653896E-2</v>
      </c>
      <c r="BK135" s="16">
        <f>AT135/'2018-19 disagg'!AT135-1</f>
        <v>2.7789528741455127E-2</v>
      </c>
      <c r="BL135" s="16">
        <f>AU135/'2018-19 disagg'!AU135-1</f>
        <v>3.7389316752177937E-2</v>
      </c>
      <c r="BM135" s="16">
        <f>AW135/'2018-19 disagg'!AW135-1</f>
        <v>1.9819045928560319E-2</v>
      </c>
    </row>
    <row r="136" spans="1:65" x14ac:dyDescent="0.2">
      <c r="A136" s="156" t="s">
        <v>317</v>
      </c>
      <c r="B136" s="156" t="s">
        <v>318</v>
      </c>
      <c r="D136" s="56">
        <f>VLOOKUP(A136,'2019-20'!$A$12:$AMX344,32,FALSE)</f>
        <v>523709.07364885532</v>
      </c>
      <c r="E136" s="56">
        <v>1657.1936059475972</v>
      </c>
      <c r="F136" s="16">
        <f>VLOOKUP(A136,'2019-20'!$A$12:$AMX344,34,FALSE)</f>
        <v>3.3627489335003036E-2</v>
      </c>
      <c r="G136" s="16">
        <f>VLOOKUP(A136,'2019-20'!$A$12:$AMX344,35,FALSE)</f>
        <v>2.278649628203433E-2</v>
      </c>
      <c r="H136" s="56"/>
      <c r="I136" s="56">
        <v>537155.22756257863</v>
      </c>
      <c r="J136" s="56">
        <v>1699.7418095430733</v>
      </c>
      <c r="K136" s="16">
        <f t="shared" si="23"/>
        <v>-2.5032156858525223E-2</v>
      </c>
      <c r="L136" s="58">
        <f t="shared" si="23"/>
        <v>-2.5032156858525445E-2</v>
      </c>
      <c r="M136" s="10"/>
      <c r="N136" s="56">
        <v>403474</v>
      </c>
      <c r="O136" s="56">
        <v>41881</v>
      </c>
      <c r="P136" s="56">
        <v>75753</v>
      </c>
      <c r="R136" s="56">
        <f t="shared" si="24"/>
        <v>75753</v>
      </c>
      <c r="S136" s="56">
        <f t="shared" si="25"/>
        <v>2601.073648855323</v>
      </c>
      <c r="U136" s="16">
        <v>-2.5175027267617667E-3</v>
      </c>
      <c r="V136" s="16">
        <v>-2.6962630555044109E-3</v>
      </c>
      <c r="W136" s="56">
        <f t="shared" si="26"/>
        <v>4</v>
      </c>
      <c r="X136" s="56">
        <f t="shared" si="27"/>
        <v>4044.9231049462437</v>
      </c>
      <c r="Y136" s="56">
        <f t="shared" si="27"/>
        <v>419.94227484109854</v>
      </c>
      <c r="AA136" s="56">
        <f t="shared" si="39"/>
        <v>0</v>
      </c>
      <c r="AB136" s="56">
        <v>0</v>
      </c>
      <c r="AC136" s="56">
        <f t="shared" si="28"/>
        <v>2601.073648855323</v>
      </c>
      <c r="AE136" s="56">
        <v>0</v>
      </c>
      <c r="AF136" s="56">
        <f t="shared" si="29"/>
        <v>0</v>
      </c>
      <c r="AG136" s="56">
        <f t="shared" si="30"/>
        <v>2601.073648855323</v>
      </c>
      <c r="AI136" s="56">
        <f t="shared" si="31"/>
        <v>2356.4300387535632</v>
      </c>
      <c r="AJ136" s="56">
        <f t="shared" si="32"/>
        <v>244.64361010175998</v>
      </c>
      <c r="AK136" s="56">
        <f t="shared" si="33"/>
        <v>0</v>
      </c>
      <c r="AM136" s="56">
        <f t="shared" si="34"/>
        <v>405830</v>
      </c>
      <c r="AN136" s="56">
        <f t="shared" si="35"/>
        <v>42126</v>
      </c>
      <c r="AO136" s="56">
        <f t="shared" si="36"/>
        <v>75753</v>
      </c>
      <c r="AP136" s="56"/>
      <c r="AQ136" s="56">
        <f t="shared" si="37"/>
        <v>523709</v>
      </c>
      <c r="AR136" s="1"/>
      <c r="AS136" s="56">
        <v>1284.1841299710759</v>
      </c>
      <c r="AT136" s="56">
        <v>133.30098972269556</v>
      </c>
      <c r="AU136" s="56">
        <v>239.70825320380186</v>
      </c>
      <c r="AV136" s="56"/>
      <c r="AW136" s="56">
        <v>1657.1933728975732</v>
      </c>
      <c r="AX136" s="1"/>
      <c r="AY136" s="16">
        <v>3.3070826581100832E-3</v>
      </c>
      <c r="AZ136" s="16">
        <v>3.1378721263537468E-3</v>
      </c>
      <c r="BA136" s="16">
        <v>-0.16450761174894224</v>
      </c>
      <c r="BB136" s="16">
        <f t="shared" si="38"/>
        <v>-2.5032293967598318E-2</v>
      </c>
      <c r="BC136" s="16"/>
      <c r="BD136" s="1"/>
      <c r="BE136" s="16">
        <f>AM136/'2018-19 disagg'!AM136-1</f>
        <v>3.0289490453136558E-2</v>
      </c>
      <c r="BF136" s="16">
        <f>AN136/'2018-19 disagg'!AN136-1</f>
        <v>3.9737387698686844E-2</v>
      </c>
      <c r="BG136" s="16">
        <f>AO136/'2018-19 disagg'!AO136-1</f>
        <v>4.8397364924712027E-2</v>
      </c>
      <c r="BH136" s="16">
        <f>AQ136/'2018-19 disagg'!AQ136-1</f>
        <v>3.3627343976663449E-2</v>
      </c>
      <c r="BI136" s="1"/>
      <c r="BJ136" s="16">
        <f>AS136/'2018-19 disagg'!AS136-1</f>
        <v>1.948350732691817E-2</v>
      </c>
      <c r="BK136" s="16">
        <f>AT136/'2018-19 disagg'!AT136-1</f>
        <v>2.8832312211380273E-2</v>
      </c>
      <c r="BL136" s="16">
        <f>AU136/'2018-19 disagg'!AU136-1</f>
        <v>3.740146101622388E-2</v>
      </c>
      <c r="BM136" s="16">
        <f>AW136/'2018-19 disagg'!AW136-1</f>
        <v>2.2786352448256109E-2</v>
      </c>
    </row>
    <row r="137" spans="1:65" x14ac:dyDescent="0.2">
      <c r="A137" s="156" t="s">
        <v>319</v>
      </c>
      <c r="B137" s="156" t="s">
        <v>320</v>
      </c>
      <c r="D137" s="56">
        <f>VLOOKUP(A137,'2019-20'!$A$12:$AMX345,32,FALSE)</f>
        <v>319790.81937811995</v>
      </c>
      <c r="E137" s="56">
        <v>1814.3878701614285</v>
      </c>
      <c r="F137" s="16">
        <f>VLOOKUP(A137,'2019-20'!$A$12:$AMX345,34,FALSE)</f>
        <v>2.681687064921201E-2</v>
      </c>
      <c r="G137" s="16">
        <f>VLOOKUP(A137,'2019-20'!$A$12:$AMX345,35,FALSE)</f>
        <v>2.0225030402020616E-2</v>
      </c>
      <c r="H137" s="56"/>
      <c r="I137" s="56">
        <v>326574.84871214081</v>
      </c>
      <c r="J137" s="56">
        <v>1852.8782200670423</v>
      </c>
      <c r="K137" s="16">
        <f t="shared" si="23"/>
        <v>-2.0773275592942619E-2</v>
      </c>
      <c r="L137" s="58">
        <f t="shared" si="23"/>
        <v>-2.077327559294273E-2</v>
      </c>
      <c r="M137" s="10"/>
      <c r="N137" s="56">
        <v>251298</v>
      </c>
      <c r="O137" s="56">
        <v>28689</v>
      </c>
      <c r="P137" s="56">
        <v>38478</v>
      </c>
      <c r="R137" s="56">
        <f t="shared" si="24"/>
        <v>38478</v>
      </c>
      <c r="S137" s="56">
        <f t="shared" si="25"/>
        <v>1325.8193781199516</v>
      </c>
      <c r="U137" s="16">
        <v>5.402094483157871E-4</v>
      </c>
      <c r="V137" s="16">
        <v>0.14651925930047538</v>
      </c>
      <c r="W137" s="56">
        <f t="shared" si="26"/>
        <v>2</v>
      </c>
      <c r="X137" s="56">
        <f t="shared" si="27"/>
        <v>2511.6231974181455</v>
      </c>
      <c r="Y137" s="56">
        <f t="shared" si="27"/>
        <v>250.22693484890948</v>
      </c>
      <c r="AA137" s="56">
        <f t="shared" si="39"/>
        <v>0</v>
      </c>
      <c r="AB137" s="56">
        <v>0</v>
      </c>
      <c r="AC137" s="56">
        <f t="shared" si="28"/>
        <v>1325.8193781199516</v>
      </c>
      <c r="AE137" s="56">
        <v>0</v>
      </c>
      <c r="AF137" s="56">
        <f t="shared" si="29"/>
        <v>0</v>
      </c>
      <c r="AG137" s="56">
        <f t="shared" si="30"/>
        <v>1325.8193781199516</v>
      </c>
      <c r="AI137" s="56">
        <f t="shared" si="31"/>
        <v>1205.6985521293241</v>
      </c>
      <c r="AJ137" s="56">
        <f t="shared" si="32"/>
        <v>120.12082599062762</v>
      </c>
      <c r="AK137" s="56">
        <f t="shared" si="33"/>
        <v>0</v>
      </c>
      <c r="AM137" s="56">
        <f t="shared" si="34"/>
        <v>252504</v>
      </c>
      <c r="AN137" s="56">
        <f t="shared" si="35"/>
        <v>28809</v>
      </c>
      <c r="AO137" s="56">
        <f t="shared" si="36"/>
        <v>38478</v>
      </c>
      <c r="AP137" s="56"/>
      <c r="AQ137" s="56">
        <f t="shared" si="37"/>
        <v>319791</v>
      </c>
      <c r="AR137" s="1"/>
      <c r="AS137" s="56">
        <v>1432.624600225116</v>
      </c>
      <c r="AT137" s="56">
        <v>163.45278533363972</v>
      </c>
      <c r="AU137" s="56">
        <v>218.31150939177999</v>
      </c>
      <c r="AV137" s="56"/>
      <c r="AW137" s="56">
        <v>1814.3888949505358</v>
      </c>
      <c r="AX137" s="1"/>
      <c r="AY137" s="16">
        <v>5.3418851186144423E-3</v>
      </c>
      <c r="AZ137" s="16">
        <v>0.15131490610294529</v>
      </c>
      <c r="BA137" s="16">
        <v>-0.23639361729764563</v>
      </c>
      <c r="BB137" s="16">
        <f t="shared" si="38"/>
        <v>-2.077272251336304E-2</v>
      </c>
      <c r="BC137" s="16"/>
      <c r="BD137" s="1"/>
      <c r="BE137" s="16">
        <f>AM137/'2018-19 disagg'!AM137-1</f>
        <v>2.568435419467785E-2</v>
      </c>
      <c r="BF137" s="16">
        <f>AN137/'2018-19 disagg'!AN137-1</f>
        <v>1.4222848090124973E-2</v>
      </c>
      <c r="BG137" s="16">
        <f>AO137/'2018-19 disagg'!AO137-1</f>
        <v>4.4094103600792245E-2</v>
      </c>
      <c r="BH137" s="16">
        <f>AQ137/'2018-19 disagg'!AQ137-1</f>
        <v>2.6817450608305426E-2</v>
      </c>
      <c r="BI137" s="1"/>
      <c r="BJ137" s="16">
        <f>AS137/'2018-19 disagg'!AS137-1</f>
        <v>1.9099784345703696E-2</v>
      </c>
      <c r="BK137" s="16">
        <f>AT137/'2018-19 disagg'!AT137-1</f>
        <v>7.7118574931021033E-3</v>
      </c>
      <c r="BL137" s="16">
        <f>AU137/'2018-19 disagg'!AU137-1</f>
        <v>3.7391348970729155E-2</v>
      </c>
      <c r="BM137" s="16">
        <f>AW137/'2018-19 disagg'!AW137-1</f>
        <v>2.0225606637959803E-2</v>
      </c>
    </row>
    <row r="138" spans="1:65" x14ac:dyDescent="0.2">
      <c r="A138" s="156" t="s">
        <v>321</v>
      </c>
      <c r="B138" s="156" t="s">
        <v>322</v>
      </c>
      <c r="D138" s="56">
        <f>VLOOKUP(A138,'2019-20'!$A$12:$AMX346,32,FALSE)</f>
        <v>422091.32173193304</v>
      </c>
      <c r="E138" s="56">
        <v>1671.1641985696617</v>
      </c>
      <c r="F138" s="16">
        <f>VLOOKUP(A138,'2019-20'!$A$12:$AMX346,34,FALSE)</f>
        <v>2.8775903900783772E-2</v>
      </c>
      <c r="G138" s="16">
        <f>VLOOKUP(A138,'2019-20'!$A$12:$AMX346,35,FALSE)</f>
        <v>2.1527504044321022E-2</v>
      </c>
      <c r="H138" s="56"/>
      <c r="I138" s="56">
        <v>432253.87676572078</v>
      </c>
      <c r="J138" s="56">
        <v>1711.4002737127701</v>
      </c>
      <c r="K138" s="16">
        <f t="shared" si="23"/>
        <v>-2.3510616283716534E-2</v>
      </c>
      <c r="L138" s="58">
        <f t="shared" si="23"/>
        <v>-2.3510616283716534E-2</v>
      </c>
      <c r="M138" s="10"/>
      <c r="N138" s="56">
        <v>314123</v>
      </c>
      <c r="O138" s="56">
        <v>35464</v>
      </c>
      <c r="P138" s="56">
        <v>71076</v>
      </c>
      <c r="R138" s="56">
        <f t="shared" si="24"/>
        <v>71076</v>
      </c>
      <c r="S138" s="56">
        <f t="shared" si="25"/>
        <v>1428.3217319330433</v>
      </c>
      <c r="U138" s="16">
        <v>-8.9039090214375616E-3</v>
      </c>
      <c r="V138" s="16">
        <v>4.0008078308981121E-2</v>
      </c>
      <c r="W138" s="56">
        <f t="shared" si="26"/>
        <v>1</v>
      </c>
      <c r="X138" s="56">
        <f t="shared" si="27"/>
        <v>3169.4504988900671</v>
      </c>
      <c r="Y138" s="56">
        <f t="shared" si="27"/>
        <v>340.99735126734106</v>
      </c>
      <c r="AA138" s="56">
        <f t="shared" si="39"/>
        <v>1428.3217319330433</v>
      </c>
      <c r="AB138" s="56">
        <v>0</v>
      </c>
      <c r="AC138" s="56">
        <f t="shared" si="28"/>
        <v>0</v>
      </c>
      <c r="AE138" s="56">
        <v>0</v>
      </c>
      <c r="AF138" s="56">
        <f t="shared" si="29"/>
        <v>0</v>
      </c>
      <c r="AG138" s="56">
        <f t="shared" si="30"/>
        <v>0</v>
      </c>
      <c r="AI138" s="56">
        <f t="shared" si="31"/>
        <v>0</v>
      </c>
      <c r="AJ138" s="56">
        <f t="shared" si="32"/>
        <v>0</v>
      </c>
      <c r="AK138" s="56">
        <f t="shared" si="33"/>
        <v>0</v>
      </c>
      <c r="AM138" s="56">
        <f t="shared" si="34"/>
        <v>315551</v>
      </c>
      <c r="AN138" s="56">
        <f t="shared" si="35"/>
        <v>35464</v>
      </c>
      <c r="AO138" s="56">
        <f t="shared" si="36"/>
        <v>71076</v>
      </c>
      <c r="AP138" s="56"/>
      <c r="AQ138" s="56">
        <f t="shared" si="37"/>
        <v>422091</v>
      </c>
      <c r="AR138" s="1"/>
      <c r="AS138" s="56">
        <v>1249.3446485918594</v>
      </c>
      <c r="AT138" s="56">
        <v>140.41076915510234</v>
      </c>
      <c r="AU138" s="56">
        <v>281.40750700620498</v>
      </c>
      <c r="AV138" s="56"/>
      <c r="AW138" s="56">
        <v>1671.1629247531666</v>
      </c>
      <c r="AX138" s="1"/>
      <c r="AY138" s="16">
        <v>-4.3983961557213513E-3</v>
      </c>
      <c r="AZ138" s="16">
        <v>4.0008078308981121E-2</v>
      </c>
      <c r="BA138" s="16">
        <v>-0.12477779927864385</v>
      </c>
      <c r="BB138" s="16">
        <f t="shared" si="38"/>
        <v>-2.351136059614567E-2</v>
      </c>
      <c r="BC138" s="16"/>
      <c r="BD138" s="1"/>
      <c r="BE138" s="16">
        <f>AM138/'2018-19 disagg'!AM138-1</f>
        <v>2.542513331621854E-2</v>
      </c>
      <c r="BF138" s="16">
        <f>AN138/'2018-19 disagg'!AN138-1</f>
        <v>2.7138181712862419E-2</v>
      </c>
      <c r="BG138" s="16">
        <f>AO138/'2018-19 disagg'!AO138-1</f>
        <v>4.4759006923314359E-2</v>
      </c>
      <c r="BH138" s="16">
        <f>AQ138/'2018-19 disagg'!AQ138-1</f>
        <v>2.8775119733843502E-2</v>
      </c>
      <c r="BI138" s="1"/>
      <c r="BJ138" s="16">
        <f>AS138/'2018-19 disagg'!AS138-1</f>
        <v>1.8200341832514511E-2</v>
      </c>
      <c r="BK138" s="16">
        <f>AT138/'2018-19 disagg'!AT138-1</f>
        <v>1.9901320681548151E-2</v>
      </c>
      <c r="BL138" s="16">
        <f>AU138/'2018-19 disagg'!AU138-1</f>
        <v>3.7397995640772175E-2</v>
      </c>
      <c r="BM138" s="16">
        <f>AW138/'2018-19 disagg'!AW138-1</f>
        <v>2.1526725402350344E-2</v>
      </c>
    </row>
    <row r="139" spans="1:65" x14ac:dyDescent="0.2">
      <c r="A139" s="156" t="s">
        <v>323</v>
      </c>
      <c r="B139" s="156" t="s">
        <v>324</v>
      </c>
      <c r="D139" s="56">
        <f>VLOOKUP(A139,'2019-20'!$A$12:$AMX347,32,FALSE)</f>
        <v>380358</v>
      </c>
      <c r="E139" s="56">
        <v>1649.2320067927444</v>
      </c>
      <c r="F139" s="16">
        <f>VLOOKUP(A139,'2019-20'!$A$12:$AMX347,34,FALSE)</f>
        <v>3.6485370698887465E-2</v>
      </c>
      <c r="G139" s="16">
        <f>VLOOKUP(A139,'2019-20'!$A$12:$AMX347,35,FALSE)</f>
        <v>1.8214467817981195E-2</v>
      </c>
      <c r="H139" s="56"/>
      <c r="I139" s="56">
        <v>385900.4606995263</v>
      </c>
      <c r="J139" s="56">
        <v>1673.2641122882242</v>
      </c>
      <c r="K139" s="16">
        <f t="shared" si="23"/>
        <v>-1.4362410165251971E-2</v>
      </c>
      <c r="L139" s="58">
        <f t="shared" si="23"/>
        <v>-1.4362410165251971E-2</v>
      </c>
      <c r="M139" s="10"/>
      <c r="N139" s="56">
        <v>287532</v>
      </c>
      <c r="O139" s="56">
        <v>32310</v>
      </c>
      <c r="P139" s="56">
        <v>60516</v>
      </c>
      <c r="R139" s="56">
        <f t="shared" si="24"/>
        <v>60516</v>
      </c>
      <c r="S139" s="56">
        <f t="shared" si="25"/>
        <v>0</v>
      </c>
      <c r="U139" s="16">
        <v>1.1524534310425327E-2</v>
      </c>
      <c r="V139" s="16">
        <v>-2.5018290951458022E-2</v>
      </c>
      <c r="W139" s="56">
        <f t="shared" si="26"/>
        <v>3</v>
      </c>
      <c r="X139" s="56">
        <f t="shared" si="27"/>
        <v>2842.5608104109483</v>
      </c>
      <c r="Y139" s="56">
        <f t="shared" si="27"/>
        <v>331.39083226012974</v>
      </c>
      <c r="AA139" s="56">
        <f t="shared" si="39"/>
        <v>0</v>
      </c>
      <c r="AB139" s="56">
        <v>0</v>
      </c>
      <c r="AC139" s="56">
        <f t="shared" si="28"/>
        <v>0</v>
      </c>
      <c r="AE139" s="56">
        <v>0</v>
      </c>
      <c r="AF139" s="56">
        <f t="shared" si="29"/>
        <v>0</v>
      </c>
      <c r="AG139" s="56">
        <f t="shared" si="30"/>
        <v>0</v>
      </c>
      <c r="AI139" s="56">
        <f t="shared" si="31"/>
        <v>0</v>
      </c>
      <c r="AJ139" s="56">
        <f t="shared" si="32"/>
        <v>0</v>
      </c>
      <c r="AK139" s="56">
        <f t="shared" si="33"/>
        <v>0</v>
      </c>
      <c r="AM139" s="56">
        <f t="shared" si="34"/>
        <v>287532</v>
      </c>
      <c r="AN139" s="56">
        <f t="shared" si="35"/>
        <v>32310</v>
      </c>
      <c r="AO139" s="56">
        <f t="shared" si="36"/>
        <v>60516</v>
      </c>
      <c r="AP139" s="56"/>
      <c r="AQ139" s="56">
        <f t="shared" si="37"/>
        <v>380358</v>
      </c>
      <c r="AR139" s="1"/>
      <c r="AS139" s="56">
        <v>1246.7385394211017</v>
      </c>
      <c r="AT139" s="56">
        <v>140.09613611248761</v>
      </c>
      <c r="AU139" s="56">
        <v>262.39733125915512</v>
      </c>
      <c r="AV139" s="56"/>
      <c r="AW139" s="56">
        <v>1649.2320067927444</v>
      </c>
      <c r="AX139" s="1"/>
      <c r="AY139" s="16">
        <v>1.1524534310425327E-2</v>
      </c>
      <c r="AZ139" s="16">
        <v>-2.5018290951458022E-2</v>
      </c>
      <c r="BA139" s="16">
        <v>-0.11662304739167195</v>
      </c>
      <c r="BB139" s="16">
        <f t="shared" si="38"/>
        <v>-1.4362410165251971E-2</v>
      </c>
      <c r="BC139" s="16"/>
      <c r="BD139" s="1"/>
      <c r="BE139" s="16">
        <f>AM139/'2018-19 disagg'!AM139-1</f>
        <v>3.1752923572661462E-2</v>
      </c>
      <c r="BF139" s="16">
        <f>AN139/'2018-19 disagg'!AN139-1</f>
        <v>4.2930923176242697E-2</v>
      </c>
      <c r="BG139" s="16">
        <f>AO139/'2018-19 disagg'!AO139-1</f>
        <v>5.6015076955292731E-2</v>
      </c>
      <c r="BH139" s="16">
        <f>AQ139/'2018-19 disagg'!AQ139-1</f>
        <v>3.6485370698887465E-2</v>
      </c>
      <c r="BI139" s="1"/>
      <c r="BJ139" s="16">
        <f>AS139/'2018-19 disagg'!AS139-1</f>
        <v>1.3565443076939632E-2</v>
      </c>
      <c r="BK139" s="16">
        <f>AT139/'2018-19 disagg'!AT139-1</f>
        <v>2.4546399720790202E-2</v>
      </c>
      <c r="BL139" s="16">
        <f>AU139/'2018-19 disagg'!AU139-1</f>
        <v>3.7399909334728143E-2</v>
      </c>
      <c r="BM139" s="16">
        <f>AW139/'2018-19 disagg'!AW139-1</f>
        <v>1.8214467817981195E-2</v>
      </c>
    </row>
    <row r="140" spans="1:65" x14ac:dyDescent="0.2">
      <c r="A140" s="156" t="s">
        <v>325</v>
      </c>
      <c r="B140" s="156" t="s">
        <v>326</v>
      </c>
      <c r="D140" s="56">
        <f>VLOOKUP(A140,'2019-20'!$A$12:$AMX348,32,FALSE)</f>
        <v>688357.09566756664</v>
      </c>
      <c r="E140" s="56">
        <v>1615.1046797572415</v>
      </c>
      <c r="F140" s="16">
        <f>VLOOKUP(A140,'2019-20'!$A$12:$AMX348,34,FALSE)</f>
        <v>3.4583601740996173E-2</v>
      </c>
      <c r="G140" s="16">
        <f>VLOOKUP(A140,'2019-20'!$A$12:$AMX348,35,FALSE)</f>
        <v>1.9973765364136531E-2</v>
      </c>
      <c r="H140" s="56"/>
      <c r="I140" s="56">
        <v>703503.54631512635</v>
      </c>
      <c r="J140" s="56">
        <v>1650.6430703346807</v>
      </c>
      <c r="K140" s="16">
        <f t="shared" si="23"/>
        <v>-2.1530027427573262E-2</v>
      </c>
      <c r="L140" s="58">
        <f t="shared" si="23"/>
        <v>-2.1530027427573151E-2</v>
      </c>
      <c r="M140" s="10"/>
      <c r="N140" s="56">
        <v>496640</v>
      </c>
      <c r="O140" s="56">
        <v>53372</v>
      </c>
      <c r="P140" s="56">
        <v>137849</v>
      </c>
      <c r="R140" s="56">
        <f t="shared" si="24"/>
        <v>137849</v>
      </c>
      <c r="S140" s="56">
        <f t="shared" si="25"/>
        <v>496.09566756663844</v>
      </c>
      <c r="U140" s="16">
        <v>-1.1622223514815566E-2</v>
      </c>
      <c r="V140" s="16">
        <v>-4.8189781479628158E-2</v>
      </c>
      <c r="W140" s="56">
        <f t="shared" si="26"/>
        <v>4</v>
      </c>
      <c r="X140" s="56">
        <f t="shared" si="27"/>
        <v>5024.7993410588842</v>
      </c>
      <c r="Y140" s="56">
        <f t="shared" si="27"/>
        <v>560.74203619046</v>
      </c>
      <c r="AA140" s="56">
        <f t="shared" si="39"/>
        <v>0</v>
      </c>
      <c r="AB140" s="56">
        <v>0</v>
      </c>
      <c r="AC140" s="56">
        <f t="shared" si="28"/>
        <v>496.09566756663844</v>
      </c>
      <c r="AE140" s="56">
        <v>0</v>
      </c>
      <c r="AF140" s="56">
        <f t="shared" si="29"/>
        <v>0</v>
      </c>
      <c r="AG140" s="56">
        <f t="shared" si="30"/>
        <v>496.09566756663844</v>
      </c>
      <c r="AI140" s="56">
        <f t="shared" si="31"/>
        <v>446.29177641480607</v>
      </c>
      <c r="AJ140" s="56">
        <f t="shared" si="32"/>
        <v>49.803891151832403</v>
      </c>
      <c r="AK140" s="56">
        <f t="shared" si="33"/>
        <v>0</v>
      </c>
      <c r="AM140" s="56">
        <f t="shared" si="34"/>
        <v>497086</v>
      </c>
      <c r="AN140" s="56">
        <f t="shared" si="35"/>
        <v>53422</v>
      </c>
      <c r="AO140" s="56">
        <f t="shared" si="36"/>
        <v>137849</v>
      </c>
      <c r="AP140" s="56"/>
      <c r="AQ140" s="56">
        <f t="shared" si="37"/>
        <v>688357</v>
      </c>
      <c r="AR140" s="1"/>
      <c r="AS140" s="56">
        <v>1166.3218551749083</v>
      </c>
      <c r="AT140" s="56">
        <v>125.34500297162654</v>
      </c>
      <c r="AU140" s="56">
        <v>323.43759714416808</v>
      </c>
      <c r="AV140" s="56"/>
      <c r="AW140" s="56">
        <v>1615.1044552907028</v>
      </c>
      <c r="AX140" s="1"/>
      <c r="AY140" s="16">
        <v>-1.0734625882098947E-2</v>
      </c>
      <c r="AZ140" s="16">
        <v>-4.729810586458616E-2</v>
      </c>
      <c r="BA140" s="16">
        <v>-4.8985426427413881E-2</v>
      </c>
      <c r="BB140" s="16">
        <f t="shared" si="38"/>
        <v>-2.1530163414899994E-2</v>
      </c>
      <c r="BC140" s="16"/>
      <c r="BD140" s="1"/>
      <c r="BE140" s="16">
        <f>AM140/'2018-19 disagg'!AM140-1</f>
        <v>2.9008038122602553E-2</v>
      </c>
      <c r="BF140" s="16">
        <f>AN140/'2018-19 disagg'!AN140-1</f>
        <v>4.1953540988082905E-2</v>
      </c>
      <c r="BG140" s="16">
        <f>AO140/'2018-19 disagg'!AO140-1</f>
        <v>5.2258345228735292E-2</v>
      </c>
      <c r="BH140" s="16">
        <f>AQ140/'2018-19 disagg'!AQ140-1</f>
        <v>3.4583457955021935E-2</v>
      </c>
      <c r="BI140" s="1"/>
      <c r="BJ140" s="16">
        <f>AS140/'2018-19 disagg'!AS140-1</f>
        <v>1.447693687361129E-2</v>
      </c>
      <c r="BK140" s="16">
        <f>AT140/'2018-19 disagg'!AT140-1</f>
        <v>2.7239630270274651E-2</v>
      </c>
      <c r="BL140" s="16">
        <f>AU140/'2018-19 disagg'!AU140-1</f>
        <v>3.7398915575967973E-2</v>
      </c>
      <c r="BM140" s="16">
        <f>AW140/'2018-19 disagg'!AW140-1</f>
        <v>1.9973623608630975E-2</v>
      </c>
    </row>
    <row r="141" spans="1:65" x14ac:dyDescent="0.2">
      <c r="A141" s="156" t="s">
        <v>327</v>
      </c>
      <c r="B141" s="156" t="s">
        <v>328</v>
      </c>
      <c r="D141" s="56">
        <f>VLOOKUP(A141,'2019-20'!$A$12:$AMX349,32,FALSE)</f>
        <v>424739.74734952458</v>
      </c>
      <c r="E141" s="56">
        <v>1743.3421262565037</v>
      </c>
      <c r="F141" s="16">
        <f>VLOOKUP(A141,'2019-20'!$A$12:$AMX349,34,FALSE)</f>
        <v>3.1718042930039658E-2</v>
      </c>
      <c r="G141" s="16">
        <f>VLOOKUP(A141,'2019-20'!$A$12:$AMX349,35,FALSE)</f>
        <v>2.1779125685576384E-2</v>
      </c>
      <c r="H141" s="56"/>
      <c r="I141" s="56">
        <v>435034.5693133538</v>
      </c>
      <c r="J141" s="56">
        <v>1785.5971704897079</v>
      </c>
      <c r="K141" s="16">
        <f t="shared" ref="K141:L163" si="40">D141/I141-1</f>
        <v>-2.3664376787523533E-2</v>
      </c>
      <c r="L141" s="58">
        <f t="shared" si="40"/>
        <v>-2.3664376787523422E-2</v>
      </c>
      <c r="M141" s="10"/>
      <c r="N141" s="56">
        <v>316368</v>
      </c>
      <c r="O141" s="56">
        <v>30353</v>
      </c>
      <c r="P141" s="56">
        <v>76721</v>
      </c>
      <c r="R141" s="56">
        <f t="shared" ref="R141:R204" si="41">ROUND(P141,0)</f>
        <v>76721</v>
      </c>
      <c r="S141" s="56">
        <f t="shared" ref="S141:S204" si="42">D141-SUM(N141:P141)</f>
        <v>1297.7473495245795</v>
      </c>
      <c r="U141" s="16">
        <v>-2.6792764851427009E-2</v>
      </c>
      <c r="V141" s="16">
        <v>-3.8294910995754106E-2</v>
      </c>
      <c r="W141" s="56">
        <f t="shared" ref="W141:W204" si="43">IF(AND(U141&lt;0,V141&gt;0),1,IF(AND(U141&gt;0,V141&gt;0),2,IF(AND(U141&gt;0,V141&lt;0),3,IF(AND(U141&lt;0,V141&lt;0),4,5))))</f>
        <v>4</v>
      </c>
      <c r="X141" s="56">
        <f t="shared" ref="X141:Y204" si="44">N141/(1+U141)/100</f>
        <v>3250.7773121076543</v>
      </c>
      <c r="Y141" s="56">
        <f t="shared" si="44"/>
        <v>315.61650600630225</v>
      </c>
      <c r="AA141" s="56">
        <f t="shared" si="39"/>
        <v>0</v>
      </c>
      <c r="AB141" s="56">
        <v>0</v>
      </c>
      <c r="AC141" s="56">
        <f t="shared" ref="AC141:AC204" si="45">S141-AA141-AB141</f>
        <v>1297.7473495245795</v>
      </c>
      <c r="AE141" s="56">
        <v>0</v>
      </c>
      <c r="AF141" s="56">
        <f t="shared" ref="AF141:AF204" si="46">IF(W141=3,MIN(S141,-1*V141*O141),0)</f>
        <v>0</v>
      </c>
      <c r="AG141" s="56">
        <f t="shared" ref="AG141:AG204" si="47">AC141-AE141-AF141</f>
        <v>1297.7473495245795</v>
      </c>
      <c r="AI141" s="56">
        <f t="shared" ref="AI141:AI204" si="48">AG141*X141/(X141+Y141)</f>
        <v>1182.9001102613356</v>
      </c>
      <c r="AJ141" s="56">
        <f t="shared" ref="AJ141:AJ204" si="49">AG141*Y141/(X141+Y141)</f>
        <v>114.84723926324382</v>
      </c>
      <c r="AK141" s="56">
        <f t="shared" ref="AK141:AK204" si="50">S141-SUM(AA141:AB141)-SUM(AE141:AF141)-SUM(AI141:AJ141)</f>
        <v>0</v>
      </c>
      <c r="AM141" s="56">
        <f t="shared" ref="AM141:AM204" si="51">ROUND(N141+AA141+AE141+AI141,0)</f>
        <v>317551</v>
      </c>
      <c r="AN141" s="56">
        <f t="shared" ref="AN141:AN204" si="52">ROUND(O141+AB141+AF141+AJ141,0)</f>
        <v>30468</v>
      </c>
      <c r="AO141" s="56">
        <f t="shared" ref="AO141:AO204" si="53">R141</f>
        <v>76721</v>
      </c>
      <c r="AP141" s="56"/>
      <c r="AQ141" s="56">
        <f t="shared" ref="AQ141:AQ204" si="54">SUM(AM141:AP141)</f>
        <v>424740</v>
      </c>
      <c r="AR141" s="1"/>
      <c r="AS141" s="56">
        <v>1303.3864595660584</v>
      </c>
      <c r="AT141" s="56">
        <v>125.05575057253377</v>
      </c>
      <c r="AU141" s="56">
        <v>314.90095312049897</v>
      </c>
      <c r="AV141" s="56"/>
      <c r="AW141" s="56">
        <v>1743.3431632590912</v>
      </c>
      <c r="AX141" s="1"/>
      <c r="AY141" s="16">
        <v>-2.3153635232815883E-2</v>
      </c>
      <c r="AZ141" s="16">
        <v>-3.4651248582302729E-2</v>
      </c>
      <c r="BA141" s="16">
        <v>-2.1355743321825216E-2</v>
      </c>
      <c r="BB141" s="16">
        <f t="shared" ref="BB141:BB204" si="55">SUM(AM141:AO141)/I141-1</f>
        <v>-2.3663796027985629E-2</v>
      </c>
      <c r="BC141" s="16"/>
      <c r="BD141" s="1"/>
      <c r="BE141" s="16">
        <f>AM141/'2018-19 disagg'!AM141-1</f>
        <v>2.7250935699566936E-2</v>
      </c>
      <c r="BF141" s="16">
        <f>AN141/'2018-19 disagg'!AN141-1</f>
        <v>3.9437772925764225E-2</v>
      </c>
      <c r="BG141" s="16">
        <f>AO141/'2018-19 disagg'!AO141-1</f>
        <v>4.748576655789627E-2</v>
      </c>
      <c r="BH141" s="16">
        <f>AQ141/'2018-19 disagg'!AQ141-1</f>
        <v>3.1718656633032305E-2</v>
      </c>
      <c r="BI141" s="1"/>
      <c r="BJ141" s="16">
        <f>AS141/'2018-19 disagg'!AS141-1</f>
        <v>1.7355051732838689E-2</v>
      </c>
      <c r="BK141" s="16">
        <f>AT141/'2018-19 disagg'!AT141-1</f>
        <v>2.942448869886527E-2</v>
      </c>
      <c r="BL141" s="16">
        <f>AU141/'2018-19 disagg'!AU141-1</f>
        <v>3.7394953064894265E-2</v>
      </c>
      <c r="BM141" s="16">
        <f>AW141/'2018-19 disagg'!AW141-1</f>
        <v>2.1779733476543717E-2</v>
      </c>
    </row>
    <row r="142" spans="1:65" x14ac:dyDescent="0.2">
      <c r="A142" s="156" t="s">
        <v>329</v>
      </c>
      <c r="B142" s="156" t="s">
        <v>330</v>
      </c>
      <c r="D142" s="56">
        <f>VLOOKUP(A142,'2019-20'!$A$12:$AMX350,32,FALSE)</f>
        <v>599088</v>
      </c>
      <c r="E142" s="56">
        <v>1565.4583235651533</v>
      </c>
      <c r="F142" s="16">
        <f>VLOOKUP(A142,'2019-20'!$A$12:$AMX350,34,FALSE)</f>
        <v>2.7281550401421217E-2</v>
      </c>
      <c r="G142" s="16">
        <f>VLOOKUP(A142,'2019-20'!$A$12:$AMX350,35,FALSE)</f>
        <v>1.9177947589027244E-2</v>
      </c>
      <c r="H142" s="56"/>
      <c r="I142" s="56">
        <v>602657.76297976344</v>
      </c>
      <c r="J142" s="56">
        <v>1574.786360798123</v>
      </c>
      <c r="K142" s="16">
        <f t="shared" si="40"/>
        <v>-5.9233667913165533E-3</v>
      </c>
      <c r="L142" s="58">
        <f t="shared" si="40"/>
        <v>-5.9233667913165533E-3</v>
      </c>
      <c r="M142" s="10"/>
      <c r="N142" s="56">
        <v>432506</v>
      </c>
      <c r="O142" s="56">
        <v>50247</v>
      </c>
      <c r="P142" s="56">
        <v>116335</v>
      </c>
      <c r="R142" s="56">
        <f t="shared" si="41"/>
        <v>116335</v>
      </c>
      <c r="S142" s="56">
        <f t="shared" si="42"/>
        <v>0</v>
      </c>
      <c r="U142" s="16">
        <v>1.2851553761659362E-2</v>
      </c>
      <c r="V142" s="16">
        <v>-4.9091052007947722E-2</v>
      </c>
      <c r="W142" s="56">
        <f t="shared" si="43"/>
        <v>3</v>
      </c>
      <c r="X142" s="56">
        <f t="shared" si="44"/>
        <v>4270.1815324635008</v>
      </c>
      <c r="Y142" s="56">
        <f t="shared" si="44"/>
        <v>528.41021326071245</v>
      </c>
      <c r="AA142" s="56">
        <f t="shared" ref="AA142:AA205" si="56">IF(W142=1,MIN(S142,-1*U142*N142),0)</f>
        <v>0</v>
      </c>
      <c r="AB142" s="56">
        <v>0</v>
      </c>
      <c r="AC142" s="56">
        <f t="shared" si="45"/>
        <v>0</v>
      </c>
      <c r="AE142" s="56">
        <v>0</v>
      </c>
      <c r="AF142" s="56">
        <f t="shared" si="46"/>
        <v>0</v>
      </c>
      <c r="AG142" s="56">
        <f t="shared" si="47"/>
        <v>0</v>
      </c>
      <c r="AI142" s="56">
        <f t="shared" si="48"/>
        <v>0</v>
      </c>
      <c r="AJ142" s="56">
        <f t="shared" si="49"/>
        <v>0</v>
      </c>
      <c r="AK142" s="56">
        <f t="shared" si="50"/>
        <v>0</v>
      </c>
      <c r="AM142" s="56">
        <f t="shared" si="51"/>
        <v>432506</v>
      </c>
      <c r="AN142" s="56">
        <f t="shared" si="52"/>
        <v>50247</v>
      </c>
      <c r="AO142" s="56">
        <f t="shared" si="53"/>
        <v>116335</v>
      </c>
      <c r="AP142" s="56"/>
      <c r="AQ142" s="56">
        <f t="shared" si="54"/>
        <v>599088</v>
      </c>
      <c r="AR142" s="1"/>
      <c r="AS142" s="56">
        <v>1130.1680515915361</v>
      </c>
      <c r="AT142" s="56">
        <v>131.29888160700642</v>
      </c>
      <c r="AU142" s="56">
        <v>303.99139036661074</v>
      </c>
      <c r="AV142" s="56"/>
      <c r="AW142" s="56">
        <v>1565.4583235651533</v>
      </c>
      <c r="AX142" s="1"/>
      <c r="AY142" s="16">
        <v>1.2851553761659362E-2</v>
      </c>
      <c r="AZ142" s="16">
        <v>-4.9091052007947722E-2</v>
      </c>
      <c r="BA142" s="16">
        <v>-5.2635689800451968E-2</v>
      </c>
      <c r="BB142" s="16">
        <f t="shared" si="55"/>
        <v>-5.9233667913165533E-3</v>
      </c>
      <c r="BC142" s="16"/>
      <c r="BD142" s="1"/>
      <c r="BE142" s="16">
        <f>AM142/'2018-19 disagg'!AM142-1</f>
        <v>2.1625081787925327E-2</v>
      </c>
      <c r="BF142" s="16">
        <f>AN142/'2018-19 disagg'!AN142-1</f>
        <v>3.4506186819295515E-2</v>
      </c>
      <c r="BG142" s="16">
        <f>AO142/'2018-19 disagg'!AO142-1</f>
        <v>4.5651470482490852E-2</v>
      </c>
      <c r="BH142" s="16">
        <f>AQ142/'2018-19 disagg'!AQ142-1</f>
        <v>2.7281550401421217E-2</v>
      </c>
      <c r="BI142" s="1"/>
      <c r="BJ142" s="16">
        <f>AS142/'2018-19 disagg'!AS142-1</f>
        <v>1.356609943517717E-2</v>
      </c>
      <c r="BK142" s="16">
        <f>AT142/'2018-19 disagg'!AT142-1</f>
        <v>2.6345593219934349E-2</v>
      </c>
      <c r="BL142" s="16">
        <f>AU142/'2018-19 disagg'!AU142-1</f>
        <v>3.7402958481399518E-2</v>
      </c>
      <c r="BM142" s="16">
        <f>AW142/'2018-19 disagg'!AW142-1</f>
        <v>1.9177947589027244E-2</v>
      </c>
    </row>
    <row r="143" spans="1:65" x14ac:dyDescent="0.2">
      <c r="A143" s="156" t="s">
        <v>331</v>
      </c>
      <c r="B143" s="156" t="s">
        <v>332</v>
      </c>
      <c r="D143" s="56">
        <f>VLOOKUP(A143,'2019-20'!$A$12:$AMX351,32,FALSE)</f>
        <v>607400.32942827931</v>
      </c>
      <c r="E143" s="56">
        <v>1708.6134368321752</v>
      </c>
      <c r="F143" s="16">
        <f>VLOOKUP(A143,'2019-20'!$A$12:$AMX351,34,FALSE)</f>
        <v>3.1684851240228129E-2</v>
      </c>
      <c r="G143" s="16">
        <f>VLOOKUP(A143,'2019-20'!$A$12:$AMX351,35,FALSE)</f>
        <v>2.0245697013965946E-2</v>
      </c>
      <c r="H143" s="56"/>
      <c r="I143" s="56">
        <v>620626.46024211892</v>
      </c>
      <c r="J143" s="56">
        <v>1745.8184624651008</v>
      </c>
      <c r="K143" s="16">
        <f t="shared" si="40"/>
        <v>-2.1310936063989039E-2</v>
      </c>
      <c r="L143" s="58">
        <f t="shared" si="40"/>
        <v>-2.131093606398915E-2</v>
      </c>
      <c r="M143" s="10"/>
      <c r="N143" s="56">
        <v>452622</v>
      </c>
      <c r="O143" s="56">
        <v>45548</v>
      </c>
      <c r="P143" s="56">
        <v>108304</v>
      </c>
      <c r="R143" s="56">
        <f t="shared" si="41"/>
        <v>108304</v>
      </c>
      <c r="S143" s="56">
        <f t="shared" si="42"/>
        <v>926.32942827930674</v>
      </c>
      <c r="U143" s="16">
        <v>-2.135499155013898E-2</v>
      </c>
      <c r="V143" s="16">
        <v>-4.7483814625885912E-2</v>
      </c>
      <c r="W143" s="56">
        <f t="shared" si="43"/>
        <v>4</v>
      </c>
      <c r="X143" s="56">
        <f t="shared" si="44"/>
        <v>4624.9865486662748</v>
      </c>
      <c r="Y143" s="56">
        <f t="shared" si="44"/>
        <v>478.18610013550983</v>
      </c>
      <c r="AA143" s="56">
        <f t="shared" si="56"/>
        <v>0</v>
      </c>
      <c r="AB143" s="56">
        <v>0</v>
      </c>
      <c r="AC143" s="56">
        <f t="shared" si="45"/>
        <v>926.32942827930674</v>
      </c>
      <c r="AE143" s="56">
        <v>0</v>
      </c>
      <c r="AF143" s="56">
        <f t="shared" si="46"/>
        <v>0</v>
      </c>
      <c r="AG143" s="56">
        <f t="shared" si="47"/>
        <v>926.32942827930674</v>
      </c>
      <c r="AI143" s="56">
        <f t="shared" si="48"/>
        <v>839.52894410332181</v>
      </c>
      <c r="AJ143" s="56">
        <f t="shared" si="49"/>
        <v>86.800484175984877</v>
      </c>
      <c r="AK143" s="56">
        <f t="shared" si="50"/>
        <v>0</v>
      </c>
      <c r="AM143" s="56">
        <f t="shared" si="51"/>
        <v>453462</v>
      </c>
      <c r="AN143" s="56">
        <f t="shared" si="52"/>
        <v>45635</v>
      </c>
      <c r="AO143" s="56">
        <f t="shared" si="53"/>
        <v>108304</v>
      </c>
      <c r="AP143" s="56"/>
      <c r="AQ143" s="56">
        <f t="shared" si="54"/>
        <v>607401</v>
      </c>
      <c r="AR143" s="1"/>
      <c r="AS143" s="56">
        <v>1275.5858512985508</v>
      </c>
      <c r="AT143" s="56">
        <v>128.37097777544616</v>
      </c>
      <c r="AU143" s="56">
        <v>304.65849407235498</v>
      </c>
      <c r="AV143" s="56"/>
      <c r="AW143" s="56">
        <v>1708.615323146352</v>
      </c>
      <c r="AX143" s="1"/>
      <c r="AY143" s="16">
        <v>-1.9538770051630516E-2</v>
      </c>
      <c r="AZ143" s="16">
        <v>-4.5664439282785185E-2</v>
      </c>
      <c r="BA143" s="16">
        <v>-1.8177952938203679E-2</v>
      </c>
      <c r="BB143" s="16">
        <f t="shared" si="55"/>
        <v>-2.1309855588431459E-2</v>
      </c>
      <c r="BC143" s="16"/>
      <c r="BD143" s="1"/>
      <c r="BE143" s="16">
        <f>AM143/'2018-19 disagg'!AM143-1</f>
        <v>2.6833509958968493E-2</v>
      </c>
      <c r="BF143" s="16">
        <f>AN143/'2018-19 disagg'!AN143-1</f>
        <v>3.9711109085938112E-2</v>
      </c>
      <c r="BG143" s="16">
        <f>AO143/'2018-19 disagg'!AO143-1</f>
        <v>4.9030433350768066E-2</v>
      </c>
      <c r="BH143" s="16">
        <f>AQ143/'2018-19 disagg'!AQ143-1</f>
        <v>3.1685990223288218E-2</v>
      </c>
      <c r="BI143" s="1"/>
      <c r="BJ143" s="16">
        <f>AS143/'2018-19 disagg'!AS143-1</f>
        <v>1.5448146617639713E-2</v>
      </c>
      <c r="BK143" s="16">
        <f>AT143/'2018-19 disagg'!AT143-1</f>
        <v>2.8182961015047692E-2</v>
      </c>
      <c r="BL143" s="16">
        <f>AU143/'2018-19 disagg'!AU143-1</f>
        <v>3.7398954124610473E-2</v>
      </c>
      <c r="BM143" s="16">
        <f>AW143/'2018-19 disagg'!AW143-1</f>
        <v>2.0246823368166744E-2</v>
      </c>
    </row>
    <row r="144" spans="1:65" x14ac:dyDescent="0.2">
      <c r="A144" s="156" t="s">
        <v>333</v>
      </c>
      <c r="B144" s="156" t="s">
        <v>334</v>
      </c>
      <c r="D144" s="56">
        <f>VLOOKUP(A144,'2019-20'!$A$12:$AMX352,32,FALSE)</f>
        <v>506434</v>
      </c>
      <c r="E144" s="56">
        <v>1853.1463628842539</v>
      </c>
      <c r="F144" s="16">
        <f>VLOOKUP(A144,'2019-20'!$A$12:$AMX352,34,FALSE)</f>
        <v>1.3186140448100625E-2</v>
      </c>
      <c r="G144" s="16">
        <f>VLOOKUP(A144,'2019-20'!$A$12:$AMX352,35,FALSE)</f>
        <v>2.7869113117502398E-3</v>
      </c>
      <c r="H144" s="56"/>
      <c r="I144" s="56">
        <v>476023.33628774137</v>
      </c>
      <c r="J144" s="56">
        <v>1741.867477874029</v>
      </c>
      <c r="K144" s="16">
        <f t="shared" si="40"/>
        <v>6.3884816970141811E-2</v>
      </c>
      <c r="L144" s="58">
        <f t="shared" si="40"/>
        <v>6.3884816970141811E-2</v>
      </c>
      <c r="M144" s="10"/>
      <c r="N144" s="56">
        <v>355519</v>
      </c>
      <c r="O144" s="56">
        <v>39027</v>
      </c>
      <c r="P144" s="56">
        <v>111888</v>
      </c>
      <c r="R144" s="56">
        <f t="shared" si="41"/>
        <v>111888</v>
      </c>
      <c r="S144" s="56">
        <f t="shared" si="42"/>
        <v>0</v>
      </c>
      <c r="U144" s="16">
        <v>0.10878130654276985</v>
      </c>
      <c r="V144" s="16">
        <v>-4.6178783294237635E-2</v>
      </c>
      <c r="W144" s="56">
        <f t="shared" si="43"/>
        <v>3</v>
      </c>
      <c r="X144" s="56">
        <f t="shared" si="44"/>
        <v>3206.3942447634176</v>
      </c>
      <c r="Y144" s="56">
        <f t="shared" si="44"/>
        <v>409.16472936918501</v>
      </c>
      <c r="AA144" s="56">
        <f t="shared" si="56"/>
        <v>0</v>
      </c>
      <c r="AB144" s="56">
        <v>0</v>
      </c>
      <c r="AC144" s="56">
        <f t="shared" si="45"/>
        <v>0</v>
      </c>
      <c r="AE144" s="56">
        <v>0</v>
      </c>
      <c r="AF144" s="56">
        <f t="shared" si="46"/>
        <v>0</v>
      </c>
      <c r="AG144" s="56">
        <f t="shared" si="47"/>
        <v>0</v>
      </c>
      <c r="AI144" s="56">
        <f t="shared" si="48"/>
        <v>0</v>
      </c>
      <c r="AJ144" s="56">
        <f t="shared" si="49"/>
        <v>0</v>
      </c>
      <c r="AK144" s="56">
        <f t="shared" si="50"/>
        <v>0</v>
      </c>
      <c r="AM144" s="56">
        <f t="shared" si="51"/>
        <v>355519</v>
      </c>
      <c r="AN144" s="56">
        <f t="shared" si="52"/>
        <v>39027</v>
      </c>
      <c r="AO144" s="56">
        <f t="shared" si="53"/>
        <v>111888</v>
      </c>
      <c r="AP144" s="56"/>
      <c r="AQ144" s="56">
        <f t="shared" si="54"/>
        <v>506434</v>
      </c>
      <c r="AR144" s="1"/>
      <c r="AS144" s="56">
        <v>1300.9172800132833</v>
      </c>
      <c r="AT144" s="56">
        <v>142.8078349879427</v>
      </c>
      <c r="AU144" s="56">
        <v>409.421247883028</v>
      </c>
      <c r="AV144" s="56"/>
      <c r="AW144" s="56">
        <v>1853.1463628842539</v>
      </c>
      <c r="AX144" s="1"/>
      <c r="AY144" s="16">
        <v>0.10878130654276985</v>
      </c>
      <c r="AZ144" s="16">
        <v>-4.6178783294237635E-2</v>
      </c>
      <c r="BA144" s="16">
        <v>-2.2534258648956085E-2</v>
      </c>
      <c r="BB144" s="16">
        <f t="shared" si="55"/>
        <v>6.3884816970141811E-2</v>
      </c>
      <c r="BC144" s="16"/>
      <c r="BD144" s="1"/>
      <c r="BE144" s="16">
        <f>AM144/'2018-19 disagg'!AM144-1</f>
        <v>1.8567855665874156E-4</v>
      </c>
      <c r="BF144" s="16">
        <f>AN144/'2018-19 disagg'!AN144-1</f>
        <v>3.6766463884387646E-2</v>
      </c>
      <c r="BG144" s="16">
        <f>AO144/'2018-19 disagg'!AO144-1</f>
        <v>4.8160604045078603E-2</v>
      </c>
      <c r="BH144" s="16">
        <f>AQ144/'2018-19 disagg'!AQ144-1</f>
        <v>1.3186140448100625E-2</v>
      </c>
      <c r="BI144" s="1"/>
      <c r="BJ144" s="16">
        <f>AS144/'2018-19 disagg'!AS144-1</f>
        <v>-1.0080115294021641E-2</v>
      </c>
      <c r="BK144" s="16">
        <f>AT144/'2018-19 disagg'!AT144-1</f>
        <v>2.6125208947709311E-2</v>
      </c>
      <c r="BL144" s="16">
        <f>AU144/'2018-19 disagg'!AU144-1</f>
        <v>3.7402400929174018E-2</v>
      </c>
      <c r="BM144" s="16">
        <f>AW144/'2018-19 disagg'!AW144-1</f>
        <v>2.7869113117502398E-3</v>
      </c>
    </row>
    <row r="145" spans="1:65" x14ac:dyDescent="0.2">
      <c r="A145" s="156" t="s">
        <v>335</v>
      </c>
      <c r="B145" s="156" t="s">
        <v>336</v>
      </c>
      <c r="D145" s="56">
        <f>VLOOKUP(A145,'2019-20'!$A$12:$AMX353,32,FALSE)</f>
        <v>368629</v>
      </c>
      <c r="E145" s="56">
        <v>1671.3131626687309</v>
      </c>
      <c r="F145" s="16">
        <f>VLOOKUP(A145,'2019-20'!$A$12:$AMX353,34,FALSE)</f>
        <v>1.1841400985410866E-2</v>
      </c>
      <c r="G145" s="16">
        <f>VLOOKUP(A145,'2019-20'!$A$12:$AMX353,35,FALSE)</f>
        <v>2.0646317163746097E-3</v>
      </c>
      <c r="H145" s="56"/>
      <c r="I145" s="56">
        <v>340518.74565701955</v>
      </c>
      <c r="J145" s="56">
        <v>1543.8651374471963</v>
      </c>
      <c r="K145" s="16">
        <f t="shared" si="40"/>
        <v>8.2551268326630955E-2</v>
      </c>
      <c r="L145" s="58">
        <f t="shared" si="40"/>
        <v>8.2551268326630955E-2</v>
      </c>
      <c r="M145" s="10"/>
      <c r="N145" s="56">
        <v>267683</v>
      </c>
      <c r="O145" s="56">
        <v>30515</v>
      </c>
      <c r="P145" s="56">
        <v>70431</v>
      </c>
      <c r="R145" s="56">
        <f t="shared" si="41"/>
        <v>70431</v>
      </c>
      <c r="S145" s="56">
        <f t="shared" si="42"/>
        <v>0</v>
      </c>
      <c r="U145" s="16">
        <v>0.12236125134662057</v>
      </c>
      <c r="V145" s="16">
        <v>-4.8583512969756493E-2</v>
      </c>
      <c r="W145" s="56">
        <f t="shared" si="43"/>
        <v>3</v>
      </c>
      <c r="X145" s="56">
        <f t="shared" si="44"/>
        <v>2384.998588278339</v>
      </c>
      <c r="Y145" s="56">
        <f t="shared" si="44"/>
        <v>320.73230195168975</v>
      </c>
      <c r="AA145" s="56">
        <f t="shared" si="56"/>
        <v>0</v>
      </c>
      <c r="AB145" s="56">
        <v>0</v>
      </c>
      <c r="AC145" s="56">
        <f t="shared" si="45"/>
        <v>0</v>
      </c>
      <c r="AE145" s="56">
        <v>0</v>
      </c>
      <c r="AF145" s="56">
        <f t="shared" si="46"/>
        <v>0</v>
      </c>
      <c r="AG145" s="56">
        <f t="shared" si="47"/>
        <v>0</v>
      </c>
      <c r="AI145" s="56">
        <f t="shared" si="48"/>
        <v>0</v>
      </c>
      <c r="AJ145" s="56">
        <f t="shared" si="49"/>
        <v>0</v>
      </c>
      <c r="AK145" s="56">
        <f t="shared" si="50"/>
        <v>0</v>
      </c>
      <c r="AM145" s="56">
        <f t="shared" si="51"/>
        <v>267683</v>
      </c>
      <c r="AN145" s="56">
        <f t="shared" si="52"/>
        <v>30515</v>
      </c>
      <c r="AO145" s="56">
        <f t="shared" si="53"/>
        <v>70431</v>
      </c>
      <c r="AP145" s="56"/>
      <c r="AQ145" s="56">
        <f t="shared" si="54"/>
        <v>368629</v>
      </c>
      <c r="AR145" s="1"/>
      <c r="AS145" s="56">
        <v>1213.6378888330921</v>
      </c>
      <c r="AT145" s="56">
        <v>138.35081113758366</v>
      </c>
      <c r="AU145" s="56">
        <v>319.32446269805519</v>
      </c>
      <c r="AV145" s="56"/>
      <c r="AW145" s="56">
        <v>1671.3131626687309</v>
      </c>
      <c r="AX145" s="1"/>
      <c r="AY145" s="16">
        <v>0.12236125134662057</v>
      </c>
      <c r="AZ145" s="16">
        <v>-4.8583512969756493E-2</v>
      </c>
      <c r="BA145" s="16">
        <v>6.9388635311951052E-3</v>
      </c>
      <c r="BB145" s="16">
        <f t="shared" si="55"/>
        <v>8.2551268326630955E-2</v>
      </c>
      <c r="BC145" s="16"/>
      <c r="BD145" s="1"/>
      <c r="BE145" s="16">
        <f>AM145/'2018-19 disagg'!AM145-1</f>
        <v>1.8682300015315789E-4</v>
      </c>
      <c r="BF145" s="16">
        <f>AN145/'2018-19 disagg'!AN145-1</f>
        <v>3.6303742443795528E-2</v>
      </c>
      <c r="BG145" s="16">
        <f>AO145/'2018-19 disagg'!AO145-1</f>
        <v>4.7519186150276616E-2</v>
      </c>
      <c r="BH145" s="16">
        <f>AQ145/'2018-19 disagg'!AQ145-1</f>
        <v>1.1841400985410866E-2</v>
      </c>
      <c r="BI145" s="1"/>
      <c r="BJ145" s="16">
        <f>AS145/'2018-19 disagg'!AS145-1</f>
        <v>-9.4773356168788014E-3</v>
      </c>
      <c r="BK145" s="16">
        <f>AT145/'2018-19 disagg'!AT145-1</f>
        <v>2.6290609384953756E-2</v>
      </c>
      <c r="BL145" s="16">
        <f>AU145/'2018-19 disagg'!AU145-1</f>
        <v>3.7397685510051737E-2</v>
      </c>
      <c r="BM145" s="16">
        <f>AW145/'2018-19 disagg'!AW145-1</f>
        <v>2.0646317163746097E-3</v>
      </c>
    </row>
    <row r="146" spans="1:65" x14ac:dyDescent="0.2">
      <c r="A146" s="156" t="s">
        <v>337</v>
      </c>
      <c r="B146" s="156" t="s">
        <v>338</v>
      </c>
      <c r="D146" s="56">
        <f>VLOOKUP(A146,'2019-20'!$A$12:$AMX354,32,FALSE)</f>
        <v>559113</v>
      </c>
      <c r="E146" s="56">
        <v>1780.3579802312563</v>
      </c>
      <c r="F146" s="16">
        <f>VLOOKUP(A146,'2019-20'!$A$12:$AMX354,34,FALSE)</f>
        <v>3.2059363722784617E-2</v>
      </c>
      <c r="G146" s="16">
        <f>VLOOKUP(A146,'2019-20'!$A$12:$AMX354,35,FALSE)</f>
        <v>1.9376816172760547E-2</v>
      </c>
      <c r="H146" s="56"/>
      <c r="I146" s="56">
        <v>545674.83922591002</v>
      </c>
      <c r="J146" s="56">
        <v>1737.567458862979</v>
      </c>
      <c r="K146" s="16">
        <f t="shared" si="40"/>
        <v>2.4626682060608251E-2</v>
      </c>
      <c r="L146" s="58">
        <f t="shared" si="40"/>
        <v>2.4626682060608029E-2</v>
      </c>
      <c r="M146" s="10"/>
      <c r="N146" s="56">
        <v>398578</v>
      </c>
      <c r="O146" s="56">
        <v>47463</v>
      </c>
      <c r="P146" s="56">
        <v>113072</v>
      </c>
      <c r="R146" s="56">
        <f t="shared" si="41"/>
        <v>113072</v>
      </c>
      <c r="S146" s="56">
        <f t="shared" si="42"/>
        <v>0</v>
      </c>
      <c r="U146" s="16">
        <v>4.89943266606363E-2</v>
      </c>
      <c r="V146" s="16">
        <v>-4.8696464488502289E-2</v>
      </c>
      <c r="W146" s="56">
        <f t="shared" si="43"/>
        <v>3</v>
      </c>
      <c r="X146" s="56">
        <f t="shared" si="44"/>
        <v>3799.6201682885298</v>
      </c>
      <c r="Y146" s="56">
        <f t="shared" si="44"/>
        <v>498.92592877288166</v>
      </c>
      <c r="AA146" s="56">
        <f t="shared" si="56"/>
        <v>0</v>
      </c>
      <c r="AB146" s="56">
        <v>0</v>
      </c>
      <c r="AC146" s="56">
        <f t="shared" si="45"/>
        <v>0</v>
      </c>
      <c r="AE146" s="56">
        <v>0</v>
      </c>
      <c r="AF146" s="56">
        <f t="shared" si="46"/>
        <v>0</v>
      </c>
      <c r="AG146" s="56">
        <f t="shared" si="47"/>
        <v>0</v>
      </c>
      <c r="AI146" s="56">
        <f t="shared" si="48"/>
        <v>0</v>
      </c>
      <c r="AJ146" s="56">
        <f t="shared" si="49"/>
        <v>0</v>
      </c>
      <c r="AK146" s="56">
        <f t="shared" si="50"/>
        <v>0</v>
      </c>
      <c r="AM146" s="56">
        <f t="shared" si="51"/>
        <v>398578</v>
      </c>
      <c r="AN146" s="56">
        <f t="shared" si="52"/>
        <v>47463</v>
      </c>
      <c r="AO146" s="56">
        <f t="shared" si="53"/>
        <v>113072</v>
      </c>
      <c r="AP146" s="56"/>
      <c r="AQ146" s="56">
        <f t="shared" si="54"/>
        <v>559113</v>
      </c>
      <c r="AR146" s="1"/>
      <c r="AS146" s="56">
        <v>1269.1737145167681</v>
      </c>
      <c r="AT146" s="56">
        <v>151.13426233286674</v>
      </c>
      <c r="AU146" s="56">
        <v>360.05000338162165</v>
      </c>
      <c r="AV146" s="56"/>
      <c r="AW146" s="56">
        <v>1780.3579802312563</v>
      </c>
      <c r="AX146" s="1"/>
      <c r="AY146" s="16">
        <v>4.89943266606363E-2</v>
      </c>
      <c r="AZ146" s="16">
        <v>-4.8696464488502289E-2</v>
      </c>
      <c r="BA146" s="16">
        <v>-2.3728406783201539E-2</v>
      </c>
      <c r="BB146" s="16">
        <f t="shared" si="55"/>
        <v>2.4626682060608251E-2</v>
      </c>
      <c r="BC146" s="16"/>
      <c r="BD146" s="1"/>
      <c r="BE146" s="16">
        <f>AM146/'2018-19 disagg'!AM146-1</f>
        <v>2.6175880703687593E-2</v>
      </c>
      <c r="BF146" s="16">
        <f>AN146/'2018-19 disagg'!AN146-1</f>
        <v>3.9077893077630321E-2</v>
      </c>
      <c r="BG146" s="16">
        <f>AO146/'2018-19 disagg'!AO146-1</f>
        <v>5.0308389685665533E-2</v>
      </c>
      <c r="BH146" s="16">
        <f>AQ146/'2018-19 disagg'!AQ146-1</f>
        <v>3.2059363722784617E-2</v>
      </c>
      <c r="BI146" s="1"/>
      <c r="BJ146" s="16">
        <f>AS146/'2018-19 disagg'!AS146-1</f>
        <v>1.3565632825341734E-2</v>
      </c>
      <c r="BK146" s="16">
        <f>AT146/'2018-19 disagg'!AT146-1</f>
        <v>2.6309097744384946E-2</v>
      </c>
      <c r="BL146" s="16">
        <f>AU146/'2018-19 disagg'!AU146-1</f>
        <v>3.7401587458390173E-2</v>
      </c>
      <c r="BM146" s="16">
        <f>AW146/'2018-19 disagg'!AW146-1</f>
        <v>1.9376816172760547E-2</v>
      </c>
    </row>
    <row r="147" spans="1:65" x14ac:dyDescent="0.2">
      <c r="A147" s="156" t="s">
        <v>339</v>
      </c>
      <c r="B147" s="156" t="s">
        <v>340</v>
      </c>
      <c r="D147" s="56">
        <f>VLOOKUP(A147,'2019-20'!$A$12:$AMX355,32,FALSE)</f>
        <v>697747.51420204761</v>
      </c>
      <c r="E147" s="56">
        <v>1668.8273042719843</v>
      </c>
      <c r="F147" s="16">
        <f>VLOOKUP(A147,'2019-20'!$A$12:$AMX355,34,FALSE)</f>
        <v>3.3487199231636122E-2</v>
      </c>
      <c r="G147" s="16">
        <f>VLOOKUP(A147,'2019-20'!$A$12:$AMX355,35,FALSE)</f>
        <v>2.2425552548950733E-2</v>
      </c>
      <c r="H147" s="56"/>
      <c r="I147" s="56">
        <v>715590.35572887154</v>
      </c>
      <c r="J147" s="56">
        <v>1711.5026567736909</v>
      </c>
      <c r="K147" s="16">
        <f t="shared" si="40"/>
        <v>-2.4934435440580938E-2</v>
      </c>
      <c r="L147" s="58">
        <f t="shared" si="40"/>
        <v>-2.4934435440581049E-2</v>
      </c>
      <c r="M147" s="10"/>
      <c r="N147" s="56">
        <v>504211</v>
      </c>
      <c r="O147" s="56">
        <v>54195</v>
      </c>
      <c r="P147" s="56">
        <v>137103</v>
      </c>
      <c r="R147" s="56">
        <f t="shared" si="41"/>
        <v>137103</v>
      </c>
      <c r="S147" s="56">
        <f t="shared" si="42"/>
        <v>2238.5142020476051</v>
      </c>
      <c r="U147" s="16">
        <v>-3.607689860008334E-2</v>
      </c>
      <c r="V147" s="16">
        <v>-4.4943479582722823E-2</v>
      </c>
      <c r="W147" s="56">
        <f t="shared" si="43"/>
        <v>4</v>
      </c>
      <c r="X147" s="56">
        <f t="shared" si="44"/>
        <v>5230.8218287094533</v>
      </c>
      <c r="Y147" s="56">
        <f t="shared" si="44"/>
        <v>567.45332701693371</v>
      </c>
      <c r="AA147" s="56">
        <f t="shared" si="56"/>
        <v>0</v>
      </c>
      <c r="AB147" s="56">
        <v>0</v>
      </c>
      <c r="AC147" s="56">
        <f t="shared" si="45"/>
        <v>2238.5142020476051</v>
      </c>
      <c r="AE147" s="56">
        <v>0</v>
      </c>
      <c r="AF147" s="56">
        <f t="shared" si="46"/>
        <v>0</v>
      </c>
      <c r="AG147" s="56">
        <f t="shared" si="47"/>
        <v>2238.5142020476051</v>
      </c>
      <c r="AI147" s="56">
        <f t="shared" si="48"/>
        <v>2019.4400295720081</v>
      </c>
      <c r="AJ147" s="56">
        <f t="shared" si="49"/>
        <v>219.07417247559673</v>
      </c>
      <c r="AK147" s="56">
        <f t="shared" si="50"/>
        <v>0</v>
      </c>
      <c r="AM147" s="56">
        <f t="shared" si="51"/>
        <v>506230</v>
      </c>
      <c r="AN147" s="56">
        <f t="shared" si="52"/>
        <v>54414</v>
      </c>
      <c r="AO147" s="56">
        <f t="shared" si="53"/>
        <v>137103</v>
      </c>
      <c r="AP147" s="56"/>
      <c r="AQ147" s="56">
        <f t="shared" si="54"/>
        <v>697747</v>
      </c>
      <c r="AR147" s="1"/>
      <c r="AS147" s="56">
        <v>1210.7681203389768</v>
      </c>
      <c r="AT147" s="56">
        <v>130.14388025230642</v>
      </c>
      <c r="AU147" s="56">
        <v>327.91407384555384</v>
      </c>
      <c r="AV147" s="56"/>
      <c r="AW147" s="56">
        <v>1668.826074436837</v>
      </c>
      <c r="AX147" s="1"/>
      <c r="AY147" s="16">
        <v>-3.2217084471223734E-2</v>
      </c>
      <c r="AZ147" s="16">
        <v>-4.1084131340793029E-2</v>
      </c>
      <c r="BA147" s="16">
        <v>9.8713303450705947E-3</v>
      </c>
      <c r="BB147" s="16">
        <f t="shared" si="55"/>
        <v>-2.4935154010980232E-2</v>
      </c>
      <c r="BC147" s="16"/>
      <c r="BD147" s="1"/>
      <c r="BE147" s="16">
        <f>AM147/'2018-19 disagg'!AM147-1</f>
        <v>2.8634244866277303E-2</v>
      </c>
      <c r="BF147" s="16">
        <f>AN147/'2018-19 disagg'!AN147-1</f>
        <v>4.1316620419098671E-2</v>
      </c>
      <c r="BG147" s="16">
        <f>AO147/'2018-19 disagg'!AO147-1</f>
        <v>4.8620990317103319E-2</v>
      </c>
      <c r="BH147" s="16">
        <f>AQ147/'2018-19 disagg'!AQ147-1</f>
        <v>3.3486437607663122E-2</v>
      </c>
      <c r="BI147" s="1"/>
      <c r="BJ147" s="16">
        <f>AS147/'2018-19 disagg'!AS147-1</f>
        <v>1.7624540449153292E-2</v>
      </c>
      <c r="BK147" s="16">
        <f>AT147/'2018-19 disagg'!AT147-1</f>
        <v>3.0171173674864216E-2</v>
      </c>
      <c r="BL147" s="16">
        <f>AU147/'2018-19 disagg'!AU147-1</f>
        <v>3.7397363253740323E-2</v>
      </c>
      <c r="BM147" s="16">
        <f>AW147/'2018-19 disagg'!AW147-1</f>
        <v>2.242479907681072E-2</v>
      </c>
    </row>
    <row r="148" spans="1:65" x14ac:dyDescent="0.2">
      <c r="A148" s="156" t="s">
        <v>341</v>
      </c>
      <c r="B148" s="156" t="s">
        <v>342</v>
      </c>
      <c r="D148" s="56">
        <f>VLOOKUP(A148,'2019-20'!$A$12:$AMX356,32,FALSE)</f>
        <v>702262</v>
      </c>
      <c r="E148" s="56">
        <v>1582.6675745988875</v>
      </c>
      <c r="F148" s="16">
        <f>VLOOKUP(A148,'2019-20'!$A$12:$AMX356,34,FALSE)</f>
        <v>2.8778949249725683E-2</v>
      </c>
      <c r="G148" s="16">
        <f>VLOOKUP(A148,'2019-20'!$A$12:$AMX356,35,FALSE)</f>
        <v>1.9171132928964552E-2</v>
      </c>
      <c r="H148" s="56"/>
      <c r="I148" s="56">
        <v>714451.81833955785</v>
      </c>
      <c r="J148" s="56">
        <v>1610.1394159149052</v>
      </c>
      <c r="K148" s="16">
        <f t="shared" si="40"/>
        <v>-1.706177803268516E-2</v>
      </c>
      <c r="L148" s="58">
        <f t="shared" si="40"/>
        <v>-1.7061778032685271E-2</v>
      </c>
      <c r="M148" s="10"/>
      <c r="N148" s="56">
        <v>507947</v>
      </c>
      <c r="O148" s="56">
        <v>57252</v>
      </c>
      <c r="P148" s="56">
        <v>137063</v>
      </c>
      <c r="R148" s="56">
        <f t="shared" si="41"/>
        <v>137063</v>
      </c>
      <c r="S148" s="56">
        <f t="shared" si="42"/>
        <v>0</v>
      </c>
      <c r="U148" s="16">
        <v>-2.6182729150694084E-2</v>
      </c>
      <c r="V148" s="16">
        <v>-4.9136992171585958E-2</v>
      </c>
      <c r="W148" s="56">
        <f t="shared" si="43"/>
        <v>4</v>
      </c>
      <c r="X148" s="56">
        <f t="shared" si="44"/>
        <v>5216.0401669298662</v>
      </c>
      <c r="Y148" s="56">
        <f t="shared" si="44"/>
        <v>602.10566115882898</v>
      </c>
      <c r="AA148" s="56">
        <f t="shared" si="56"/>
        <v>0</v>
      </c>
      <c r="AB148" s="56">
        <v>0</v>
      </c>
      <c r="AC148" s="56">
        <f t="shared" si="45"/>
        <v>0</v>
      </c>
      <c r="AE148" s="56">
        <v>0</v>
      </c>
      <c r="AF148" s="56">
        <f t="shared" si="46"/>
        <v>0</v>
      </c>
      <c r="AG148" s="56">
        <f t="shared" si="47"/>
        <v>0</v>
      </c>
      <c r="AI148" s="56">
        <f t="shared" si="48"/>
        <v>0</v>
      </c>
      <c r="AJ148" s="56">
        <f t="shared" si="49"/>
        <v>0</v>
      </c>
      <c r="AK148" s="56">
        <f t="shared" si="50"/>
        <v>0</v>
      </c>
      <c r="AM148" s="56">
        <f t="shared" si="51"/>
        <v>507947</v>
      </c>
      <c r="AN148" s="56">
        <f t="shared" si="52"/>
        <v>57252</v>
      </c>
      <c r="AO148" s="56">
        <f t="shared" si="53"/>
        <v>137063</v>
      </c>
      <c r="AP148" s="56"/>
      <c r="AQ148" s="56">
        <f t="shared" si="54"/>
        <v>702262</v>
      </c>
      <c r="AR148" s="1"/>
      <c r="AS148" s="56">
        <v>1144.7454746444791</v>
      </c>
      <c r="AT148" s="56">
        <v>129.02717786372537</v>
      </c>
      <c r="AU148" s="56">
        <v>308.89492209068317</v>
      </c>
      <c r="AV148" s="56"/>
      <c r="AW148" s="56">
        <v>1582.6675745988875</v>
      </c>
      <c r="AX148" s="1"/>
      <c r="AY148" s="16">
        <v>-2.6182729150694084E-2</v>
      </c>
      <c r="AZ148" s="16">
        <v>-4.9136992171585958E-2</v>
      </c>
      <c r="BA148" s="16">
        <v>3.3367436011493945E-2</v>
      </c>
      <c r="BB148" s="16">
        <f t="shared" si="55"/>
        <v>-1.706177803268516E-2</v>
      </c>
      <c r="BC148" s="16"/>
      <c r="BD148" s="1"/>
      <c r="BE148" s="16">
        <f>AM148/'2018-19 disagg'!AM148-1</f>
        <v>2.3121329068540142E-2</v>
      </c>
      <c r="BF148" s="16">
        <f>AN148/'2018-19 disagg'!AN148-1</f>
        <v>3.6029025895296884E-2</v>
      </c>
      <c r="BG148" s="16">
        <f>AO148/'2018-19 disagg'!AO148-1</f>
        <v>4.7177739746959269E-2</v>
      </c>
      <c r="BH148" s="16">
        <f>AQ148/'2018-19 disagg'!AQ148-1</f>
        <v>2.8778949249725683E-2</v>
      </c>
      <c r="BI148" s="1"/>
      <c r="BJ148" s="16">
        <f>AS148/'2018-19 disagg'!AS148-1</f>
        <v>1.356634953604452E-2</v>
      </c>
      <c r="BK148" s="16">
        <f>AT148/'2018-19 disagg'!AT148-1</f>
        <v>2.6353500758397042E-2</v>
      </c>
      <c r="BL148" s="16">
        <f>AU148/'2018-19 disagg'!AU148-1</f>
        <v>3.7398096232659217E-2</v>
      </c>
      <c r="BM148" s="16">
        <f>AW148/'2018-19 disagg'!AW148-1</f>
        <v>1.9171132928964552E-2</v>
      </c>
    </row>
    <row r="149" spans="1:65" x14ac:dyDescent="0.2">
      <c r="A149" s="156" t="s">
        <v>343</v>
      </c>
      <c r="B149" s="156" t="s">
        <v>344</v>
      </c>
      <c r="D149" s="56">
        <f>VLOOKUP(A149,'2019-20'!$A$12:$AMX357,32,FALSE)</f>
        <v>586524.58033299563</v>
      </c>
      <c r="E149" s="56">
        <v>1710.2064681318857</v>
      </c>
      <c r="F149" s="16">
        <f>VLOOKUP(A149,'2019-20'!$A$12:$AMX357,34,FALSE)</f>
        <v>3.5523372597996428E-2</v>
      </c>
      <c r="G149" s="16">
        <f>VLOOKUP(A149,'2019-20'!$A$12:$AMX357,35,FALSE)</f>
        <v>2.1744786030872598E-2</v>
      </c>
      <c r="H149" s="56"/>
      <c r="I149" s="56">
        <v>601116.69397540134</v>
      </c>
      <c r="J149" s="56">
        <v>1752.7546033196547</v>
      </c>
      <c r="K149" s="16">
        <f t="shared" si="40"/>
        <v>-2.4275009808665926E-2</v>
      </c>
      <c r="L149" s="58">
        <f t="shared" si="40"/>
        <v>-2.4275009808665926E-2</v>
      </c>
      <c r="M149" s="10"/>
      <c r="N149" s="56">
        <v>419404</v>
      </c>
      <c r="O149" s="56">
        <v>44260</v>
      </c>
      <c r="P149" s="56">
        <v>121498</v>
      </c>
      <c r="R149" s="56">
        <f t="shared" si="41"/>
        <v>121498</v>
      </c>
      <c r="S149" s="56">
        <f t="shared" si="42"/>
        <v>1362.5803329956252</v>
      </c>
      <c r="U149" s="16">
        <v>-2.2661665637791817E-2</v>
      </c>
      <c r="V149" s="16">
        <v>-4.6012953737023299E-2</v>
      </c>
      <c r="W149" s="56">
        <f t="shared" si="43"/>
        <v>4</v>
      </c>
      <c r="X149" s="56">
        <f t="shared" si="44"/>
        <v>4291.2877276393219</v>
      </c>
      <c r="Y149" s="56">
        <f t="shared" si="44"/>
        <v>463.9475994289262</v>
      </c>
      <c r="AA149" s="56">
        <f t="shared" si="56"/>
        <v>0</v>
      </c>
      <c r="AB149" s="56">
        <v>0</v>
      </c>
      <c r="AC149" s="56">
        <f t="shared" si="45"/>
        <v>1362.5803329956252</v>
      </c>
      <c r="AE149" s="56">
        <v>0</v>
      </c>
      <c r="AF149" s="56">
        <f t="shared" si="46"/>
        <v>0</v>
      </c>
      <c r="AG149" s="56">
        <f t="shared" si="47"/>
        <v>1362.5803329956252</v>
      </c>
      <c r="AI149" s="56">
        <f t="shared" si="48"/>
        <v>1229.639304625503</v>
      </c>
      <c r="AJ149" s="56">
        <f t="shared" si="49"/>
        <v>132.94102837012218</v>
      </c>
      <c r="AK149" s="56">
        <f t="shared" si="50"/>
        <v>0</v>
      </c>
      <c r="AM149" s="56">
        <f t="shared" si="51"/>
        <v>420634</v>
      </c>
      <c r="AN149" s="56">
        <f t="shared" si="52"/>
        <v>44393</v>
      </c>
      <c r="AO149" s="56">
        <f t="shared" si="53"/>
        <v>121498</v>
      </c>
      <c r="AP149" s="56"/>
      <c r="AQ149" s="56">
        <f t="shared" si="54"/>
        <v>586525</v>
      </c>
      <c r="AR149" s="1"/>
      <c r="AS149" s="56">
        <v>1226.4975955615862</v>
      </c>
      <c r="AT149" s="56">
        <v>129.44247911430244</v>
      </c>
      <c r="AU149" s="56">
        <v>354.26761713399679</v>
      </c>
      <c r="AV149" s="56"/>
      <c r="AW149" s="56">
        <v>1710.2076918098855</v>
      </c>
      <c r="AX149" s="1"/>
      <c r="AY149" s="16">
        <v>-1.9795393138565487E-2</v>
      </c>
      <c r="AZ149" s="16">
        <v>-4.3146250683408827E-2</v>
      </c>
      <c r="BA149" s="16">
        <v>-3.2606562548570639E-2</v>
      </c>
      <c r="BB149" s="16">
        <f t="shared" si="55"/>
        <v>-2.4274311663017079E-2</v>
      </c>
      <c r="BC149" s="16"/>
      <c r="BD149" s="1"/>
      <c r="BE149" s="16">
        <f>AM149/'2018-19 disagg'!AM149-1</f>
        <v>3.0246029121814511E-2</v>
      </c>
      <c r="BF149" s="16">
        <f>AN149/'2018-19 disagg'!AN149-1</f>
        <v>4.3068609022556492E-2</v>
      </c>
      <c r="BG149" s="16">
        <f>AO149/'2018-19 disagg'!AO149-1</f>
        <v>5.1393660381277018E-2</v>
      </c>
      <c r="BH149" s="16">
        <f>AQ149/'2018-19 disagg'!AQ149-1</f>
        <v>3.5524113530271739E-2</v>
      </c>
      <c r="BI149" s="1"/>
      <c r="BJ149" s="16">
        <f>AS149/'2018-19 disagg'!AS149-1</f>
        <v>1.6537662441421297E-2</v>
      </c>
      <c r="BK149" s="16">
        <f>AT149/'2018-19 disagg'!AT149-1</f>
        <v>2.9189626176607364E-2</v>
      </c>
      <c r="BL149" s="16">
        <f>AU149/'2018-19 disagg'!AU149-1</f>
        <v>3.7403905104828494E-2</v>
      </c>
      <c r="BM149" s="16">
        <f>AW149/'2018-19 disagg'!AW149-1</f>
        <v>2.1745517104365453E-2</v>
      </c>
    </row>
    <row r="150" spans="1:65" x14ac:dyDescent="0.2">
      <c r="A150" s="156" t="s">
        <v>345</v>
      </c>
      <c r="B150" s="156" t="s">
        <v>346</v>
      </c>
      <c r="D150" s="56">
        <f>VLOOKUP(A150,'2019-20'!$A$12:$AMX358,32,FALSE)</f>
        <v>536755.80855545425</v>
      </c>
      <c r="E150" s="56">
        <v>1794.6575923617611</v>
      </c>
      <c r="F150" s="16">
        <f>VLOOKUP(A150,'2019-20'!$A$12:$AMX358,34,FALSE)</f>
        <v>3.1589868052971815E-2</v>
      </c>
      <c r="G150" s="16">
        <f>VLOOKUP(A150,'2019-20'!$A$12:$AMX358,35,FALSE)</f>
        <v>2.0524572369493566E-2</v>
      </c>
      <c r="H150" s="56"/>
      <c r="I150" s="56">
        <v>548984.9439714516</v>
      </c>
      <c r="J150" s="56">
        <v>1835.5460380432432</v>
      </c>
      <c r="K150" s="16">
        <f t="shared" si="40"/>
        <v>-2.227590310133043E-2</v>
      </c>
      <c r="L150" s="58">
        <f t="shared" si="40"/>
        <v>-2.2275903101330319E-2</v>
      </c>
      <c r="M150" s="10"/>
      <c r="N150" s="56">
        <v>386057</v>
      </c>
      <c r="O150" s="56">
        <v>40476</v>
      </c>
      <c r="P150" s="56">
        <v>109581</v>
      </c>
      <c r="R150" s="56">
        <f t="shared" si="41"/>
        <v>109581</v>
      </c>
      <c r="S150" s="56">
        <f t="shared" si="42"/>
        <v>641.80855545424856</v>
      </c>
      <c r="U150" s="16">
        <v>-2.3097743903717771E-2</v>
      </c>
      <c r="V150" s="16">
        <v>-4.7634043728262077E-2</v>
      </c>
      <c r="W150" s="56">
        <f t="shared" si="43"/>
        <v>4</v>
      </c>
      <c r="X150" s="56">
        <f t="shared" si="44"/>
        <v>3951.8487913283184</v>
      </c>
      <c r="Y150" s="56">
        <f t="shared" si="44"/>
        <v>425.0046920876182</v>
      </c>
      <c r="AA150" s="56">
        <f t="shared" si="56"/>
        <v>0</v>
      </c>
      <c r="AB150" s="56">
        <v>0</v>
      </c>
      <c r="AC150" s="56">
        <f t="shared" si="45"/>
        <v>641.80855545424856</v>
      </c>
      <c r="AE150" s="56">
        <v>0</v>
      </c>
      <c r="AF150" s="56">
        <f t="shared" si="46"/>
        <v>0</v>
      </c>
      <c r="AG150" s="56">
        <f t="shared" si="47"/>
        <v>641.80855545424856</v>
      </c>
      <c r="AI150" s="56">
        <f t="shared" si="48"/>
        <v>579.48715298474076</v>
      </c>
      <c r="AJ150" s="56">
        <f t="shared" si="49"/>
        <v>62.321402469507845</v>
      </c>
      <c r="AK150" s="56">
        <f t="shared" si="50"/>
        <v>0</v>
      </c>
      <c r="AM150" s="56">
        <f t="shared" si="51"/>
        <v>386636</v>
      </c>
      <c r="AN150" s="56">
        <f t="shared" si="52"/>
        <v>40538</v>
      </c>
      <c r="AO150" s="56">
        <f t="shared" si="53"/>
        <v>109581</v>
      </c>
      <c r="AP150" s="56"/>
      <c r="AQ150" s="56">
        <f t="shared" si="54"/>
        <v>536755</v>
      </c>
      <c r="AR150" s="1"/>
      <c r="AS150" s="56">
        <v>1292.7279441051351</v>
      </c>
      <c r="AT150" s="56">
        <v>135.53990160806021</v>
      </c>
      <c r="AU150" s="56">
        <v>366.38704322149204</v>
      </c>
      <c r="AV150" s="56"/>
      <c r="AW150" s="56">
        <v>1794.6548889346873</v>
      </c>
      <c r="AX150" s="1"/>
      <c r="AY150" s="16">
        <v>-2.1632606874005256E-2</v>
      </c>
      <c r="AZ150" s="16">
        <v>-4.6175236304385026E-2</v>
      </c>
      <c r="BA150" s="16">
        <v>-1.544116688054642E-2</v>
      </c>
      <c r="BB150" s="16">
        <f t="shared" si="55"/>
        <v>-2.2277375920326858E-2</v>
      </c>
      <c r="BC150" s="16"/>
      <c r="BD150" s="1"/>
      <c r="BE150" s="16">
        <f>AM150/'2018-19 disagg'!AM150-1</f>
        <v>2.6093141261769981E-2</v>
      </c>
      <c r="BF150" s="16">
        <f>AN150/'2018-19 disagg'!AN150-1</f>
        <v>3.8956379107078831E-2</v>
      </c>
      <c r="BG150" s="16">
        <f>AO150/'2018-19 disagg'!AO150-1</f>
        <v>4.86521144147678E-2</v>
      </c>
      <c r="BH150" s="16">
        <f>AQ150/'2018-19 disagg'!AQ150-1</f>
        <v>3.1588314091931968E-2</v>
      </c>
      <c r="BI150" s="1"/>
      <c r="BJ150" s="16">
        <f>AS150/'2018-19 disagg'!AS150-1</f>
        <v>1.5086805935619507E-2</v>
      </c>
      <c r="BK150" s="16">
        <f>AT150/'2018-19 disagg'!AT150-1</f>
        <v>2.7812066921506284E-2</v>
      </c>
      <c r="BL150" s="16">
        <f>AU150/'2018-19 disagg'!AU150-1</f>
        <v>3.7403801422895455E-2</v>
      </c>
      <c r="BM150" s="16">
        <f>AW150/'2018-19 disagg'!AW150-1</f>
        <v>2.052303507693698E-2</v>
      </c>
    </row>
    <row r="151" spans="1:65" x14ac:dyDescent="0.2">
      <c r="A151" s="156" t="s">
        <v>347</v>
      </c>
      <c r="B151" s="156" t="s">
        <v>348</v>
      </c>
      <c r="D151" s="56">
        <f>VLOOKUP(A151,'2019-20'!$A$12:$AMX359,32,FALSE)</f>
        <v>365086.63386111823</v>
      </c>
      <c r="E151" s="56">
        <v>1716.8152909972259</v>
      </c>
      <c r="F151" s="16">
        <f>VLOOKUP(A151,'2019-20'!$A$12:$AMX359,34,FALSE)</f>
        <v>2.0738822378003841E-2</v>
      </c>
      <c r="G151" s="16">
        <f>VLOOKUP(A151,'2019-20'!$A$12:$AMX359,35,FALSE)</f>
        <v>1.7482316822232002E-2</v>
      </c>
      <c r="H151" s="56"/>
      <c r="I151" s="56">
        <v>350832.11852277926</v>
      </c>
      <c r="J151" s="56">
        <v>1649.7836124068663</v>
      </c>
      <c r="K151" s="16">
        <f t="shared" si="40"/>
        <v>4.0630588209424223E-2</v>
      </c>
      <c r="L151" s="58">
        <f t="shared" si="40"/>
        <v>4.0630588209424223E-2</v>
      </c>
      <c r="M151" s="10"/>
      <c r="N151" s="56">
        <v>267262</v>
      </c>
      <c r="O151" s="56">
        <v>29626</v>
      </c>
      <c r="P151" s="56">
        <v>67848</v>
      </c>
      <c r="R151" s="56">
        <f t="shared" si="41"/>
        <v>67848</v>
      </c>
      <c r="S151" s="56">
        <f t="shared" si="42"/>
        <v>350.63386111822911</v>
      </c>
      <c r="U151" s="16">
        <v>5.857635800846217E-2</v>
      </c>
      <c r="V151" s="16">
        <v>-3.0980953590116989E-2</v>
      </c>
      <c r="W151" s="56">
        <f t="shared" si="43"/>
        <v>3</v>
      </c>
      <c r="X151" s="56">
        <f t="shared" si="44"/>
        <v>2524.7304833333856</v>
      </c>
      <c r="Y151" s="56">
        <f t="shared" si="44"/>
        <v>305.73186471165161</v>
      </c>
      <c r="AA151" s="56">
        <f t="shared" si="56"/>
        <v>0</v>
      </c>
      <c r="AB151" s="56">
        <v>0</v>
      </c>
      <c r="AC151" s="56">
        <f t="shared" si="45"/>
        <v>350.63386111822911</v>
      </c>
      <c r="AE151" s="56">
        <v>0</v>
      </c>
      <c r="AF151" s="56">
        <f>IF(W151=3,MIN(S151,-1*V151*O151),0)</f>
        <v>350.63386111822911</v>
      </c>
      <c r="AG151" s="56">
        <f t="shared" si="47"/>
        <v>0</v>
      </c>
      <c r="AI151" s="56">
        <f t="shared" si="48"/>
        <v>0</v>
      </c>
      <c r="AJ151" s="56">
        <f t="shared" si="49"/>
        <v>0</v>
      </c>
      <c r="AK151" s="56">
        <f t="shared" si="50"/>
        <v>0</v>
      </c>
      <c r="AM151" s="56">
        <f t="shared" si="51"/>
        <v>267262</v>
      </c>
      <c r="AN151" s="56">
        <f t="shared" si="52"/>
        <v>29977</v>
      </c>
      <c r="AO151" s="56">
        <f t="shared" si="53"/>
        <v>67848</v>
      </c>
      <c r="AP151" s="56"/>
      <c r="AQ151" s="56">
        <f t="shared" si="54"/>
        <v>365087</v>
      </c>
      <c r="AR151" s="1"/>
      <c r="AS151" s="56">
        <v>1256.7961840998173</v>
      </c>
      <c r="AT151" s="56">
        <v>140.96646440855875</v>
      </c>
      <c r="AU151" s="56">
        <v>319.05436425232324</v>
      </c>
      <c r="AV151" s="56"/>
      <c r="AW151" s="56">
        <v>1716.8170127606993</v>
      </c>
      <c r="AX151" s="1"/>
      <c r="AY151" s="16">
        <v>5.857635800846217E-2</v>
      </c>
      <c r="AZ151" s="16">
        <v>-1.9500305332172396E-2</v>
      </c>
      <c r="BA151" s="16">
        <v>9.163601374984065E-4</v>
      </c>
      <c r="BB151" s="16">
        <f t="shared" si="55"/>
        <v>4.0631631839304294E-2</v>
      </c>
      <c r="BC151" s="16"/>
      <c r="BD151" s="1"/>
      <c r="BE151" s="16">
        <f>AM151/'2018-19 disagg'!AM151-1</f>
        <v>1.3646155713332053E-2</v>
      </c>
      <c r="BF151" s="16">
        <f>AN151/'2018-19 disagg'!AN151-1</f>
        <v>4.043454116340417E-2</v>
      </c>
      <c r="BG151" s="16">
        <f>AO151/'2018-19 disagg'!AO151-1</f>
        <v>4.0725231236482529E-2</v>
      </c>
      <c r="BH151" s="16">
        <f>AQ151/'2018-19 disagg'!AQ151-1</f>
        <v>2.0739846058786204E-2</v>
      </c>
      <c r="BI151" s="1"/>
      <c r="BJ151" s="16">
        <f>AS151/'2018-19 disagg'!AS151-1</f>
        <v>1.0412278187270196E-2</v>
      </c>
      <c r="BK151" s="16">
        <f>AT151/'2018-19 disagg'!AT151-1</f>
        <v>3.71151995361092E-2</v>
      </c>
      <c r="BL151" s="16">
        <f>AU151/'2018-19 disagg'!AU151-1</f>
        <v>3.740496220854661E-2</v>
      </c>
      <c r="BM151" s="16">
        <f>AW151/'2018-19 disagg'!AW151-1</f>
        <v>1.7483337237123031E-2</v>
      </c>
    </row>
    <row r="152" spans="1:65" x14ac:dyDescent="0.2">
      <c r="A152" s="156" t="s">
        <v>349</v>
      </c>
      <c r="B152" s="156" t="s">
        <v>350</v>
      </c>
      <c r="D152" s="56">
        <f>VLOOKUP(A152,'2019-20'!$A$12:$AMX360,32,FALSE)</f>
        <v>531872.44597831147</v>
      </c>
      <c r="E152" s="56">
        <v>1676.275429737866</v>
      </c>
      <c r="F152" s="16">
        <f>VLOOKUP(A152,'2019-20'!$A$12:$AMX360,34,FALSE)</f>
        <v>3.191045443723417E-2</v>
      </c>
      <c r="G152" s="16">
        <f>VLOOKUP(A152,'2019-20'!$A$12:$AMX360,35,FALSE)</f>
        <v>2.0095200819717274E-2</v>
      </c>
      <c r="H152" s="56"/>
      <c r="I152" s="56">
        <v>543875.64978391444</v>
      </c>
      <c r="J152" s="56">
        <v>1714.1053187828963</v>
      </c>
      <c r="K152" s="16">
        <f t="shared" si="40"/>
        <v>-2.2069757692538605E-2</v>
      </c>
      <c r="L152" s="58">
        <f t="shared" si="40"/>
        <v>-2.2069757692538716E-2</v>
      </c>
      <c r="M152" s="10"/>
      <c r="N152" s="56">
        <v>370160</v>
      </c>
      <c r="O152" s="56">
        <v>44562</v>
      </c>
      <c r="P152" s="56">
        <v>116989</v>
      </c>
      <c r="R152" s="56">
        <f t="shared" si="41"/>
        <v>116989</v>
      </c>
      <c r="S152" s="56">
        <f t="shared" si="42"/>
        <v>161.44597831147257</v>
      </c>
      <c r="U152" s="16">
        <v>-2.0051946448085611E-2</v>
      </c>
      <c r="V152" s="16">
        <v>-4.9039230902419462E-2</v>
      </c>
      <c r="W152" s="56">
        <f t="shared" si="43"/>
        <v>4</v>
      </c>
      <c r="X152" s="56">
        <f t="shared" si="44"/>
        <v>3777.3430811798653</v>
      </c>
      <c r="Y152" s="56">
        <f t="shared" si="44"/>
        <v>468.59977244158404</v>
      </c>
      <c r="AA152" s="56">
        <f t="shared" si="56"/>
        <v>0</v>
      </c>
      <c r="AB152" s="56">
        <v>0</v>
      </c>
      <c r="AC152" s="56">
        <f t="shared" si="45"/>
        <v>161.44597831147257</v>
      </c>
      <c r="AE152" s="56">
        <v>0</v>
      </c>
      <c r="AF152" s="56">
        <f t="shared" si="46"/>
        <v>0</v>
      </c>
      <c r="AG152" s="56">
        <f t="shared" si="47"/>
        <v>161.44597831147257</v>
      </c>
      <c r="AI152" s="56">
        <f t="shared" si="48"/>
        <v>143.6281340053867</v>
      </c>
      <c r="AJ152" s="56">
        <f t="shared" si="49"/>
        <v>17.817844306085878</v>
      </c>
      <c r="AK152" s="56">
        <f t="shared" si="50"/>
        <v>0</v>
      </c>
      <c r="AM152" s="56">
        <f t="shared" si="51"/>
        <v>370304</v>
      </c>
      <c r="AN152" s="56">
        <f t="shared" si="52"/>
        <v>44580</v>
      </c>
      <c r="AO152" s="56">
        <f t="shared" si="53"/>
        <v>116989</v>
      </c>
      <c r="AP152" s="56"/>
      <c r="AQ152" s="56">
        <f t="shared" si="54"/>
        <v>531873</v>
      </c>
      <c r="AR152" s="1"/>
      <c r="AS152" s="56">
        <v>1167.0683477349432</v>
      </c>
      <c r="AT152" s="56">
        <v>140.50052643780182</v>
      </c>
      <c r="AU152" s="56">
        <v>368.70830164719598</v>
      </c>
      <c r="AV152" s="56"/>
      <c r="AW152" s="56">
        <v>1676.277175819941</v>
      </c>
      <c r="AX152" s="1"/>
      <c r="AY152" s="16">
        <v>-1.967072611171361E-2</v>
      </c>
      <c r="AZ152" s="16">
        <v>-4.8655107796550023E-2</v>
      </c>
      <c r="BA152" s="16">
        <v>-1.9218127097070159E-2</v>
      </c>
      <c r="BB152" s="16">
        <f t="shared" si="55"/>
        <v>-2.2068739037467755E-2</v>
      </c>
      <c r="BC152" s="16"/>
      <c r="BD152" s="1"/>
      <c r="BE152" s="16">
        <f>AM152/'2018-19 disagg'!AM152-1</f>
        <v>2.5704662293919434E-2</v>
      </c>
      <c r="BF152" s="16">
        <f>AN152/'2018-19 disagg'!AN152-1</f>
        <v>3.8652407912210807E-2</v>
      </c>
      <c r="BG152" s="16">
        <f>AO152/'2018-19 disagg'!AO152-1</f>
        <v>4.9416935773232806E-2</v>
      </c>
      <c r="BH152" s="16">
        <f>AQ152/'2018-19 disagg'!AQ152-1</f>
        <v>3.1911529320463705E-2</v>
      </c>
      <c r="BI152" s="1"/>
      <c r="BJ152" s="16">
        <f>AS152/'2018-19 disagg'!AS152-1</f>
        <v>1.3960464268247597E-2</v>
      </c>
      <c r="BK152" s="16">
        <f>AT152/'2018-19 disagg'!AT152-1</f>
        <v>2.6759959718515525E-2</v>
      </c>
      <c r="BL152" s="16">
        <f>AU152/'2018-19 disagg'!AU152-1</f>
        <v>3.7401234998653443E-2</v>
      </c>
      <c r="BM152" s="16">
        <f>AW152/'2018-19 disagg'!AW152-1</f>
        <v>2.0096263395660063E-2</v>
      </c>
    </row>
    <row r="153" spans="1:65" x14ac:dyDescent="0.2">
      <c r="A153" s="156" t="s">
        <v>351</v>
      </c>
      <c r="B153" s="156" t="s">
        <v>352</v>
      </c>
      <c r="D153" s="56">
        <f>VLOOKUP(A153,'2019-20'!$A$12:$AMX361,32,FALSE)</f>
        <v>421901.62119601906</v>
      </c>
      <c r="E153" s="56">
        <v>1553.4892120397167</v>
      </c>
      <c r="F153" s="16">
        <f>VLOOKUP(A153,'2019-20'!$A$12:$AMX361,34,FALSE)</f>
        <v>3.4315969434031146E-2</v>
      </c>
      <c r="G153" s="16">
        <f>VLOOKUP(A153,'2019-20'!$A$12:$AMX361,35,FALSE)</f>
        <v>2.2912120447673434E-2</v>
      </c>
      <c r="H153" s="56"/>
      <c r="I153" s="56">
        <v>433128.61215918482</v>
      </c>
      <c r="J153" s="56">
        <v>1594.828255240127</v>
      </c>
      <c r="K153" s="16">
        <f t="shared" si="40"/>
        <v>-2.5920686484317446E-2</v>
      </c>
      <c r="L153" s="58">
        <f t="shared" si="40"/>
        <v>-2.5920686484317446E-2</v>
      </c>
      <c r="M153" s="10"/>
      <c r="N153" s="56">
        <v>304435</v>
      </c>
      <c r="O153" s="56">
        <v>33083</v>
      </c>
      <c r="P153" s="56">
        <v>82832</v>
      </c>
      <c r="R153" s="56">
        <f t="shared" si="41"/>
        <v>82832</v>
      </c>
      <c r="S153" s="56">
        <f t="shared" si="42"/>
        <v>1551.6211960190558</v>
      </c>
      <c r="U153" s="16">
        <v>-2.3192830821868404E-2</v>
      </c>
      <c r="V153" s="16">
        <v>-4.3963661809076848E-2</v>
      </c>
      <c r="W153" s="56">
        <f t="shared" si="43"/>
        <v>4</v>
      </c>
      <c r="X153" s="56">
        <f t="shared" si="44"/>
        <v>3116.633554769528</v>
      </c>
      <c r="Y153" s="56">
        <f t="shared" si="44"/>
        <v>346.04333202022315</v>
      </c>
      <c r="AA153" s="56">
        <f t="shared" si="56"/>
        <v>0</v>
      </c>
      <c r="AB153" s="56">
        <v>0</v>
      </c>
      <c r="AC153" s="56">
        <f t="shared" si="45"/>
        <v>1551.6211960190558</v>
      </c>
      <c r="AE153" s="56">
        <v>0</v>
      </c>
      <c r="AF153" s="56">
        <f t="shared" si="46"/>
        <v>0</v>
      </c>
      <c r="AG153" s="56">
        <f t="shared" si="47"/>
        <v>1551.6211960190558</v>
      </c>
      <c r="AI153" s="56">
        <f t="shared" si="48"/>
        <v>1396.5596103562293</v>
      </c>
      <c r="AJ153" s="56">
        <f t="shared" si="49"/>
        <v>155.06158566282636</v>
      </c>
      <c r="AK153" s="56">
        <f t="shared" si="50"/>
        <v>0</v>
      </c>
      <c r="AM153" s="56">
        <f t="shared" si="51"/>
        <v>305832</v>
      </c>
      <c r="AN153" s="56">
        <f t="shared" si="52"/>
        <v>33238</v>
      </c>
      <c r="AO153" s="56">
        <f t="shared" si="53"/>
        <v>82832</v>
      </c>
      <c r="AP153" s="56"/>
      <c r="AQ153" s="56">
        <f t="shared" si="54"/>
        <v>421902</v>
      </c>
      <c r="AR153" s="1"/>
      <c r="AS153" s="56">
        <v>1126.107814778441</v>
      </c>
      <c r="AT153" s="56">
        <v>122.38605360984404</v>
      </c>
      <c r="AU153" s="56">
        <v>304.99673845028587</v>
      </c>
      <c r="AV153" s="56"/>
      <c r="AW153" s="56">
        <v>1553.490606838571</v>
      </c>
      <c r="AX153" s="1"/>
      <c r="AY153" s="16">
        <v>-1.8710430259049282E-2</v>
      </c>
      <c r="AZ153" s="16">
        <v>-3.9484453985735746E-2</v>
      </c>
      <c r="BA153" s="16">
        <v>-4.6383613238093924E-2</v>
      </c>
      <c r="BB153" s="16">
        <f t="shared" si="55"/>
        <v>-2.5919811908105439E-2</v>
      </c>
      <c r="BC153" s="16"/>
      <c r="BD153" s="1"/>
      <c r="BE153" s="16">
        <f>AM153/'2018-19 disagg'!AM153-1</f>
        <v>2.9567512430609177E-2</v>
      </c>
      <c r="BF153" s="16">
        <f>AN153/'2018-19 disagg'!AN153-1</f>
        <v>4.2270304170586304E-2</v>
      </c>
      <c r="BG153" s="16">
        <f>AO153/'2018-19 disagg'!AO153-1</f>
        <v>4.8971063129234382E-2</v>
      </c>
      <c r="BH153" s="16">
        <f>AQ153/'2018-19 disagg'!AQ153-1</f>
        <v>3.4316898093669002E-2</v>
      </c>
      <c r="BI153" s="1"/>
      <c r="BJ153" s="16">
        <f>AS153/'2018-19 disagg'!AS153-1</f>
        <v>1.8216017548978947E-2</v>
      </c>
      <c r="BK153" s="16">
        <f>AT153/'2018-19 disagg'!AT153-1</f>
        <v>3.0778754679930742E-2</v>
      </c>
      <c r="BL153" s="16">
        <f>AU153/'2018-19 disagg'!AU153-1</f>
        <v>3.7405634431918244E-2</v>
      </c>
      <c r="BM153" s="16">
        <f>AW153/'2018-19 disagg'!AW153-1</f>
        <v>2.2913038868376034E-2</v>
      </c>
    </row>
    <row r="154" spans="1:65" x14ac:dyDescent="0.2">
      <c r="A154" s="156" t="s">
        <v>353</v>
      </c>
      <c r="B154" s="156" t="s">
        <v>354</v>
      </c>
      <c r="D154" s="56">
        <f>VLOOKUP(A154,'2019-20'!$A$12:$AMX362,32,FALSE)</f>
        <v>489661.98037791089</v>
      </c>
      <c r="E154" s="56">
        <v>1756.9665591383716</v>
      </c>
      <c r="F154" s="16">
        <f>VLOOKUP(A154,'2019-20'!$A$12:$AMX362,34,FALSE)</f>
        <v>3.5042361140750655E-2</v>
      </c>
      <c r="G154" s="16">
        <f>VLOOKUP(A154,'2019-20'!$A$12:$AMX362,35,FALSE)</f>
        <v>2.3406342283903259E-2</v>
      </c>
      <c r="H154" s="56"/>
      <c r="I154" s="56">
        <v>502782.1101349208</v>
      </c>
      <c r="J154" s="56">
        <v>1804.0431755765762</v>
      </c>
      <c r="K154" s="16">
        <f t="shared" si="40"/>
        <v>-2.6095060847509344E-2</v>
      </c>
      <c r="L154" s="58">
        <f t="shared" si="40"/>
        <v>-2.6095060847509233E-2</v>
      </c>
      <c r="M154" s="10"/>
      <c r="N154" s="56">
        <v>372288</v>
      </c>
      <c r="O154" s="56">
        <v>36007</v>
      </c>
      <c r="P154" s="56">
        <v>78887</v>
      </c>
      <c r="R154" s="56">
        <f t="shared" si="41"/>
        <v>78887</v>
      </c>
      <c r="S154" s="56">
        <f t="shared" si="42"/>
        <v>2479.9803779108915</v>
      </c>
      <c r="U154" s="16">
        <v>-1.2605848071727599E-2</v>
      </c>
      <c r="V154" s="16">
        <v>-3.645537934741605E-2</v>
      </c>
      <c r="W154" s="56">
        <f t="shared" si="43"/>
        <v>4</v>
      </c>
      <c r="X154" s="56">
        <f t="shared" si="44"/>
        <v>3770.4092056142163</v>
      </c>
      <c r="Y154" s="56">
        <f t="shared" si="44"/>
        <v>373.69312461745039</v>
      </c>
      <c r="AA154" s="56">
        <f t="shared" si="56"/>
        <v>0</v>
      </c>
      <c r="AB154" s="56">
        <v>0</v>
      </c>
      <c r="AC154" s="56">
        <f t="shared" si="45"/>
        <v>2479.9803779108915</v>
      </c>
      <c r="AE154" s="56">
        <v>0</v>
      </c>
      <c r="AF154" s="56">
        <f t="shared" si="46"/>
        <v>0</v>
      </c>
      <c r="AG154" s="56">
        <f t="shared" si="47"/>
        <v>2479.9803779108915</v>
      </c>
      <c r="AI154" s="56">
        <f t="shared" si="48"/>
        <v>2256.3489271016933</v>
      </c>
      <c r="AJ154" s="56">
        <f t="shared" si="49"/>
        <v>223.63145080919821</v>
      </c>
      <c r="AK154" s="56">
        <f t="shared" si="50"/>
        <v>0</v>
      </c>
      <c r="AM154" s="56">
        <f t="shared" si="51"/>
        <v>374544</v>
      </c>
      <c r="AN154" s="56">
        <f t="shared" si="52"/>
        <v>36231</v>
      </c>
      <c r="AO154" s="56">
        <f t="shared" si="53"/>
        <v>78887</v>
      </c>
      <c r="AP154" s="56"/>
      <c r="AQ154" s="56">
        <f t="shared" si="54"/>
        <v>489662</v>
      </c>
      <c r="AR154" s="1"/>
      <c r="AS154" s="56">
        <v>1343.9092870106931</v>
      </c>
      <c r="AT154" s="56">
        <v>130.00122115875419</v>
      </c>
      <c r="AU154" s="56">
        <v>283.05612137535923</v>
      </c>
      <c r="AV154" s="56"/>
      <c r="AW154" s="56">
        <v>1756.9666295448067</v>
      </c>
      <c r="AX154" s="1"/>
      <c r="AY154" s="16">
        <v>-6.6224126487481882E-3</v>
      </c>
      <c r="AZ154" s="16">
        <v>-3.0461156140090262E-2</v>
      </c>
      <c r="BA154" s="16">
        <v>-0.10732913480789463</v>
      </c>
      <c r="BB154" s="16">
        <f t="shared" si="55"/>
        <v>-2.6095021820486064E-2</v>
      </c>
      <c r="BC154" s="16"/>
      <c r="BD154" s="1"/>
      <c r="BE154" s="16">
        <f>AM154/'2018-19 disagg'!AM154-1</f>
        <v>3.1301627860871761E-2</v>
      </c>
      <c r="BF154" s="16">
        <f>AN154/'2018-19 disagg'!AN154-1</f>
        <v>4.3519585253456228E-2</v>
      </c>
      <c r="BG154" s="16">
        <f>AO154/'2018-19 disagg'!AO154-1</f>
        <v>4.9196680321327957E-2</v>
      </c>
      <c r="BH154" s="16">
        <f>AQ154/'2018-19 disagg'!AQ154-1</f>
        <v>3.5042402617716961E-2</v>
      </c>
      <c r="BI154" s="1"/>
      <c r="BJ154" s="16">
        <f>AS154/'2018-19 disagg'!AS154-1</f>
        <v>1.9707662590058295E-2</v>
      </c>
      <c r="BK154" s="16">
        <f>AT154/'2018-19 disagg'!AT154-1</f>
        <v>3.1788264848254366E-2</v>
      </c>
      <c r="BL154" s="16">
        <f>AU154/'2018-19 disagg'!AU154-1</f>
        <v>3.7401537614989211E-2</v>
      </c>
      <c r="BM154" s="16">
        <f>AW154/'2018-19 disagg'!AW154-1</f>
        <v>2.3406383294582556E-2</v>
      </c>
    </row>
    <row r="155" spans="1:65" x14ac:dyDescent="0.2">
      <c r="A155" s="156" t="s">
        <v>355</v>
      </c>
      <c r="B155" s="156" t="s">
        <v>356</v>
      </c>
      <c r="D155" s="56">
        <f>VLOOKUP(A155,'2019-20'!$A$12:$AMX363,32,FALSE)</f>
        <v>512330.08941135084</v>
      </c>
      <c r="E155" s="56">
        <v>1586.7774296473656</v>
      </c>
      <c r="F155" s="16">
        <f>VLOOKUP(A155,'2019-20'!$A$12:$AMX363,34,FALSE)</f>
        <v>3.5702842529753864E-2</v>
      </c>
      <c r="G155" s="16">
        <f>VLOOKUP(A155,'2019-20'!$A$12:$AMX363,35,FALSE)</f>
        <v>2.1736516063753486E-2</v>
      </c>
      <c r="H155" s="56"/>
      <c r="I155" s="56">
        <v>524778.8390750729</v>
      </c>
      <c r="J155" s="56">
        <v>1625.3334219694646</v>
      </c>
      <c r="K155" s="16">
        <f t="shared" si="40"/>
        <v>-2.3721897181797735E-2</v>
      </c>
      <c r="L155" s="58">
        <f t="shared" si="40"/>
        <v>-2.3721897181797624E-2</v>
      </c>
      <c r="M155" s="10"/>
      <c r="N155" s="56">
        <v>372691</v>
      </c>
      <c r="O155" s="56">
        <v>41900</v>
      </c>
      <c r="P155" s="56">
        <v>96371</v>
      </c>
      <c r="R155" s="56">
        <f t="shared" si="41"/>
        <v>96371</v>
      </c>
      <c r="S155" s="56">
        <f t="shared" si="42"/>
        <v>1368.0894113508402</v>
      </c>
      <c r="U155" s="16">
        <v>-3.5055336663988745E-2</v>
      </c>
      <c r="V155" s="16">
        <v>-4.6579425848410794E-2</v>
      </c>
      <c r="W155" s="56">
        <f t="shared" si="43"/>
        <v>4</v>
      </c>
      <c r="X155" s="56">
        <f t="shared" si="44"/>
        <v>3862.3043803520391</v>
      </c>
      <c r="Y155" s="56">
        <f t="shared" si="44"/>
        <v>439.47027299348071</v>
      </c>
      <c r="AA155" s="56">
        <f t="shared" si="56"/>
        <v>0</v>
      </c>
      <c r="AB155" s="56">
        <v>0</v>
      </c>
      <c r="AC155" s="56">
        <f t="shared" si="45"/>
        <v>1368.0894113508402</v>
      </c>
      <c r="AE155" s="56">
        <v>0</v>
      </c>
      <c r="AF155" s="56">
        <f t="shared" si="46"/>
        <v>0</v>
      </c>
      <c r="AG155" s="56">
        <f t="shared" si="47"/>
        <v>1368.0894113508402</v>
      </c>
      <c r="AI155" s="56">
        <f t="shared" si="48"/>
        <v>1228.3250871972587</v>
      </c>
      <c r="AJ155" s="56">
        <f t="shared" si="49"/>
        <v>139.76432415358153</v>
      </c>
      <c r="AK155" s="56">
        <f t="shared" si="50"/>
        <v>0</v>
      </c>
      <c r="AM155" s="56">
        <f t="shared" si="51"/>
        <v>373919</v>
      </c>
      <c r="AN155" s="56">
        <f t="shared" si="52"/>
        <v>42040</v>
      </c>
      <c r="AO155" s="56">
        <f t="shared" si="53"/>
        <v>96371</v>
      </c>
      <c r="AP155" s="56"/>
      <c r="AQ155" s="56">
        <f t="shared" si="54"/>
        <v>512330</v>
      </c>
      <c r="AR155" s="1"/>
      <c r="AS155" s="56">
        <v>1158.0936626190044</v>
      </c>
      <c r="AT155" s="56">
        <v>130.20535885179126</v>
      </c>
      <c r="AU155" s="56">
        <v>298.47813125371022</v>
      </c>
      <c r="AV155" s="56"/>
      <c r="AW155" s="56">
        <v>1586.7771527245059</v>
      </c>
      <c r="AX155" s="1"/>
      <c r="AY155" s="16">
        <v>-3.1875887612155873E-2</v>
      </c>
      <c r="AZ155" s="16">
        <v>-4.3393772378691908E-2</v>
      </c>
      <c r="BA155" s="16">
        <v>1.8706137020091163E-2</v>
      </c>
      <c r="BB155" s="16">
        <f t="shared" si="55"/>
        <v>-2.3722067560906335E-2</v>
      </c>
      <c r="BC155" s="16"/>
      <c r="BD155" s="1"/>
      <c r="BE155" s="16">
        <f>AM155/'2018-19 disagg'!AM155-1</f>
        <v>3.0806850009924336E-2</v>
      </c>
      <c r="BF155" s="16">
        <f>AN155/'2018-19 disagg'!AN155-1</f>
        <v>4.3668230679476672E-2</v>
      </c>
      <c r="BG155" s="16">
        <f>AO155/'2018-19 disagg'!AO155-1</f>
        <v>5.1580027061236988E-2</v>
      </c>
      <c r="BH155" s="16">
        <f>AQ155/'2018-19 disagg'!AQ155-1</f>
        <v>3.5702661779897227E-2</v>
      </c>
      <c r="BI155" s="1"/>
      <c r="BJ155" s="16">
        <f>AS155/'2018-19 disagg'!AS155-1</f>
        <v>1.6906545405696694E-2</v>
      </c>
      <c r="BK155" s="16">
        <f>AT155/'2018-19 disagg'!AT155-1</f>
        <v>2.9594491926129507E-2</v>
      </c>
      <c r="BL155" s="16">
        <f>AU155/'2018-19 disagg'!AU155-1</f>
        <v>3.7399598698995673E-2</v>
      </c>
      <c r="BM155" s="16">
        <f>AW155/'2018-19 disagg'!AW155-1</f>
        <v>2.1736337751286694E-2</v>
      </c>
    </row>
    <row r="156" spans="1:65" x14ac:dyDescent="0.2">
      <c r="A156" s="156" t="s">
        <v>357</v>
      </c>
      <c r="B156" s="156" t="s">
        <v>358</v>
      </c>
      <c r="D156" s="56">
        <f>VLOOKUP(A156,'2019-20'!$A$12:$AMX364,32,FALSE)</f>
        <v>488870.50393310428</v>
      </c>
      <c r="E156" s="56">
        <v>1508.6487342694295</v>
      </c>
      <c r="F156" s="16">
        <f>VLOOKUP(A156,'2019-20'!$A$12:$AMX364,34,FALSE)</f>
        <v>3.4451720063531477E-2</v>
      </c>
      <c r="G156" s="16">
        <f>VLOOKUP(A156,'2019-20'!$A$12:$AMX364,35,FALSE)</f>
        <v>2.0870702904314031E-2</v>
      </c>
      <c r="H156" s="56"/>
      <c r="I156" s="56">
        <v>500010.75286034157</v>
      </c>
      <c r="J156" s="56">
        <v>1543.0274139163052</v>
      </c>
      <c r="K156" s="16">
        <f t="shared" si="40"/>
        <v>-2.2280018706615445E-2</v>
      </c>
      <c r="L156" s="58">
        <f t="shared" si="40"/>
        <v>-2.2280018706615445E-2</v>
      </c>
      <c r="M156" s="10"/>
      <c r="N156" s="56">
        <v>357990</v>
      </c>
      <c r="O156" s="56">
        <v>41085</v>
      </c>
      <c r="P156" s="56">
        <v>88844</v>
      </c>
      <c r="R156" s="56">
        <f t="shared" si="41"/>
        <v>88844</v>
      </c>
      <c r="S156" s="56">
        <f t="shared" si="42"/>
        <v>951.50393310427899</v>
      </c>
      <c r="U156" s="16">
        <v>-3.2632294667843453E-2</v>
      </c>
      <c r="V156" s="16">
        <v>-4.6896598931254974E-2</v>
      </c>
      <c r="W156" s="56">
        <f t="shared" si="43"/>
        <v>4</v>
      </c>
      <c r="X156" s="56">
        <f t="shared" si="44"/>
        <v>3700.661062249128</v>
      </c>
      <c r="Y156" s="56">
        <f t="shared" si="44"/>
        <v>431.06550615526174</v>
      </c>
      <c r="AA156" s="56">
        <f t="shared" si="56"/>
        <v>0</v>
      </c>
      <c r="AB156" s="56">
        <v>0</v>
      </c>
      <c r="AC156" s="56">
        <f t="shared" si="45"/>
        <v>951.50393310427899</v>
      </c>
      <c r="AE156" s="56">
        <v>0</v>
      </c>
      <c r="AF156" s="56">
        <f t="shared" si="46"/>
        <v>0</v>
      </c>
      <c r="AG156" s="56">
        <f t="shared" si="47"/>
        <v>951.50393310427899</v>
      </c>
      <c r="AI156" s="56">
        <f t="shared" si="48"/>
        <v>852.23295818816393</v>
      </c>
      <c r="AJ156" s="56">
        <f t="shared" si="49"/>
        <v>99.270974916115065</v>
      </c>
      <c r="AK156" s="56">
        <f t="shared" si="50"/>
        <v>0</v>
      </c>
      <c r="AM156" s="56">
        <f t="shared" si="51"/>
        <v>358842</v>
      </c>
      <c r="AN156" s="56">
        <f t="shared" si="52"/>
        <v>41184</v>
      </c>
      <c r="AO156" s="56">
        <f t="shared" si="53"/>
        <v>88844</v>
      </c>
      <c r="AP156" s="56"/>
      <c r="AQ156" s="56">
        <f t="shared" si="54"/>
        <v>488870</v>
      </c>
      <c r="AR156" s="1"/>
      <c r="AS156" s="56">
        <v>1107.3822714752898</v>
      </c>
      <c r="AT156" s="56">
        <v>127.09334879539836</v>
      </c>
      <c r="AU156" s="56">
        <v>274.17155886699624</v>
      </c>
      <c r="AV156" s="56"/>
      <c r="AW156" s="56">
        <v>1508.6471791376844</v>
      </c>
      <c r="AX156" s="1"/>
      <c r="AY156" s="16">
        <v>-3.0330003305115372E-2</v>
      </c>
      <c r="AZ156" s="16">
        <v>-4.4599964229884548E-2</v>
      </c>
      <c r="BA156" s="16">
        <v>2.3099354684580353E-2</v>
      </c>
      <c r="BB156" s="16">
        <f t="shared" si="55"/>
        <v>-2.2281026551149608E-2</v>
      </c>
      <c r="BC156" s="16"/>
      <c r="BD156" s="1"/>
      <c r="BE156" s="16">
        <f>AM156/'2018-19 disagg'!AM156-1</f>
        <v>2.9495554580116545E-2</v>
      </c>
      <c r="BF156" s="16">
        <f>AN156/'2018-19 disagg'!AN156-1</f>
        <v>4.2342638758826601E-2</v>
      </c>
      <c r="BG156" s="16">
        <f>AO156/'2018-19 disagg'!AO156-1</f>
        <v>5.1196800643657392E-2</v>
      </c>
      <c r="BH156" s="16">
        <f>AQ156/'2018-19 disagg'!AQ156-1</f>
        <v>3.4450653739295678E-2</v>
      </c>
      <c r="BI156" s="1"/>
      <c r="BJ156" s="16">
        <f>AS156/'2018-19 disagg'!AS156-1</f>
        <v>1.5979605482722148E-2</v>
      </c>
      <c r="BK156" s="16">
        <f>AT156/'2018-19 disagg'!AT156-1</f>
        <v>2.8658024012477634E-2</v>
      </c>
      <c r="BL156" s="16">
        <f>AU156/'2018-19 disagg'!AU156-1</f>
        <v>3.7395942169200058E-2</v>
      </c>
      <c r="BM156" s="16">
        <f>AW156/'2018-19 disagg'!AW156-1</f>
        <v>2.0869650579540489E-2</v>
      </c>
    </row>
    <row r="157" spans="1:65" x14ac:dyDescent="0.2">
      <c r="A157" s="156" t="s">
        <v>359</v>
      </c>
      <c r="B157" s="156" t="s">
        <v>360</v>
      </c>
      <c r="D157" s="56">
        <f>VLOOKUP(A157,'2019-20'!$A$12:$AMX365,32,FALSE)</f>
        <v>496478</v>
      </c>
      <c r="E157" s="56">
        <v>1991.5019495182053</v>
      </c>
      <c r="F157" s="16">
        <f>VLOOKUP(A157,'2019-20'!$A$12:$AMX365,34,FALSE)</f>
        <v>3.311310644761889E-2</v>
      </c>
      <c r="G157" s="16">
        <f>VLOOKUP(A157,'2019-20'!$A$12:$AMX365,35,FALSE)</f>
        <v>1.9440436242130765E-2</v>
      </c>
      <c r="H157" s="56"/>
      <c r="I157" s="56">
        <v>480211.33064154536</v>
      </c>
      <c r="J157" s="56">
        <v>1926.2521222559087</v>
      </c>
      <c r="K157" s="16">
        <f t="shared" si="40"/>
        <v>3.3873980725783737E-2</v>
      </c>
      <c r="L157" s="58">
        <f t="shared" si="40"/>
        <v>3.3873980725783737E-2</v>
      </c>
      <c r="M157" s="10"/>
      <c r="N157" s="56">
        <v>354268</v>
      </c>
      <c r="O157" s="56">
        <v>38657</v>
      </c>
      <c r="P157" s="56">
        <v>103553</v>
      </c>
      <c r="R157" s="56">
        <f t="shared" si="41"/>
        <v>103553</v>
      </c>
      <c r="S157" s="56">
        <f t="shared" si="42"/>
        <v>0</v>
      </c>
      <c r="U157" s="16">
        <v>5.3168833612297073E-2</v>
      </c>
      <c r="V157" s="16">
        <v>-4.9913492589294228E-2</v>
      </c>
      <c r="W157" s="56">
        <f t="shared" si="43"/>
        <v>3</v>
      </c>
      <c r="X157" s="56">
        <f t="shared" si="44"/>
        <v>3363.8291287531265</v>
      </c>
      <c r="Y157" s="56">
        <f t="shared" si="44"/>
        <v>406.87873891981559</v>
      </c>
      <c r="AA157" s="56">
        <f t="shared" si="56"/>
        <v>0</v>
      </c>
      <c r="AB157" s="56">
        <v>0</v>
      </c>
      <c r="AC157" s="56">
        <f t="shared" si="45"/>
        <v>0</v>
      </c>
      <c r="AE157" s="56">
        <v>0</v>
      </c>
      <c r="AF157" s="56">
        <f t="shared" si="46"/>
        <v>0</v>
      </c>
      <c r="AG157" s="56">
        <f t="shared" si="47"/>
        <v>0</v>
      </c>
      <c r="AI157" s="56">
        <f t="shared" si="48"/>
        <v>0</v>
      </c>
      <c r="AJ157" s="56">
        <f t="shared" si="49"/>
        <v>0</v>
      </c>
      <c r="AK157" s="56">
        <f t="shared" si="50"/>
        <v>0</v>
      </c>
      <c r="AM157" s="56">
        <f t="shared" si="51"/>
        <v>354268</v>
      </c>
      <c r="AN157" s="56">
        <f t="shared" si="52"/>
        <v>38657</v>
      </c>
      <c r="AO157" s="56">
        <f t="shared" si="53"/>
        <v>103553</v>
      </c>
      <c r="AP157" s="56"/>
      <c r="AQ157" s="56">
        <f t="shared" si="54"/>
        <v>496478</v>
      </c>
      <c r="AR157" s="1"/>
      <c r="AS157" s="56">
        <v>1421.0607774199775</v>
      </c>
      <c r="AT157" s="56">
        <v>155.06324723859922</v>
      </c>
      <c r="AU157" s="56">
        <v>415.37792485962865</v>
      </c>
      <c r="AV157" s="56"/>
      <c r="AW157" s="56">
        <v>1991.5019495182053</v>
      </c>
      <c r="AX157" s="1"/>
      <c r="AY157" s="16">
        <v>5.3168833612297073E-2</v>
      </c>
      <c r="AZ157" s="16">
        <v>-4.9913492589294228E-2</v>
      </c>
      <c r="BA157" s="16">
        <v>3.9989717937858327E-3</v>
      </c>
      <c r="BB157" s="16">
        <f t="shared" si="55"/>
        <v>3.3873980725783737E-2</v>
      </c>
      <c r="BC157" s="16"/>
      <c r="BD157" s="1"/>
      <c r="BE157" s="16">
        <f>AM157/'2018-19 disagg'!AM157-1</f>
        <v>2.7158517951528127E-2</v>
      </c>
      <c r="BF157" s="16">
        <f>AN157/'2018-19 disagg'!AN157-1</f>
        <v>4.0145297995425766E-2</v>
      </c>
      <c r="BG157" s="16">
        <f>AO157/'2018-19 disagg'!AO157-1</f>
        <v>5.1310165585437328E-2</v>
      </c>
      <c r="BH157" s="16">
        <f>AQ157/'2018-19 disagg'!AQ157-1</f>
        <v>3.311310644761889E-2</v>
      </c>
      <c r="BI157" s="1"/>
      <c r="BJ157" s="16">
        <f>AS157/'2018-19 disagg'!AS157-1</f>
        <v>1.3564653371685775E-2</v>
      </c>
      <c r="BK157" s="16">
        <f>AT157/'2018-19 disagg'!AT157-1</f>
        <v>2.63795606947137E-2</v>
      </c>
      <c r="BL157" s="16">
        <f>AU157/'2018-19 disagg'!AU157-1</f>
        <v>3.7396667549241869E-2</v>
      </c>
      <c r="BM157" s="16">
        <f>AW157/'2018-19 disagg'!AW157-1</f>
        <v>1.9440436242130765E-2</v>
      </c>
    </row>
    <row r="158" spans="1:65" x14ac:dyDescent="0.2">
      <c r="A158" s="156" t="s">
        <v>361</v>
      </c>
      <c r="B158" s="156" t="s">
        <v>362</v>
      </c>
      <c r="D158" s="56">
        <f>VLOOKUP(A158,'2019-20'!$A$12:$AMX366,32,FALSE)</f>
        <v>319946</v>
      </c>
      <c r="E158" s="56">
        <v>1486.8733649287597</v>
      </c>
      <c r="F158" s="16">
        <f>VLOOKUP(A158,'2019-20'!$A$12:$AMX366,34,FALSE)</f>
        <v>3.2503533694340225E-2</v>
      </c>
      <c r="G158" s="16">
        <f>VLOOKUP(A158,'2019-20'!$A$12:$AMX366,35,FALSE)</f>
        <v>1.8509835003813979E-2</v>
      </c>
      <c r="H158" s="56"/>
      <c r="I158" s="56">
        <v>323009.9794999524</v>
      </c>
      <c r="J158" s="56">
        <v>1501.1124849964178</v>
      </c>
      <c r="K158" s="16">
        <f t="shared" si="40"/>
        <v>-9.485711570570432E-3</v>
      </c>
      <c r="L158" s="58">
        <f t="shared" si="40"/>
        <v>-9.485711570570432E-3</v>
      </c>
      <c r="M158" s="10"/>
      <c r="N158" s="56">
        <v>235471</v>
      </c>
      <c r="O158" s="56">
        <v>26858</v>
      </c>
      <c r="P158" s="56">
        <v>57617</v>
      </c>
      <c r="R158" s="56">
        <f t="shared" si="41"/>
        <v>57617</v>
      </c>
      <c r="S158" s="56">
        <f t="shared" si="42"/>
        <v>0</v>
      </c>
      <c r="U158" s="16">
        <v>-9.3651175328854919E-3</v>
      </c>
      <c r="V158" s="16">
        <v>4.314989694196969E-3</v>
      </c>
      <c r="W158" s="56">
        <f t="shared" si="43"/>
        <v>1</v>
      </c>
      <c r="X158" s="56">
        <f t="shared" si="44"/>
        <v>2376.9706091266858</v>
      </c>
      <c r="Y158" s="56">
        <f t="shared" si="44"/>
        <v>267.42605931011713</v>
      </c>
      <c r="AA158" s="56">
        <f t="shared" si="56"/>
        <v>0</v>
      </c>
      <c r="AB158" s="56">
        <v>0</v>
      </c>
      <c r="AC158" s="56">
        <f t="shared" si="45"/>
        <v>0</v>
      </c>
      <c r="AE158" s="56">
        <v>0</v>
      </c>
      <c r="AF158" s="56">
        <f t="shared" si="46"/>
        <v>0</v>
      </c>
      <c r="AG158" s="56">
        <f t="shared" si="47"/>
        <v>0</v>
      </c>
      <c r="AI158" s="56">
        <f t="shared" si="48"/>
        <v>0</v>
      </c>
      <c r="AJ158" s="56">
        <f t="shared" si="49"/>
        <v>0</v>
      </c>
      <c r="AK158" s="56">
        <f t="shared" si="50"/>
        <v>0</v>
      </c>
      <c r="AM158" s="56">
        <f t="shared" si="51"/>
        <v>235471</v>
      </c>
      <c r="AN158" s="56">
        <f t="shared" si="52"/>
        <v>26858</v>
      </c>
      <c r="AO158" s="56">
        <f t="shared" si="53"/>
        <v>57617</v>
      </c>
      <c r="AP158" s="56"/>
      <c r="AQ158" s="56">
        <f t="shared" si="54"/>
        <v>319946</v>
      </c>
      <c r="AR158" s="1"/>
      <c r="AS158" s="56">
        <v>1094.2957815166933</v>
      </c>
      <c r="AT158" s="56">
        <v>124.81620284440696</v>
      </c>
      <c r="AU158" s="56">
        <v>267.76138056765939</v>
      </c>
      <c r="AV158" s="56"/>
      <c r="AW158" s="56">
        <v>1486.8733649287597</v>
      </c>
      <c r="AX158" s="1"/>
      <c r="AY158" s="16">
        <v>-9.3651175328854919E-3</v>
      </c>
      <c r="AZ158" s="16">
        <v>4.314989694196969E-3</v>
      </c>
      <c r="BA158" s="16">
        <v>-1.627637984223762E-2</v>
      </c>
      <c r="BB158" s="16">
        <f t="shared" si="55"/>
        <v>-9.485711570570432E-3</v>
      </c>
      <c r="BC158" s="16"/>
      <c r="BD158" s="1"/>
      <c r="BE158" s="16">
        <f>AM158/'2018-19 disagg'!AM158-1</f>
        <v>2.7490389272639248E-2</v>
      </c>
      <c r="BF158" s="16">
        <f>AN158/'2018-19 disagg'!AN158-1</f>
        <v>3.6348201883006581E-2</v>
      </c>
      <c r="BG158" s="16">
        <f>AO158/'2018-19 disagg'!AO158-1</f>
        <v>5.165458959242164E-2</v>
      </c>
      <c r="BH158" s="16">
        <f>AQ158/'2018-19 disagg'!AQ158-1</f>
        <v>3.2503533694340225E-2</v>
      </c>
      <c r="BI158" s="1"/>
      <c r="BJ158" s="16">
        <f>AS158/'2018-19 disagg'!AS158-1</f>
        <v>1.3564634594157576E-2</v>
      </c>
      <c r="BK158" s="16">
        <f>AT158/'2018-19 disagg'!AT158-1</f>
        <v>2.2302395740601222E-2</v>
      </c>
      <c r="BL158" s="16">
        <f>AU158/'2018-19 disagg'!AU158-1</f>
        <v>3.7401333334199371E-2</v>
      </c>
      <c r="BM158" s="16">
        <f>AW158/'2018-19 disagg'!AW158-1</f>
        <v>1.8509835003813979E-2</v>
      </c>
    </row>
    <row r="159" spans="1:65" x14ac:dyDescent="0.2">
      <c r="A159" s="156" t="s">
        <v>363</v>
      </c>
      <c r="B159" s="156" t="s">
        <v>364</v>
      </c>
      <c r="D159" s="56">
        <f>VLOOKUP(A159,'2019-20'!$A$12:$AMX367,32,FALSE)</f>
        <v>719694</v>
      </c>
      <c r="E159" s="56">
        <v>1796.1895465399791</v>
      </c>
      <c r="F159" s="16">
        <f>VLOOKUP(A159,'2019-20'!$A$12:$AMX367,34,FALSE)</f>
        <v>3.0321511093549969E-2</v>
      </c>
      <c r="G159" s="16">
        <f>VLOOKUP(A159,'2019-20'!$A$12:$AMX367,35,FALSE)</f>
        <v>2.037228130831803E-2</v>
      </c>
      <c r="H159" s="56"/>
      <c r="I159" s="56">
        <v>727438.19743128982</v>
      </c>
      <c r="J159" s="56">
        <v>1815.5172698118481</v>
      </c>
      <c r="K159" s="16">
        <f t="shared" si="40"/>
        <v>-1.0645849308760447E-2</v>
      </c>
      <c r="L159" s="58">
        <f t="shared" si="40"/>
        <v>-1.0645849308760336E-2</v>
      </c>
      <c r="M159" s="10"/>
      <c r="N159" s="56">
        <v>482936</v>
      </c>
      <c r="O159" s="56">
        <v>57292</v>
      </c>
      <c r="P159" s="56">
        <v>179466</v>
      </c>
      <c r="R159" s="56">
        <f t="shared" si="41"/>
        <v>179466</v>
      </c>
      <c r="S159" s="56">
        <f t="shared" si="42"/>
        <v>0</v>
      </c>
      <c r="U159" s="16">
        <v>-2.0635548125715553E-2</v>
      </c>
      <c r="V159" s="16">
        <v>-4.0274134012129537E-2</v>
      </c>
      <c r="W159" s="56">
        <f t="shared" si="43"/>
        <v>4</v>
      </c>
      <c r="X159" s="56">
        <f t="shared" si="44"/>
        <v>4931.116287463452</v>
      </c>
      <c r="Y159" s="56">
        <f t="shared" si="44"/>
        <v>596.96213294228426</v>
      </c>
      <c r="AA159" s="56">
        <f t="shared" si="56"/>
        <v>0</v>
      </c>
      <c r="AB159" s="56">
        <v>0</v>
      </c>
      <c r="AC159" s="56">
        <f t="shared" si="45"/>
        <v>0</v>
      </c>
      <c r="AE159" s="56">
        <v>0</v>
      </c>
      <c r="AF159" s="56">
        <f t="shared" si="46"/>
        <v>0</v>
      </c>
      <c r="AG159" s="56">
        <f t="shared" si="47"/>
        <v>0</v>
      </c>
      <c r="AI159" s="56">
        <f t="shared" si="48"/>
        <v>0</v>
      </c>
      <c r="AJ159" s="56">
        <f t="shared" si="49"/>
        <v>0</v>
      </c>
      <c r="AK159" s="56">
        <f t="shared" si="50"/>
        <v>0</v>
      </c>
      <c r="AM159" s="56">
        <f t="shared" si="51"/>
        <v>482936</v>
      </c>
      <c r="AN159" s="56">
        <f t="shared" si="52"/>
        <v>57292</v>
      </c>
      <c r="AO159" s="56">
        <f t="shared" si="53"/>
        <v>179466</v>
      </c>
      <c r="AP159" s="56"/>
      <c r="AQ159" s="56">
        <f t="shared" si="54"/>
        <v>719694</v>
      </c>
      <c r="AR159" s="1"/>
      <c r="AS159" s="56">
        <v>1205.2964104853331</v>
      </c>
      <c r="AT159" s="56">
        <v>142.98756346498442</v>
      </c>
      <c r="AU159" s="56">
        <v>447.90557258966157</v>
      </c>
      <c r="AV159" s="56"/>
      <c r="AW159" s="56">
        <v>1796.1895465399791</v>
      </c>
      <c r="AX159" s="1"/>
      <c r="AY159" s="16">
        <v>-2.0635548125715553E-2</v>
      </c>
      <c r="AZ159" s="16">
        <v>-4.0274134012129537E-2</v>
      </c>
      <c r="BA159" s="16">
        <v>2.7690744821910362E-2</v>
      </c>
      <c r="BB159" s="16">
        <f t="shared" si="55"/>
        <v>-1.0645849308760447E-2</v>
      </c>
      <c r="BC159" s="16"/>
      <c r="BD159" s="1"/>
      <c r="BE159" s="16">
        <f>AM159/'2018-19 disagg'!AM159-1</f>
        <v>2.3449205397237716E-2</v>
      </c>
      <c r="BF159" s="16">
        <f>AN159/'2018-19 disagg'!AN159-1</f>
        <v>3.5684587295274683E-2</v>
      </c>
      <c r="BG159" s="16">
        <f>AO159/'2018-19 disagg'!AO159-1</f>
        <v>4.7517875383043862E-2</v>
      </c>
      <c r="BH159" s="16">
        <f>AQ159/'2018-19 disagg'!AQ159-1</f>
        <v>3.0321511093549969E-2</v>
      </c>
      <c r="BI159" s="1"/>
      <c r="BJ159" s="16">
        <f>AS159/'2018-19 disagg'!AS159-1</f>
        <v>1.3566337565814157E-2</v>
      </c>
      <c r="BK159" s="16">
        <f>AT159/'2018-19 disagg'!AT159-1</f>
        <v>2.568356932847804E-2</v>
      </c>
      <c r="BL159" s="16">
        <f>AU159/'2018-19 disagg'!AU159-1</f>
        <v>3.7402590072478814E-2</v>
      </c>
      <c r="BM159" s="16">
        <f>AW159/'2018-19 disagg'!AW159-1</f>
        <v>2.037228130831803E-2</v>
      </c>
    </row>
    <row r="160" spans="1:65" x14ac:dyDescent="0.2">
      <c r="A160" s="156" t="s">
        <v>365</v>
      </c>
      <c r="B160" s="156" t="s">
        <v>366</v>
      </c>
      <c r="D160" s="56">
        <f>VLOOKUP(A160,'2019-20'!$A$12:$AMX368,32,FALSE)</f>
        <v>611429</v>
      </c>
      <c r="E160" s="56">
        <v>1850.1070536138734</v>
      </c>
      <c r="F160" s="16">
        <f>VLOOKUP(A160,'2019-20'!$A$12:$AMX368,34,FALSE)</f>
        <v>3.2704124202369345E-2</v>
      </c>
      <c r="G160" s="16">
        <f>VLOOKUP(A160,'2019-20'!$A$12:$AMX368,35,FALSE)</f>
        <v>1.940506168019418E-2</v>
      </c>
      <c r="H160" s="56"/>
      <c r="I160" s="56">
        <v>605960.99231543299</v>
      </c>
      <c r="J160" s="56">
        <v>1833.5615518688921</v>
      </c>
      <c r="K160" s="16">
        <f t="shared" si="40"/>
        <v>9.0236958383629329E-3</v>
      </c>
      <c r="L160" s="58">
        <f t="shared" si="40"/>
        <v>9.0236958383627108E-3</v>
      </c>
      <c r="M160" s="10"/>
      <c r="N160" s="56">
        <v>437585</v>
      </c>
      <c r="O160" s="56">
        <v>46621</v>
      </c>
      <c r="P160" s="56">
        <v>127223</v>
      </c>
      <c r="R160" s="56">
        <f t="shared" si="41"/>
        <v>127223</v>
      </c>
      <c r="S160" s="56">
        <f t="shared" si="42"/>
        <v>0</v>
      </c>
      <c r="U160" s="16">
        <v>1.8992627879077739E-2</v>
      </c>
      <c r="V160" s="16">
        <v>-4.8722358290125056E-2</v>
      </c>
      <c r="W160" s="56">
        <f t="shared" si="43"/>
        <v>3</v>
      </c>
      <c r="X160" s="56">
        <f t="shared" si="44"/>
        <v>4294.290145266169</v>
      </c>
      <c r="Y160" s="56">
        <f t="shared" si="44"/>
        <v>490.08825558226135</v>
      </c>
      <c r="AA160" s="56">
        <f t="shared" si="56"/>
        <v>0</v>
      </c>
      <c r="AB160" s="56">
        <v>0</v>
      </c>
      <c r="AC160" s="56">
        <f t="shared" si="45"/>
        <v>0</v>
      </c>
      <c r="AE160" s="56">
        <v>0</v>
      </c>
      <c r="AF160" s="56">
        <f t="shared" si="46"/>
        <v>0</v>
      </c>
      <c r="AG160" s="56">
        <f t="shared" si="47"/>
        <v>0</v>
      </c>
      <c r="AI160" s="56">
        <f t="shared" si="48"/>
        <v>0</v>
      </c>
      <c r="AJ160" s="56">
        <f t="shared" si="49"/>
        <v>0</v>
      </c>
      <c r="AK160" s="56">
        <f t="shared" si="50"/>
        <v>0</v>
      </c>
      <c r="AM160" s="56">
        <f t="shared" si="51"/>
        <v>437585</v>
      </c>
      <c r="AN160" s="56">
        <f t="shared" si="52"/>
        <v>46621</v>
      </c>
      <c r="AO160" s="56">
        <f t="shared" si="53"/>
        <v>127223</v>
      </c>
      <c r="AP160" s="56"/>
      <c r="AQ160" s="56">
        <f t="shared" si="54"/>
        <v>611429</v>
      </c>
      <c r="AR160" s="1"/>
      <c r="AS160" s="56">
        <v>1324.077031111751</v>
      </c>
      <c r="AT160" s="56">
        <v>141.06926715372086</v>
      </c>
      <c r="AU160" s="56">
        <v>384.96075534840156</v>
      </c>
      <c r="AV160" s="56"/>
      <c r="AW160" s="56">
        <v>1850.1070536138734</v>
      </c>
      <c r="AX160" s="1"/>
      <c r="AY160" s="16">
        <v>1.8992627879077739E-2</v>
      </c>
      <c r="AZ160" s="16">
        <v>-4.8722358290125056E-2</v>
      </c>
      <c r="BA160" s="16">
        <v>-2.3537077412205676E-3</v>
      </c>
      <c r="BB160" s="16">
        <f t="shared" si="55"/>
        <v>9.0236958383629329E-3</v>
      </c>
      <c r="BC160" s="16"/>
      <c r="BD160" s="1"/>
      <c r="BE160" s="16">
        <f>AM160/'2018-19 disagg'!AM160-1</f>
        <v>2.6789904450826851E-2</v>
      </c>
      <c r="BF160" s="16">
        <f>AN160/'2018-19 disagg'!AN160-1</f>
        <v>3.9695814098704263E-2</v>
      </c>
      <c r="BG160" s="16">
        <f>AO160/'2018-19 disagg'!AO160-1</f>
        <v>5.0934683661415736E-2</v>
      </c>
      <c r="BH160" s="16">
        <f>AQ160/'2018-19 disagg'!AQ160-1</f>
        <v>3.2704124202369345E-2</v>
      </c>
      <c r="BI160" s="1"/>
      <c r="BJ160" s="16">
        <f>AS160/'2018-19 disagg'!AS160-1</f>
        <v>1.3567004671108496E-2</v>
      </c>
      <c r="BK160" s="16">
        <f>AT160/'2018-19 disagg'!AT160-1</f>
        <v>2.6306713279123484E-2</v>
      </c>
      <c r="BL160" s="16">
        <f>AU160/'2018-19 disagg'!AU160-1</f>
        <v>3.740084978084468E-2</v>
      </c>
      <c r="BM160" s="16">
        <f>AW160/'2018-19 disagg'!AW160-1</f>
        <v>1.940506168019418E-2</v>
      </c>
    </row>
    <row r="161" spans="1:65" x14ac:dyDescent="0.2">
      <c r="A161" s="156" t="s">
        <v>367</v>
      </c>
      <c r="B161" s="156" t="s">
        <v>368</v>
      </c>
      <c r="D161" s="56">
        <f>VLOOKUP(A161,'2019-20'!$A$12:$AMX369,32,FALSE)</f>
        <v>351403</v>
      </c>
      <c r="E161" s="56">
        <v>1513.3805936885242</v>
      </c>
      <c r="F161" s="16">
        <f>VLOOKUP(A161,'2019-20'!$A$12:$AMX369,34,FALSE)</f>
        <v>3.0776360985711904E-2</v>
      </c>
      <c r="G161" s="16">
        <f>VLOOKUP(A161,'2019-20'!$A$12:$AMX369,35,FALSE)</f>
        <v>1.8464536282221333E-2</v>
      </c>
      <c r="H161" s="56"/>
      <c r="I161" s="56">
        <v>353188.89012986788</v>
      </c>
      <c r="J161" s="56">
        <v>1521.0718526276967</v>
      </c>
      <c r="K161" s="16">
        <f t="shared" si="40"/>
        <v>-5.0564731218222247E-3</v>
      </c>
      <c r="L161" s="58">
        <f t="shared" si="40"/>
        <v>-5.0564731218223358E-3</v>
      </c>
      <c r="M161" s="10"/>
      <c r="N161" s="56">
        <v>255816</v>
      </c>
      <c r="O161" s="56">
        <v>30230</v>
      </c>
      <c r="P161" s="56">
        <v>65357</v>
      </c>
      <c r="R161" s="56">
        <f t="shared" si="41"/>
        <v>65357</v>
      </c>
      <c r="S161" s="56">
        <f t="shared" si="42"/>
        <v>0</v>
      </c>
      <c r="U161" s="16">
        <v>-5.8302113454707927E-3</v>
      </c>
      <c r="V161" s="16">
        <v>3.7907247810391898E-2</v>
      </c>
      <c r="W161" s="56">
        <f t="shared" si="43"/>
        <v>1</v>
      </c>
      <c r="X161" s="56">
        <f t="shared" si="44"/>
        <v>2573.1620787452357</v>
      </c>
      <c r="Y161" s="56">
        <f t="shared" si="44"/>
        <v>291.25916659484113</v>
      </c>
      <c r="AA161" s="56">
        <f t="shared" si="56"/>
        <v>0</v>
      </c>
      <c r="AB161" s="56">
        <v>0</v>
      </c>
      <c r="AC161" s="56">
        <f t="shared" si="45"/>
        <v>0</v>
      </c>
      <c r="AE161" s="56">
        <v>0</v>
      </c>
      <c r="AF161" s="56">
        <f t="shared" si="46"/>
        <v>0</v>
      </c>
      <c r="AG161" s="56">
        <f t="shared" si="47"/>
        <v>0</v>
      </c>
      <c r="AI161" s="56">
        <f t="shared" si="48"/>
        <v>0</v>
      </c>
      <c r="AJ161" s="56">
        <f t="shared" si="49"/>
        <v>0</v>
      </c>
      <c r="AK161" s="56">
        <f t="shared" si="50"/>
        <v>0</v>
      </c>
      <c r="AM161" s="56">
        <f t="shared" si="51"/>
        <v>255816</v>
      </c>
      <c r="AN161" s="56">
        <f t="shared" si="52"/>
        <v>30230</v>
      </c>
      <c r="AO161" s="56">
        <f t="shared" si="53"/>
        <v>65357</v>
      </c>
      <c r="AP161" s="56"/>
      <c r="AQ161" s="56">
        <f t="shared" si="54"/>
        <v>351403</v>
      </c>
      <c r="AR161" s="1"/>
      <c r="AS161" s="56">
        <v>1101.7178850351975</v>
      </c>
      <c r="AT161" s="56">
        <v>130.19096407032407</v>
      </c>
      <c r="AU161" s="56">
        <v>281.47174458300265</v>
      </c>
      <c r="AV161" s="56"/>
      <c r="AW161" s="56">
        <v>1513.3805936885242</v>
      </c>
      <c r="AX161" s="1"/>
      <c r="AY161" s="16">
        <v>-5.8302113454707927E-3</v>
      </c>
      <c r="AZ161" s="16">
        <v>3.7907247810391898E-2</v>
      </c>
      <c r="BA161" s="16">
        <v>-2.082146727940315E-2</v>
      </c>
      <c r="BB161" s="16">
        <f t="shared" si="55"/>
        <v>-5.0564731218222247E-3</v>
      </c>
      <c r="BC161" s="16"/>
      <c r="BD161" s="1"/>
      <c r="BE161" s="16">
        <f>AM161/'2018-19 disagg'!AM161-1</f>
        <v>2.5820344297990516E-2</v>
      </c>
      <c r="BF161" s="16">
        <f>AN161/'2018-19 disagg'!AN161-1</f>
        <v>3.2233831865055018E-2</v>
      </c>
      <c r="BG161" s="16">
        <f>AO161/'2018-19 disagg'!AO161-1</f>
        <v>4.9945379771237697E-2</v>
      </c>
      <c r="BH161" s="16">
        <f>AQ161/'2018-19 disagg'!AQ161-1</f>
        <v>3.0776360985711904E-2</v>
      </c>
      <c r="BI161" s="1"/>
      <c r="BJ161" s="16">
        <f>AS161/'2018-19 disagg'!AS161-1</f>
        <v>1.3567715372552636E-2</v>
      </c>
      <c r="BK161" s="16">
        <f>AT161/'2018-19 disagg'!AT161-1</f>
        <v>1.9904598801559148E-2</v>
      </c>
      <c r="BL161" s="16">
        <f>AU161/'2018-19 disagg'!AU161-1</f>
        <v>3.7404595995771839E-2</v>
      </c>
      <c r="BM161" s="16">
        <f>AW161/'2018-19 disagg'!AW161-1</f>
        <v>1.8464536282221333E-2</v>
      </c>
    </row>
    <row r="162" spans="1:65" x14ac:dyDescent="0.2">
      <c r="A162" s="156" t="s">
        <v>369</v>
      </c>
      <c r="B162" s="156" t="s">
        <v>370</v>
      </c>
      <c r="D162" s="56">
        <f>VLOOKUP(A162,'2019-20'!$A$12:$AMX370,32,FALSE)</f>
        <v>617812</v>
      </c>
      <c r="E162" s="56">
        <v>1566.5367032995307</v>
      </c>
      <c r="F162" s="16">
        <f>VLOOKUP(A162,'2019-20'!$A$12:$AMX370,34,FALSE)</f>
        <v>3.2458818594593097E-2</v>
      </c>
      <c r="G162" s="16">
        <f>VLOOKUP(A162,'2019-20'!$A$12:$AMX370,35,FALSE)</f>
        <v>1.8801227331071368E-2</v>
      </c>
      <c r="H162" s="56"/>
      <c r="I162" s="56">
        <v>604881.97703122802</v>
      </c>
      <c r="J162" s="56">
        <v>1533.7510734394968</v>
      </c>
      <c r="K162" s="16">
        <f t="shared" si="40"/>
        <v>2.1376108827432461E-2</v>
      </c>
      <c r="L162" s="58">
        <f t="shared" si="40"/>
        <v>2.1376108827432239E-2</v>
      </c>
      <c r="M162" s="10"/>
      <c r="N162" s="56">
        <v>453045</v>
      </c>
      <c r="O162" s="56">
        <v>55078</v>
      </c>
      <c r="P162" s="56">
        <v>109689</v>
      </c>
      <c r="R162" s="56">
        <f t="shared" si="41"/>
        <v>109689</v>
      </c>
      <c r="S162" s="56">
        <f t="shared" si="42"/>
        <v>0</v>
      </c>
      <c r="U162" s="16">
        <v>3.8769910781256245E-2</v>
      </c>
      <c r="V162" s="16">
        <v>-4.1167657888099174E-2</v>
      </c>
      <c r="W162" s="56">
        <f t="shared" si="43"/>
        <v>3</v>
      </c>
      <c r="X162" s="56">
        <f t="shared" si="44"/>
        <v>4361.3604446750487</v>
      </c>
      <c r="Y162" s="56">
        <f t="shared" si="44"/>
        <v>574.42784917628592</v>
      </c>
      <c r="AA162" s="56">
        <f t="shared" si="56"/>
        <v>0</v>
      </c>
      <c r="AB162" s="56">
        <v>0</v>
      </c>
      <c r="AC162" s="56">
        <f t="shared" si="45"/>
        <v>0</v>
      </c>
      <c r="AE162" s="56">
        <v>0</v>
      </c>
      <c r="AF162" s="56">
        <f t="shared" si="46"/>
        <v>0</v>
      </c>
      <c r="AG162" s="56">
        <f t="shared" si="47"/>
        <v>0</v>
      </c>
      <c r="AI162" s="56">
        <f t="shared" si="48"/>
        <v>0</v>
      </c>
      <c r="AJ162" s="56">
        <f t="shared" si="49"/>
        <v>0</v>
      </c>
      <c r="AK162" s="56">
        <f t="shared" si="50"/>
        <v>0</v>
      </c>
      <c r="AM162" s="56">
        <f t="shared" si="51"/>
        <v>453045</v>
      </c>
      <c r="AN162" s="56">
        <f t="shared" si="52"/>
        <v>55078</v>
      </c>
      <c r="AO162" s="56">
        <f t="shared" si="53"/>
        <v>109689</v>
      </c>
      <c r="AP162" s="56"/>
      <c r="AQ162" s="56">
        <f t="shared" si="54"/>
        <v>617812</v>
      </c>
      <c r="AR162" s="1"/>
      <c r="AS162" s="56">
        <v>1148.7501387903374</v>
      </c>
      <c r="AT162" s="56">
        <v>139.65689974350053</v>
      </c>
      <c r="AU162" s="56">
        <v>278.12966476569284</v>
      </c>
      <c r="AV162" s="56"/>
      <c r="AW162" s="56">
        <v>1566.5367032995307</v>
      </c>
      <c r="AX162" s="1"/>
      <c r="AY162" s="16">
        <v>3.8769910781256245E-2</v>
      </c>
      <c r="AZ162" s="16">
        <v>-4.1167657888099174E-2</v>
      </c>
      <c r="BA162" s="16">
        <v>-1.450226413386746E-2</v>
      </c>
      <c r="BB162" s="16">
        <f t="shared" si="55"/>
        <v>2.1376108827432461E-2</v>
      </c>
      <c r="BC162" s="16"/>
      <c r="BD162" s="1"/>
      <c r="BE162" s="16">
        <f>AM162/'2018-19 disagg'!AM162-1</f>
        <v>2.7154543063654613E-2</v>
      </c>
      <c r="BF162" s="16">
        <f>AN162/'2018-19 disagg'!AN162-1</f>
        <v>3.9501745777106745E-2</v>
      </c>
      <c r="BG162" s="16">
        <f>AO162/'2018-19 disagg'!AO162-1</f>
        <v>5.1305397945100362E-2</v>
      </c>
      <c r="BH162" s="16">
        <f>AQ162/'2018-19 disagg'!AQ162-1</f>
        <v>3.2458818594593097E-2</v>
      </c>
      <c r="BI162" s="1"/>
      <c r="BJ162" s="16">
        <f>AS162/'2018-19 disagg'!AS162-1</f>
        <v>1.3567117917992366E-2</v>
      </c>
      <c r="BK162" s="16">
        <f>AT162/'2018-19 disagg'!AT162-1</f>
        <v>2.5750989131077429E-2</v>
      </c>
      <c r="BL162" s="16">
        <f>AU162/'2018-19 disagg'!AU162-1</f>
        <v>3.7398500004305779E-2</v>
      </c>
      <c r="BM162" s="16">
        <f>AW162/'2018-19 disagg'!AW162-1</f>
        <v>1.8801227331071368E-2</v>
      </c>
    </row>
    <row r="163" spans="1:65" x14ac:dyDescent="0.2">
      <c r="A163" s="156" t="s">
        <v>371</v>
      </c>
      <c r="B163" s="156" t="s">
        <v>372</v>
      </c>
      <c r="D163" s="56">
        <f>VLOOKUP(A163,'2019-20'!$A$12:$AMX371,32,FALSE)</f>
        <v>494193.05105141882</v>
      </c>
      <c r="E163" s="56">
        <v>1532.2916481984296</v>
      </c>
      <c r="F163" s="16">
        <f>VLOOKUP(A163,'2019-20'!$A$12:$AMX371,34,FALSE)</f>
        <v>3.7843496064285054E-2</v>
      </c>
      <c r="G163" s="16">
        <f>VLOOKUP(A163,'2019-20'!$A$12:$AMX371,35,FALSE)</f>
        <v>2.0744490987671949E-2</v>
      </c>
      <c r="H163" s="56"/>
      <c r="I163" s="56">
        <v>505392.18566750258</v>
      </c>
      <c r="J163" s="56">
        <v>1567.0156096195092</v>
      </c>
      <c r="K163" s="16">
        <f t="shared" si="40"/>
        <v>-2.2159295164590587E-2</v>
      </c>
      <c r="L163" s="58">
        <f t="shared" si="40"/>
        <v>-2.2159295164590587E-2</v>
      </c>
      <c r="M163" s="10"/>
      <c r="N163" s="56">
        <v>367210</v>
      </c>
      <c r="O163" s="56">
        <v>40053</v>
      </c>
      <c r="P163" s="56">
        <v>85922</v>
      </c>
      <c r="R163" s="56">
        <f t="shared" si="41"/>
        <v>85922</v>
      </c>
      <c r="S163" s="56">
        <f t="shared" si="42"/>
        <v>1008.0510514188209</v>
      </c>
      <c r="U163" s="16">
        <v>-1.5754588235500799E-2</v>
      </c>
      <c r="V163" s="16">
        <v>-4.7141444787978104E-2</v>
      </c>
      <c r="W163" s="56">
        <f t="shared" si="43"/>
        <v>4</v>
      </c>
      <c r="X163" s="56">
        <f t="shared" si="44"/>
        <v>3730.878453796262</v>
      </c>
      <c r="Y163" s="56">
        <f t="shared" si="44"/>
        <v>420.34570378693564</v>
      </c>
      <c r="AA163" s="56">
        <f t="shared" si="56"/>
        <v>0</v>
      </c>
      <c r="AB163" s="56">
        <v>0</v>
      </c>
      <c r="AC163" s="56">
        <f t="shared" si="45"/>
        <v>1008.0510514188209</v>
      </c>
      <c r="AE163" s="56">
        <v>0</v>
      </c>
      <c r="AF163" s="56">
        <f t="shared" si="46"/>
        <v>0</v>
      </c>
      <c r="AG163" s="56">
        <f t="shared" si="47"/>
        <v>1008.0510514188209</v>
      </c>
      <c r="AI163" s="56">
        <f t="shared" si="48"/>
        <v>905.97756355674971</v>
      </c>
      <c r="AJ163" s="56">
        <f t="shared" si="49"/>
        <v>102.07348786207106</v>
      </c>
      <c r="AK163" s="56">
        <f t="shared" si="50"/>
        <v>0</v>
      </c>
      <c r="AM163" s="56">
        <f t="shared" si="51"/>
        <v>368116</v>
      </c>
      <c r="AN163" s="56">
        <f t="shared" si="52"/>
        <v>40155</v>
      </c>
      <c r="AO163" s="56">
        <f t="shared" si="53"/>
        <v>85922</v>
      </c>
      <c r="AP163" s="56"/>
      <c r="AQ163" s="56">
        <f t="shared" si="54"/>
        <v>494193</v>
      </c>
      <c r="AR163" s="1"/>
      <c r="AS163" s="56">
        <v>1141.3779921999039</v>
      </c>
      <c r="AT163" s="56">
        <v>124.50432275909536</v>
      </c>
      <c r="AU163" s="56">
        <v>266.40917494974451</v>
      </c>
      <c r="AV163" s="56"/>
      <c r="AW163" s="56">
        <v>1532.2914899087439</v>
      </c>
      <c r="AX163" s="1"/>
      <c r="AY163" s="16">
        <v>-1.332620572124843E-2</v>
      </c>
      <c r="AZ163" s="16">
        <v>-4.4714870682876717E-2</v>
      </c>
      <c r="BA163" s="16">
        <v>-4.8164185125950221E-2</v>
      </c>
      <c r="BB163" s="16">
        <f t="shared" si="55"/>
        <v>-2.2159396178061397E-2</v>
      </c>
      <c r="BC163" s="16"/>
      <c r="BD163" s="1"/>
      <c r="BE163" s="16">
        <f>AM163/'2018-19 disagg'!AM163-1</f>
        <v>3.308767813743585E-2</v>
      </c>
      <c r="BF163" s="16">
        <f>AN163/'2018-19 disagg'!AN163-1</f>
        <v>4.6057258967879822E-2</v>
      </c>
      <c r="BG163" s="16">
        <f>AO163/'2018-19 disagg'!AO163-1</f>
        <v>5.4775349864964351E-2</v>
      </c>
      <c r="BH163" s="16">
        <f>AQ163/'2018-19 disagg'!AQ163-1</f>
        <v>3.7843388852370818E-2</v>
      </c>
      <c r="BI163" s="1"/>
      <c r="BJ163" s="16">
        <f>AS163/'2018-19 disagg'!AS163-1</f>
        <v>1.606702760578349E-2</v>
      </c>
      <c r="BK163" s="16">
        <f>AT163/'2018-19 disagg'!AT163-1</f>
        <v>2.8822927925338915E-2</v>
      </c>
      <c r="BL163" s="16">
        <f>AU163/'2018-19 disagg'!AU163-1</f>
        <v>3.7397383793565053E-2</v>
      </c>
      <c r="BM163" s="16">
        <f>AW163/'2018-19 disagg'!AW163-1</f>
        <v>2.0744385542128985E-2</v>
      </c>
    </row>
    <row r="164" spans="1:65" x14ac:dyDescent="0.2">
      <c r="A164" s="156" t="s">
        <v>373</v>
      </c>
      <c r="B164" s="156" t="s">
        <v>374</v>
      </c>
      <c r="D164" s="56">
        <f>VLOOKUP(A164,'2019-20'!$A$12:$AMX372,32,FALSE)</f>
        <v>326915</v>
      </c>
      <c r="E164" s="56">
        <v>1482.6081727431545</v>
      </c>
      <c r="F164" s="16">
        <f>VLOOKUP(A164,'2019-20'!$A$12:$AMX372,34,FALSE)</f>
        <v>3.0747596661653498E-2</v>
      </c>
      <c r="G164" s="16">
        <f>VLOOKUP(A164,'2019-20'!$A$12:$AMX372,35,FALSE)</f>
        <v>1.8696989663664176E-2</v>
      </c>
      <c r="H164" s="56"/>
      <c r="I164" s="56">
        <v>321381.7518792646</v>
      </c>
      <c r="J164" s="56">
        <v>1457.514069121057</v>
      </c>
      <c r="K164" s="16">
        <f t="shared" ref="K164:L220" si="57">D164/I164-1</f>
        <v>1.7217057559677729E-2</v>
      </c>
      <c r="L164" s="58">
        <f t="shared" si="57"/>
        <v>1.7217057559677729E-2</v>
      </c>
      <c r="M164" s="10"/>
      <c r="N164" s="56">
        <v>243091</v>
      </c>
      <c r="O164" s="56">
        <v>26515</v>
      </c>
      <c r="P164" s="56">
        <v>57309</v>
      </c>
      <c r="R164" s="56">
        <f t="shared" si="41"/>
        <v>57309</v>
      </c>
      <c r="S164" s="56">
        <f t="shared" si="42"/>
        <v>0</v>
      </c>
      <c r="U164" s="16">
        <v>2.4867966999110092E-2</v>
      </c>
      <c r="V164" s="16">
        <v>-4.8625876225686038E-2</v>
      </c>
      <c r="W164" s="56">
        <f t="shared" si="43"/>
        <v>3</v>
      </c>
      <c r="X164" s="56">
        <f t="shared" si="44"/>
        <v>2371.925046226087</v>
      </c>
      <c r="Y164" s="56">
        <f t="shared" si="44"/>
        <v>278.70213554693987</v>
      </c>
      <c r="AA164" s="56">
        <f t="shared" si="56"/>
        <v>0</v>
      </c>
      <c r="AB164" s="56">
        <v>0</v>
      </c>
      <c r="AC164" s="56">
        <f t="shared" si="45"/>
        <v>0</v>
      </c>
      <c r="AE164" s="56">
        <v>0</v>
      </c>
      <c r="AF164" s="56">
        <f t="shared" si="46"/>
        <v>0</v>
      </c>
      <c r="AG164" s="56">
        <f t="shared" si="47"/>
        <v>0</v>
      </c>
      <c r="AI164" s="56">
        <f t="shared" si="48"/>
        <v>0</v>
      </c>
      <c r="AJ164" s="56">
        <f t="shared" si="49"/>
        <v>0</v>
      </c>
      <c r="AK164" s="56">
        <f t="shared" si="50"/>
        <v>0</v>
      </c>
      <c r="AM164" s="56">
        <f t="shared" si="51"/>
        <v>243091</v>
      </c>
      <c r="AN164" s="56">
        <f t="shared" si="52"/>
        <v>26515</v>
      </c>
      <c r="AO164" s="56">
        <f t="shared" si="53"/>
        <v>57309</v>
      </c>
      <c r="AP164" s="56"/>
      <c r="AQ164" s="56">
        <f t="shared" si="54"/>
        <v>326915</v>
      </c>
      <c r="AR164" s="1"/>
      <c r="AS164" s="56">
        <v>1102.453859016277</v>
      </c>
      <c r="AT164" s="56">
        <v>120.24947065838136</v>
      </c>
      <c r="AU164" s="56">
        <v>259.90484306849618</v>
      </c>
      <c r="AV164" s="56"/>
      <c r="AW164" s="56">
        <v>1482.6081727431545</v>
      </c>
      <c r="AX164" s="1"/>
      <c r="AY164" s="16">
        <v>2.4867966999110092E-2</v>
      </c>
      <c r="AZ164" s="16">
        <v>-4.8625876225686038E-2</v>
      </c>
      <c r="BA164" s="16">
        <v>1.7577828186416733E-2</v>
      </c>
      <c r="BB164" s="16">
        <f t="shared" si="55"/>
        <v>1.7217057559677729E-2</v>
      </c>
      <c r="BC164" s="16"/>
      <c r="BD164" s="1"/>
      <c r="BE164" s="16">
        <f>AM164/'2018-19 disagg'!AM164-1</f>
        <v>2.5557622778263012E-2</v>
      </c>
      <c r="BF164" s="16">
        <f>AN164/'2018-19 disagg'!AN164-1</f>
        <v>3.846003211530169E-2</v>
      </c>
      <c r="BG164" s="16">
        <f>AO164/'2018-19 disagg'!AO164-1</f>
        <v>4.9673058959283534E-2</v>
      </c>
      <c r="BH164" s="16">
        <f>AQ164/'2018-19 disagg'!AQ164-1</f>
        <v>3.0747596661653498E-2</v>
      </c>
      <c r="BI164" s="1"/>
      <c r="BJ164" s="16">
        <f>AS164/'2018-19 disagg'!AS164-1</f>
        <v>1.3567692453982261E-2</v>
      </c>
      <c r="BK164" s="16">
        <f>AT164/'2018-19 disagg'!AT164-1</f>
        <v>2.6319258010495838E-2</v>
      </c>
      <c r="BL164" s="16">
        <f>AU164/'2018-19 disagg'!AU164-1</f>
        <v>3.7401191868966288E-2</v>
      </c>
      <c r="BM164" s="16">
        <f>AW164/'2018-19 disagg'!AW164-1</f>
        <v>1.8696989663664176E-2</v>
      </c>
    </row>
    <row r="165" spans="1:65" x14ac:dyDescent="0.2">
      <c r="A165" s="156" t="s">
        <v>375</v>
      </c>
      <c r="B165" s="156" t="s">
        <v>376</v>
      </c>
      <c r="D165" s="56">
        <f>VLOOKUP(A165,'2019-20'!$A$12:$AMX373,32,FALSE)</f>
        <v>603802</v>
      </c>
      <c r="E165" s="56">
        <v>1835.4476380136464</v>
      </c>
      <c r="F165" s="16">
        <f>VLOOKUP(A165,'2019-20'!$A$12:$AMX373,34,FALSE)</f>
        <v>3.1759213692038601E-2</v>
      </c>
      <c r="G165" s="16">
        <f>VLOOKUP(A165,'2019-20'!$A$12:$AMX373,35,FALSE)</f>
        <v>1.9713567989061431E-2</v>
      </c>
      <c r="H165" s="56"/>
      <c r="I165" s="56">
        <v>595983.37352357036</v>
      </c>
      <c r="J165" s="56">
        <v>1811.6804436375535</v>
      </c>
      <c r="K165" s="16">
        <f t="shared" si="57"/>
        <v>1.3118866773420779E-2</v>
      </c>
      <c r="L165" s="58">
        <f t="shared" si="57"/>
        <v>1.3118866773420779E-2</v>
      </c>
      <c r="M165" s="10"/>
      <c r="N165" s="56">
        <v>424011</v>
      </c>
      <c r="O165" s="56">
        <v>46469</v>
      </c>
      <c r="P165" s="56">
        <v>133322</v>
      </c>
      <c r="R165" s="56">
        <f t="shared" si="41"/>
        <v>133322</v>
      </c>
      <c r="S165" s="56">
        <f t="shared" si="42"/>
        <v>0</v>
      </c>
      <c r="U165" s="16">
        <v>2.1397850505626259E-2</v>
      </c>
      <c r="V165" s="16">
        <v>-4.8525536753058485E-2</v>
      </c>
      <c r="W165" s="56">
        <f t="shared" si="43"/>
        <v>3</v>
      </c>
      <c r="X165" s="56">
        <f t="shared" si="44"/>
        <v>4151.2814990759998</v>
      </c>
      <c r="Y165" s="56">
        <f t="shared" si="44"/>
        <v>488.38935562624386</v>
      </c>
      <c r="AA165" s="56">
        <f t="shared" si="56"/>
        <v>0</v>
      </c>
      <c r="AB165" s="56">
        <v>0</v>
      </c>
      <c r="AC165" s="56">
        <f t="shared" si="45"/>
        <v>0</v>
      </c>
      <c r="AE165" s="56">
        <v>0</v>
      </c>
      <c r="AF165" s="56">
        <f t="shared" si="46"/>
        <v>0</v>
      </c>
      <c r="AG165" s="56">
        <f t="shared" si="47"/>
        <v>0</v>
      </c>
      <c r="AI165" s="56">
        <f t="shared" si="48"/>
        <v>0</v>
      </c>
      <c r="AJ165" s="56">
        <f t="shared" si="49"/>
        <v>0</v>
      </c>
      <c r="AK165" s="56">
        <f t="shared" si="50"/>
        <v>0</v>
      </c>
      <c r="AM165" s="56">
        <f t="shared" si="51"/>
        <v>424011</v>
      </c>
      <c r="AN165" s="56">
        <f t="shared" si="52"/>
        <v>46469</v>
      </c>
      <c r="AO165" s="56">
        <f t="shared" si="53"/>
        <v>133322</v>
      </c>
      <c r="AP165" s="56"/>
      <c r="AQ165" s="56">
        <f t="shared" si="54"/>
        <v>603802</v>
      </c>
      <c r="AR165" s="1"/>
      <c r="AS165" s="56">
        <v>1288.9158837529592</v>
      </c>
      <c r="AT165" s="56">
        <v>141.25726031191704</v>
      </c>
      <c r="AU165" s="56">
        <v>405.27449394877027</v>
      </c>
      <c r="AV165" s="56"/>
      <c r="AW165" s="56">
        <v>1835.4476380136464</v>
      </c>
      <c r="AX165" s="1"/>
      <c r="AY165" s="16">
        <v>2.1397850505626259E-2</v>
      </c>
      <c r="AZ165" s="16">
        <v>-4.8525536753058485E-2</v>
      </c>
      <c r="BA165" s="16">
        <v>9.8905367353328E-3</v>
      </c>
      <c r="BB165" s="16">
        <f t="shared" si="55"/>
        <v>1.3118866773420779E-2</v>
      </c>
      <c r="BC165" s="16"/>
      <c r="BD165" s="1"/>
      <c r="BE165" s="16">
        <f>AM165/'2018-19 disagg'!AM165-1</f>
        <v>2.5538635682013977E-2</v>
      </c>
      <c r="BF165" s="16">
        <f>AN165/'2018-19 disagg'!AN165-1</f>
        <v>3.8436613108672857E-2</v>
      </c>
      <c r="BG165" s="16">
        <f>AO165/'2018-19 disagg'!AO165-1</f>
        <v>4.9655552493800048E-2</v>
      </c>
      <c r="BH165" s="16">
        <f>AQ165/'2018-19 disagg'!AQ165-1</f>
        <v>3.1759213692038601E-2</v>
      </c>
      <c r="BI165" s="1"/>
      <c r="BJ165" s="16">
        <f>AS165/'2018-19 disagg'!AS165-1</f>
        <v>1.3565614364438039E-2</v>
      </c>
      <c r="BK165" s="16">
        <f>AT165/'2018-19 disagg'!AT165-1</f>
        <v>2.6313009693738731E-2</v>
      </c>
      <c r="BL165" s="16">
        <f>AU165/'2018-19 disagg'!AU165-1</f>
        <v>3.7400969517740634E-2</v>
      </c>
      <c r="BM165" s="16">
        <f>AW165/'2018-19 disagg'!AW165-1</f>
        <v>1.9713567989061431E-2</v>
      </c>
    </row>
    <row r="166" spans="1:65" x14ac:dyDescent="0.2">
      <c r="A166" s="156" t="s">
        <v>377</v>
      </c>
      <c r="B166" s="156" t="s">
        <v>378</v>
      </c>
      <c r="D166" s="56">
        <f>VLOOKUP(A166,'2019-20'!$A$12:$AMX374,32,FALSE)</f>
        <v>341293</v>
      </c>
      <c r="E166" s="56">
        <v>1697.4441630656024</v>
      </c>
      <c r="F166" s="16">
        <f>VLOOKUP(A166,'2019-20'!$A$12:$AMX374,34,FALSE)</f>
        <v>3.2000846663239768E-2</v>
      </c>
      <c r="G166" s="16">
        <f>VLOOKUP(A166,'2019-20'!$A$12:$AMX374,35,FALSE)</f>
        <v>1.8357439168234624E-2</v>
      </c>
      <c r="H166" s="56"/>
      <c r="I166" s="56">
        <v>345477.45767887472</v>
      </c>
      <c r="J166" s="56">
        <v>1718.2558505675463</v>
      </c>
      <c r="K166" s="16">
        <f t="shared" si="57"/>
        <v>-1.2112100473901877E-2</v>
      </c>
      <c r="L166" s="58">
        <f t="shared" si="57"/>
        <v>-1.2112100473901877E-2</v>
      </c>
      <c r="M166" s="10"/>
      <c r="N166" s="56">
        <v>252531</v>
      </c>
      <c r="O166" s="56">
        <v>27141</v>
      </c>
      <c r="P166" s="56">
        <v>61621</v>
      </c>
      <c r="R166" s="56">
        <f t="shared" si="41"/>
        <v>61621</v>
      </c>
      <c r="S166" s="56">
        <f t="shared" si="42"/>
        <v>0</v>
      </c>
      <c r="U166" s="16">
        <v>-2.4438578603478534E-2</v>
      </c>
      <c r="V166" s="16">
        <v>2.5837586518820732E-2</v>
      </c>
      <c r="W166" s="56">
        <f t="shared" si="43"/>
        <v>1</v>
      </c>
      <c r="X166" s="56">
        <f t="shared" si="44"/>
        <v>2588.5709957503291</v>
      </c>
      <c r="Y166" s="56">
        <f t="shared" si="44"/>
        <v>264.57404521609476</v>
      </c>
      <c r="AA166" s="56">
        <f t="shared" si="56"/>
        <v>0</v>
      </c>
      <c r="AB166" s="56">
        <v>0</v>
      </c>
      <c r="AC166" s="56">
        <f t="shared" si="45"/>
        <v>0</v>
      </c>
      <c r="AE166" s="56">
        <v>0</v>
      </c>
      <c r="AF166" s="56">
        <f t="shared" si="46"/>
        <v>0</v>
      </c>
      <c r="AG166" s="56">
        <f t="shared" si="47"/>
        <v>0</v>
      </c>
      <c r="AI166" s="56">
        <f t="shared" si="48"/>
        <v>0</v>
      </c>
      <c r="AJ166" s="56">
        <f t="shared" si="49"/>
        <v>0</v>
      </c>
      <c r="AK166" s="56">
        <f t="shared" si="50"/>
        <v>0</v>
      </c>
      <c r="AM166" s="56">
        <f t="shared" si="51"/>
        <v>252531</v>
      </c>
      <c r="AN166" s="56">
        <f t="shared" si="52"/>
        <v>27141</v>
      </c>
      <c r="AO166" s="56">
        <f t="shared" si="53"/>
        <v>61621</v>
      </c>
      <c r="AP166" s="56"/>
      <c r="AQ166" s="56">
        <f t="shared" si="54"/>
        <v>341293</v>
      </c>
      <c r="AR166" s="1"/>
      <c r="AS166" s="56">
        <v>1255.9802631261691</v>
      </c>
      <c r="AT166" s="56">
        <v>134.98762655478873</v>
      </c>
      <c r="AU166" s="56">
        <v>306.47627338464451</v>
      </c>
      <c r="AV166" s="56"/>
      <c r="AW166" s="56">
        <v>1697.4441630656024</v>
      </c>
      <c r="AX166" s="1"/>
      <c r="AY166" s="16">
        <v>-2.4438578603478534E-2</v>
      </c>
      <c r="AZ166" s="16">
        <v>2.5837586518820732E-2</v>
      </c>
      <c r="BA166" s="16">
        <v>2.423495408640064E-2</v>
      </c>
      <c r="BB166" s="16">
        <f t="shared" si="55"/>
        <v>-1.2112100473901877E-2</v>
      </c>
      <c r="BC166" s="16"/>
      <c r="BD166" s="1"/>
      <c r="BE166" s="16">
        <f>AM166/'2018-19 disagg'!AM166-1</f>
        <v>2.7145861212005462E-2</v>
      </c>
      <c r="BF166" s="16">
        <f>AN166/'2018-19 disagg'!AN166-1</f>
        <v>3.4376310072792515E-2</v>
      </c>
      <c r="BG166" s="16">
        <f>AO166/'2018-19 disagg'!AO166-1</f>
        <v>5.1301736786433239E-2</v>
      </c>
      <c r="BH166" s="16">
        <f>AQ166/'2018-19 disagg'!AQ166-1</f>
        <v>3.2000846663239768E-2</v>
      </c>
      <c r="BI166" s="1"/>
      <c r="BJ166" s="16">
        <f>AS166/'2018-19 disagg'!AS166-1</f>
        <v>1.356663830086724E-2</v>
      </c>
      <c r="BK166" s="16">
        <f>AT166/'2018-19 disagg'!AT166-1</f>
        <v>2.070149813137534E-2</v>
      </c>
      <c r="BL166" s="16">
        <f>AU166/'2018-19 disagg'!AU166-1</f>
        <v>3.740316486029549E-2</v>
      </c>
      <c r="BM166" s="16">
        <f>AW166/'2018-19 disagg'!AW166-1</f>
        <v>1.8357439168234624E-2</v>
      </c>
    </row>
    <row r="167" spans="1:65" x14ac:dyDescent="0.2">
      <c r="A167" s="156" t="s">
        <v>379</v>
      </c>
      <c r="B167" s="156" t="s">
        <v>380</v>
      </c>
      <c r="D167" s="56">
        <f>VLOOKUP(A167,'2019-20'!$A$12:$AMX375,32,FALSE)</f>
        <v>580936</v>
      </c>
      <c r="E167" s="56">
        <v>1818.6405927184667</v>
      </c>
      <c r="F167" s="16">
        <f>VLOOKUP(A167,'2019-20'!$A$12:$AMX375,34,FALSE)</f>
        <v>3.8695212178210481E-2</v>
      </c>
      <c r="G167" s="16">
        <f>VLOOKUP(A167,'2019-20'!$A$12:$AMX375,35,FALSE)</f>
        <v>2.0435309583771932E-2</v>
      </c>
      <c r="H167" s="56"/>
      <c r="I167" s="56">
        <v>539837.26823451056</v>
      </c>
      <c r="J167" s="56">
        <v>1689.9795665504087</v>
      </c>
      <c r="K167" s="16">
        <f t="shared" si="57"/>
        <v>7.6131705207939993E-2</v>
      </c>
      <c r="L167" s="58">
        <f t="shared" si="57"/>
        <v>7.6131705207939993E-2</v>
      </c>
      <c r="M167" s="10"/>
      <c r="N167" s="56">
        <v>388134</v>
      </c>
      <c r="O167" s="56">
        <v>47370</v>
      </c>
      <c r="P167" s="56">
        <v>145432</v>
      </c>
      <c r="R167" s="56">
        <f t="shared" si="41"/>
        <v>145432</v>
      </c>
      <c r="S167" s="56">
        <f t="shared" si="42"/>
        <v>0</v>
      </c>
      <c r="U167" s="16">
        <v>4.2854593475896818E-2</v>
      </c>
      <c r="V167" s="16">
        <v>-4.3004671140416728E-2</v>
      </c>
      <c r="W167" s="56">
        <f t="shared" si="43"/>
        <v>3</v>
      </c>
      <c r="X167" s="56">
        <f t="shared" si="44"/>
        <v>3721.8419751724555</v>
      </c>
      <c r="Y167" s="56">
        <f t="shared" si="44"/>
        <v>494.98674206120859</v>
      </c>
      <c r="AA167" s="56">
        <f t="shared" si="56"/>
        <v>0</v>
      </c>
      <c r="AB167" s="56">
        <v>0</v>
      </c>
      <c r="AC167" s="56">
        <f t="shared" si="45"/>
        <v>0</v>
      </c>
      <c r="AE167" s="56">
        <v>0</v>
      </c>
      <c r="AF167" s="56">
        <f t="shared" si="46"/>
        <v>0</v>
      </c>
      <c r="AG167" s="56">
        <f t="shared" si="47"/>
        <v>0</v>
      </c>
      <c r="AI167" s="56">
        <f t="shared" si="48"/>
        <v>0</v>
      </c>
      <c r="AJ167" s="56">
        <f t="shared" si="49"/>
        <v>0</v>
      </c>
      <c r="AK167" s="56">
        <f t="shared" si="50"/>
        <v>0</v>
      </c>
      <c r="AM167" s="56">
        <f t="shared" si="51"/>
        <v>388134</v>
      </c>
      <c r="AN167" s="56">
        <f t="shared" si="52"/>
        <v>47370</v>
      </c>
      <c r="AO167" s="56">
        <f t="shared" si="53"/>
        <v>145432</v>
      </c>
      <c r="AP167" s="56"/>
      <c r="AQ167" s="56">
        <f t="shared" si="54"/>
        <v>580936</v>
      </c>
      <c r="AR167" s="1"/>
      <c r="AS167" s="56">
        <v>1215.0671464915058</v>
      </c>
      <c r="AT167" s="56">
        <v>148.29345207918561</v>
      </c>
      <c r="AU167" s="56">
        <v>455.27999414777543</v>
      </c>
      <c r="AV167" s="56"/>
      <c r="AW167" s="56">
        <v>1818.6405927184667</v>
      </c>
      <c r="AX167" s="1"/>
      <c r="AY167" s="16">
        <v>4.2854593475896818E-2</v>
      </c>
      <c r="AZ167" s="16">
        <v>-4.3004671140416728E-2</v>
      </c>
      <c r="BA167" s="16">
        <v>0.23086405833644186</v>
      </c>
      <c r="BB167" s="16">
        <f t="shared" si="55"/>
        <v>7.6131705207939993E-2</v>
      </c>
      <c r="BC167" s="16"/>
      <c r="BD167" s="1"/>
      <c r="BE167" s="16">
        <f>AM167/'2018-19 disagg'!AM167-1</f>
        <v>3.1703291007344259E-2</v>
      </c>
      <c r="BF167" s="16">
        <f>AN167/'2018-19 disagg'!AN167-1</f>
        <v>4.4243105614708123E-2</v>
      </c>
      <c r="BG167" s="16">
        <f>AO167/'2018-19 disagg'!AO167-1</f>
        <v>5.5967006476721481E-2</v>
      </c>
      <c r="BH167" s="16">
        <f>AQ167/'2018-19 disagg'!AQ167-1</f>
        <v>3.8695212178210481E-2</v>
      </c>
      <c r="BI167" s="1"/>
      <c r="BJ167" s="16">
        <f>AS167/'2018-19 disagg'!AS167-1</f>
        <v>1.356630396891445E-2</v>
      </c>
      <c r="BK167" s="16">
        <f>AT167/'2018-19 disagg'!AT167-1</f>
        <v>2.5885672972410623E-2</v>
      </c>
      <c r="BL167" s="16">
        <f>AU167/'2018-19 disagg'!AU167-1</f>
        <v>3.7403471712013969E-2</v>
      </c>
      <c r="BM167" s="16">
        <f>AW167/'2018-19 disagg'!AW167-1</f>
        <v>2.0435309583771932E-2</v>
      </c>
    </row>
    <row r="168" spans="1:65" x14ac:dyDescent="0.2">
      <c r="A168" s="156" t="s">
        <v>381</v>
      </c>
      <c r="B168" s="156" t="s">
        <v>382</v>
      </c>
      <c r="D168" s="56">
        <f>VLOOKUP(A168,'2019-20'!$A$12:$AMX376,32,FALSE)</f>
        <v>511031.45626197994</v>
      </c>
      <c r="E168" s="56">
        <v>1635.0818465663369</v>
      </c>
      <c r="F168" s="16">
        <f>VLOOKUP(A168,'2019-20'!$A$12:$AMX376,34,FALSE)</f>
        <v>3.188647173487591E-2</v>
      </c>
      <c r="G168" s="16">
        <f>VLOOKUP(A168,'2019-20'!$A$12:$AMX376,35,FALSE)</f>
        <v>2.00824857981734E-2</v>
      </c>
      <c r="H168" s="56"/>
      <c r="I168" s="56">
        <v>522322.29111745302</v>
      </c>
      <c r="J168" s="56">
        <v>1671.207683593673</v>
      </c>
      <c r="K168" s="16">
        <f t="shared" si="57"/>
        <v>-2.1616605393803057E-2</v>
      </c>
      <c r="L168" s="58">
        <f t="shared" si="57"/>
        <v>-2.1616605393803057E-2</v>
      </c>
      <c r="M168" s="10"/>
      <c r="N168" s="56">
        <v>364237</v>
      </c>
      <c r="O168" s="56">
        <v>41738</v>
      </c>
      <c r="P168" s="56">
        <v>104715</v>
      </c>
      <c r="R168" s="56">
        <f t="shared" si="41"/>
        <v>104715</v>
      </c>
      <c r="S168" s="56">
        <f t="shared" si="42"/>
        <v>341.45626197993988</v>
      </c>
      <c r="U168" s="16">
        <v>-2.5886816642130883E-2</v>
      </c>
      <c r="V168" s="16">
        <v>-4.8311831183473153E-2</v>
      </c>
      <c r="W168" s="56">
        <f t="shared" si="43"/>
        <v>4</v>
      </c>
      <c r="X168" s="56">
        <f t="shared" si="44"/>
        <v>3739.1650808424265</v>
      </c>
      <c r="Y168" s="56">
        <f t="shared" si="44"/>
        <v>438.56802435511361</v>
      </c>
      <c r="AA168" s="56">
        <f t="shared" si="56"/>
        <v>0</v>
      </c>
      <c r="AB168" s="56">
        <v>0</v>
      </c>
      <c r="AC168" s="56">
        <f t="shared" si="45"/>
        <v>341.45626197993988</v>
      </c>
      <c r="AE168" s="56">
        <v>0</v>
      </c>
      <c r="AF168" s="56">
        <f t="shared" si="46"/>
        <v>0</v>
      </c>
      <c r="AG168" s="56">
        <f t="shared" si="47"/>
        <v>341.45626197993988</v>
      </c>
      <c r="AI168" s="56">
        <f t="shared" si="48"/>
        <v>305.61103337165054</v>
      </c>
      <c r="AJ168" s="56">
        <f t="shared" si="49"/>
        <v>35.845228608289347</v>
      </c>
      <c r="AK168" s="56">
        <f t="shared" si="50"/>
        <v>0</v>
      </c>
      <c r="AM168" s="56">
        <f t="shared" si="51"/>
        <v>364543</v>
      </c>
      <c r="AN168" s="56">
        <f t="shared" si="52"/>
        <v>41774</v>
      </c>
      <c r="AO168" s="56">
        <f t="shared" si="53"/>
        <v>104715</v>
      </c>
      <c r="AP168" s="56"/>
      <c r="AQ168" s="56">
        <f t="shared" si="54"/>
        <v>511032</v>
      </c>
      <c r="AR168" s="1"/>
      <c r="AS168" s="56">
        <v>1166.3815099618128</v>
      </c>
      <c r="AT168" s="56">
        <v>133.65891320679526</v>
      </c>
      <c r="AU168" s="56">
        <v>335.04316312657551</v>
      </c>
      <c r="AV168" s="56"/>
      <c r="AW168" s="56">
        <v>1635.0835862951833</v>
      </c>
      <c r="AX168" s="1"/>
      <c r="AY168" s="16">
        <v>-2.5068452131914998E-2</v>
      </c>
      <c r="AZ168" s="16">
        <v>-4.749097790642598E-2</v>
      </c>
      <c r="BA168" s="16">
        <v>1.5879581163955603E-3</v>
      </c>
      <c r="BB168" s="16">
        <f t="shared" si="55"/>
        <v>-2.1615564392816977E-2</v>
      </c>
      <c r="BC168" s="16"/>
      <c r="BD168" s="1"/>
      <c r="BE168" s="16">
        <f>AM168/'2018-19 disagg'!AM168-1</f>
        <v>2.6156154380986951E-2</v>
      </c>
      <c r="BF168" s="16">
        <f>AN168/'2018-19 disagg'!AN168-1</f>
        <v>3.9050840712366863E-2</v>
      </c>
      <c r="BG168" s="16">
        <f>AO168/'2018-19 disagg'!AO168-1</f>
        <v>4.9406223380267678E-2</v>
      </c>
      <c r="BH168" s="16">
        <f>AQ168/'2018-19 disagg'!AQ168-1</f>
        <v>3.1887569663193505E-2</v>
      </c>
      <c r="BI168" s="1"/>
      <c r="BJ168" s="16">
        <f>AS168/'2018-19 disagg'!AS168-1</f>
        <v>1.4417718858318329E-2</v>
      </c>
      <c r="BK168" s="16">
        <f>AT168/'2018-19 disagg'!AT168-1</f>
        <v>2.7164899916314988E-2</v>
      </c>
      <c r="BL168" s="16">
        <f>AU168/'2018-19 disagg'!AU168-1</f>
        <v>3.7401824987639554E-2</v>
      </c>
      <c r="BM168" s="16">
        <f>AW168/'2018-19 disagg'!AW168-1</f>
        <v>2.0083571167037295E-2</v>
      </c>
    </row>
    <row r="169" spans="1:65" x14ac:dyDescent="0.2">
      <c r="A169" s="156" t="s">
        <v>383</v>
      </c>
      <c r="B169" s="156" t="s">
        <v>384</v>
      </c>
      <c r="D169" s="56">
        <f>VLOOKUP(A169,'2019-20'!$A$12:$AMX377,32,FALSE)</f>
        <v>607976</v>
      </c>
      <c r="E169" s="56">
        <v>1527.5537543459097</v>
      </c>
      <c r="F169" s="16">
        <f>VLOOKUP(A169,'2019-20'!$A$12:$AMX377,34,FALSE)</f>
        <v>2.8308349077107664E-2</v>
      </c>
      <c r="G169" s="16">
        <f>VLOOKUP(A169,'2019-20'!$A$12:$AMX377,35,FALSE)</f>
        <v>1.9278921502960067E-2</v>
      </c>
      <c r="H169" s="56"/>
      <c r="I169" s="56">
        <v>591617.41795225837</v>
      </c>
      <c r="J169" s="56">
        <v>1486.4524387959482</v>
      </c>
      <c r="K169" s="16">
        <f t="shared" si="57"/>
        <v>2.7650609247379609E-2</v>
      </c>
      <c r="L169" s="58">
        <f t="shared" si="57"/>
        <v>2.7650609247379832E-2</v>
      </c>
      <c r="M169" s="10"/>
      <c r="N169" s="56">
        <v>436306</v>
      </c>
      <c r="O169" s="56">
        <v>50634</v>
      </c>
      <c r="P169" s="56">
        <v>121036</v>
      </c>
      <c r="R169" s="56">
        <f t="shared" si="41"/>
        <v>121036</v>
      </c>
      <c r="S169" s="56">
        <f t="shared" si="42"/>
        <v>0</v>
      </c>
      <c r="U169" s="16">
        <v>4.5116825382560233E-2</v>
      </c>
      <c r="V169" s="16">
        <v>-4.8099557261591319E-2</v>
      </c>
      <c r="W169" s="56">
        <f t="shared" si="43"/>
        <v>3</v>
      </c>
      <c r="X169" s="56">
        <f t="shared" si="44"/>
        <v>4174.7103233199996</v>
      </c>
      <c r="Y169" s="56">
        <f t="shared" si="44"/>
        <v>531.92537503540905</v>
      </c>
      <c r="AA169" s="56">
        <f t="shared" si="56"/>
        <v>0</v>
      </c>
      <c r="AB169" s="56">
        <v>0</v>
      </c>
      <c r="AC169" s="56">
        <f t="shared" si="45"/>
        <v>0</v>
      </c>
      <c r="AE169" s="56">
        <v>0</v>
      </c>
      <c r="AF169" s="56">
        <f t="shared" si="46"/>
        <v>0</v>
      </c>
      <c r="AG169" s="56">
        <f t="shared" si="47"/>
        <v>0</v>
      </c>
      <c r="AI169" s="56">
        <f t="shared" si="48"/>
        <v>0</v>
      </c>
      <c r="AJ169" s="56">
        <f t="shared" si="49"/>
        <v>0</v>
      </c>
      <c r="AK169" s="56">
        <f t="shared" si="50"/>
        <v>0</v>
      </c>
      <c r="AM169" s="56">
        <f t="shared" si="51"/>
        <v>436306</v>
      </c>
      <c r="AN169" s="56">
        <f t="shared" si="52"/>
        <v>50634</v>
      </c>
      <c r="AO169" s="56">
        <f t="shared" si="53"/>
        <v>121036</v>
      </c>
      <c r="AP169" s="56"/>
      <c r="AQ169" s="56">
        <f t="shared" si="54"/>
        <v>607976</v>
      </c>
      <c r="AR169" s="1"/>
      <c r="AS169" s="56">
        <v>1096.2289109169546</v>
      </c>
      <c r="AT169" s="56">
        <v>127.219095486583</v>
      </c>
      <c r="AU169" s="56">
        <v>304.10574794237192</v>
      </c>
      <c r="AV169" s="56"/>
      <c r="AW169" s="56">
        <v>1527.5537543459097</v>
      </c>
      <c r="AX169" s="1"/>
      <c r="AY169" s="16">
        <v>4.5116825382560233E-2</v>
      </c>
      <c r="AZ169" s="16">
        <v>-4.8099557261591319E-2</v>
      </c>
      <c r="BA169" s="16">
        <v>6.7920024506551435E-4</v>
      </c>
      <c r="BB169" s="16">
        <f t="shared" si="55"/>
        <v>2.7650609247379609E-2</v>
      </c>
      <c r="BC169" s="16"/>
      <c r="BD169" s="1"/>
      <c r="BE169" s="16">
        <f>AM169/'2018-19 disagg'!AM169-1</f>
        <v>2.2545853391018111E-2</v>
      </c>
      <c r="BF169" s="16">
        <f>AN169/'2018-19 disagg'!AN169-1</f>
        <v>3.5354258255801962E-2</v>
      </c>
      <c r="BG169" s="16">
        <f>AO169/'2018-19 disagg'!AO169-1</f>
        <v>4.6589651355838368E-2</v>
      </c>
      <c r="BH169" s="16">
        <f>AQ169/'2018-19 disagg'!AQ169-1</f>
        <v>2.8308349077107664E-2</v>
      </c>
      <c r="BI169" s="1"/>
      <c r="BJ169" s="16">
        <f>AS169/'2018-19 disagg'!AS169-1</f>
        <v>1.3567025461899807E-2</v>
      </c>
      <c r="BK169" s="16">
        <f>AT169/'2018-19 disagg'!AT169-1</f>
        <v>2.6262961567511622E-2</v>
      </c>
      <c r="BL169" s="16">
        <f>AU169/'2018-19 disagg'!AU169-1</f>
        <v>3.7399698298225426E-2</v>
      </c>
      <c r="BM169" s="16">
        <f>AW169/'2018-19 disagg'!AW169-1</f>
        <v>1.9278921502960067E-2</v>
      </c>
    </row>
    <row r="170" spans="1:65" x14ac:dyDescent="0.2">
      <c r="A170" s="156" t="s">
        <v>385</v>
      </c>
      <c r="B170" s="156" t="s">
        <v>386</v>
      </c>
      <c r="D170" s="56">
        <f>VLOOKUP(A170,'2019-20'!$A$12:$AMX378,32,FALSE)</f>
        <v>477745</v>
      </c>
      <c r="E170" s="56">
        <v>1922.3214026044295</v>
      </c>
      <c r="F170" s="16">
        <f>VLOOKUP(A170,'2019-20'!$A$12:$AMX378,34,FALSE)</f>
        <v>8.9672839858161435E-3</v>
      </c>
      <c r="G170" s="16">
        <f>VLOOKUP(A170,'2019-20'!$A$12:$AMX378,35,FALSE)</f>
        <v>5.1706414912415788E-3</v>
      </c>
      <c r="H170" s="56"/>
      <c r="I170" s="56">
        <v>406162.55985023425</v>
      </c>
      <c r="J170" s="56">
        <v>1634.2923143867708</v>
      </c>
      <c r="K170" s="16">
        <f t="shared" si="57"/>
        <v>0.17624086320551213</v>
      </c>
      <c r="L170" s="58">
        <f t="shared" si="57"/>
        <v>0.17624086320551213</v>
      </c>
      <c r="M170" s="10"/>
      <c r="N170" s="56">
        <v>354366</v>
      </c>
      <c r="O170" s="56">
        <v>38050</v>
      </c>
      <c r="P170" s="56">
        <v>85329</v>
      </c>
      <c r="R170" s="56">
        <f t="shared" si="41"/>
        <v>85329</v>
      </c>
      <c r="S170" s="56">
        <f>D170-SUM(N170:P170)</f>
        <v>0</v>
      </c>
      <c r="U170" s="16">
        <v>0.23823447219867622</v>
      </c>
      <c r="V170" s="16">
        <v>4.6399694193528296E-2</v>
      </c>
      <c r="W170" s="56">
        <f t="shared" si="43"/>
        <v>2</v>
      </c>
      <c r="X170" s="56">
        <f t="shared" si="44"/>
        <v>2861.8650825539412</v>
      </c>
      <c r="Y170" s="56">
        <f t="shared" si="44"/>
        <v>363.62778210983282</v>
      </c>
      <c r="AA170" s="56">
        <f t="shared" si="56"/>
        <v>0</v>
      </c>
      <c r="AB170" s="56">
        <v>0</v>
      </c>
      <c r="AC170" s="56">
        <f t="shared" si="45"/>
        <v>0</v>
      </c>
      <c r="AE170" s="56">
        <v>0</v>
      </c>
      <c r="AF170" s="56">
        <f t="shared" si="46"/>
        <v>0</v>
      </c>
      <c r="AG170" s="56">
        <f t="shared" si="47"/>
        <v>0</v>
      </c>
      <c r="AI170" s="56">
        <f t="shared" si="48"/>
        <v>0</v>
      </c>
      <c r="AJ170" s="56">
        <f t="shared" si="49"/>
        <v>0</v>
      </c>
      <c r="AK170" s="56">
        <f t="shared" si="50"/>
        <v>0</v>
      </c>
      <c r="AM170" s="56">
        <f t="shared" si="51"/>
        <v>354366</v>
      </c>
      <c r="AN170" s="56">
        <f t="shared" si="52"/>
        <v>38050</v>
      </c>
      <c r="AO170" s="56">
        <f t="shared" si="53"/>
        <v>85329</v>
      </c>
      <c r="AP170" s="56"/>
      <c r="AQ170" s="56">
        <f t="shared" si="54"/>
        <v>477745</v>
      </c>
      <c r="AR170" s="1"/>
      <c r="AS170" s="56">
        <v>1425.8764532445578</v>
      </c>
      <c r="AT170" s="56">
        <v>153.10328599796657</v>
      </c>
      <c r="AU170" s="56">
        <v>343.34166336190509</v>
      </c>
      <c r="AV170" s="56"/>
      <c r="AW170" s="56">
        <v>1922.3214026044295</v>
      </c>
      <c r="AX170" s="1"/>
      <c r="AY170" s="16">
        <v>0.23823447219867622</v>
      </c>
      <c r="AZ170" s="16">
        <v>4.6399694193528296E-2</v>
      </c>
      <c r="BA170" s="16">
        <v>2.0519787668956013E-2</v>
      </c>
      <c r="BB170" s="16">
        <f t="shared" si="55"/>
        <v>0.17624086320551213</v>
      </c>
      <c r="BC170" s="16"/>
      <c r="BD170" s="1"/>
      <c r="BE170" s="16">
        <f>AM170/'2018-19 disagg'!AM170-1</f>
        <v>1.8628281117694101E-4</v>
      </c>
      <c r="BF170" s="16">
        <f>AN170/'2018-19 disagg'!AN170-1</f>
        <v>2.1312003435688176E-2</v>
      </c>
      <c r="BG170" s="16">
        <f>AO170/'2018-19 disagg'!AO170-1</f>
        <v>4.1321406343433953E-2</v>
      </c>
      <c r="BH170" s="16">
        <f>AQ170/'2018-19 disagg'!AQ170-1</f>
        <v>8.9672839858161435E-3</v>
      </c>
      <c r="BI170" s="1"/>
      <c r="BJ170" s="16">
        <f>AS170/'2018-19 disagg'!AS170-1</f>
        <v>-3.5773176584147359E-3</v>
      </c>
      <c r="BK170" s="16">
        <f>AT170/'2018-19 disagg'!AT170-1</f>
        <v>1.7468909002392508E-2</v>
      </c>
      <c r="BL170" s="16">
        <f>AU170/'2018-19 disagg'!AU170-1</f>
        <v>3.7403018537819355E-2</v>
      </c>
      <c r="BM170" s="16">
        <f>AW170/'2018-19 disagg'!AW170-1</f>
        <v>5.1706414912415788E-3</v>
      </c>
    </row>
    <row r="171" spans="1:65" x14ac:dyDescent="0.2">
      <c r="A171" s="156" t="s">
        <v>387</v>
      </c>
      <c r="B171" s="156" t="s">
        <v>388</v>
      </c>
      <c r="D171" s="56">
        <f>VLOOKUP(A171,'2019-20'!$A$12:$AMX379,32,FALSE)</f>
        <v>204487</v>
      </c>
      <c r="E171" s="56">
        <v>1534.948992570125</v>
      </c>
      <c r="F171" s="16">
        <f>VLOOKUP(A171,'2019-20'!$A$12:$AMX379,34,FALSE)</f>
        <v>2.859629178780887E-2</v>
      </c>
      <c r="G171" s="16">
        <f>VLOOKUP(A171,'2019-20'!$A$12:$AMX379,35,FALSE)</f>
        <v>1.8105948995396748E-2</v>
      </c>
      <c r="H171" s="56"/>
      <c r="I171" s="56">
        <v>204207.2809698731</v>
      </c>
      <c r="J171" s="56">
        <v>1532.8493263639798</v>
      </c>
      <c r="K171" s="16">
        <f t="shared" si="57"/>
        <v>1.3697799059777527E-3</v>
      </c>
      <c r="L171" s="58">
        <f t="shared" si="57"/>
        <v>1.3697799059779747E-3</v>
      </c>
      <c r="M171" s="10"/>
      <c r="N171" s="56">
        <v>152616</v>
      </c>
      <c r="O171" s="56">
        <v>17310</v>
      </c>
      <c r="P171" s="56">
        <v>34561</v>
      </c>
      <c r="R171" s="56">
        <f t="shared" si="41"/>
        <v>34561</v>
      </c>
      <c r="S171" s="56">
        <f t="shared" si="42"/>
        <v>0</v>
      </c>
      <c r="U171" s="16">
        <v>1.8451634137548245E-2</v>
      </c>
      <c r="V171" s="16">
        <v>2.8450230795378229E-2</v>
      </c>
      <c r="W171" s="56">
        <f t="shared" si="43"/>
        <v>2</v>
      </c>
      <c r="X171" s="56">
        <f t="shared" si="44"/>
        <v>1498.5100409725324</v>
      </c>
      <c r="Y171" s="56">
        <f t="shared" si="44"/>
        <v>168.31149900771445</v>
      </c>
      <c r="AA171" s="56">
        <f t="shared" si="56"/>
        <v>0</v>
      </c>
      <c r="AB171" s="56">
        <v>0</v>
      </c>
      <c r="AC171" s="56">
        <f t="shared" si="45"/>
        <v>0</v>
      </c>
      <c r="AE171" s="56">
        <v>0</v>
      </c>
      <c r="AF171" s="56">
        <f t="shared" si="46"/>
        <v>0</v>
      </c>
      <c r="AG171" s="56">
        <f t="shared" si="47"/>
        <v>0</v>
      </c>
      <c r="AI171" s="56">
        <f t="shared" si="48"/>
        <v>0</v>
      </c>
      <c r="AJ171" s="56">
        <f t="shared" si="49"/>
        <v>0</v>
      </c>
      <c r="AK171" s="56">
        <f t="shared" si="50"/>
        <v>0</v>
      </c>
      <c r="AM171" s="56">
        <f t="shared" si="51"/>
        <v>152616</v>
      </c>
      <c r="AN171" s="56">
        <f t="shared" si="52"/>
        <v>17310</v>
      </c>
      <c r="AO171" s="56">
        <f t="shared" si="53"/>
        <v>34561</v>
      </c>
      <c r="AP171" s="56"/>
      <c r="AQ171" s="56">
        <f t="shared" si="54"/>
        <v>204487</v>
      </c>
      <c r="AR171" s="1"/>
      <c r="AS171" s="56">
        <v>1145.5876190177478</v>
      </c>
      <c r="AT171" s="56">
        <v>129.93474920845267</v>
      </c>
      <c r="AU171" s="56">
        <v>259.42662434392452</v>
      </c>
      <c r="AV171" s="56"/>
      <c r="AW171" s="56">
        <v>1534.948992570125</v>
      </c>
      <c r="AX171" s="1"/>
      <c r="AY171" s="16">
        <v>1.8451634137548245E-2</v>
      </c>
      <c r="AZ171" s="16">
        <v>2.8450230795378229E-2</v>
      </c>
      <c r="BA171" s="16">
        <v>-7.8990458155468457E-2</v>
      </c>
      <c r="BB171" s="16">
        <f t="shared" si="55"/>
        <v>1.3697799059777527E-3</v>
      </c>
      <c r="BC171" s="16"/>
      <c r="BD171" s="1"/>
      <c r="BE171" s="16">
        <f>AM171/'2018-19 disagg'!AM171-1</f>
        <v>2.400730015163921E-2</v>
      </c>
      <c r="BF171" s="16">
        <f>AN171/'2018-19 disagg'!AN171-1</f>
        <v>3.1032223479659393E-2</v>
      </c>
      <c r="BG171" s="16">
        <f>AO171/'2018-19 disagg'!AO171-1</f>
        <v>4.8097043214556434E-2</v>
      </c>
      <c r="BH171" s="16">
        <f>AQ171/'2018-19 disagg'!AQ171-1</f>
        <v>2.859629178780887E-2</v>
      </c>
      <c r="BI171" s="1"/>
      <c r="BJ171" s="16">
        <f>AS171/'2018-19 disagg'!AS171-1</f>
        <v>1.3563759098373041E-2</v>
      </c>
      <c r="BK171" s="16">
        <f>AT171/'2018-19 disagg'!AT171-1</f>
        <v>2.05170373559318E-2</v>
      </c>
      <c r="BL171" s="16">
        <f>AU171/'2018-19 disagg'!AU171-1</f>
        <v>3.7407818150441141E-2</v>
      </c>
      <c r="BM171" s="16">
        <f>AW171/'2018-19 disagg'!AW171-1</f>
        <v>1.8105948995396748E-2</v>
      </c>
    </row>
    <row r="172" spans="1:65" x14ac:dyDescent="0.2">
      <c r="A172" s="156" t="s">
        <v>389</v>
      </c>
      <c r="B172" s="156" t="s">
        <v>390</v>
      </c>
      <c r="D172" s="56">
        <f>VLOOKUP(A172,'2019-20'!$A$12:$AMX380,32,FALSE)</f>
        <v>328350</v>
      </c>
      <c r="E172" s="56">
        <v>1519.0775321148869</v>
      </c>
      <c r="F172" s="16">
        <f>VLOOKUP(A172,'2019-20'!$A$12:$AMX380,34,FALSE)</f>
        <v>2.8633188183327496E-2</v>
      </c>
      <c r="G172" s="16">
        <f>VLOOKUP(A172,'2019-20'!$A$12:$AMX380,35,FALSE)</f>
        <v>1.8564127825220877E-2</v>
      </c>
      <c r="H172" s="56"/>
      <c r="I172" s="56">
        <v>333703.25768033898</v>
      </c>
      <c r="J172" s="56">
        <v>1543.8438286454927</v>
      </c>
      <c r="K172" s="16">
        <f t="shared" si="57"/>
        <v>-1.6041970095080571E-2</v>
      </c>
      <c r="L172" s="58">
        <f t="shared" si="57"/>
        <v>-1.6041970095080682E-2</v>
      </c>
      <c r="M172" s="10"/>
      <c r="N172" s="56">
        <v>241240</v>
      </c>
      <c r="O172" s="56">
        <v>27937</v>
      </c>
      <c r="P172" s="56">
        <v>59173</v>
      </c>
      <c r="R172" s="56">
        <f t="shared" si="41"/>
        <v>59173</v>
      </c>
      <c r="S172" s="56">
        <f t="shared" si="42"/>
        <v>0</v>
      </c>
      <c r="U172" s="16">
        <v>-4.7921990361570077E-2</v>
      </c>
      <c r="V172" s="16">
        <v>-1.4645069417023038E-3</v>
      </c>
      <c r="W172" s="56">
        <f t="shared" si="43"/>
        <v>4</v>
      </c>
      <c r="X172" s="56">
        <f t="shared" si="44"/>
        <v>2533.8259844024292</v>
      </c>
      <c r="Y172" s="56">
        <f t="shared" si="44"/>
        <v>279.77973937045567</v>
      </c>
      <c r="AA172" s="56">
        <f t="shared" si="56"/>
        <v>0</v>
      </c>
      <c r="AB172" s="56">
        <v>0</v>
      </c>
      <c r="AC172" s="56">
        <f t="shared" si="45"/>
        <v>0</v>
      </c>
      <c r="AE172" s="56">
        <v>0</v>
      </c>
      <c r="AF172" s="56">
        <f t="shared" si="46"/>
        <v>0</v>
      </c>
      <c r="AG172" s="56">
        <f t="shared" si="47"/>
        <v>0</v>
      </c>
      <c r="AI172" s="56">
        <f t="shared" si="48"/>
        <v>0</v>
      </c>
      <c r="AJ172" s="56">
        <f t="shared" si="49"/>
        <v>0</v>
      </c>
      <c r="AK172" s="56">
        <f t="shared" si="50"/>
        <v>0</v>
      </c>
      <c r="AM172" s="56">
        <f t="shared" si="51"/>
        <v>241240</v>
      </c>
      <c r="AN172" s="56">
        <f t="shared" si="52"/>
        <v>27937</v>
      </c>
      <c r="AO172" s="56">
        <f t="shared" si="53"/>
        <v>59173</v>
      </c>
      <c r="AP172" s="56"/>
      <c r="AQ172" s="56">
        <f t="shared" si="54"/>
        <v>328350</v>
      </c>
      <c r="AR172" s="1"/>
      <c r="AS172" s="56">
        <v>1116.0720689733373</v>
      </c>
      <c r="AT172" s="56">
        <v>129.24765955441936</v>
      </c>
      <c r="AU172" s="56">
        <v>273.75780358713018</v>
      </c>
      <c r="AV172" s="56"/>
      <c r="AW172" s="56">
        <v>1519.0775321148869</v>
      </c>
      <c r="AX172" s="1"/>
      <c r="AY172" s="16">
        <v>-4.7921990361570077E-2</v>
      </c>
      <c r="AZ172" s="16">
        <v>-1.4645069417023038E-3</v>
      </c>
      <c r="BA172" s="16">
        <v>0.13049224848522334</v>
      </c>
      <c r="BB172" s="16">
        <f t="shared" si="55"/>
        <v>-1.6041970095080571E-2</v>
      </c>
      <c r="BC172" s="16"/>
      <c r="BD172" s="1"/>
      <c r="BE172" s="16">
        <f>AM172/'2018-19 disagg'!AM172-1</f>
        <v>2.3586967129297642E-2</v>
      </c>
      <c r="BF172" s="16">
        <f>AN172/'2018-19 disagg'!AN172-1</f>
        <v>3.286749482401663E-2</v>
      </c>
      <c r="BG172" s="16">
        <f>AO172/'2018-19 disagg'!AO172-1</f>
        <v>4.7662045643667827E-2</v>
      </c>
      <c r="BH172" s="16">
        <f>AQ172/'2018-19 disagg'!AQ172-1</f>
        <v>2.8633188183327496E-2</v>
      </c>
      <c r="BI172" s="1"/>
      <c r="BJ172" s="16">
        <f>AS172/'2018-19 disagg'!AS172-1</f>
        <v>1.3567303101152728E-2</v>
      </c>
      <c r="BK172" s="16">
        <f>AT172/'2018-19 disagg'!AT172-1</f>
        <v>2.2756985784660122E-2</v>
      </c>
      <c r="BL172" s="16">
        <f>AU172/'2018-19 disagg'!AU172-1</f>
        <v>3.7406716053228983E-2</v>
      </c>
      <c r="BM172" s="16">
        <f>AW172/'2018-19 disagg'!AW172-1</f>
        <v>1.8564127825220877E-2</v>
      </c>
    </row>
    <row r="173" spans="1:65" x14ac:dyDescent="0.2">
      <c r="A173" s="156" t="s">
        <v>391</v>
      </c>
      <c r="B173" s="156" t="s">
        <v>392</v>
      </c>
      <c r="D173" s="56">
        <f>VLOOKUP(A173,'2019-20'!$A$12:$AMX381,32,FALSE)</f>
        <v>216521.66940206059</v>
      </c>
      <c r="E173" s="56">
        <v>1488.512618949884</v>
      </c>
      <c r="F173" s="16">
        <f>VLOOKUP(A173,'2019-20'!$A$12:$AMX381,34,FALSE)</f>
        <v>2.9795295291289214E-2</v>
      </c>
      <c r="G173" s="16">
        <f>VLOOKUP(A173,'2019-20'!$A$12:$AMX381,35,FALSE)</f>
        <v>2.0230629383579446E-2</v>
      </c>
      <c r="H173" s="56"/>
      <c r="I173" s="56">
        <v>221162.62354416394</v>
      </c>
      <c r="J173" s="56">
        <v>1520.4175955906323</v>
      </c>
      <c r="K173" s="16">
        <f t="shared" si="57"/>
        <v>-2.0984351097537934E-2</v>
      </c>
      <c r="L173" s="58">
        <f t="shared" si="57"/>
        <v>-2.0984351097538045E-2</v>
      </c>
      <c r="M173" s="10"/>
      <c r="N173" s="56">
        <v>164918</v>
      </c>
      <c r="O173" s="56">
        <v>17597</v>
      </c>
      <c r="P173" s="56">
        <v>33579</v>
      </c>
      <c r="R173" s="56">
        <f t="shared" si="41"/>
        <v>33579</v>
      </c>
      <c r="S173" s="56">
        <f t="shared" si="42"/>
        <v>427.66940206059371</v>
      </c>
      <c r="U173" s="16">
        <v>-1.4033815365578794E-2</v>
      </c>
      <c r="V173" s="16">
        <v>-4.5610797022063165E-2</v>
      </c>
      <c r="W173" s="56">
        <f t="shared" si="43"/>
        <v>4</v>
      </c>
      <c r="X173" s="56">
        <f t="shared" si="44"/>
        <v>1672.6537133841834</v>
      </c>
      <c r="Y173" s="56">
        <f t="shared" si="44"/>
        <v>184.37970531406776</v>
      </c>
      <c r="AA173" s="56">
        <f t="shared" si="56"/>
        <v>0</v>
      </c>
      <c r="AB173" s="56">
        <v>0</v>
      </c>
      <c r="AC173" s="56">
        <f t="shared" si="45"/>
        <v>427.66940206059371</v>
      </c>
      <c r="AE173" s="56">
        <v>0</v>
      </c>
      <c r="AF173" s="56">
        <f t="shared" si="46"/>
        <v>0</v>
      </c>
      <c r="AG173" s="56">
        <f t="shared" si="47"/>
        <v>427.66940206059371</v>
      </c>
      <c r="AI173" s="56">
        <f t="shared" si="48"/>
        <v>385.20729150845796</v>
      </c>
      <c r="AJ173" s="56">
        <f t="shared" si="49"/>
        <v>42.462110552135805</v>
      </c>
      <c r="AK173" s="56">
        <f t="shared" si="50"/>
        <v>0</v>
      </c>
      <c r="AM173" s="56">
        <f t="shared" si="51"/>
        <v>165303</v>
      </c>
      <c r="AN173" s="56">
        <f t="shared" si="52"/>
        <v>17639</v>
      </c>
      <c r="AO173" s="56">
        <f t="shared" si="53"/>
        <v>33579</v>
      </c>
      <c r="AP173" s="56"/>
      <c r="AQ173" s="56">
        <f t="shared" si="54"/>
        <v>216521</v>
      </c>
      <c r="AR173" s="1"/>
      <c r="AS173" s="56">
        <v>1136.4017381252049</v>
      </c>
      <c r="AT173" s="56">
        <v>121.26210812139217</v>
      </c>
      <c r="AU173" s="56">
        <v>230.84417079246148</v>
      </c>
      <c r="AV173" s="56"/>
      <c r="AW173" s="56">
        <v>1488.5080170390586</v>
      </c>
      <c r="AX173" s="1"/>
      <c r="AY173" s="16">
        <v>-1.173208371054868E-2</v>
      </c>
      <c r="AZ173" s="16">
        <v>-4.3332889053371071E-2</v>
      </c>
      <c r="BA173" s="16">
        <v>-5.3026502104794204E-2</v>
      </c>
      <c r="BB173" s="16">
        <f t="shared" si="55"/>
        <v>-2.0987377838900811E-2</v>
      </c>
      <c r="BC173" s="16"/>
      <c r="BD173" s="1"/>
      <c r="BE173" s="16">
        <f>AM173/'2018-19 disagg'!AM173-1</f>
        <v>2.5459215007537228E-2</v>
      </c>
      <c r="BF173" s="16">
        <f>AN173/'2018-19 disagg'!AN173-1</f>
        <v>3.8198940553266558E-2</v>
      </c>
      <c r="BG173" s="16">
        <f>AO173/'2018-19 disagg'!AO173-1</f>
        <v>4.7118622926281661E-2</v>
      </c>
      <c r="BH173" s="16">
        <f>AQ173/'2018-19 disagg'!AQ173-1</f>
        <v>2.979211155871142E-2</v>
      </c>
      <c r="BI173" s="1"/>
      <c r="BJ173" s="16">
        <f>AS173/'2018-19 disagg'!AS173-1</f>
        <v>1.5934822306990837E-2</v>
      </c>
      <c r="BK173" s="16">
        <f>AT173/'2018-19 disagg'!AT173-1</f>
        <v>2.8556222182406943E-2</v>
      </c>
      <c r="BL173" s="16">
        <f>AU173/'2018-19 disagg'!AU173-1</f>
        <v>3.7393059176062726E-2</v>
      </c>
      <c r="BM173" s="16">
        <f>AW173/'2018-19 disagg'!AW173-1</f>
        <v>2.0227475221284985E-2</v>
      </c>
    </row>
    <row r="174" spans="1:65" x14ac:dyDescent="0.2">
      <c r="A174" s="156" t="s">
        <v>393</v>
      </c>
      <c r="B174" s="156" t="s">
        <v>394</v>
      </c>
      <c r="D174" s="56">
        <f>VLOOKUP(A174,'2019-20'!$A$12:$AMX382,32,FALSE)</f>
        <v>528403</v>
      </c>
      <c r="E174" s="56">
        <v>1655.4485044740179</v>
      </c>
      <c r="F174" s="16">
        <f>VLOOKUP(A174,'2019-20'!$A$12:$AMX382,34,FALSE)</f>
        <v>2.6242447430621318E-2</v>
      </c>
      <c r="G174" s="16">
        <f>VLOOKUP(A174,'2019-20'!$A$12:$AMX382,35,FALSE)</f>
        <v>1.9718736677084125E-2</v>
      </c>
      <c r="H174" s="56"/>
      <c r="I174" s="56">
        <v>513701.34240475215</v>
      </c>
      <c r="J174" s="56">
        <v>1609.3892711249603</v>
      </c>
      <c r="K174" s="16">
        <f t="shared" si="57"/>
        <v>2.8619075680094808E-2</v>
      </c>
      <c r="L174" s="58">
        <f t="shared" si="57"/>
        <v>2.8619075680094586E-2</v>
      </c>
      <c r="M174" s="10"/>
      <c r="N174" s="56">
        <v>381641</v>
      </c>
      <c r="O174" s="56">
        <v>43462</v>
      </c>
      <c r="P174" s="56">
        <v>103300</v>
      </c>
      <c r="R174" s="56">
        <f t="shared" si="41"/>
        <v>103300</v>
      </c>
      <c r="S174" s="56">
        <f t="shared" si="42"/>
        <v>0</v>
      </c>
      <c r="U174" s="16">
        <v>4.649548839652029E-2</v>
      </c>
      <c r="V174" s="16">
        <v>-4.9106479735838704E-2</v>
      </c>
      <c r="W174" s="56">
        <f t="shared" si="43"/>
        <v>3</v>
      </c>
      <c r="X174" s="56">
        <f t="shared" si="44"/>
        <v>3646.848020193233</v>
      </c>
      <c r="Y174" s="56">
        <f t="shared" si="44"/>
        <v>457.06484557730624</v>
      </c>
      <c r="AA174" s="56">
        <f t="shared" si="56"/>
        <v>0</v>
      </c>
      <c r="AB174" s="56">
        <v>0</v>
      </c>
      <c r="AC174" s="56">
        <f t="shared" si="45"/>
        <v>0</v>
      </c>
      <c r="AE174" s="56">
        <v>0</v>
      </c>
      <c r="AF174" s="56">
        <f t="shared" si="46"/>
        <v>0</v>
      </c>
      <c r="AG174" s="56">
        <f t="shared" si="47"/>
        <v>0</v>
      </c>
      <c r="AI174" s="56">
        <f t="shared" si="48"/>
        <v>0</v>
      </c>
      <c r="AJ174" s="56">
        <f t="shared" si="49"/>
        <v>0</v>
      </c>
      <c r="AK174" s="56">
        <f t="shared" si="50"/>
        <v>0</v>
      </c>
      <c r="AM174" s="56">
        <f t="shared" si="51"/>
        <v>381641</v>
      </c>
      <c r="AN174" s="56">
        <f t="shared" si="52"/>
        <v>43462</v>
      </c>
      <c r="AO174" s="56">
        <f t="shared" si="53"/>
        <v>103300</v>
      </c>
      <c r="AP174" s="56"/>
      <c r="AQ174" s="56">
        <f t="shared" si="54"/>
        <v>528403</v>
      </c>
      <c r="AR174" s="1"/>
      <c r="AS174" s="56">
        <v>1195.6537390892343</v>
      </c>
      <c r="AT174" s="56">
        <v>136.16331266372401</v>
      </c>
      <c r="AU174" s="56">
        <v>323.63145272105959</v>
      </c>
      <c r="AV174" s="56"/>
      <c r="AW174" s="56">
        <v>1655.4485044740179</v>
      </c>
      <c r="AX174" s="1"/>
      <c r="AY174" s="16">
        <v>4.649548839652029E-2</v>
      </c>
      <c r="AZ174" s="16">
        <v>-4.9106479735838704E-2</v>
      </c>
      <c r="BA174" s="16">
        <v>-9.7336388192759138E-5</v>
      </c>
      <c r="BB174" s="16">
        <f t="shared" si="55"/>
        <v>2.8619075680094808E-2</v>
      </c>
      <c r="BC174" s="16"/>
      <c r="BD174" s="1"/>
      <c r="BE174" s="16">
        <f>AM174/'2018-19 disagg'!AM174-1</f>
        <v>2.0782569388906769E-2</v>
      </c>
      <c r="BF174" s="16">
        <f>AN174/'2018-19 disagg'!AN174-1</f>
        <v>3.2915844760795787E-2</v>
      </c>
      <c r="BG174" s="16">
        <f>AO174/'2018-19 disagg'!AO174-1</f>
        <v>4.4035454756779169E-2</v>
      </c>
      <c r="BH174" s="16">
        <f>AQ174/'2018-19 disagg'!AQ174-1</f>
        <v>2.6242447430621318E-2</v>
      </c>
      <c r="BI174" s="1"/>
      <c r="BJ174" s="16">
        <f>AS174/'2018-19 disagg'!AS174-1</f>
        <v>1.4293566481632602E-2</v>
      </c>
      <c r="BK174" s="16">
        <f>AT174/'2018-19 disagg'!AT174-1</f>
        <v>2.6349711951890953E-2</v>
      </c>
      <c r="BL174" s="16">
        <f>AU174/'2018-19 disagg'!AU174-1</f>
        <v>3.7398635805932612E-2</v>
      </c>
      <c r="BM174" s="16">
        <f>AW174/'2018-19 disagg'!AW174-1</f>
        <v>1.9718736677084125E-2</v>
      </c>
    </row>
    <row r="175" spans="1:65" x14ac:dyDescent="0.2">
      <c r="A175" s="156" t="s">
        <v>395</v>
      </c>
      <c r="B175" s="156" t="s">
        <v>396</v>
      </c>
      <c r="D175" s="56">
        <f>VLOOKUP(A175,'2019-20'!$A$12:$AMX383,32,FALSE)</f>
        <v>356485</v>
      </c>
      <c r="E175" s="56">
        <v>1603.5363833092872</v>
      </c>
      <c r="F175" s="16">
        <f>VLOOKUP(A175,'2019-20'!$A$12:$AMX383,34,FALSE)</f>
        <v>2.5036086238922506E-2</v>
      </c>
      <c r="G175" s="16">
        <f>VLOOKUP(A175,'2019-20'!$A$12:$AMX383,35,FALSE)</f>
        <v>1.9710313615963315E-2</v>
      </c>
      <c r="H175" s="56"/>
      <c r="I175" s="56">
        <v>356763.98374958069</v>
      </c>
      <c r="J175" s="56">
        <v>1604.791304534036</v>
      </c>
      <c r="K175" s="16">
        <f t="shared" si="57"/>
        <v>-7.8198406310125979E-4</v>
      </c>
      <c r="L175" s="58">
        <f t="shared" si="57"/>
        <v>-7.8198406310114876E-4</v>
      </c>
      <c r="M175" s="10"/>
      <c r="N175" s="56">
        <v>272370</v>
      </c>
      <c r="O175" s="56">
        <v>28196</v>
      </c>
      <c r="P175" s="56">
        <v>55919</v>
      </c>
      <c r="R175" s="56">
        <f t="shared" si="41"/>
        <v>55919</v>
      </c>
      <c r="S175" s="56">
        <f t="shared" si="42"/>
        <v>0</v>
      </c>
      <c r="U175" s="16">
        <v>1.9559575848715482E-2</v>
      </c>
      <c r="V175" s="16">
        <v>-4.8312896744647671E-2</v>
      </c>
      <c r="W175" s="56">
        <f t="shared" si="43"/>
        <v>3</v>
      </c>
      <c r="X175" s="56">
        <f t="shared" si="44"/>
        <v>2671.4476176958083</v>
      </c>
      <c r="Y175" s="56">
        <f t="shared" si="44"/>
        <v>296.27384781775885</v>
      </c>
      <c r="AA175" s="56">
        <f t="shared" si="56"/>
        <v>0</v>
      </c>
      <c r="AB175" s="56">
        <v>0</v>
      </c>
      <c r="AC175" s="56">
        <f t="shared" si="45"/>
        <v>0</v>
      </c>
      <c r="AE175" s="56">
        <v>0</v>
      </c>
      <c r="AF175" s="56">
        <f t="shared" si="46"/>
        <v>0</v>
      </c>
      <c r="AG175" s="56">
        <f t="shared" si="47"/>
        <v>0</v>
      </c>
      <c r="AI175" s="56">
        <f t="shared" si="48"/>
        <v>0</v>
      </c>
      <c r="AJ175" s="56">
        <f t="shared" si="49"/>
        <v>0</v>
      </c>
      <c r="AK175" s="56">
        <f t="shared" si="50"/>
        <v>0</v>
      </c>
      <c r="AM175" s="56">
        <f t="shared" si="51"/>
        <v>272370</v>
      </c>
      <c r="AN175" s="56">
        <f t="shared" si="52"/>
        <v>28196</v>
      </c>
      <c r="AO175" s="56">
        <f t="shared" si="53"/>
        <v>55919</v>
      </c>
      <c r="AP175" s="56"/>
      <c r="AQ175" s="56">
        <f t="shared" si="54"/>
        <v>356485</v>
      </c>
      <c r="AR175" s="1"/>
      <c r="AS175" s="56">
        <v>1225.1713388275818</v>
      </c>
      <c r="AT175" s="56">
        <v>126.83089572854021</v>
      </c>
      <c r="AU175" s="56">
        <v>251.534148753165</v>
      </c>
      <c r="AV175" s="56"/>
      <c r="AW175" s="56">
        <v>1603.5363833092872</v>
      </c>
      <c r="AX175" s="1"/>
      <c r="AY175" s="16">
        <v>1.9559575848715482E-2</v>
      </c>
      <c r="AZ175" s="16">
        <v>-4.8312896744647671E-2</v>
      </c>
      <c r="BA175" s="16">
        <v>-6.7889856161040596E-2</v>
      </c>
      <c r="BB175" s="16">
        <f t="shared" si="55"/>
        <v>-7.8198406310125979E-4</v>
      </c>
      <c r="BC175" s="16"/>
      <c r="BD175" s="1"/>
      <c r="BE175" s="16">
        <f>AM175/'2018-19 disagg'!AM175-1</f>
        <v>2.0785236710340937E-2</v>
      </c>
      <c r="BF175" s="16">
        <f>AN175/'2018-19 disagg'!AN175-1</f>
        <v>3.1649043211005923E-2</v>
      </c>
      <c r="BG175" s="16">
        <f>AO175/'2018-19 disagg'!AO175-1</f>
        <v>4.2817447736978487E-2</v>
      </c>
      <c r="BH175" s="16">
        <f>AQ175/'2018-19 disagg'!AQ175-1</f>
        <v>2.5036086238922506E-2</v>
      </c>
      <c r="BI175" s="1"/>
      <c r="BJ175" s="16">
        <f>AS175/'2018-19 disagg'!AS175-1</f>
        <v>1.5481550195712401E-2</v>
      </c>
      <c r="BK175" s="16">
        <f>AT175/'2018-19 disagg'!AT175-1</f>
        <v>2.6288911695055761E-2</v>
      </c>
      <c r="BL175" s="16">
        <f>AU175/'2018-19 disagg'!AU175-1</f>
        <v>3.7399288621936977E-2</v>
      </c>
      <c r="BM175" s="16">
        <f>AW175/'2018-19 disagg'!AW175-1</f>
        <v>1.9710313615963315E-2</v>
      </c>
    </row>
    <row r="176" spans="1:65" x14ac:dyDescent="0.2">
      <c r="A176" s="156" t="s">
        <v>397</v>
      </c>
      <c r="B176" s="156" t="s">
        <v>398</v>
      </c>
      <c r="D176" s="56">
        <f>VLOOKUP(A176,'2019-20'!$A$12:$AMX384,32,FALSE)</f>
        <v>510109.95351381204</v>
      </c>
      <c r="E176" s="56">
        <v>1475.1965852255369</v>
      </c>
      <c r="F176" s="16">
        <f>VLOOKUP(A176,'2019-20'!$A$12:$AMX384,34,FALSE)</f>
        <v>2.7204900350004113E-2</v>
      </c>
      <c r="G176" s="16">
        <f>VLOOKUP(A176,'2019-20'!$A$12:$AMX384,35,FALSE)</f>
        <v>2.1095595089178243E-2</v>
      </c>
      <c r="H176" s="56"/>
      <c r="I176" s="56">
        <v>521754.45358555956</v>
      </c>
      <c r="J176" s="56">
        <v>1508.8715343696831</v>
      </c>
      <c r="K176" s="16">
        <f t="shared" si="57"/>
        <v>-2.2317969672755233E-2</v>
      </c>
      <c r="L176" s="58">
        <f t="shared" si="57"/>
        <v>-2.2317969672755233E-2</v>
      </c>
      <c r="M176" s="10"/>
      <c r="N176" s="56">
        <v>377250</v>
      </c>
      <c r="O176" s="56">
        <v>42856</v>
      </c>
      <c r="P176" s="56">
        <v>89246</v>
      </c>
      <c r="R176" s="56">
        <f t="shared" si="41"/>
        <v>89246</v>
      </c>
      <c r="S176" s="56">
        <f t="shared" si="42"/>
        <v>757.95351381204091</v>
      </c>
      <c r="U176" s="16">
        <v>-4.1669093960518544E-2</v>
      </c>
      <c r="V176" s="16">
        <v>-4.701685228052821E-2</v>
      </c>
      <c r="W176" s="56">
        <f t="shared" si="43"/>
        <v>4</v>
      </c>
      <c r="X176" s="56">
        <f t="shared" si="44"/>
        <v>3936.5317096896174</v>
      </c>
      <c r="Y176" s="56">
        <f t="shared" si="44"/>
        <v>449.7036500861131</v>
      </c>
      <c r="AA176" s="56">
        <f t="shared" si="56"/>
        <v>0</v>
      </c>
      <c r="AB176" s="56">
        <v>0</v>
      </c>
      <c r="AC176" s="56">
        <f t="shared" si="45"/>
        <v>757.95351381204091</v>
      </c>
      <c r="AE176" s="56">
        <v>0</v>
      </c>
      <c r="AF176" s="56">
        <f t="shared" si="46"/>
        <v>0</v>
      </c>
      <c r="AG176" s="56">
        <f t="shared" si="47"/>
        <v>757.95351381204091</v>
      </c>
      <c r="AI176" s="56">
        <f t="shared" si="48"/>
        <v>680.24348828931159</v>
      </c>
      <c r="AJ176" s="56">
        <f t="shared" si="49"/>
        <v>77.710025522729339</v>
      </c>
      <c r="AK176" s="56">
        <f t="shared" si="50"/>
        <v>0</v>
      </c>
      <c r="AM176" s="56">
        <f t="shared" si="51"/>
        <v>377930</v>
      </c>
      <c r="AN176" s="56">
        <f t="shared" si="52"/>
        <v>42934</v>
      </c>
      <c r="AO176" s="56">
        <f t="shared" si="53"/>
        <v>89246</v>
      </c>
      <c r="AP176" s="56"/>
      <c r="AQ176" s="56">
        <f t="shared" si="54"/>
        <v>510110</v>
      </c>
      <c r="AR176" s="1"/>
      <c r="AS176" s="56">
        <v>1092.9428873400552</v>
      </c>
      <c r="AT176" s="56">
        <v>124.16164349233438</v>
      </c>
      <c r="AU176" s="56">
        <v>258.09218882742988</v>
      </c>
      <c r="AV176" s="56"/>
      <c r="AW176" s="56">
        <v>1475.1967196598196</v>
      </c>
      <c r="AX176" s="1"/>
      <c r="AY176" s="16">
        <v>-3.9941685037770069E-2</v>
      </c>
      <c r="AZ176" s="16">
        <v>-4.5282376698996596E-2</v>
      </c>
      <c r="BA176" s="16">
        <v>7.355966429782268E-2</v>
      </c>
      <c r="BB176" s="16">
        <f t="shared" si="55"/>
        <v>-2.2317880576845028E-2</v>
      </c>
      <c r="BC176" s="16"/>
      <c r="BD176" s="1"/>
      <c r="BE176" s="16">
        <f>AM176/'2018-19 disagg'!AM176-1</f>
        <v>2.2623650793221373E-2</v>
      </c>
      <c r="BF176" s="16">
        <f>AN176/'2018-19 disagg'!AN176-1</f>
        <v>3.4205328322975292E-2</v>
      </c>
      <c r="BG176" s="16">
        <f>AO176/'2018-19 disagg'!AO176-1</f>
        <v>4.3605365015143116E-2</v>
      </c>
      <c r="BH176" s="16">
        <f>AQ176/'2018-19 disagg'!AQ176-1</f>
        <v>2.7204993958920731E-2</v>
      </c>
      <c r="BI176" s="1"/>
      <c r="BJ176" s="16">
        <f>AS176/'2018-19 disagg'!AS176-1</f>
        <v>1.6541592532491212E-2</v>
      </c>
      <c r="BK176" s="16">
        <f>AT176/'2018-19 disagg'!AT176-1</f>
        <v>2.8054387988729612E-2</v>
      </c>
      <c r="BL176" s="16">
        <f>AU176/'2018-19 disagg'!AU176-1</f>
        <v>3.7398517925004926E-2</v>
      </c>
      <c r="BM176" s="16">
        <f>AW176/'2018-19 disagg'!AW176-1</f>
        <v>2.1095688141355318E-2</v>
      </c>
    </row>
    <row r="177" spans="1:65" x14ac:dyDescent="0.2">
      <c r="A177" s="156" t="s">
        <v>399</v>
      </c>
      <c r="B177" s="156" t="s">
        <v>400</v>
      </c>
      <c r="D177" s="56">
        <f>VLOOKUP(A177,'2019-20'!$A$12:$AMX385,32,FALSE)</f>
        <v>931345.80539749202</v>
      </c>
      <c r="E177" s="56">
        <v>1789.7288380205855</v>
      </c>
      <c r="F177" s="16">
        <f>VLOOKUP(A177,'2019-20'!$A$12:$AMX385,34,FALSE)</f>
        <v>2.7845036664763345E-2</v>
      </c>
      <c r="G177" s="16">
        <f>VLOOKUP(A177,'2019-20'!$A$12:$AMX385,35,FALSE)</f>
        <v>1.9647563982481797E-2</v>
      </c>
      <c r="H177" s="56"/>
      <c r="I177" s="56">
        <v>950129.12322162557</v>
      </c>
      <c r="J177" s="56">
        <v>1825.8239655110781</v>
      </c>
      <c r="K177" s="16">
        <f t="shared" si="57"/>
        <v>-1.9769226482022284E-2</v>
      </c>
      <c r="L177" s="58">
        <f t="shared" si="57"/>
        <v>-1.9769226482022284E-2</v>
      </c>
      <c r="M177" s="10"/>
      <c r="N177" s="56">
        <v>718665</v>
      </c>
      <c r="O177" s="56">
        <v>70544</v>
      </c>
      <c r="P177" s="56">
        <v>140677</v>
      </c>
      <c r="R177" s="56">
        <f t="shared" si="41"/>
        <v>140677</v>
      </c>
      <c r="S177" s="56">
        <f t="shared" si="42"/>
        <v>1459.8053974920185</v>
      </c>
      <c r="U177" s="16">
        <v>-2.2976074289611459E-2</v>
      </c>
      <c r="V177" s="16">
        <v>-4.6045424753487607E-2</v>
      </c>
      <c r="W177" s="56">
        <f t="shared" si="43"/>
        <v>4</v>
      </c>
      <c r="X177" s="56">
        <f t="shared" si="44"/>
        <v>7355.6540539932294</v>
      </c>
      <c r="Y177" s="56">
        <f t="shared" si="44"/>
        <v>739.49013748134337</v>
      </c>
      <c r="AA177" s="56">
        <f t="shared" si="56"/>
        <v>0</v>
      </c>
      <c r="AB177" s="56">
        <v>0</v>
      </c>
      <c r="AC177" s="56">
        <f t="shared" si="45"/>
        <v>1459.8053974920185</v>
      </c>
      <c r="AE177" s="56">
        <v>0</v>
      </c>
      <c r="AF177" s="56">
        <f t="shared" si="46"/>
        <v>0</v>
      </c>
      <c r="AG177" s="56">
        <f t="shared" si="47"/>
        <v>1459.8053974920185</v>
      </c>
      <c r="AI177" s="56">
        <f t="shared" si="48"/>
        <v>1326.4524060500289</v>
      </c>
      <c r="AJ177" s="56">
        <f t="shared" si="49"/>
        <v>133.3529914419895</v>
      </c>
      <c r="AK177" s="56">
        <f t="shared" si="50"/>
        <v>0</v>
      </c>
      <c r="AM177" s="56">
        <f t="shared" si="51"/>
        <v>719991</v>
      </c>
      <c r="AN177" s="56">
        <f t="shared" si="52"/>
        <v>70677</v>
      </c>
      <c r="AO177" s="56">
        <f t="shared" si="53"/>
        <v>140677</v>
      </c>
      <c r="AP177" s="56"/>
      <c r="AQ177" s="56">
        <f t="shared" si="54"/>
        <v>931345</v>
      </c>
      <c r="AR177" s="1"/>
      <c r="AS177" s="56">
        <v>1383.5770219261562</v>
      </c>
      <c r="AT177" s="56">
        <v>135.81707712829041</v>
      </c>
      <c r="AU177" s="56">
        <v>270.33319126698234</v>
      </c>
      <c r="AV177" s="56"/>
      <c r="AW177" s="56">
        <v>1789.7272903214289</v>
      </c>
      <c r="AX177" s="1"/>
      <c r="AY177" s="16">
        <v>-2.1173379396313474E-2</v>
      </c>
      <c r="AZ177" s="16">
        <v>-4.4246888258423711E-2</v>
      </c>
      <c r="BA177" s="16">
        <v>4.4302568669452036E-4</v>
      </c>
      <c r="BB177" s="16">
        <f t="shared" si="55"/>
        <v>-1.9770074153641182E-2</v>
      </c>
      <c r="BC177" s="16"/>
      <c r="BD177" s="1"/>
      <c r="BE177" s="16">
        <f>AM177/'2018-19 disagg'!AM177-1</f>
        <v>2.3599960761510941E-2</v>
      </c>
      <c r="BF177" s="16">
        <f>AN177/'2018-19 disagg'!AN177-1</f>
        <v>3.6319648093841694E-2</v>
      </c>
      <c r="BG177" s="16">
        <f>AO177/'2018-19 disagg'!AO177-1</f>
        <v>4.5739050280990678E-2</v>
      </c>
      <c r="BH177" s="16">
        <f>AQ177/'2018-19 disagg'!AQ177-1</f>
        <v>2.7844147817881915E-2</v>
      </c>
      <c r="BI177" s="1"/>
      <c r="BJ177" s="16">
        <f>AS177/'2018-19 disagg'!AS177-1</f>
        <v>1.5436344246754663E-2</v>
      </c>
      <c r="BK177" s="16">
        <f>AT177/'2018-19 disagg'!AT177-1</f>
        <v>2.8054587017196653E-2</v>
      </c>
      <c r="BL177" s="16">
        <f>AU177/'2018-19 disagg'!AU177-1</f>
        <v>3.7398865728181407E-2</v>
      </c>
      <c r="BM177" s="16">
        <f>AW177/'2018-19 disagg'!AW177-1</f>
        <v>1.9646682224507384E-2</v>
      </c>
    </row>
    <row r="178" spans="1:65" x14ac:dyDescent="0.2">
      <c r="A178" s="156" t="s">
        <v>401</v>
      </c>
      <c r="B178" s="156" t="s">
        <v>402</v>
      </c>
      <c r="D178" s="56">
        <f>VLOOKUP(A178,'2019-20'!$A$12:$AMX386,32,FALSE)</f>
        <v>217987</v>
      </c>
      <c r="E178" s="56">
        <v>1618.6342760379889</v>
      </c>
      <c r="F178" s="16">
        <f>VLOOKUP(A178,'2019-20'!$A$12:$AMX386,34,FALSE)</f>
        <v>2.8536512864550723E-2</v>
      </c>
      <c r="G178" s="16">
        <f>VLOOKUP(A178,'2019-20'!$A$12:$AMX386,35,FALSE)</f>
        <v>1.8252387837037087E-2</v>
      </c>
      <c r="H178" s="56"/>
      <c r="I178" s="56">
        <v>220880.04575765989</v>
      </c>
      <c r="J178" s="56">
        <v>1640.1162131511865</v>
      </c>
      <c r="K178" s="16">
        <f t="shared" si="57"/>
        <v>-1.309781400912069E-2</v>
      </c>
      <c r="L178" s="58">
        <f t="shared" si="57"/>
        <v>-1.309781400912069E-2</v>
      </c>
      <c r="M178" s="10"/>
      <c r="N178" s="56">
        <v>165112</v>
      </c>
      <c r="O178" s="56">
        <v>16811</v>
      </c>
      <c r="P178" s="56">
        <v>36064</v>
      </c>
      <c r="R178" s="56">
        <f t="shared" si="41"/>
        <v>36064</v>
      </c>
      <c r="S178" s="56">
        <f t="shared" si="42"/>
        <v>0</v>
      </c>
      <c r="U178" s="16">
        <v>-3.99606243072681E-3</v>
      </c>
      <c r="V178" s="16">
        <v>-2.0493188532763718E-2</v>
      </c>
      <c r="W178" s="56">
        <f t="shared" si="43"/>
        <v>4</v>
      </c>
      <c r="X178" s="56">
        <f t="shared" si="44"/>
        <v>1657.7444503176603</v>
      </c>
      <c r="Y178" s="56">
        <f t="shared" si="44"/>
        <v>171.62718832774871</v>
      </c>
      <c r="AA178" s="56">
        <f t="shared" si="56"/>
        <v>0</v>
      </c>
      <c r="AB178" s="56">
        <v>0</v>
      </c>
      <c r="AC178" s="56">
        <f t="shared" si="45"/>
        <v>0</v>
      </c>
      <c r="AE178" s="56">
        <v>0</v>
      </c>
      <c r="AF178" s="56">
        <f t="shared" si="46"/>
        <v>0</v>
      </c>
      <c r="AG178" s="56">
        <f t="shared" si="47"/>
        <v>0</v>
      </c>
      <c r="AI178" s="56">
        <f t="shared" si="48"/>
        <v>0</v>
      </c>
      <c r="AJ178" s="56">
        <f t="shared" si="49"/>
        <v>0</v>
      </c>
      <c r="AK178" s="56">
        <f t="shared" si="50"/>
        <v>0</v>
      </c>
      <c r="AM178" s="56">
        <f t="shared" si="51"/>
        <v>165112</v>
      </c>
      <c r="AN178" s="56">
        <f t="shared" si="52"/>
        <v>16811</v>
      </c>
      <c r="AO178" s="56">
        <f t="shared" si="53"/>
        <v>36064</v>
      </c>
      <c r="AP178" s="56"/>
      <c r="AQ178" s="56">
        <f t="shared" si="54"/>
        <v>217987</v>
      </c>
      <c r="AR178" s="1"/>
      <c r="AS178" s="56">
        <v>1226.0178019110517</v>
      </c>
      <c r="AT178" s="56">
        <v>124.82790631769157</v>
      </c>
      <c r="AU178" s="56">
        <v>267.78856780924565</v>
      </c>
      <c r="AV178" s="56"/>
      <c r="AW178" s="56">
        <v>1618.6342760379889</v>
      </c>
      <c r="AX178" s="1"/>
      <c r="AY178" s="16">
        <v>-3.99606243072681E-3</v>
      </c>
      <c r="AZ178" s="16">
        <v>-2.0493188532763718E-2</v>
      </c>
      <c r="BA178" s="16">
        <v>-4.9518692291523392E-2</v>
      </c>
      <c r="BB178" s="16">
        <f t="shared" si="55"/>
        <v>-1.309781400912069E-2</v>
      </c>
      <c r="BC178" s="16"/>
      <c r="BD178" s="1"/>
      <c r="BE178" s="16">
        <f>AM178/'2018-19 disagg'!AM178-1</f>
        <v>2.380435658789759E-2</v>
      </c>
      <c r="BF178" s="16">
        <f>AN178/'2018-19 disagg'!AN178-1</f>
        <v>3.4523076923076879E-2</v>
      </c>
      <c r="BG178" s="16">
        <f>AO178/'2018-19 disagg'!AO178-1</f>
        <v>4.7884704788470511E-2</v>
      </c>
      <c r="BH178" s="16">
        <f>AQ178/'2018-19 disagg'!AQ178-1</f>
        <v>2.8536512864550723E-2</v>
      </c>
      <c r="BI178" s="1"/>
      <c r="BJ178" s="16">
        <f>AS178/'2018-19 disagg'!AS178-1</f>
        <v>1.3567547417614234E-2</v>
      </c>
      <c r="BK178" s="16">
        <f>AT178/'2018-19 disagg'!AT178-1</f>
        <v>2.4179093472947333E-2</v>
      </c>
      <c r="BL178" s="16">
        <f>AU178/'2018-19 disagg'!AU178-1</f>
        <v>3.7407121169732216E-2</v>
      </c>
      <c r="BM178" s="16">
        <f>AW178/'2018-19 disagg'!AW178-1</f>
        <v>1.8252387837037087E-2</v>
      </c>
    </row>
    <row r="179" spans="1:65" x14ac:dyDescent="0.2">
      <c r="A179" s="156" t="s">
        <v>403</v>
      </c>
      <c r="B179" s="156" t="s">
        <v>404</v>
      </c>
      <c r="D179" s="56">
        <f>VLOOKUP(A179,'2019-20'!$A$12:$AMX387,32,FALSE)</f>
        <v>443770.65104784467</v>
      </c>
      <c r="E179" s="56">
        <v>1647.5548585407923</v>
      </c>
      <c r="F179" s="16">
        <f>VLOOKUP(A179,'2019-20'!$A$12:$AMX387,34,FALSE)</f>
        <v>3.027808911831964E-2</v>
      </c>
      <c r="G179" s="16">
        <f>VLOOKUP(A179,'2019-20'!$A$12:$AMX387,35,FALSE)</f>
        <v>2.0302098543257152E-2</v>
      </c>
      <c r="H179" s="56"/>
      <c r="I179" s="56">
        <v>453414.26431493263</v>
      </c>
      <c r="J179" s="56">
        <v>1683.3579966134953</v>
      </c>
      <c r="K179" s="16">
        <f t="shared" si="57"/>
        <v>-2.1268879314281341E-2</v>
      </c>
      <c r="L179" s="58">
        <f t="shared" si="57"/>
        <v>-2.1268879314281453E-2</v>
      </c>
      <c r="M179" s="10"/>
      <c r="N179" s="56">
        <v>330011</v>
      </c>
      <c r="O179" s="56">
        <v>34640</v>
      </c>
      <c r="P179" s="56">
        <v>78359</v>
      </c>
      <c r="R179" s="56">
        <f t="shared" si="41"/>
        <v>78359</v>
      </c>
      <c r="S179" s="56">
        <f t="shared" si="42"/>
        <v>760.65104784467258</v>
      </c>
      <c r="U179" s="16">
        <v>-3.0318407233242972E-2</v>
      </c>
      <c r="V179" s="16">
        <v>-2.4379388749250719E-2</v>
      </c>
      <c r="W179" s="56">
        <f t="shared" si="43"/>
        <v>4</v>
      </c>
      <c r="X179" s="56">
        <f t="shared" si="44"/>
        <v>3403.2924050707375</v>
      </c>
      <c r="Y179" s="56">
        <f t="shared" si="44"/>
        <v>355.05604945749752</v>
      </c>
      <c r="AA179" s="56">
        <f t="shared" si="56"/>
        <v>0</v>
      </c>
      <c r="AB179" s="56">
        <v>0</v>
      </c>
      <c r="AC179" s="56">
        <f t="shared" si="45"/>
        <v>760.65104784467258</v>
      </c>
      <c r="AE179" s="56">
        <v>0</v>
      </c>
      <c r="AF179" s="56">
        <f t="shared" si="46"/>
        <v>0</v>
      </c>
      <c r="AG179" s="56">
        <f t="shared" si="47"/>
        <v>760.65104784467258</v>
      </c>
      <c r="AI179" s="56">
        <f t="shared" si="48"/>
        <v>688.7913575229735</v>
      </c>
      <c r="AJ179" s="56">
        <f t="shared" si="49"/>
        <v>71.859690321699105</v>
      </c>
      <c r="AK179" s="56">
        <f t="shared" si="50"/>
        <v>0</v>
      </c>
      <c r="AM179" s="56">
        <f t="shared" si="51"/>
        <v>330700</v>
      </c>
      <c r="AN179" s="56">
        <f t="shared" si="52"/>
        <v>34712</v>
      </c>
      <c r="AO179" s="56">
        <f t="shared" si="53"/>
        <v>78359</v>
      </c>
      <c r="AP179" s="56"/>
      <c r="AQ179" s="56">
        <f t="shared" si="54"/>
        <v>443771</v>
      </c>
      <c r="AR179" s="1"/>
      <c r="AS179" s="56">
        <v>1227.7657173428038</v>
      </c>
      <c r="AT179" s="56">
        <v>128.87270511159178</v>
      </c>
      <c r="AU179" s="56">
        <v>290.91773161555716</v>
      </c>
      <c r="AV179" s="56"/>
      <c r="AW179" s="56">
        <v>1647.5561540699528</v>
      </c>
      <c r="AX179" s="1"/>
      <c r="AY179" s="16">
        <v>-2.829389708838026E-2</v>
      </c>
      <c r="AZ179" s="16">
        <v>-2.2351539903694873E-2</v>
      </c>
      <c r="BA179" s="16">
        <v>1.004881383909928E-2</v>
      </c>
      <c r="BB179" s="16">
        <f t="shared" si="55"/>
        <v>-2.1268109704273952E-2</v>
      </c>
      <c r="BC179" s="16"/>
      <c r="BD179" s="1"/>
      <c r="BE179" s="16">
        <f>AM179/'2018-19 disagg'!AM179-1</f>
        <v>2.5613988295533074E-2</v>
      </c>
      <c r="BF179" s="16">
        <f>AN179/'2018-19 disagg'!AN179-1</f>
        <v>3.6643273107361596E-2</v>
      </c>
      <c r="BG179" s="16">
        <f>AO179/'2018-19 disagg'!AO179-1</f>
        <v>4.7538200339558578E-2</v>
      </c>
      <c r="BH179" s="16">
        <f>AQ179/'2018-19 disagg'!AQ179-1</f>
        <v>3.0278899261484638E-2</v>
      </c>
      <c r="BI179" s="1"/>
      <c r="BJ179" s="16">
        <f>AS179/'2018-19 disagg'!AS179-1</f>
        <v>1.5683159338814923E-2</v>
      </c>
      <c r="BK179" s="16">
        <f>AT179/'2018-19 disagg'!AT179-1</f>
        <v>2.6605649642932772E-2</v>
      </c>
      <c r="BL179" s="16">
        <f>AU179/'2018-19 disagg'!AU179-1</f>
        <v>3.739508332680308E-2</v>
      </c>
      <c r="BM179" s="16">
        <f>AW179/'2018-19 disagg'!AW179-1</f>
        <v>2.0302900841957072E-2</v>
      </c>
    </row>
    <row r="180" spans="1:65" x14ac:dyDescent="0.2">
      <c r="A180" s="156" t="s">
        <v>405</v>
      </c>
      <c r="B180" s="156" t="s">
        <v>406</v>
      </c>
      <c r="D180" s="56">
        <f>VLOOKUP(A180,'2019-20'!$A$12:$AMX388,32,FALSE)</f>
        <v>301728.85337996547</v>
      </c>
      <c r="E180" s="56">
        <v>1612.3032158118433</v>
      </c>
      <c r="F180" s="16">
        <f>VLOOKUP(A180,'2019-20'!$A$12:$AMX388,34,FALSE)</f>
        <v>3.3703859933898128E-2</v>
      </c>
      <c r="G180" s="16">
        <f>VLOOKUP(A180,'2019-20'!$A$12:$AMX388,35,FALSE)</f>
        <v>2.2598097024667307E-2</v>
      </c>
      <c r="H180" s="56"/>
      <c r="I180" s="56">
        <v>309377.52422633709</v>
      </c>
      <c r="J180" s="56">
        <v>1653.1742709467715</v>
      </c>
      <c r="K180" s="16">
        <f t="shared" si="57"/>
        <v>-2.4722774757147348E-2</v>
      </c>
      <c r="L180" s="58">
        <f t="shared" si="57"/>
        <v>-2.4722774757147237E-2</v>
      </c>
      <c r="M180" s="10"/>
      <c r="N180" s="56">
        <v>227281</v>
      </c>
      <c r="O180" s="56">
        <v>22687</v>
      </c>
      <c r="P180" s="56">
        <v>50521</v>
      </c>
      <c r="R180" s="56">
        <f t="shared" si="41"/>
        <v>50521</v>
      </c>
      <c r="S180" s="56">
        <f t="shared" si="42"/>
        <v>1239.8533799654688</v>
      </c>
      <c r="U180" s="16">
        <v>-2.6817408484805738E-2</v>
      </c>
      <c r="V180" s="16">
        <v>-3.7934718262201073E-2</v>
      </c>
      <c r="W180" s="56">
        <f t="shared" si="43"/>
        <v>4</v>
      </c>
      <c r="X180" s="56">
        <f t="shared" si="44"/>
        <v>2335.4404608300219</v>
      </c>
      <c r="Y180" s="56">
        <f t="shared" si="44"/>
        <v>235.81559828268607</v>
      </c>
      <c r="AA180" s="56">
        <f t="shared" si="56"/>
        <v>0</v>
      </c>
      <c r="AB180" s="56">
        <v>0</v>
      </c>
      <c r="AC180" s="56">
        <f t="shared" si="45"/>
        <v>1239.8533799654688</v>
      </c>
      <c r="AE180" s="56">
        <v>0</v>
      </c>
      <c r="AF180" s="56">
        <f t="shared" si="46"/>
        <v>0</v>
      </c>
      <c r="AG180" s="56">
        <f t="shared" si="47"/>
        <v>1239.8533799654688</v>
      </c>
      <c r="AI180" s="56">
        <f t="shared" si="48"/>
        <v>1126.1436755028719</v>
      </c>
      <c r="AJ180" s="56">
        <f t="shared" si="49"/>
        <v>113.70970446259686</v>
      </c>
      <c r="AK180" s="56">
        <f t="shared" si="50"/>
        <v>0</v>
      </c>
      <c r="AM180" s="56">
        <f t="shared" si="51"/>
        <v>228407</v>
      </c>
      <c r="AN180" s="56">
        <f t="shared" si="52"/>
        <v>22801</v>
      </c>
      <c r="AO180" s="56">
        <f t="shared" si="53"/>
        <v>50521</v>
      </c>
      <c r="AP180" s="56"/>
      <c r="AQ180" s="56">
        <f t="shared" si="54"/>
        <v>301729</v>
      </c>
      <c r="AR180" s="1"/>
      <c r="AS180" s="56">
        <v>1220.5042258593223</v>
      </c>
      <c r="AT180" s="56">
        <v>121.83828365075679</v>
      </c>
      <c r="AU180" s="56">
        <v>269.96148977325049</v>
      </c>
      <c r="AV180" s="56"/>
      <c r="AW180" s="56">
        <v>1612.3039992833294</v>
      </c>
      <c r="AX180" s="1"/>
      <c r="AY180" s="16">
        <v>-2.1996048150919045E-2</v>
      </c>
      <c r="AZ180" s="16">
        <v>-3.3100432454553075E-2</v>
      </c>
      <c r="BA180" s="16">
        <v>-3.3126407046518702E-2</v>
      </c>
      <c r="BB180" s="16">
        <f t="shared" si="55"/>
        <v>-2.472230083767013E-2</v>
      </c>
      <c r="BC180" s="16"/>
      <c r="BD180" s="1"/>
      <c r="BE180" s="16">
        <f>AM180/'2018-19 disagg'!AM180-1</f>
        <v>2.9648830185277086E-2</v>
      </c>
      <c r="BF180" s="16">
        <f>AN180/'2018-19 disagg'!AN180-1</f>
        <v>4.1855151930546119E-2</v>
      </c>
      <c r="BG180" s="16">
        <f>AO180/'2018-19 disagg'!AO180-1</f>
        <v>4.8675689139820566E-2</v>
      </c>
      <c r="BH180" s="16">
        <f>AQ180/'2018-19 disagg'!AQ180-1</f>
        <v>3.3704362244810548E-2</v>
      </c>
      <c r="BI180" s="1"/>
      <c r="BJ180" s="16">
        <f>AS180/'2018-19 disagg'!AS180-1</f>
        <v>1.8586633137337438E-2</v>
      </c>
      <c r="BK180" s="16">
        <f>AT180/'2018-19 disagg'!AT180-1</f>
        <v>3.0661814310774194E-2</v>
      </c>
      <c r="BL180" s="16">
        <f>AU180/'2018-19 disagg'!AU180-1</f>
        <v>3.7409073986612418E-2</v>
      </c>
      <c r="BM180" s="16">
        <f>AW180/'2018-19 disagg'!AW180-1</f>
        <v>2.259859393892194E-2</v>
      </c>
    </row>
    <row r="181" spans="1:65" x14ac:dyDescent="0.2">
      <c r="A181" s="156" t="s">
        <v>407</v>
      </c>
      <c r="B181" s="156" t="s">
        <v>408</v>
      </c>
      <c r="D181" s="56">
        <f>VLOOKUP(A181,'2019-20'!$A$12:$AMX389,32,FALSE)</f>
        <v>358864</v>
      </c>
      <c r="E181" s="56">
        <v>1812.0739060653275</v>
      </c>
      <c r="F181" s="16">
        <f>VLOOKUP(A181,'2019-20'!$A$12:$AMX389,34,FALSE)</f>
        <v>2.5771192060552117E-2</v>
      </c>
      <c r="G181" s="16">
        <f>VLOOKUP(A181,'2019-20'!$A$12:$AMX389,35,FALSE)</f>
        <v>1.8205322010315106E-2</v>
      </c>
      <c r="H181" s="56"/>
      <c r="I181" s="56">
        <v>364665.21144444717</v>
      </c>
      <c r="J181" s="56">
        <v>1841.3669638310835</v>
      </c>
      <c r="K181" s="16">
        <f t="shared" si="57"/>
        <v>-1.5908321557377092E-2</v>
      </c>
      <c r="L181" s="58">
        <f t="shared" si="57"/>
        <v>-1.5908321557377092E-2</v>
      </c>
      <c r="M181" s="10"/>
      <c r="N181" s="56">
        <v>275250</v>
      </c>
      <c r="O181" s="56">
        <v>27069</v>
      </c>
      <c r="P181" s="56">
        <v>56545</v>
      </c>
      <c r="R181" s="56">
        <f t="shared" si="41"/>
        <v>56545</v>
      </c>
      <c r="S181" s="56">
        <f t="shared" si="42"/>
        <v>0</v>
      </c>
      <c r="U181" s="16">
        <v>-1.5860669679256589E-2</v>
      </c>
      <c r="V181" s="16">
        <v>-4.8375108566264591E-2</v>
      </c>
      <c r="W181" s="56">
        <f t="shared" si="43"/>
        <v>4</v>
      </c>
      <c r="X181" s="56">
        <f t="shared" si="44"/>
        <v>2796.8600737691536</v>
      </c>
      <c r="Y181" s="56">
        <f t="shared" si="44"/>
        <v>284.45031486321625</v>
      </c>
      <c r="AA181" s="56">
        <f t="shared" si="56"/>
        <v>0</v>
      </c>
      <c r="AB181" s="56">
        <v>0</v>
      </c>
      <c r="AC181" s="56">
        <f t="shared" si="45"/>
        <v>0</v>
      </c>
      <c r="AE181" s="56">
        <v>0</v>
      </c>
      <c r="AF181" s="56">
        <f t="shared" si="46"/>
        <v>0</v>
      </c>
      <c r="AG181" s="56">
        <f t="shared" si="47"/>
        <v>0</v>
      </c>
      <c r="AI181" s="56">
        <f t="shared" si="48"/>
        <v>0</v>
      </c>
      <c r="AJ181" s="56">
        <f t="shared" si="49"/>
        <v>0</v>
      </c>
      <c r="AK181" s="56">
        <f t="shared" si="50"/>
        <v>0</v>
      </c>
      <c r="AM181" s="56">
        <f t="shared" si="51"/>
        <v>275250</v>
      </c>
      <c r="AN181" s="56">
        <f t="shared" si="52"/>
        <v>27069</v>
      </c>
      <c r="AO181" s="56">
        <f t="shared" si="53"/>
        <v>56545</v>
      </c>
      <c r="AP181" s="56"/>
      <c r="AQ181" s="56">
        <f t="shared" si="54"/>
        <v>358864</v>
      </c>
      <c r="AR181" s="1"/>
      <c r="AS181" s="56">
        <v>1389.8673108600512</v>
      </c>
      <c r="AT181" s="56">
        <v>136.68417161733234</v>
      </c>
      <c r="AU181" s="56">
        <v>285.52242358794405</v>
      </c>
      <c r="AV181" s="56"/>
      <c r="AW181" s="56">
        <v>1812.0739060653275</v>
      </c>
      <c r="AX181" s="1"/>
      <c r="AY181" s="16">
        <v>-1.5860669679256589E-2</v>
      </c>
      <c r="AZ181" s="16">
        <v>-4.8375108566264591E-2</v>
      </c>
      <c r="BA181" s="16">
        <v>1.9151989487897758E-4</v>
      </c>
      <c r="BB181" s="16">
        <f t="shared" si="55"/>
        <v>-1.5908321557377092E-2</v>
      </c>
      <c r="BC181" s="16"/>
      <c r="BD181" s="1"/>
      <c r="BE181" s="16">
        <f>AM181/'2018-19 disagg'!AM181-1</f>
        <v>2.1097109024606597E-2</v>
      </c>
      <c r="BF181" s="16">
        <f>AN181/'2018-19 disagg'!AN181-1</f>
        <v>3.3917726595622755E-2</v>
      </c>
      <c r="BG181" s="16">
        <f>AO181/'2018-19 disagg'!AO181-1</f>
        <v>4.5116812065651324E-2</v>
      </c>
      <c r="BH181" s="16">
        <f>AQ181/'2018-19 disagg'!AQ181-1</f>
        <v>2.5771192060552117E-2</v>
      </c>
      <c r="BI181" s="1"/>
      <c r="BJ181" s="16">
        <f>AS181/'2018-19 disagg'!AS181-1</f>
        <v>1.3565714016296804E-2</v>
      </c>
      <c r="BK181" s="16">
        <f>AT181/'2018-19 disagg'!AT181-1</f>
        <v>2.6291769440065282E-2</v>
      </c>
      <c r="BL181" s="16">
        <f>AU181/'2018-19 disagg'!AU181-1</f>
        <v>3.7408252838595502E-2</v>
      </c>
      <c r="BM181" s="16">
        <f>AW181/'2018-19 disagg'!AW181-1</f>
        <v>1.8205322010315106E-2</v>
      </c>
    </row>
    <row r="182" spans="1:65" x14ac:dyDescent="0.2">
      <c r="A182" s="156" t="s">
        <v>409</v>
      </c>
      <c r="B182" s="156" t="s">
        <v>410</v>
      </c>
      <c r="D182" s="56">
        <f>VLOOKUP(A182,'2019-20'!$A$12:$AMX390,32,FALSE)</f>
        <v>324494.35187206505</v>
      </c>
      <c r="E182" s="56">
        <v>1564.0036174389554</v>
      </c>
      <c r="F182" s="16">
        <f>VLOOKUP(A182,'2019-20'!$A$12:$AMX390,34,FALSE)</f>
        <v>2.6156705464387642E-2</v>
      </c>
      <c r="G182" s="16">
        <f>VLOOKUP(A182,'2019-20'!$A$12:$AMX390,35,FALSE)</f>
        <v>2.0496400116263747E-2</v>
      </c>
      <c r="H182" s="56"/>
      <c r="I182" s="56">
        <v>331421.72048033902</v>
      </c>
      <c r="J182" s="56">
        <v>1597.3922712018568</v>
      </c>
      <c r="K182" s="16">
        <f t="shared" si="57"/>
        <v>-2.0901975278608598E-2</v>
      </c>
      <c r="L182" s="58">
        <f t="shared" si="57"/>
        <v>-2.0901975278608487E-2</v>
      </c>
      <c r="M182" s="10"/>
      <c r="N182" s="56">
        <v>249426</v>
      </c>
      <c r="O182" s="56">
        <v>26276</v>
      </c>
      <c r="P182" s="56">
        <v>48385</v>
      </c>
      <c r="R182" s="56">
        <f t="shared" si="41"/>
        <v>48385</v>
      </c>
      <c r="S182" s="56">
        <f t="shared" si="42"/>
        <v>407.35187206504634</v>
      </c>
      <c r="U182" s="16">
        <v>-3.4993895671134645E-2</v>
      </c>
      <c r="V182" s="16">
        <v>-3.1987830724805377E-2</v>
      </c>
      <c r="W182" s="56">
        <f t="shared" si="43"/>
        <v>4</v>
      </c>
      <c r="X182" s="56">
        <f t="shared" si="44"/>
        <v>2584.7090384310964</v>
      </c>
      <c r="Y182" s="56">
        <f t="shared" si="44"/>
        <v>271.44286852999301</v>
      </c>
      <c r="AA182" s="56">
        <f t="shared" si="56"/>
        <v>0</v>
      </c>
      <c r="AB182" s="56">
        <v>0</v>
      </c>
      <c r="AC182" s="56">
        <f t="shared" si="45"/>
        <v>407.35187206504634</v>
      </c>
      <c r="AE182" s="56">
        <v>0</v>
      </c>
      <c r="AF182" s="56">
        <f t="shared" si="46"/>
        <v>0</v>
      </c>
      <c r="AG182" s="56">
        <f t="shared" si="47"/>
        <v>407.35187206504634</v>
      </c>
      <c r="AI182" s="56">
        <f t="shared" si="48"/>
        <v>368.63797859708757</v>
      </c>
      <c r="AJ182" s="56">
        <f t="shared" si="49"/>
        <v>38.713893467958769</v>
      </c>
      <c r="AK182" s="56">
        <f t="shared" si="50"/>
        <v>0</v>
      </c>
      <c r="AM182" s="56">
        <f t="shared" si="51"/>
        <v>249795</v>
      </c>
      <c r="AN182" s="56">
        <f t="shared" si="52"/>
        <v>26315</v>
      </c>
      <c r="AO182" s="56">
        <f t="shared" si="53"/>
        <v>48385</v>
      </c>
      <c r="AP182" s="56"/>
      <c r="AQ182" s="56">
        <f t="shared" si="54"/>
        <v>324495</v>
      </c>
      <c r="AR182" s="1"/>
      <c r="AS182" s="56">
        <v>1203.9663598588404</v>
      </c>
      <c r="AT182" s="56">
        <v>126.8335025108004</v>
      </c>
      <c r="AU182" s="56">
        <v>233.20687892780077</v>
      </c>
      <c r="AV182" s="56"/>
      <c r="AW182" s="56">
        <v>1564.0067412974417</v>
      </c>
      <c r="AX182" s="1"/>
      <c r="AY182" s="16">
        <v>-3.3566268829917756E-2</v>
      </c>
      <c r="AZ182" s="16">
        <v>-3.0551064299103925E-2</v>
      </c>
      <c r="BA182" s="16">
        <v>5.6290450901120836E-2</v>
      </c>
      <c r="BB182" s="16">
        <f t="shared" si="55"/>
        <v>-2.0900019679760073E-2</v>
      </c>
      <c r="BC182" s="16"/>
      <c r="BD182" s="1"/>
      <c r="BE182" s="16">
        <f>AM182/'2018-19 disagg'!AM182-1</f>
        <v>2.2291977016386522E-2</v>
      </c>
      <c r="BF182" s="16">
        <f>AN182/'2018-19 disagg'!AN182-1</f>
        <v>3.2284638317903624E-2</v>
      </c>
      <c r="BG182" s="16">
        <f>AO182/'2018-19 disagg'!AO182-1</f>
        <v>4.316236552185071E-2</v>
      </c>
      <c r="BH182" s="16">
        <f>AQ182/'2018-19 disagg'!AQ182-1</f>
        <v>2.6158755055767591E-2</v>
      </c>
      <c r="BI182" s="1"/>
      <c r="BJ182" s="16">
        <f>AS182/'2018-19 disagg'!AS182-1</f>
        <v>1.6652989604389434E-2</v>
      </c>
      <c r="BK182" s="16">
        <f>AT182/'2018-19 disagg'!AT182-1</f>
        <v>2.6590531143100726E-2</v>
      </c>
      <c r="BL182" s="16">
        <f>AU182/'2018-19 disagg'!AU182-1</f>
        <v>3.7408256539195106E-2</v>
      </c>
      <c r="BM182" s="16">
        <f>AW182/'2018-19 disagg'!AW182-1</f>
        <v>2.0498438402047903E-2</v>
      </c>
    </row>
    <row r="183" spans="1:65" x14ac:dyDescent="0.2">
      <c r="A183" s="156" t="s">
        <v>411</v>
      </c>
      <c r="B183" s="156" t="s">
        <v>412</v>
      </c>
      <c r="D183" s="56">
        <f>VLOOKUP(A183,'2019-20'!$A$12:$AMX391,32,FALSE)</f>
        <v>341785</v>
      </c>
      <c r="E183" s="56">
        <v>1500.02966322507</v>
      </c>
      <c r="F183" s="16">
        <f>VLOOKUP(A183,'2019-20'!$A$12:$AMX391,34,FALSE)</f>
        <v>2.6085572927924572E-2</v>
      </c>
      <c r="G183" s="16">
        <f>VLOOKUP(A183,'2019-20'!$A$12:$AMX391,35,FALSE)</f>
        <v>1.8522542574457734E-2</v>
      </c>
      <c r="H183" s="56"/>
      <c r="I183" s="56">
        <v>343015.25251010514</v>
      </c>
      <c r="J183" s="56">
        <v>1505.4290085983744</v>
      </c>
      <c r="K183" s="16">
        <f t="shared" si="57"/>
        <v>-3.5865825239619342E-3</v>
      </c>
      <c r="L183" s="58">
        <f t="shared" si="57"/>
        <v>-3.5865825239620452E-3</v>
      </c>
      <c r="M183" s="10"/>
      <c r="N183" s="56">
        <v>256632</v>
      </c>
      <c r="O183" s="56">
        <v>27759</v>
      </c>
      <c r="P183" s="56">
        <v>57394</v>
      </c>
      <c r="R183" s="56">
        <f t="shared" si="41"/>
        <v>57394</v>
      </c>
      <c r="S183" s="56">
        <f t="shared" si="42"/>
        <v>0</v>
      </c>
      <c r="U183" s="16">
        <v>-2.245086299742638E-2</v>
      </c>
      <c r="V183" s="16">
        <v>-4.8560007404682581E-2</v>
      </c>
      <c r="W183" s="56">
        <f t="shared" si="43"/>
        <v>4</v>
      </c>
      <c r="X183" s="56">
        <f t="shared" si="44"/>
        <v>2625.259337723955</v>
      </c>
      <c r="Y183" s="56">
        <f t="shared" si="44"/>
        <v>291.75775893421928</v>
      </c>
      <c r="AA183" s="56">
        <f t="shared" si="56"/>
        <v>0</v>
      </c>
      <c r="AB183" s="56">
        <v>0</v>
      </c>
      <c r="AC183" s="56">
        <f t="shared" si="45"/>
        <v>0</v>
      </c>
      <c r="AE183" s="56">
        <v>0</v>
      </c>
      <c r="AF183" s="56">
        <f t="shared" si="46"/>
        <v>0</v>
      </c>
      <c r="AG183" s="56">
        <f t="shared" si="47"/>
        <v>0</v>
      </c>
      <c r="AI183" s="56">
        <f t="shared" si="48"/>
        <v>0</v>
      </c>
      <c r="AJ183" s="56">
        <f t="shared" si="49"/>
        <v>0</v>
      </c>
      <c r="AK183" s="56">
        <f t="shared" si="50"/>
        <v>0</v>
      </c>
      <c r="AM183" s="56">
        <f t="shared" si="51"/>
        <v>256632</v>
      </c>
      <c r="AN183" s="56">
        <f t="shared" si="52"/>
        <v>27759</v>
      </c>
      <c r="AO183" s="56">
        <f t="shared" si="53"/>
        <v>57394</v>
      </c>
      <c r="AP183" s="56"/>
      <c r="AQ183" s="56">
        <f t="shared" si="54"/>
        <v>341785</v>
      </c>
      <c r="AR183" s="1"/>
      <c r="AS183" s="56">
        <v>1126.3092661549692</v>
      </c>
      <c r="AT183" s="56">
        <v>121.82899606906307</v>
      </c>
      <c r="AU183" s="56">
        <v>251.89140100103771</v>
      </c>
      <c r="AV183" s="56"/>
      <c r="AW183" s="56">
        <v>1500.02966322507</v>
      </c>
      <c r="AX183" s="1"/>
      <c r="AY183" s="16">
        <v>-2.245086299742638E-2</v>
      </c>
      <c r="AZ183" s="16">
        <v>-4.8560007404682581E-2</v>
      </c>
      <c r="BA183" s="16">
        <v>0.11849614777454631</v>
      </c>
      <c r="BB183" s="16">
        <f t="shared" si="55"/>
        <v>-3.5865825239619342E-3</v>
      </c>
      <c r="BC183" s="16"/>
      <c r="BD183" s="1"/>
      <c r="BE183" s="16">
        <f>AM183/'2018-19 disagg'!AM183-1</f>
        <v>2.1091707747949995E-2</v>
      </c>
      <c r="BF183" s="16">
        <f>AN183/'2018-19 disagg'!AN183-1</f>
        <v>3.3931764004767606E-2</v>
      </c>
      <c r="BG183" s="16">
        <f>AO183/'2018-19 disagg'!AO183-1</f>
        <v>4.5104430322122413E-2</v>
      </c>
      <c r="BH183" s="16">
        <f>AQ183/'2018-19 disagg'!AQ183-1</f>
        <v>2.6085572927924572E-2</v>
      </c>
      <c r="BI183" s="1"/>
      <c r="BJ183" s="16">
        <f>AS183/'2018-19 disagg'!AS183-1</f>
        <v>1.3565485975495895E-2</v>
      </c>
      <c r="BK183" s="16">
        <f>AT183/'2018-19 disagg'!AT183-1</f>
        <v>2.6310901261060726E-2</v>
      </c>
      <c r="BL183" s="16">
        <f>AU183/'2018-19 disagg'!AU183-1</f>
        <v>3.7401216537998661E-2</v>
      </c>
      <c r="BM183" s="16">
        <f>AW183/'2018-19 disagg'!AW183-1</f>
        <v>1.8522542574457734E-2</v>
      </c>
    </row>
    <row r="184" spans="1:65" x14ac:dyDescent="0.2">
      <c r="A184" s="156" t="s">
        <v>413</v>
      </c>
      <c r="B184" s="156" t="s">
        <v>414</v>
      </c>
      <c r="D184" s="56">
        <f>VLOOKUP(A184,'2019-20'!$A$12:$AMX392,32,FALSE)</f>
        <v>361243</v>
      </c>
      <c r="E184" s="56">
        <v>1891.5063169841496</v>
      </c>
      <c r="F184" s="16">
        <f>VLOOKUP(A184,'2019-20'!$A$12:$AMX392,34,FALSE)</f>
        <v>2.3911090199457474E-2</v>
      </c>
      <c r="G184" s="16">
        <f>VLOOKUP(A184,'2019-20'!$A$12:$AMX392,35,FALSE)</f>
        <v>1.6917577570880304E-2</v>
      </c>
      <c r="H184" s="56"/>
      <c r="I184" s="56">
        <v>351516.41580643493</v>
      </c>
      <c r="J184" s="56">
        <v>1840.5768998195083</v>
      </c>
      <c r="K184" s="16">
        <f t="shared" si="57"/>
        <v>2.7670355511707045E-2</v>
      </c>
      <c r="L184" s="58">
        <f t="shared" si="57"/>
        <v>2.7670355511707045E-2</v>
      </c>
      <c r="M184" s="10"/>
      <c r="N184" s="56">
        <v>283949</v>
      </c>
      <c r="O184" s="56">
        <v>27843</v>
      </c>
      <c r="P184" s="56">
        <v>49451</v>
      </c>
      <c r="R184" s="56">
        <f t="shared" si="41"/>
        <v>49451</v>
      </c>
      <c r="S184" s="56">
        <f t="shared" si="42"/>
        <v>0</v>
      </c>
      <c r="U184" s="16">
        <v>5.0253500518840699E-2</v>
      </c>
      <c r="V184" s="16">
        <v>-2.1520218644972111E-2</v>
      </c>
      <c r="W184" s="56">
        <f t="shared" si="43"/>
        <v>3</v>
      </c>
      <c r="X184" s="56">
        <f t="shared" si="44"/>
        <v>2703.6234571912878</v>
      </c>
      <c r="Y184" s="56">
        <f t="shared" si="44"/>
        <v>284.55365691299403</v>
      </c>
      <c r="AA184" s="56">
        <f t="shared" si="56"/>
        <v>0</v>
      </c>
      <c r="AB184" s="56">
        <v>0</v>
      </c>
      <c r="AC184" s="56">
        <f t="shared" si="45"/>
        <v>0</v>
      </c>
      <c r="AE184" s="56">
        <v>0</v>
      </c>
      <c r="AF184" s="56">
        <f t="shared" si="46"/>
        <v>0</v>
      </c>
      <c r="AG184" s="56">
        <f t="shared" si="47"/>
        <v>0</v>
      </c>
      <c r="AI184" s="56">
        <f t="shared" si="48"/>
        <v>0</v>
      </c>
      <c r="AJ184" s="56">
        <f t="shared" si="49"/>
        <v>0</v>
      </c>
      <c r="AK184" s="56">
        <f t="shared" si="50"/>
        <v>0</v>
      </c>
      <c r="AM184" s="56">
        <f t="shared" si="51"/>
        <v>283949</v>
      </c>
      <c r="AN184" s="56">
        <f t="shared" si="52"/>
        <v>27843</v>
      </c>
      <c r="AO184" s="56">
        <f t="shared" si="53"/>
        <v>49451</v>
      </c>
      <c r="AP184" s="56"/>
      <c r="AQ184" s="56">
        <f t="shared" si="54"/>
        <v>361243</v>
      </c>
      <c r="AR184" s="1"/>
      <c r="AS184" s="56">
        <v>1486.7868088830296</v>
      </c>
      <c r="AT184" s="56">
        <v>145.78887448003056</v>
      </c>
      <c r="AU184" s="56">
        <v>258.93063362108933</v>
      </c>
      <c r="AV184" s="56"/>
      <c r="AW184" s="56">
        <v>1891.5063169841496</v>
      </c>
      <c r="AX184" s="1"/>
      <c r="AY184" s="16">
        <v>5.0253500518840699E-2</v>
      </c>
      <c r="AZ184" s="16">
        <v>-2.1520218644972111E-2</v>
      </c>
      <c r="BA184" s="16">
        <v>-6.1627784463195834E-2</v>
      </c>
      <c r="BB184" s="16">
        <f t="shared" si="55"/>
        <v>2.7670355511707045E-2</v>
      </c>
      <c r="BC184" s="16"/>
      <c r="BD184" s="1"/>
      <c r="BE184" s="16">
        <f>AM184/'2018-19 disagg'!AM184-1</f>
        <v>1.9690016016318035E-2</v>
      </c>
      <c r="BF184" s="16">
        <f>AN184/'2018-19 disagg'!AN184-1</f>
        <v>3.1298614712200967E-2</v>
      </c>
      <c r="BG184" s="16">
        <f>AO184/'2018-19 disagg'!AO184-1</f>
        <v>4.4526117905498097E-2</v>
      </c>
      <c r="BH184" s="16">
        <f>AQ184/'2018-19 disagg'!AQ184-1</f>
        <v>2.3911090199457474E-2</v>
      </c>
      <c r="BI184" s="1"/>
      <c r="BJ184" s="16">
        <f>AS184/'2018-19 disagg'!AS184-1</f>
        <v>1.2725334148427248E-2</v>
      </c>
      <c r="BK184" s="16">
        <f>AT184/'2018-19 disagg'!AT184-1</f>
        <v>2.4254643849048074E-2</v>
      </c>
      <c r="BL184" s="16">
        <f>AU184/'2018-19 disagg'!AU184-1</f>
        <v>3.7391800613331805E-2</v>
      </c>
      <c r="BM184" s="16">
        <f>AW184/'2018-19 disagg'!AW184-1</f>
        <v>1.6917577570880304E-2</v>
      </c>
    </row>
    <row r="185" spans="1:65" x14ac:dyDescent="0.2">
      <c r="A185" s="156" t="s">
        <v>415</v>
      </c>
      <c r="B185" s="156" t="s">
        <v>416</v>
      </c>
      <c r="D185" s="56">
        <f>VLOOKUP(A185,'2019-20'!$A$12:$AMX393,32,FALSE)</f>
        <v>277768</v>
      </c>
      <c r="E185" s="56">
        <v>1599.6654364471462</v>
      </c>
      <c r="F185" s="16">
        <f>VLOOKUP(A185,'2019-20'!$A$12:$AMX393,34,FALSE)</f>
        <v>2.5212503275669151E-2</v>
      </c>
      <c r="G185" s="16">
        <f>VLOOKUP(A185,'2019-20'!$A$12:$AMX393,35,FALSE)</f>
        <v>1.7869545724272573E-2</v>
      </c>
      <c r="H185" s="56"/>
      <c r="I185" s="56">
        <v>282081.94819673151</v>
      </c>
      <c r="J185" s="56">
        <v>1624.5094567264257</v>
      </c>
      <c r="K185" s="16">
        <f t="shared" si="57"/>
        <v>-1.5293244478455037E-2</v>
      </c>
      <c r="L185" s="58">
        <f t="shared" si="57"/>
        <v>-1.5293244478455037E-2</v>
      </c>
      <c r="M185" s="10"/>
      <c r="N185" s="56">
        <v>212043</v>
      </c>
      <c r="O185" s="56">
        <v>22659</v>
      </c>
      <c r="P185" s="56">
        <v>43066</v>
      </c>
      <c r="R185" s="56">
        <f t="shared" si="41"/>
        <v>43066</v>
      </c>
      <c r="S185" s="56">
        <f t="shared" si="42"/>
        <v>0</v>
      </c>
      <c r="U185" s="16">
        <v>-1.0579870895685128E-2</v>
      </c>
      <c r="V185" s="16">
        <v>9.5489545114535446E-3</v>
      </c>
      <c r="W185" s="56">
        <f t="shared" si="43"/>
        <v>1</v>
      </c>
      <c r="X185" s="56">
        <f t="shared" si="44"/>
        <v>2143.1037611085862</v>
      </c>
      <c r="Y185" s="56">
        <f t="shared" si="44"/>
        <v>224.44676802191597</v>
      </c>
      <c r="AA185" s="56">
        <f t="shared" si="56"/>
        <v>0</v>
      </c>
      <c r="AB185" s="56">
        <v>0</v>
      </c>
      <c r="AC185" s="56">
        <f t="shared" si="45"/>
        <v>0</v>
      </c>
      <c r="AE185" s="56">
        <v>0</v>
      </c>
      <c r="AF185" s="56">
        <f t="shared" si="46"/>
        <v>0</v>
      </c>
      <c r="AG185" s="56">
        <f t="shared" si="47"/>
        <v>0</v>
      </c>
      <c r="AI185" s="56">
        <f t="shared" si="48"/>
        <v>0</v>
      </c>
      <c r="AJ185" s="56">
        <f t="shared" si="49"/>
        <v>0</v>
      </c>
      <c r="AK185" s="56">
        <f t="shared" si="50"/>
        <v>0</v>
      </c>
      <c r="AM185" s="56">
        <f t="shared" si="51"/>
        <v>212043</v>
      </c>
      <c r="AN185" s="56">
        <f t="shared" si="52"/>
        <v>22659</v>
      </c>
      <c r="AO185" s="56">
        <f t="shared" si="53"/>
        <v>43066</v>
      </c>
      <c r="AP185" s="56"/>
      <c r="AQ185" s="56">
        <f t="shared" si="54"/>
        <v>277768</v>
      </c>
      <c r="AR185" s="1"/>
      <c r="AS185" s="56">
        <v>1221.1552739716678</v>
      </c>
      <c r="AT185" s="56">
        <v>130.49314220664687</v>
      </c>
      <c r="AU185" s="56">
        <v>248.01702026883154</v>
      </c>
      <c r="AV185" s="56"/>
      <c r="AW185" s="56">
        <v>1599.6654364471462</v>
      </c>
      <c r="AX185" s="1"/>
      <c r="AY185" s="16">
        <v>-1.0579870895685128E-2</v>
      </c>
      <c r="AZ185" s="16">
        <v>9.5489545114535446E-3</v>
      </c>
      <c r="BA185" s="16">
        <v>-4.9879773797242843E-2</v>
      </c>
      <c r="BB185" s="16">
        <f t="shared" si="55"/>
        <v>-1.5293244478455037E-2</v>
      </c>
      <c r="BC185" s="16"/>
      <c r="BD185" s="1"/>
      <c r="BE185" s="16">
        <f>AM185/'2018-19 disagg'!AM185-1</f>
        <v>2.0875560284439043E-2</v>
      </c>
      <c r="BF185" s="16">
        <f>AN185/'2018-19 disagg'!AN185-1</f>
        <v>2.9299536658490055E-2</v>
      </c>
      <c r="BG185" s="16">
        <f>AO185/'2018-19 disagg'!AO185-1</f>
        <v>4.4885481366459645E-2</v>
      </c>
      <c r="BH185" s="16">
        <f>AQ185/'2018-19 disagg'!AQ185-1</f>
        <v>2.5212503275669151E-2</v>
      </c>
      <c r="BI185" s="1"/>
      <c r="BJ185" s="16">
        <f>AS185/'2018-19 disagg'!AS185-1</f>
        <v>1.3563665549956472E-2</v>
      </c>
      <c r="BK185" s="16">
        <f>AT185/'2018-19 disagg'!AT185-1</f>
        <v>2.1927306236790622E-2</v>
      </c>
      <c r="BL185" s="16">
        <f>AU185/'2018-19 disagg'!AU185-1</f>
        <v>3.7401618546575977E-2</v>
      </c>
      <c r="BM185" s="16">
        <f>AW185/'2018-19 disagg'!AW185-1</f>
        <v>1.7869545724272573E-2</v>
      </c>
    </row>
    <row r="186" spans="1:65" x14ac:dyDescent="0.2">
      <c r="A186" s="156" t="s">
        <v>417</v>
      </c>
      <c r="B186" s="156" t="s">
        <v>418</v>
      </c>
      <c r="D186" s="56">
        <f>VLOOKUP(A186,'2019-20'!$A$12:$AMX394,32,FALSE)</f>
        <v>368747.00543845806</v>
      </c>
      <c r="E186" s="56">
        <v>1533.7866684668818</v>
      </c>
      <c r="F186" s="16">
        <f>VLOOKUP(A186,'2019-20'!$A$12:$AMX394,34,FALSE)</f>
        <v>2.6112887076460423E-2</v>
      </c>
      <c r="G186" s="16">
        <f>VLOOKUP(A186,'2019-20'!$A$12:$AMX394,35,FALSE)</f>
        <v>1.9390981853503186E-2</v>
      </c>
      <c r="H186" s="56"/>
      <c r="I186" s="56">
        <v>376229.20282036235</v>
      </c>
      <c r="J186" s="56">
        <v>1564.908533664287</v>
      </c>
      <c r="K186" s="16">
        <f t="shared" si="57"/>
        <v>-1.9887338159331525E-2</v>
      </c>
      <c r="L186" s="58">
        <f t="shared" si="57"/>
        <v>-1.9887338159331414E-2</v>
      </c>
      <c r="M186" s="10"/>
      <c r="N186" s="56">
        <v>274317</v>
      </c>
      <c r="O186" s="56">
        <v>29850</v>
      </c>
      <c r="P186" s="56">
        <v>64357</v>
      </c>
      <c r="R186" s="56">
        <f t="shared" si="41"/>
        <v>64357</v>
      </c>
      <c r="S186" s="56">
        <f t="shared" si="42"/>
        <v>223.00543845805805</v>
      </c>
      <c r="U186" s="16">
        <v>-2.7452327690821621E-2</v>
      </c>
      <c r="V186" s="16">
        <v>1.6665630845720258E-3</v>
      </c>
      <c r="W186" s="56">
        <f t="shared" si="43"/>
        <v>1</v>
      </c>
      <c r="X186" s="56">
        <f t="shared" si="44"/>
        <v>2820.6020929408287</v>
      </c>
      <c r="Y186" s="56">
        <f t="shared" si="44"/>
        <v>298.00335860347298</v>
      </c>
      <c r="AA186" s="56">
        <f t="shared" si="56"/>
        <v>223.00543845805805</v>
      </c>
      <c r="AB186" s="56">
        <v>0</v>
      </c>
      <c r="AC186" s="56">
        <f t="shared" si="45"/>
        <v>0</v>
      </c>
      <c r="AE186" s="56">
        <v>0</v>
      </c>
      <c r="AF186" s="56">
        <f t="shared" si="46"/>
        <v>0</v>
      </c>
      <c r="AG186" s="56">
        <f t="shared" si="47"/>
        <v>0</v>
      </c>
      <c r="AI186" s="56">
        <f t="shared" si="48"/>
        <v>0</v>
      </c>
      <c r="AJ186" s="56">
        <f t="shared" si="49"/>
        <v>0</v>
      </c>
      <c r="AK186" s="56">
        <f t="shared" si="50"/>
        <v>0</v>
      </c>
      <c r="AM186" s="56">
        <f t="shared" si="51"/>
        <v>274540</v>
      </c>
      <c r="AN186" s="56">
        <f t="shared" si="52"/>
        <v>29850</v>
      </c>
      <c r="AO186" s="56">
        <f t="shared" si="53"/>
        <v>64357</v>
      </c>
      <c r="AP186" s="56"/>
      <c r="AQ186" s="56">
        <f t="shared" si="54"/>
        <v>368747</v>
      </c>
      <c r="AR186" s="1"/>
      <c r="AS186" s="56">
        <v>1141.9368449113404</v>
      </c>
      <c r="AT186" s="56">
        <v>124.15973927516394</v>
      </c>
      <c r="AU186" s="56">
        <v>267.69006165935434</v>
      </c>
      <c r="AV186" s="56"/>
      <c r="AW186" s="56">
        <v>1533.7866458458586</v>
      </c>
      <c r="AX186" s="1"/>
      <c r="AY186" s="16">
        <v>-2.6661716350930398E-2</v>
      </c>
      <c r="AZ186" s="16">
        <v>1.6665630845720258E-3</v>
      </c>
      <c r="BA186" s="16">
        <v>-1.8110779927449361E-4</v>
      </c>
      <c r="BB186" s="16">
        <f t="shared" si="55"/>
        <v>-1.9887352614504139E-2</v>
      </c>
      <c r="BC186" s="16"/>
      <c r="BD186" s="1"/>
      <c r="BE186" s="16">
        <f>AM186/'2018-19 disagg'!AM186-1</f>
        <v>2.1612610332971238E-2</v>
      </c>
      <c r="BF186" s="16">
        <f>AN186/'2018-19 disagg'!AN186-1</f>
        <v>2.9274852591290035E-2</v>
      </c>
      <c r="BG186" s="16">
        <f>AO186/'2018-19 disagg'!AO186-1</f>
        <v>4.4247931202336499E-2</v>
      </c>
      <c r="BH186" s="16">
        <f>AQ186/'2018-19 disagg'!AQ186-1</f>
        <v>2.6112871942854499E-2</v>
      </c>
      <c r="BI186" s="1"/>
      <c r="BJ186" s="16">
        <f>AS186/'2018-19 disagg'!AS186-1</f>
        <v>1.492018571992304E-2</v>
      </c>
      <c r="BK186" s="16">
        <f>AT186/'2018-19 disagg'!AT186-1</f>
        <v>2.2532233826209946E-2</v>
      </c>
      <c r="BL186" s="16">
        <f>AU186/'2018-19 disagg'!AU186-1</f>
        <v>3.7407226138383542E-2</v>
      </c>
      <c r="BM186" s="16">
        <f>AW186/'2018-19 disagg'!AW186-1</f>
        <v>1.9390966819034849E-2</v>
      </c>
    </row>
    <row r="187" spans="1:65" x14ac:dyDescent="0.2">
      <c r="A187" s="156" t="s">
        <v>419</v>
      </c>
      <c r="B187" s="156" t="s">
        <v>420</v>
      </c>
      <c r="D187" s="56">
        <f>VLOOKUP(A187,'2019-20'!$A$12:$AMX395,32,FALSE)</f>
        <v>268803</v>
      </c>
      <c r="E187" s="56">
        <v>1854.455630822682</v>
      </c>
      <c r="F187" s="16">
        <f>VLOOKUP(A187,'2019-20'!$A$12:$AMX395,34,FALSE)</f>
        <v>1.3307045948890428E-2</v>
      </c>
      <c r="G187" s="16">
        <f>VLOOKUP(A187,'2019-20'!$A$12:$AMX395,35,FALSE)</f>
        <v>8.8342297970400718E-3</v>
      </c>
      <c r="H187" s="56"/>
      <c r="I187" s="56">
        <v>252901.17927516357</v>
      </c>
      <c r="J187" s="56">
        <v>1744.7499319149103</v>
      </c>
      <c r="K187" s="16">
        <f t="shared" si="57"/>
        <v>6.2877606068949099E-2</v>
      </c>
      <c r="L187" s="58">
        <f t="shared" si="57"/>
        <v>6.2877606068949099E-2</v>
      </c>
      <c r="M187" s="10"/>
      <c r="N187" s="56">
        <v>208845</v>
      </c>
      <c r="O187" s="56">
        <v>20243</v>
      </c>
      <c r="P187" s="56">
        <v>39715</v>
      </c>
      <c r="R187" s="56">
        <f t="shared" si="41"/>
        <v>39715</v>
      </c>
      <c r="S187" s="56">
        <f t="shared" si="42"/>
        <v>0</v>
      </c>
      <c r="U187" s="16">
        <v>6.8112487295880042E-2</v>
      </c>
      <c r="V187" s="16">
        <v>-2.1440132520596733E-2</v>
      </c>
      <c r="W187" s="56">
        <f t="shared" si="43"/>
        <v>3</v>
      </c>
      <c r="X187" s="56">
        <f t="shared" si="44"/>
        <v>1955.2715887511895</v>
      </c>
      <c r="Y187" s="56">
        <f t="shared" si="44"/>
        <v>206.86521768098234</v>
      </c>
      <c r="AA187" s="56">
        <f t="shared" si="56"/>
        <v>0</v>
      </c>
      <c r="AB187" s="56">
        <v>0</v>
      </c>
      <c r="AC187" s="56">
        <f t="shared" si="45"/>
        <v>0</v>
      </c>
      <c r="AE187" s="56">
        <v>0</v>
      </c>
      <c r="AF187" s="56">
        <f t="shared" si="46"/>
        <v>0</v>
      </c>
      <c r="AG187" s="56">
        <f t="shared" si="47"/>
        <v>0</v>
      </c>
      <c r="AI187" s="56">
        <f t="shared" si="48"/>
        <v>0</v>
      </c>
      <c r="AJ187" s="56">
        <f t="shared" si="49"/>
        <v>0</v>
      </c>
      <c r="AK187" s="56">
        <f t="shared" si="50"/>
        <v>0</v>
      </c>
      <c r="AM187" s="56">
        <f t="shared" si="51"/>
        <v>208845</v>
      </c>
      <c r="AN187" s="56">
        <f t="shared" si="52"/>
        <v>20243</v>
      </c>
      <c r="AO187" s="56">
        <f t="shared" si="53"/>
        <v>39715</v>
      </c>
      <c r="AP187" s="56"/>
      <c r="AQ187" s="56">
        <f t="shared" si="54"/>
        <v>268803</v>
      </c>
      <c r="AR187" s="1"/>
      <c r="AS187" s="56">
        <v>1440.809017083749</v>
      </c>
      <c r="AT187" s="56">
        <v>139.65523202770635</v>
      </c>
      <c r="AU187" s="56">
        <v>273.9913817112265</v>
      </c>
      <c r="AV187" s="56"/>
      <c r="AW187" s="56">
        <v>1854.455630822682</v>
      </c>
      <c r="AX187" s="1"/>
      <c r="AY187" s="16">
        <v>6.8112487295880042E-2</v>
      </c>
      <c r="AZ187" s="16">
        <v>-2.1440132520596733E-2</v>
      </c>
      <c r="BA187" s="16">
        <v>8.2521335085443237E-2</v>
      </c>
      <c r="BB187" s="16">
        <f t="shared" si="55"/>
        <v>6.2877606068949099E-2</v>
      </c>
      <c r="BC187" s="16"/>
      <c r="BD187" s="1"/>
      <c r="BE187" s="16">
        <f>AM187/'2018-19 disagg'!AM187-1</f>
        <v>6.5643932273968808E-3</v>
      </c>
      <c r="BF187" s="16">
        <f>AN187/'2018-19 disagg'!AN187-1</f>
        <v>2.8816832689571026E-2</v>
      </c>
      <c r="BG187" s="16">
        <f>AO187/'2018-19 disagg'!AO187-1</f>
        <v>4.2005562260586604E-2</v>
      </c>
      <c r="BH187" s="16">
        <f>AQ187/'2018-19 disagg'!AQ187-1</f>
        <v>1.3307045948890428E-2</v>
      </c>
      <c r="BI187" s="1"/>
      <c r="BJ187" s="16">
        <f>AS187/'2018-19 disagg'!AS187-1</f>
        <v>2.1213396693424702E-3</v>
      </c>
      <c r="BK187" s="16">
        <f>AT187/'2018-19 disagg'!AT187-1</f>
        <v>2.4275555132144966E-2</v>
      </c>
      <c r="BL187" s="16">
        <f>AU187/'2018-19 disagg'!AU187-1</f>
        <v>3.7406068624546096E-2</v>
      </c>
      <c r="BM187" s="16">
        <f>AW187/'2018-19 disagg'!AW187-1</f>
        <v>8.8342297970400718E-3</v>
      </c>
    </row>
    <row r="188" spans="1:65" x14ac:dyDescent="0.2">
      <c r="A188" s="156" t="s">
        <v>421</v>
      </c>
      <c r="B188" s="156" t="s">
        <v>422</v>
      </c>
      <c r="D188" s="56">
        <f>VLOOKUP(A188,'2019-20'!$A$12:$AMX396,32,FALSE)</f>
        <v>499257.12587773235</v>
      </c>
      <c r="E188" s="56">
        <v>1637.2007947044619</v>
      </c>
      <c r="F188" s="16">
        <f>VLOOKUP(A188,'2019-20'!$A$12:$AMX396,34,FALSE)</f>
        <v>3.0862724035705114E-2</v>
      </c>
      <c r="G188" s="16">
        <f>VLOOKUP(A188,'2019-20'!$A$12:$AMX396,35,FALSE)</f>
        <v>2.169562039957218E-2</v>
      </c>
      <c r="H188" s="56"/>
      <c r="I188" s="56">
        <v>511289.29720604396</v>
      </c>
      <c r="J188" s="56">
        <v>1676.6575784731453</v>
      </c>
      <c r="K188" s="16">
        <f t="shared" si="57"/>
        <v>-2.3533000581200891E-2</v>
      </c>
      <c r="L188" s="58">
        <f t="shared" si="57"/>
        <v>-2.3533000581200891E-2</v>
      </c>
      <c r="M188" s="10"/>
      <c r="N188" s="56">
        <v>376495</v>
      </c>
      <c r="O188" s="56">
        <v>40469</v>
      </c>
      <c r="P188" s="56">
        <v>80560</v>
      </c>
      <c r="R188" s="56">
        <f t="shared" si="41"/>
        <v>80560</v>
      </c>
      <c r="S188" s="56">
        <f t="shared" si="42"/>
        <v>1733.1258777323528</v>
      </c>
      <c r="U188" s="16">
        <v>-9.9414867065835688E-3</v>
      </c>
      <c r="V188" s="16">
        <v>-1.0008190897142888E-2</v>
      </c>
      <c r="W188" s="56">
        <f t="shared" si="43"/>
        <v>4</v>
      </c>
      <c r="X188" s="56">
        <f t="shared" si="44"/>
        <v>3802.7550386652847</v>
      </c>
      <c r="Y188" s="56">
        <f t="shared" si="44"/>
        <v>408.78115988326726</v>
      </c>
      <c r="AA188" s="56">
        <f t="shared" si="56"/>
        <v>0</v>
      </c>
      <c r="AB188" s="56">
        <v>0</v>
      </c>
      <c r="AC188" s="56">
        <f t="shared" si="45"/>
        <v>1733.1258777323528</v>
      </c>
      <c r="AE188" s="56">
        <v>0</v>
      </c>
      <c r="AF188" s="56">
        <f t="shared" si="46"/>
        <v>0</v>
      </c>
      <c r="AG188" s="56">
        <f t="shared" si="47"/>
        <v>1733.1258777323528</v>
      </c>
      <c r="AI188" s="56">
        <f t="shared" si="48"/>
        <v>1564.9047885328105</v>
      </c>
      <c r="AJ188" s="56">
        <f t="shared" si="49"/>
        <v>168.22108919954218</v>
      </c>
      <c r="AK188" s="56">
        <f t="shared" si="50"/>
        <v>0</v>
      </c>
      <c r="AM188" s="56">
        <f t="shared" si="51"/>
        <v>378060</v>
      </c>
      <c r="AN188" s="56">
        <f t="shared" si="52"/>
        <v>40637</v>
      </c>
      <c r="AO188" s="56">
        <f t="shared" si="53"/>
        <v>80560</v>
      </c>
      <c r="AP188" s="56"/>
      <c r="AQ188" s="56">
        <f t="shared" si="54"/>
        <v>499257</v>
      </c>
      <c r="AR188" s="1"/>
      <c r="AS188" s="56">
        <v>1239.7622394628609</v>
      </c>
      <c r="AT188" s="56">
        <v>133.25984797400486</v>
      </c>
      <c r="AU188" s="56">
        <v>264.17829448005097</v>
      </c>
      <c r="AV188" s="56"/>
      <c r="AW188" s="56">
        <v>1637.2003819169167</v>
      </c>
      <c r="AX188" s="1"/>
      <c r="AY188" s="16">
        <v>-5.8260493878828923E-3</v>
      </c>
      <c r="AZ188" s="16">
        <v>-5.8984124511897162E-3</v>
      </c>
      <c r="BA188" s="16">
        <v>-0.10623626107428907</v>
      </c>
      <c r="BB188" s="16">
        <f t="shared" si="55"/>
        <v>-2.3533246777890371E-2</v>
      </c>
      <c r="BC188" s="16"/>
      <c r="BD188" s="1"/>
      <c r="BE188" s="16">
        <f>AM188/'2018-19 disagg'!AM188-1</f>
        <v>2.691000752404582E-2</v>
      </c>
      <c r="BF188" s="16">
        <f>AN188/'2018-19 disagg'!AN188-1</f>
        <v>3.6869769340681868E-2</v>
      </c>
      <c r="BG188" s="16">
        <f>AO188/'2018-19 disagg'!AO188-1</f>
        <v>4.6709543298902201E-2</v>
      </c>
      <c r="BH188" s="16">
        <f>AQ188/'2018-19 disagg'!AQ188-1</f>
        <v>3.0862464124217892E-2</v>
      </c>
      <c r="BI188" s="1"/>
      <c r="BJ188" s="16">
        <f>AS188/'2018-19 disagg'!AS188-1</f>
        <v>1.7778054020963108E-2</v>
      </c>
      <c r="BK188" s="16">
        <f>AT188/'2018-19 disagg'!AT188-1</f>
        <v>2.7649247140103972E-2</v>
      </c>
      <c r="BL188" s="16">
        <f>AU188/'2018-19 disagg'!AU188-1</f>
        <v>3.7401519411118134E-2</v>
      </c>
      <c r="BM188" s="16">
        <f>AW188/'2018-19 disagg'!AW188-1</f>
        <v>2.1695362799387663E-2</v>
      </c>
    </row>
    <row r="189" spans="1:65" x14ac:dyDescent="0.2">
      <c r="A189" s="156" t="s">
        <v>423</v>
      </c>
      <c r="B189" s="156" t="s">
        <v>424</v>
      </c>
      <c r="D189" s="56">
        <f>VLOOKUP(A189,'2019-20'!$A$12:$AMX397,32,FALSE)</f>
        <v>179552</v>
      </c>
      <c r="E189" s="56">
        <v>1493.4125314518035</v>
      </c>
      <c r="F189" s="16">
        <f>VLOOKUP(A189,'2019-20'!$A$12:$AMX397,34,FALSE)</f>
        <v>2.5121037727231288E-2</v>
      </c>
      <c r="G189" s="16">
        <f>VLOOKUP(A189,'2019-20'!$A$12:$AMX397,35,FALSE)</f>
        <v>1.881388695380326E-2</v>
      </c>
      <c r="H189" s="56"/>
      <c r="I189" s="56">
        <v>182179.90116163949</v>
      </c>
      <c r="J189" s="56">
        <v>1515.2699350240787</v>
      </c>
      <c r="K189" s="16">
        <f t="shared" si="57"/>
        <v>-1.4424758960143835E-2</v>
      </c>
      <c r="L189" s="58">
        <f t="shared" si="57"/>
        <v>-1.4424758960143835E-2</v>
      </c>
      <c r="M189" s="10"/>
      <c r="N189" s="56">
        <v>136493</v>
      </c>
      <c r="O189" s="56">
        <v>15000</v>
      </c>
      <c r="P189" s="56">
        <v>28059</v>
      </c>
      <c r="R189" s="56">
        <f t="shared" si="41"/>
        <v>28059</v>
      </c>
      <c r="S189" s="56">
        <f t="shared" si="42"/>
        <v>0</v>
      </c>
      <c r="U189" s="16">
        <v>-1.946413790594359E-2</v>
      </c>
      <c r="V189" s="16">
        <v>-1.920547486172608E-2</v>
      </c>
      <c r="W189" s="56">
        <f t="shared" si="43"/>
        <v>4</v>
      </c>
      <c r="X189" s="56">
        <f t="shared" si="44"/>
        <v>1392.0245579646848</v>
      </c>
      <c r="Y189" s="56">
        <f t="shared" si="44"/>
        <v>152.93723216782107</v>
      </c>
      <c r="AA189" s="56">
        <f t="shared" si="56"/>
        <v>0</v>
      </c>
      <c r="AB189" s="56">
        <v>0</v>
      </c>
      <c r="AC189" s="56">
        <f t="shared" si="45"/>
        <v>0</v>
      </c>
      <c r="AE189" s="56">
        <v>0</v>
      </c>
      <c r="AF189" s="56">
        <f t="shared" si="46"/>
        <v>0</v>
      </c>
      <c r="AG189" s="56">
        <f t="shared" si="47"/>
        <v>0</v>
      </c>
      <c r="AI189" s="56">
        <f t="shared" si="48"/>
        <v>0</v>
      </c>
      <c r="AJ189" s="56">
        <f t="shared" si="49"/>
        <v>0</v>
      </c>
      <c r="AK189" s="56">
        <f t="shared" si="50"/>
        <v>0</v>
      </c>
      <c r="AM189" s="56">
        <f t="shared" si="51"/>
        <v>136493</v>
      </c>
      <c r="AN189" s="56">
        <f t="shared" si="52"/>
        <v>15000</v>
      </c>
      <c r="AO189" s="56">
        <f t="shared" si="53"/>
        <v>28059</v>
      </c>
      <c r="AP189" s="56"/>
      <c r="AQ189" s="56">
        <f t="shared" si="54"/>
        <v>179552</v>
      </c>
      <c r="AR189" s="1"/>
      <c r="AS189" s="56">
        <v>1135.2719917096497</v>
      </c>
      <c r="AT189" s="56">
        <v>124.76156195295542</v>
      </c>
      <c r="AU189" s="56">
        <v>233.37897778919842</v>
      </c>
      <c r="AV189" s="56"/>
      <c r="AW189" s="56">
        <v>1493.4125314518035</v>
      </c>
      <c r="AX189" s="1"/>
      <c r="AY189" s="16">
        <v>-1.946413790594359E-2</v>
      </c>
      <c r="AZ189" s="16">
        <v>-1.920547486172608E-2</v>
      </c>
      <c r="BA189" s="16">
        <v>1.3555902981525758E-2</v>
      </c>
      <c r="BB189" s="16">
        <f t="shared" si="55"/>
        <v>-1.4424758960143835E-2</v>
      </c>
      <c r="BC189" s="16"/>
      <c r="BD189" s="1"/>
      <c r="BE189" s="16">
        <f>AM189/'2018-19 disagg'!AM189-1</f>
        <v>2.0783164066589865E-2</v>
      </c>
      <c r="BF189" s="16">
        <f>AN189/'2018-19 disagg'!AN189-1</f>
        <v>3.0432094524970754E-2</v>
      </c>
      <c r="BG189" s="16">
        <f>AO189/'2018-19 disagg'!AO189-1</f>
        <v>4.3822774450355206E-2</v>
      </c>
      <c r="BH189" s="16">
        <f>AQ189/'2018-19 disagg'!AQ189-1</f>
        <v>2.5121037727231288E-2</v>
      </c>
      <c r="BI189" s="1"/>
      <c r="BJ189" s="16">
        <f>AS189/'2018-19 disagg'!AS189-1</f>
        <v>1.4502702456886896E-2</v>
      </c>
      <c r="BK189" s="16">
        <f>AT189/'2018-19 disagg'!AT189-1</f>
        <v>2.409226698971989E-2</v>
      </c>
      <c r="BL189" s="16">
        <f>AU189/'2018-19 disagg'!AU189-1</f>
        <v>3.7400559534356281E-2</v>
      </c>
      <c r="BM189" s="16">
        <f>AW189/'2018-19 disagg'!AW189-1</f>
        <v>1.881388695380326E-2</v>
      </c>
    </row>
    <row r="190" spans="1:65" x14ac:dyDescent="0.2">
      <c r="A190" s="156" t="s">
        <v>425</v>
      </c>
      <c r="B190" s="156" t="s">
        <v>426</v>
      </c>
      <c r="D190" s="56">
        <f>VLOOKUP(A190,'2019-20'!$A$12:$AMX398,32,FALSE)</f>
        <v>169662.25050822151</v>
      </c>
      <c r="E190" s="56">
        <v>1507.01336323185</v>
      </c>
      <c r="F190" s="16">
        <f>VLOOKUP(A190,'2019-20'!$A$12:$AMX398,34,FALSE)</f>
        <v>2.6992551637812223E-2</v>
      </c>
      <c r="G190" s="16">
        <f>VLOOKUP(A190,'2019-20'!$A$12:$AMX398,35,FALSE)</f>
        <v>2.0060707268078959E-2</v>
      </c>
      <c r="H190" s="56"/>
      <c r="I190" s="56">
        <v>173173.33780179836</v>
      </c>
      <c r="J190" s="56">
        <v>1538.2003565379271</v>
      </c>
      <c r="K190" s="16">
        <f t="shared" si="57"/>
        <v>-2.0274987698137403E-2</v>
      </c>
      <c r="L190" s="58">
        <f t="shared" si="57"/>
        <v>-2.0274987698137403E-2</v>
      </c>
      <c r="M190" s="10"/>
      <c r="N190" s="56">
        <v>131931</v>
      </c>
      <c r="O190" s="56">
        <v>14745</v>
      </c>
      <c r="P190" s="56">
        <v>22599</v>
      </c>
      <c r="R190" s="56">
        <f t="shared" si="41"/>
        <v>22599</v>
      </c>
      <c r="S190" s="56">
        <f t="shared" si="42"/>
        <v>387.25050822150661</v>
      </c>
      <c r="U190" s="16">
        <v>-1.8797486375956574E-2</v>
      </c>
      <c r="V190" s="16">
        <v>-6.8003558571616551E-5</v>
      </c>
      <c r="W190" s="56">
        <f t="shared" si="43"/>
        <v>4</v>
      </c>
      <c r="X190" s="56">
        <f t="shared" si="44"/>
        <v>1344.5848147363242</v>
      </c>
      <c r="Y190" s="56">
        <f t="shared" si="44"/>
        <v>147.46002780663792</v>
      </c>
      <c r="AA190" s="56">
        <f t="shared" si="56"/>
        <v>0</v>
      </c>
      <c r="AB190" s="56">
        <v>0</v>
      </c>
      <c r="AC190" s="56">
        <f t="shared" si="45"/>
        <v>387.25050822150661</v>
      </c>
      <c r="AE190" s="56">
        <v>0</v>
      </c>
      <c r="AF190" s="56">
        <f t="shared" si="46"/>
        <v>0</v>
      </c>
      <c r="AG190" s="56">
        <f t="shared" si="47"/>
        <v>387.25050822150661</v>
      </c>
      <c r="AI190" s="56">
        <f t="shared" si="48"/>
        <v>348.97821969353379</v>
      </c>
      <c r="AJ190" s="56">
        <f t="shared" si="49"/>
        <v>38.272288527972826</v>
      </c>
      <c r="AK190" s="56">
        <f t="shared" si="50"/>
        <v>0</v>
      </c>
      <c r="AM190" s="56">
        <f t="shared" si="51"/>
        <v>132280</v>
      </c>
      <c r="AN190" s="56">
        <f t="shared" si="52"/>
        <v>14783</v>
      </c>
      <c r="AO190" s="56">
        <f t="shared" si="53"/>
        <v>22599</v>
      </c>
      <c r="AP190" s="56"/>
      <c r="AQ190" s="56">
        <f t="shared" si="54"/>
        <v>169662</v>
      </c>
      <c r="AR190" s="1"/>
      <c r="AS190" s="56">
        <v>1174.9680738712652</v>
      </c>
      <c r="AT190" s="56">
        <v>131.30898878166701</v>
      </c>
      <c r="AU190" s="56">
        <v>200.73407545673362</v>
      </c>
      <c r="AV190" s="56"/>
      <c r="AW190" s="56">
        <v>1507.0111381096658</v>
      </c>
      <c r="AX190" s="1"/>
      <c r="AY190" s="16">
        <v>-1.620188960753377E-2</v>
      </c>
      <c r="AZ190" s="16">
        <v>2.5089659812571607E-3</v>
      </c>
      <c r="BA190" s="16">
        <v>-5.7151400453398615E-2</v>
      </c>
      <c r="BB190" s="16">
        <f t="shared" si="55"/>
        <v>-2.0276434273139632E-2</v>
      </c>
      <c r="BC190" s="16"/>
      <c r="BD190" s="1"/>
      <c r="BE190" s="16">
        <f>AM190/'2018-19 disagg'!AM190-1</f>
        <v>2.3482533173430298E-2</v>
      </c>
      <c r="BF190" s="16">
        <f>AN190/'2018-19 disagg'!AN190-1</f>
        <v>3.2260317016968187E-2</v>
      </c>
      <c r="BG190" s="16">
        <f>AO190/'2018-19 disagg'!AO190-1</f>
        <v>4.446087720109082E-2</v>
      </c>
      <c r="BH190" s="16">
        <f>AQ190/'2018-19 disagg'!AQ190-1</f>
        <v>2.6991035271756614E-2</v>
      </c>
      <c r="BI190" s="1"/>
      <c r="BJ190" s="16">
        <f>AS190/'2018-19 disagg'!AS190-1</f>
        <v>1.6574380213816076E-2</v>
      </c>
      <c r="BK190" s="16">
        <f>AT190/'2018-19 disagg'!AT190-1</f>
        <v>2.5292917053646002E-2</v>
      </c>
      <c r="BL190" s="16">
        <f>AU190/'2018-19 disagg'!AU190-1</f>
        <v>3.741112767809085E-2</v>
      </c>
      <c r="BM190" s="16">
        <f>AW190/'2018-19 disagg'!AW190-1</f>
        <v>2.0059201136969351E-2</v>
      </c>
    </row>
    <row r="191" spans="1:65" x14ac:dyDescent="0.2">
      <c r="A191" s="156" t="s">
        <v>427</v>
      </c>
      <c r="B191" s="156" t="s">
        <v>428</v>
      </c>
      <c r="D191" s="56">
        <f>VLOOKUP(A191,'2019-20'!$A$12:$AMX399,32,FALSE)</f>
        <v>360278.78937027196</v>
      </c>
      <c r="E191" s="56">
        <v>1576.5812432800096</v>
      </c>
      <c r="F191" s="16">
        <f>VLOOKUP(A191,'2019-20'!$A$12:$AMX399,34,FALSE)</f>
        <v>2.8821224635684928E-2</v>
      </c>
      <c r="G191" s="16">
        <f>VLOOKUP(A191,'2019-20'!$A$12:$AMX399,35,FALSE)</f>
        <v>2.3517639035006255E-2</v>
      </c>
      <c r="H191" s="56"/>
      <c r="I191" s="56">
        <v>369940.28512999532</v>
      </c>
      <c r="J191" s="56">
        <v>1618.8599825403289</v>
      </c>
      <c r="K191" s="16">
        <f t="shared" si="57"/>
        <v>-2.6116365662442909E-2</v>
      </c>
      <c r="L191" s="58">
        <f t="shared" si="57"/>
        <v>-2.611636566244302E-2</v>
      </c>
      <c r="M191" s="10"/>
      <c r="N191" s="56">
        <v>273002</v>
      </c>
      <c r="O191" s="56">
        <v>29067</v>
      </c>
      <c r="P191" s="56">
        <v>56849</v>
      </c>
      <c r="R191" s="56">
        <f t="shared" si="41"/>
        <v>56849</v>
      </c>
      <c r="S191" s="56">
        <f t="shared" si="42"/>
        <v>1360.7893702719593</v>
      </c>
      <c r="U191" s="16">
        <v>-2.1171384949476901E-2</v>
      </c>
      <c r="V191" s="16">
        <v>-2.4665298354210274E-2</v>
      </c>
      <c r="W191" s="56">
        <f t="shared" si="43"/>
        <v>4</v>
      </c>
      <c r="X191" s="56">
        <f t="shared" si="44"/>
        <v>2789.0684416281474</v>
      </c>
      <c r="Y191" s="56">
        <f t="shared" si="44"/>
        <v>298.02077123834567</v>
      </c>
      <c r="AA191" s="56">
        <f t="shared" si="56"/>
        <v>0</v>
      </c>
      <c r="AB191" s="56">
        <v>0</v>
      </c>
      <c r="AC191" s="56">
        <f t="shared" si="45"/>
        <v>1360.7893702719593</v>
      </c>
      <c r="AE191" s="56">
        <v>0</v>
      </c>
      <c r="AF191" s="56">
        <f t="shared" si="46"/>
        <v>0</v>
      </c>
      <c r="AG191" s="56">
        <f t="shared" si="47"/>
        <v>1360.7893702719593</v>
      </c>
      <c r="AI191" s="56">
        <f t="shared" si="48"/>
        <v>1229.4217713275714</v>
      </c>
      <c r="AJ191" s="56">
        <f t="shared" si="49"/>
        <v>131.36759894438805</v>
      </c>
      <c r="AK191" s="56">
        <f t="shared" si="50"/>
        <v>0</v>
      </c>
      <c r="AM191" s="56">
        <f t="shared" si="51"/>
        <v>274231</v>
      </c>
      <c r="AN191" s="56">
        <f t="shared" si="52"/>
        <v>29198</v>
      </c>
      <c r="AO191" s="56">
        <f t="shared" si="53"/>
        <v>56849</v>
      </c>
      <c r="AP191" s="56"/>
      <c r="AQ191" s="56">
        <f t="shared" si="54"/>
        <v>360278</v>
      </c>
      <c r="AR191" s="1"/>
      <c r="AS191" s="56">
        <v>1200.035815823675</v>
      </c>
      <c r="AT191" s="56">
        <v>127.77055019461572</v>
      </c>
      <c r="AU191" s="56">
        <v>248.77142297464584</v>
      </c>
      <c r="AV191" s="56"/>
      <c r="AW191" s="56">
        <v>1576.5777889929366</v>
      </c>
      <c r="AX191" s="1"/>
      <c r="AY191" s="16">
        <v>-1.6764895737320651E-2</v>
      </c>
      <c r="AZ191" s="16">
        <v>-2.0269631587237491E-2</v>
      </c>
      <c r="BA191" s="16">
        <v>-7.1570573775848301E-2</v>
      </c>
      <c r="BB191" s="16">
        <f t="shared" si="55"/>
        <v>-2.6118499439984011E-2</v>
      </c>
      <c r="BC191" s="16"/>
      <c r="BD191" s="1"/>
      <c r="BE191" s="16">
        <f>AM191/'2018-19 disagg'!AM191-1</f>
        <v>2.537727524266753E-2</v>
      </c>
      <c r="BF191" s="16">
        <f>AN191/'2018-19 disagg'!AN191-1</f>
        <v>3.447298494242701E-2</v>
      </c>
      <c r="BG191" s="16">
        <f>AO191/'2018-19 disagg'!AO191-1</f>
        <v>4.2775647963020802E-2</v>
      </c>
      <c r="BH191" s="16">
        <f>AQ191/'2018-19 disagg'!AQ191-1</f>
        <v>2.8818970489968176E-2</v>
      </c>
      <c r="BI191" s="1"/>
      <c r="BJ191" s="16">
        <f>AS191/'2018-19 disagg'!AS191-1</f>
        <v>2.0091443241907703E-2</v>
      </c>
      <c r="BK191" s="16">
        <f>AT191/'2018-19 disagg'!AT191-1</f>
        <v>2.9140264450414621E-2</v>
      </c>
      <c r="BL191" s="16">
        <f>AU191/'2018-19 disagg'!AU191-1</f>
        <v>3.7400127144781914E-2</v>
      </c>
      <c r="BM191" s="16">
        <f>AW191/'2018-19 disagg'!AW191-1</f>
        <v>2.3515396509437236E-2</v>
      </c>
    </row>
    <row r="192" spans="1:65" x14ac:dyDescent="0.2">
      <c r="A192" s="156" t="s">
        <v>429</v>
      </c>
      <c r="B192" s="156" t="s">
        <v>430</v>
      </c>
      <c r="D192" s="56">
        <f>VLOOKUP(A192,'2019-20'!$A$12:$AMX400,32,FALSE)</f>
        <v>347096.57182745583</v>
      </c>
      <c r="E192" s="56">
        <v>1507.2352415637429</v>
      </c>
      <c r="F192" s="16">
        <f>VLOOKUP(A192,'2019-20'!$A$12:$AMX400,34,FALSE)</f>
        <v>2.8464759926089211E-2</v>
      </c>
      <c r="G192" s="16">
        <f>VLOOKUP(A192,'2019-20'!$A$12:$AMX400,35,FALSE)</f>
        <v>1.8899778992820693E-2</v>
      </c>
      <c r="H192" s="56"/>
      <c r="I192" s="56">
        <v>353657.95219758904</v>
      </c>
      <c r="J192" s="56">
        <v>1535.7274380585141</v>
      </c>
      <c r="K192" s="16">
        <f t="shared" si="57"/>
        <v>-1.8552899289727698E-2</v>
      </c>
      <c r="L192" s="58">
        <f t="shared" si="57"/>
        <v>-1.8552899289727698E-2</v>
      </c>
      <c r="M192" s="10"/>
      <c r="N192" s="56">
        <v>261704</v>
      </c>
      <c r="O192" s="56">
        <v>29801</v>
      </c>
      <c r="P192" s="56">
        <v>55251</v>
      </c>
      <c r="R192" s="56">
        <f t="shared" si="41"/>
        <v>55251</v>
      </c>
      <c r="S192" s="56">
        <f t="shared" si="42"/>
        <v>340.57182745583123</v>
      </c>
      <c r="U192" s="16">
        <v>-4.5937474075289364E-2</v>
      </c>
      <c r="V192" s="16">
        <v>2.6217308964443298E-2</v>
      </c>
      <c r="W192" s="56">
        <f t="shared" si="43"/>
        <v>1</v>
      </c>
      <c r="X192" s="56">
        <f t="shared" si="44"/>
        <v>2743.0487299178571</v>
      </c>
      <c r="Y192" s="56">
        <f t="shared" si="44"/>
        <v>290.39658305970511</v>
      </c>
      <c r="AA192" s="56">
        <f t="shared" si="56"/>
        <v>340.57182745583123</v>
      </c>
      <c r="AB192" s="56">
        <v>0</v>
      </c>
      <c r="AC192" s="56">
        <f t="shared" si="45"/>
        <v>0</v>
      </c>
      <c r="AE192" s="56">
        <v>0</v>
      </c>
      <c r="AF192" s="56">
        <f t="shared" si="46"/>
        <v>0</v>
      </c>
      <c r="AG192" s="56">
        <f t="shared" si="47"/>
        <v>0</v>
      </c>
      <c r="AI192" s="56">
        <f t="shared" si="48"/>
        <v>0</v>
      </c>
      <c r="AJ192" s="56">
        <f t="shared" si="49"/>
        <v>0</v>
      </c>
      <c r="AK192" s="56">
        <f t="shared" si="50"/>
        <v>0</v>
      </c>
      <c r="AM192" s="56">
        <f t="shared" si="51"/>
        <v>262045</v>
      </c>
      <c r="AN192" s="56">
        <f t="shared" si="52"/>
        <v>29801</v>
      </c>
      <c r="AO192" s="56">
        <f t="shared" si="53"/>
        <v>55251</v>
      </c>
      <c r="AP192" s="56"/>
      <c r="AQ192" s="56">
        <f t="shared" si="54"/>
        <v>347097</v>
      </c>
      <c r="AR192" s="1"/>
      <c r="AS192" s="56">
        <v>1137.9065393705764</v>
      </c>
      <c r="AT192" s="56">
        <v>129.40812753451718</v>
      </c>
      <c r="AU192" s="56">
        <v>239.92243395891438</v>
      </c>
      <c r="AV192" s="56"/>
      <c r="AW192" s="56">
        <v>1507.237100864008</v>
      </c>
      <c r="AX192" s="1"/>
      <c r="AY192" s="16">
        <v>-4.4694331741430005E-2</v>
      </c>
      <c r="AZ192" s="16">
        <v>2.6217308964443298E-2</v>
      </c>
      <c r="BA192" s="16">
        <v>9.8136421890238301E-2</v>
      </c>
      <c r="BB192" s="16">
        <f t="shared" si="55"/>
        <v>-1.8551688592947091E-2</v>
      </c>
      <c r="BC192" s="16"/>
      <c r="BD192" s="1"/>
      <c r="BE192" s="16">
        <f>AM192/'2018-19 disagg'!AM192-1</f>
        <v>2.4413604378420661E-2</v>
      </c>
      <c r="BF192" s="16">
        <f>AN192/'2018-19 disagg'!AN192-1</f>
        <v>3.0249602433796596E-2</v>
      </c>
      <c r="BG192" s="16">
        <f>AO192/'2018-19 disagg'!AO192-1</f>
        <v>4.7134409824880708E-2</v>
      </c>
      <c r="BH192" s="16">
        <f>AQ192/'2018-19 disagg'!AQ192-1</f>
        <v>2.8466028623070239E-2</v>
      </c>
      <c r="BI192" s="1"/>
      <c r="BJ192" s="16">
        <f>AS192/'2018-19 disagg'!AS192-1</f>
        <v>1.488630021063897E-2</v>
      </c>
      <c r="BK192" s="16">
        <f>AT192/'2018-19 disagg'!AT192-1</f>
        <v>2.0668022016306464E-2</v>
      </c>
      <c r="BL192" s="16">
        <f>AU192/'2018-19 disagg'!AU192-1</f>
        <v>3.739579645200819E-2</v>
      </c>
      <c r="BM192" s="16">
        <f>AW192/'2018-19 disagg'!AW192-1</f>
        <v>1.890103589060077E-2</v>
      </c>
    </row>
    <row r="193" spans="1:65" x14ac:dyDescent="0.2">
      <c r="A193" s="156" t="s">
        <v>431</v>
      </c>
      <c r="B193" s="156" t="s">
        <v>432</v>
      </c>
      <c r="D193" s="56">
        <f>VLOOKUP(A193,'2019-20'!$A$12:$AMX401,32,FALSE)</f>
        <v>591150.17456829397</v>
      </c>
      <c r="E193" s="56">
        <v>1567.4472907981487</v>
      </c>
      <c r="F193" s="16">
        <f>VLOOKUP(A193,'2019-20'!$A$12:$AMX401,34,FALSE)</f>
        <v>2.7547574262376973E-2</v>
      </c>
      <c r="G193" s="16">
        <f>VLOOKUP(A193,'2019-20'!$A$12:$AMX401,35,FALSE)</f>
        <v>1.9418378963891758E-2</v>
      </c>
      <c r="H193" s="56"/>
      <c r="I193" s="56">
        <v>602949.73850133619</v>
      </c>
      <c r="J193" s="56">
        <v>1598.7340861255009</v>
      </c>
      <c r="K193" s="16">
        <f t="shared" si="57"/>
        <v>-1.9569730575504818E-2</v>
      </c>
      <c r="L193" s="58">
        <f t="shared" si="57"/>
        <v>-1.9569730575504929E-2</v>
      </c>
      <c r="M193" s="10"/>
      <c r="N193" s="56">
        <v>444234</v>
      </c>
      <c r="O193" s="56">
        <v>46488</v>
      </c>
      <c r="P193" s="56">
        <v>99906</v>
      </c>
      <c r="R193" s="56">
        <f t="shared" si="41"/>
        <v>99906</v>
      </c>
      <c r="S193" s="56">
        <f t="shared" si="42"/>
        <v>522.17456829396542</v>
      </c>
      <c r="U193" s="16">
        <v>-3.7653978404033173E-2</v>
      </c>
      <c r="V193" s="16">
        <v>-4.8299727481003307E-2</v>
      </c>
      <c r="W193" s="56">
        <f t="shared" si="43"/>
        <v>4</v>
      </c>
      <c r="X193" s="56">
        <f t="shared" si="44"/>
        <v>4616.1566633099046</v>
      </c>
      <c r="Y193" s="56">
        <f t="shared" si="44"/>
        <v>488.47311850561715</v>
      </c>
      <c r="AA193" s="56">
        <f t="shared" si="56"/>
        <v>0</v>
      </c>
      <c r="AB193" s="56">
        <v>0</v>
      </c>
      <c r="AC193" s="56">
        <f t="shared" si="45"/>
        <v>522.17456829396542</v>
      </c>
      <c r="AE193" s="56">
        <v>0</v>
      </c>
      <c r="AF193" s="56">
        <f t="shared" si="46"/>
        <v>0</v>
      </c>
      <c r="AG193" s="56">
        <f t="shared" si="47"/>
        <v>522.17456829396542</v>
      </c>
      <c r="AI193" s="56">
        <f t="shared" si="48"/>
        <v>472.20654893093155</v>
      </c>
      <c r="AJ193" s="56">
        <f t="shared" si="49"/>
        <v>49.968019363033925</v>
      </c>
      <c r="AK193" s="56">
        <f t="shared" si="50"/>
        <v>0</v>
      </c>
      <c r="AM193" s="56">
        <f t="shared" si="51"/>
        <v>444706</v>
      </c>
      <c r="AN193" s="56">
        <f t="shared" si="52"/>
        <v>46538</v>
      </c>
      <c r="AO193" s="56">
        <f t="shared" si="53"/>
        <v>99906</v>
      </c>
      <c r="AP193" s="56"/>
      <c r="AQ193" s="56">
        <f t="shared" si="54"/>
        <v>591150</v>
      </c>
      <c r="AR193" s="1"/>
      <c r="AS193" s="56">
        <v>1179.1474398374771</v>
      </c>
      <c r="AT193" s="56">
        <v>123.39649915934687</v>
      </c>
      <c r="AU193" s="56">
        <v>264.90288892977156</v>
      </c>
      <c r="AV193" s="56"/>
      <c r="AW193" s="56">
        <v>1567.4468279265957</v>
      </c>
      <c r="AX193" s="1"/>
      <c r="AY193" s="16">
        <v>-3.6631482777419011E-2</v>
      </c>
      <c r="AZ193" s="16">
        <v>-4.7276129700372871E-2</v>
      </c>
      <c r="BA193" s="16">
        <v>8.0219478491441842E-2</v>
      </c>
      <c r="BB193" s="16">
        <f t="shared" si="55"/>
        <v>-1.9570020099295649E-2</v>
      </c>
      <c r="BC193" s="16"/>
      <c r="BD193" s="1"/>
      <c r="BE193" s="16">
        <f>AM193/'2018-19 disagg'!AM193-1</f>
        <v>2.2733492632600605E-2</v>
      </c>
      <c r="BF193" s="16">
        <f>AN193/'2018-19 disagg'!AN193-1</f>
        <v>3.558156612296659E-2</v>
      </c>
      <c r="BG193" s="16">
        <f>AO193/'2018-19 disagg'!AO193-1</f>
        <v>4.5676247095518097E-2</v>
      </c>
      <c r="BH193" s="16">
        <f>AQ193/'2018-19 disagg'!AQ193-1</f>
        <v>2.7547270824714643E-2</v>
      </c>
      <c r="BI193" s="1"/>
      <c r="BJ193" s="16">
        <f>AS193/'2018-19 disagg'!AS193-1</f>
        <v>1.4642382782158458E-2</v>
      </c>
      <c r="BK193" s="16">
        <f>AT193/'2018-19 disagg'!AT193-1</f>
        <v>2.7388811831694282E-2</v>
      </c>
      <c r="BL193" s="16">
        <f>AU193/'2018-19 disagg'!AU193-1</f>
        <v>3.7403631165566331E-2</v>
      </c>
      <c r="BM193" s="16">
        <f>AW193/'2018-19 disagg'!AW193-1</f>
        <v>1.9418077926803612E-2</v>
      </c>
    </row>
    <row r="194" spans="1:65" x14ac:dyDescent="0.2">
      <c r="A194" s="156" t="s">
        <v>433</v>
      </c>
      <c r="B194" s="156" t="s">
        <v>434</v>
      </c>
      <c r="D194" s="56">
        <f>VLOOKUP(A194,'2019-20'!$A$12:$AMX402,32,FALSE)</f>
        <v>1109641</v>
      </c>
      <c r="E194" s="56">
        <v>1512.3536559154734</v>
      </c>
      <c r="F194" s="16">
        <f>VLOOKUP(A194,'2019-20'!$A$12:$AMX402,34,FALSE)</f>
        <v>2.600326578013501E-2</v>
      </c>
      <c r="G194" s="16">
        <f>VLOOKUP(A194,'2019-20'!$A$12:$AMX402,35,FALSE)</f>
        <v>2.0231988790829991E-2</v>
      </c>
      <c r="H194" s="56"/>
      <c r="I194" s="56">
        <v>1110007.6031960938</v>
      </c>
      <c r="J194" s="56">
        <v>1512.8533073197409</v>
      </c>
      <c r="K194" s="16">
        <f t="shared" si="57"/>
        <v>-3.3027088736892196E-4</v>
      </c>
      <c r="L194" s="58">
        <f t="shared" si="57"/>
        <v>-3.3027088736892196E-4</v>
      </c>
      <c r="M194" s="10"/>
      <c r="N194" s="56">
        <v>774661</v>
      </c>
      <c r="O194" s="56">
        <v>96616</v>
      </c>
      <c r="P194" s="56">
        <v>238364</v>
      </c>
      <c r="R194" s="56">
        <f t="shared" si="41"/>
        <v>238364</v>
      </c>
      <c r="S194" s="56">
        <f t="shared" si="42"/>
        <v>0</v>
      </c>
      <c r="U194" s="16">
        <v>-4.7695003832848415E-2</v>
      </c>
      <c r="V194" s="16">
        <v>2.9514726727735585E-2</v>
      </c>
      <c r="W194" s="56">
        <f t="shared" si="43"/>
        <v>1</v>
      </c>
      <c r="X194" s="56">
        <f t="shared" si="44"/>
        <v>8134.5892662315619</v>
      </c>
      <c r="Y194" s="56">
        <f t="shared" si="44"/>
        <v>938.46156341142819</v>
      </c>
      <c r="AA194" s="56">
        <f t="shared" si="56"/>
        <v>0</v>
      </c>
      <c r="AB194" s="56">
        <v>0</v>
      </c>
      <c r="AC194" s="56">
        <f t="shared" si="45"/>
        <v>0</v>
      </c>
      <c r="AE194" s="56">
        <v>0</v>
      </c>
      <c r="AF194" s="56">
        <f t="shared" si="46"/>
        <v>0</v>
      </c>
      <c r="AG194" s="56">
        <f t="shared" si="47"/>
        <v>0</v>
      </c>
      <c r="AI194" s="56">
        <f t="shared" si="48"/>
        <v>0</v>
      </c>
      <c r="AJ194" s="56">
        <f t="shared" si="49"/>
        <v>0</v>
      </c>
      <c r="AK194" s="56">
        <f t="shared" si="50"/>
        <v>0</v>
      </c>
      <c r="AM194" s="56">
        <f t="shared" si="51"/>
        <v>774661</v>
      </c>
      <c r="AN194" s="56">
        <f t="shared" si="52"/>
        <v>96616</v>
      </c>
      <c r="AO194" s="56">
        <f t="shared" si="53"/>
        <v>238364</v>
      </c>
      <c r="AP194" s="56"/>
      <c r="AQ194" s="56">
        <f t="shared" si="54"/>
        <v>1109641</v>
      </c>
      <c r="AR194" s="1"/>
      <c r="AS194" s="56">
        <v>1055.8021877752683</v>
      </c>
      <c r="AT194" s="56">
        <v>131.68003058640531</v>
      </c>
      <c r="AU194" s="56">
        <v>324.87143755379975</v>
      </c>
      <c r="AV194" s="56"/>
      <c r="AW194" s="56">
        <v>1512.3536559154734</v>
      </c>
      <c r="AX194" s="1"/>
      <c r="AY194" s="16">
        <v>-4.7695003832848415E-2</v>
      </c>
      <c r="AZ194" s="16">
        <v>2.9514726727735585E-2</v>
      </c>
      <c r="BA194" s="16">
        <v>0.17593012522698515</v>
      </c>
      <c r="BB194" s="16">
        <f t="shared" si="55"/>
        <v>-3.3027088736892196E-4</v>
      </c>
      <c r="BC194" s="16"/>
      <c r="BD194" s="1"/>
      <c r="BE194" s="16">
        <f>AM194/'2018-19 disagg'!AM194-1</f>
        <v>2.0783013062516398E-2</v>
      </c>
      <c r="BF194" s="16">
        <f>AN194/'2018-19 disagg'!AN194-1</f>
        <v>2.6181346985162168E-2</v>
      </c>
      <c r="BG194" s="16">
        <f>AO194/'2018-19 disagg'!AO194-1</f>
        <v>4.3268936177662587E-2</v>
      </c>
      <c r="BH194" s="16">
        <f>AQ194/'2018-19 disagg'!AQ194-1</f>
        <v>2.600326578013501E-2</v>
      </c>
      <c r="BI194" s="1"/>
      <c r="BJ194" s="16">
        <f>AS194/'2018-19 disagg'!AS194-1</f>
        <v>1.5041100038602595E-2</v>
      </c>
      <c r="BK194" s="16">
        <f>AT194/'2018-19 disagg'!AT194-1</f>
        <v>2.0409068287582821E-2</v>
      </c>
      <c r="BL194" s="16">
        <f>AU194/'2018-19 disagg'!AU194-1</f>
        <v>3.740053964732537E-2</v>
      </c>
      <c r="BM194" s="16">
        <f>AW194/'2018-19 disagg'!AW194-1</f>
        <v>2.0231988790829991E-2</v>
      </c>
    </row>
    <row r="195" spans="1:65" x14ac:dyDescent="0.2">
      <c r="A195" s="156" t="s">
        <v>435</v>
      </c>
      <c r="B195" s="156" t="s">
        <v>436</v>
      </c>
      <c r="D195" s="56">
        <f>VLOOKUP(A195,'2019-20'!$A$12:$AMX403,32,FALSE)</f>
        <v>369026</v>
      </c>
      <c r="E195" s="56">
        <v>1623.5233921646272</v>
      </c>
      <c r="F195" s="16">
        <f>VLOOKUP(A195,'2019-20'!$A$12:$AMX403,34,FALSE)</f>
        <v>2.5072222222222162E-2</v>
      </c>
      <c r="G195" s="16">
        <f>VLOOKUP(A195,'2019-20'!$A$12:$AMX403,35,FALSE)</f>
        <v>1.9160142302238725E-2</v>
      </c>
      <c r="H195" s="56"/>
      <c r="I195" s="56">
        <v>364174.94439245522</v>
      </c>
      <c r="J195" s="56">
        <v>1602.1812583975204</v>
      </c>
      <c r="K195" s="16">
        <f t="shared" si="57"/>
        <v>1.3320673709822817E-2</v>
      </c>
      <c r="L195" s="58">
        <f t="shared" si="57"/>
        <v>1.3320673709822817E-2</v>
      </c>
      <c r="M195" s="10"/>
      <c r="N195" s="56">
        <v>283146</v>
      </c>
      <c r="O195" s="56">
        <v>30170</v>
      </c>
      <c r="P195" s="56">
        <v>55710</v>
      </c>
      <c r="R195" s="56">
        <f t="shared" si="41"/>
        <v>55710</v>
      </c>
      <c r="S195" s="56">
        <f t="shared" si="42"/>
        <v>0</v>
      </c>
      <c r="U195" s="16">
        <v>1.9931092680343765E-2</v>
      </c>
      <c r="V195" s="16">
        <v>-4.8713795823890682E-2</v>
      </c>
      <c r="W195" s="56">
        <f t="shared" si="43"/>
        <v>3</v>
      </c>
      <c r="X195" s="56">
        <f t="shared" si="44"/>
        <v>2776.1287211658787</v>
      </c>
      <c r="Y195" s="56">
        <f t="shared" si="44"/>
        <v>317.14955885573528</v>
      </c>
      <c r="AA195" s="56">
        <f t="shared" si="56"/>
        <v>0</v>
      </c>
      <c r="AB195" s="56">
        <v>0</v>
      </c>
      <c r="AC195" s="56">
        <f t="shared" si="45"/>
        <v>0</v>
      </c>
      <c r="AE195" s="56">
        <v>0</v>
      </c>
      <c r="AF195" s="56">
        <f t="shared" si="46"/>
        <v>0</v>
      </c>
      <c r="AG195" s="56">
        <f t="shared" si="47"/>
        <v>0</v>
      </c>
      <c r="AI195" s="56">
        <f t="shared" si="48"/>
        <v>0</v>
      </c>
      <c r="AJ195" s="56">
        <f t="shared" si="49"/>
        <v>0</v>
      </c>
      <c r="AK195" s="56">
        <f t="shared" si="50"/>
        <v>0</v>
      </c>
      <c r="AM195" s="56">
        <f t="shared" si="51"/>
        <v>283146</v>
      </c>
      <c r="AN195" s="56">
        <f t="shared" si="52"/>
        <v>30170</v>
      </c>
      <c r="AO195" s="56">
        <f t="shared" si="53"/>
        <v>55710</v>
      </c>
      <c r="AP195" s="56"/>
      <c r="AQ195" s="56">
        <f t="shared" si="54"/>
        <v>369026</v>
      </c>
      <c r="AR195" s="1"/>
      <c r="AS195" s="56">
        <v>1245.6958436474545</v>
      </c>
      <c r="AT195" s="56">
        <v>132.7323840098172</v>
      </c>
      <c r="AU195" s="56">
        <v>245.09516450735552</v>
      </c>
      <c r="AV195" s="56"/>
      <c r="AW195" s="56">
        <v>1623.5233921646272</v>
      </c>
      <c r="AX195" s="1"/>
      <c r="AY195" s="16">
        <v>1.9931092680343765E-2</v>
      </c>
      <c r="AZ195" s="16">
        <v>-4.8713795823890682E-2</v>
      </c>
      <c r="BA195" s="16">
        <v>1.5732524633854217E-2</v>
      </c>
      <c r="BB195" s="16">
        <f t="shared" si="55"/>
        <v>1.3320673709822817E-2</v>
      </c>
      <c r="BC195" s="16"/>
      <c r="BD195" s="1"/>
      <c r="BE195" s="16">
        <f>AM195/'2018-19 disagg'!AM195-1</f>
        <v>2.0783687419109409E-2</v>
      </c>
      <c r="BF195" s="16">
        <f>AN195/'2018-19 disagg'!AN195-1</f>
        <v>3.226468676224048E-2</v>
      </c>
      <c r="BG195" s="16">
        <f>AO195/'2018-19 disagg'!AO195-1</f>
        <v>4.341474378183996E-2</v>
      </c>
      <c r="BH195" s="16">
        <f>AQ195/'2018-19 disagg'!AQ195-1</f>
        <v>2.5072222222222162E-2</v>
      </c>
      <c r="BI195" s="1"/>
      <c r="BJ195" s="16">
        <f>AS195/'2018-19 disagg'!AS195-1</f>
        <v>1.4896341522686374E-2</v>
      </c>
      <c r="BK195" s="16">
        <f>AT195/'2018-19 disagg'!AT195-1</f>
        <v>2.6311124472272907E-2</v>
      </c>
      <c r="BL195" s="16">
        <f>AU195/'2018-19 disagg'!AU195-1</f>
        <v>3.7396873800391806E-2</v>
      </c>
      <c r="BM195" s="16">
        <f>AW195/'2018-19 disagg'!AW195-1</f>
        <v>1.9160142302238725E-2</v>
      </c>
    </row>
    <row r="196" spans="1:65" x14ac:dyDescent="0.2">
      <c r="A196" s="156" t="s">
        <v>437</v>
      </c>
      <c r="B196" s="156" t="s">
        <v>438</v>
      </c>
      <c r="D196" s="56">
        <f>VLOOKUP(A196,'2019-20'!$A$12:$AMX404,32,FALSE)</f>
        <v>250205</v>
      </c>
      <c r="E196" s="56">
        <v>1569.6399174391513</v>
      </c>
      <c r="F196" s="16">
        <f>VLOOKUP(A196,'2019-20'!$A$12:$AMX404,34,FALSE)</f>
        <v>3.0180133813690224E-2</v>
      </c>
      <c r="G196" s="16">
        <f>VLOOKUP(A196,'2019-20'!$A$12:$AMX404,35,FALSE)</f>
        <v>1.8405467498552319E-2</v>
      </c>
      <c r="H196" s="56"/>
      <c r="I196" s="56">
        <v>249791.8015188197</v>
      </c>
      <c r="J196" s="56">
        <v>1567.0477516955177</v>
      </c>
      <c r="K196" s="16">
        <f t="shared" si="57"/>
        <v>1.654171508704172E-3</v>
      </c>
      <c r="L196" s="58">
        <f t="shared" si="57"/>
        <v>1.654171508704172E-3</v>
      </c>
      <c r="M196" s="10"/>
      <c r="N196" s="56">
        <v>184707</v>
      </c>
      <c r="O196" s="56">
        <v>21202</v>
      </c>
      <c r="P196" s="56">
        <v>44296</v>
      </c>
      <c r="R196" s="56">
        <f t="shared" si="41"/>
        <v>44296</v>
      </c>
      <c r="S196" s="56">
        <f t="shared" si="42"/>
        <v>0</v>
      </c>
      <c r="U196" s="16">
        <v>-4.1809204061489247E-3</v>
      </c>
      <c r="V196" s="16">
        <v>1.0655919703778105E-2</v>
      </c>
      <c r="W196" s="56">
        <f t="shared" si="43"/>
        <v>1</v>
      </c>
      <c r="X196" s="56">
        <f t="shared" si="44"/>
        <v>1854.8248751704327</v>
      </c>
      <c r="Y196" s="56">
        <f t="shared" si="44"/>
        <v>209.78455265184891</v>
      </c>
      <c r="AA196" s="56">
        <f t="shared" si="56"/>
        <v>0</v>
      </c>
      <c r="AB196" s="56">
        <v>0</v>
      </c>
      <c r="AC196" s="56">
        <f t="shared" si="45"/>
        <v>0</v>
      </c>
      <c r="AE196" s="56">
        <v>0</v>
      </c>
      <c r="AF196" s="56">
        <f t="shared" si="46"/>
        <v>0</v>
      </c>
      <c r="AG196" s="56">
        <f t="shared" si="47"/>
        <v>0</v>
      </c>
      <c r="AI196" s="56">
        <f t="shared" si="48"/>
        <v>0</v>
      </c>
      <c r="AJ196" s="56">
        <f t="shared" si="49"/>
        <v>0</v>
      </c>
      <c r="AK196" s="56">
        <f t="shared" si="50"/>
        <v>0</v>
      </c>
      <c r="AM196" s="56">
        <f t="shared" si="51"/>
        <v>184707</v>
      </c>
      <c r="AN196" s="56">
        <f t="shared" si="52"/>
        <v>21202</v>
      </c>
      <c r="AO196" s="56">
        <f t="shared" si="53"/>
        <v>44296</v>
      </c>
      <c r="AP196" s="56"/>
      <c r="AQ196" s="56">
        <f t="shared" si="54"/>
        <v>250205</v>
      </c>
      <c r="AR196" s="1"/>
      <c r="AS196" s="56">
        <v>1158.7437510458756</v>
      </c>
      <c r="AT196" s="56">
        <v>133.00895477526382</v>
      </c>
      <c r="AU196" s="56">
        <v>277.8872116180118</v>
      </c>
      <c r="AV196" s="56"/>
      <c r="AW196" s="56">
        <v>1569.6399174391513</v>
      </c>
      <c r="AX196" s="1"/>
      <c r="AY196" s="16">
        <v>-4.1809204061489247E-3</v>
      </c>
      <c r="AZ196" s="16">
        <v>1.0655919703778105E-2</v>
      </c>
      <c r="BA196" s="16">
        <v>2.2273762661284557E-2</v>
      </c>
      <c r="BB196" s="16">
        <f t="shared" si="55"/>
        <v>1.654171508704172E-3</v>
      </c>
      <c r="BC196" s="16"/>
      <c r="BD196" s="1"/>
      <c r="BE196" s="16">
        <f>AM196/'2018-19 disagg'!AM196-1</f>
        <v>2.528420444957602E-2</v>
      </c>
      <c r="BF196" s="16">
        <f>AN196/'2018-19 disagg'!AN196-1</f>
        <v>3.3638845553822128E-2</v>
      </c>
      <c r="BG196" s="16">
        <f>AO196/'2018-19 disagg'!AO196-1</f>
        <v>4.9394707540688421E-2</v>
      </c>
      <c r="BH196" s="16">
        <f>AQ196/'2018-19 disagg'!AQ196-1</f>
        <v>3.0180133813690224E-2</v>
      </c>
      <c r="BI196" s="1"/>
      <c r="BJ196" s="16">
        <f>AS196/'2018-19 disagg'!AS196-1</f>
        <v>1.356549721642053E-2</v>
      </c>
      <c r="BK196" s="16">
        <f>AT196/'2018-19 disagg'!AT196-1</f>
        <v>2.1824647145913589E-2</v>
      </c>
      <c r="BL196" s="16">
        <f>AU196/'2018-19 disagg'!AU196-1</f>
        <v>3.7400424105595409E-2</v>
      </c>
      <c r="BM196" s="16">
        <f>AW196/'2018-19 disagg'!AW196-1</f>
        <v>1.8405467498552319E-2</v>
      </c>
    </row>
    <row r="197" spans="1:65" x14ac:dyDescent="0.2">
      <c r="A197" s="156" t="s">
        <v>439</v>
      </c>
      <c r="B197" s="156" t="s">
        <v>440</v>
      </c>
      <c r="D197" s="56">
        <f>VLOOKUP(A197,'2019-20'!$A$12:$AMX405,32,FALSE)</f>
        <v>354221.82152207231</v>
      </c>
      <c r="E197" s="56">
        <v>1638.1706314626899</v>
      </c>
      <c r="F197" s="16">
        <f>VLOOKUP(A197,'2019-20'!$A$12:$AMX405,34,FALSE)</f>
        <v>2.7233112806192894E-2</v>
      </c>
      <c r="G197" s="16">
        <f>VLOOKUP(A197,'2019-20'!$A$12:$AMX405,35,FALSE)</f>
        <v>2.2078917620818039E-2</v>
      </c>
      <c r="H197" s="56"/>
      <c r="I197" s="56">
        <v>362720.69701550266</v>
      </c>
      <c r="J197" s="56">
        <v>1677.4754043136986</v>
      </c>
      <c r="K197" s="16">
        <f t="shared" si="57"/>
        <v>-2.3430908584373134E-2</v>
      </c>
      <c r="L197" s="58">
        <f t="shared" si="57"/>
        <v>-2.3430908584373134E-2</v>
      </c>
      <c r="M197" s="10"/>
      <c r="N197" s="56">
        <v>271472</v>
      </c>
      <c r="O197" s="56">
        <v>28591</v>
      </c>
      <c r="P197" s="56">
        <v>53344</v>
      </c>
      <c r="R197" s="56">
        <f t="shared" si="41"/>
        <v>53344</v>
      </c>
      <c r="S197" s="56">
        <f t="shared" si="42"/>
        <v>814.82152207230683</v>
      </c>
      <c r="U197" s="16">
        <v>-3.407264921864761E-2</v>
      </c>
      <c r="V197" s="16">
        <v>-4.6279104633344503E-2</v>
      </c>
      <c r="W197" s="56">
        <f t="shared" si="43"/>
        <v>4</v>
      </c>
      <c r="X197" s="56">
        <f t="shared" si="44"/>
        <v>2810.4805167842323</v>
      </c>
      <c r="Y197" s="56">
        <f t="shared" si="44"/>
        <v>299.78372224935117</v>
      </c>
      <c r="AA197" s="56">
        <f t="shared" si="56"/>
        <v>0</v>
      </c>
      <c r="AB197" s="56">
        <v>0</v>
      </c>
      <c r="AC197" s="56">
        <f t="shared" si="45"/>
        <v>814.82152207230683</v>
      </c>
      <c r="AE197" s="56">
        <v>0</v>
      </c>
      <c r="AF197" s="56">
        <f t="shared" si="46"/>
        <v>0</v>
      </c>
      <c r="AG197" s="56">
        <f t="shared" si="47"/>
        <v>814.82152207230683</v>
      </c>
      <c r="AI197" s="56">
        <f t="shared" si="48"/>
        <v>736.28471295167174</v>
      </c>
      <c r="AJ197" s="56">
        <f t="shared" si="49"/>
        <v>78.536809120635112</v>
      </c>
      <c r="AK197" s="56">
        <f t="shared" si="50"/>
        <v>0</v>
      </c>
      <c r="AM197" s="56">
        <f t="shared" si="51"/>
        <v>272208</v>
      </c>
      <c r="AN197" s="56">
        <f t="shared" si="52"/>
        <v>28670</v>
      </c>
      <c r="AO197" s="56">
        <f t="shared" si="53"/>
        <v>53344</v>
      </c>
      <c r="AP197" s="56"/>
      <c r="AQ197" s="56">
        <f t="shared" si="54"/>
        <v>354222</v>
      </c>
      <c r="AR197" s="1"/>
      <c r="AS197" s="56">
        <v>1258.881085679837</v>
      </c>
      <c r="AT197" s="56">
        <v>132.5902277906635</v>
      </c>
      <c r="AU197" s="56">
        <v>246.70014339955193</v>
      </c>
      <c r="AV197" s="56"/>
      <c r="AW197" s="56">
        <v>1638.1714568700525</v>
      </c>
      <c r="AX197" s="1"/>
      <c r="AY197" s="16">
        <v>-3.1453879952664021E-2</v>
      </c>
      <c r="AZ197" s="16">
        <v>-4.3643871492357267E-2</v>
      </c>
      <c r="BA197" s="16">
        <v>3.1913146051532726E-2</v>
      </c>
      <c r="BB197" s="16">
        <f t="shared" si="55"/>
        <v>-2.3430416531040721E-2</v>
      </c>
      <c r="BC197" s="16"/>
      <c r="BD197" s="1"/>
      <c r="BE197" s="16">
        <f>AM197/'2018-19 disagg'!AM197-1</f>
        <v>2.3549982139164038E-2</v>
      </c>
      <c r="BF197" s="16">
        <f>AN197/'2018-19 disagg'!AN197-1</f>
        <v>3.4159362262381476E-2</v>
      </c>
      <c r="BG197" s="16">
        <f>AO197/'2018-19 disagg'!AO197-1</f>
        <v>4.2628461974473675E-2</v>
      </c>
      <c r="BH197" s="16">
        <f>AQ197/'2018-19 disagg'!AQ197-1</f>
        <v>2.723363038705906E-2</v>
      </c>
      <c r="BI197" s="1"/>
      <c r="BJ197" s="16">
        <f>AS197/'2018-19 disagg'!AS197-1</f>
        <v>1.8414267252091943E-2</v>
      </c>
      <c r="BK197" s="16">
        <f>AT197/'2018-19 disagg'!AT197-1</f>
        <v>2.8970414262718513E-2</v>
      </c>
      <c r="BL197" s="16">
        <f>AU197/'2018-19 disagg'!AU197-1</f>
        <v>3.7397019829697786E-2</v>
      </c>
      <c r="BM197" s="16">
        <f>AW197/'2018-19 disagg'!AW197-1</f>
        <v>2.2079432604695359E-2</v>
      </c>
    </row>
    <row r="198" spans="1:65" x14ac:dyDescent="0.2">
      <c r="A198" s="156" t="s">
        <v>441</v>
      </c>
      <c r="B198" s="156" t="s">
        <v>442</v>
      </c>
      <c r="D198" s="56">
        <f>VLOOKUP(A198,'2019-20'!$A$12:$AMX406,32,FALSE)</f>
        <v>379205</v>
      </c>
      <c r="E198" s="56">
        <v>1857.482178320121</v>
      </c>
      <c r="F198" s="16">
        <f>VLOOKUP(A198,'2019-20'!$A$12:$AMX406,34,FALSE)</f>
        <v>2.4515644461015063E-2</v>
      </c>
      <c r="G198" s="16">
        <f>VLOOKUP(A198,'2019-20'!$A$12:$AMX406,35,FALSE)</f>
        <v>1.9470572926853169E-2</v>
      </c>
      <c r="H198" s="56"/>
      <c r="I198" s="56">
        <v>369285.40346600133</v>
      </c>
      <c r="J198" s="56">
        <v>1808.8924345719411</v>
      </c>
      <c r="K198" s="16">
        <f t="shared" si="57"/>
        <v>2.6861599296631677E-2</v>
      </c>
      <c r="L198" s="58">
        <f t="shared" si="57"/>
        <v>2.6861599296631677E-2</v>
      </c>
      <c r="M198" s="10"/>
      <c r="N198" s="56">
        <v>290094</v>
      </c>
      <c r="O198" s="56">
        <v>28273</v>
      </c>
      <c r="P198" s="56">
        <v>60838</v>
      </c>
      <c r="R198" s="56">
        <f t="shared" si="41"/>
        <v>60838</v>
      </c>
      <c r="S198" s="56">
        <f t="shared" si="42"/>
        <v>0</v>
      </c>
      <c r="U198" s="16">
        <v>4.9600468203728543E-2</v>
      </c>
      <c r="V198" s="16">
        <v>-4.8548652504631029E-2</v>
      </c>
      <c r="W198" s="56">
        <f t="shared" si="43"/>
        <v>3</v>
      </c>
      <c r="X198" s="56">
        <f t="shared" si="44"/>
        <v>2763.8516634473572</v>
      </c>
      <c r="Y198" s="56">
        <f t="shared" si="44"/>
        <v>297.15655008978388</v>
      </c>
      <c r="AA198" s="56">
        <f t="shared" si="56"/>
        <v>0</v>
      </c>
      <c r="AB198" s="56">
        <v>0</v>
      </c>
      <c r="AC198" s="56">
        <f t="shared" si="45"/>
        <v>0</v>
      </c>
      <c r="AE198" s="56">
        <v>0</v>
      </c>
      <c r="AF198" s="56">
        <f t="shared" si="46"/>
        <v>0</v>
      </c>
      <c r="AG198" s="56">
        <f t="shared" si="47"/>
        <v>0</v>
      </c>
      <c r="AI198" s="56">
        <f t="shared" si="48"/>
        <v>0</v>
      </c>
      <c r="AJ198" s="56">
        <f t="shared" si="49"/>
        <v>0</v>
      </c>
      <c r="AK198" s="56">
        <f t="shared" si="50"/>
        <v>0</v>
      </c>
      <c r="AM198" s="56">
        <f t="shared" si="51"/>
        <v>290094</v>
      </c>
      <c r="AN198" s="56">
        <f t="shared" si="52"/>
        <v>28273</v>
      </c>
      <c r="AO198" s="56">
        <f t="shared" si="53"/>
        <v>60838</v>
      </c>
      <c r="AP198" s="56"/>
      <c r="AQ198" s="56">
        <f t="shared" si="54"/>
        <v>379205</v>
      </c>
      <c r="AR198" s="1"/>
      <c r="AS198" s="56">
        <v>1420.984520345452</v>
      </c>
      <c r="AT198" s="56">
        <v>138.49130055680905</v>
      </c>
      <c r="AU198" s="56">
        <v>298.00635741785976</v>
      </c>
      <c r="AV198" s="56"/>
      <c r="AW198" s="56">
        <v>1857.482178320121</v>
      </c>
      <c r="AX198" s="1"/>
      <c r="AY198" s="16">
        <v>4.9600468203728543E-2</v>
      </c>
      <c r="AZ198" s="16">
        <v>-4.8548652504631029E-2</v>
      </c>
      <c r="BA198" s="16">
        <v>-3.7138523890480557E-2</v>
      </c>
      <c r="BB198" s="16">
        <f t="shared" si="55"/>
        <v>2.6861599296631677E-2</v>
      </c>
      <c r="BC198" s="16"/>
      <c r="BD198" s="1"/>
      <c r="BE198" s="16">
        <f>AM198/'2018-19 disagg'!AM198-1</f>
        <v>2.0157404997854789E-2</v>
      </c>
      <c r="BF198" s="16">
        <f>AN198/'2018-19 disagg'!AN198-1</f>
        <v>3.1371976799328793E-2</v>
      </c>
      <c r="BG198" s="16">
        <f>AO198/'2018-19 disagg'!AO198-1</f>
        <v>4.2532044691205639E-2</v>
      </c>
      <c r="BH198" s="16">
        <f>AQ198/'2018-19 disagg'!AQ198-1</f>
        <v>2.4515644461015063E-2</v>
      </c>
      <c r="BI198" s="1"/>
      <c r="BJ198" s="16">
        <f>AS198/'2018-19 disagg'!AS198-1</f>
        <v>1.5133794951346369E-2</v>
      </c>
      <c r="BK198" s="16">
        <f>AT198/'2018-19 disagg'!AT198-1</f>
        <v>2.6293142298933869E-2</v>
      </c>
      <c r="BL198" s="16">
        <f>AU198/'2018-19 disagg'!AU198-1</f>
        <v>3.7398254133141018E-2</v>
      </c>
      <c r="BM198" s="16">
        <f>AW198/'2018-19 disagg'!AW198-1</f>
        <v>1.9470572926853169E-2</v>
      </c>
    </row>
    <row r="199" spans="1:65" x14ac:dyDescent="0.2">
      <c r="A199" s="156" t="s">
        <v>443</v>
      </c>
      <c r="B199" s="156" t="s">
        <v>444</v>
      </c>
      <c r="D199" s="56">
        <f>VLOOKUP(A199,'2019-20'!$A$12:$AMX407,32,FALSE)</f>
        <v>189404.01229958277</v>
      </c>
      <c r="E199" s="56">
        <v>1350.8492577985644</v>
      </c>
      <c r="F199" s="16">
        <f>VLOOKUP(A199,'2019-20'!$A$12:$AMX407,34,FALSE)</f>
        <v>2.5540575674426247E-2</v>
      </c>
      <c r="G199" s="16">
        <f>VLOOKUP(A199,'2019-20'!$A$12:$AMX407,35,FALSE)</f>
        <v>2.2031416885010868E-2</v>
      </c>
      <c r="H199" s="56"/>
      <c r="I199" s="56">
        <v>193987.24557142262</v>
      </c>
      <c r="J199" s="56">
        <v>1383.537357635593</v>
      </c>
      <c r="K199" s="16">
        <f t="shared" si="57"/>
        <v>-2.3626467082096814E-2</v>
      </c>
      <c r="L199" s="58">
        <f t="shared" si="57"/>
        <v>-2.3626467082096925E-2</v>
      </c>
      <c r="M199" s="10"/>
      <c r="N199" s="56">
        <v>141586</v>
      </c>
      <c r="O199" s="56">
        <v>19359</v>
      </c>
      <c r="P199" s="56">
        <v>28201</v>
      </c>
      <c r="R199" s="56">
        <f t="shared" si="41"/>
        <v>28201</v>
      </c>
      <c r="S199" s="56">
        <f t="shared" si="42"/>
        <v>258.01229958276963</v>
      </c>
      <c r="U199" s="16">
        <v>-3.2967760020873982E-2</v>
      </c>
      <c r="V199" s="16">
        <v>1.946139470912045E-2</v>
      </c>
      <c r="W199" s="56">
        <f t="shared" si="43"/>
        <v>1</v>
      </c>
      <c r="X199" s="56">
        <f t="shared" si="44"/>
        <v>1464.1290553359029</v>
      </c>
      <c r="Y199" s="56">
        <f t="shared" si="44"/>
        <v>189.89439031699322</v>
      </c>
      <c r="AA199" s="56">
        <f t="shared" si="56"/>
        <v>258.01229958276963</v>
      </c>
      <c r="AB199" s="56">
        <v>0</v>
      </c>
      <c r="AC199" s="56">
        <f t="shared" si="45"/>
        <v>0</v>
      </c>
      <c r="AE199" s="56">
        <v>0</v>
      </c>
      <c r="AF199" s="56">
        <f t="shared" si="46"/>
        <v>0</v>
      </c>
      <c r="AG199" s="56">
        <f t="shared" si="47"/>
        <v>0</v>
      </c>
      <c r="AI199" s="56">
        <f t="shared" si="48"/>
        <v>0</v>
      </c>
      <c r="AJ199" s="56">
        <f t="shared" si="49"/>
        <v>0</v>
      </c>
      <c r="AK199" s="56">
        <f t="shared" si="50"/>
        <v>0</v>
      </c>
      <c r="AM199" s="56">
        <f t="shared" si="51"/>
        <v>141844</v>
      </c>
      <c r="AN199" s="56">
        <f t="shared" si="52"/>
        <v>19359</v>
      </c>
      <c r="AO199" s="56">
        <f t="shared" si="53"/>
        <v>28201</v>
      </c>
      <c r="AP199" s="56"/>
      <c r="AQ199" s="56">
        <f t="shared" si="54"/>
        <v>189404</v>
      </c>
      <c r="AR199" s="1"/>
      <c r="AS199" s="56">
        <v>1011.6462676625233</v>
      </c>
      <c r="AT199" s="56">
        <v>138.07041606045226</v>
      </c>
      <c r="AU199" s="56">
        <v>201.132486353676</v>
      </c>
      <c r="AV199" s="56"/>
      <c r="AW199" s="56">
        <v>1350.8491700766515</v>
      </c>
      <c r="AX199" s="1"/>
      <c r="AY199" s="16">
        <v>-3.1205620276022028E-2</v>
      </c>
      <c r="AZ199" s="16">
        <v>1.946139470912045E-2</v>
      </c>
      <c r="BA199" s="16">
        <v>-1.343020240128312E-2</v>
      </c>
      <c r="BB199" s="16">
        <f t="shared" si="55"/>
        <v>-2.3626530486176467E-2</v>
      </c>
      <c r="BC199" s="16"/>
      <c r="BD199" s="1"/>
      <c r="BE199" s="16">
        <f>AM199/'2018-19 disagg'!AM199-1</f>
        <v>2.2645508748909471E-2</v>
      </c>
      <c r="BF199" s="16">
        <f>AN199/'2018-19 disagg'!AN199-1</f>
        <v>2.4665219922722637E-2</v>
      </c>
      <c r="BG199" s="16">
        <f>AO199/'2018-19 disagg'!AO199-1</f>
        <v>4.0973016869070955E-2</v>
      </c>
      <c r="BH199" s="16">
        <f>AQ199/'2018-19 disagg'!AQ199-1</f>
        <v>2.5540509077520257E-2</v>
      </c>
      <c r="BI199" s="1"/>
      <c r="BJ199" s="16">
        <f>AS199/'2018-19 disagg'!AS199-1</f>
        <v>1.9146256198007361E-2</v>
      </c>
      <c r="BK199" s="16">
        <f>AT199/'2018-19 disagg'!AT199-1</f>
        <v>2.1159056394931319E-2</v>
      </c>
      <c r="BL199" s="16">
        <f>AU199/'2018-19 disagg'!AU199-1</f>
        <v>3.7411051893391445E-2</v>
      </c>
      <c r="BM199" s="16">
        <f>AW199/'2018-19 disagg'!AW199-1</f>
        <v>2.2031350515983927E-2</v>
      </c>
    </row>
    <row r="200" spans="1:65" x14ac:dyDescent="0.2">
      <c r="A200" s="156" t="s">
        <v>445</v>
      </c>
      <c r="B200" s="156" t="s">
        <v>446</v>
      </c>
      <c r="D200" s="56">
        <f>VLOOKUP(A200,'2019-20'!$A$12:$AMX408,32,FALSE)</f>
        <v>457956</v>
      </c>
      <c r="E200" s="56">
        <v>1628.4851872889567</v>
      </c>
      <c r="F200" s="16">
        <f>VLOOKUP(A200,'2019-20'!$A$12:$AMX408,34,FALSE)</f>
        <v>2.5687198059517913E-2</v>
      </c>
      <c r="G200" s="16">
        <f>VLOOKUP(A200,'2019-20'!$A$12:$AMX408,35,FALSE)</f>
        <v>2.0567435399188705E-2</v>
      </c>
      <c r="H200" s="56"/>
      <c r="I200" s="56">
        <v>463521.85882802674</v>
      </c>
      <c r="J200" s="56">
        <v>1648.2773041211044</v>
      </c>
      <c r="K200" s="16">
        <f t="shared" si="57"/>
        <v>-1.2007759120787775E-2</v>
      </c>
      <c r="L200" s="58">
        <f t="shared" si="57"/>
        <v>-1.2007759120787775E-2</v>
      </c>
      <c r="M200" s="10"/>
      <c r="N200" s="56">
        <v>334755</v>
      </c>
      <c r="O200" s="56">
        <v>36818</v>
      </c>
      <c r="P200" s="56">
        <v>86383</v>
      </c>
      <c r="R200" s="56">
        <f t="shared" si="41"/>
        <v>86383</v>
      </c>
      <c r="S200" s="56">
        <f t="shared" si="42"/>
        <v>0</v>
      </c>
      <c r="U200" s="16">
        <v>-4.6657824789475444E-2</v>
      </c>
      <c r="V200" s="16">
        <v>-4.8810948620894856E-2</v>
      </c>
      <c r="W200" s="56">
        <f t="shared" si="43"/>
        <v>4</v>
      </c>
      <c r="X200" s="56">
        <f t="shared" si="44"/>
        <v>3511.3835169001809</v>
      </c>
      <c r="Y200" s="56">
        <f t="shared" si="44"/>
        <v>387.07342085801457</v>
      </c>
      <c r="AA200" s="56">
        <f t="shared" si="56"/>
        <v>0</v>
      </c>
      <c r="AB200" s="56">
        <v>0</v>
      </c>
      <c r="AC200" s="56">
        <f t="shared" si="45"/>
        <v>0</v>
      </c>
      <c r="AE200" s="56">
        <v>0</v>
      </c>
      <c r="AF200" s="56">
        <f t="shared" si="46"/>
        <v>0</v>
      </c>
      <c r="AG200" s="56">
        <f t="shared" si="47"/>
        <v>0</v>
      </c>
      <c r="AI200" s="56">
        <f t="shared" si="48"/>
        <v>0</v>
      </c>
      <c r="AJ200" s="56">
        <f t="shared" si="49"/>
        <v>0</v>
      </c>
      <c r="AK200" s="56">
        <f t="shared" si="50"/>
        <v>0</v>
      </c>
      <c r="AM200" s="56">
        <f t="shared" si="51"/>
        <v>334755</v>
      </c>
      <c r="AN200" s="56">
        <f t="shared" si="52"/>
        <v>36818</v>
      </c>
      <c r="AO200" s="56">
        <f t="shared" si="53"/>
        <v>86383</v>
      </c>
      <c r="AP200" s="56"/>
      <c r="AQ200" s="56">
        <f t="shared" si="54"/>
        <v>457956</v>
      </c>
      <c r="AR200" s="1"/>
      <c r="AS200" s="56">
        <v>1190.3841392424483</v>
      </c>
      <c r="AT200" s="56">
        <v>130.92429758667822</v>
      </c>
      <c r="AU200" s="56">
        <v>307.17675045983009</v>
      </c>
      <c r="AV200" s="56"/>
      <c r="AW200" s="56">
        <v>1628.4851872889567</v>
      </c>
      <c r="AX200" s="1"/>
      <c r="AY200" s="16">
        <v>-4.6657824789475444E-2</v>
      </c>
      <c r="AZ200" s="16">
        <v>-4.8810948620894856E-2</v>
      </c>
      <c r="BA200" s="16">
        <v>0.17246873447862932</v>
      </c>
      <c r="BB200" s="16">
        <f t="shared" si="55"/>
        <v>-1.2007759120787775E-2</v>
      </c>
      <c r="BC200" s="16"/>
      <c r="BD200" s="1"/>
      <c r="BE200" s="16">
        <f>AM200/'2018-19 disagg'!AM200-1</f>
        <v>2.0784353187635496E-2</v>
      </c>
      <c r="BF200" s="16">
        <f>AN200/'2018-19 disagg'!AN200-1</f>
        <v>3.146098893402427E-2</v>
      </c>
      <c r="BG200" s="16">
        <f>AO200/'2018-19 disagg'!AO200-1</f>
        <v>4.2605578554789858E-2</v>
      </c>
      <c r="BH200" s="16">
        <f>AQ200/'2018-19 disagg'!AQ200-1</f>
        <v>2.5687198059517913E-2</v>
      </c>
      <c r="BI200" s="1"/>
      <c r="BJ200" s="16">
        <f>AS200/'2018-19 disagg'!AS200-1</f>
        <v>1.5689063292640304E-2</v>
      </c>
      <c r="BK200" s="16">
        <f>AT200/'2018-19 disagg'!AT200-1</f>
        <v>2.6312406143168099E-2</v>
      </c>
      <c r="BL200" s="16">
        <f>AU200/'2018-19 disagg'!AU200-1</f>
        <v>3.7401367055772683E-2</v>
      </c>
      <c r="BM200" s="16">
        <f>AW200/'2018-19 disagg'!AW200-1</f>
        <v>2.0567435399188705E-2</v>
      </c>
    </row>
    <row r="201" spans="1:65" x14ac:dyDescent="0.2">
      <c r="A201" s="156" t="s">
        <v>447</v>
      </c>
      <c r="B201" s="156" t="s">
        <v>448</v>
      </c>
      <c r="D201" s="56">
        <f>VLOOKUP(A201,'2019-20'!$A$12:$AMX409,32,FALSE)</f>
        <v>502638.55999962025</v>
      </c>
      <c r="E201" s="56">
        <v>1602.2783984070243</v>
      </c>
      <c r="F201" s="16">
        <f>VLOOKUP(A201,'2019-20'!$A$12:$AMX409,34,FALSE)</f>
        <v>3.0163817502464996E-2</v>
      </c>
      <c r="G201" s="16">
        <f>VLOOKUP(A201,'2019-20'!$A$12:$AMX409,35,FALSE)</f>
        <v>2.1141867195439312E-2</v>
      </c>
      <c r="H201" s="56"/>
      <c r="I201" s="56">
        <v>514329.49913991208</v>
      </c>
      <c r="J201" s="56">
        <v>1639.5460112252588</v>
      </c>
      <c r="K201" s="16">
        <f t="shared" si="57"/>
        <v>-2.2730446454737652E-2</v>
      </c>
      <c r="L201" s="58">
        <f t="shared" si="57"/>
        <v>-2.2730446454737652E-2</v>
      </c>
      <c r="M201" s="10"/>
      <c r="N201" s="56">
        <v>371685</v>
      </c>
      <c r="O201" s="56">
        <v>38380</v>
      </c>
      <c r="P201" s="56">
        <v>91410</v>
      </c>
      <c r="R201" s="56">
        <f t="shared" si="41"/>
        <v>91410</v>
      </c>
      <c r="S201" s="56">
        <f t="shared" si="42"/>
        <v>1163.5599996202509</v>
      </c>
      <c r="U201" s="16">
        <v>-2.6666874052234557E-2</v>
      </c>
      <c r="V201" s="16">
        <v>-4.4671774688678334E-2</v>
      </c>
      <c r="W201" s="56">
        <f t="shared" si="43"/>
        <v>4</v>
      </c>
      <c r="X201" s="56">
        <f t="shared" si="44"/>
        <v>3818.682320485892</v>
      </c>
      <c r="Y201" s="56">
        <f t="shared" si="44"/>
        <v>401.74673984423265</v>
      </c>
      <c r="AA201" s="56">
        <f t="shared" si="56"/>
        <v>0</v>
      </c>
      <c r="AB201" s="56">
        <v>0</v>
      </c>
      <c r="AC201" s="56">
        <f t="shared" si="45"/>
        <v>1163.5599996202509</v>
      </c>
      <c r="AE201" s="56">
        <v>0</v>
      </c>
      <c r="AF201" s="56">
        <f t="shared" si="46"/>
        <v>0</v>
      </c>
      <c r="AG201" s="56">
        <f t="shared" si="47"/>
        <v>1163.5599996202509</v>
      </c>
      <c r="AI201" s="56">
        <f t="shared" si="48"/>
        <v>1052.7995935623826</v>
      </c>
      <c r="AJ201" s="56">
        <f t="shared" si="49"/>
        <v>110.76040605786837</v>
      </c>
      <c r="AK201" s="56">
        <f t="shared" si="50"/>
        <v>0</v>
      </c>
      <c r="AM201" s="56">
        <f t="shared" si="51"/>
        <v>372738</v>
      </c>
      <c r="AN201" s="56">
        <f t="shared" si="52"/>
        <v>38491</v>
      </c>
      <c r="AO201" s="56">
        <f t="shared" si="53"/>
        <v>91410</v>
      </c>
      <c r="AP201" s="56"/>
      <c r="AQ201" s="56">
        <f t="shared" si="54"/>
        <v>502639</v>
      </c>
      <c r="AR201" s="1"/>
      <c r="AS201" s="56">
        <v>1188.189870800777</v>
      </c>
      <c r="AT201" s="56">
        <v>122.69909780326317</v>
      </c>
      <c r="AU201" s="56">
        <v>291.39083240747931</v>
      </c>
      <c r="AV201" s="56"/>
      <c r="AW201" s="56">
        <v>1602.2798010115196</v>
      </c>
      <c r="AX201" s="1"/>
      <c r="AY201" s="16">
        <v>-2.3909378372766743E-2</v>
      </c>
      <c r="AZ201" s="16">
        <v>-4.1908840008908821E-2</v>
      </c>
      <c r="BA201" s="16">
        <v>-9.4985964633474973E-3</v>
      </c>
      <c r="BB201" s="16">
        <f t="shared" si="55"/>
        <v>-2.2729590971277247E-2</v>
      </c>
      <c r="BC201" s="16"/>
      <c r="BD201" s="1"/>
      <c r="BE201" s="16">
        <f>AM201/'2018-19 disagg'!AM201-1</f>
        <v>2.5416851215546599E-2</v>
      </c>
      <c r="BF201" s="16">
        <f>AN201/'2018-19 disagg'!AN201-1</f>
        <v>3.8080854391973951E-2</v>
      </c>
      <c r="BG201" s="16">
        <f>AO201/'2018-19 disagg'!AO201-1</f>
        <v>4.656354830953835E-2</v>
      </c>
      <c r="BH201" s="16">
        <f>AQ201/'2018-19 disagg'!AQ201-1</f>
        <v>3.0164719288573449E-2</v>
      </c>
      <c r="BI201" s="1"/>
      <c r="BJ201" s="16">
        <f>AS201/'2018-19 disagg'!AS201-1</f>
        <v>1.6436473805202079E-2</v>
      </c>
      <c r="BK201" s="16">
        <f>AT201/'2018-19 disagg'!AT201-1</f>
        <v>2.8989568400484611E-2</v>
      </c>
      <c r="BL201" s="16">
        <f>AU201/'2018-19 disagg'!AU201-1</f>
        <v>3.7397972732553963E-2</v>
      </c>
      <c r="BM201" s="16">
        <f>AW201/'2018-19 disagg'!AW201-1</f>
        <v>2.1142761083901229E-2</v>
      </c>
    </row>
    <row r="202" spans="1:65" x14ac:dyDescent="0.2">
      <c r="A202" s="156" t="s">
        <v>449</v>
      </c>
      <c r="B202" s="156" t="s">
        <v>450</v>
      </c>
      <c r="D202" s="56">
        <f>VLOOKUP(A202,'2019-20'!$A$12:$AMX410,32,FALSE)</f>
        <v>158754</v>
      </c>
      <c r="E202" s="56">
        <v>1641.4441882115448</v>
      </c>
      <c r="F202" s="16">
        <f>VLOOKUP(A202,'2019-20'!$A$12:$AMX410,34,FALSE)</f>
        <v>2.5237978378517933E-2</v>
      </c>
      <c r="G202" s="16">
        <f>VLOOKUP(A202,'2019-20'!$A$12:$AMX410,35,FALSE)</f>
        <v>1.9979605818351232E-2</v>
      </c>
      <c r="H202" s="56"/>
      <c r="I202" s="56">
        <v>160485.96482314565</v>
      </c>
      <c r="J202" s="56">
        <v>1659.351917107442</v>
      </c>
      <c r="K202" s="16">
        <f t="shared" si="57"/>
        <v>-1.0792001811836149E-2</v>
      </c>
      <c r="L202" s="58">
        <f t="shared" si="57"/>
        <v>-1.0792001811836038E-2</v>
      </c>
      <c r="M202" s="10"/>
      <c r="N202" s="56">
        <v>120097</v>
      </c>
      <c r="O202" s="56">
        <v>11724</v>
      </c>
      <c r="P202" s="56">
        <v>26933</v>
      </c>
      <c r="R202" s="56">
        <f t="shared" si="41"/>
        <v>26933</v>
      </c>
      <c r="S202" s="56">
        <f t="shared" si="42"/>
        <v>0</v>
      </c>
      <c r="U202" s="16">
        <v>-4.5095918070195973E-3</v>
      </c>
      <c r="V202" s="16">
        <v>-4.8962314670625284E-2</v>
      </c>
      <c r="W202" s="56">
        <f t="shared" si="43"/>
        <v>4</v>
      </c>
      <c r="X202" s="56">
        <f t="shared" si="44"/>
        <v>1206.4104185393483</v>
      </c>
      <c r="Y202" s="56">
        <f t="shared" si="44"/>
        <v>123.27587203802133</v>
      </c>
      <c r="AA202" s="56">
        <f t="shared" si="56"/>
        <v>0</v>
      </c>
      <c r="AB202" s="56">
        <v>0</v>
      </c>
      <c r="AC202" s="56">
        <f t="shared" si="45"/>
        <v>0</v>
      </c>
      <c r="AE202" s="56">
        <v>0</v>
      </c>
      <c r="AF202" s="56">
        <f t="shared" si="46"/>
        <v>0</v>
      </c>
      <c r="AG202" s="56">
        <f t="shared" si="47"/>
        <v>0</v>
      </c>
      <c r="AI202" s="56">
        <f t="shared" si="48"/>
        <v>0</v>
      </c>
      <c r="AJ202" s="56">
        <f t="shared" si="49"/>
        <v>0</v>
      </c>
      <c r="AK202" s="56">
        <f t="shared" si="50"/>
        <v>0</v>
      </c>
      <c r="AM202" s="56">
        <f t="shared" si="51"/>
        <v>120097</v>
      </c>
      <c r="AN202" s="56">
        <f t="shared" si="52"/>
        <v>11724</v>
      </c>
      <c r="AO202" s="56">
        <f t="shared" si="53"/>
        <v>26933</v>
      </c>
      <c r="AP202" s="56"/>
      <c r="AQ202" s="56">
        <f t="shared" si="54"/>
        <v>158754</v>
      </c>
      <c r="AR202" s="1"/>
      <c r="AS202" s="56">
        <v>1241.7483822243339</v>
      </c>
      <c r="AT202" s="56">
        <v>121.22083010564869</v>
      </c>
      <c r="AU202" s="56">
        <v>278.47497588156227</v>
      </c>
      <c r="AV202" s="56"/>
      <c r="AW202" s="56">
        <v>1641.4441882115448</v>
      </c>
      <c r="AX202" s="1"/>
      <c r="AY202" s="16">
        <v>-4.5095918070195973E-3</v>
      </c>
      <c r="AZ202" s="16">
        <v>-4.8962314670625284E-2</v>
      </c>
      <c r="BA202" s="16">
        <v>-2.1235186806975004E-2</v>
      </c>
      <c r="BB202" s="16">
        <f t="shared" si="55"/>
        <v>-1.0792001811836149E-2</v>
      </c>
      <c r="BC202" s="16"/>
      <c r="BD202" s="1"/>
      <c r="BE202" s="16">
        <f>AM202/'2018-19 disagg'!AM202-1</f>
        <v>2.0781627171658767E-2</v>
      </c>
      <c r="BF202" s="16">
        <f>AN202/'2018-19 disagg'!AN202-1</f>
        <v>3.1588209414870283E-2</v>
      </c>
      <c r="BG202" s="16">
        <f>AO202/'2018-19 disagg'!AO202-1</f>
        <v>4.2742653606411496E-2</v>
      </c>
      <c r="BH202" s="16">
        <f>AQ202/'2018-19 disagg'!AQ202-1</f>
        <v>2.5237978378517933E-2</v>
      </c>
      <c r="BI202" s="1"/>
      <c r="BJ202" s="16">
        <f>AS202/'2018-19 disagg'!AS202-1</f>
        <v>1.5546110919391953E-2</v>
      </c>
      <c r="BK202" s="16">
        <f>AT202/'2018-19 disagg'!AT202-1</f>
        <v>2.6297266972064914E-2</v>
      </c>
      <c r="BL202" s="16">
        <f>AU202/'2018-19 disagg'!AU202-1</f>
        <v>3.7394500813914044E-2</v>
      </c>
      <c r="BM202" s="16">
        <f>AW202/'2018-19 disagg'!AW202-1</f>
        <v>1.9979605818351232E-2</v>
      </c>
    </row>
    <row r="203" spans="1:65" x14ac:dyDescent="0.2">
      <c r="A203" s="156" t="s">
        <v>451</v>
      </c>
      <c r="B203" s="156" t="s">
        <v>452</v>
      </c>
      <c r="D203" s="56">
        <f>VLOOKUP(A203,'2019-20'!$A$12:$AMX411,32,FALSE)</f>
        <v>194734.71267369436</v>
      </c>
      <c r="E203" s="56">
        <v>1703.8360098971589</v>
      </c>
      <c r="F203" s="16">
        <f>VLOOKUP(A203,'2019-20'!$A$12:$AMX411,34,FALSE)</f>
        <v>3.1876560779223961E-2</v>
      </c>
      <c r="G203" s="16">
        <f>VLOOKUP(A203,'2019-20'!$A$12:$AMX411,35,FALSE)</f>
        <v>2.0389598778746354E-2</v>
      </c>
      <c r="H203" s="56"/>
      <c r="I203" s="56">
        <v>198954.70198378002</v>
      </c>
      <c r="J203" s="56">
        <v>1740.7589069460953</v>
      </c>
      <c r="K203" s="16">
        <f t="shared" si="57"/>
        <v>-2.1210804610336309E-2</v>
      </c>
      <c r="L203" s="58">
        <f t="shared" si="57"/>
        <v>-2.121080461033642E-2</v>
      </c>
      <c r="M203" s="10"/>
      <c r="N203" s="56">
        <v>149541</v>
      </c>
      <c r="O203" s="56">
        <v>15435</v>
      </c>
      <c r="P203" s="56">
        <v>29278</v>
      </c>
      <c r="R203" s="56">
        <f t="shared" si="41"/>
        <v>29278</v>
      </c>
      <c r="S203" s="56">
        <f t="shared" si="42"/>
        <v>480.712673694361</v>
      </c>
      <c r="U203" s="16">
        <v>-1.0416845543773201E-2</v>
      </c>
      <c r="V203" s="16">
        <v>-9.7804456639356552E-3</v>
      </c>
      <c r="W203" s="56">
        <f t="shared" si="43"/>
        <v>4</v>
      </c>
      <c r="X203" s="56">
        <f t="shared" si="44"/>
        <v>1511.1514310505049</v>
      </c>
      <c r="Y203" s="56">
        <f t="shared" si="44"/>
        <v>155.87452229570508</v>
      </c>
      <c r="AA203" s="56">
        <f t="shared" si="56"/>
        <v>0</v>
      </c>
      <c r="AB203" s="56">
        <v>0</v>
      </c>
      <c r="AC203" s="56">
        <f t="shared" si="45"/>
        <v>480.712673694361</v>
      </c>
      <c r="AE203" s="56">
        <v>0</v>
      </c>
      <c r="AF203" s="56">
        <f t="shared" si="46"/>
        <v>0</v>
      </c>
      <c r="AG203" s="56">
        <f t="shared" si="47"/>
        <v>480.712673694361</v>
      </c>
      <c r="AI203" s="56">
        <f t="shared" si="48"/>
        <v>435.76384837871944</v>
      </c>
      <c r="AJ203" s="56">
        <f t="shared" si="49"/>
        <v>44.948825315641592</v>
      </c>
      <c r="AK203" s="56">
        <f t="shared" si="50"/>
        <v>0</v>
      </c>
      <c r="AM203" s="56">
        <f t="shared" si="51"/>
        <v>149977</v>
      </c>
      <c r="AN203" s="56">
        <f t="shared" si="52"/>
        <v>15480</v>
      </c>
      <c r="AO203" s="56">
        <f t="shared" si="53"/>
        <v>29278</v>
      </c>
      <c r="AP203" s="56"/>
      <c r="AQ203" s="56">
        <f t="shared" si="54"/>
        <v>194735</v>
      </c>
      <c r="AR203" s="1"/>
      <c r="AS203" s="56">
        <v>1312.227336091503</v>
      </c>
      <c r="AT203" s="56">
        <v>135.44262895441611</v>
      </c>
      <c r="AU203" s="56">
        <v>256.16855881959918</v>
      </c>
      <c r="AV203" s="56"/>
      <c r="AW203" s="56">
        <v>1703.8385238655183</v>
      </c>
      <c r="AX203" s="1"/>
      <c r="AY203" s="16">
        <v>-7.5316284103922326E-3</v>
      </c>
      <c r="AZ203" s="16">
        <v>-6.8935081877371518E-3</v>
      </c>
      <c r="BA203" s="16">
        <v>-9.221433754735997E-2</v>
      </c>
      <c r="BB203" s="16">
        <f t="shared" si="55"/>
        <v>-2.1209360430818225E-2</v>
      </c>
      <c r="BC203" s="16"/>
      <c r="BD203" s="1"/>
      <c r="BE203" s="16">
        <f>AM203/'2018-19 disagg'!AM203-1</f>
        <v>2.7964934165884081E-2</v>
      </c>
      <c r="BF203" s="16">
        <f>AN203/'2018-19 disagg'!AN203-1</f>
        <v>3.7950918599973127E-2</v>
      </c>
      <c r="BG203" s="16">
        <f>AO203/'2018-19 disagg'!AO203-1</f>
        <v>4.9089866704887575E-2</v>
      </c>
      <c r="BH203" s="16">
        <f>AQ203/'2018-19 disagg'!AQ203-1</f>
        <v>3.1878083287851355E-2</v>
      </c>
      <c r="BI203" s="1"/>
      <c r="BJ203" s="16">
        <f>AS203/'2018-19 disagg'!AS203-1</f>
        <v>1.652151681791203E-2</v>
      </c>
      <c r="BK203" s="16">
        <f>AT203/'2018-19 disagg'!AT203-1</f>
        <v>2.639633618818249E-2</v>
      </c>
      <c r="BL203" s="16">
        <f>AU203/'2018-19 disagg'!AU203-1</f>
        <v>3.7411284312411475E-2</v>
      </c>
      <c r="BM203" s="16">
        <f>AW203/'2018-19 disagg'!AW203-1</f>
        <v>2.0391104338642219E-2</v>
      </c>
    </row>
    <row r="204" spans="1:65" x14ac:dyDescent="0.2">
      <c r="A204" s="156" t="s">
        <v>453</v>
      </c>
      <c r="B204" s="156" t="s">
        <v>454</v>
      </c>
      <c r="D204" s="56">
        <f>VLOOKUP(A204,'2019-20'!$A$12:$AMX412,32,FALSE)</f>
        <v>288363</v>
      </c>
      <c r="E204" s="56">
        <v>1939.1036092128238</v>
      </c>
      <c r="F204" s="16">
        <f>VLOOKUP(A204,'2019-20'!$A$12:$AMX412,34,FALSE)</f>
        <v>2.7292288619247485E-2</v>
      </c>
      <c r="G204" s="16">
        <f>VLOOKUP(A204,'2019-20'!$A$12:$AMX412,35,FALSE)</f>
        <v>1.8389452729988154E-2</v>
      </c>
      <c r="H204" s="56"/>
      <c r="I204" s="56">
        <v>289066.93035340187</v>
      </c>
      <c r="J204" s="56">
        <v>1943.8372050240616</v>
      </c>
      <c r="K204" s="16">
        <f t="shared" si="57"/>
        <v>-2.4351811967604498E-3</v>
      </c>
      <c r="L204" s="58">
        <f t="shared" si="57"/>
        <v>-2.4351811967603387E-3</v>
      </c>
      <c r="M204" s="10"/>
      <c r="N204" s="56">
        <v>218500</v>
      </c>
      <c r="O204" s="56">
        <v>22801</v>
      </c>
      <c r="P204" s="56">
        <v>47062</v>
      </c>
      <c r="R204" s="56">
        <f t="shared" si="41"/>
        <v>47062</v>
      </c>
      <c r="S204" s="56">
        <f t="shared" si="42"/>
        <v>0</v>
      </c>
      <c r="U204" s="16">
        <v>4.9053215762866476E-3</v>
      </c>
      <c r="V204" s="16">
        <v>-4.9089639233048654E-2</v>
      </c>
      <c r="W204" s="56">
        <f t="shared" si="43"/>
        <v>3</v>
      </c>
      <c r="X204" s="56">
        <f t="shared" si="44"/>
        <v>2174.3341915760043</v>
      </c>
      <c r="Y204" s="56">
        <f t="shared" si="44"/>
        <v>239.78075053898857</v>
      </c>
      <c r="AA204" s="56">
        <f t="shared" si="56"/>
        <v>0</v>
      </c>
      <c r="AB204" s="56">
        <v>0</v>
      </c>
      <c r="AC204" s="56">
        <f t="shared" si="45"/>
        <v>0</v>
      </c>
      <c r="AE204" s="56">
        <v>0</v>
      </c>
      <c r="AF204" s="56">
        <f t="shared" si="46"/>
        <v>0</v>
      </c>
      <c r="AG204" s="56">
        <f t="shared" si="47"/>
        <v>0</v>
      </c>
      <c r="AI204" s="56">
        <f t="shared" si="48"/>
        <v>0</v>
      </c>
      <c r="AJ204" s="56">
        <f t="shared" si="49"/>
        <v>0</v>
      </c>
      <c r="AK204" s="56">
        <f t="shared" si="50"/>
        <v>0</v>
      </c>
      <c r="AM204" s="56">
        <f t="shared" si="51"/>
        <v>218500</v>
      </c>
      <c r="AN204" s="56">
        <f t="shared" si="52"/>
        <v>22801</v>
      </c>
      <c r="AO204" s="56">
        <f t="shared" si="53"/>
        <v>47062</v>
      </c>
      <c r="AP204" s="56"/>
      <c r="AQ204" s="56">
        <f t="shared" si="54"/>
        <v>288363</v>
      </c>
      <c r="AR204" s="1"/>
      <c r="AS204" s="56">
        <v>1469.308262894345</v>
      </c>
      <c r="AT204" s="56">
        <v>153.32584760756961</v>
      </c>
      <c r="AU204" s="56">
        <v>316.46949871090925</v>
      </c>
      <c r="AV204" s="56"/>
      <c r="AW204" s="56">
        <v>1939.1036092128238</v>
      </c>
      <c r="AX204" s="1"/>
      <c r="AY204" s="16">
        <v>4.9053215762866476E-3</v>
      </c>
      <c r="AZ204" s="16">
        <v>-4.9089639233048654E-2</v>
      </c>
      <c r="BA204" s="16">
        <v>-1.245264318084327E-2</v>
      </c>
      <c r="BB204" s="16">
        <f t="shared" si="55"/>
        <v>-2.4351811967604498E-3</v>
      </c>
      <c r="BC204" s="16"/>
      <c r="BD204" s="1"/>
      <c r="BE204" s="16">
        <f>AM204/'2018-19 disagg'!AM204-1</f>
        <v>2.2427903625056755E-2</v>
      </c>
      <c r="BF204" s="16">
        <f>AN204/'2018-19 disagg'!AN204-1</f>
        <v>3.532670390046766E-2</v>
      </c>
      <c r="BG204" s="16">
        <f>AO204/'2018-19 disagg'!AO204-1</f>
        <v>4.6473361202526098E-2</v>
      </c>
      <c r="BH204" s="16">
        <f>AQ204/'2018-19 disagg'!AQ204-1</f>
        <v>2.7292288619247485E-2</v>
      </c>
      <c r="BI204" s="1"/>
      <c r="BJ204" s="16">
        <f>AS204/'2018-19 disagg'!AS204-1</f>
        <v>1.3567224015743617E-2</v>
      </c>
      <c r="BK204" s="16">
        <f>AT204/'2018-19 disagg'!AT204-1</f>
        <v>2.6354239258508327E-2</v>
      </c>
      <c r="BL204" s="16">
        <f>AU204/'2018-19 disagg'!AU204-1</f>
        <v>3.7404296146280158E-2</v>
      </c>
      <c r="BM204" s="16">
        <f>AW204/'2018-19 disagg'!AW204-1</f>
        <v>1.8389452729988154E-2</v>
      </c>
    </row>
    <row r="205" spans="1:65" x14ac:dyDescent="0.2">
      <c r="A205" s="156" t="s">
        <v>455</v>
      </c>
      <c r="B205" s="156" t="s">
        <v>456</v>
      </c>
      <c r="D205" s="56">
        <f>VLOOKUP(A205,'2019-20'!$A$12:$AMX413,32,FALSE)</f>
        <v>918031</v>
      </c>
      <c r="E205" s="56">
        <v>1619.0967432901825</v>
      </c>
      <c r="F205" s="16">
        <f>VLOOKUP(A205,'2019-20'!$A$12:$AMX413,34,FALSE)</f>
        <v>2.5516399330197226E-2</v>
      </c>
      <c r="G205" s="16">
        <f>VLOOKUP(A205,'2019-20'!$A$12:$AMX413,35,FALSE)</f>
        <v>1.8654708358100791E-2</v>
      </c>
      <c r="H205" s="56"/>
      <c r="I205" s="56">
        <v>929528.90522050415</v>
      </c>
      <c r="J205" s="56">
        <v>1639.3751662379668</v>
      </c>
      <c r="K205" s="16">
        <f t="shared" si="57"/>
        <v>-1.2369604813716517E-2</v>
      </c>
      <c r="L205" s="58">
        <f t="shared" si="57"/>
        <v>-1.2369604813716406E-2</v>
      </c>
      <c r="M205" s="10"/>
      <c r="N205" s="56">
        <v>683498</v>
      </c>
      <c r="O205" s="56">
        <v>73216</v>
      </c>
      <c r="P205" s="56">
        <v>161317</v>
      </c>
      <c r="R205" s="56">
        <f t="shared" ref="R205:R220" si="58">ROUND(P205,0)</f>
        <v>161317</v>
      </c>
      <c r="S205" s="56">
        <f t="shared" ref="S205:S220" si="59">D205-SUM(N205:P205)</f>
        <v>0</v>
      </c>
      <c r="U205" s="16">
        <v>-4.8329727791866839E-2</v>
      </c>
      <c r="V205" s="16">
        <v>5.874097784298371E-3</v>
      </c>
      <c r="W205" s="56">
        <f t="shared" ref="W205:W220" si="60">IF(AND(U205&lt;0,V205&gt;0),1,IF(AND(U205&gt;0,V205&gt;0),2,IF(AND(U205&gt;0,V205&lt;0),3,IF(AND(U205&lt;0,V205&lt;0),4,5))))</f>
        <v>1</v>
      </c>
      <c r="X205" s="56">
        <f t="shared" ref="X205:Y220" si="61">N205/(1+U205)/100</f>
        <v>7182.0883761988198</v>
      </c>
      <c r="Y205" s="56">
        <f t="shared" si="61"/>
        <v>727.88433623330639</v>
      </c>
      <c r="AA205" s="56">
        <f t="shared" si="56"/>
        <v>0</v>
      </c>
      <c r="AB205" s="56">
        <v>0</v>
      </c>
      <c r="AC205" s="56">
        <f t="shared" ref="AC205:AC220" si="62">S205-AA205-AB205</f>
        <v>0</v>
      </c>
      <c r="AE205" s="56">
        <v>0</v>
      </c>
      <c r="AF205" s="56">
        <f t="shared" ref="AF205:AF220" si="63">IF(W205=3,MIN(S205,-1*V205*O205),0)</f>
        <v>0</v>
      </c>
      <c r="AG205" s="56">
        <f t="shared" ref="AG205:AG219" si="64">AC205-AE205-AF205</f>
        <v>0</v>
      </c>
      <c r="AI205" s="56">
        <f t="shared" ref="AI205:AI220" si="65">AG205*X205/(X205+Y205)</f>
        <v>0</v>
      </c>
      <c r="AJ205" s="56">
        <f t="shared" ref="AJ205:AJ220" si="66">AG205*Y205/(X205+Y205)</f>
        <v>0</v>
      </c>
      <c r="AK205" s="56">
        <f t="shared" ref="AK205:AK220" si="67">S205-SUM(AA205:AB205)-SUM(AE205:AF205)-SUM(AI205:AJ205)</f>
        <v>0</v>
      </c>
      <c r="AM205" s="56">
        <f t="shared" ref="AM205:AM220" si="68">ROUND(N205+AA205+AE205+AI205,0)</f>
        <v>683498</v>
      </c>
      <c r="AN205" s="56">
        <f t="shared" ref="AN205:AN220" si="69">ROUND(O205+AB205+AF205+AJ205,0)</f>
        <v>73216</v>
      </c>
      <c r="AO205" s="56">
        <f t="shared" ref="AO205:AO220" si="70">R205</f>
        <v>161317</v>
      </c>
      <c r="AP205" s="56"/>
      <c r="AQ205" s="56">
        <f t="shared" ref="AQ205:AQ220" si="71">SUM(AM205:AP205)</f>
        <v>918031</v>
      </c>
      <c r="AR205" s="1"/>
      <c r="AS205" s="56">
        <v>1205.4597130656298</v>
      </c>
      <c r="AT205" s="56">
        <v>129.12830520617931</v>
      </c>
      <c r="AU205" s="56">
        <v>284.50872501837341</v>
      </c>
      <c r="AV205" s="56"/>
      <c r="AW205" s="56">
        <v>1619.0967432901825</v>
      </c>
      <c r="AX205" s="1"/>
      <c r="AY205" s="16">
        <v>-4.8329727791866839E-2</v>
      </c>
      <c r="AZ205" s="16">
        <v>5.874097784298371E-3</v>
      </c>
      <c r="BA205" s="16">
        <v>0.16447771074759387</v>
      </c>
      <c r="BB205" s="16">
        <f t="shared" ref="BB205:BB222" si="72">SUM(AM205:AO205)/I205-1</f>
        <v>-1.2369604813716517E-2</v>
      </c>
      <c r="BC205" s="16"/>
      <c r="BD205" s="1"/>
      <c r="BE205" s="16">
        <f>AM205/'2018-19 disagg'!AM205-1</f>
        <v>2.0783115436197486E-2</v>
      </c>
      <c r="BF205" s="16">
        <f>AN205/'2018-19 disagg'!AN205-1</f>
        <v>2.9095100216456338E-2</v>
      </c>
      <c r="BG205" s="16">
        <f>AO205/'2018-19 disagg'!AO205-1</f>
        <v>4.4386608917461379E-2</v>
      </c>
      <c r="BH205" s="16">
        <f>AQ205/'2018-19 disagg'!AQ205-1</f>
        <v>2.5516399330197226E-2</v>
      </c>
      <c r="BI205" s="1"/>
      <c r="BJ205" s="16">
        <f>AS205/'2018-19 disagg'!AS205-1</f>
        <v>1.3953094685449807E-2</v>
      </c>
      <c r="BK205" s="16">
        <f>AT205/'2018-19 disagg'!AT205-1</f>
        <v>2.220946429371895E-2</v>
      </c>
      <c r="BL205" s="16">
        <f>AU205/'2018-19 disagg'!AU205-1</f>
        <v>3.7398658095350479E-2</v>
      </c>
      <c r="BM205" s="16">
        <f>AW205/'2018-19 disagg'!AW205-1</f>
        <v>1.8654708358100791E-2</v>
      </c>
    </row>
    <row r="206" spans="1:65" x14ac:dyDescent="0.2">
      <c r="A206" s="156" t="s">
        <v>457</v>
      </c>
      <c r="B206" s="156" t="s">
        <v>458</v>
      </c>
      <c r="D206" s="56">
        <f>VLOOKUP(A206,'2019-20'!$A$12:$AMX414,32,FALSE)</f>
        <v>784079.64597396972</v>
      </c>
      <c r="E206" s="56">
        <v>1583.2025096305463</v>
      </c>
      <c r="F206" s="16">
        <f>VLOOKUP(A206,'2019-20'!$A$12:$AMX414,34,FALSE)</f>
        <v>3.0993250538744022E-2</v>
      </c>
      <c r="G206" s="16">
        <f>VLOOKUP(A206,'2019-20'!$A$12:$AMX414,35,FALSE)</f>
        <v>2.114302311693339E-2</v>
      </c>
      <c r="H206" s="56"/>
      <c r="I206" s="56">
        <v>802281.21910991403</v>
      </c>
      <c r="J206" s="56">
        <v>1619.9548681645513</v>
      </c>
      <c r="K206" s="16">
        <f t="shared" si="57"/>
        <v>-2.2687273118692675E-2</v>
      </c>
      <c r="L206" s="58">
        <f t="shared" si="57"/>
        <v>-2.2687273118692675E-2</v>
      </c>
      <c r="M206" s="10"/>
      <c r="N206" s="56">
        <v>583372</v>
      </c>
      <c r="O206" s="56">
        <v>62802</v>
      </c>
      <c r="P206" s="56">
        <v>135768</v>
      </c>
      <c r="R206" s="56">
        <f t="shared" si="58"/>
        <v>135768</v>
      </c>
      <c r="S206" s="56">
        <f t="shared" si="59"/>
        <v>2137.6459739697166</v>
      </c>
      <c r="U206" s="16">
        <v>-2.3245003181116553E-2</v>
      </c>
      <c r="V206" s="16">
        <v>-8.7210924774216991E-4</v>
      </c>
      <c r="W206" s="56">
        <f t="shared" si="60"/>
        <v>4</v>
      </c>
      <c r="X206" s="56">
        <f t="shared" si="61"/>
        <v>5972.5519900070994</v>
      </c>
      <c r="Y206" s="56">
        <f t="shared" si="61"/>
        <v>628.56818012272151</v>
      </c>
      <c r="AA206" s="56">
        <f t="shared" ref="AA206:AA220" si="73">IF(W206=1,MIN(S206,-1*U206*N206),0)</f>
        <v>0</v>
      </c>
      <c r="AB206" s="56">
        <v>0</v>
      </c>
      <c r="AC206" s="56">
        <f t="shared" si="62"/>
        <v>2137.6459739697166</v>
      </c>
      <c r="AE206" s="56">
        <v>0</v>
      </c>
      <c r="AF206" s="56">
        <f t="shared" si="63"/>
        <v>0</v>
      </c>
      <c r="AG206" s="56">
        <f t="shared" si="64"/>
        <v>2137.6459739697166</v>
      </c>
      <c r="AI206" s="56">
        <f t="shared" si="65"/>
        <v>1934.0962422613202</v>
      </c>
      <c r="AJ206" s="56">
        <f t="shared" si="66"/>
        <v>203.54973170839611</v>
      </c>
      <c r="AK206" s="56">
        <f t="shared" si="67"/>
        <v>0</v>
      </c>
      <c r="AM206" s="56">
        <f t="shared" si="68"/>
        <v>585306</v>
      </c>
      <c r="AN206" s="56">
        <f t="shared" si="69"/>
        <v>63006</v>
      </c>
      <c r="AO206" s="56">
        <f t="shared" si="70"/>
        <v>135768</v>
      </c>
      <c r="AP206" s="56"/>
      <c r="AQ206" s="56">
        <f t="shared" si="71"/>
        <v>784080</v>
      </c>
      <c r="AR206" s="1"/>
      <c r="AS206" s="56">
        <v>1181.8415805842512</v>
      </c>
      <c r="AT206" s="56">
        <v>127.2208223156628</v>
      </c>
      <c r="AU206" s="56">
        <v>274.14082157497552</v>
      </c>
      <c r="AV206" s="56"/>
      <c r="AW206" s="56">
        <v>1583.2032244748896</v>
      </c>
      <c r="AX206" s="1"/>
      <c r="AY206" s="16">
        <v>-2.0006856400250017E-2</v>
      </c>
      <c r="AZ206" s="16">
        <v>2.3733620702646174E-3</v>
      </c>
      <c r="BA206" s="16">
        <v>-4.5025237551573283E-2</v>
      </c>
      <c r="BB206" s="16">
        <f t="shared" si="72"/>
        <v>-2.2686831844458855E-2</v>
      </c>
      <c r="BC206" s="16"/>
      <c r="BD206" s="1"/>
      <c r="BE206" s="16">
        <f>AM206/'2018-19 disagg'!AM206-1</f>
        <v>2.6735547700700746E-2</v>
      </c>
      <c r="BF206" s="16">
        <f>AN206/'2018-19 disagg'!AN206-1</f>
        <v>3.5925091662419195E-2</v>
      </c>
      <c r="BG206" s="16">
        <f>AO206/'2018-19 disagg'!AO206-1</f>
        <v>4.7406710228894644E-2</v>
      </c>
      <c r="BH206" s="16">
        <f>AQ206/'2018-19 disagg'!AQ206-1</f>
        <v>3.0993716050697673E-2</v>
      </c>
      <c r="BI206" s="1"/>
      <c r="BJ206" s="16">
        <f>AS206/'2018-19 disagg'!AS206-1</f>
        <v>1.6925998858723146E-2</v>
      </c>
      <c r="BK206" s="16">
        <f>AT206/'2018-19 disagg'!AT206-1</f>
        <v>2.602774486649917E-2</v>
      </c>
      <c r="BL206" s="16">
        <f>AU206/'2018-19 disagg'!AU206-1</f>
        <v>3.7399666736132708E-2</v>
      </c>
      <c r="BM206" s="16">
        <f>AW206/'2018-19 disagg'!AW206-1</f>
        <v>2.1143484181332495E-2</v>
      </c>
    </row>
    <row r="207" spans="1:65" x14ac:dyDescent="0.2">
      <c r="A207" s="156" t="s">
        <v>459</v>
      </c>
      <c r="B207" s="156" t="s">
        <v>460</v>
      </c>
      <c r="D207" s="56">
        <f>VLOOKUP(A207,'2019-20'!$A$12:$AMX415,32,FALSE)</f>
        <v>234621.62069588239</v>
      </c>
      <c r="E207" s="56">
        <v>1492.6557096342046</v>
      </c>
      <c r="F207" s="16">
        <f>VLOOKUP(A207,'2019-20'!$A$12:$AMX415,34,FALSE)</f>
        <v>3.03572572708255E-2</v>
      </c>
      <c r="G207" s="16">
        <f>VLOOKUP(A207,'2019-20'!$A$12:$AMX415,35,FALSE)</f>
        <v>2.1974856351405947E-2</v>
      </c>
      <c r="H207" s="56"/>
      <c r="I207" s="56">
        <v>240279.93678278167</v>
      </c>
      <c r="J207" s="56">
        <v>1528.6537467672483</v>
      </c>
      <c r="K207" s="16">
        <f t="shared" si="57"/>
        <v>-2.3548849573797437E-2</v>
      </c>
      <c r="L207" s="58">
        <f t="shared" si="57"/>
        <v>-2.3548849573797326E-2</v>
      </c>
      <c r="M207" s="10"/>
      <c r="N207" s="56">
        <v>176688</v>
      </c>
      <c r="O207" s="56">
        <v>19870</v>
      </c>
      <c r="P207" s="56">
        <v>37230</v>
      </c>
      <c r="R207" s="56">
        <f t="shared" si="58"/>
        <v>37230</v>
      </c>
      <c r="S207" s="56">
        <f t="shared" si="59"/>
        <v>833.62069588238955</v>
      </c>
      <c r="U207" s="16">
        <v>-3.2279526422150262E-2</v>
      </c>
      <c r="V207" s="16">
        <v>-4.4857396936955896E-2</v>
      </c>
      <c r="W207" s="56">
        <f t="shared" si="60"/>
        <v>4</v>
      </c>
      <c r="X207" s="56">
        <f t="shared" si="61"/>
        <v>1825.8164916853552</v>
      </c>
      <c r="Y207" s="56">
        <f t="shared" si="61"/>
        <v>208.03176338568665</v>
      </c>
      <c r="AA207" s="56">
        <f t="shared" si="73"/>
        <v>0</v>
      </c>
      <c r="AB207" s="56">
        <v>0</v>
      </c>
      <c r="AC207" s="56">
        <f t="shared" si="62"/>
        <v>833.62069588238955</v>
      </c>
      <c r="AE207" s="56">
        <v>0</v>
      </c>
      <c r="AF207" s="56">
        <f t="shared" si="63"/>
        <v>0</v>
      </c>
      <c r="AG207" s="56">
        <f t="shared" si="64"/>
        <v>833.62069588238955</v>
      </c>
      <c r="AI207" s="56">
        <f t="shared" si="65"/>
        <v>748.3539691603612</v>
      </c>
      <c r="AJ207" s="56">
        <f t="shared" si="66"/>
        <v>85.266726722028338</v>
      </c>
      <c r="AK207" s="56">
        <f t="shared" si="67"/>
        <v>0</v>
      </c>
      <c r="AM207" s="56">
        <f t="shared" si="68"/>
        <v>177436</v>
      </c>
      <c r="AN207" s="56">
        <f t="shared" si="69"/>
        <v>19955</v>
      </c>
      <c r="AO207" s="56">
        <f t="shared" si="70"/>
        <v>37230</v>
      </c>
      <c r="AP207" s="56"/>
      <c r="AQ207" s="56">
        <f t="shared" si="71"/>
        <v>234621</v>
      </c>
      <c r="AR207" s="1"/>
      <c r="AS207" s="56">
        <v>1128.8425069655266</v>
      </c>
      <c r="AT207" s="56">
        <v>126.95311113019389</v>
      </c>
      <c r="AU207" s="56">
        <v>236.85614268990821</v>
      </c>
      <c r="AV207" s="56"/>
      <c r="AW207" s="56">
        <v>1492.6517607856288</v>
      </c>
      <c r="AX207" s="1"/>
      <c r="AY207" s="16">
        <v>-2.8182729162368969E-2</v>
      </c>
      <c r="AZ207" s="16">
        <v>-4.077148242964046E-2</v>
      </c>
      <c r="BA207" s="16">
        <v>9.076777728632246E-3</v>
      </c>
      <c r="BB207" s="16">
        <f t="shared" si="72"/>
        <v>-2.3551432793564753E-2</v>
      </c>
      <c r="BC207" s="16"/>
      <c r="BD207" s="1"/>
      <c r="BE207" s="16">
        <f>AM207/'2018-19 disagg'!AM207-1</f>
        <v>2.6205141551719047E-2</v>
      </c>
      <c r="BF207" s="16">
        <f>AN207/'2018-19 disagg'!AN207-1</f>
        <v>3.8890045814244045E-2</v>
      </c>
      <c r="BG207" s="16">
        <f>AO207/'2018-19 disagg'!AO207-1</f>
        <v>4.5904034161141638E-2</v>
      </c>
      <c r="BH207" s="16">
        <f>AQ207/'2018-19 disagg'!AQ207-1</f>
        <v>3.0354531441445065E-2</v>
      </c>
      <c r="BI207" s="1"/>
      <c r="BJ207" s="16">
        <f>AS207/'2018-19 disagg'!AS207-1</f>
        <v>1.7856519885443234E-2</v>
      </c>
      <c r="BK207" s="16">
        <f>AT207/'2018-19 disagg'!AT207-1</f>
        <v>3.0438226977857807E-2</v>
      </c>
      <c r="BL207" s="16">
        <f>AU207/'2018-19 disagg'!AU207-1</f>
        <v>3.7395153502796985E-2</v>
      </c>
      <c r="BM207" s="16">
        <f>AW207/'2018-19 disagg'!AW207-1</f>
        <v>2.1972152697824043E-2</v>
      </c>
    </row>
    <row r="208" spans="1:65" x14ac:dyDescent="0.2">
      <c r="A208" s="156" t="s">
        <v>461</v>
      </c>
      <c r="B208" s="156" t="s">
        <v>462</v>
      </c>
      <c r="D208" s="56">
        <f>VLOOKUP(A208,'2019-20'!$A$12:$AMX416,32,FALSE)</f>
        <v>232271</v>
      </c>
      <c r="E208" s="56">
        <v>1401.674806848695</v>
      </c>
      <c r="F208" s="16">
        <f>VLOOKUP(A208,'2019-20'!$A$12:$AMX416,34,FALSE)</f>
        <v>2.6798226418931259E-2</v>
      </c>
      <c r="G208" s="16">
        <f>VLOOKUP(A208,'2019-20'!$A$12:$AMX416,35,FALSE)</f>
        <v>1.7899739225326172E-2</v>
      </c>
      <c r="H208" s="56"/>
      <c r="I208" s="56">
        <v>235373.92296260613</v>
      </c>
      <c r="J208" s="56">
        <v>1420.3998691435029</v>
      </c>
      <c r="K208" s="16">
        <f t="shared" si="57"/>
        <v>-1.3182951295327205E-2</v>
      </c>
      <c r="L208" s="58">
        <f t="shared" si="57"/>
        <v>-1.3182951295327205E-2</v>
      </c>
      <c r="M208" s="10"/>
      <c r="N208" s="56">
        <v>180158</v>
      </c>
      <c r="O208" s="56">
        <v>19634</v>
      </c>
      <c r="P208" s="56">
        <v>32479</v>
      </c>
      <c r="R208" s="56">
        <f t="shared" si="58"/>
        <v>32479</v>
      </c>
      <c r="S208" s="56">
        <f t="shared" si="59"/>
        <v>0</v>
      </c>
      <c r="U208" s="16">
        <v>-1.1915078175221971E-3</v>
      </c>
      <c r="V208" s="16">
        <v>-4.8115370527892276E-2</v>
      </c>
      <c r="W208" s="56">
        <f t="shared" si="60"/>
        <v>4</v>
      </c>
      <c r="X208" s="56">
        <f t="shared" si="61"/>
        <v>1803.7291573917248</v>
      </c>
      <c r="Y208" s="56">
        <f t="shared" si="61"/>
        <v>206.26449248254531</v>
      </c>
      <c r="AA208" s="56">
        <f t="shared" si="73"/>
        <v>0</v>
      </c>
      <c r="AB208" s="56">
        <v>0</v>
      </c>
      <c r="AC208" s="56">
        <f t="shared" si="62"/>
        <v>0</v>
      </c>
      <c r="AE208" s="56">
        <v>0</v>
      </c>
      <c r="AF208" s="56">
        <f t="shared" si="63"/>
        <v>0</v>
      </c>
      <c r="AG208" s="56">
        <f t="shared" si="64"/>
        <v>0</v>
      </c>
      <c r="AI208" s="56">
        <f t="shared" si="65"/>
        <v>0</v>
      </c>
      <c r="AJ208" s="56">
        <f t="shared" si="66"/>
        <v>0</v>
      </c>
      <c r="AK208" s="56">
        <f t="shared" si="67"/>
        <v>0</v>
      </c>
      <c r="AM208" s="56">
        <f t="shared" si="68"/>
        <v>180158</v>
      </c>
      <c r="AN208" s="56">
        <f t="shared" si="69"/>
        <v>19634</v>
      </c>
      <c r="AO208" s="56">
        <f t="shared" si="70"/>
        <v>32479</v>
      </c>
      <c r="AP208" s="56"/>
      <c r="AQ208" s="56">
        <f t="shared" si="71"/>
        <v>232271</v>
      </c>
      <c r="AR208" s="1"/>
      <c r="AS208" s="56">
        <v>1087.1909530343744</v>
      </c>
      <c r="AT208" s="56">
        <v>118.48437022989214</v>
      </c>
      <c r="AU208" s="56">
        <v>195.99948358442839</v>
      </c>
      <c r="AV208" s="56"/>
      <c r="AW208" s="56">
        <v>1401.674806848695</v>
      </c>
      <c r="AX208" s="1"/>
      <c r="AY208" s="16">
        <v>-1.1915078175221971E-3</v>
      </c>
      <c r="AZ208" s="16">
        <v>-4.8115370527892276E-2</v>
      </c>
      <c r="BA208" s="16">
        <v>-5.5144213826628485E-2</v>
      </c>
      <c r="BB208" s="16">
        <f t="shared" si="72"/>
        <v>-1.3182951295327205E-2</v>
      </c>
      <c r="BC208" s="16"/>
      <c r="BD208" s="1"/>
      <c r="BE208" s="16">
        <f>AM208/'2018-19 disagg'!AM208-1</f>
        <v>2.2428294155704132E-2</v>
      </c>
      <c r="BF208" s="16">
        <f>AN208/'2018-19 disagg'!AN208-1</f>
        <v>3.5220921649267156E-2</v>
      </c>
      <c r="BG208" s="16">
        <f>AO208/'2018-19 disagg'!AO208-1</f>
        <v>4.6460675967393783E-2</v>
      </c>
      <c r="BH208" s="16">
        <f>AQ208/'2018-19 disagg'!AQ208-1</f>
        <v>2.6798226418931259E-2</v>
      </c>
      <c r="BI208" s="1"/>
      <c r="BJ208" s="16">
        <f>AS208/'2018-19 disagg'!AS208-1</f>
        <v>1.3567677875079509E-2</v>
      </c>
      <c r="BK208" s="16">
        <f>AT208/'2018-19 disagg'!AT208-1</f>
        <v>2.6249441297206522E-2</v>
      </c>
      <c r="BL208" s="16">
        <f>AU208/'2018-19 disagg'!AU208-1</f>
        <v>3.7391789126613562E-2</v>
      </c>
      <c r="BM208" s="16">
        <f>AW208/'2018-19 disagg'!AW208-1</f>
        <v>1.7899739225326172E-2</v>
      </c>
    </row>
    <row r="209" spans="1:65" x14ac:dyDescent="0.2">
      <c r="A209" s="156" t="s">
        <v>463</v>
      </c>
      <c r="B209" s="156" t="s">
        <v>464</v>
      </c>
      <c r="D209" s="56">
        <f>VLOOKUP(A209,'2019-20'!$A$12:$AMX417,32,FALSE)</f>
        <v>311385</v>
      </c>
      <c r="E209" s="56">
        <v>1503.7941271046452</v>
      </c>
      <c r="F209" s="16">
        <f>VLOOKUP(A209,'2019-20'!$A$12:$AMX417,34,FALSE)</f>
        <v>2.4316349389624126E-2</v>
      </c>
      <c r="G209" s="16">
        <f>VLOOKUP(A209,'2019-20'!$A$12:$AMX417,35,FALSE)</f>
        <v>2.0345626292796348E-2</v>
      </c>
      <c r="H209" s="56"/>
      <c r="I209" s="56">
        <v>316263.74640825391</v>
      </c>
      <c r="J209" s="56">
        <v>1527.355410391782</v>
      </c>
      <c r="K209" s="16">
        <f t="shared" si="57"/>
        <v>-1.5426195584099966E-2</v>
      </c>
      <c r="L209" s="58">
        <f t="shared" si="57"/>
        <v>-1.5426195584099855E-2</v>
      </c>
      <c r="M209" s="10"/>
      <c r="N209" s="56">
        <v>237220</v>
      </c>
      <c r="O209" s="56">
        <v>26474</v>
      </c>
      <c r="P209" s="56">
        <v>47691</v>
      </c>
      <c r="R209" s="56">
        <f t="shared" si="58"/>
        <v>47691</v>
      </c>
      <c r="S209" s="56">
        <f t="shared" si="59"/>
        <v>0</v>
      </c>
      <c r="U209" s="16">
        <v>-2.453783894612771E-2</v>
      </c>
      <c r="V209" s="16">
        <v>1.179719005282398E-2</v>
      </c>
      <c r="W209" s="56">
        <f t="shared" si="60"/>
        <v>1</v>
      </c>
      <c r="X209" s="56">
        <f t="shared" si="61"/>
        <v>2431.8729056974557</v>
      </c>
      <c r="Y209" s="56">
        <f t="shared" si="61"/>
        <v>261.65322715136068</v>
      </c>
      <c r="AA209" s="56">
        <f t="shared" si="73"/>
        <v>0</v>
      </c>
      <c r="AB209" s="56">
        <v>0</v>
      </c>
      <c r="AC209" s="56">
        <f t="shared" si="62"/>
        <v>0</v>
      </c>
      <c r="AE209" s="56">
        <v>0</v>
      </c>
      <c r="AF209" s="56">
        <f t="shared" si="63"/>
        <v>0</v>
      </c>
      <c r="AG209" s="56">
        <f t="shared" si="64"/>
        <v>0</v>
      </c>
      <c r="AI209" s="56">
        <f t="shared" si="65"/>
        <v>0</v>
      </c>
      <c r="AJ209" s="56">
        <f t="shared" si="66"/>
        <v>0</v>
      </c>
      <c r="AK209" s="56">
        <f t="shared" si="67"/>
        <v>0</v>
      </c>
      <c r="AM209" s="56">
        <f t="shared" si="68"/>
        <v>237220</v>
      </c>
      <c r="AN209" s="56">
        <f t="shared" si="69"/>
        <v>26474</v>
      </c>
      <c r="AO209" s="56">
        <f t="shared" si="70"/>
        <v>47691</v>
      </c>
      <c r="AP209" s="56"/>
      <c r="AQ209" s="56">
        <f t="shared" si="71"/>
        <v>311385</v>
      </c>
      <c r="AR209" s="1"/>
      <c r="AS209" s="56">
        <v>1145.6237225035372</v>
      </c>
      <c r="AT209" s="56">
        <v>127.85280511575181</v>
      </c>
      <c r="AU209" s="56">
        <v>230.31759948535617</v>
      </c>
      <c r="AV209" s="56"/>
      <c r="AW209" s="56">
        <v>1503.7941271046452</v>
      </c>
      <c r="AX209" s="1"/>
      <c r="AY209" s="16">
        <v>-2.453783894612771E-2</v>
      </c>
      <c r="AZ209" s="16">
        <v>1.179719005282398E-2</v>
      </c>
      <c r="BA209" s="16">
        <v>1.6624345324951273E-2</v>
      </c>
      <c r="BB209" s="16">
        <f t="shared" si="72"/>
        <v>-1.5426195584099966E-2</v>
      </c>
      <c r="BC209" s="16"/>
      <c r="BD209" s="1"/>
      <c r="BE209" s="16">
        <f>AM209/'2018-19 disagg'!AM209-1</f>
        <v>2.0784026851413673E-2</v>
      </c>
      <c r="BF209" s="16">
        <f>AN209/'2018-19 disagg'!AN209-1</f>
        <v>2.5726462611390888E-2</v>
      </c>
      <c r="BG209" s="16">
        <f>AO209/'2018-19 disagg'!AO209-1</f>
        <v>4.1447382787762388E-2</v>
      </c>
      <c r="BH209" s="16">
        <f>AQ209/'2018-19 disagg'!AQ209-1</f>
        <v>2.4316349389624126E-2</v>
      </c>
      <c r="BI209" s="1"/>
      <c r="BJ209" s="16">
        <f>AS209/'2018-19 disagg'!AS209-1</f>
        <v>1.6826996667616223E-2</v>
      </c>
      <c r="BK209" s="16">
        <f>AT209/'2018-19 disagg'!AT209-1</f>
        <v>2.1750273264666609E-2</v>
      </c>
      <c r="BL209" s="16">
        <f>AU209/'2018-19 disagg'!AU209-1</f>
        <v>3.7410251896089486E-2</v>
      </c>
      <c r="BM209" s="16">
        <f>AW209/'2018-19 disagg'!AW209-1</f>
        <v>2.0345626292796348E-2</v>
      </c>
    </row>
    <row r="210" spans="1:65" x14ac:dyDescent="0.2">
      <c r="A210" s="156" t="s">
        <v>465</v>
      </c>
      <c r="B210" s="156" t="s">
        <v>466</v>
      </c>
      <c r="D210" s="56">
        <f>VLOOKUP(A210,'2019-20'!$A$12:$AMX418,32,FALSE)</f>
        <v>827951</v>
      </c>
      <c r="E210" s="56">
        <v>1630.8878699435579</v>
      </c>
      <c r="F210" s="16">
        <f>VLOOKUP(A210,'2019-20'!$A$12:$AMX418,34,FALSE)</f>
        <v>2.8038044625451564E-2</v>
      </c>
      <c r="G210" s="16">
        <f>VLOOKUP(A210,'2019-20'!$A$12:$AMX418,35,FALSE)</f>
        <v>1.9083122061439139E-2</v>
      </c>
      <c r="H210" s="56"/>
      <c r="I210" s="56">
        <v>818179.96824325761</v>
      </c>
      <c r="J210" s="56">
        <v>1611.6410097200612</v>
      </c>
      <c r="K210" s="16">
        <f t="shared" si="57"/>
        <v>1.1942399149324157E-2</v>
      </c>
      <c r="L210" s="58">
        <f t="shared" si="57"/>
        <v>1.1942399149324157E-2</v>
      </c>
      <c r="M210" s="10"/>
      <c r="N210" s="56">
        <v>597361</v>
      </c>
      <c r="O210" s="56">
        <v>67480</v>
      </c>
      <c r="P210" s="56">
        <v>163110</v>
      </c>
      <c r="R210" s="56">
        <f t="shared" si="58"/>
        <v>163110</v>
      </c>
      <c r="S210" s="56">
        <f t="shared" si="59"/>
        <v>0</v>
      </c>
      <c r="U210" s="16">
        <v>5.4003836299043595E-3</v>
      </c>
      <c r="V210" s="16">
        <v>-2.7628815361043779E-2</v>
      </c>
      <c r="W210" s="56">
        <f t="shared" si="60"/>
        <v>3</v>
      </c>
      <c r="X210" s="56">
        <f t="shared" si="61"/>
        <v>5941.5234937874575</v>
      </c>
      <c r="Y210" s="56">
        <f t="shared" si="61"/>
        <v>693.97367040504685</v>
      </c>
      <c r="AA210" s="56">
        <f t="shared" si="73"/>
        <v>0</v>
      </c>
      <c r="AB210" s="56">
        <v>0</v>
      </c>
      <c r="AC210" s="56">
        <f t="shared" si="62"/>
        <v>0</v>
      </c>
      <c r="AE210" s="56">
        <v>0</v>
      </c>
      <c r="AF210" s="56">
        <f t="shared" si="63"/>
        <v>0</v>
      </c>
      <c r="AG210" s="56">
        <f t="shared" si="64"/>
        <v>0</v>
      </c>
      <c r="AI210" s="56">
        <f t="shared" si="65"/>
        <v>0</v>
      </c>
      <c r="AJ210" s="56">
        <f t="shared" si="66"/>
        <v>0</v>
      </c>
      <c r="AK210" s="56">
        <f t="shared" si="67"/>
        <v>0</v>
      </c>
      <c r="AM210" s="56">
        <f t="shared" si="68"/>
        <v>597361</v>
      </c>
      <c r="AN210" s="56">
        <f t="shared" si="69"/>
        <v>67480</v>
      </c>
      <c r="AO210" s="56">
        <f t="shared" si="70"/>
        <v>163110</v>
      </c>
      <c r="AP210" s="56"/>
      <c r="AQ210" s="56">
        <f t="shared" si="71"/>
        <v>827951</v>
      </c>
      <c r="AR210" s="1"/>
      <c r="AS210" s="56">
        <v>1176.6744757568426</v>
      </c>
      <c r="AT210" s="56">
        <v>132.92128817259874</v>
      </c>
      <c r="AU210" s="56">
        <v>321.29210601411643</v>
      </c>
      <c r="AV210" s="56"/>
      <c r="AW210" s="56">
        <v>1630.8878699435579</v>
      </c>
      <c r="AX210" s="1"/>
      <c r="AY210" s="16">
        <v>5.4003836299043595E-3</v>
      </c>
      <c r="AZ210" s="16">
        <v>-2.7628815361043779E-2</v>
      </c>
      <c r="BA210" s="16">
        <v>5.4838869341324648E-2</v>
      </c>
      <c r="BB210" s="16">
        <f t="shared" si="72"/>
        <v>1.1942399149324157E-2</v>
      </c>
      <c r="BC210" s="16"/>
      <c r="BD210" s="1"/>
      <c r="BE210" s="16">
        <f>AM210/'2018-19 disagg'!AM210-1</f>
        <v>2.2472237056511801E-2</v>
      </c>
      <c r="BF210" s="16">
        <f>AN210/'2018-19 disagg'!AN210-1</f>
        <v>3.3732651122889701E-2</v>
      </c>
      <c r="BG210" s="16">
        <f>AO210/'2018-19 disagg'!AO210-1</f>
        <v>4.6516104196073327E-2</v>
      </c>
      <c r="BH210" s="16">
        <f>AQ210/'2018-19 disagg'!AQ210-1</f>
        <v>2.8038044625451564E-2</v>
      </c>
      <c r="BI210" s="1"/>
      <c r="BJ210" s="16">
        <f>AS210/'2018-19 disagg'!AS210-1</f>
        <v>1.3565796526842755E-2</v>
      </c>
      <c r="BK210" s="16">
        <f>AT210/'2018-19 disagg'!AT210-1</f>
        <v>2.4728124596763434E-2</v>
      </c>
      <c r="BL210" s="16">
        <f>AU210/'2018-19 disagg'!AU210-1</f>
        <v>3.7400224950103977E-2</v>
      </c>
      <c r="BM210" s="16">
        <f>AW210/'2018-19 disagg'!AW210-1</f>
        <v>1.9083122061439139E-2</v>
      </c>
    </row>
    <row r="211" spans="1:65" x14ac:dyDescent="0.2">
      <c r="A211" s="156" t="s">
        <v>467</v>
      </c>
      <c r="B211" s="156" t="s">
        <v>468</v>
      </c>
      <c r="D211" s="56">
        <f>VLOOKUP(A211,'2019-20'!$A$12:$AMX419,32,FALSE)</f>
        <v>1385966</v>
      </c>
      <c r="E211" s="56">
        <v>1720.3940041593301</v>
      </c>
      <c r="F211" s="16">
        <f>VLOOKUP(A211,'2019-20'!$A$12:$AMX419,34,FALSE)</f>
        <v>2.4774873027574307E-2</v>
      </c>
      <c r="G211" s="16">
        <f>VLOOKUP(A211,'2019-20'!$A$12:$AMX419,35,FALSE)</f>
        <v>1.8750523830114441E-2</v>
      </c>
      <c r="H211" s="56"/>
      <c r="I211" s="56">
        <v>1383527.8906209196</v>
      </c>
      <c r="J211" s="56">
        <v>1717.3675888235609</v>
      </c>
      <c r="K211" s="16">
        <f t="shared" si="57"/>
        <v>1.7622408594786254E-3</v>
      </c>
      <c r="L211" s="58">
        <f t="shared" si="57"/>
        <v>1.7622408594786254E-3</v>
      </c>
      <c r="M211" s="10"/>
      <c r="N211" s="56">
        <v>1069820</v>
      </c>
      <c r="O211" s="56">
        <v>110327</v>
      </c>
      <c r="P211" s="56">
        <v>205819</v>
      </c>
      <c r="R211" s="56">
        <f t="shared" si="58"/>
        <v>205819</v>
      </c>
      <c r="S211" s="56">
        <f t="shared" si="59"/>
        <v>0</v>
      </c>
      <c r="U211" s="16">
        <v>-5.764027800159055E-3</v>
      </c>
      <c r="V211" s="16">
        <v>-7.7778575682914131E-3</v>
      </c>
      <c r="W211" s="56">
        <f t="shared" si="60"/>
        <v>4</v>
      </c>
      <c r="X211" s="56">
        <f t="shared" si="61"/>
        <v>10760.222220012038</v>
      </c>
      <c r="Y211" s="56">
        <f t="shared" si="61"/>
        <v>1111.9183424955006</v>
      </c>
      <c r="AA211" s="56">
        <f t="shared" si="73"/>
        <v>0</v>
      </c>
      <c r="AB211" s="56">
        <v>0</v>
      </c>
      <c r="AC211" s="56">
        <f t="shared" si="62"/>
        <v>0</v>
      </c>
      <c r="AE211" s="56">
        <v>0</v>
      </c>
      <c r="AF211" s="56">
        <f t="shared" si="63"/>
        <v>0</v>
      </c>
      <c r="AG211" s="56">
        <f t="shared" si="64"/>
        <v>0</v>
      </c>
      <c r="AI211" s="56">
        <f t="shared" si="65"/>
        <v>0</v>
      </c>
      <c r="AJ211" s="56">
        <f t="shared" si="66"/>
        <v>0</v>
      </c>
      <c r="AK211" s="56">
        <f t="shared" si="67"/>
        <v>0</v>
      </c>
      <c r="AM211" s="56">
        <f t="shared" si="68"/>
        <v>1069820</v>
      </c>
      <c r="AN211" s="56">
        <f t="shared" si="69"/>
        <v>110327</v>
      </c>
      <c r="AO211" s="56">
        <f t="shared" si="70"/>
        <v>205819</v>
      </c>
      <c r="AP211" s="56"/>
      <c r="AQ211" s="56">
        <f t="shared" si="71"/>
        <v>1385966</v>
      </c>
      <c r="AR211" s="1"/>
      <c r="AS211" s="56">
        <v>1327.9632498414351</v>
      </c>
      <c r="AT211" s="56">
        <v>136.94845998883551</v>
      </c>
      <c r="AU211" s="56">
        <v>255.48229432905939</v>
      </c>
      <c r="AV211" s="56"/>
      <c r="AW211" s="56">
        <v>1720.3940041593301</v>
      </c>
      <c r="AX211" s="1"/>
      <c r="AY211" s="16">
        <v>-5.764027800159055E-3</v>
      </c>
      <c r="AZ211" s="16">
        <v>-7.7778575682914131E-3</v>
      </c>
      <c r="BA211" s="16">
        <v>4.8418215966946621E-2</v>
      </c>
      <c r="BB211" s="16">
        <f t="shared" si="72"/>
        <v>1.7622408594786254E-3</v>
      </c>
      <c r="BC211" s="16"/>
      <c r="BD211" s="1"/>
      <c r="BE211" s="16">
        <f>AM211/'2018-19 disagg'!AM211-1</f>
        <v>2.0783597541310428E-2</v>
      </c>
      <c r="BF211" s="16">
        <f>AN211/'2018-19 disagg'!AN211-1</f>
        <v>2.9284994588946622E-2</v>
      </c>
      <c r="BG211" s="16">
        <f>AO211/'2018-19 disagg'!AO211-1</f>
        <v>4.3532268940795982E-2</v>
      </c>
      <c r="BH211" s="16">
        <f>AQ211/'2018-19 disagg'!AQ211-1</f>
        <v>2.4774873027574307E-2</v>
      </c>
      <c r="BI211" s="1"/>
      <c r="BJ211" s="16">
        <f>AS211/'2018-19 disagg'!AS211-1</f>
        <v>1.4782711875115373E-2</v>
      </c>
      <c r="BK211" s="16">
        <f>AT211/'2018-19 disagg'!AT211-1</f>
        <v>2.3234131717192019E-2</v>
      </c>
      <c r="BL211" s="16">
        <f>AU211/'2018-19 disagg'!AU211-1</f>
        <v>3.7397650545690331E-2</v>
      </c>
      <c r="BM211" s="16">
        <f>AW211/'2018-19 disagg'!AW211-1</f>
        <v>1.8750523830114441E-2</v>
      </c>
    </row>
    <row r="212" spans="1:65" x14ac:dyDescent="0.2">
      <c r="A212" s="156" t="s">
        <v>469</v>
      </c>
      <c r="B212" s="156" t="s">
        <v>470</v>
      </c>
      <c r="D212" s="56">
        <f>VLOOKUP(A212,'2019-20'!$A$12:$AMX420,32,FALSE)</f>
        <v>1022030</v>
      </c>
      <c r="E212" s="56">
        <v>1565.3752832608284</v>
      </c>
      <c r="F212" s="16">
        <f>VLOOKUP(A212,'2019-20'!$A$12:$AMX420,34,FALSE)</f>
        <v>2.5346997537032401E-2</v>
      </c>
      <c r="G212" s="16">
        <f>VLOOKUP(A212,'2019-20'!$A$12:$AMX420,35,FALSE)</f>
        <v>1.8523763794645376E-2</v>
      </c>
      <c r="H212" s="56"/>
      <c r="I212" s="56">
        <v>1033583.2816793579</v>
      </c>
      <c r="J212" s="56">
        <v>1583.0706753544234</v>
      </c>
      <c r="K212" s="16">
        <f t="shared" si="57"/>
        <v>-1.1177891403764018E-2</v>
      </c>
      <c r="L212" s="58">
        <f t="shared" si="57"/>
        <v>-1.1177891403764018E-2</v>
      </c>
      <c r="M212" s="10"/>
      <c r="N212" s="56">
        <v>775393</v>
      </c>
      <c r="O212" s="56">
        <v>83292</v>
      </c>
      <c r="P212" s="56">
        <v>163345</v>
      </c>
      <c r="R212" s="56">
        <f t="shared" si="58"/>
        <v>163345</v>
      </c>
      <c r="S212" s="56">
        <f t="shared" si="59"/>
        <v>0</v>
      </c>
      <c r="U212" s="16">
        <v>-1.783474321236389E-2</v>
      </c>
      <c r="V212" s="16">
        <v>-2.5959188857609283E-2</v>
      </c>
      <c r="W212" s="56">
        <f t="shared" si="60"/>
        <v>4</v>
      </c>
      <c r="X212" s="56">
        <f t="shared" si="61"/>
        <v>7894.730491038491</v>
      </c>
      <c r="Y212" s="56">
        <f t="shared" si="61"/>
        <v>855.11817417908901</v>
      </c>
      <c r="AA212" s="56">
        <f t="shared" si="73"/>
        <v>0</v>
      </c>
      <c r="AB212" s="56">
        <v>0</v>
      </c>
      <c r="AC212" s="56">
        <f t="shared" si="62"/>
        <v>0</v>
      </c>
      <c r="AE212" s="56">
        <v>0</v>
      </c>
      <c r="AF212" s="56">
        <f t="shared" si="63"/>
        <v>0</v>
      </c>
      <c r="AG212" s="56">
        <f t="shared" si="64"/>
        <v>0</v>
      </c>
      <c r="AI212" s="56">
        <f t="shared" si="65"/>
        <v>0</v>
      </c>
      <c r="AJ212" s="56">
        <f t="shared" si="66"/>
        <v>0</v>
      </c>
      <c r="AK212" s="56">
        <f t="shared" si="67"/>
        <v>0</v>
      </c>
      <c r="AM212" s="56">
        <f t="shared" si="68"/>
        <v>775393</v>
      </c>
      <c r="AN212" s="56">
        <f t="shared" si="69"/>
        <v>83292</v>
      </c>
      <c r="AO212" s="56">
        <f t="shared" si="70"/>
        <v>163345</v>
      </c>
      <c r="AP212" s="56"/>
      <c r="AQ212" s="56">
        <f t="shared" si="71"/>
        <v>1022030</v>
      </c>
      <c r="AR212" s="1"/>
      <c r="AS212" s="56">
        <v>1187.6178165156243</v>
      </c>
      <c r="AT212" s="56">
        <v>127.57280910869633</v>
      </c>
      <c r="AU212" s="56">
        <v>250.18465763650775</v>
      </c>
      <c r="AV212" s="56"/>
      <c r="AW212" s="56">
        <v>1565.3752832608284</v>
      </c>
      <c r="AX212" s="1"/>
      <c r="AY212" s="16">
        <v>-1.783474321236389E-2</v>
      </c>
      <c r="AZ212" s="16">
        <v>-2.5959188857609283E-2</v>
      </c>
      <c r="BA212" s="16">
        <v>2.9928324552824126E-2</v>
      </c>
      <c r="BB212" s="16">
        <f t="shared" si="72"/>
        <v>-1.1177891403764018E-2</v>
      </c>
      <c r="BC212" s="16"/>
      <c r="BD212" s="1"/>
      <c r="BE212" s="16">
        <f>AM212/'2018-19 disagg'!AM212-1</f>
        <v>2.0783142839840618E-2</v>
      </c>
      <c r="BF212" s="16">
        <f>AN212/'2018-19 disagg'!AN212-1</f>
        <v>3.1467102574581185E-2</v>
      </c>
      <c r="BG212" s="16">
        <f>AO212/'2018-19 disagg'!AO212-1</f>
        <v>4.4351951306838444E-2</v>
      </c>
      <c r="BH212" s="16">
        <f>AQ212/'2018-19 disagg'!AQ212-1</f>
        <v>2.5346997537032401E-2</v>
      </c>
      <c r="BI212" s="1"/>
      <c r="BJ212" s="16">
        <f>AS212/'2018-19 disagg'!AS212-1</f>
        <v>1.3990279545155859E-2</v>
      </c>
      <c r="BK212" s="16">
        <f>AT212/'2018-19 disagg'!AT212-1</f>
        <v>2.4603142222276553E-2</v>
      </c>
      <c r="BL212" s="16">
        <f>AU212/'2018-19 disagg'!AU212-1</f>
        <v>3.7402247947681877E-2</v>
      </c>
      <c r="BM212" s="16">
        <f>AW212/'2018-19 disagg'!AW212-1</f>
        <v>1.8523763794645376E-2</v>
      </c>
    </row>
    <row r="213" spans="1:65" x14ac:dyDescent="0.2">
      <c r="A213" s="156" t="s">
        <v>471</v>
      </c>
      <c r="B213" s="156" t="s">
        <v>472</v>
      </c>
      <c r="D213" s="56">
        <f>VLOOKUP(A213,'2019-20'!$A$12:$AMX421,32,FALSE)</f>
        <v>1015064</v>
      </c>
      <c r="E213" s="56">
        <v>1753.1670768825088</v>
      </c>
      <c r="F213" s="16">
        <f>VLOOKUP(A213,'2019-20'!$A$12:$AMX421,34,FALSE)</f>
        <v>2.4931010841369838E-2</v>
      </c>
      <c r="G213" s="16">
        <f>VLOOKUP(A213,'2019-20'!$A$12:$AMX421,35,FALSE)</f>
        <v>1.6847625045636194E-2</v>
      </c>
      <c r="H213" s="56"/>
      <c r="I213" s="56">
        <v>1000897.9048176107</v>
      </c>
      <c r="J213" s="56">
        <v>1728.700115506922</v>
      </c>
      <c r="K213" s="16">
        <f t="shared" si="57"/>
        <v>1.4153386788206657E-2</v>
      </c>
      <c r="L213" s="58">
        <f t="shared" si="57"/>
        <v>1.4153386788206657E-2</v>
      </c>
      <c r="M213" s="10"/>
      <c r="N213" s="56">
        <v>777308</v>
      </c>
      <c r="O213" s="56">
        <v>82956</v>
      </c>
      <c r="P213" s="56">
        <v>154800</v>
      </c>
      <c r="R213" s="56">
        <f t="shared" si="58"/>
        <v>154800</v>
      </c>
      <c r="S213" s="56">
        <f t="shared" si="59"/>
        <v>0</v>
      </c>
      <c r="U213" s="16">
        <v>9.851947265002936E-3</v>
      </c>
      <c r="V213" s="16">
        <v>6.1376572388773587E-2</v>
      </c>
      <c r="W213" s="56">
        <f t="shared" si="60"/>
        <v>2</v>
      </c>
      <c r="X213" s="56">
        <f t="shared" si="61"/>
        <v>7697.2471272169632</v>
      </c>
      <c r="Y213" s="56">
        <f t="shared" si="61"/>
        <v>781.58876084193321</v>
      </c>
      <c r="AA213" s="56">
        <f t="shared" si="73"/>
        <v>0</v>
      </c>
      <c r="AB213" s="56">
        <v>0</v>
      </c>
      <c r="AC213" s="56">
        <f t="shared" si="62"/>
        <v>0</v>
      </c>
      <c r="AE213" s="56">
        <v>0</v>
      </c>
      <c r="AF213" s="56">
        <f t="shared" si="63"/>
        <v>0</v>
      </c>
      <c r="AG213" s="56">
        <f t="shared" si="64"/>
        <v>0</v>
      </c>
      <c r="AI213" s="56">
        <f t="shared" si="65"/>
        <v>0</v>
      </c>
      <c r="AJ213" s="56">
        <f t="shared" si="66"/>
        <v>0</v>
      </c>
      <c r="AK213" s="56">
        <f t="shared" si="67"/>
        <v>0</v>
      </c>
      <c r="AM213" s="56">
        <f t="shared" si="68"/>
        <v>777308</v>
      </c>
      <c r="AN213" s="56">
        <f t="shared" si="69"/>
        <v>82956</v>
      </c>
      <c r="AO213" s="56">
        <f t="shared" si="70"/>
        <v>154800</v>
      </c>
      <c r="AP213" s="56"/>
      <c r="AQ213" s="56">
        <f t="shared" si="71"/>
        <v>1015064</v>
      </c>
      <c r="AR213" s="1"/>
      <c r="AS213" s="56">
        <v>1342.5269679521577</v>
      </c>
      <c r="AT213" s="56">
        <v>143.27739731668683</v>
      </c>
      <c r="AU213" s="56">
        <v>267.36271161366415</v>
      </c>
      <c r="AV213" s="56"/>
      <c r="AW213" s="56">
        <v>1753.1670768825088</v>
      </c>
      <c r="AX213" s="1"/>
      <c r="AY213" s="16">
        <v>9.851947265002936E-3</v>
      </c>
      <c r="AZ213" s="16">
        <v>6.1376572388773587E-2</v>
      </c>
      <c r="BA213" s="16">
        <v>1.1670045227285986E-2</v>
      </c>
      <c r="BB213" s="16">
        <f t="shared" si="72"/>
        <v>1.4153386788206657E-2</v>
      </c>
      <c r="BC213" s="16"/>
      <c r="BD213" s="1"/>
      <c r="BE213" s="16">
        <f>AM213/'2018-19 disagg'!AM213-1</f>
        <v>2.1623014078879566E-2</v>
      </c>
      <c r="BF213" s="16">
        <f>AN213/'2018-19 disagg'!AN213-1</f>
        <v>1.8177355016876451E-2</v>
      </c>
      <c r="BG213" s="16">
        <f>AO213/'2018-19 disagg'!AO213-1</f>
        <v>4.5649207657286528E-2</v>
      </c>
      <c r="BH213" s="16">
        <f>AQ213/'2018-19 disagg'!AQ213-1</f>
        <v>2.4931010841369838E-2</v>
      </c>
      <c r="BI213" s="1"/>
      <c r="BJ213" s="16">
        <f>AS213/'2018-19 disagg'!AS213-1</f>
        <v>1.3565717662586296E-2</v>
      </c>
      <c r="BK213" s="16">
        <f>AT213/'2018-19 disagg'!AT213-1</f>
        <v>1.014723368966175E-2</v>
      </c>
      <c r="BL213" s="16">
        <f>AU213/'2018-19 disagg'!AU213-1</f>
        <v>3.7402422397507573E-2</v>
      </c>
      <c r="BM213" s="16">
        <f>AW213/'2018-19 disagg'!AW213-1</f>
        <v>1.6847625045636194E-2</v>
      </c>
    </row>
    <row r="214" spans="1:65" x14ac:dyDescent="0.2">
      <c r="A214" s="156" t="s">
        <v>473</v>
      </c>
      <c r="B214" s="156" t="s">
        <v>474</v>
      </c>
      <c r="D214" s="56">
        <f>VLOOKUP(A214,'2019-20'!$A$12:$AMX422,32,FALSE)</f>
        <v>381920</v>
      </c>
      <c r="E214" s="56">
        <v>1701.208991209867</v>
      </c>
      <c r="F214" s="16">
        <f>VLOOKUP(A214,'2019-20'!$A$12:$AMX422,34,FALSE)</f>
        <v>2.8328024577341404E-2</v>
      </c>
      <c r="G214" s="16">
        <f>VLOOKUP(A214,'2019-20'!$A$12:$AMX422,35,FALSE)</f>
        <v>1.8120112890763096E-2</v>
      </c>
      <c r="H214" s="56"/>
      <c r="I214" s="56">
        <v>385487.86533917196</v>
      </c>
      <c r="J214" s="56">
        <v>1717.1015461806078</v>
      </c>
      <c r="K214" s="16">
        <f t="shared" si="57"/>
        <v>-9.2554543475259488E-3</v>
      </c>
      <c r="L214" s="58">
        <f t="shared" si="57"/>
        <v>-9.2554543475259488E-3</v>
      </c>
      <c r="M214" s="10"/>
      <c r="N214" s="56">
        <v>289498</v>
      </c>
      <c r="O214" s="56">
        <v>30351</v>
      </c>
      <c r="P214" s="56">
        <v>62071</v>
      </c>
      <c r="R214" s="56">
        <f t="shared" si="58"/>
        <v>62071</v>
      </c>
      <c r="S214" s="56">
        <f t="shared" si="59"/>
        <v>0</v>
      </c>
      <c r="U214" s="16">
        <v>-1.9694076611640021E-2</v>
      </c>
      <c r="V214" s="16">
        <v>-5.4112971598153647E-3</v>
      </c>
      <c r="W214" s="56">
        <f t="shared" si="60"/>
        <v>4</v>
      </c>
      <c r="X214" s="56">
        <f t="shared" si="61"/>
        <v>2953.1393526560573</v>
      </c>
      <c r="Y214" s="56">
        <f t="shared" si="61"/>
        <v>305.1613185764985</v>
      </c>
      <c r="AA214" s="56">
        <f t="shared" si="73"/>
        <v>0</v>
      </c>
      <c r="AB214" s="56">
        <v>0</v>
      </c>
      <c r="AC214" s="56">
        <f t="shared" si="62"/>
        <v>0</v>
      </c>
      <c r="AE214" s="56">
        <v>0</v>
      </c>
      <c r="AF214" s="56">
        <f t="shared" si="63"/>
        <v>0</v>
      </c>
      <c r="AG214" s="56">
        <f t="shared" si="64"/>
        <v>0</v>
      </c>
      <c r="AI214" s="56">
        <f t="shared" si="65"/>
        <v>0</v>
      </c>
      <c r="AJ214" s="56">
        <f t="shared" si="66"/>
        <v>0</v>
      </c>
      <c r="AK214" s="56">
        <f t="shared" si="67"/>
        <v>0</v>
      </c>
      <c r="AM214" s="56">
        <f t="shared" si="68"/>
        <v>289498</v>
      </c>
      <c r="AN214" s="56">
        <f t="shared" si="69"/>
        <v>30351</v>
      </c>
      <c r="AO214" s="56">
        <f t="shared" si="70"/>
        <v>62071</v>
      </c>
      <c r="AP214" s="56"/>
      <c r="AQ214" s="56">
        <f t="shared" si="71"/>
        <v>381920</v>
      </c>
      <c r="AR214" s="1"/>
      <c r="AS214" s="56">
        <v>1289.5281748462351</v>
      </c>
      <c r="AT214" s="56">
        <v>135.1942660562701</v>
      </c>
      <c r="AU214" s="56">
        <v>276.48655030736188</v>
      </c>
      <c r="AV214" s="56"/>
      <c r="AW214" s="56">
        <v>1701.208991209867</v>
      </c>
      <c r="AX214" s="1"/>
      <c r="AY214" s="16">
        <v>-1.9694076611640021E-2</v>
      </c>
      <c r="AZ214" s="16">
        <v>-5.4112971598153647E-3</v>
      </c>
      <c r="BA214" s="16">
        <v>4.045073496258822E-2</v>
      </c>
      <c r="BB214" s="16">
        <f t="shared" si="72"/>
        <v>-9.2554543475259488E-3</v>
      </c>
      <c r="BC214" s="16"/>
      <c r="BD214" s="1"/>
      <c r="BE214" s="16">
        <f>AM214/'2018-19 disagg'!AM214-1</f>
        <v>2.3728022405477001E-2</v>
      </c>
      <c r="BF214" s="16">
        <f>AN214/'2018-19 disagg'!AN214-1</f>
        <v>3.3331063597984434E-2</v>
      </c>
      <c r="BG214" s="16">
        <f>AO214/'2018-19 disagg'!AO214-1</f>
        <v>4.7806343793784567E-2</v>
      </c>
      <c r="BH214" s="16">
        <f>AQ214/'2018-19 disagg'!AQ214-1</f>
        <v>2.8328024577341404E-2</v>
      </c>
      <c r="BI214" s="1"/>
      <c r="BJ214" s="16">
        <f>AS214/'2018-19 disagg'!AS214-1</f>
        <v>1.3565773595729747E-2</v>
      </c>
      <c r="BK214" s="16">
        <f>AT214/'2018-19 disagg'!AT214-1</f>
        <v>2.3073488205597625E-2</v>
      </c>
      <c r="BL214" s="16">
        <f>AU214/'2018-19 disagg'!AU214-1</f>
        <v>3.7405076526484393E-2</v>
      </c>
      <c r="BM214" s="16">
        <f>AW214/'2018-19 disagg'!AW214-1</f>
        <v>1.8120112890763096E-2</v>
      </c>
    </row>
    <row r="215" spans="1:65" x14ac:dyDescent="0.2">
      <c r="A215" s="156" t="s">
        <v>475</v>
      </c>
      <c r="B215" s="156" t="s">
        <v>476</v>
      </c>
      <c r="D215" s="56">
        <f>VLOOKUP(A215,'2019-20'!$A$12:$AMX423,32,FALSE)</f>
        <v>1580888</v>
      </c>
      <c r="E215" s="56">
        <v>1717.8359081061215</v>
      </c>
      <c r="F215" s="16">
        <f>VLOOKUP(A215,'2019-20'!$A$12:$AMX423,34,FALSE)</f>
        <v>2.4591284848131334E-2</v>
      </c>
      <c r="G215" s="16">
        <f>VLOOKUP(A215,'2019-20'!$A$12:$AMX423,35,FALSE)</f>
        <v>1.9530799285777167E-2</v>
      </c>
      <c r="H215" s="56"/>
      <c r="I215" s="56">
        <v>1577564.4971377016</v>
      </c>
      <c r="J215" s="56">
        <v>1714.2244994816333</v>
      </c>
      <c r="K215" s="16">
        <f t="shared" si="57"/>
        <v>2.1067302594146575E-3</v>
      </c>
      <c r="L215" s="58">
        <f t="shared" si="57"/>
        <v>2.1067302594148796E-3</v>
      </c>
      <c r="M215" s="10"/>
      <c r="N215" s="56">
        <v>1203652</v>
      </c>
      <c r="O215" s="56">
        <v>127841</v>
      </c>
      <c r="P215" s="56">
        <v>249395</v>
      </c>
      <c r="R215" s="56">
        <f t="shared" si="58"/>
        <v>249395</v>
      </c>
      <c r="S215" s="56">
        <f t="shared" si="59"/>
        <v>0</v>
      </c>
      <c r="U215" s="16">
        <v>3.2498938525975518E-3</v>
      </c>
      <c r="V215" s="16">
        <v>2.061716849456996E-2</v>
      </c>
      <c r="W215" s="56">
        <f t="shared" si="60"/>
        <v>2</v>
      </c>
      <c r="X215" s="56">
        <f t="shared" si="61"/>
        <v>11997.529303270941</v>
      </c>
      <c r="Y215" s="56">
        <f t="shared" si="61"/>
        <v>1252.5852390722364</v>
      </c>
      <c r="AA215" s="56">
        <f t="shared" si="73"/>
        <v>0</v>
      </c>
      <c r="AB215" s="56">
        <v>0</v>
      </c>
      <c r="AC215" s="56">
        <f t="shared" si="62"/>
        <v>0</v>
      </c>
      <c r="AE215" s="56">
        <v>0</v>
      </c>
      <c r="AF215" s="56">
        <f t="shared" si="63"/>
        <v>0</v>
      </c>
      <c r="AG215" s="56">
        <f t="shared" si="64"/>
        <v>0</v>
      </c>
      <c r="AI215" s="56">
        <f t="shared" si="65"/>
        <v>0</v>
      </c>
      <c r="AJ215" s="56">
        <f t="shared" si="66"/>
        <v>0</v>
      </c>
      <c r="AK215" s="56">
        <f t="shared" si="67"/>
        <v>0</v>
      </c>
      <c r="AM215" s="56">
        <f t="shared" si="68"/>
        <v>1203652</v>
      </c>
      <c r="AN215" s="56">
        <f t="shared" si="69"/>
        <v>127841</v>
      </c>
      <c r="AO215" s="56">
        <f t="shared" si="70"/>
        <v>249395</v>
      </c>
      <c r="AP215" s="56"/>
      <c r="AQ215" s="56">
        <f t="shared" si="71"/>
        <v>1580888</v>
      </c>
      <c r="AR215" s="1"/>
      <c r="AS215" s="56">
        <v>1307.9210079801665</v>
      </c>
      <c r="AT215" s="56">
        <v>138.91550845359993</v>
      </c>
      <c r="AU215" s="56">
        <v>270.99939167235516</v>
      </c>
      <c r="AV215" s="56"/>
      <c r="AW215" s="56">
        <v>1717.8359081061215</v>
      </c>
      <c r="AX215" s="1"/>
      <c r="AY215" s="16">
        <v>3.2498938525975518E-3</v>
      </c>
      <c r="AZ215" s="16">
        <v>2.061716849456996E-2</v>
      </c>
      <c r="BA215" s="16">
        <v>-1.2504473781343228E-2</v>
      </c>
      <c r="BB215" s="16">
        <f t="shared" si="72"/>
        <v>2.1067302594146575E-3</v>
      </c>
      <c r="BC215" s="16"/>
      <c r="BD215" s="1"/>
      <c r="BE215" s="16">
        <f>AM215/'2018-19 disagg'!AM215-1</f>
        <v>2.0783703446141111E-2</v>
      </c>
      <c r="BF215" s="16">
        <f>AN215/'2018-19 disagg'!AN215-1</f>
        <v>2.6151240538436316E-2</v>
      </c>
      <c r="BG215" s="16">
        <f>AO215/'2018-19 disagg'!AO215-1</f>
        <v>4.2547143388638853E-2</v>
      </c>
      <c r="BH215" s="16">
        <f>AQ215/'2018-19 disagg'!AQ215-1</f>
        <v>2.4591284848131334E-2</v>
      </c>
      <c r="BI215" s="1"/>
      <c r="BJ215" s="16">
        <f>AS215/'2018-19 disagg'!AS215-1</f>
        <v>1.5742023636868385E-2</v>
      </c>
      <c r="BK215" s="16">
        <f>AT215/'2018-19 disagg'!AT215-1</f>
        <v>2.1083050310460427E-2</v>
      </c>
      <c r="BL215" s="16">
        <f>AU215/'2018-19 disagg'!AU215-1</f>
        <v>3.7397973329112544E-2</v>
      </c>
      <c r="BM215" s="16">
        <f>AW215/'2018-19 disagg'!AW215-1</f>
        <v>1.9530799285777167E-2</v>
      </c>
    </row>
    <row r="216" spans="1:65" x14ac:dyDescent="0.2">
      <c r="A216" s="156" t="s">
        <v>477</v>
      </c>
      <c r="B216" s="156" t="s">
        <v>478</v>
      </c>
      <c r="D216" s="56">
        <f>VLOOKUP(A216,'2019-20'!$A$12:$AMX424,32,FALSE)</f>
        <v>960367.40195200953</v>
      </c>
      <c r="E216" s="56">
        <v>1667.956645224054</v>
      </c>
      <c r="F216" s="16">
        <f>VLOOKUP(A216,'2019-20'!$A$12:$AMX424,34,FALSE)</f>
        <v>2.3985577938151037E-2</v>
      </c>
      <c r="G216" s="16">
        <f>VLOOKUP(A216,'2019-20'!$A$12:$AMX424,35,FALSE)</f>
        <v>1.7445546652931965E-2</v>
      </c>
      <c r="H216" s="56"/>
      <c r="I216" s="56">
        <v>976386.39237849321</v>
      </c>
      <c r="J216" s="56">
        <v>1695.7782700286089</v>
      </c>
      <c r="K216" s="16">
        <f t="shared" si="57"/>
        <v>-1.6406404832682187E-2</v>
      </c>
      <c r="L216" s="58">
        <f t="shared" si="57"/>
        <v>-1.6406404832682187E-2</v>
      </c>
      <c r="M216" s="10"/>
      <c r="N216" s="56">
        <v>737661</v>
      </c>
      <c r="O216" s="56">
        <v>81054</v>
      </c>
      <c r="P216" s="56">
        <v>141454</v>
      </c>
      <c r="R216" s="56">
        <f t="shared" si="58"/>
        <v>141454</v>
      </c>
      <c r="S216" s="56">
        <f t="shared" si="59"/>
        <v>198.40195200953167</v>
      </c>
      <c r="U216" s="16">
        <v>-2.4705669675547437E-2</v>
      </c>
      <c r="V216" s="16">
        <v>6.2720399559517803E-2</v>
      </c>
      <c r="W216" s="56">
        <f t="shared" si="60"/>
        <v>1</v>
      </c>
      <c r="X216" s="56">
        <f t="shared" si="61"/>
        <v>7563.4706064024931</v>
      </c>
      <c r="Y216" s="56">
        <f t="shared" si="61"/>
        <v>762.70296527285745</v>
      </c>
      <c r="AA216" s="56">
        <f t="shared" si="73"/>
        <v>198.40195200953167</v>
      </c>
      <c r="AB216" s="56">
        <v>0</v>
      </c>
      <c r="AC216" s="56">
        <f t="shared" si="62"/>
        <v>0</v>
      </c>
      <c r="AE216" s="56">
        <v>0</v>
      </c>
      <c r="AF216" s="56">
        <f t="shared" si="63"/>
        <v>0</v>
      </c>
      <c r="AG216" s="56">
        <f t="shared" si="64"/>
        <v>0</v>
      </c>
      <c r="AI216" s="56">
        <f t="shared" si="65"/>
        <v>0</v>
      </c>
      <c r="AJ216" s="56">
        <f t="shared" si="66"/>
        <v>0</v>
      </c>
      <c r="AK216" s="56">
        <f t="shared" si="67"/>
        <v>0</v>
      </c>
      <c r="AM216" s="56">
        <f t="shared" si="68"/>
        <v>737859</v>
      </c>
      <c r="AN216" s="56">
        <f t="shared" si="69"/>
        <v>81054</v>
      </c>
      <c r="AO216" s="56">
        <f t="shared" si="70"/>
        <v>141454</v>
      </c>
      <c r="AP216" s="56"/>
      <c r="AQ216" s="56">
        <f t="shared" si="71"/>
        <v>960367</v>
      </c>
      <c r="AR216" s="1"/>
      <c r="AS216" s="56">
        <v>1281.5062441591238</v>
      </c>
      <c r="AT216" s="56">
        <v>140.7737889136998</v>
      </c>
      <c r="AU216" s="56">
        <v>245.67591404493905</v>
      </c>
      <c r="AV216" s="56"/>
      <c r="AW216" s="56">
        <v>1667.9559471177627</v>
      </c>
      <c r="AX216" s="1"/>
      <c r="AY216" s="16">
        <v>-2.4443885092379602E-2</v>
      </c>
      <c r="AZ216" s="16">
        <v>6.2720399559517803E-2</v>
      </c>
      <c r="BA216" s="16">
        <v>-1.610246050243902E-2</v>
      </c>
      <c r="BB216" s="16">
        <f t="shared" si="72"/>
        <v>-1.6406816505778687E-2</v>
      </c>
      <c r="BC216" s="16"/>
      <c r="BD216" s="1"/>
      <c r="BE216" s="16">
        <f>AM216/'2018-19 disagg'!AM216-1</f>
        <v>2.1057453068047627E-2</v>
      </c>
      <c r="BF216" s="16">
        <f>AN216/'2018-19 disagg'!AN216-1</f>
        <v>1.6389331260109996E-2</v>
      </c>
      <c r="BG216" s="16">
        <f>AO216/'2018-19 disagg'!AO216-1</f>
        <v>4.4071949986345116E-2</v>
      </c>
      <c r="BH216" s="16">
        <f>AQ216/'2018-19 disagg'!AQ216-1</f>
        <v>2.398514935940077E-2</v>
      </c>
      <c r="BI216" s="1"/>
      <c r="BJ216" s="16">
        <f>AS216/'2018-19 disagg'!AS216-1</f>
        <v>1.453612324569109E-2</v>
      </c>
      <c r="BK216" s="16">
        <f>AT216/'2018-19 disagg'!AT216-1</f>
        <v>9.8978159813614131E-3</v>
      </c>
      <c r="BL216" s="16">
        <f>AU216/'2018-19 disagg'!AU216-1</f>
        <v>3.740363027164828E-2</v>
      </c>
      <c r="BM216" s="16">
        <f>AW216/'2018-19 disagg'!AW216-1</f>
        <v>1.7445120811445447E-2</v>
      </c>
    </row>
    <row r="217" spans="1:65" x14ac:dyDescent="0.2">
      <c r="A217" s="156" t="s">
        <v>479</v>
      </c>
      <c r="B217" s="156" t="s">
        <v>480</v>
      </c>
      <c r="D217" s="56">
        <f>VLOOKUP(A217,'2019-20'!$A$12:$AMX425,32,FALSE)</f>
        <v>533916</v>
      </c>
      <c r="E217" s="56">
        <v>1828.3521457175789</v>
      </c>
      <c r="F217" s="16">
        <f>VLOOKUP(A217,'2019-20'!$A$12:$AMX425,34,FALSE)</f>
        <v>2.287069569981881E-2</v>
      </c>
      <c r="G217" s="16">
        <f>VLOOKUP(A217,'2019-20'!$A$12:$AMX425,35,FALSE)</f>
        <v>1.7969557596938746E-2</v>
      </c>
      <c r="H217" s="56"/>
      <c r="I217" s="56">
        <v>519410.2220071645</v>
      </c>
      <c r="J217" s="56">
        <v>1778.6782825658777</v>
      </c>
      <c r="K217" s="16">
        <f t="shared" si="57"/>
        <v>2.7927401845848632E-2</v>
      </c>
      <c r="L217" s="58">
        <f t="shared" si="57"/>
        <v>2.7927401845848632E-2</v>
      </c>
      <c r="M217" s="10"/>
      <c r="N217" s="56">
        <v>416174</v>
      </c>
      <c r="O217" s="56">
        <v>38973</v>
      </c>
      <c r="P217" s="56">
        <v>78769</v>
      </c>
      <c r="R217" s="56">
        <f t="shared" si="58"/>
        <v>78769</v>
      </c>
      <c r="S217" s="56">
        <f t="shared" si="59"/>
        <v>0</v>
      </c>
      <c r="U217" s="16">
        <v>5.1850551657039334E-2</v>
      </c>
      <c r="V217" s="16">
        <v>-4.0310313500307893E-2</v>
      </c>
      <c r="W217" s="56">
        <f t="shared" si="60"/>
        <v>3</v>
      </c>
      <c r="X217" s="56">
        <f t="shared" si="61"/>
        <v>3956.5886935589633</v>
      </c>
      <c r="Y217" s="56">
        <f t="shared" si="61"/>
        <v>406.10001908166282</v>
      </c>
      <c r="AA217" s="56">
        <f t="shared" si="73"/>
        <v>0</v>
      </c>
      <c r="AB217" s="56">
        <v>0</v>
      </c>
      <c r="AC217" s="56">
        <f t="shared" si="62"/>
        <v>0</v>
      </c>
      <c r="AE217" s="56">
        <v>0</v>
      </c>
      <c r="AF217" s="56">
        <f t="shared" si="63"/>
        <v>0</v>
      </c>
      <c r="AG217" s="56">
        <f t="shared" si="64"/>
        <v>0</v>
      </c>
      <c r="AI217" s="56">
        <f t="shared" si="65"/>
        <v>0</v>
      </c>
      <c r="AJ217" s="56">
        <f t="shared" si="66"/>
        <v>0</v>
      </c>
      <c r="AK217" s="56">
        <f t="shared" si="67"/>
        <v>0</v>
      </c>
      <c r="AM217" s="56">
        <f t="shared" si="68"/>
        <v>416174</v>
      </c>
      <c r="AN217" s="56">
        <f t="shared" si="69"/>
        <v>38973</v>
      </c>
      <c r="AO217" s="56">
        <f t="shared" si="70"/>
        <v>78769</v>
      </c>
      <c r="AP217" s="56"/>
      <c r="AQ217" s="56">
        <f t="shared" si="71"/>
        <v>533916</v>
      </c>
      <c r="AR217" s="1"/>
      <c r="AS217" s="56">
        <v>1425.1541925918452</v>
      </c>
      <c r="AT217" s="56">
        <v>133.45988540341779</v>
      </c>
      <c r="AU217" s="56">
        <v>269.7380677223158</v>
      </c>
      <c r="AV217" s="56"/>
      <c r="AW217" s="56">
        <v>1828.3521457175789</v>
      </c>
      <c r="AX217" s="1"/>
      <c r="AY217" s="16">
        <v>5.1850551657039334E-2</v>
      </c>
      <c r="AZ217" s="16">
        <v>-4.0310313500307893E-2</v>
      </c>
      <c r="BA217" s="16">
        <v>-5.2589363824651403E-2</v>
      </c>
      <c r="BB217" s="16">
        <f t="shared" si="72"/>
        <v>2.7927401845848632E-2</v>
      </c>
      <c r="BC217" s="16"/>
      <c r="BD217" s="1"/>
      <c r="BE217" s="16">
        <f>AM217/'2018-19 disagg'!AM217-1</f>
        <v>1.85414515000073E-2</v>
      </c>
      <c r="BF217" s="16">
        <f>AN217/'2018-19 disagg'!AN217-1</f>
        <v>3.0622768742562423E-2</v>
      </c>
      <c r="BG217" s="16">
        <f>AO217/'2018-19 disagg'!AO217-1</f>
        <v>4.2400582280156085E-2</v>
      </c>
      <c r="BH217" s="16">
        <f>AQ217/'2018-19 disagg'!AQ217-1</f>
        <v>2.287069569981881E-2</v>
      </c>
      <c r="BI217" s="1"/>
      <c r="BJ217" s="16">
        <f>AS217/'2018-19 disagg'!AS217-1</f>
        <v>1.3661057195726301E-2</v>
      </c>
      <c r="BK217" s="16">
        <f>AT217/'2018-19 disagg'!AT217-1</f>
        <v>2.5684486178778609E-2</v>
      </c>
      <c r="BL217" s="16">
        <f>AU217/'2018-19 disagg'!AU217-1</f>
        <v>3.7405865710646413E-2</v>
      </c>
      <c r="BM217" s="16">
        <f>AW217/'2018-19 disagg'!AW217-1</f>
        <v>1.7969557596938746E-2</v>
      </c>
    </row>
    <row r="218" spans="1:65" x14ac:dyDescent="0.2">
      <c r="A218" s="156" t="s">
        <v>481</v>
      </c>
      <c r="B218" s="156" t="s">
        <v>482</v>
      </c>
      <c r="D218" s="56">
        <f>VLOOKUP(A218,'2019-20'!$A$12:$AMX426,32,FALSE)</f>
        <v>404957.08923557628</v>
      </c>
      <c r="E218" s="56">
        <v>1484.8556972859399</v>
      </c>
      <c r="F218" s="16">
        <f>VLOOKUP(A218,'2019-20'!$A$12:$AMX426,34,FALSE)</f>
        <v>2.6980988023818986E-2</v>
      </c>
      <c r="G218" s="16">
        <f>VLOOKUP(A218,'2019-20'!$A$12:$AMX426,35,FALSE)</f>
        <v>1.8828486841384384E-2</v>
      </c>
      <c r="H218" s="56"/>
      <c r="I218" s="56">
        <v>412791.62495256175</v>
      </c>
      <c r="J218" s="56">
        <v>1513.5825804648848</v>
      </c>
      <c r="K218" s="16">
        <f t="shared" si="57"/>
        <v>-1.8979396003700022E-2</v>
      </c>
      <c r="L218" s="58">
        <f t="shared" si="57"/>
        <v>-1.89793960036998E-2</v>
      </c>
      <c r="M218" s="10"/>
      <c r="N218" s="56">
        <v>298458</v>
      </c>
      <c r="O218" s="56">
        <v>34830</v>
      </c>
      <c r="P218" s="56">
        <v>71407</v>
      </c>
      <c r="R218" s="56">
        <f t="shared" si="58"/>
        <v>71407</v>
      </c>
      <c r="S218" s="56">
        <f t="shared" si="59"/>
        <v>262.08923557627713</v>
      </c>
      <c r="U218" s="16">
        <v>-3.7725899652885753E-2</v>
      </c>
      <c r="V218" s="16">
        <v>4.5912804130330276E-2</v>
      </c>
      <c r="W218" s="56">
        <f t="shared" si="60"/>
        <v>1</v>
      </c>
      <c r="X218" s="56">
        <f t="shared" si="61"/>
        <v>3101.5902838114357</v>
      </c>
      <c r="Y218" s="56">
        <f t="shared" si="61"/>
        <v>333.01055176354703</v>
      </c>
      <c r="AA218" s="56">
        <f t="shared" si="73"/>
        <v>262.08923557627713</v>
      </c>
      <c r="AB218" s="56">
        <v>0</v>
      </c>
      <c r="AC218" s="56">
        <f t="shared" si="62"/>
        <v>0</v>
      </c>
      <c r="AE218" s="56">
        <v>0</v>
      </c>
      <c r="AF218" s="56">
        <f t="shared" si="63"/>
        <v>0</v>
      </c>
      <c r="AG218" s="56">
        <f t="shared" si="64"/>
        <v>0</v>
      </c>
      <c r="AI218" s="56">
        <f t="shared" si="65"/>
        <v>0</v>
      </c>
      <c r="AJ218" s="56">
        <f t="shared" si="66"/>
        <v>0</v>
      </c>
      <c r="AK218" s="56">
        <f t="shared" si="67"/>
        <v>0</v>
      </c>
      <c r="AM218" s="56">
        <f t="shared" si="68"/>
        <v>298720</v>
      </c>
      <c r="AN218" s="56">
        <f t="shared" si="69"/>
        <v>34830</v>
      </c>
      <c r="AO218" s="56">
        <f t="shared" si="70"/>
        <v>71407</v>
      </c>
      <c r="AP218" s="56"/>
      <c r="AQ218" s="56">
        <f t="shared" si="71"/>
        <v>404957</v>
      </c>
      <c r="AR218" s="1"/>
      <c r="AS218" s="56">
        <v>1095.3162833389131</v>
      </c>
      <c r="AT218" s="56">
        <v>127.71112127977483</v>
      </c>
      <c r="AU218" s="56">
        <v>261.82796546726621</v>
      </c>
      <c r="AV218" s="56"/>
      <c r="AW218" s="56">
        <v>1484.8553700859541</v>
      </c>
      <c r="AX218" s="1"/>
      <c r="AY218" s="16">
        <v>-3.6881171703589954E-2</v>
      </c>
      <c r="AZ218" s="16">
        <v>4.5912804130330276E-2</v>
      </c>
      <c r="BA218" s="16">
        <v>2.993527279467556E-2</v>
      </c>
      <c r="BB218" s="16">
        <f t="shared" si="72"/>
        <v>-1.8979612179540029E-2</v>
      </c>
      <c r="BC218" s="16"/>
      <c r="BD218" s="1"/>
      <c r="BE218" s="16">
        <f>AM218/'2018-19 disagg'!AM218-1</f>
        <v>2.2572451613344979E-2</v>
      </c>
      <c r="BF218" s="16">
        <f>AN218/'2018-19 disagg'!AN218-1</f>
        <v>2.7251813838258698E-2</v>
      </c>
      <c r="BG218" s="16">
        <f>AO218/'2018-19 disagg'!AO218-1</f>
        <v>4.5704829686905146E-2</v>
      </c>
      <c r="BH218" s="16">
        <f>AQ218/'2018-19 disagg'!AQ218-1</f>
        <v>2.6980761720236002E-2</v>
      </c>
      <c r="BI218" s="1"/>
      <c r="BJ218" s="16">
        <f>AS218/'2018-19 disagg'!AS218-1</f>
        <v>1.4454946792789025E-2</v>
      </c>
      <c r="BK218" s="16">
        <f>AT218/'2018-19 disagg'!AT218-1</f>
        <v>1.909716275451312E-2</v>
      </c>
      <c r="BL218" s="16">
        <f>AU218/'2018-19 disagg'!AU218-1</f>
        <v>3.7403692703926961E-2</v>
      </c>
      <c r="BM218" s="16">
        <f>AW218/'2018-19 disagg'!AW218-1</f>
        <v>1.882826233427104E-2</v>
      </c>
    </row>
    <row r="219" spans="1:65" x14ac:dyDescent="0.2">
      <c r="A219" s="156" t="s">
        <v>483</v>
      </c>
      <c r="B219" s="156" t="s">
        <v>484</v>
      </c>
      <c r="D219" s="56">
        <f>VLOOKUP(A219,'2019-20'!$A$12:$AMX427,32,FALSE)</f>
        <v>364274.07938113331</v>
      </c>
      <c r="E219" s="56">
        <v>1506.1335110980965</v>
      </c>
      <c r="F219" s="16">
        <f>VLOOKUP(A219,'2019-20'!$A$12:$AMX427,34,FALSE)</f>
        <v>3.0495791671522943E-2</v>
      </c>
      <c r="G219" s="16">
        <f>VLOOKUP(A219,'2019-20'!$A$12:$AMX427,35,FALSE)</f>
        <v>1.9288701432131017E-2</v>
      </c>
      <c r="H219" s="56"/>
      <c r="I219" s="56">
        <v>371506.01717483631</v>
      </c>
      <c r="J219" s="56">
        <v>1536.0347982821249</v>
      </c>
      <c r="K219" s="16">
        <f t="shared" si="57"/>
        <v>-1.9466542826679256E-2</v>
      </c>
      <c r="L219" s="58">
        <f t="shared" si="57"/>
        <v>-1.9466542826679145E-2</v>
      </c>
      <c r="M219" s="10"/>
      <c r="N219" s="56">
        <v>277997</v>
      </c>
      <c r="O219" s="56">
        <v>31027</v>
      </c>
      <c r="P219" s="56">
        <v>54772</v>
      </c>
      <c r="R219" s="56">
        <f t="shared" si="58"/>
        <v>54772</v>
      </c>
      <c r="S219" s="56">
        <f t="shared" si="59"/>
        <v>478.07938113331329</v>
      </c>
      <c r="U219" s="16">
        <v>-1.4560048997253494E-2</v>
      </c>
      <c r="V219" s="16">
        <v>-1.4387290383967688E-2</v>
      </c>
      <c r="W219" s="56">
        <f t="shared" si="60"/>
        <v>4</v>
      </c>
      <c r="X219" s="56">
        <f t="shared" si="61"/>
        <v>2821.0445468252101</v>
      </c>
      <c r="Y219" s="56">
        <f t="shared" si="61"/>
        <v>314.79910615283427</v>
      </c>
      <c r="AA219" s="56">
        <f t="shared" si="73"/>
        <v>0</v>
      </c>
      <c r="AB219" s="56">
        <v>0</v>
      </c>
      <c r="AC219" s="56">
        <f t="shared" si="62"/>
        <v>478.07938113331329</v>
      </c>
      <c r="AE219" s="56">
        <v>0</v>
      </c>
      <c r="AF219" s="56">
        <f t="shared" si="63"/>
        <v>0</v>
      </c>
      <c r="AG219" s="56">
        <f t="shared" si="64"/>
        <v>478.07938113331329</v>
      </c>
      <c r="AI219" s="56">
        <f t="shared" si="65"/>
        <v>430.08624802288494</v>
      </c>
      <c r="AJ219" s="56">
        <f t="shared" si="66"/>
        <v>47.99313311042836</v>
      </c>
      <c r="AK219" s="56">
        <f t="shared" si="67"/>
        <v>0</v>
      </c>
      <c r="AM219" s="56">
        <f t="shared" si="68"/>
        <v>278427</v>
      </c>
      <c r="AN219" s="56">
        <f t="shared" si="69"/>
        <v>31075</v>
      </c>
      <c r="AO219" s="56">
        <f t="shared" si="70"/>
        <v>54772</v>
      </c>
      <c r="AP219" s="56"/>
      <c r="AQ219" s="56">
        <f t="shared" si="71"/>
        <v>364274</v>
      </c>
      <c r="AR219" s="1"/>
      <c r="AS219" s="56">
        <v>1151.1887856718822</v>
      </c>
      <c r="AT219" s="56">
        <v>128.48319852152895</v>
      </c>
      <c r="AU219" s="56">
        <v>226.4611986941652</v>
      </c>
      <c r="AV219" s="56"/>
      <c r="AW219" s="56">
        <v>1506.1331828875764</v>
      </c>
      <c r="AX219" s="1"/>
      <c r="AY219" s="16">
        <v>-1.3035790897593547E-2</v>
      </c>
      <c r="AZ219" s="16">
        <v>-1.2862508417887497E-2</v>
      </c>
      <c r="BA219" s="16">
        <v>-5.4377797852151022E-2</v>
      </c>
      <c r="BB219" s="16">
        <f t="shared" si="72"/>
        <v>-1.9466756500562399E-2</v>
      </c>
      <c r="BC219" s="16"/>
      <c r="BD219" s="1"/>
      <c r="BE219" s="16">
        <f>AM219/'2018-19 disagg'!AM219-1</f>
        <v>2.6296292200683302E-2</v>
      </c>
      <c r="BF219" s="16">
        <f>AN219/'2018-19 disagg'!AN219-1</f>
        <v>3.6593501901394321E-2</v>
      </c>
      <c r="BG219" s="16">
        <f>AO219/'2018-19 disagg'!AO219-1</f>
        <v>4.8809911341745948E-2</v>
      </c>
      <c r="BH219" s="16">
        <f>AQ219/'2018-19 disagg'!AQ219-1</f>
        <v>3.049556711004997E-2</v>
      </c>
      <c r="BI219" s="1"/>
      <c r="BJ219" s="16">
        <f>AS219/'2018-19 disagg'!AS219-1</f>
        <v>1.5134873345794331E-2</v>
      </c>
      <c r="BK219" s="16">
        <f>AT219/'2018-19 disagg'!AT219-1</f>
        <v>2.5320096409332749E-2</v>
      </c>
      <c r="BL219" s="16">
        <f>AU219/'2018-19 disagg'!AU219-1</f>
        <v>3.7403647080045621E-2</v>
      </c>
      <c r="BM219" s="16">
        <f>AW219/'2018-19 disagg'!AW219-1</f>
        <v>1.9288479312861817E-2</v>
      </c>
    </row>
    <row r="220" spans="1:65" x14ac:dyDescent="0.2">
      <c r="A220" s="156" t="s">
        <v>485</v>
      </c>
      <c r="B220" s="156" t="s">
        <v>486</v>
      </c>
      <c r="D220" s="56">
        <f>VLOOKUP(A220,'2019-20'!$A$12:$AMX428,32,FALSE)</f>
        <v>793630.22206102009</v>
      </c>
      <c r="E220" s="56">
        <v>1595.6413645000669</v>
      </c>
      <c r="F220" s="16">
        <f>VLOOKUP(A220,'2019-20'!$A$12:$AMX428,34,FALSE)</f>
        <v>2.7914565705822625E-2</v>
      </c>
      <c r="G220" s="16">
        <f>VLOOKUP(A220,'2019-20'!$A$12:$AMX428,35,FALSE)</f>
        <v>2.1941888128578446E-2</v>
      </c>
      <c r="H220" s="56"/>
      <c r="I220" s="56">
        <v>812588.08509796311</v>
      </c>
      <c r="J220" s="56">
        <v>1633.7572900323826</v>
      </c>
      <c r="K220" s="16">
        <f t="shared" si="57"/>
        <v>-2.3330225220638767E-2</v>
      </c>
      <c r="L220" s="58">
        <f t="shared" si="57"/>
        <v>-2.3330225220638656E-2</v>
      </c>
      <c r="M220" s="10"/>
      <c r="N220" s="56">
        <v>612089</v>
      </c>
      <c r="O220" s="56">
        <v>63485</v>
      </c>
      <c r="P220" s="56">
        <v>115626</v>
      </c>
      <c r="R220" s="56">
        <f t="shared" si="58"/>
        <v>115626</v>
      </c>
      <c r="S220" s="56">
        <f t="shared" si="59"/>
        <v>2430.2220610200893</v>
      </c>
      <c r="U220" s="16">
        <v>-2.3305492410786499E-2</v>
      </c>
      <c r="V220" s="16">
        <v>-1.6909850076426536E-2</v>
      </c>
      <c r="W220" s="56">
        <f t="shared" si="60"/>
        <v>4</v>
      </c>
      <c r="X220" s="56">
        <f t="shared" si="61"/>
        <v>6266.9442209808922</v>
      </c>
      <c r="Y220" s="56">
        <f t="shared" si="61"/>
        <v>645.76987171456653</v>
      </c>
      <c r="AA220" s="56">
        <f t="shared" si="73"/>
        <v>0</v>
      </c>
      <c r="AB220" s="56">
        <v>0</v>
      </c>
      <c r="AC220" s="56">
        <f t="shared" si="62"/>
        <v>2430.2220610200893</v>
      </c>
      <c r="AE220" s="56">
        <v>0</v>
      </c>
      <c r="AF220" s="56">
        <f t="shared" si="63"/>
        <v>0</v>
      </c>
      <c r="AG220" s="56">
        <f>AC220-AE220-AF220</f>
        <v>2430.2220610200893</v>
      </c>
      <c r="AI220" s="56">
        <f t="shared" si="65"/>
        <v>2203.1962984124366</v>
      </c>
      <c r="AJ220" s="56">
        <f t="shared" si="66"/>
        <v>227.02576260765241</v>
      </c>
      <c r="AK220" s="56">
        <f t="shared" si="67"/>
        <v>0</v>
      </c>
      <c r="AM220" s="56">
        <f t="shared" si="68"/>
        <v>614292</v>
      </c>
      <c r="AN220" s="56">
        <f t="shared" si="69"/>
        <v>63712</v>
      </c>
      <c r="AO220" s="56">
        <f t="shared" si="70"/>
        <v>115626</v>
      </c>
      <c r="AP220" s="56"/>
      <c r="AQ220" s="56">
        <f t="shared" si="71"/>
        <v>793630</v>
      </c>
      <c r="AR220" s="1"/>
      <c r="AS220" s="56">
        <v>1235.0710668955735</v>
      </c>
      <c r="AT220" s="56">
        <v>128.09681359036222</v>
      </c>
      <c r="AU220" s="56">
        <v>232.47303754707465</v>
      </c>
      <c r="AV220" s="56"/>
      <c r="AW220" s="56">
        <v>1595.6409180330104</v>
      </c>
      <c r="AX220" s="1"/>
      <c r="AY220" s="16">
        <v>-1.9790222572218852E-2</v>
      </c>
      <c r="AZ220" s="16">
        <v>-1.3394665953678664E-2</v>
      </c>
      <c r="BA220" s="16">
        <v>-4.6907614221689431E-2</v>
      </c>
      <c r="BB220" s="16">
        <f t="shared" si="72"/>
        <v>-2.3330498496883068E-2</v>
      </c>
      <c r="BC220" s="16"/>
      <c r="BD220" s="1"/>
      <c r="BE220" s="16">
        <f>AM220/'2018-19 disagg'!AM220-1</f>
        <v>2.4456870687944443E-2</v>
      </c>
      <c r="BF220" s="16">
        <f>AN220/'2018-19 disagg'!AN220-1</f>
        <v>3.3597767719537375E-2</v>
      </c>
      <c r="BG220" s="16">
        <f>AO220/'2018-19 disagg'!AO220-1</f>
        <v>4.3461781427668988E-2</v>
      </c>
      <c r="BH220" s="16">
        <f>AQ220/'2018-19 disagg'!AQ220-1</f>
        <v>2.7914278091073719E-2</v>
      </c>
      <c r="BI220" s="1"/>
      <c r="BJ220" s="16">
        <f>AS220/'2018-19 disagg'!AS220-1</f>
        <v>1.8504283980302683E-2</v>
      </c>
      <c r="BK220" s="16">
        <f>AT220/'2018-19 disagg'!AT220-1</f>
        <v>2.7592068007607384E-2</v>
      </c>
      <c r="BL220" s="16">
        <f>AU220/'2018-19 disagg'!AU220-1</f>
        <v>3.739876705607581E-2</v>
      </c>
      <c r="BM220" s="16">
        <f>AW220/'2018-19 disagg'!AW220-1</f>
        <v>2.1941602185009401E-2</v>
      </c>
    </row>
    <row r="221" spans="1:65" x14ac:dyDescent="0.2">
      <c r="A221" s="156"/>
      <c r="B221" s="156"/>
      <c r="D221" s="56"/>
      <c r="E221" s="56"/>
      <c r="F221" s="16"/>
      <c r="G221" s="16"/>
      <c r="H221" s="56"/>
      <c r="I221" s="56"/>
      <c r="J221" s="56"/>
      <c r="K221" s="16"/>
      <c r="L221" s="58"/>
      <c r="M221" s="10"/>
      <c r="N221" s="56"/>
      <c r="O221" s="56"/>
      <c r="P221" s="56"/>
      <c r="R221" s="56"/>
      <c r="S221" s="56"/>
      <c r="U221" s="56"/>
      <c r="V221" s="56"/>
      <c r="W221" s="56"/>
      <c r="X221" s="56"/>
      <c r="Y221" s="56"/>
      <c r="AA221" s="56"/>
      <c r="AB221" s="56"/>
      <c r="AC221" s="56"/>
      <c r="AE221" s="56"/>
      <c r="AF221" s="56"/>
      <c r="AG221" s="56"/>
      <c r="AI221" s="56"/>
      <c r="AJ221" s="56"/>
      <c r="AK221" s="56"/>
      <c r="AM221" s="56"/>
      <c r="AN221" s="56"/>
      <c r="AO221" s="56"/>
      <c r="AP221" s="56"/>
      <c r="AQ221" s="56"/>
      <c r="AR221" s="1"/>
      <c r="AS221" s="56"/>
      <c r="AT221" s="56"/>
      <c r="AU221" s="56"/>
      <c r="AV221" s="56"/>
      <c r="AW221" s="56"/>
      <c r="AX221" s="1"/>
      <c r="AY221" s="56"/>
      <c r="AZ221" s="56"/>
      <c r="BA221" s="56"/>
      <c r="BB221" s="56"/>
      <c r="BC221" s="56"/>
      <c r="BD221" s="1"/>
      <c r="BE221" s="16"/>
      <c r="BF221" s="16"/>
      <c r="BG221" s="16"/>
      <c r="BH221" s="16"/>
      <c r="BI221" s="1"/>
      <c r="BJ221" s="16"/>
      <c r="BK221" s="16"/>
      <c r="BL221" s="16"/>
      <c r="BM221" s="16"/>
    </row>
    <row r="222" spans="1:65" s="43" customFormat="1" x14ac:dyDescent="0.2">
      <c r="A222" s="2"/>
      <c r="B222" s="59" t="s">
        <v>12</v>
      </c>
      <c r="D222" s="24">
        <f>SUM(D12:D220)</f>
        <v>99838451.654917568</v>
      </c>
      <c r="E222" s="61">
        <v>1692.2107060040184</v>
      </c>
      <c r="F222" s="24"/>
      <c r="G222" s="25"/>
      <c r="H222" s="21"/>
      <c r="I222" s="24">
        <f>SUM(I12:I220)</f>
        <v>99838483.828704447</v>
      </c>
      <c r="J222" s="61">
        <v>1692.2112513332549</v>
      </c>
      <c r="K222" s="25">
        <f t="shared" ref="K222:L222" si="74">D222/I222-1</f>
        <v>-3.2225836821275777E-7</v>
      </c>
      <c r="L222" s="62">
        <f t="shared" si="74"/>
        <v>-3.2225836821275777E-7</v>
      </c>
      <c r="M222" s="63"/>
      <c r="N222" s="24">
        <f t="shared" ref="N222:P222" si="75">SUM(N12:N220)</f>
        <v>75160962</v>
      </c>
      <c r="O222" s="24">
        <f t="shared" si="75"/>
        <v>7992415</v>
      </c>
      <c r="P222" s="24">
        <f t="shared" si="75"/>
        <v>16596334</v>
      </c>
      <c r="R222" s="24">
        <f t="shared" ref="R222:S222" si="76">SUM(R12:R220)</f>
        <v>16596334</v>
      </c>
      <c r="S222" s="24">
        <f t="shared" si="76"/>
        <v>88740.654917549327</v>
      </c>
      <c r="U222" s="24"/>
      <c r="V222" s="24"/>
      <c r="W222" s="24"/>
      <c r="X222" s="24"/>
      <c r="Y222" s="24"/>
      <c r="AA222" s="24"/>
      <c r="AB222" s="24"/>
      <c r="AC222" s="24"/>
      <c r="AE222" s="24"/>
      <c r="AF222" s="24"/>
      <c r="AG222" s="24"/>
      <c r="AI222" s="24"/>
      <c r="AJ222" s="24"/>
      <c r="AK222" s="24"/>
      <c r="AM222" s="24">
        <f>SUM(AM12:AM220)</f>
        <v>75242387</v>
      </c>
      <c r="AN222" s="24">
        <f>SUM(AN12:AN220)</f>
        <v>7999732</v>
      </c>
      <c r="AO222" s="24">
        <f>SUM(AO12:AO220)</f>
        <v>16596334</v>
      </c>
      <c r="AP222" s="24"/>
      <c r="AQ222" s="24">
        <f>SUM(AQ12:AQ220)</f>
        <v>99838453</v>
      </c>
      <c r="AS222" s="61">
        <v>1275.3199865998333</v>
      </c>
      <c r="AT222" s="61">
        <v>135.59136696503603</v>
      </c>
      <c r="AU222" s="61">
        <v>281.2993752376085</v>
      </c>
      <c r="AV222" s="61"/>
      <c r="AW222" s="61">
        <v>1692.2107288024779</v>
      </c>
      <c r="AY222" s="25">
        <v>9.9032458612824392E-4</v>
      </c>
      <c r="AZ222" s="25">
        <v>-9.0634096792970853E-3</v>
      </c>
      <c r="BA222" s="25">
        <v>-7.853491492126885E-5</v>
      </c>
      <c r="BB222" s="25">
        <f t="shared" si="72"/>
        <v>-3.0878578338722207E-7</v>
      </c>
      <c r="BC222" s="25"/>
      <c r="BE222" s="25">
        <f>AM222/'2018-19 disagg'!AM222-1</f>
        <v>2.2355184870710199E-2</v>
      </c>
      <c r="BF222" s="25">
        <f>AN222/'2018-19 disagg'!AN222-1</f>
        <v>3.0439825772549778E-2</v>
      </c>
      <c r="BG222" s="25">
        <f>AO222/'2018-19 disagg'!AO222-1</f>
        <v>4.4714991673167059E-2</v>
      </c>
      <c r="BH222" s="25">
        <f>AQ222/'2018-19 disagg'!AQ222-1</f>
        <v>2.6653252784364589E-2</v>
      </c>
      <c r="BJ222" s="25">
        <f>AS222/'2018-19 disagg'!AS222-1</f>
        <v>1.530913862612171E-2</v>
      </c>
      <c r="BK222" s="25">
        <f>AT222/'2018-19 disagg'!AT222-1</f>
        <v>2.3338060386014936E-2</v>
      </c>
      <c r="BL222" s="25">
        <f>AU222/'2018-19 disagg'!AU222-1</f>
        <v>3.7514842201948673E-2</v>
      </c>
      <c r="BM222" s="25">
        <f>AW222/'2018-19 disagg'!AW222-1</f>
        <v>1.9577584363716038E-2</v>
      </c>
    </row>
    <row r="223" spans="1:65" x14ac:dyDescent="0.2">
      <c r="D223" s="3"/>
      <c r="E223" s="3"/>
      <c r="F223" s="3"/>
      <c r="G223" s="3"/>
      <c r="H223" s="3"/>
      <c r="I223" s="3"/>
      <c r="J223" s="3"/>
      <c r="K223" s="3"/>
      <c r="L223" s="4"/>
      <c r="N223" s="3"/>
      <c r="O223" s="3"/>
      <c r="P223" s="3"/>
      <c r="R223" s="3"/>
      <c r="S223" s="3"/>
      <c r="U223" s="3"/>
      <c r="V223" s="3"/>
      <c r="W223" s="3"/>
      <c r="X223" s="3"/>
      <c r="Y223" s="3"/>
      <c r="AA223" s="3"/>
      <c r="AB223" s="3"/>
      <c r="AC223" s="3"/>
      <c r="AE223" s="3"/>
      <c r="AF223" s="3"/>
      <c r="AG223" s="3"/>
      <c r="AI223" s="3"/>
      <c r="AJ223" s="3"/>
      <c r="AK223" s="3"/>
      <c r="AM223" s="3"/>
      <c r="AN223" s="3"/>
      <c r="AO223" s="3"/>
      <c r="AP223" s="3"/>
      <c r="AQ223" s="3"/>
      <c r="AR223" s="1"/>
      <c r="AS223" s="3"/>
      <c r="AT223" s="3"/>
      <c r="AU223" s="3"/>
      <c r="AV223" s="3"/>
      <c r="AW223" s="3"/>
      <c r="AX223" s="1"/>
      <c r="AY223" s="3"/>
      <c r="AZ223" s="3"/>
      <c r="BA223" s="3"/>
      <c r="BB223" s="3"/>
      <c r="BC223" s="3"/>
      <c r="BD223" s="1"/>
      <c r="BE223" s="16"/>
      <c r="BF223" s="16"/>
      <c r="BG223" s="16"/>
      <c r="BH223" s="16"/>
      <c r="BI223" s="1"/>
      <c r="BJ223" s="16"/>
      <c r="BK223" s="16"/>
      <c r="BL223" s="16"/>
      <c r="BM223" s="16"/>
    </row>
    <row r="224" spans="1:65" x14ac:dyDescent="0.2">
      <c r="AQ224" s="64"/>
      <c r="AR224" s="1"/>
      <c r="AV224" s="64"/>
      <c r="AX224" s="1"/>
      <c r="BA224" s="64"/>
      <c r="BD224" s="1"/>
      <c r="BE224" s="178"/>
      <c r="BF224" s="178"/>
      <c r="BG224" s="178"/>
      <c r="BH224" s="178"/>
      <c r="BI224" s="1"/>
      <c r="BL224" s="178"/>
      <c r="BM224" s="178"/>
    </row>
    <row r="225" spans="2:65" x14ac:dyDescent="0.2">
      <c r="B225" s="43" t="s">
        <v>513</v>
      </c>
      <c r="D225" s="1"/>
      <c r="AQ225" s="64"/>
      <c r="AR225" s="1"/>
      <c r="AV225" s="64"/>
      <c r="AX225" s="1"/>
      <c r="BA225" s="64"/>
      <c r="BD225" s="1"/>
      <c r="BE225" s="178"/>
      <c r="BF225" s="178"/>
      <c r="BG225" s="178"/>
      <c r="BH225" s="178"/>
      <c r="BI225" s="1"/>
      <c r="BL225" s="178"/>
      <c r="BM225" s="178"/>
    </row>
    <row r="226" spans="2:65" x14ac:dyDescent="0.2">
      <c r="D226" s="1"/>
      <c r="AQ226" s="64"/>
      <c r="AR226" s="1"/>
      <c r="AV226" s="64"/>
      <c r="AX226" s="1"/>
      <c r="BA226" s="64"/>
      <c r="BD226" s="1"/>
      <c r="BE226" s="178"/>
      <c r="BF226" s="178"/>
      <c r="BG226" s="178"/>
      <c r="BH226" s="178"/>
      <c r="BI226" s="1"/>
      <c r="BL226" s="178"/>
      <c r="BM226" s="178"/>
    </row>
    <row r="227" spans="2:65" x14ac:dyDescent="0.2">
      <c r="B227" s="1" t="s">
        <v>514</v>
      </c>
      <c r="D227" s="55">
        <v>29608480.302214421</v>
      </c>
      <c r="E227" s="166">
        <v>1818.2680862159614</v>
      </c>
      <c r="F227" s="171">
        <f>VLOOKUP(B227,'2019-20'!$B$12:$AMX435,33,FALSE)</f>
        <v>2.3734690161370864E-2</v>
      </c>
      <c r="G227" s="171">
        <f>VLOOKUP(B227,'2019-20'!$B$12:$AMX435,34,FALSE)</f>
        <v>1.9695747960745136E-2</v>
      </c>
      <c r="I227" s="175">
        <v>29064326.035454817</v>
      </c>
      <c r="J227" s="175">
        <v>1784.8513648196513</v>
      </c>
      <c r="K227" s="171">
        <f t="shared" ref="K227:L230" si="77">D227/I227-1</f>
        <v>1.8722411319491927E-2</v>
      </c>
      <c r="L227" s="170">
        <f t="shared" si="77"/>
        <v>1.8722411319491927E-2</v>
      </c>
      <c r="N227" s="55">
        <v>22632999</v>
      </c>
      <c r="O227" s="55">
        <v>2290497</v>
      </c>
      <c r="P227" s="55">
        <v>4680225</v>
      </c>
      <c r="R227" s="55">
        <v>4680225</v>
      </c>
      <c r="S227" s="55">
        <v>4759.3022144177521</v>
      </c>
      <c r="U227" s="171">
        <v>1.7078428565002968E-2</v>
      </c>
      <c r="V227" s="171">
        <v>-3.3114479534822605E-3</v>
      </c>
      <c r="AA227" s="55">
        <v>741.04980515295756</v>
      </c>
      <c r="AB227" s="55">
        <v>0</v>
      </c>
      <c r="AC227" s="55">
        <v>4018.2524092647946</v>
      </c>
      <c r="AE227" s="55">
        <v>0</v>
      </c>
      <c r="AF227" s="55">
        <v>6.1497541734856807</v>
      </c>
      <c r="AG227" s="55">
        <v>4012.1026550913089</v>
      </c>
      <c r="AI227" s="55">
        <v>3628.2593098887992</v>
      </c>
      <c r="AJ227" s="55">
        <v>383.84334520251002</v>
      </c>
      <c r="AK227" s="55">
        <v>0</v>
      </c>
      <c r="AM227" s="55">
        <v>22637369</v>
      </c>
      <c r="AN227" s="55">
        <v>2290888</v>
      </c>
      <c r="AO227" s="55">
        <v>4680225</v>
      </c>
      <c r="AP227" s="55"/>
      <c r="AQ227" s="55">
        <v>29608482</v>
      </c>
      <c r="AR227" s="1"/>
      <c r="AS227" s="175">
        <v>1390.1694780841592</v>
      </c>
      <c r="AT227" s="175">
        <v>140.68430723151897</v>
      </c>
      <c r="AU227" s="175">
        <v>287.41440516194416</v>
      </c>
      <c r="AV227" s="175"/>
      <c r="AW227" s="175">
        <v>1818.2681904776223</v>
      </c>
      <c r="AX227" s="1"/>
      <c r="AY227" s="171">
        <v>1.7274806991601555E-2</v>
      </c>
      <c r="AZ227" s="171">
        <v>-3.141307925422776E-3</v>
      </c>
      <c r="BA227" s="171">
        <v>3.6993071025295698E-2</v>
      </c>
      <c r="BB227" s="171">
        <f t="shared" ref="BB227:BB232" si="78">SUM(AM227:AO227)/I227-1</f>
        <v>1.8722469734250291E-2</v>
      </c>
      <c r="BC227" s="171"/>
      <c r="BD227" s="1"/>
      <c r="BE227" s="179">
        <f>AM227/'2018-19 disagg'!AM227-1</f>
        <v>1.9891042793096281E-2</v>
      </c>
      <c r="BF227" s="179">
        <f>AN227/'2018-19 disagg'!AN227-1</f>
        <v>2.6118707717004863E-2</v>
      </c>
      <c r="BG227" s="179">
        <f>AO227/'2018-19 disagg'!AO227-1</f>
        <v>4.1536156368898736E-2</v>
      </c>
      <c r="BH227" s="179">
        <f>AQ227/'2018-19 disagg'!AQ227-1</f>
        <v>2.3734748863539101E-2</v>
      </c>
      <c r="BI227" s="1"/>
      <c r="BJ227" s="179">
        <f>AS227/'2018-19 disagg'!AS227-1</f>
        <v>1.5867264940918613E-2</v>
      </c>
      <c r="BK227" s="179">
        <f>AT227/'2018-19 disagg'!AT227-1</f>
        <v>2.2070359847893961E-2</v>
      </c>
      <c r="BL227" s="179">
        <f>AU227/'2018-19 disagg'!AU227-1</f>
        <v>3.7426982013605059E-2</v>
      </c>
      <c r="BM227" s="179">
        <f>AW227/'2018-19 disagg'!AW227-1</f>
        <v>1.9695806431315743E-2</v>
      </c>
    </row>
    <row r="228" spans="2:65" x14ac:dyDescent="0.2">
      <c r="B228" s="1" t="s">
        <v>515</v>
      </c>
      <c r="D228" s="55">
        <v>29208794.127097815</v>
      </c>
      <c r="E228" s="166">
        <v>1639.5328024347411</v>
      </c>
      <c r="F228" s="171">
        <f>VLOOKUP(B228,'2019-20'!$B$12:$AMX436,33,FALSE)</f>
        <v>2.7421724436502704E-2</v>
      </c>
      <c r="G228" s="171">
        <f>VLOOKUP(B228,'2019-20'!$B$12:$AMX436,34,FALSE)</f>
        <v>2.0387236102272555E-2</v>
      </c>
      <c r="I228" s="175">
        <v>29633707.032816149</v>
      </c>
      <c r="J228" s="175">
        <v>1663.3837921083189</v>
      </c>
      <c r="K228" s="171">
        <f t="shared" si="77"/>
        <v>-1.4338837366779322E-2</v>
      </c>
      <c r="L228" s="170">
        <f t="shared" si="77"/>
        <v>-1.4338837366779211E-2</v>
      </c>
      <c r="N228" s="55">
        <v>22137047</v>
      </c>
      <c r="O228" s="55">
        <v>2395641</v>
      </c>
      <c r="P228" s="55">
        <v>4625978</v>
      </c>
      <c r="R228" s="55">
        <v>4625978</v>
      </c>
      <c r="S228" s="55">
        <v>50128.127097815523</v>
      </c>
      <c r="U228" s="171">
        <v>-1.1021481876832828E-2</v>
      </c>
      <c r="V228" s="171">
        <v>9.6637584650793862E-4</v>
      </c>
      <c r="AA228" s="55">
        <v>13794.028254041448</v>
      </c>
      <c r="AB228" s="55">
        <v>0</v>
      </c>
      <c r="AC228" s="55">
        <v>36334.098843774074</v>
      </c>
      <c r="AE228" s="55">
        <v>0</v>
      </c>
      <c r="AF228" s="55">
        <v>24.329007175627737</v>
      </c>
      <c r="AG228" s="55">
        <v>36309.769836598447</v>
      </c>
      <c r="AI228" s="55">
        <v>32864.113835165939</v>
      </c>
      <c r="AJ228" s="55">
        <v>3445.6560014325014</v>
      </c>
      <c r="AK228" s="55">
        <v>0</v>
      </c>
      <c r="AM228" s="55">
        <v>22183704</v>
      </c>
      <c r="AN228" s="55">
        <v>2399112</v>
      </c>
      <c r="AO228" s="55">
        <v>4625978</v>
      </c>
      <c r="AP228" s="55"/>
      <c r="AQ228" s="55">
        <v>29208794</v>
      </c>
      <c r="AR228" s="1"/>
      <c r="AS228" s="175">
        <v>1245.2041063126419</v>
      </c>
      <c r="AT228" s="175">
        <v>134.66570388353247</v>
      </c>
      <c r="AU228" s="175">
        <v>259.66298510437849</v>
      </c>
      <c r="AV228" s="175"/>
      <c r="AW228" s="175">
        <v>1639.5327953005528</v>
      </c>
      <c r="AX228" s="1"/>
      <c r="AY228" s="171">
        <v>-8.9370678752691557E-3</v>
      </c>
      <c r="AZ228" s="171">
        <v>2.4166575417048364E-3</v>
      </c>
      <c r="BA228" s="171">
        <v>-4.7492152343512339E-2</v>
      </c>
      <c r="BB228" s="171">
        <f t="shared" si="78"/>
        <v>-1.4338841655740286E-2</v>
      </c>
      <c r="BC228" s="171"/>
      <c r="BD228" s="1"/>
      <c r="BE228" s="179">
        <f>AM228/'2018-19 disagg'!AM228-1</f>
        <v>2.3697879208775863E-2</v>
      </c>
      <c r="BF228" s="179">
        <f>AN228/'2018-19 disagg'!AN228-1</f>
        <v>2.9639265406637083E-2</v>
      </c>
      <c r="BG228" s="179">
        <f>AO228/'2018-19 disagg'!AO228-1</f>
        <v>4.4475070885107604E-2</v>
      </c>
      <c r="BH228" s="179">
        <f>AQ228/'2018-19 disagg'!AQ228-1</f>
        <v>2.7421719965826652E-2</v>
      </c>
      <c r="BI228" s="1"/>
      <c r="BJ228" s="179">
        <f>AS228/'2018-19 disagg'!AS228-1</f>
        <v>1.6688887070693603E-2</v>
      </c>
      <c r="BK228" s="179">
        <f>AT228/'2018-19 disagg'!AT228-1</f>
        <v>2.2589594148282988E-2</v>
      </c>
      <c r="BL228" s="179">
        <f>AU228/'2018-19 disagg'!AU228-1</f>
        <v>3.7323822739595114E-2</v>
      </c>
      <c r="BM228" s="179">
        <f>AW228/'2018-19 disagg'!AW228-1</f>
        <v>2.0387231662206018E-2</v>
      </c>
    </row>
    <row r="229" spans="2:65" x14ac:dyDescent="0.2">
      <c r="B229" s="1" t="s">
        <v>516</v>
      </c>
      <c r="D229" s="55">
        <v>16527785.857607082</v>
      </c>
      <c r="E229" s="166">
        <v>1677.7215305233035</v>
      </c>
      <c r="F229" s="171">
        <f>VLOOKUP(B229,'2019-20'!$B$12:$AMX437,33,FALSE)</f>
        <v>3.0635671718523216E-2</v>
      </c>
      <c r="G229" s="171">
        <f>VLOOKUP(B229,'2019-20'!$B$12:$AMX437,34,FALSE)</f>
        <v>1.8712604325428872E-2</v>
      </c>
      <c r="I229" s="175">
        <v>16468357.288225044</v>
      </c>
      <c r="J229" s="175">
        <v>1671.6889868275275</v>
      </c>
      <c r="K229" s="171">
        <f t="shared" si="77"/>
        <v>3.608651934247753E-3</v>
      </c>
      <c r="L229" s="170">
        <f t="shared" si="77"/>
        <v>3.608651934247753E-3</v>
      </c>
      <c r="N229" s="55">
        <v>11918900</v>
      </c>
      <c r="O229" s="55">
        <v>1323987</v>
      </c>
      <c r="P229" s="55">
        <v>3269723</v>
      </c>
      <c r="R229" s="55">
        <v>3269723</v>
      </c>
      <c r="S229" s="55">
        <v>15175.857607081532</v>
      </c>
      <c r="U229" s="171">
        <v>9.3289744585109968E-3</v>
      </c>
      <c r="V229" s="171">
        <v>-3.8809197783809091E-2</v>
      </c>
      <c r="AA229" s="55">
        <v>0</v>
      </c>
      <c r="AB229" s="55">
        <v>0</v>
      </c>
      <c r="AC229" s="55">
        <v>15175.857607081532</v>
      </c>
      <c r="AE229" s="55">
        <v>0</v>
      </c>
      <c r="AF229" s="55">
        <v>350.63386111822911</v>
      </c>
      <c r="AG229" s="55">
        <v>14825.223745963303</v>
      </c>
      <c r="AI229" s="55">
        <v>13385.970631738845</v>
      </c>
      <c r="AJ229" s="55">
        <v>1439.2531142244554</v>
      </c>
      <c r="AK229" s="55">
        <v>0</v>
      </c>
      <c r="AM229" s="55">
        <v>11932286</v>
      </c>
      <c r="AN229" s="55">
        <v>1325778</v>
      </c>
      <c r="AO229" s="55">
        <v>3269723</v>
      </c>
      <c r="AP229" s="55"/>
      <c r="AQ229" s="55">
        <v>16527787</v>
      </c>
      <c r="AR229" s="1"/>
      <c r="AS229" s="175">
        <v>1211.2362359382707</v>
      </c>
      <c r="AT229" s="175">
        <v>134.57860081544882</v>
      </c>
      <c r="AU229" s="175">
        <v>331.90680973292046</v>
      </c>
      <c r="AV229" s="175"/>
      <c r="AW229" s="175">
        <v>1677.7216464866399</v>
      </c>
      <c r="AX229" s="1"/>
      <c r="AY229" s="171">
        <v>1.0462541956526739E-2</v>
      </c>
      <c r="AZ229" s="171">
        <v>-3.7508963924436478E-2</v>
      </c>
      <c r="BA229" s="171">
        <v>-3.7941819667720589E-3</v>
      </c>
      <c r="BB229" s="171">
        <f t="shared" si="78"/>
        <v>3.6087213032138798E-3</v>
      </c>
      <c r="BC229" s="171"/>
      <c r="BD229" s="1"/>
      <c r="BE229" s="179">
        <f>AM229/'2018-19 disagg'!AM229-1</f>
        <v>2.4677018072423618E-2</v>
      </c>
      <c r="BF229" s="179">
        <f>AN229/'2018-19 disagg'!AN229-1</f>
        <v>3.887337805572777E-2</v>
      </c>
      <c r="BG229" s="179">
        <f>AO229/'2018-19 disagg'!AO229-1</f>
        <v>4.9534185614449999E-2</v>
      </c>
      <c r="BH229" s="179">
        <f>AQ229/'2018-19 disagg'!AQ229-1</f>
        <v>3.0635742955584355E-2</v>
      </c>
      <c r="BI229" s="1"/>
      <c r="BJ229" s="179">
        <f>AS229/'2018-19 disagg'!AS229-1</f>
        <v>1.2822884281128877E-2</v>
      </c>
      <c r="BK229" s="179">
        <f>AT229/'2018-19 disagg'!AT229-1</f>
        <v>2.6855011489008485E-2</v>
      </c>
      <c r="BL229" s="179">
        <f>AU229/'2018-19 disagg'!AU229-1</f>
        <v>3.7392487854686296E-2</v>
      </c>
      <c r="BM229" s="179">
        <f>AW229/'2018-19 disagg'!AW229-1</f>
        <v>1.8712674738373014E-2</v>
      </c>
    </row>
    <row r="230" spans="2:65" x14ac:dyDescent="0.2">
      <c r="B230" s="1" t="s">
        <v>517</v>
      </c>
      <c r="D230" s="55">
        <v>24493391.367998235</v>
      </c>
      <c r="E230" s="166">
        <v>1627.652319535566</v>
      </c>
      <c r="F230" s="171">
        <f>VLOOKUP(B230,'2019-20'!$B$12:$AMX438,33,FALSE)</f>
        <v>2.6598694258337163E-2</v>
      </c>
      <c r="G230" s="171">
        <f>VLOOKUP(B230,'2019-20'!$B$12:$AMX438,34,FALSE)</f>
        <v>1.9337999795863592E-2</v>
      </c>
      <c r="I230" s="175">
        <v>24672093.47220847</v>
      </c>
      <c r="J230" s="175">
        <v>1639.5275592707912</v>
      </c>
      <c r="K230" s="171">
        <f t="shared" si="77"/>
        <v>-7.2430863806320911E-3</v>
      </c>
      <c r="L230" s="170">
        <f t="shared" si="77"/>
        <v>-7.2430863806320911E-3</v>
      </c>
      <c r="N230" s="55">
        <v>18472016</v>
      </c>
      <c r="O230" s="55">
        <v>1982290</v>
      </c>
      <c r="P230" s="55">
        <v>4020408</v>
      </c>
      <c r="R230" s="55">
        <v>4020408</v>
      </c>
      <c r="S230" s="55">
        <v>18677.36799823452</v>
      </c>
      <c r="U230" s="171">
        <v>-1.3379144537953302E-2</v>
      </c>
      <c r="V230" s="171">
        <v>-1.0843341338682588E-2</v>
      </c>
      <c r="AA230" s="55">
        <v>1282.0807530824677</v>
      </c>
      <c r="AB230" s="55">
        <v>0</v>
      </c>
      <c r="AC230" s="55">
        <v>17395.287245152052</v>
      </c>
      <c r="AE230" s="55">
        <v>0</v>
      </c>
      <c r="AF230" s="55">
        <v>0</v>
      </c>
      <c r="AG230" s="55">
        <v>17395.287245152052</v>
      </c>
      <c r="AI230" s="55">
        <v>15731.568438705353</v>
      </c>
      <c r="AJ230" s="55">
        <v>1663.7188064466968</v>
      </c>
      <c r="AK230" s="55">
        <v>0</v>
      </c>
      <c r="AM230" s="55">
        <v>18489028</v>
      </c>
      <c r="AN230" s="55">
        <v>1983954</v>
      </c>
      <c r="AO230" s="55">
        <v>4020408</v>
      </c>
      <c r="AP230" s="55"/>
      <c r="AQ230" s="55">
        <v>24493390</v>
      </c>
      <c r="AR230" s="1"/>
      <c r="AS230" s="175">
        <v>1228.6460808149609</v>
      </c>
      <c r="AT230" s="175">
        <v>131.83912678466197</v>
      </c>
      <c r="AU230" s="175">
        <v>267.16702102874825</v>
      </c>
      <c r="AV230" s="175"/>
      <c r="AW230" s="175">
        <v>1627.6522286283712</v>
      </c>
      <c r="AX230" s="1"/>
      <c r="AY230" s="171">
        <v>-1.2470505546241739E-2</v>
      </c>
      <c r="AZ230" s="171">
        <v>-1.00130104183771E-2</v>
      </c>
      <c r="BA230" s="171">
        <v>1.8968617280138877E-2</v>
      </c>
      <c r="BB230" s="171">
        <f t="shared" si="78"/>
        <v>-7.2431418278212645E-3</v>
      </c>
      <c r="BC230" s="171"/>
      <c r="BD230" s="1"/>
      <c r="BE230" s="179">
        <f>AM230/'2018-19 disagg'!AM230-1</f>
        <v>2.2275554624701988E-2</v>
      </c>
      <c r="BF230" s="179">
        <f>AN230/'2018-19 disagg'!AN230-1</f>
        <v>3.0829478457814252E-2</v>
      </c>
      <c r="BG230" s="179">
        <f>AO230/'2018-19 disagg'!AO230-1</f>
        <v>4.4801587105650187E-2</v>
      </c>
      <c r="BH230" s="179">
        <f>AQ230/'2018-19 disagg'!AQ230-1</f>
        <v>2.6598636921026042E-2</v>
      </c>
      <c r="BI230" s="1"/>
      <c r="BJ230" s="179">
        <f>AS230/'2018-19 disagg'!AS230-1</f>
        <v>1.5045435883952907E-2</v>
      </c>
      <c r="BK230" s="179">
        <f>AT230/'2018-19 disagg'!AT230-1</f>
        <v>2.3538861464189154E-2</v>
      </c>
      <c r="BL230" s="179">
        <f>AU230/'2018-19 disagg'!AU230-1</f>
        <v>3.7412151350170175E-2</v>
      </c>
      <c r="BM230" s="179">
        <f>AW230/'2018-19 disagg'!AW230-1</f>
        <v>1.9337942864074753E-2</v>
      </c>
    </row>
    <row r="231" spans="2:65" ht="15" x14ac:dyDescent="0.25">
      <c r="B231"/>
      <c r="D231" s="1"/>
      <c r="N231" s="1"/>
      <c r="O231" s="1"/>
      <c r="P231" s="1"/>
      <c r="R231" s="1"/>
      <c r="S231" s="1"/>
      <c r="AA231" s="1"/>
      <c r="AB231" s="1"/>
      <c r="AC231" s="1"/>
      <c r="AE231" s="1"/>
      <c r="AF231" s="1"/>
      <c r="AG231" s="1"/>
      <c r="AI231" s="1"/>
      <c r="AJ231" s="1"/>
      <c r="AK231" s="1"/>
      <c r="AM231" s="1"/>
      <c r="AN231" s="1"/>
      <c r="AO231" s="1"/>
      <c r="AP231" s="1"/>
      <c r="AR231" s="1"/>
      <c r="AV231" s="64"/>
      <c r="AX231" s="1"/>
      <c r="BA231" s="64"/>
      <c r="BD231" s="1"/>
      <c r="BE231" s="179"/>
      <c r="BF231" s="179"/>
      <c r="BG231" s="179"/>
      <c r="BH231" s="179"/>
      <c r="BI231" s="1"/>
      <c r="BJ231" s="179"/>
      <c r="BK231" s="179"/>
    </row>
    <row r="232" spans="2:65" x14ac:dyDescent="0.2">
      <c r="B232" s="1" t="s">
        <v>12</v>
      </c>
      <c r="D232" s="172">
        <f>SUM(D227:D230)</f>
        <v>99838451.654917568</v>
      </c>
      <c r="E232" s="166">
        <v>1692.2107060040184</v>
      </c>
      <c r="F232" s="171">
        <f>VLOOKUP(B232,'2019-20'!$B$12:$AMX440,33,FALSE)</f>
        <v>2.665323895268723E-2</v>
      </c>
      <c r="G232" s="171">
        <f>VLOOKUP(B232,'2019-20'!$B$12:$AMX440,34,FALSE)</f>
        <v>1.9577570627366425E-2</v>
      </c>
      <c r="I232" s="175">
        <f>SUM(I227:I230)</f>
        <v>99838483.828704476</v>
      </c>
      <c r="J232" s="175">
        <v>1692.2112513332554</v>
      </c>
      <c r="K232" s="171">
        <f t="shared" ref="K232:L232" si="79">D232/I232-1</f>
        <v>-3.2225836843480238E-7</v>
      </c>
      <c r="L232" s="170">
        <f t="shared" si="79"/>
        <v>-3.2225836843480238E-7</v>
      </c>
      <c r="N232" s="172">
        <f>SUM(N227:N230)</f>
        <v>75160962</v>
      </c>
      <c r="O232" s="172">
        <f>SUM(O227:O230)</f>
        <v>7992415</v>
      </c>
      <c r="P232" s="172">
        <f>SUM(P227:P230)</f>
        <v>16596334</v>
      </c>
      <c r="R232" s="172">
        <f>SUM(R227:R230)</f>
        <v>16596334</v>
      </c>
      <c r="S232" s="172">
        <f>SUM(S227:S230)</f>
        <v>88740.654917549327</v>
      </c>
      <c r="U232" s="171">
        <v>-9.2916395838749111E-5</v>
      </c>
      <c r="V232" s="171">
        <v>-9.9697754214714829E-3</v>
      </c>
      <c r="AA232" s="172">
        <f>SUM(AA227:AA230)</f>
        <v>15817.158812276874</v>
      </c>
      <c r="AB232" s="172">
        <f>SUM(AB227:AB230)</f>
        <v>0</v>
      </c>
      <c r="AC232" s="172">
        <f>SUM(AC227:AC230)</f>
        <v>72923.496105272454</v>
      </c>
      <c r="AE232" s="172">
        <f>SUM(AE227:AE230)</f>
        <v>0</v>
      </c>
      <c r="AF232" s="172">
        <f>SUM(AF227:AF230)</f>
        <v>381.11262246734253</v>
      </c>
      <c r="AG232" s="172">
        <f>SUM(AG227:AG230)</f>
        <v>72542.383482805104</v>
      </c>
      <c r="AI232" s="172">
        <f>SUM(AI227:AI230)</f>
        <v>65609.912215498931</v>
      </c>
      <c r="AJ232" s="172">
        <f>SUM(AJ227:AJ230)</f>
        <v>6932.471267306164</v>
      </c>
      <c r="AK232" s="172">
        <f>SUM(AK227:AK230)</f>
        <v>0</v>
      </c>
      <c r="AM232" s="172">
        <f>SUM(AM227:AM230)</f>
        <v>75242387</v>
      </c>
      <c r="AN232" s="172">
        <f>SUM(AN227:AN230)</f>
        <v>7999732</v>
      </c>
      <c r="AO232" s="172">
        <f>SUM(AO227:AO230)</f>
        <v>16596334</v>
      </c>
      <c r="AP232" s="172"/>
      <c r="AQ232" s="172">
        <f>SUM(AQ227:AQ230)</f>
        <v>99838453</v>
      </c>
      <c r="AR232" s="1"/>
      <c r="AS232" s="175">
        <v>1275.3199865998333</v>
      </c>
      <c r="AT232" s="175">
        <v>135.59136696503603</v>
      </c>
      <c r="AU232" s="175">
        <v>281.2993752376085</v>
      </c>
      <c r="AV232" s="175"/>
      <c r="AW232" s="175">
        <v>1692.2107288024779</v>
      </c>
      <c r="AX232" s="1"/>
      <c r="AY232" s="171">
        <v>9.9032458612824392E-4</v>
      </c>
      <c r="AZ232" s="171">
        <v>-9.0634096792970853E-3</v>
      </c>
      <c r="BA232" s="171">
        <v>-7.853491492126885E-5</v>
      </c>
      <c r="BB232" s="171">
        <f t="shared" si="78"/>
        <v>-3.0878578372028898E-7</v>
      </c>
      <c r="BC232" s="171"/>
      <c r="BD232" s="1"/>
      <c r="BE232" s="179">
        <f>AM232/'2018-19 disagg'!AM232-1</f>
        <v>2.2355184870710199E-2</v>
      </c>
      <c r="BF232" s="179">
        <f>AN232/'2018-19 disagg'!AN232-1</f>
        <v>3.0439825772549778E-2</v>
      </c>
      <c r="BG232" s="179">
        <f>AO232/'2018-19 disagg'!AO232-1</f>
        <v>4.4714991673167059E-2</v>
      </c>
      <c r="BH232" s="179">
        <f>AQ232/'2018-19 disagg'!AQ232-1</f>
        <v>2.6653252784364589E-2</v>
      </c>
      <c r="BI232" s="1"/>
      <c r="BJ232" s="179">
        <f>AS232/'2018-19 disagg'!AS232-1</f>
        <v>1.530913862612171E-2</v>
      </c>
      <c r="BK232" s="179">
        <f>AT232/'2018-19 disagg'!AT232-1</f>
        <v>2.3338060386014936E-2</v>
      </c>
      <c r="BL232" s="179">
        <f>AU232/'2018-19 disagg'!AU232-1</f>
        <v>3.7514842201948673E-2</v>
      </c>
      <c r="BM232" s="179">
        <f>AW232/'2018-19 disagg'!AW232-1</f>
        <v>1.9577584363716038E-2</v>
      </c>
    </row>
    <row r="233" spans="2:65" ht="15" x14ac:dyDescent="0.25">
      <c r="B233"/>
      <c r="D233" s="1"/>
      <c r="N233" s="1"/>
      <c r="O233" s="1"/>
      <c r="P233" s="1"/>
      <c r="R233" s="1"/>
      <c r="S233" s="1"/>
      <c r="AA233" s="1"/>
      <c r="AB233" s="1"/>
      <c r="AC233" s="1"/>
      <c r="AE233" s="1"/>
      <c r="AF233" s="1"/>
      <c r="AG233" s="1"/>
      <c r="AI233" s="1"/>
      <c r="AJ233" s="1"/>
      <c r="AK233" s="1"/>
      <c r="AM233" s="1"/>
      <c r="AN233" s="1"/>
      <c r="AO233" s="1"/>
      <c r="AP233" s="1"/>
      <c r="AR233" s="1"/>
      <c r="AV233" s="64"/>
      <c r="AX233" s="1"/>
      <c r="BA233" s="64"/>
      <c r="BD233" s="1"/>
      <c r="BE233" s="179"/>
      <c r="BF233" s="179"/>
      <c r="BG233" s="179"/>
      <c r="BH233" s="179"/>
      <c r="BI233" s="1"/>
      <c r="BJ233" s="179"/>
      <c r="BK233" s="179"/>
    </row>
    <row r="234" spans="2:65" x14ac:dyDescent="0.2">
      <c r="B234" s="43" t="s">
        <v>518</v>
      </c>
      <c r="D234" s="1"/>
      <c r="N234" s="1"/>
      <c r="O234" s="1"/>
      <c r="P234" s="1"/>
      <c r="R234" s="1"/>
      <c r="S234" s="1"/>
      <c r="AA234" s="1"/>
      <c r="AB234" s="1"/>
      <c r="AC234" s="1"/>
      <c r="AE234" s="1"/>
      <c r="AF234" s="1"/>
      <c r="AG234" s="1"/>
      <c r="AI234" s="1"/>
      <c r="AJ234" s="1"/>
      <c r="AK234" s="1"/>
      <c r="AM234" s="1"/>
      <c r="AN234" s="1"/>
      <c r="AO234" s="1"/>
      <c r="AP234" s="1"/>
      <c r="AR234" s="1"/>
      <c r="AV234" s="64"/>
      <c r="AX234" s="1"/>
      <c r="BA234" s="64"/>
      <c r="BD234" s="1"/>
      <c r="BE234" s="179"/>
      <c r="BF234" s="179"/>
      <c r="BG234" s="179"/>
      <c r="BH234" s="179"/>
      <c r="BI234" s="1"/>
      <c r="BJ234" s="179"/>
      <c r="BK234" s="179"/>
    </row>
    <row r="235" spans="2:65" x14ac:dyDescent="0.2">
      <c r="D235" s="1"/>
      <c r="N235" s="1"/>
      <c r="O235" s="1"/>
      <c r="P235" s="1"/>
      <c r="R235" s="1"/>
      <c r="S235" s="1"/>
      <c r="AA235" s="1"/>
      <c r="AB235" s="1"/>
      <c r="AC235" s="1"/>
      <c r="AE235" s="1"/>
      <c r="AF235" s="1"/>
      <c r="AG235" s="1"/>
      <c r="AI235" s="1"/>
      <c r="AJ235" s="1"/>
      <c r="AK235" s="1"/>
      <c r="AM235" s="1"/>
      <c r="AN235" s="1"/>
      <c r="AO235" s="1"/>
      <c r="AP235" s="1"/>
      <c r="AR235" s="1"/>
      <c r="AV235" s="64"/>
      <c r="AX235" s="1"/>
      <c r="BA235" s="64"/>
      <c r="BD235" s="1"/>
      <c r="BE235" s="179"/>
      <c r="BF235" s="179"/>
      <c r="BG235" s="179"/>
      <c r="BH235" s="179"/>
      <c r="BI235" s="1"/>
      <c r="BJ235" s="179"/>
      <c r="BK235" s="179"/>
    </row>
    <row r="236" spans="2:65" x14ac:dyDescent="0.2">
      <c r="B236" s="1" t="s">
        <v>519</v>
      </c>
      <c r="D236" s="55">
        <v>2366489</v>
      </c>
      <c r="E236" s="166">
        <v>1887.8658682489802</v>
      </c>
      <c r="F236" s="171">
        <f>VLOOKUP(B236,'2019-20'!$B$12:$AMX444,33,FALSE)</f>
        <v>2.345325502030704E-2</v>
      </c>
      <c r="G236" s="171">
        <f>VLOOKUP(B236,'2019-20'!$B$12:$AMX444,34,FALSE)</f>
        <v>2.0020065516712648E-2</v>
      </c>
      <c r="I236" s="175">
        <v>2319372.0159720876</v>
      </c>
      <c r="J236" s="175">
        <v>1850.2783088049566</v>
      </c>
      <c r="K236" s="171">
        <f t="shared" ref="K236:L260" si="80">D236/I236-1</f>
        <v>2.0314543636573479E-2</v>
      </c>
      <c r="L236" s="170">
        <f t="shared" si="80"/>
        <v>2.0314543636573479E-2</v>
      </c>
      <c r="N236" s="55">
        <v>1842787</v>
      </c>
      <c r="O236" s="55">
        <v>182984</v>
      </c>
      <c r="P236" s="55">
        <v>340718</v>
      </c>
      <c r="R236" s="55">
        <v>340718</v>
      </c>
      <c r="S236" s="55">
        <v>0</v>
      </c>
      <c r="U236" s="171">
        <v>2.3110691870845468E-2</v>
      </c>
      <c r="V236" s="171">
        <v>2.693187318884771E-2</v>
      </c>
      <c r="AA236" s="55">
        <v>0</v>
      </c>
      <c r="AB236" s="55">
        <v>0</v>
      </c>
      <c r="AC236" s="55">
        <v>0</v>
      </c>
      <c r="AE236" s="55">
        <v>0</v>
      </c>
      <c r="AF236" s="55">
        <v>0</v>
      </c>
      <c r="AG236" s="55">
        <v>0</v>
      </c>
      <c r="AI236" s="55">
        <v>0</v>
      </c>
      <c r="AJ236" s="55">
        <v>0</v>
      </c>
      <c r="AK236" s="55">
        <v>0</v>
      </c>
      <c r="AM236" s="55">
        <v>1842787</v>
      </c>
      <c r="AN236" s="55">
        <v>182984</v>
      </c>
      <c r="AO236" s="55">
        <v>340718</v>
      </c>
      <c r="AP236" s="55"/>
      <c r="AQ236" s="55">
        <v>2366489</v>
      </c>
      <c r="AR236" s="1"/>
      <c r="AS236" s="175">
        <v>1470.0827596295328</v>
      </c>
      <c r="AT236" s="175">
        <v>145.9754294381556</v>
      </c>
      <c r="AU236" s="175">
        <v>271.8076791812918</v>
      </c>
      <c r="AV236" s="175"/>
      <c r="AW236" s="175">
        <v>1887.8658682489802</v>
      </c>
      <c r="AX236" s="1"/>
      <c r="AY236" s="171">
        <v>2.3110691870845468E-2</v>
      </c>
      <c r="AZ236" s="171">
        <v>2.693187318884771E-2</v>
      </c>
      <c r="BA236" s="171">
        <v>2.0352837100954257E-3</v>
      </c>
      <c r="BB236" s="171">
        <f t="shared" ref="BB236:BB260" si="81">SUM(AM236:AO236)/I236-1</f>
        <v>2.0314543636573479E-2</v>
      </c>
      <c r="BC236" s="171"/>
      <c r="BD236" s="1"/>
      <c r="BE236" s="179">
        <f>AM236/'2018-19 disagg'!AM236-1</f>
        <v>2.0474423168720612E-2</v>
      </c>
      <c r="BF236" s="179">
        <f>AN236/'2018-19 disagg'!AN236-1</f>
        <v>2.1834548845728552E-2</v>
      </c>
      <c r="BG236" s="179">
        <f>AO236/'2018-19 disagg'!AO236-1</f>
        <v>4.0770257597649184E-2</v>
      </c>
      <c r="BH236" s="179">
        <f>AQ236/'2018-19 disagg'!AQ236-1</f>
        <v>2.345325502030704E-2</v>
      </c>
      <c r="BI236" s="1"/>
      <c r="BJ236" s="179">
        <f>AS236/'2018-19 disagg'!AS236-1</f>
        <v>1.7051226201859837E-2</v>
      </c>
      <c r="BK236" s="179">
        <f>AT236/'2018-19 disagg'!AT236-1</f>
        <v>1.840678931660622E-2</v>
      </c>
      <c r="BL236" s="179">
        <f>AU236/'2018-19 disagg'!AU236-1</f>
        <v>3.7278977945637504E-2</v>
      </c>
      <c r="BM236" s="179">
        <f>AW236/'2018-19 disagg'!AW236-1</f>
        <v>2.0020065516712648E-2</v>
      </c>
    </row>
    <row r="237" spans="2:65" x14ac:dyDescent="0.2">
      <c r="B237" s="1" t="s">
        <v>520</v>
      </c>
      <c r="D237" s="55">
        <v>3841764.2002017773</v>
      </c>
      <c r="E237" s="166">
        <v>1896.2502821090748</v>
      </c>
      <c r="F237" s="171">
        <f>VLOOKUP(B237,'2019-20'!$B$12:$AMX445,33,FALSE)</f>
        <v>2.0895413767515247E-2</v>
      </c>
      <c r="G237" s="171">
        <f>VLOOKUP(B237,'2019-20'!$B$12:$AMX445,34,FALSE)</f>
        <v>1.8886937013649741E-2</v>
      </c>
      <c r="I237" s="175">
        <v>3697586.2620084495</v>
      </c>
      <c r="J237" s="175">
        <v>1825.0857228790617</v>
      </c>
      <c r="K237" s="171">
        <f t="shared" si="80"/>
        <v>3.8992447498713334E-2</v>
      </c>
      <c r="L237" s="170">
        <f t="shared" si="80"/>
        <v>3.8992447498713334E-2</v>
      </c>
      <c r="N237" s="55">
        <v>3010333</v>
      </c>
      <c r="O237" s="55">
        <v>286625</v>
      </c>
      <c r="P237" s="55">
        <v>543765</v>
      </c>
      <c r="R237" s="55">
        <v>543765</v>
      </c>
      <c r="S237" s="55">
        <v>1041.2002017773921</v>
      </c>
      <c r="U237" s="171">
        <v>5.1816444690467423E-2</v>
      </c>
      <c r="V237" s="171">
        <v>6.6746885705628589E-3</v>
      </c>
      <c r="AA237" s="55">
        <v>0</v>
      </c>
      <c r="AB237" s="55">
        <v>0</v>
      </c>
      <c r="AC237" s="55">
        <v>1041.2002017773921</v>
      </c>
      <c r="AE237" s="55">
        <v>0</v>
      </c>
      <c r="AF237" s="55">
        <v>6.1497541734856807</v>
      </c>
      <c r="AG237" s="55">
        <v>1035.0504476039064</v>
      </c>
      <c r="AI237" s="55">
        <v>945.5237447717949</v>
      </c>
      <c r="AJ237" s="55">
        <v>89.526702832111525</v>
      </c>
      <c r="AK237" s="55">
        <v>0</v>
      </c>
      <c r="AM237" s="55">
        <v>3011279</v>
      </c>
      <c r="AN237" s="55">
        <v>286721</v>
      </c>
      <c r="AO237" s="55">
        <v>543765</v>
      </c>
      <c r="AP237" s="55"/>
      <c r="AQ237" s="55">
        <v>3841765</v>
      </c>
      <c r="AR237" s="1"/>
      <c r="AS237" s="175">
        <v>1486.3324128428351</v>
      </c>
      <c r="AT237" s="175">
        <v>141.52216242424248</v>
      </c>
      <c r="AU237" s="175">
        <v>268.39610161312993</v>
      </c>
      <c r="AV237" s="175"/>
      <c r="AW237" s="175">
        <v>1896.2506768802075</v>
      </c>
      <c r="AX237" s="1"/>
      <c r="AY237" s="171">
        <v>5.2146979005666783E-2</v>
      </c>
      <c r="AZ237" s="171">
        <v>7.0118565430103974E-3</v>
      </c>
      <c r="BA237" s="171">
        <v>-1.2824424763982489E-2</v>
      </c>
      <c r="BB237" s="171">
        <f t="shared" si="81"/>
        <v>3.8992663801502569E-2</v>
      </c>
      <c r="BC237" s="171"/>
      <c r="BD237" s="1"/>
      <c r="BE237" s="179">
        <f>AM237/'2018-19 disagg'!AM237-1</f>
        <v>1.7330516648586647E-2</v>
      </c>
      <c r="BF237" s="179">
        <f>AN237/'2018-19 disagg'!AN237-1</f>
        <v>2.3798811666238207E-2</v>
      </c>
      <c r="BG237" s="179">
        <f>AO237/'2018-19 disagg'!AO237-1</f>
        <v>3.9514810885212137E-2</v>
      </c>
      <c r="BH237" s="179">
        <f>AQ237/'2018-19 disagg'!AQ237-1</f>
        <v>2.0895626302771309E-2</v>
      </c>
      <c r="BI237" s="1"/>
      <c r="BJ237" s="179">
        <f>AS237/'2018-19 disagg'!AS237-1</f>
        <v>1.5329053358486888E-2</v>
      </c>
      <c r="BK237" s="179">
        <f>AT237/'2018-19 disagg'!AT237-1</f>
        <v>2.1784622860865355E-2</v>
      </c>
      <c r="BL237" s="179">
        <f>AU237/'2018-19 disagg'!AU237-1</f>
        <v>3.7469702929190607E-2</v>
      </c>
      <c r="BM237" s="179">
        <f>AW237/'2018-19 disagg'!AW237-1</f>
        <v>1.888714913077072E-2</v>
      </c>
    </row>
    <row r="238" spans="2:65" x14ac:dyDescent="0.2">
      <c r="B238" s="1" t="s">
        <v>55</v>
      </c>
      <c r="D238" s="55">
        <v>2856399</v>
      </c>
      <c r="E238" s="166">
        <v>1851.2796043045669</v>
      </c>
      <c r="F238" s="171">
        <f>VLOOKUP(B238,'2019-20'!$B$12:$AMX446,33,FALSE)</f>
        <v>2.4144344024274789E-2</v>
      </c>
      <c r="G238" s="171">
        <f>VLOOKUP(B238,'2019-20'!$B$12:$AMX446,34,FALSE)</f>
        <v>2.1693582204389772E-2</v>
      </c>
      <c r="I238" s="175">
        <v>2813791.1708052796</v>
      </c>
      <c r="J238" s="175">
        <v>1823.6647629704682</v>
      </c>
      <c r="K238" s="171">
        <f t="shared" si="80"/>
        <v>1.514249871731832E-2</v>
      </c>
      <c r="L238" s="170">
        <f t="shared" si="80"/>
        <v>1.5142498717318098E-2</v>
      </c>
      <c r="N238" s="55">
        <v>2190019</v>
      </c>
      <c r="O238" s="55">
        <v>212170</v>
      </c>
      <c r="P238" s="55">
        <v>454210</v>
      </c>
      <c r="R238" s="55">
        <v>454210</v>
      </c>
      <c r="S238" s="55">
        <v>0</v>
      </c>
      <c r="U238" s="171">
        <v>1.9740920132678808E-2</v>
      </c>
      <c r="V238" s="171">
        <v>-2.3337029619743488E-2</v>
      </c>
      <c r="AA238" s="55">
        <v>0</v>
      </c>
      <c r="AB238" s="55">
        <v>0</v>
      </c>
      <c r="AC238" s="55">
        <v>0</v>
      </c>
      <c r="AE238" s="55">
        <v>0</v>
      </c>
      <c r="AF238" s="55">
        <v>0</v>
      </c>
      <c r="AG238" s="55">
        <v>0</v>
      </c>
      <c r="AI238" s="55">
        <v>0</v>
      </c>
      <c r="AJ238" s="55">
        <v>0</v>
      </c>
      <c r="AK238" s="55">
        <v>0</v>
      </c>
      <c r="AM238" s="55">
        <v>2190019</v>
      </c>
      <c r="AN238" s="55">
        <v>212170</v>
      </c>
      <c r="AO238" s="55">
        <v>454210</v>
      </c>
      <c r="AP238" s="55"/>
      <c r="AQ238" s="55">
        <v>2856399</v>
      </c>
      <c r="AR238" s="1"/>
      <c r="AS238" s="175">
        <v>1419.3876652874767</v>
      </c>
      <c r="AT238" s="175">
        <v>137.51089873834152</v>
      </c>
      <c r="AU238" s="175">
        <v>294.38104027874863</v>
      </c>
      <c r="AV238" s="175"/>
      <c r="AW238" s="175">
        <v>1851.2796043045669</v>
      </c>
      <c r="AX238" s="1"/>
      <c r="AY238" s="171">
        <v>1.9740920132678808E-2</v>
      </c>
      <c r="AZ238" s="171">
        <v>-2.3337029619743488E-2</v>
      </c>
      <c r="BA238" s="171">
        <v>1.1764693510012414E-2</v>
      </c>
      <c r="BB238" s="171">
        <f t="shared" si="81"/>
        <v>1.514249871731832E-2</v>
      </c>
      <c r="BC238" s="171"/>
      <c r="BD238" s="1"/>
      <c r="BE238" s="179">
        <f>AM238/'2018-19 disagg'!AM238-1</f>
        <v>2.0697610469749828E-2</v>
      </c>
      <c r="BF238" s="179">
        <f>AN238/'2018-19 disagg'!AN238-1</f>
        <v>2.6736674006145877E-2</v>
      </c>
      <c r="BG238" s="179">
        <f>AO238/'2018-19 disagg'!AO238-1</f>
        <v>3.9848536185566052E-2</v>
      </c>
      <c r="BH238" s="179">
        <f>AQ238/'2018-19 disagg'!AQ238-1</f>
        <v>2.4144344024274789E-2</v>
      </c>
      <c r="BI238" s="1"/>
      <c r="BJ238" s="179">
        <f>AS238/'2018-19 disagg'!AS238-1</f>
        <v>1.8255096630775069E-2</v>
      </c>
      <c r="BK238" s="179">
        <f>AT238/'2018-19 disagg'!AT238-1</f>
        <v>2.4279708780089448E-2</v>
      </c>
      <c r="BL238" s="179">
        <f>AU238/'2018-19 disagg'!AU238-1</f>
        <v>3.7360194472977781E-2</v>
      </c>
      <c r="BM238" s="179">
        <f>AW238/'2018-19 disagg'!AW238-1</f>
        <v>2.1693582204389772E-2</v>
      </c>
    </row>
    <row r="239" spans="2:65" x14ac:dyDescent="0.2">
      <c r="B239" s="1" t="s">
        <v>521</v>
      </c>
      <c r="D239" s="55">
        <v>5567730.059259221</v>
      </c>
      <c r="E239" s="166">
        <v>1843.5725694522757</v>
      </c>
      <c r="F239" s="171">
        <f>VLOOKUP(B239,'2019-20'!$B$12:$AMX447,33,FALSE)</f>
        <v>2.6248964671255592E-2</v>
      </c>
      <c r="G239" s="171">
        <f>VLOOKUP(B239,'2019-20'!$B$12:$AMX447,34,FALSE)</f>
        <v>2.0381786367249299E-2</v>
      </c>
      <c r="I239" s="175">
        <v>5605847.3777516037</v>
      </c>
      <c r="J239" s="175">
        <v>1856.1938786834532</v>
      </c>
      <c r="K239" s="171">
        <f t="shared" si="80"/>
        <v>-6.799564084399079E-3</v>
      </c>
      <c r="L239" s="170">
        <f t="shared" si="80"/>
        <v>-6.799564084399079E-3</v>
      </c>
      <c r="N239" s="55">
        <v>4106634</v>
      </c>
      <c r="O239" s="55">
        <v>428491</v>
      </c>
      <c r="P239" s="55">
        <v>1029903</v>
      </c>
      <c r="R239" s="55">
        <v>1029903</v>
      </c>
      <c r="S239" s="55">
        <v>2702.0592592204339</v>
      </c>
      <c r="U239" s="171">
        <v>-2.2157101210292351E-2</v>
      </c>
      <c r="V239" s="171">
        <v>-2.5115420772032993E-2</v>
      </c>
      <c r="AA239" s="55">
        <v>0</v>
      </c>
      <c r="AB239" s="55">
        <v>0</v>
      </c>
      <c r="AC239" s="55">
        <v>2702.0592592204339</v>
      </c>
      <c r="AE239" s="55">
        <v>0</v>
      </c>
      <c r="AF239" s="55">
        <v>0</v>
      </c>
      <c r="AG239" s="55">
        <v>2702.0592592204339</v>
      </c>
      <c r="AI239" s="55">
        <v>2432.6648648166506</v>
      </c>
      <c r="AJ239" s="55">
        <v>269.39439440378339</v>
      </c>
      <c r="AK239" s="55">
        <v>0</v>
      </c>
      <c r="AM239" s="55">
        <v>4109067</v>
      </c>
      <c r="AN239" s="55">
        <v>428761</v>
      </c>
      <c r="AO239" s="55">
        <v>1029903</v>
      </c>
      <c r="AP239" s="55"/>
      <c r="AQ239" s="55">
        <v>5567731</v>
      </c>
      <c r="AR239" s="1"/>
      <c r="AS239" s="175">
        <v>1360.5837794962074</v>
      </c>
      <c r="AT239" s="175">
        <v>141.97024820490233</v>
      </c>
      <c r="AU239" s="175">
        <v>341.01885324685202</v>
      </c>
      <c r="AV239" s="175"/>
      <c r="AW239" s="175">
        <v>1843.5728809479619</v>
      </c>
      <c r="AX239" s="1"/>
      <c r="AY239" s="171">
        <v>-2.1577772306680454E-2</v>
      </c>
      <c r="AZ239" s="171">
        <v>-2.4501128204880929E-2</v>
      </c>
      <c r="BA239" s="171">
        <v>6.5456748378721175E-2</v>
      </c>
      <c r="BB239" s="171">
        <f t="shared" si="81"/>
        <v>-6.7993962702016519E-3</v>
      </c>
      <c r="BC239" s="171"/>
      <c r="BD239" s="1"/>
      <c r="BE239" s="179">
        <f>AM239/'2018-19 disagg'!AM239-1</f>
        <v>2.1602221084640938E-2</v>
      </c>
      <c r="BF239" s="179">
        <f>AN239/'2018-19 disagg'!AN239-1</f>
        <v>3.0502078977095115E-2</v>
      </c>
      <c r="BG239" s="179">
        <f>AO239/'2018-19 disagg'!AO239-1</f>
        <v>4.3391971406341101E-2</v>
      </c>
      <c r="BH239" s="179">
        <f>AQ239/'2018-19 disagg'!AQ239-1</f>
        <v>2.6249138069434075E-2</v>
      </c>
      <c r="BI239" s="1"/>
      <c r="BJ239" s="179">
        <f>AS239/'2018-19 disagg'!AS239-1</f>
        <v>1.5761608725248566E-2</v>
      </c>
      <c r="BK239" s="179">
        <f>AT239/'2018-19 disagg'!AT239-1</f>
        <v>2.461058515040504E-2</v>
      </c>
      <c r="BL239" s="179">
        <f>AU239/'2018-19 disagg'!AU239-1</f>
        <v>3.7426784645669509E-2</v>
      </c>
      <c r="BM239" s="179">
        <f>AW239/'2018-19 disagg'!AW239-1</f>
        <v>2.0381958774091213E-2</v>
      </c>
    </row>
    <row r="240" spans="2:65" x14ac:dyDescent="0.2">
      <c r="B240" s="1" t="s">
        <v>522</v>
      </c>
      <c r="D240" s="55">
        <v>2319177.9929482667</v>
      </c>
      <c r="E240" s="166">
        <v>1760.3855242730374</v>
      </c>
      <c r="F240" s="171">
        <f>VLOOKUP(B240,'2019-20'!$B$12:$AMX448,33,FALSE)</f>
        <v>2.4509924238144576E-2</v>
      </c>
      <c r="G240" s="171">
        <f>VLOOKUP(B240,'2019-20'!$B$12:$AMX448,34,FALSE)</f>
        <v>2.0750823831096499E-2</v>
      </c>
      <c r="I240" s="175">
        <v>2332208.131977105</v>
      </c>
      <c r="J240" s="175">
        <v>1770.2761269759685</v>
      </c>
      <c r="K240" s="171">
        <f t="shared" si="80"/>
        <v>-5.5870395314127075E-3</v>
      </c>
      <c r="L240" s="170">
        <f t="shared" si="80"/>
        <v>-5.5870395314128185E-3</v>
      </c>
      <c r="N240" s="55">
        <v>1779680</v>
      </c>
      <c r="O240" s="55">
        <v>177736</v>
      </c>
      <c r="P240" s="55">
        <v>361487</v>
      </c>
      <c r="R240" s="55">
        <v>361487</v>
      </c>
      <c r="S240" s="55">
        <v>274.9929482669686</v>
      </c>
      <c r="U240" s="171">
        <v>-2.0894352111798686E-2</v>
      </c>
      <c r="V240" s="171">
        <v>-4.2635297986459708E-3</v>
      </c>
      <c r="AA240" s="55">
        <v>0</v>
      </c>
      <c r="AB240" s="55">
        <v>0</v>
      </c>
      <c r="AC240" s="55">
        <v>274.9929482669686</v>
      </c>
      <c r="AE240" s="55">
        <v>0</v>
      </c>
      <c r="AF240" s="55">
        <v>0</v>
      </c>
      <c r="AG240" s="55">
        <v>274.9929482669686</v>
      </c>
      <c r="AI240" s="55">
        <v>250.07070030035351</v>
      </c>
      <c r="AJ240" s="55">
        <v>24.922247966615082</v>
      </c>
      <c r="AK240" s="55">
        <v>0</v>
      </c>
      <c r="AM240" s="55">
        <v>1779930</v>
      </c>
      <c r="AN240" s="55">
        <v>177761</v>
      </c>
      <c r="AO240" s="55">
        <v>361487</v>
      </c>
      <c r="AP240" s="55"/>
      <c r="AQ240" s="55">
        <v>2319178</v>
      </c>
      <c r="AR240" s="1"/>
      <c r="AS240" s="175">
        <v>1351.0662035198102</v>
      </c>
      <c r="AT240" s="175">
        <v>134.93051940463107</v>
      </c>
      <c r="AU240" s="175">
        <v>274.38880670125542</v>
      </c>
      <c r="AV240" s="175"/>
      <c r="AW240" s="175">
        <v>1760.3855296256966</v>
      </c>
      <c r="AX240" s="1"/>
      <c r="AY240" s="171">
        <v>-2.0756812547398251E-2</v>
      </c>
      <c r="AZ240" s="171">
        <v>-4.1234714438105335E-3</v>
      </c>
      <c r="BA240" s="171">
        <v>7.5686726001475524E-2</v>
      </c>
      <c r="BB240" s="171">
        <f t="shared" si="81"/>
        <v>-5.5870365077832496E-3</v>
      </c>
      <c r="BC240" s="171"/>
      <c r="BD240" s="1"/>
      <c r="BE240" s="179">
        <f>AM240/'2018-19 disagg'!AM240-1</f>
        <v>2.0957994530203194E-2</v>
      </c>
      <c r="BF240" s="179">
        <f>AN240/'2018-19 disagg'!AN240-1</f>
        <v>2.6772408534824432E-2</v>
      </c>
      <c r="BG240" s="179">
        <f>AO240/'2018-19 disagg'!AO240-1</f>
        <v>4.1218168254233412E-2</v>
      </c>
      <c r="BH240" s="179">
        <f>AQ240/'2018-19 disagg'!AQ240-1</f>
        <v>2.4509927353287386E-2</v>
      </c>
      <c r="BI240" s="1"/>
      <c r="BJ240" s="179">
        <f>AS240/'2018-19 disagg'!AS240-1</f>
        <v>1.7211926754753026E-2</v>
      </c>
      <c r="BK240" s="179">
        <f>AT240/'2018-19 disagg'!AT240-1</f>
        <v>2.3005006689752694E-2</v>
      </c>
      <c r="BL240" s="179">
        <f>AU240/'2018-19 disagg'!AU240-1</f>
        <v>3.7397762470442686E-2</v>
      </c>
      <c r="BM240" s="179">
        <f>AW240/'2018-19 disagg'!AW240-1</f>
        <v>2.0750826934809341E-2</v>
      </c>
    </row>
    <row r="241" spans="2:65" x14ac:dyDescent="0.2">
      <c r="B241" s="1" t="s">
        <v>523</v>
      </c>
      <c r="D241" s="55">
        <v>2634371</v>
      </c>
      <c r="E241" s="166">
        <v>2053.2702896098876</v>
      </c>
      <c r="F241" s="171">
        <f>VLOOKUP(B241,'2019-20'!$B$12:$AMX449,33,FALSE)</f>
        <v>2.161849823064621E-2</v>
      </c>
      <c r="G241" s="171">
        <f>VLOOKUP(B241,'2019-20'!$B$12:$AMX449,34,FALSE)</f>
        <v>1.9632408164457216E-2</v>
      </c>
      <c r="I241" s="175">
        <v>2530878.6110472474</v>
      </c>
      <c r="J241" s="175">
        <v>1972.606690049523</v>
      </c>
      <c r="K241" s="171">
        <f t="shared" si="80"/>
        <v>4.0891881776158545E-2</v>
      </c>
      <c r="L241" s="170">
        <f t="shared" si="80"/>
        <v>4.0891881776158545E-2</v>
      </c>
      <c r="N241" s="55">
        <v>2025846</v>
      </c>
      <c r="O241" s="55">
        <v>195263</v>
      </c>
      <c r="P241" s="55">
        <v>413262</v>
      </c>
      <c r="R241" s="55">
        <v>413262</v>
      </c>
      <c r="S241" s="55">
        <v>0</v>
      </c>
      <c r="U241" s="171">
        <v>4.3482868039753431E-2</v>
      </c>
      <c r="V241" s="171">
        <v>1.9974625713765626E-3</v>
      </c>
      <c r="AA241" s="55">
        <v>0</v>
      </c>
      <c r="AB241" s="55">
        <v>0</v>
      </c>
      <c r="AC241" s="55">
        <v>0</v>
      </c>
      <c r="AE241" s="55">
        <v>0</v>
      </c>
      <c r="AF241" s="55">
        <v>0</v>
      </c>
      <c r="AG241" s="55">
        <v>0</v>
      </c>
      <c r="AI241" s="55">
        <v>0</v>
      </c>
      <c r="AJ241" s="55">
        <v>0</v>
      </c>
      <c r="AK241" s="55">
        <v>0</v>
      </c>
      <c r="AM241" s="55">
        <v>2025846</v>
      </c>
      <c r="AN241" s="55">
        <v>195263</v>
      </c>
      <c r="AO241" s="55">
        <v>413262</v>
      </c>
      <c r="AP241" s="55"/>
      <c r="AQ241" s="55">
        <v>2634371</v>
      </c>
      <c r="AR241" s="1"/>
      <c r="AS241" s="175">
        <v>1578.9763109011724</v>
      </c>
      <c r="AT241" s="175">
        <v>152.19106062133827</v>
      </c>
      <c r="AU241" s="175">
        <v>322.10291808737696</v>
      </c>
      <c r="AV241" s="175"/>
      <c r="AW241" s="175">
        <v>2053.2702896098876</v>
      </c>
      <c r="AX241" s="1"/>
      <c r="AY241" s="171">
        <v>4.3482868039753431E-2</v>
      </c>
      <c r="AZ241" s="171">
        <v>1.9974625713765626E-3</v>
      </c>
      <c r="BA241" s="171">
        <v>4.7352688223326611E-2</v>
      </c>
      <c r="BB241" s="171">
        <f t="shared" si="81"/>
        <v>4.0891881776158545E-2</v>
      </c>
      <c r="BC241" s="171"/>
      <c r="BD241" s="1"/>
      <c r="BE241" s="179">
        <f>AM241/'2018-19 disagg'!AM241-1</f>
        <v>1.7811037507630356E-2</v>
      </c>
      <c r="BF241" s="179">
        <f>AN241/'2018-19 disagg'!AN241-1</f>
        <v>2.4394978306831128E-2</v>
      </c>
      <c r="BG241" s="179">
        <f>AO241/'2018-19 disagg'!AO241-1</f>
        <v>3.9346909211628311E-2</v>
      </c>
      <c r="BH241" s="179">
        <f>AQ241/'2018-19 disagg'!AQ241-1</f>
        <v>2.161849823064621E-2</v>
      </c>
      <c r="BI241" s="1"/>
      <c r="BJ241" s="179">
        <f>AS241/'2018-19 disagg'!AS241-1</f>
        <v>1.5832349382510769E-2</v>
      </c>
      <c r="BK241" s="179">
        <f>AT241/'2018-19 disagg'!AT241-1</f>
        <v>2.2403490590239494E-2</v>
      </c>
      <c r="BL241" s="179">
        <f>AU241/'2018-19 disagg'!AU241-1</f>
        <v>3.7326354008991869E-2</v>
      </c>
      <c r="BM241" s="179">
        <f>AW241/'2018-19 disagg'!AW241-1</f>
        <v>1.9632408164457216E-2</v>
      </c>
    </row>
    <row r="242" spans="2:65" x14ac:dyDescent="0.2">
      <c r="B242" s="1" t="s">
        <v>524</v>
      </c>
      <c r="D242" s="55">
        <v>4268124.0498051532</v>
      </c>
      <c r="E242" s="166">
        <v>1673.9038026283085</v>
      </c>
      <c r="F242" s="171">
        <f>VLOOKUP(B242,'2019-20'!$B$12:$AMX450,33,FALSE)</f>
        <v>2.4497463507576089E-2</v>
      </c>
      <c r="G242" s="171">
        <f>VLOOKUP(B242,'2019-20'!$B$12:$AMX450,34,FALSE)</f>
        <v>1.8542674751290233E-2</v>
      </c>
      <c r="I242" s="175">
        <v>4196621.0838775625</v>
      </c>
      <c r="J242" s="175">
        <v>1645.8612515757306</v>
      </c>
      <c r="K242" s="171">
        <f t="shared" si="80"/>
        <v>1.7038223012863396E-2</v>
      </c>
      <c r="L242" s="170">
        <f t="shared" si="80"/>
        <v>1.7038223012863396E-2</v>
      </c>
      <c r="N242" s="55">
        <v>3270333</v>
      </c>
      <c r="O242" s="55">
        <v>354998</v>
      </c>
      <c r="P242" s="55">
        <v>642052</v>
      </c>
      <c r="R242" s="55">
        <v>642052</v>
      </c>
      <c r="S242" s="55">
        <v>741.04980515295756</v>
      </c>
      <c r="U242" s="171">
        <v>1.1862470615475962E-2</v>
      </c>
      <c r="V242" s="171">
        <v>5.0035876660068368E-3</v>
      </c>
      <c r="AA242" s="55">
        <v>741.04980515295756</v>
      </c>
      <c r="AB242" s="55">
        <v>0</v>
      </c>
      <c r="AC242" s="55">
        <v>0</v>
      </c>
      <c r="AE242" s="55">
        <v>0</v>
      </c>
      <c r="AF242" s="55">
        <v>0</v>
      </c>
      <c r="AG242" s="55">
        <v>0</v>
      </c>
      <c r="AI242" s="55">
        <v>0</v>
      </c>
      <c r="AJ242" s="55">
        <v>0</v>
      </c>
      <c r="AK242" s="55">
        <v>0</v>
      </c>
      <c r="AM242" s="55">
        <v>3271074</v>
      </c>
      <c r="AN242" s="55">
        <v>354998</v>
      </c>
      <c r="AO242" s="55">
        <v>642052</v>
      </c>
      <c r="AP242" s="55"/>
      <c r="AQ242" s="55">
        <v>4268124</v>
      </c>
      <c r="AR242" s="1"/>
      <c r="AS242" s="175">
        <v>1282.8734927534629</v>
      </c>
      <c r="AT242" s="175">
        <v>139.22568678681492</v>
      </c>
      <c r="AU242" s="175">
        <v>251.80460355508507</v>
      </c>
      <c r="AV242" s="175"/>
      <c r="AW242" s="175">
        <v>1673.9037830953628</v>
      </c>
      <c r="AX242" s="1"/>
      <c r="AY242" s="171">
        <v>1.2091740873497292E-2</v>
      </c>
      <c r="AZ242" s="171">
        <v>5.0035876660068368E-3</v>
      </c>
      <c r="BA242" s="171">
        <v>5.0139386601940172E-2</v>
      </c>
      <c r="BB242" s="171">
        <f t="shared" si="81"/>
        <v>1.7038211144945858E-2</v>
      </c>
      <c r="BC242" s="171"/>
      <c r="BD242" s="1"/>
      <c r="BE242" s="179">
        <f>AM242/'2018-19 disagg'!AM242-1</f>
        <v>2.0684701371449732E-2</v>
      </c>
      <c r="BF242" s="179">
        <f>AN242/'2018-19 disagg'!AN242-1</f>
        <v>2.6002815020765846E-2</v>
      </c>
      <c r="BG242" s="179">
        <f>AO242/'2018-19 disagg'!AO242-1</f>
        <v>4.3510201030098505E-2</v>
      </c>
      <c r="BH242" s="179">
        <f>AQ242/'2018-19 disagg'!AQ242-1</f>
        <v>2.4497451552615734E-2</v>
      </c>
      <c r="BI242" s="1"/>
      <c r="BJ242" s="179">
        <f>AS242/'2018-19 disagg'!AS242-1</f>
        <v>1.4752073912685182E-2</v>
      </c>
      <c r="BK242" s="179">
        <f>AT242/'2018-19 disagg'!AT242-1</f>
        <v>2.0039276559786545E-2</v>
      </c>
      <c r="BL242" s="179">
        <f>AU242/'2018-19 disagg'!AU242-1</f>
        <v>3.7444902643815281E-2</v>
      </c>
      <c r="BM242" s="179">
        <f>AW242/'2018-19 disagg'!AW242-1</f>
        <v>1.8542662865816961E-2</v>
      </c>
    </row>
    <row r="243" spans="2:65" x14ac:dyDescent="0.2">
      <c r="B243" s="1" t="s">
        <v>525</v>
      </c>
      <c r="D243" s="55">
        <v>2835461</v>
      </c>
      <c r="E243" s="166">
        <v>1822.3458283343421</v>
      </c>
      <c r="F243" s="171">
        <f>VLOOKUP(B243,'2019-20'!$B$12:$AMX451,33,FALSE)</f>
        <v>2.2664844082492364E-2</v>
      </c>
      <c r="G243" s="171">
        <f>VLOOKUP(B243,'2019-20'!$B$12:$AMX451,34,FALSE)</f>
        <v>1.8228375370177075E-2</v>
      </c>
      <c r="I243" s="175">
        <v>2702756.8362872149</v>
      </c>
      <c r="J243" s="175">
        <v>1737.0570942820691</v>
      </c>
      <c r="K243" s="171">
        <f t="shared" si="80"/>
        <v>4.9099557137771033E-2</v>
      </c>
      <c r="L243" s="170">
        <f t="shared" si="80"/>
        <v>4.9099557137771033E-2</v>
      </c>
      <c r="N243" s="55">
        <v>2155392</v>
      </c>
      <c r="O243" s="55">
        <v>216268</v>
      </c>
      <c r="P243" s="55">
        <v>463801</v>
      </c>
      <c r="R243" s="55">
        <v>463801</v>
      </c>
      <c r="S243" s="55">
        <v>0</v>
      </c>
      <c r="U243" s="171">
        <v>5.0246778509382306E-2</v>
      </c>
      <c r="V243" s="171">
        <v>2.5107156435666411E-5</v>
      </c>
      <c r="AA243" s="55">
        <v>0</v>
      </c>
      <c r="AB243" s="55">
        <v>0</v>
      </c>
      <c r="AC243" s="55">
        <v>0</v>
      </c>
      <c r="AE243" s="55">
        <v>0</v>
      </c>
      <c r="AF243" s="55">
        <v>0</v>
      </c>
      <c r="AG243" s="55">
        <v>0</v>
      </c>
      <c r="AI243" s="55">
        <v>0</v>
      </c>
      <c r="AJ243" s="55">
        <v>0</v>
      </c>
      <c r="AK243" s="55">
        <v>0</v>
      </c>
      <c r="AM243" s="55">
        <v>2155392</v>
      </c>
      <c r="AN243" s="55">
        <v>216268</v>
      </c>
      <c r="AO243" s="55">
        <v>463801</v>
      </c>
      <c r="AP243" s="55"/>
      <c r="AQ243" s="55">
        <v>2835461</v>
      </c>
      <c r="AR243" s="1"/>
      <c r="AS243" s="175">
        <v>1385.2666707901162</v>
      </c>
      <c r="AT243" s="175">
        <v>138.99506556507441</v>
      </c>
      <c r="AU243" s="175">
        <v>298.08409197915125</v>
      </c>
      <c r="AV243" s="175"/>
      <c r="AW243" s="175">
        <v>1822.3458283343421</v>
      </c>
      <c r="AX243" s="1"/>
      <c r="AY243" s="171">
        <v>5.0246778509382306E-2</v>
      </c>
      <c r="AZ243" s="171">
        <v>2.5107156435666411E-5</v>
      </c>
      <c r="BA243" s="171">
        <v>6.8118746320305679E-2</v>
      </c>
      <c r="BB243" s="171">
        <f t="shared" si="81"/>
        <v>4.9099557137771033E-2</v>
      </c>
      <c r="BC243" s="171"/>
      <c r="BD243" s="1"/>
      <c r="BE243" s="179">
        <f>AM243/'2018-19 disagg'!AM243-1</f>
        <v>1.8241875151763676E-2</v>
      </c>
      <c r="BF243" s="179">
        <f>AN243/'2018-19 disagg'!AN243-1</f>
        <v>2.6338518778652009E-2</v>
      </c>
      <c r="BG243" s="179">
        <f>AO243/'2018-19 disagg'!AO243-1</f>
        <v>4.1959094544441466E-2</v>
      </c>
      <c r="BH243" s="179">
        <f>AQ243/'2018-19 disagg'!AQ243-1</f>
        <v>2.2664844082492364E-2</v>
      </c>
      <c r="BI243" s="1"/>
      <c r="BJ243" s="179">
        <f>AS243/'2018-19 disagg'!AS243-1</f>
        <v>1.3824593921437422E-2</v>
      </c>
      <c r="BK243" s="179">
        <f>AT243/'2018-19 disagg'!AT243-1</f>
        <v>2.1886113131628138E-2</v>
      </c>
      <c r="BL243" s="179">
        <f>AU243/'2018-19 disagg'!AU243-1</f>
        <v>3.7438924569686893E-2</v>
      </c>
      <c r="BM243" s="179">
        <f>AW243/'2018-19 disagg'!AW243-1</f>
        <v>1.8228375370177075E-2</v>
      </c>
    </row>
    <row r="244" spans="2:65" x14ac:dyDescent="0.2">
      <c r="B244" s="1" t="s">
        <v>526</v>
      </c>
      <c r="D244" s="55">
        <v>2918964</v>
      </c>
      <c r="E244" s="166">
        <v>1682.2097042108478</v>
      </c>
      <c r="F244" s="171">
        <f>VLOOKUP(B244,'2019-20'!$B$12:$AMX452,33,FALSE)</f>
        <v>2.3749600175081209E-2</v>
      </c>
      <c r="G244" s="171">
        <f>VLOOKUP(B244,'2019-20'!$B$12:$AMX452,34,FALSE)</f>
        <v>2.0093285313352638E-2</v>
      </c>
      <c r="I244" s="175">
        <v>2865264.5457282695</v>
      </c>
      <c r="J244" s="175">
        <v>1651.2625109303785</v>
      </c>
      <c r="K244" s="171">
        <f t="shared" si="80"/>
        <v>1.8741534477781263E-2</v>
      </c>
      <c r="L244" s="170">
        <f t="shared" si="80"/>
        <v>1.8741534477781263E-2</v>
      </c>
      <c r="N244" s="55">
        <v>2251975</v>
      </c>
      <c r="O244" s="55">
        <v>235962</v>
      </c>
      <c r="P244" s="55">
        <v>431027</v>
      </c>
      <c r="R244" s="55">
        <v>431027</v>
      </c>
      <c r="S244" s="55">
        <v>0</v>
      </c>
      <c r="U244" s="171">
        <v>2.4044569064398003E-2</v>
      </c>
      <c r="V244" s="171">
        <v>1.690691634975261E-3</v>
      </c>
      <c r="AA244" s="55">
        <v>0</v>
      </c>
      <c r="AB244" s="55">
        <v>0</v>
      </c>
      <c r="AC244" s="55">
        <v>0</v>
      </c>
      <c r="AE244" s="55">
        <v>0</v>
      </c>
      <c r="AF244" s="55">
        <v>0</v>
      </c>
      <c r="AG244" s="55">
        <v>0</v>
      </c>
      <c r="AI244" s="55">
        <v>0</v>
      </c>
      <c r="AJ244" s="55">
        <v>0</v>
      </c>
      <c r="AK244" s="55">
        <v>0</v>
      </c>
      <c r="AM244" s="55">
        <v>2251975</v>
      </c>
      <c r="AN244" s="55">
        <v>235962</v>
      </c>
      <c r="AO244" s="55">
        <v>431027</v>
      </c>
      <c r="AP244" s="55"/>
      <c r="AQ244" s="55">
        <v>2918964</v>
      </c>
      <c r="AR244" s="1"/>
      <c r="AS244" s="175">
        <v>1297.8214868837792</v>
      </c>
      <c r="AT244" s="175">
        <v>135.98576968575154</v>
      </c>
      <c r="AU244" s="175">
        <v>248.40244764131694</v>
      </c>
      <c r="AV244" s="175"/>
      <c r="AW244" s="175">
        <v>1682.2097042108478</v>
      </c>
      <c r="AX244" s="1"/>
      <c r="AY244" s="171">
        <v>2.4044569064398003E-2</v>
      </c>
      <c r="AZ244" s="171">
        <v>1.690691634975261E-3</v>
      </c>
      <c r="BA244" s="171">
        <v>9.8654852808954807E-4</v>
      </c>
      <c r="BB244" s="171">
        <f t="shared" si="81"/>
        <v>1.8741534477781263E-2</v>
      </c>
      <c r="BC244" s="171"/>
      <c r="BD244" s="1"/>
      <c r="BE244" s="179">
        <f>AM244/'2018-19 disagg'!AM244-1</f>
        <v>2.0407469719344151E-2</v>
      </c>
      <c r="BF244" s="179">
        <f>AN244/'2018-19 disagg'!AN244-1</f>
        <v>2.4705458303839301E-2</v>
      </c>
      <c r="BG244" s="179">
        <f>AO244/'2018-19 disagg'!AO244-1</f>
        <v>4.103246561909768E-2</v>
      </c>
      <c r="BH244" s="179">
        <f>AQ244/'2018-19 disagg'!AQ244-1</f>
        <v>2.3749600175081209E-2</v>
      </c>
      <c r="BI244" s="1"/>
      <c r="BJ244" s="179">
        <f>AS244/'2018-19 disagg'!AS244-1</f>
        <v>1.6763091254223594E-2</v>
      </c>
      <c r="BK244" s="179">
        <f>AT244/'2018-19 disagg'!AT244-1</f>
        <v>2.1045729601185892E-2</v>
      </c>
      <c r="BL244" s="179">
        <f>AU244/'2018-19 disagg'!AU244-1</f>
        <v>3.7314425118828876E-2</v>
      </c>
      <c r="BM244" s="179">
        <f>AW244/'2018-19 disagg'!AW244-1</f>
        <v>2.0093285313352638E-2</v>
      </c>
    </row>
    <row r="245" spans="2:65" x14ac:dyDescent="0.2">
      <c r="B245" s="1" t="s">
        <v>527</v>
      </c>
      <c r="D245" s="55">
        <v>4784953.1613476053</v>
      </c>
      <c r="E245" s="166">
        <v>1743.1893154739664</v>
      </c>
      <c r="F245" s="171">
        <f>VLOOKUP(B245,'2019-20'!$B$12:$AMX453,33,FALSE)</f>
        <v>2.601848852973121E-2</v>
      </c>
      <c r="G245" s="171">
        <f>VLOOKUP(B245,'2019-20'!$B$12:$AMX453,34,FALSE)</f>
        <v>1.9915076093963258E-2</v>
      </c>
      <c r="I245" s="175">
        <v>4825976.5013879957</v>
      </c>
      <c r="J245" s="175">
        <v>1758.1343829870877</v>
      </c>
      <c r="K245" s="171">
        <f t="shared" si="80"/>
        <v>-8.500526272473885E-3</v>
      </c>
      <c r="L245" s="170">
        <f t="shared" si="80"/>
        <v>-8.500526272473885E-3</v>
      </c>
      <c r="N245" s="55">
        <v>3515406</v>
      </c>
      <c r="O245" s="55">
        <v>380950</v>
      </c>
      <c r="P245" s="55">
        <v>887087</v>
      </c>
      <c r="R245" s="55">
        <v>887087</v>
      </c>
      <c r="S245" s="55">
        <v>1510.1613476049388</v>
      </c>
      <c r="U245" s="171">
        <v>-1.6548647813931172E-2</v>
      </c>
      <c r="V245" s="171">
        <v>-3.5571503564458484E-2</v>
      </c>
      <c r="AA245" s="55">
        <v>0</v>
      </c>
      <c r="AB245" s="55">
        <v>0</v>
      </c>
      <c r="AC245" s="55">
        <v>1510.1613476049388</v>
      </c>
      <c r="AE245" s="55">
        <v>0</v>
      </c>
      <c r="AF245" s="55">
        <v>0</v>
      </c>
      <c r="AG245" s="55">
        <v>1510.1613476049388</v>
      </c>
      <c r="AI245" s="55">
        <v>1357.1362314948831</v>
      </c>
      <c r="AJ245" s="55">
        <v>153.02511611005565</v>
      </c>
      <c r="AK245" s="55">
        <v>0</v>
      </c>
      <c r="AM245" s="55">
        <v>3516763</v>
      </c>
      <c r="AN245" s="55">
        <v>381103</v>
      </c>
      <c r="AO245" s="55">
        <v>887087</v>
      </c>
      <c r="AP245" s="55"/>
      <c r="AQ245" s="55">
        <v>4784953</v>
      </c>
      <c r="AR245" s="1"/>
      <c r="AS245" s="175">
        <v>1281.1794556684119</v>
      </c>
      <c r="AT245" s="175">
        <v>138.83828227651361</v>
      </c>
      <c r="AU245" s="175">
        <v>323.17151874906688</v>
      </c>
      <c r="AV245" s="175"/>
      <c r="AW245" s="175">
        <v>1743.1892566939925</v>
      </c>
      <c r="AX245" s="1"/>
      <c r="AY245" s="171">
        <v>-1.6169020685537827E-2</v>
      </c>
      <c r="AZ245" s="171">
        <v>-3.5184162548696163E-2</v>
      </c>
      <c r="BA245" s="171">
        <v>3.5813694885059588E-2</v>
      </c>
      <c r="BB245" s="171">
        <f t="shared" si="81"/>
        <v>-8.5005597056257987E-3</v>
      </c>
      <c r="BC245" s="171"/>
      <c r="BD245" s="1"/>
      <c r="BE245" s="179">
        <f>AM245/'2018-19 disagg'!AM245-1</f>
        <v>2.1021630452360274E-2</v>
      </c>
      <c r="BF245" s="179">
        <f>AN245/'2018-19 disagg'!AN245-1</f>
        <v>3.1887817267129748E-2</v>
      </c>
      <c r="BG245" s="179">
        <f>AO245/'2018-19 disagg'!AO245-1</f>
        <v>4.3717717929711908E-2</v>
      </c>
      <c r="BH245" s="179">
        <f>AQ245/'2018-19 disagg'!AQ245-1</f>
        <v>2.6018453932605379E-2</v>
      </c>
      <c r="BI245" s="1"/>
      <c r="BJ245" s="179">
        <f>AS245/'2018-19 disagg'!AS245-1</f>
        <v>1.4947942515780133E-2</v>
      </c>
      <c r="BK245" s="179">
        <f>AT245/'2018-19 disagg'!AT245-1</f>
        <v>2.5749490320165602E-2</v>
      </c>
      <c r="BL245" s="179">
        <f>AU245/'2018-19 disagg'!AU245-1</f>
        <v>3.7509019187672354E-2</v>
      </c>
      <c r="BM245" s="179">
        <f>AW245/'2018-19 disagg'!AW245-1</f>
        <v>1.9915041702643244E-2</v>
      </c>
    </row>
    <row r="246" spans="2:65" x14ac:dyDescent="0.2">
      <c r="B246" s="1" t="s">
        <v>528</v>
      </c>
      <c r="D246" s="55">
        <v>2772431.4640992703</v>
      </c>
      <c r="E246" s="166">
        <v>1688.6986978861125</v>
      </c>
      <c r="F246" s="171">
        <f>VLOOKUP(B246,'2019-20'!$B$12:$AMX454,33,FALSE)</f>
        <v>2.4762520560171808E-2</v>
      </c>
      <c r="G246" s="171">
        <f>VLOOKUP(B246,'2019-20'!$B$12:$AMX454,34,FALSE)</f>
        <v>2.0945260605623295E-2</v>
      </c>
      <c r="I246" s="175">
        <v>2786043.2929609818</v>
      </c>
      <c r="J246" s="175">
        <v>1696.9897153457953</v>
      </c>
      <c r="K246" s="171">
        <f t="shared" si="80"/>
        <v>-4.885720511272118E-3</v>
      </c>
      <c r="L246" s="170">
        <f t="shared" si="80"/>
        <v>-4.885720511272118E-3</v>
      </c>
      <c r="N246" s="55">
        <v>2096872</v>
      </c>
      <c r="O246" s="55">
        <v>220612</v>
      </c>
      <c r="P246" s="55">
        <v>453721</v>
      </c>
      <c r="R246" s="55">
        <v>453721</v>
      </c>
      <c r="S246" s="55">
        <v>1226.4640992703207</v>
      </c>
      <c r="U246" s="171">
        <v>-1.1583020053858917E-2</v>
      </c>
      <c r="V246" s="171">
        <v>9.5227690175436752E-3</v>
      </c>
      <c r="AA246" s="55">
        <v>587.30208265545662</v>
      </c>
      <c r="AB246" s="55">
        <v>0</v>
      </c>
      <c r="AC246" s="55">
        <v>639.16201661486411</v>
      </c>
      <c r="AE246" s="55">
        <v>0</v>
      </c>
      <c r="AF246" s="55">
        <v>0</v>
      </c>
      <c r="AG246" s="55">
        <v>639.16201661486411</v>
      </c>
      <c r="AI246" s="55">
        <v>578.94331663261494</v>
      </c>
      <c r="AJ246" s="55">
        <v>60.218699982249127</v>
      </c>
      <c r="AK246" s="55">
        <v>0</v>
      </c>
      <c r="AM246" s="55">
        <v>2098038</v>
      </c>
      <c r="AN246" s="55">
        <v>220672</v>
      </c>
      <c r="AO246" s="55">
        <v>453721</v>
      </c>
      <c r="AP246" s="55"/>
      <c r="AQ246" s="55">
        <v>2772431</v>
      </c>
      <c r="AR246" s="1"/>
      <c r="AS246" s="175">
        <v>1277.9230378077702</v>
      </c>
      <c r="AT246" s="175">
        <v>134.41216631877796</v>
      </c>
      <c r="AU246" s="175">
        <v>276.36321107490875</v>
      </c>
      <c r="AV246" s="175"/>
      <c r="AW246" s="175">
        <v>1688.698415201457</v>
      </c>
      <c r="AX246" s="1"/>
      <c r="AY246" s="171">
        <v>-1.1033394612431247E-2</v>
      </c>
      <c r="AZ246" s="171">
        <v>9.7973296313864644E-3</v>
      </c>
      <c r="BA246" s="171">
        <v>1.7157543689000576E-2</v>
      </c>
      <c r="BB246" s="171">
        <f t="shared" si="81"/>
        <v>-4.885887091336194E-3</v>
      </c>
      <c r="BC246" s="171"/>
      <c r="BD246" s="1"/>
      <c r="BE246" s="179">
        <f>AM246/'2018-19 disagg'!AM246-1</f>
        <v>2.1351109129243317E-2</v>
      </c>
      <c r="BF246" s="179">
        <f>AN246/'2018-19 disagg'!AN246-1</f>
        <v>2.4076033487405057E-2</v>
      </c>
      <c r="BG246" s="179">
        <f>AO246/'2018-19 disagg'!AO246-1</f>
        <v>4.1181802535712242E-2</v>
      </c>
      <c r="BH246" s="179">
        <f>AQ246/'2018-19 disagg'!AQ246-1</f>
        <v>2.4762349017053875E-2</v>
      </c>
      <c r="BI246" s="1"/>
      <c r="BJ246" s="179">
        <f>AS246/'2018-19 disagg'!AS246-1</f>
        <v>1.7546556747408015E-2</v>
      </c>
      <c r="BK246" s="179">
        <f>AT246/'2018-19 disagg'!AT246-1</f>
        <v>2.0261330710309444E-2</v>
      </c>
      <c r="BL246" s="179">
        <f>AU246/'2018-19 disagg'!AU246-1</f>
        <v>3.7303380442316847E-2</v>
      </c>
      <c r="BM246" s="179">
        <f>AW246/'2018-19 disagg'!AW246-1</f>
        <v>2.0945089701506658E-2</v>
      </c>
    </row>
    <row r="247" spans="2:65" x14ac:dyDescent="0.2">
      <c r="B247" s="1" t="s">
        <v>529</v>
      </c>
      <c r="D247" s="55">
        <v>2867411.7811410883</v>
      </c>
      <c r="E247" s="166">
        <v>1619.7711452816195</v>
      </c>
      <c r="F247" s="171">
        <f>VLOOKUP(B247,'2019-20'!$B$12:$AMX455,33,FALSE)</f>
        <v>2.5998650735767681E-2</v>
      </c>
      <c r="G247" s="171">
        <f>VLOOKUP(B247,'2019-20'!$B$12:$AMX455,34,FALSE)</f>
        <v>1.945216141701045E-2</v>
      </c>
      <c r="I247" s="175">
        <v>2902455.8432446849</v>
      </c>
      <c r="J247" s="175">
        <v>1639.5671721314056</v>
      </c>
      <c r="K247" s="171">
        <f t="shared" si="80"/>
        <v>-1.2073934625107086E-2</v>
      </c>
      <c r="L247" s="170">
        <f t="shared" si="80"/>
        <v>-1.2073934625106975E-2</v>
      </c>
      <c r="N247" s="55">
        <v>2155201</v>
      </c>
      <c r="O247" s="55">
        <v>243204</v>
      </c>
      <c r="P247" s="55">
        <v>468483</v>
      </c>
      <c r="R247" s="55">
        <v>468483</v>
      </c>
      <c r="S247" s="55">
        <v>523.78114108846057</v>
      </c>
      <c r="U247" s="171">
        <v>-2.0714558480569023E-2</v>
      </c>
      <c r="V247" s="171">
        <v>1.5717585625055541E-2</v>
      </c>
      <c r="AA247" s="55">
        <v>413.40975913271541</v>
      </c>
      <c r="AB247" s="55">
        <v>0</v>
      </c>
      <c r="AC247" s="55">
        <v>110.37138195574516</v>
      </c>
      <c r="AE247" s="55">
        <v>0</v>
      </c>
      <c r="AF247" s="55">
        <v>0</v>
      </c>
      <c r="AG247" s="55">
        <v>110.37138195574516</v>
      </c>
      <c r="AI247" s="55">
        <v>100.04553241719616</v>
      </c>
      <c r="AJ247" s="55">
        <v>10.325849538549027</v>
      </c>
      <c r="AK247" s="55">
        <v>0</v>
      </c>
      <c r="AM247" s="55">
        <v>2155714</v>
      </c>
      <c r="AN247" s="55">
        <v>243214</v>
      </c>
      <c r="AO247" s="55">
        <v>468483</v>
      </c>
      <c r="AP247" s="55"/>
      <c r="AQ247" s="55">
        <v>2867411</v>
      </c>
      <c r="AR247" s="1"/>
      <c r="AS247" s="175">
        <v>1217.7404576646022</v>
      </c>
      <c r="AT247" s="175">
        <v>137.38906351697793</v>
      </c>
      <c r="AU247" s="175">
        <v>264.64118284154847</v>
      </c>
      <c r="AV247" s="175"/>
      <c r="AW247" s="175">
        <v>1619.7707040231285</v>
      </c>
      <c r="AX247" s="1"/>
      <c r="AY247" s="171">
        <v>-2.0481460300167509E-2</v>
      </c>
      <c r="AZ247" s="171">
        <v>1.5759349641503606E-2</v>
      </c>
      <c r="BA247" s="171">
        <v>1.3536908051041241E-2</v>
      </c>
      <c r="BB247" s="171">
        <f t="shared" si="81"/>
        <v>-1.2074203756191504E-2</v>
      </c>
      <c r="BC247" s="171"/>
      <c r="BD247" s="1"/>
      <c r="BE247" s="179">
        <f>AM247/'2018-19 disagg'!AM247-1</f>
        <v>2.2067932915759814E-2</v>
      </c>
      <c r="BF247" s="179">
        <f>AN247/'2018-19 disagg'!AN247-1</f>
        <v>2.641862977624343E-2</v>
      </c>
      <c r="BG247" s="179">
        <f>AO247/'2018-19 disagg'!AO247-1</f>
        <v>4.4254829714530208E-2</v>
      </c>
      <c r="BH247" s="179">
        <f>AQ247/'2018-19 disagg'!AQ247-1</f>
        <v>2.5998371232939466E-2</v>
      </c>
      <c r="BI247" s="1"/>
      <c r="BJ247" s="179">
        <f>AS247/'2018-19 disagg'!AS247-1</f>
        <v>1.55465239440431E-2</v>
      </c>
      <c r="BK247" s="179">
        <f>AT247/'2018-19 disagg'!AT247-1</f>
        <v>1.9869460738267453E-2</v>
      </c>
      <c r="BL247" s="179">
        <f>AU247/'2018-19 disagg'!AU247-1</f>
        <v>3.7591854978759942E-2</v>
      </c>
      <c r="BM247" s="179">
        <f>AW247/'2018-19 disagg'!AW247-1</f>
        <v>1.9451883697578554E-2</v>
      </c>
    </row>
    <row r="248" spans="2:65" x14ac:dyDescent="0.2">
      <c r="B248" s="1" t="s">
        <v>530</v>
      </c>
      <c r="D248" s="55">
        <v>4816546.0665807063</v>
      </c>
      <c r="E248" s="166">
        <v>1579.630974542087</v>
      </c>
      <c r="F248" s="171">
        <f>VLOOKUP(B248,'2019-20'!$B$12:$AMX456,33,FALSE)</f>
        <v>3.3608437413307435E-2</v>
      </c>
      <c r="G248" s="171">
        <f>VLOOKUP(B248,'2019-20'!$B$12:$AMX456,34,FALSE)</f>
        <v>2.3191606196203196E-2</v>
      </c>
      <c r="I248" s="175">
        <v>4943958.1325903693</v>
      </c>
      <c r="J248" s="175">
        <v>1621.4169438273641</v>
      </c>
      <c r="K248" s="171">
        <f t="shared" si="80"/>
        <v>-2.5771267189697245E-2</v>
      </c>
      <c r="L248" s="170">
        <f t="shared" si="80"/>
        <v>-2.5771267189697133E-2</v>
      </c>
      <c r="N248" s="55">
        <v>3647521</v>
      </c>
      <c r="O248" s="55">
        <v>381403</v>
      </c>
      <c r="P248" s="55">
        <v>764098</v>
      </c>
      <c r="R248" s="55">
        <v>764098</v>
      </c>
      <c r="S248" s="55">
        <v>23524.066580706291</v>
      </c>
      <c r="U248" s="171">
        <v>-2.3466264076550392E-2</v>
      </c>
      <c r="V248" s="171">
        <v>-3.2783647586726028E-2</v>
      </c>
      <c r="AA248" s="55">
        <v>0</v>
      </c>
      <c r="AB248" s="55">
        <v>0</v>
      </c>
      <c r="AC248" s="55">
        <v>23524.066580706291</v>
      </c>
      <c r="AE248" s="55">
        <v>0</v>
      </c>
      <c r="AF248" s="55">
        <v>0</v>
      </c>
      <c r="AG248" s="55">
        <v>23524.066580706291</v>
      </c>
      <c r="AI248" s="55">
        <v>21283.194319595012</v>
      </c>
      <c r="AJ248" s="55">
        <v>2240.872261111278</v>
      </c>
      <c r="AK248" s="55">
        <v>0</v>
      </c>
      <c r="AM248" s="55">
        <v>3668803</v>
      </c>
      <c r="AN248" s="55">
        <v>383645</v>
      </c>
      <c r="AO248" s="55">
        <v>764098</v>
      </c>
      <c r="AP248" s="55"/>
      <c r="AQ248" s="55">
        <v>4816546</v>
      </c>
      <c r="AR248" s="1"/>
      <c r="AS248" s="175">
        <v>1203.2179861215543</v>
      </c>
      <c r="AT248" s="175">
        <v>125.81993753428672</v>
      </c>
      <c r="AU248" s="175">
        <v>250.59302905048526</v>
      </c>
      <c r="AV248" s="175"/>
      <c r="AW248" s="175">
        <v>1579.6309527063263</v>
      </c>
      <c r="AX248" s="1"/>
      <c r="AY248" s="171">
        <v>-1.7768533763846905E-2</v>
      </c>
      <c r="AZ248" s="171">
        <v>-2.7098062884690188E-2</v>
      </c>
      <c r="BA248" s="171">
        <v>-6.1830246251905474E-2</v>
      </c>
      <c r="BB248" s="171">
        <f t="shared" si="81"/>
        <v>-2.577128065678258E-2</v>
      </c>
      <c r="BC248" s="171"/>
      <c r="BD248" s="1"/>
      <c r="BE248" s="179">
        <f>AM248/'2018-19 disagg'!AM248-1</f>
        <v>2.9839438596491297E-2</v>
      </c>
      <c r="BF248" s="179">
        <f>AN248/'2018-19 disagg'!AN248-1</f>
        <v>4.1610669012459356E-2</v>
      </c>
      <c r="BG248" s="179">
        <f>AO248/'2018-19 disagg'!AO248-1</f>
        <v>4.7981522779702468E-2</v>
      </c>
      <c r="BH248" s="179">
        <f>AQ248/'2018-19 disagg'!AQ248-1</f>
        <v>3.3608423125396802E-2</v>
      </c>
      <c r="BI248" s="1"/>
      <c r="BJ248" s="179">
        <f>AS248/'2018-19 disagg'!AS248-1</f>
        <v>1.9460591806671923E-2</v>
      </c>
      <c r="BK248" s="179">
        <f>AT248/'2018-19 disagg'!AT248-1</f>
        <v>3.1113190334564944E-2</v>
      </c>
      <c r="BL248" s="179">
        <f>AU248/'2018-19 disagg'!AU248-1</f>
        <v>3.741983786470704E-2</v>
      </c>
      <c r="BM248" s="179">
        <f>AW248/'2018-19 disagg'!AW248-1</f>
        <v>2.3191592052287602E-2</v>
      </c>
    </row>
    <row r="249" spans="2:65" x14ac:dyDescent="0.2">
      <c r="B249" s="1" t="s">
        <v>531</v>
      </c>
      <c r="D249" s="55">
        <v>3022834.0601063133</v>
      </c>
      <c r="E249" s="166">
        <v>1580.8970574897305</v>
      </c>
      <c r="F249" s="171">
        <f>VLOOKUP(B249,'2019-20'!$B$12:$AMX457,33,FALSE)</f>
        <v>2.5260182144201337E-2</v>
      </c>
      <c r="G249" s="171">
        <f>VLOOKUP(B249,'2019-20'!$B$12:$AMX457,34,FALSE)</f>
        <v>1.8940929081799895E-2</v>
      </c>
      <c r="I249" s="175">
        <v>3073608.4376789937</v>
      </c>
      <c r="J249" s="175">
        <v>1607.4512984783014</v>
      </c>
      <c r="K249" s="171">
        <f t="shared" si="80"/>
        <v>-1.65194684365918E-2</v>
      </c>
      <c r="L249" s="170">
        <f t="shared" si="80"/>
        <v>-1.65194684365918E-2</v>
      </c>
      <c r="N249" s="55">
        <v>2307766</v>
      </c>
      <c r="O249" s="55">
        <v>257537</v>
      </c>
      <c r="P249" s="55">
        <v>455683</v>
      </c>
      <c r="R249" s="55">
        <v>455683</v>
      </c>
      <c r="S249" s="55">
        <v>1848.0601063135546</v>
      </c>
      <c r="U249" s="171">
        <v>-5.6497015206615764E-3</v>
      </c>
      <c r="V249" s="171">
        <v>1.3759859585410705E-2</v>
      </c>
      <c r="AA249" s="55">
        <v>892.56237122026505</v>
      </c>
      <c r="AB249" s="55">
        <v>0</v>
      </c>
      <c r="AC249" s="55">
        <v>955.49773509328952</v>
      </c>
      <c r="AE249" s="55">
        <v>0</v>
      </c>
      <c r="AF249" s="55">
        <v>0</v>
      </c>
      <c r="AG249" s="55">
        <v>955.49773509328952</v>
      </c>
      <c r="AI249" s="55">
        <v>865.80223743102999</v>
      </c>
      <c r="AJ249" s="55">
        <v>89.695497662259356</v>
      </c>
      <c r="AK249" s="55">
        <v>0</v>
      </c>
      <c r="AM249" s="55">
        <v>2309525</v>
      </c>
      <c r="AN249" s="55">
        <v>257627</v>
      </c>
      <c r="AO249" s="55">
        <v>455683</v>
      </c>
      <c r="AP249" s="55"/>
      <c r="AQ249" s="55">
        <v>3022835</v>
      </c>
      <c r="AR249" s="1"/>
      <c r="AS249" s="175">
        <v>1207.8470746656069</v>
      </c>
      <c r="AT249" s="175">
        <v>134.735072495373</v>
      </c>
      <c r="AU249" s="175">
        <v>238.31540187910838</v>
      </c>
      <c r="AV249" s="175"/>
      <c r="AW249" s="175">
        <v>1580.8975490400883</v>
      </c>
      <c r="AX249" s="1"/>
      <c r="AY249" s="171">
        <v>-4.8917987805114915E-3</v>
      </c>
      <c r="AZ249" s="171">
        <v>1.411413251459237E-2</v>
      </c>
      <c r="BA249" s="171">
        <v>-8.6237644583138984E-2</v>
      </c>
      <c r="BB249" s="171">
        <f t="shared" si="81"/>
        <v>-1.6519162641723706E-2</v>
      </c>
      <c r="BC249" s="171"/>
      <c r="BD249" s="1"/>
      <c r="BE249" s="179">
        <f>AM249/'2018-19 disagg'!AM249-1</f>
        <v>2.173423518081119E-2</v>
      </c>
      <c r="BF249" s="179">
        <f>AN249/'2018-19 disagg'!AN249-1</f>
        <v>2.4871208354052765E-2</v>
      </c>
      <c r="BG249" s="179">
        <f>AO249/'2018-19 disagg'!AO249-1</f>
        <v>4.3741668308191262E-2</v>
      </c>
      <c r="BH249" s="179">
        <f>AQ249/'2018-19 disagg'!AQ249-1</f>
        <v>2.5260500929670027E-2</v>
      </c>
      <c r="BI249" s="1"/>
      <c r="BJ249" s="179">
        <f>AS249/'2018-19 disagg'!AS249-1</f>
        <v>1.543671450549966E-2</v>
      </c>
      <c r="BK249" s="179">
        <f>AT249/'2018-19 disagg'!AT249-1</f>
        <v>1.8554352755102643E-2</v>
      </c>
      <c r="BL249" s="179">
        <f>AU249/'2018-19 disagg'!AU249-1</f>
        <v>3.7308503489463574E-2</v>
      </c>
      <c r="BM249" s="179">
        <f>AW249/'2018-19 disagg'!AW249-1</f>
        <v>1.8941245902414972E-2</v>
      </c>
    </row>
    <row r="250" spans="2:65" x14ac:dyDescent="0.2">
      <c r="B250" s="1" t="s">
        <v>532</v>
      </c>
      <c r="D250" s="55">
        <v>3582630.7506597824</v>
      </c>
      <c r="E250" s="166">
        <v>1684.6418557578593</v>
      </c>
      <c r="F250" s="171">
        <f>VLOOKUP(B250,'2019-20'!$B$12:$AMX458,33,FALSE)</f>
        <v>2.4374725518990115E-2</v>
      </c>
      <c r="G250" s="171">
        <f>VLOOKUP(B250,'2019-20'!$B$12:$AMX458,34,FALSE)</f>
        <v>1.8864317303468825E-2</v>
      </c>
      <c r="I250" s="175">
        <v>3586323.1340382509</v>
      </c>
      <c r="J250" s="175">
        <v>1686.3781060219221</v>
      </c>
      <c r="K250" s="171">
        <f t="shared" si="80"/>
        <v>-1.0295735326868449E-3</v>
      </c>
      <c r="L250" s="170">
        <f t="shared" si="80"/>
        <v>-1.029573532686956E-3</v>
      </c>
      <c r="N250" s="55">
        <v>2752899</v>
      </c>
      <c r="O250" s="55">
        <v>285283</v>
      </c>
      <c r="P250" s="55">
        <v>543540</v>
      </c>
      <c r="R250" s="55">
        <v>543540</v>
      </c>
      <c r="S250" s="55">
        <v>908.75065978275961</v>
      </c>
      <c r="U250" s="171">
        <v>5.0006582582429182E-3</v>
      </c>
      <c r="V250" s="171">
        <v>-7.5569107897632826E-5</v>
      </c>
      <c r="AA250" s="55">
        <v>908.75065978275961</v>
      </c>
      <c r="AB250" s="55">
        <v>0</v>
      </c>
      <c r="AC250" s="55">
        <v>0</v>
      </c>
      <c r="AE250" s="55">
        <v>0</v>
      </c>
      <c r="AF250" s="55">
        <v>0</v>
      </c>
      <c r="AG250" s="55">
        <v>0</v>
      </c>
      <c r="AI250" s="55">
        <v>0</v>
      </c>
      <c r="AJ250" s="55">
        <v>0</v>
      </c>
      <c r="AK250" s="55">
        <v>0</v>
      </c>
      <c r="AM250" s="55">
        <v>2753808</v>
      </c>
      <c r="AN250" s="55">
        <v>285283</v>
      </c>
      <c r="AO250" s="55">
        <v>543540</v>
      </c>
      <c r="AP250" s="55"/>
      <c r="AQ250" s="55">
        <v>3582631</v>
      </c>
      <c r="AR250" s="1"/>
      <c r="AS250" s="175">
        <v>1294.9088372187061</v>
      </c>
      <c r="AT250" s="175">
        <v>134.1471438125912</v>
      </c>
      <c r="AU250" s="175">
        <v>255.58599197251789</v>
      </c>
      <c r="AV250" s="175"/>
      <c r="AW250" s="175">
        <v>1684.6419730038151</v>
      </c>
      <c r="AX250" s="1"/>
      <c r="AY250" s="171">
        <v>5.3325068289158395E-3</v>
      </c>
      <c r="AZ250" s="171">
        <v>-7.5569107897632826E-5</v>
      </c>
      <c r="BA250" s="171">
        <v>-3.253260479379394E-2</v>
      </c>
      <c r="BB250" s="171">
        <f t="shared" si="81"/>
        <v>-1.0295040073796669E-3</v>
      </c>
      <c r="BC250" s="171"/>
      <c r="BD250" s="1"/>
      <c r="BE250" s="179">
        <f>AM250/'2018-19 disagg'!AM250-1</f>
        <v>2.0436461543649198E-2</v>
      </c>
      <c r="BF250" s="179">
        <f>AN250/'2018-19 disagg'!AN250-1</f>
        <v>2.7943126459312184E-2</v>
      </c>
      <c r="BG250" s="179">
        <f>AO250/'2018-19 disagg'!AO250-1</f>
        <v>4.2866626502787719E-2</v>
      </c>
      <c r="BH250" s="179">
        <f>AQ250/'2018-19 disagg'!AQ250-1</f>
        <v>2.4374796812359323E-2</v>
      </c>
      <c r="BI250" s="1"/>
      <c r="BJ250" s="179">
        <f>AS250/'2018-19 disagg'!AS250-1</f>
        <v>1.494723839021872E-2</v>
      </c>
      <c r="BK250" s="179">
        <f>AT250/'2018-19 disagg'!AT250-1</f>
        <v>2.2413522782044337E-2</v>
      </c>
      <c r="BL250" s="179">
        <f>AU250/'2018-19 disagg'!AU250-1</f>
        <v>3.7256744998280134E-2</v>
      </c>
      <c r="BM250" s="179">
        <f>AW250/'2018-19 disagg'!AW250-1</f>
        <v>1.8864388213330363E-2</v>
      </c>
    </row>
    <row r="251" spans="2:65" x14ac:dyDescent="0.2">
      <c r="B251" s="1" t="s">
        <v>56</v>
      </c>
      <c r="D251" s="55">
        <v>3116644.6633092333</v>
      </c>
      <c r="E251" s="166">
        <v>1643.0906525659414</v>
      </c>
      <c r="F251" s="171">
        <f>VLOOKUP(B251,'2019-20'!$B$12:$AMX459,33,FALSE)</f>
        <v>2.9463337515923671E-2</v>
      </c>
      <c r="G251" s="171">
        <f>VLOOKUP(B251,'2019-20'!$B$12:$AMX459,34,FALSE)</f>
        <v>2.115767612495989E-2</v>
      </c>
      <c r="I251" s="175">
        <v>3187697.8552533342</v>
      </c>
      <c r="J251" s="175">
        <v>1680.5497947301831</v>
      </c>
      <c r="K251" s="171">
        <f t="shared" si="80"/>
        <v>-2.2289813894063149E-2</v>
      </c>
      <c r="L251" s="170">
        <f t="shared" si="80"/>
        <v>-2.2289813894063037E-2</v>
      </c>
      <c r="N251" s="55">
        <v>2422239</v>
      </c>
      <c r="O251" s="55">
        <v>248330</v>
      </c>
      <c r="P251" s="55">
        <v>435862</v>
      </c>
      <c r="R251" s="55">
        <v>435862</v>
      </c>
      <c r="S251" s="55">
        <v>10213.66330923303</v>
      </c>
      <c r="U251" s="171">
        <v>-4.8267810967353997E-3</v>
      </c>
      <c r="V251" s="171">
        <v>-1.0306782197887165E-2</v>
      </c>
      <c r="AA251" s="55">
        <v>1944.6429055540357</v>
      </c>
      <c r="AB251" s="55">
        <v>0</v>
      </c>
      <c r="AC251" s="55">
        <v>8269.0204036789946</v>
      </c>
      <c r="AE251" s="55">
        <v>0</v>
      </c>
      <c r="AF251" s="55">
        <v>24.329007175627737</v>
      </c>
      <c r="AG251" s="55">
        <v>8244.6913965033673</v>
      </c>
      <c r="AI251" s="55">
        <v>7473.2936454658829</v>
      </c>
      <c r="AJ251" s="55">
        <v>771.39775103748343</v>
      </c>
      <c r="AK251" s="55">
        <v>0</v>
      </c>
      <c r="AM251" s="55">
        <v>2431657</v>
      </c>
      <c r="AN251" s="55">
        <v>249126</v>
      </c>
      <c r="AO251" s="55">
        <v>435862</v>
      </c>
      <c r="AP251" s="55"/>
      <c r="AQ251" s="55">
        <v>3116645</v>
      </c>
      <c r="AR251" s="1"/>
      <c r="AS251" s="175">
        <v>1281.9661265792856</v>
      </c>
      <c r="AT251" s="175">
        <v>131.33887437668682</v>
      </c>
      <c r="AU251" s="175">
        <v>229.78582911286443</v>
      </c>
      <c r="AV251" s="175"/>
      <c r="AW251" s="175">
        <v>1643.0908300688368</v>
      </c>
      <c r="AX251" s="1"/>
      <c r="AY251" s="171">
        <v>-9.574100827145493E-4</v>
      </c>
      <c r="AZ251" s="171">
        <v>-7.134407529621245E-3</v>
      </c>
      <c r="BA251" s="171">
        <v>-0.13312080277882377</v>
      </c>
      <c r="BB251" s="171">
        <f t="shared" si="81"/>
        <v>-2.2289708272143494E-2</v>
      </c>
      <c r="BC251" s="171"/>
      <c r="BD251" s="1"/>
      <c r="BE251" s="179">
        <f>AM251/'2018-19 disagg'!AM251-1</f>
        <v>2.6007386438674063E-2</v>
      </c>
      <c r="BF251" s="179">
        <f>AN251/'2018-19 disagg'!AN251-1</f>
        <v>3.5032032373054633E-2</v>
      </c>
      <c r="BG251" s="179">
        <f>AO251/'2018-19 disagg'!AO251-1</f>
        <v>4.5902292355057162E-2</v>
      </c>
      <c r="BH251" s="179">
        <f>AQ251/'2018-19 disagg'!AQ251-1</f>
        <v>2.9463448728730413E-2</v>
      </c>
      <c r="BI251" s="1"/>
      <c r="BJ251" s="179">
        <f>AS251/'2018-19 disagg'!AS251-1</f>
        <v>1.7729607497123823E-2</v>
      </c>
      <c r="BK251" s="179">
        <f>AT251/'2018-19 disagg'!AT251-1</f>
        <v>2.6681443016045359E-2</v>
      </c>
      <c r="BL251" s="179">
        <f>AU251/'2018-19 disagg'!AU251-1</f>
        <v>3.7464002255969575E-2</v>
      </c>
      <c r="BM251" s="179">
        <f>AW251/'2018-19 disagg'!AW251-1</f>
        <v>2.1157786440506809E-2</v>
      </c>
    </row>
    <row r="252" spans="2:65" x14ac:dyDescent="0.2">
      <c r="B252" s="1" t="s">
        <v>533</v>
      </c>
      <c r="D252" s="55">
        <v>4245342.1798538165</v>
      </c>
      <c r="E252" s="166">
        <v>1587.851172135465</v>
      </c>
      <c r="F252" s="171">
        <f>VLOOKUP(B252,'2019-20'!$B$12:$AMX460,33,FALSE)</f>
        <v>2.7357493733821903E-2</v>
      </c>
      <c r="G252" s="171">
        <f>VLOOKUP(B252,'2019-20'!$B$12:$AMX460,34,FALSE)</f>
        <v>2.0064785697875731E-2</v>
      </c>
      <c r="I252" s="175">
        <v>4327643.8356615445</v>
      </c>
      <c r="J252" s="175">
        <v>1618.6337981539621</v>
      </c>
      <c r="K252" s="171">
        <f t="shared" si="80"/>
        <v>-1.9017659246708063E-2</v>
      </c>
      <c r="L252" s="170">
        <f t="shared" si="80"/>
        <v>-1.9017659246708174E-2</v>
      </c>
      <c r="N252" s="55">
        <v>3239143</v>
      </c>
      <c r="O252" s="55">
        <v>378322</v>
      </c>
      <c r="P252" s="55">
        <v>617504</v>
      </c>
      <c r="R252" s="55">
        <v>617504</v>
      </c>
      <c r="S252" s="55">
        <v>10373.179853816167</v>
      </c>
      <c r="U252" s="171">
        <v>-5.7013938928880403E-3</v>
      </c>
      <c r="V252" s="171">
        <v>6.3409884436388841E-2</v>
      </c>
      <c r="AA252" s="55">
        <v>9047.3604756962159</v>
      </c>
      <c r="AB252" s="55">
        <v>0</v>
      </c>
      <c r="AC252" s="55">
        <v>1325.8193781199516</v>
      </c>
      <c r="AE252" s="55">
        <v>0</v>
      </c>
      <c r="AF252" s="55">
        <v>0</v>
      </c>
      <c r="AG252" s="55">
        <v>1325.8193781199516</v>
      </c>
      <c r="AI252" s="55">
        <v>1205.6985521293241</v>
      </c>
      <c r="AJ252" s="55">
        <v>120.12082599062762</v>
      </c>
      <c r="AK252" s="55">
        <v>0</v>
      </c>
      <c r="AM252" s="55">
        <v>3249396</v>
      </c>
      <c r="AN252" s="55">
        <v>378442</v>
      </c>
      <c r="AO252" s="55">
        <v>617504</v>
      </c>
      <c r="AP252" s="55"/>
      <c r="AQ252" s="55">
        <v>4245342</v>
      </c>
      <c r="AR252" s="1"/>
      <c r="AS252" s="175">
        <v>1215.3454371279806</v>
      </c>
      <c r="AT252" s="175">
        <v>141.54561583678546</v>
      </c>
      <c r="AU252" s="175">
        <v>230.9600519014231</v>
      </c>
      <c r="AV252" s="175"/>
      <c r="AW252" s="175">
        <v>1587.8511048661892</v>
      </c>
      <c r="AX252" s="1"/>
      <c r="AY252" s="171">
        <v>-2.5540973368495257E-3</v>
      </c>
      <c r="AZ252" s="171">
        <v>6.3747187543615969E-2</v>
      </c>
      <c r="BA252" s="171">
        <v>-0.13534731471962014</v>
      </c>
      <c r="BB252" s="171">
        <f t="shared" si="81"/>
        <v>-1.9017700806000737E-2</v>
      </c>
      <c r="BC252" s="171"/>
      <c r="BD252" s="1"/>
      <c r="BE252" s="179">
        <f>AM252/'2018-19 disagg'!AM252-1</f>
        <v>2.4758671779428365E-2</v>
      </c>
      <c r="BF252" s="179">
        <f>AN252/'2018-19 disagg'!AN252-1</f>
        <v>2.1791662954173008E-2</v>
      </c>
      <c r="BG252" s="179">
        <f>AO252/'2018-19 disagg'!AO252-1</f>
        <v>4.4787685289992218E-2</v>
      </c>
      <c r="BH252" s="179">
        <f>AQ252/'2018-19 disagg'!AQ252-1</f>
        <v>2.7357450209847256E-2</v>
      </c>
      <c r="BI252" s="1"/>
      <c r="BJ252" s="179">
        <f>AS252/'2018-19 disagg'!AS252-1</f>
        <v>1.7484411508613684E-2</v>
      </c>
      <c r="BK252" s="179">
        <f>AT252/'2018-19 disagg'!AT252-1</f>
        <v>1.4538464026887521E-2</v>
      </c>
      <c r="BL252" s="179">
        <f>AU252/'2018-19 disagg'!AU252-1</f>
        <v>3.7371248854919825E-2</v>
      </c>
      <c r="BM252" s="179">
        <f>AW252/'2018-19 disagg'!AW252-1</f>
        <v>2.0064742482856168E-2</v>
      </c>
    </row>
    <row r="253" spans="2:65" x14ac:dyDescent="0.2">
      <c r="B253" s="1" t="s">
        <v>516</v>
      </c>
      <c r="D253" s="55">
        <v>16527785.857607082</v>
      </c>
      <c r="E253" s="166">
        <v>1677.7215305233035</v>
      </c>
      <c r="F253" s="171">
        <f>VLOOKUP(B253,'2019-20'!$B$12:$AMX461,33,FALSE)</f>
        <v>3.0635671718523216E-2</v>
      </c>
      <c r="G253" s="171">
        <f>VLOOKUP(B253,'2019-20'!$B$12:$AMX461,34,FALSE)</f>
        <v>1.8712604325428872E-2</v>
      </c>
      <c r="I253" s="175">
        <v>16468357.288225044</v>
      </c>
      <c r="J253" s="175">
        <v>1671.6889868275275</v>
      </c>
      <c r="K253" s="171">
        <f t="shared" si="80"/>
        <v>3.608651934247753E-3</v>
      </c>
      <c r="L253" s="170">
        <f t="shared" si="80"/>
        <v>3.608651934247753E-3</v>
      </c>
      <c r="N253" s="55">
        <v>11918900</v>
      </c>
      <c r="O253" s="55">
        <v>1323987</v>
      </c>
      <c r="P253" s="55">
        <v>3269723</v>
      </c>
      <c r="R253" s="55">
        <v>3269723</v>
      </c>
      <c r="S253" s="55">
        <v>15175.857607081532</v>
      </c>
      <c r="U253" s="171">
        <v>9.3289744585109968E-3</v>
      </c>
      <c r="V253" s="171">
        <v>-3.8809197783809091E-2</v>
      </c>
      <c r="AA253" s="55">
        <v>0</v>
      </c>
      <c r="AB253" s="55">
        <v>0</v>
      </c>
      <c r="AC253" s="55">
        <v>15175.857607081532</v>
      </c>
      <c r="AE253" s="55">
        <v>0</v>
      </c>
      <c r="AF253" s="55">
        <v>350.63386111822911</v>
      </c>
      <c r="AG253" s="55">
        <v>14825.223745963303</v>
      </c>
      <c r="AI253" s="55">
        <v>13385.970631738845</v>
      </c>
      <c r="AJ253" s="55">
        <v>1439.2531142244554</v>
      </c>
      <c r="AK253" s="55">
        <v>0</v>
      </c>
      <c r="AM253" s="55">
        <v>11932286</v>
      </c>
      <c r="AN253" s="55">
        <v>1325778</v>
      </c>
      <c r="AO253" s="55">
        <v>3269723</v>
      </c>
      <c r="AP253" s="55"/>
      <c r="AQ253" s="55">
        <v>16527787</v>
      </c>
      <c r="AR253" s="1"/>
      <c r="AS253" s="175">
        <v>1211.2362359382707</v>
      </c>
      <c r="AT253" s="175">
        <v>134.57860081544882</v>
      </c>
      <c r="AU253" s="175">
        <v>331.90680973292046</v>
      </c>
      <c r="AV253" s="175"/>
      <c r="AW253" s="175">
        <v>1677.7216464866399</v>
      </c>
      <c r="AX253" s="1"/>
      <c r="AY253" s="171">
        <v>1.0462541956526739E-2</v>
      </c>
      <c r="AZ253" s="171">
        <v>-3.7508963924436478E-2</v>
      </c>
      <c r="BA253" s="171">
        <v>-3.7941819667720589E-3</v>
      </c>
      <c r="BB253" s="171">
        <f t="shared" si="81"/>
        <v>3.6087213032138798E-3</v>
      </c>
      <c r="BC253" s="171"/>
      <c r="BD253" s="1"/>
      <c r="BE253" s="179">
        <f>AM253/'2018-19 disagg'!AM253-1</f>
        <v>2.4677018072423618E-2</v>
      </c>
      <c r="BF253" s="179">
        <f>AN253/'2018-19 disagg'!AN253-1</f>
        <v>3.887337805572777E-2</v>
      </c>
      <c r="BG253" s="179">
        <f>AO253/'2018-19 disagg'!AO253-1</f>
        <v>4.9534185614449999E-2</v>
      </c>
      <c r="BH253" s="179">
        <f>AQ253/'2018-19 disagg'!AQ253-1</f>
        <v>3.0635742955584355E-2</v>
      </c>
      <c r="BI253" s="1"/>
      <c r="BJ253" s="179">
        <f>AS253/'2018-19 disagg'!AS253-1</f>
        <v>1.2822884281128877E-2</v>
      </c>
      <c r="BK253" s="179">
        <f>AT253/'2018-19 disagg'!AT253-1</f>
        <v>2.6855011489008485E-2</v>
      </c>
      <c r="BL253" s="179">
        <f>AU253/'2018-19 disagg'!AU253-1</f>
        <v>3.7392487854686296E-2</v>
      </c>
      <c r="BM253" s="179">
        <f>AW253/'2018-19 disagg'!AW253-1</f>
        <v>1.8712674738373014E-2</v>
      </c>
    </row>
    <row r="254" spans="2:65" x14ac:dyDescent="0.2">
      <c r="B254" s="1" t="s">
        <v>534</v>
      </c>
      <c r="D254" s="55">
        <v>3150382.1355732414</v>
      </c>
      <c r="E254" s="166">
        <v>1664.9047967462966</v>
      </c>
      <c r="F254" s="171">
        <f>VLOOKUP(B254,'2019-20'!$B$12:$AMX462,33,FALSE)</f>
        <v>2.8971719961995213E-2</v>
      </c>
      <c r="G254" s="171">
        <f>VLOOKUP(B254,'2019-20'!$B$12:$AMX462,34,FALSE)</f>
        <v>2.0199529365799496E-2</v>
      </c>
      <c r="I254" s="175">
        <v>3185263.0811535278</v>
      </c>
      <c r="J254" s="175">
        <v>1683.338577510832</v>
      </c>
      <c r="K254" s="171">
        <f t="shared" si="80"/>
        <v>-1.0950726734839877E-2</v>
      </c>
      <c r="L254" s="170">
        <f t="shared" si="80"/>
        <v>-1.0950726734839988E-2</v>
      </c>
      <c r="N254" s="55">
        <v>2372999</v>
      </c>
      <c r="O254" s="55">
        <v>249926</v>
      </c>
      <c r="P254" s="55">
        <v>522345</v>
      </c>
      <c r="R254" s="55">
        <v>522345</v>
      </c>
      <c r="S254" s="55">
        <v>5112.135573241103</v>
      </c>
      <c r="U254" s="171">
        <v>-2.8533775890156043E-3</v>
      </c>
      <c r="V254" s="171">
        <v>-1.9822146240620397E-2</v>
      </c>
      <c r="AA254" s="55">
        <v>0</v>
      </c>
      <c r="AB254" s="55">
        <v>0</v>
      </c>
      <c r="AC254" s="55">
        <v>5112.135573241103</v>
      </c>
      <c r="AE254" s="55">
        <v>0</v>
      </c>
      <c r="AF254" s="55">
        <v>0</v>
      </c>
      <c r="AG254" s="55">
        <v>5112.135573241103</v>
      </c>
      <c r="AI254" s="55">
        <v>4623.5562366958238</v>
      </c>
      <c r="AJ254" s="55">
        <v>488.57933654527898</v>
      </c>
      <c r="AK254" s="55">
        <v>0</v>
      </c>
      <c r="AM254" s="55">
        <v>2377623</v>
      </c>
      <c r="AN254" s="55">
        <v>250415</v>
      </c>
      <c r="AO254" s="55">
        <v>522345</v>
      </c>
      <c r="AP254" s="55"/>
      <c r="AQ254" s="55">
        <v>3150383</v>
      </c>
      <c r="AR254" s="1"/>
      <c r="AS254" s="175">
        <v>1256.5192942328665</v>
      </c>
      <c r="AT254" s="175">
        <v>132.33859155354878</v>
      </c>
      <c r="AU254" s="175">
        <v>276.04736778962297</v>
      </c>
      <c r="AV254" s="175"/>
      <c r="AW254" s="175">
        <v>1664.9052535760384</v>
      </c>
      <c r="AX254" s="1"/>
      <c r="AY254" s="171">
        <v>-9.1034854347937788E-4</v>
      </c>
      <c r="AZ254" s="171">
        <v>-1.7904350691184456E-2</v>
      </c>
      <c r="BA254" s="171">
        <v>-5.1133016360892181E-2</v>
      </c>
      <c r="BB254" s="171">
        <f t="shared" si="81"/>
        <v>-1.0950455351680488E-2</v>
      </c>
      <c r="BC254" s="171"/>
      <c r="BD254" s="1"/>
      <c r="BE254" s="179">
        <f>AM254/'2018-19 disagg'!AM254-1</f>
        <v>2.462241762181816E-2</v>
      </c>
      <c r="BF254" s="179">
        <f>AN254/'2018-19 disagg'!AN254-1</f>
        <v>3.490957481981094E-2</v>
      </c>
      <c r="BG254" s="179">
        <f>AO254/'2018-19 disagg'!AO254-1</f>
        <v>4.6311783264059381E-2</v>
      </c>
      <c r="BH254" s="179">
        <f>AQ254/'2018-19 disagg'!AQ254-1</f>
        <v>2.897200229939112E-2</v>
      </c>
      <c r="BI254" s="1"/>
      <c r="BJ254" s="179">
        <f>AS254/'2018-19 disagg'!AS254-1</f>
        <v>1.5887305701691501E-2</v>
      </c>
      <c r="BK254" s="179">
        <f>AT254/'2018-19 disagg'!AT254-1</f>
        <v>2.6086762818250397E-2</v>
      </c>
      <c r="BL254" s="179">
        <f>AU254/'2018-19 disagg'!AU254-1</f>
        <v>3.7391765145216693E-2</v>
      </c>
      <c r="BM254" s="179">
        <f>AW254/'2018-19 disagg'!AW254-1</f>
        <v>2.0199809296212567E-2</v>
      </c>
    </row>
    <row r="255" spans="2:65" x14ac:dyDescent="0.2">
      <c r="B255" s="1" t="s">
        <v>535</v>
      </c>
      <c r="D255" s="55">
        <v>3420338.5064195595</v>
      </c>
      <c r="E255" s="166">
        <v>1489.4087808952324</v>
      </c>
      <c r="F255" s="171">
        <f>VLOOKUP(B255,'2019-20'!$B$12:$AMX463,33,FALSE)</f>
        <v>2.7307611061253789E-2</v>
      </c>
      <c r="G255" s="171">
        <f>VLOOKUP(B255,'2019-20'!$B$12:$AMX463,34,FALSE)</f>
        <v>2.0075426561419363E-2</v>
      </c>
      <c r="I255" s="175">
        <v>3461414.0838052239</v>
      </c>
      <c r="J255" s="175">
        <v>1507.2954098133134</v>
      </c>
      <c r="K255" s="171">
        <f t="shared" si="80"/>
        <v>-1.1866704298062136E-2</v>
      </c>
      <c r="L255" s="170">
        <f t="shared" si="80"/>
        <v>-1.1866704298062136E-2</v>
      </c>
      <c r="N255" s="55">
        <v>2509632</v>
      </c>
      <c r="O255" s="55">
        <v>294816</v>
      </c>
      <c r="P255" s="55">
        <v>613226</v>
      </c>
      <c r="R255" s="55">
        <v>613226</v>
      </c>
      <c r="S255" s="55">
        <v>2664.5064195593004</v>
      </c>
      <c r="U255" s="171">
        <v>-3.3370539457285409E-2</v>
      </c>
      <c r="V255" s="171">
        <v>-6.2484022677660178E-3</v>
      </c>
      <c r="AA255" s="55">
        <v>258.01229958276963</v>
      </c>
      <c r="AB255" s="55">
        <v>0</v>
      </c>
      <c r="AC255" s="55">
        <v>2406.4941199765308</v>
      </c>
      <c r="AE255" s="55">
        <v>0</v>
      </c>
      <c r="AF255" s="55">
        <v>0</v>
      </c>
      <c r="AG255" s="55">
        <v>2406.4941199765308</v>
      </c>
      <c r="AI255" s="55">
        <v>2162.7829686516643</v>
      </c>
      <c r="AJ255" s="55">
        <v>243.71115132486631</v>
      </c>
      <c r="AK255" s="55">
        <v>0</v>
      </c>
      <c r="AM255" s="55">
        <v>2512052</v>
      </c>
      <c r="AN255" s="55">
        <v>295059</v>
      </c>
      <c r="AO255" s="55">
        <v>613226</v>
      </c>
      <c r="AP255" s="55"/>
      <c r="AQ255" s="55">
        <v>3420337</v>
      </c>
      <c r="AR255" s="1"/>
      <c r="AS255" s="175">
        <v>1093.8894790217817</v>
      </c>
      <c r="AT255" s="175">
        <v>128.48537203476991</v>
      </c>
      <c r="AU255" s="175">
        <v>267.03327385842772</v>
      </c>
      <c r="AV255" s="175"/>
      <c r="AW255" s="175">
        <v>1489.4081249149792</v>
      </c>
      <c r="AX255" s="1"/>
      <c r="AY255" s="171">
        <v>-3.2438433357859897E-2</v>
      </c>
      <c r="AZ255" s="171">
        <v>-5.4293095514651446E-3</v>
      </c>
      <c r="BA255" s="171">
        <v>7.872415797283483E-2</v>
      </c>
      <c r="BB255" s="171">
        <f t="shared" si="81"/>
        <v>-1.1867139501572366E-2</v>
      </c>
      <c r="BC255" s="171"/>
      <c r="BD255" s="1"/>
      <c r="BE255" s="179">
        <f>AM255/'2018-19 disagg'!AM255-1</f>
        <v>2.2712958669328209E-2</v>
      </c>
      <c r="BF255" s="179">
        <f>AN255/'2018-19 disagg'!AN255-1</f>
        <v>3.1097987140061401E-2</v>
      </c>
      <c r="BG255" s="179">
        <f>AO255/'2018-19 disagg'!AO255-1</f>
        <v>4.4683362947340433E-2</v>
      </c>
      <c r="BH255" s="179">
        <f>AQ255/'2018-19 disagg'!AQ255-1</f>
        <v>2.7307158604201298E-2</v>
      </c>
      <c r="BI255" s="1"/>
      <c r="BJ255" s="179">
        <f>AS255/'2018-19 disagg'!AS255-1</f>
        <v>1.5513120249142531E-2</v>
      </c>
      <c r="BK255" s="179">
        <f>AT255/'2018-19 disagg'!AT255-1</f>
        <v>2.3839118618001809E-2</v>
      </c>
      <c r="BL255" s="179">
        <f>AU255/'2018-19 disagg'!AU255-1</f>
        <v>3.7328854187362204E-2</v>
      </c>
      <c r="BM255" s="179">
        <f>AW255/'2018-19 disagg'!AW255-1</f>
        <v>2.0074977289637808E-2</v>
      </c>
    </row>
    <row r="256" spans="2:65" x14ac:dyDescent="0.2">
      <c r="B256" s="1" t="s">
        <v>536</v>
      </c>
      <c r="D256" s="55">
        <v>4940414.39878383</v>
      </c>
      <c r="E256" s="166">
        <v>1657.9233691621598</v>
      </c>
      <c r="F256" s="171">
        <f>VLOOKUP(B256,'2019-20'!$B$12:$AMX464,33,FALSE)</f>
        <v>2.7336161691608352E-2</v>
      </c>
      <c r="G256" s="171">
        <f>VLOOKUP(B256,'2019-20'!$B$12:$AMX464,34,FALSE)</f>
        <v>1.9397522175082615E-2</v>
      </c>
      <c r="I256" s="175">
        <v>4989361.2688528495</v>
      </c>
      <c r="J256" s="175">
        <v>1674.3491491037673</v>
      </c>
      <c r="K256" s="171">
        <f t="shared" si="80"/>
        <v>-9.8102477314242487E-3</v>
      </c>
      <c r="L256" s="170">
        <f t="shared" si="80"/>
        <v>-9.8102477314243597E-3</v>
      </c>
      <c r="N256" s="55">
        <v>3730906</v>
      </c>
      <c r="O256" s="55">
        <v>385276</v>
      </c>
      <c r="P256" s="55">
        <v>819624</v>
      </c>
      <c r="R256" s="55">
        <v>819624</v>
      </c>
      <c r="S256" s="55">
        <v>4608.3987838297617</v>
      </c>
      <c r="U256" s="171">
        <v>-1.1061889687597581E-2</v>
      </c>
      <c r="V256" s="171">
        <v>-3.6979818351129179E-2</v>
      </c>
      <c r="AA256" s="55">
        <v>223.00543845805805</v>
      </c>
      <c r="AB256" s="55">
        <v>0</v>
      </c>
      <c r="AC256" s="55">
        <v>4385.3933453717036</v>
      </c>
      <c r="AE256" s="55">
        <v>0</v>
      </c>
      <c r="AF256" s="55">
        <v>0</v>
      </c>
      <c r="AG256" s="55">
        <v>4385.3933453717036</v>
      </c>
      <c r="AI256" s="55">
        <v>3977.6022240462148</v>
      </c>
      <c r="AJ256" s="55">
        <v>407.79112132548863</v>
      </c>
      <c r="AK256" s="55">
        <v>0</v>
      </c>
      <c r="AM256" s="55">
        <v>3735106</v>
      </c>
      <c r="AN256" s="55">
        <v>385684</v>
      </c>
      <c r="AO256" s="55">
        <v>819624</v>
      </c>
      <c r="AP256" s="55"/>
      <c r="AQ256" s="55">
        <v>4940414</v>
      </c>
      <c r="AR256" s="1"/>
      <c r="AS256" s="175">
        <v>1253.4413156155881</v>
      </c>
      <c r="AT256" s="175">
        <v>129.42932820966325</v>
      </c>
      <c r="AU256" s="175">
        <v>275.05259151148874</v>
      </c>
      <c r="AV256" s="175"/>
      <c r="AW256" s="175">
        <v>1657.9232353367402</v>
      </c>
      <c r="AX256" s="1"/>
      <c r="AY256" s="171">
        <v>-9.9486104832134936E-3</v>
      </c>
      <c r="AZ256" s="171">
        <v>-3.5959998185552511E-2</v>
      </c>
      <c r="BA256" s="171">
        <v>3.6389761105326546E-3</v>
      </c>
      <c r="BB256" s="171">
        <f t="shared" si="81"/>
        <v>-9.810327658254181E-3</v>
      </c>
      <c r="BC256" s="171"/>
      <c r="BD256" s="1"/>
      <c r="BE256" s="179">
        <f>AM256/'2018-19 disagg'!AM256-1</f>
        <v>2.2718212027153406E-2</v>
      </c>
      <c r="BF256" s="179">
        <f>AN256/'2018-19 disagg'!AN256-1</f>
        <v>3.44574170482006E-2</v>
      </c>
      <c r="BG256" s="179">
        <f>AO256/'2018-19 disagg'!AO256-1</f>
        <v>4.5461444954801422E-2</v>
      </c>
      <c r="BH256" s="179">
        <f>AQ256/'2018-19 disagg'!AQ256-1</f>
        <v>2.7336078766368344E-2</v>
      </c>
      <c r="BI256" s="1"/>
      <c r="BJ256" s="179">
        <f>AS256/'2018-19 disagg'!AS256-1</f>
        <v>1.4815257264127801E-2</v>
      </c>
      <c r="BK256" s="179">
        <f>AT256/'2018-19 disagg'!AT256-1</f>
        <v>2.646374872874846E-2</v>
      </c>
      <c r="BL256" s="179">
        <f>AU256/'2018-19 disagg'!AU256-1</f>
        <v>3.7382744088031217E-2</v>
      </c>
      <c r="BM256" s="179">
        <f>AW256/'2018-19 disagg'!AW256-1</f>
        <v>1.9397439890639356E-2</v>
      </c>
    </row>
    <row r="257" spans="2:65" x14ac:dyDescent="0.2">
      <c r="B257" s="1" t="s">
        <v>537</v>
      </c>
      <c r="D257" s="55">
        <v>4785873.5345918648</v>
      </c>
      <c r="E257" s="166">
        <v>1645.4275802718187</v>
      </c>
      <c r="F257" s="171">
        <f>VLOOKUP(B257,'2019-20'!$B$12:$AMX465,33,FALSE)</f>
        <v>2.5221091277049856E-2</v>
      </c>
      <c r="G257" s="171">
        <f>VLOOKUP(B257,'2019-20'!$B$12:$AMX465,34,FALSE)</f>
        <v>1.9076181634550604E-2</v>
      </c>
      <c r="I257" s="175">
        <v>4811395.433160495</v>
      </c>
      <c r="J257" s="175">
        <v>1654.2022450226091</v>
      </c>
      <c r="K257" s="171">
        <f t="shared" si="80"/>
        <v>-5.304469134407741E-3</v>
      </c>
      <c r="L257" s="170">
        <f t="shared" si="80"/>
        <v>-5.304469134407741E-3</v>
      </c>
      <c r="N257" s="55">
        <v>3635668</v>
      </c>
      <c r="O257" s="55">
        <v>384509</v>
      </c>
      <c r="P257" s="55">
        <v>762773</v>
      </c>
      <c r="R257" s="55">
        <v>762773</v>
      </c>
      <c r="S257" s="55">
        <v>2923.5345918651437</v>
      </c>
      <c r="U257" s="171">
        <v>-2.0363035707101518E-2</v>
      </c>
      <c r="V257" s="171">
        <v>-1.6735516800956751E-2</v>
      </c>
      <c r="AA257" s="55">
        <v>340.57182745583123</v>
      </c>
      <c r="AB257" s="55">
        <v>0</v>
      </c>
      <c r="AC257" s="55">
        <v>2582.9627644093125</v>
      </c>
      <c r="AE257" s="55">
        <v>0</v>
      </c>
      <c r="AF257" s="55">
        <v>0</v>
      </c>
      <c r="AG257" s="55">
        <v>2582.9627644093125</v>
      </c>
      <c r="AI257" s="55">
        <v>2334.3444628763309</v>
      </c>
      <c r="AJ257" s="55">
        <v>248.61830153298195</v>
      </c>
      <c r="AK257" s="55">
        <v>0</v>
      </c>
      <c r="AM257" s="55">
        <v>3638343</v>
      </c>
      <c r="AN257" s="55">
        <v>384758</v>
      </c>
      <c r="AO257" s="55">
        <v>762773</v>
      </c>
      <c r="AP257" s="55"/>
      <c r="AQ257" s="55">
        <v>4785874</v>
      </c>
      <c r="AR257" s="1"/>
      <c r="AS257" s="175">
        <v>1250.8959702796335</v>
      </c>
      <c r="AT257" s="175">
        <v>132.28335858737103</v>
      </c>
      <c r="AU257" s="175">
        <v>262.24841141643515</v>
      </c>
      <c r="AV257" s="175"/>
      <c r="AW257" s="175">
        <v>1645.4277402834398</v>
      </c>
      <c r="AX257" s="1"/>
      <c r="AY257" s="171">
        <v>-1.9642252379392988E-2</v>
      </c>
      <c r="AZ257" s="171">
        <v>-1.609877525182124E-2</v>
      </c>
      <c r="BA257" s="171">
        <v>7.5688936636585158E-2</v>
      </c>
      <c r="BB257" s="171">
        <f t="shared" si="81"/>
        <v>-5.3043724040222617E-3</v>
      </c>
      <c r="BC257" s="171"/>
      <c r="BD257" s="1"/>
      <c r="BE257" s="179">
        <f>AM257/'2018-19 disagg'!AM257-1</f>
        <v>2.0870885195120037E-2</v>
      </c>
      <c r="BF257" s="179">
        <f>AN257/'2018-19 disagg'!AN257-1</f>
        <v>3.0699334044114845E-2</v>
      </c>
      <c r="BG257" s="179">
        <f>AO257/'2018-19 disagg'!AO257-1</f>
        <v>4.3636438266199562E-2</v>
      </c>
      <c r="BH257" s="179">
        <f>AQ257/'2018-19 disagg'!AQ257-1</f>
        <v>2.5221190975930785E-2</v>
      </c>
      <c r="BI257" s="1"/>
      <c r="BJ257" s="179">
        <f>AS257/'2018-19 disagg'!AS257-1</f>
        <v>1.4752049560975866E-2</v>
      </c>
      <c r="BK257" s="179">
        <f>AT257/'2018-19 disagg'!AT257-1</f>
        <v>2.4521589233582608E-2</v>
      </c>
      <c r="BL257" s="179">
        <f>AU257/'2018-19 disagg'!AU257-1</f>
        <v>3.7381151804255053E-2</v>
      </c>
      <c r="BM257" s="179">
        <f>AW257/'2018-19 disagg'!AW257-1</f>
        <v>1.907628073586265E-2</v>
      </c>
    </row>
    <row r="258" spans="2:65" x14ac:dyDescent="0.2">
      <c r="B258" s="1" t="s">
        <v>538</v>
      </c>
      <c r="D258" s="55">
        <v>2491319.3014421538</v>
      </c>
      <c r="E258" s="166">
        <v>1557.8552259297571</v>
      </c>
      <c r="F258" s="171">
        <f>VLOOKUP(B258,'2019-20'!$B$12:$AMX466,33,FALSE)</f>
        <v>2.6785021593169089E-2</v>
      </c>
      <c r="G258" s="171">
        <f>VLOOKUP(B258,'2019-20'!$B$12:$AMX466,34,FALSE)</f>
        <v>1.9935660496384511E-2</v>
      </c>
      <c r="I258" s="175">
        <v>2533941.130360411</v>
      </c>
      <c r="J258" s="175">
        <v>1584.5072246842142</v>
      </c>
      <c r="K258" s="171">
        <f t="shared" si="80"/>
        <v>-1.6820370610660218E-2</v>
      </c>
      <c r="L258" s="170">
        <f t="shared" si="80"/>
        <v>-1.6820370610660107E-2</v>
      </c>
      <c r="N258" s="55">
        <v>1902699</v>
      </c>
      <c r="O258" s="55">
        <v>204278</v>
      </c>
      <c r="P258" s="55">
        <v>381434</v>
      </c>
      <c r="R258" s="55">
        <v>381434</v>
      </c>
      <c r="S258" s="55">
        <v>2908.3014421534026</v>
      </c>
      <c r="U258" s="171">
        <v>-1.9964476269037856E-2</v>
      </c>
      <c r="V258" s="171">
        <v>-1.6636839847688156E-2</v>
      </c>
      <c r="AA258" s="55">
        <v>0</v>
      </c>
      <c r="AB258" s="55">
        <v>0</v>
      </c>
      <c r="AC258" s="55">
        <v>2908.3014421534026</v>
      </c>
      <c r="AE258" s="55">
        <v>0</v>
      </c>
      <c r="AF258" s="55">
        <v>0</v>
      </c>
      <c r="AG258" s="55">
        <v>2908.3014421534026</v>
      </c>
      <c r="AI258" s="55">
        <v>2633.2825464353214</v>
      </c>
      <c r="AJ258" s="55">
        <v>275.01889571808078</v>
      </c>
      <c r="AK258" s="55">
        <v>0</v>
      </c>
      <c r="AM258" s="55">
        <v>1905332</v>
      </c>
      <c r="AN258" s="55">
        <v>204553</v>
      </c>
      <c r="AO258" s="55">
        <v>381434</v>
      </c>
      <c r="AP258" s="55"/>
      <c r="AQ258" s="55">
        <v>2491319</v>
      </c>
      <c r="AR258" s="1"/>
      <c r="AS258" s="175">
        <v>1191.4295416139437</v>
      </c>
      <c r="AT258" s="175">
        <v>127.90972230863547</v>
      </c>
      <c r="AU258" s="175">
        <v>238.51577351137388</v>
      </c>
      <c r="AV258" s="175"/>
      <c r="AW258" s="175">
        <v>1557.8550374339532</v>
      </c>
      <c r="AX258" s="1"/>
      <c r="AY258" s="171">
        <v>-1.8608279869090416E-2</v>
      </c>
      <c r="AZ258" s="171">
        <v>-1.5313031757527296E-2</v>
      </c>
      <c r="BA258" s="171">
        <v>-8.6131105413511655E-3</v>
      </c>
      <c r="BB258" s="171">
        <f t="shared" si="81"/>
        <v>-1.6820489572442754E-2</v>
      </c>
      <c r="BC258" s="171"/>
      <c r="BD258" s="1"/>
      <c r="BE258" s="179">
        <f>AM258/'2018-19 disagg'!AM258-1</f>
        <v>2.2768605777179429E-2</v>
      </c>
      <c r="BF258" s="179">
        <f>AN258/'2018-19 disagg'!AN258-1</f>
        <v>3.2157634473710672E-2</v>
      </c>
      <c r="BG258" s="179">
        <f>AO258/'2018-19 disagg'!AO258-1</f>
        <v>4.435512575499545E-2</v>
      </c>
      <c r="BH258" s="179">
        <f>AQ258/'2018-19 disagg'!AQ258-1</f>
        <v>2.6784897355264903E-2</v>
      </c>
      <c r="BI258" s="1"/>
      <c r="BJ258" s="179">
        <f>AS258/'2018-19 disagg'!AS258-1</f>
        <v>1.5946036931606233E-2</v>
      </c>
      <c r="BK258" s="179">
        <f>AT258/'2018-19 disagg'!AT258-1</f>
        <v>2.5272434360113394E-2</v>
      </c>
      <c r="BL258" s="179">
        <f>AU258/'2018-19 disagg'!AU258-1</f>
        <v>3.7388559999609994E-2</v>
      </c>
      <c r="BM258" s="179">
        <f>AW258/'2018-19 disagg'!AW258-1</f>
        <v>1.9935537087232502E-2</v>
      </c>
    </row>
    <row r="259" spans="2:65" x14ac:dyDescent="0.2">
      <c r="B259" s="1" t="s">
        <v>539</v>
      </c>
      <c r="D259" s="55">
        <v>2575195.491187586</v>
      </c>
      <c r="E259" s="166">
        <v>1629.1820675377476</v>
      </c>
      <c r="F259" s="171">
        <f>VLOOKUP(B259,'2019-20'!$B$12:$AMX467,33,FALSE)</f>
        <v>2.6399989472759788E-2</v>
      </c>
      <c r="G259" s="171">
        <f>VLOOKUP(B259,'2019-20'!$B$12:$AMX467,34,FALSE)</f>
        <v>1.8287684460217335E-2</v>
      </c>
      <c r="I259" s="175">
        <v>2592845.8509134846</v>
      </c>
      <c r="J259" s="175">
        <v>1640.3484623413372</v>
      </c>
      <c r="K259" s="171">
        <f t="shared" si="80"/>
        <v>-6.8073309177559826E-3</v>
      </c>
      <c r="L259" s="170">
        <f t="shared" si="80"/>
        <v>-6.8073309177559826E-3</v>
      </c>
      <c r="N259" s="55">
        <v>1922978</v>
      </c>
      <c r="O259" s="55">
        <v>213715</v>
      </c>
      <c r="P259" s="55">
        <v>438042</v>
      </c>
      <c r="R259" s="55">
        <v>438042</v>
      </c>
      <c r="S259" s="55">
        <v>460.4911875858088</v>
      </c>
      <c r="U259" s="171">
        <v>-1.6868527444438675E-2</v>
      </c>
      <c r="V259" s="171">
        <v>2.0193104112554705E-2</v>
      </c>
      <c r="AA259" s="55">
        <v>460.4911875858088</v>
      </c>
      <c r="AB259" s="55">
        <v>0</v>
      </c>
      <c r="AC259" s="55">
        <v>0</v>
      </c>
      <c r="AE259" s="55">
        <v>0</v>
      </c>
      <c r="AF259" s="55">
        <v>0</v>
      </c>
      <c r="AG259" s="55">
        <v>0</v>
      </c>
      <c r="AI259" s="55">
        <v>0</v>
      </c>
      <c r="AJ259" s="55">
        <v>0</v>
      </c>
      <c r="AK259" s="55">
        <v>0</v>
      </c>
      <c r="AM259" s="55">
        <v>1923438</v>
      </c>
      <c r="AN259" s="55">
        <v>213715</v>
      </c>
      <c r="AO259" s="55">
        <v>438042</v>
      </c>
      <c r="AP259" s="55"/>
      <c r="AQ259" s="55">
        <v>2575195</v>
      </c>
      <c r="AR259" s="1"/>
      <c r="AS259" s="175">
        <v>1216.8515781982649</v>
      </c>
      <c r="AT259" s="175">
        <v>135.20552002957319</v>
      </c>
      <c r="AU259" s="175">
        <v>277.12465856301287</v>
      </c>
      <c r="AV259" s="175"/>
      <c r="AW259" s="175">
        <v>1629.1817567908511</v>
      </c>
      <c r="AX259" s="1"/>
      <c r="AY259" s="171">
        <v>-1.6633350298690952E-2</v>
      </c>
      <c r="AZ259" s="171">
        <v>2.0193104112554705E-2</v>
      </c>
      <c r="BA259" s="171">
        <v>2.4926665544799942E-2</v>
      </c>
      <c r="BB259" s="171">
        <f t="shared" si="81"/>
        <v>-6.8075203573193521E-3</v>
      </c>
      <c r="BC259" s="171"/>
      <c r="BD259" s="1"/>
      <c r="BE259" s="179">
        <f>AM259/'2018-19 disagg'!AM259-1</f>
        <v>2.2133205228219044E-2</v>
      </c>
      <c r="BF259" s="179">
        <f>AN259/'2018-19 disagg'!AN259-1</f>
        <v>2.5981382889348703E-2</v>
      </c>
      <c r="BG259" s="179">
        <f>AO259/'2018-19 disagg'!AO259-1</f>
        <v>4.5775757517881432E-2</v>
      </c>
      <c r="BH259" s="179">
        <f>AQ259/'2018-19 disagg'!AQ259-1</f>
        <v>2.6399793699299234E-2</v>
      </c>
      <c r="BI259" s="1"/>
      <c r="BJ259" s="179">
        <f>AS259/'2018-19 disagg'!AS259-1</f>
        <v>1.4054623379715414E-2</v>
      </c>
      <c r="BK259" s="179">
        <f>AT259/'2018-19 disagg'!AT259-1</f>
        <v>1.7872386396213802E-2</v>
      </c>
      <c r="BL259" s="179">
        <f>AU259/'2018-19 disagg'!AU259-1</f>
        <v>3.7510313240095128E-2</v>
      </c>
      <c r="BM259" s="179">
        <f>AW259/'2018-19 disagg'!AW259-1</f>
        <v>1.8287490234081494E-2</v>
      </c>
    </row>
    <row r="260" spans="2:65" x14ac:dyDescent="0.2">
      <c r="B260" s="1" t="s">
        <v>540</v>
      </c>
      <c r="D260" s="55">
        <v>3129868</v>
      </c>
      <c r="E260" s="166">
        <v>1747.272459066317</v>
      </c>
      <c r="F260" s="171">
        <f>VLOOKUP(B260,'2019-20'!$B$12:$AMX468,33,FALSE)</f>
        <v>2.4407455120551313E-2</v>
      </c>
      <c r="G260" s="171">
        <f>VLOOKUP(B260,'2019-20'!$B$12:$AMX468,34,FALSE)</f>
        <v>1.8396471037847695E-2</v>
      </c>
      <c r="I260" s="175">
        <v>3097872.6239624768</v>
      </c>
      <c r="J260" s="175">
        <v>1729.410798648742</v>
      </c>
      <c r="K260" s="171">
        <f t="shared" si="80"/>
        <v>1.03281767591199E-2</v>
      </c>
      <c r="L260" s="170">
        <f t="shared" si="80"/>
        <v>1.03281767591199E-2</v>
      </c>
      <c r="N260" s="55">
        <v>2397134</v>
      </c>
      <c r="O260" s="55">
        <v>249770</v>
      </c>
      <c r="P260" s="55">
        <v>482964</v>
      </c>
      <c r="R260" s="55">
        <v>482964</v>
      </c>
      <c r="S260" s="55">
        <v>0</v>
      </c>
      <c r="U260" s="171">
        <v>1.3528812154179004E-2</v>
      </c>
      <c r="V260" s="171">
        <v>2.3532595338534135E-2</v>
      </c>
      <c r="AA260" s="55">
        <v>0</v>
      </c>
      <c r="AB260" s="55">
        <v>0</v>
      </c>
      <c r="AC260" s="55">
        <v>0</v>
      </c>
      <c r="AE260" s="55">
        <v>0</v>
      </c>
      <c r="AF260" s="55">
        <v>0</v>
      </c>
      <c r="AG260" s="55">
        <v>0</v>
      </c>
      <c r="AI260" s="55">
        <v>0</v>
      </c>
      <c r="AJ260" s="55">
        <v>0</v>
      </c>
      <c r="AK260" s="55">
        <v>0</v>
      </c>
      <c r="AM260" s="55">
        <v>2397134</v>
      </c>
      <c r="AN260" s="55">
        <v>249770</v>
      </c>
      <c r="AO260" s="55">
        <v>482964</v>
      </c>
      <c r="AP260" s="55"/>
      <c r="AQ260" s="55">
        <v>3129868</v>
      </c>
      <c r="AR260" s="1"/>
      <c r="AS260" s="175">
        <v>1338.2181673129592</v>
      </c>
      <c r="AT260" s="175">
        <v>139.43598966505743</v>
      </c>
      <c r="AU260" s="175">
        <v>269.61830208830042</v>
      </c>
      <c r="AV260" s="175"/>
      <c r="AW260" s="175">
        <v>1747.272459066317</v>
      </c>
      <c r="AX260" s="1"/>
      <c r="AY260" s="171">
        <v>1.3528812154179004E-2</v>
      </c>
      <c r="AZ260" s="171">
        <v>2.3532595338534135E-2</v>
      </c>
      <c r="BA260" s="171">
        <v>-1.1754874723277187E-2</v>
      </c>
      <c r="BB260" s="171">
        <f t="shared" si="81"/>
        <v>1.03281767591199E-2</v>
      </c>
      <c r="BC260" s="171"/>
      <c r="BD260" s="1"/>
      <c r="BE260" s="179">
        <f>AM260/'2018-19 disagg'!AM260-1</f>
        <v>2.0665511651840163E-2</v>
      </c>
      <c r="BF260" s="179">
        <f>AN260/'2018-19 disagg'!AN260-1</f>
        <v>2.4180618600665005E-2</v>
      </c>
      <c r="BG260" s="179">
        <f>AO260/'2018-19 disagg'!AO260-1</f>
        <v>4.3515461600954097E-2</v>
      </c>
      <c r="BH260" s="179">
        <f>AQ260/'2018-19 disagg'!AQ260-1</f>
        <v>2.4407455120551313E-2</v>
      </c>
      <c r="BI260" s="1"/>
      <c r="BJ260" s="179">
        <f>AS260/'2018-19 disagg'!AS260-1</f>
        <v>1.4676484420891533E-2</v>
      </c>
      <c r="BK260" s="179">
        <f>AT260/'2018-19 disagg'!AT260-1</f>
        <v>1.8170965541767892E-2</v>
      </c>
      <c r="BL260" s="179">
        <f>AU260/'2018-19 disagg'!AU260-1</f>
        <v>3.7392356191690679E-2</v>
      </c>
      <c r="BM260" s="179">
        <f>AW260/'2018-19 disagg'!AW260-1</f>
        <v>1.8396471037847695E-2</v>
      </c>
    </row>
    <row r="261" spans="2:65" ht="15" x14ac:dyDescent="0.25">
      <c r="B261"/>
      <c r="D261" s="1"/>
      <c r="N261" s="1"/>
      <c r="O261" s="1"/>
      <c r="P261" s="1"/>
      <c r="R261" s="1"/>
      <c r="S261" s="1"/>
      <c r="AA261" s="1"/>
      <c r="AB261" s="1"/>
      <c r="AC261" s="1"/>
      <c r="AE261" s="1"/>
      <c r="AF261" s="1"/>
      <c r="AG261" s="1"/>
      <c r="AI261" s="1"/>
      <c r="AJ261" s="1"/>
      <c r="AK261" s="1"/>
      <c r="AM261" s="1"/>
      <c r="AN261" s="1"/>
      <c r="AO261" s="1"/>
      <c r="AP261" s="1"/>
      <c r="AR261" s="1"/>
      <c r="AV261" s="64"/>
      <c r="AX261" s="1"/>
      <c r="BA261" s="64"/>
      <c r="BD261" s="1"/>
      <c r="BE261" s="179"/>
      <c r="BF261" s="179"/>
      <c r="BG261" s="179"/>
      <c r="BH261" s="179"/>
      <c r="BI261" s="1"/>
      <c r="BJ261" s="179"/>
      <c r="BK261" s="179"/>
    </row>
    <row r="262" spans="2:65" x14ac:dyDescent="0.2">
      <c r="B262" s="1" t="s">
        <v>12</v>
      </c>
      <c r="D262" s="172">
        <f>SUM(D236:D260)</f>
        <v>99838451.654917553</v>
      </c>
      <c r="E262" s="166">
        <v>1692.2107060040182</v>
      </c>
      <c r="F262" s="171">
        <f>VLOOKUP(B262,'2019-20'!$B$12:$AMX470,33,FALSE)</f>
        <v>2.665323895268723E-2</v>
      </c>
      <c r="G262" s="171">
        <f>VLOOKUP(B262,'2019-20'!$B$12:$AMX470,34,FALSE)</f>
        <v>1.9577570627366425E-2</v>
      </c>
      <c r="I262" s="175">
        <f>SUM(I236:I260)</f>
        <v>99838483.828704476</v>
      </c>
      <c r="J262" s="175">
        <v>1692.2112513332554</v>
      </c>
      <c r="K262" s="171">
        <f t="shared" ref="K262:L262" si="82">D262/I262-1</f>
        <v>-3.2225836865684698E-7</v>
      </c>
      <c r="L262" s="170">
        <f t="shared" si="82"/>
        <v>-3.2225836865684698E-7</v>
      </c>
      <c r="N262" s="172">
        <f>SUM(N236:N260)</f>
        <v>75160962</v>
      </c>
      <c r="O262" s="172">
        <f>SUM(O236:O260)</f>
        <v>7992415</v>
      </c>
      <c r="P262" s="172">
        <f>SUM(P236:P260)</f>
        <v>16596334</v>
      </c>
      <c r="R262" s="172">
        <f>SUM(R236:R260)</f>
        <v>16596334</v>
      </c>
      <c r="S262" s="172">
        <f>SUM(S236:S260)</f>
        <v>88740.654917549327</v>
      </c>
      <c r="U262" s="171">
        <v>-9.2916395838749111E-5</v>
      </c>
      <c r="V262" s="171">
        <v>-9.9697754214714829E-3</v>
      </c>
      <c r="AA262" s="172">
        <f>SUM(AA236:AA260)</f>
        <v>15817.158812276874</v>
      </c>
      <c r="AB262" s="172">
        <f>SUM(AB236:AB260)</f>
        <v>0</v>
      </c>
      <c r="AC262" s="172">
        <f>SUM(AC236:AC260)</f>
        <v>72923.496105272454</v>
      </c>
      <c r="AE262" s="172">
        <f>SUM(AE236:AE260)</f>
        <v>0</v>
      </c>
      <c r="AF262" s="172">
        <f>SUM(AF236:AF260)</f>
        <v>381.11262246734253</v>
      </c>
      <c r="AG262" s="172">
        <f>SUM(AG236:AG260)</f>
        <v>72542.383482805104</v>
      </c>
      <c r="AI262" s="172">
        <f>SUM(AI236:AI260)</f>
        <v>65609.912215498931</v>
      </c>
      <c r="AJ262" s="172">
        <f>SUM(AJ236:AJ260)</f>
        <v>6932.471267306164</v>
      </c>
      <c r="AK262" s="172">
        <f>SUM(AK236:AK260)</f>
        <v>0</v>
      </c>
      <c r="AM262" s="172">
        <f>SUM(AM236:AM260)</f>
        <v>75242387</v>
      </c>
      <c r="AN262" s="172">
        <f>SUM(AN236:AN260)</f>
        <v>7999732</v>
      </c>
      <c r="AO262" s="172">
        <f>SUM(AO236:AO260)</f>
        <v>16596334</v>
      </c>
      <c r="AP262" s="172"/>
      <c r="AQ262" s="172">
        <f>SUM(AQ236:AQ260)</f>
        <v>99838453</v>
      </c>
      <c r="AR262" s="1"/>
      <c r="AS262" s="175">
        <v>1275.3199865998333</v>
      </c>
      <c r="AT262" s="175">
        <v>135.59136696503603</v>
      </c>
      <c r="AU262" s="175">
        <v>281.2993752376085</v>
      </c>
      <c r="AV262" s="175"/>
      <c r="AW262" s="175">
        <v>1692.2107288024779</v>
      </c>
      <c r="AX262" s="1"/>
      <c r="AY262" s="171">
        <v>9.9032458612824392E-4</v>
      </c>
      <c r="AZ262" s="171">
        <v>-9.0634096792970853E-3</v>
      </c>
      <c r="BA262" s="171">
        <v>-7.853491492126885E-5</v>
      </c>
      <c r="BB262" s="171">
        <f t="shared" ref="BB262" si="83">SUM(AM262:AO262)/I262-1</f>
        <v>-3.0878578372028898E-7</v>
      </c>
      <c r="BC262" s="171"/>
      <c r="BD262" s="1"/>
      <c r="BE262" s="179">
        <f>AM262/'2018-19 disagg'!AM262-1</f>
        <v>2.2355184870710199E-2</v>
      </c>
      <c r="BF262" s="179">
        <f>AN262/'2018-19 disagg'!AN262-1</f>
        <v>3.0439825772549778E-2</v>
      </c>
      <c r="BG262" s="179">
        <f>AO262/'2018-19 disagg'!AO262-1</f>
        <v>4.4714991673167059E-2</v>
      </c>
      <c r="BH262" s="179">
        <f>AQ262/'2018-19 disagg'!AQ262-1</f>
        <v>2.6653252784364589E-2</v>
      </c>
      <c r="BI262" s="1"/>
      <c r="BJ262" s="179">
        <f>AS262/'2018-19 disagg'!AS262-1</f>
        <v>1.530913862612171E-2</v>
      </c>
      <c r="BK262" s="179">
        <f>AT262/'2018-19 disagg'!AT262-1</f>
        <v>2.3338060386014936E-2</v>
      </c>
      <c r="BL262" s="179">
        <f>AU262/'2018-19 disagg'!AU262-1</f>
        <v>3.7514842201948673E-2</v>
      </c>
      <c r="BM262" s="179">
        <f>AW262/'2018-19 disagg'!AW262-1</f>
        <v>1.9577584363716038E-2</v>
      </c>
    </row>
    <row r="263" spans="2:65" ht="15" x14ac:dyDescent="0.25">
      <c r="B263"/>
      <c r="D263" s="1"/>
      <c r="N263" s="1"/>
      <c r="O263" s="1"/>
      <c r="P263" s="1"/>
      <c r="R263" s="1"/>
      <c r="S263" s="1"/>
      <c r="AA263" s="1"/>
      <c r="AB263" s="1"/>
      <c r="AC263" s="1"/>
      <c r="AE263" s="1"/>
      <c r="AF263" s="1"/>
      <c r="AG263" s="1"/>
      <c r="AI263" s="1"/>
      <c r="AJ263" s="1"/>
      <c r="AK263" s="1"/>
      <c r="AM263" s="1"/>
      <c r="AN263" s="1"/>
      <c r="AO263" s="1"/>
      <c r="AP263" s="1"/>
      <c r="AR263" s="1"/>
      <c r="AV263" s="64"/>
      <c r="AX263" s="1"/>
      <c r="BA263" s="64"/>
      <c r="BD263" s="1"/>
      <c r="BE263" s="179"/>
      <c r="BF263" s="179"/>
      <c r="BG263" s="179"/>
      <c r="BH263" s="179"/>
      <c r="BI263" s="1"/>
      <c r="BJ263" s="179"/>
      <c r="BK263" s="179"/>
    </row>
    <row r="264" spans="2:65" ht="15" x14ac:dyDescent="0.25">
      <c r="B264" s="174" t="s">
        <v>541</v>
      </c>
      <c r="D264" s="1"/>
      <c r="N264" s="1"/>
      <c r="O264" s="1"/>
      <c r="P264" s="1"/>
      <c r="R264" s="1"/>
      <c r="S264" s="1"/>
      <c r="AA264" s="1"/>
      <c r="AB264" s="1"/>
      <c r="AC264" s="1"/>
      <c r="AE264" s="1"/>
      <c r="AF264" s="1"/>
      <c r="AG264" s="1"/>
      <c r="AI264" s="1"/>
      <c r="AJ264" s="1"/>
      <c r="AK264" s="1"/>
      <c r="AM264" s="1"/>
      <c r="AN264" s="1"/>
      <c r="AO264" s="1"/>
      <c r="AP264" s="1"/>
      <c r="AR264" s="1"/>
      <c r="AV264" s="64"/>
      <c r="AX264" s="1"/>
      <c r="BA264" s="64"/>
      <c r="BD264" s="1"/>
      <c r="BE264" s="179"/>
      <c r="BF264" s="179"/>
      <c r="BG264" s="179"/>
      <c r="BH264" s="179"/>
      <c r="BI264" s="1"/>
      <c r="BJ264" s="179"/>
      <c r="BK264" s="179"/>
    </row>
    <row r="265" spans="2:65" ht="15" x14ac:dyDescent="0.25">
      <c r="B265" t="s">
        <v>542</v>
      </c>
      <c r="D265" s="55">
        <v>7359913.3278168179</v>
      </c>
      <c r="E265" s="166">
        <v>1536.4329538494019</v>
      </c>
      <c r="F265" s="171">
        <f>VLOOKUP(B265,'2019-20'!$B$12:$AMX473,33,FALSE)</f>
        <v>2.7678719806774277E-2</v>
      </c>
      <c r="G265" s="171">
        <f>VLOOKUP(B265,'2019-20'!$B$12:$AMX473,34,FALSE)</f>
        <v>1.9730806413717383E-2</v>
      </c>
      <c r="I265" s="175">
        <v>7469687.0105904546</v>
      </c>
      <c r="J265" s="175">
        <v>1559.3489714934378</v>
      </c>
      <c r="K265" s="171">
        <f t="shared" ref="K265:L274" si="84">D265/I265-1</f>
        <v>-1.4695887875623259E-2</v>
      </c>
      <c r="L265" s="170">
        <f t="shared" si="84"/>
        <v>-1.4695887875623259E-2</v>
      </c>
      <c r="N265" s="55">
        <v>5527014</v>
      </c>
      <c r="O265" s="55">
        <v>600673</v>
      </c>
      <c r="P265" s="55">
        <v>1224744</v>
      </c>
      <c r="R265" s="55">
        <v>1224744</v>
      </c>
      <c r="S265" s="55">
        <v>7482.3278168177349</v>
      </c>
      <c r="U265" s="171">
        <v>-2.5349885982363873E-2</v>
      </c>
      <c r="V265" s="171">
        <v>-1.5723376053117244E-2</v>
      </c>
      <c r="AA265" s="55">
        <v>789.45637868955964</v>
      </c>
      <c r="AB265" s="55">
        <v>0</v>
      </c>
      <c r="AC265" s="55">
        <v>6692.8714381281752</v>
      </c>
      <c r="AE265" s="55">
        <v>0</v>
      </c>
      <c r="AF265" s="55">
        <v>0</v>
      </c>
      <c r="AG265" s="55">
        <v>6692.8714381281752</v>
      </c>
      <c r="AI265" s="55">
        <v>6043.3545579754218</v>
      </c>
      <c r="AJ265" s="55">
        <v>649.51688015275352</v>
      </c>
      <c r="AK265" s="55">
        <v>0</v>
      </c>
      <c r="AM265" s="55">
        <v>5533846</v>
      </c>
      <c r="AN265" s="55">
        <v>601322</v>
      </c>
      <c r="AO265" s="55">
        <v>1224744</v>
      </c>
      <c r="AP265" s="55"/>
      <c r="AQ265" s="55">
        <v>7359912</v>
      </c>
      <c r="AR265" s="1"/>
      <c r="AS265" s="175">
        <v>1155.228733984259</v>
      </c>
      <c r="AT265" s="175">
        <v>125.53013813121699</v>
      </c>
      <c r="AU265" s="175">
        <v>255.67380454295571</v>
      </c>
      <c r="AV265" s="175"/>
      <c r="AW265" s="175">
        <v>1536.4326766584318</v>
      </c>
      <c r="AX265" s="1"/>
      <c r="AY265" s="171">
        <v>-2.4145110749486109E-2</v>
      </c>
      <c r="AZ265" s="171">
        <v>-1.4659909692982032E-2</v>
      </c>
      <c r="BA265" s="171">
        <v>3.0364478719065779E-2</v>
      </c>
      <c r="BB265" s="171">
        <f t="shared" ref="BB265:BB274" si="85">SUM(AM265:AO265)/I265-1</f>
        <v>-1.4696065636326749E-2</v>
      </c>
      <c r="BC265" s="171"/>
      <c r="BD265" s="1"/>
      <c r="BE265" s="179">
        <f>AM265/'2018-19 disagg'!AM265-1</f>
        <v>2.3283774620561859E-2</v>
      </c>
      <c r="BF265" s="179">
        <f>AN265/'2018-19 disagg'!AN265-1</f>
        <v>3.2580119481616654E-2</v>
      </c>
      <c r="BG265" s="179">
        <f>AO265/'2018-19 disagg'!AO265-1</f>
        <v>4.5530638743598528E-2</v>
      </c>
      <c r="BH265" s="179">
        <f>AQ265/'2018-19 disagg'!AQ265-1</f>
        <v>2.7678534401182286E-2</v>
      </c>
      <c r="BI265" s="1"/>
      <c r="BJ265" s="179">
        <f>AS265/'2018-19 disagg'!AS265-1</f>
        <v>1.536985107572697E-2</v>
      </c>
      <c r="BK265" s="179">
        <f>AT265/'2018-19 disagg'!AT265-1</f>
        <v>2.4594299397130426E-2</v>
      </c>
      <c r="BL265" s="179">
        <f>AU265/'2018-19 disagg'!AU265-1</f>
        <v>3.744466128161128E-2</v>
      </c>
      <c r="BM265" s="179">
        <f>AW265/'2018-19 disagg'!AW265-1</f>
        <v>1.9730622442024615E-2</v>
      </c>
    </row>
    <row r="266" spans="2:65" ht="15" x14ac:dyDescent="0.25">
      <c r="B266" t="s">
        <v>543</v>
      </c>
      <c r="D266" s="55">
        <v>11040780.754771268</v>
      </c>
      <c r="E266" s="166">
        <v>1571.1229305055278</v>
      </c>
      <c r="F266" s="171">
        <f>VLOOKUP(B266,'2019-20'!$B$12:$AMX474,33,FALSE)</f>
        <v>2.8883177344109834E-2</v>
      </c>
      <c r="G266" s="171">
        <f>VLOOKUP(B266,'2019-20'!$B$12:$AMX474,34,FALSE)</f>
        <v>2.1081981799453642E-2</v>
      </c>
      <c r="I266" s="175">
        <v>11202560.422007807</v>
      </c>
      <c r="J266" s="175">
        <v>1594.1444677075085</v>
      </c>
      <c r="K266" s="171">
        <f t="shared" si="84"/>
        <v>-1.4441311730728712E-2</v>
      </c>
      <c r="L266" s="170">
        <f t="shared" si="84"/>
        <v>-1.4441311730728712E-2</v>
      </c>
      <c r="N266" s="55">
        <v>8320470</v>
      </c>
      <c r="O266" s="55">
        <v>894183</v>
      </c>
      <c r="P266" s="55">
        <v>1800553</v>
      </c>
      <c r="R266" s="55">
        <v>1800553</v>
      </c>
      <c r="S266" s="55">
        <v>25574.754771270091</v>
      </c>
      <c r="U266" s="171">
        <v>-1.8581381963951649E-2</v>
      </c>
      <c r="V266" s="171">
        <v>-3.034297089021365E-3</v>
      </c>
      <c r="AA266" s="55">
        <v>2206.7321411303128</v>
      </c>
      <c r="AB266" s="55">
        <v>0</v>
      </c>
      <c r="AC266" s="55">
        <v>23368.022630139778</v>
      </c>
      <c r="AE266" s="55">
        <v>0</v>
      </c>
      <c r="AF266" s="55">
        <v>24.329007175627737</v>
      </c>
      <c r="AG266" s="55">
        <v>23343.693622964151</v>
      </c>
      <c r="AI266" s="55">
        <v>21139.854327036497</v>
      </c>
      <c r="AJ266" s="55">
        <v>2203.8392959276498</v>
      </c>
      <c r="AK266" s="55">
        <v>0</v>
      </c>
      <c r="AM266" s="55">
        <v>8343818</v>
      </c>
      <c r="AN266" s="55">
        <v>896413</v>
      </c>
      <c r="AO266" s="55">
        <v>1800553</v>
      </c>
      <c r="AP266" s="55"/>
      <c r="AQ266" s="55">
        <v>11040784</v>
      </c>
      <c r="AR266" s="1"/>
      <c r="AS266" s="175">
        <v>1187.340286790828</v>
      </c>
      <c r="AT266" s="175">
        <v>127.56117984632773</v>
      </c>
      <c r="AU266" s="175">
        <v>256.22192567024899</v>
      </c>
      <c r="AV266" s="175"/>
      <c r="AW266" s="175">
        <v>1571.1233923074049</v>
      </c>
      <c r="AX266" s="1"/>
      <c r="AY266" s="171">
        <v>-1.5827431538806724E-2</v>
      </c>
      <c r="AZ266" s="171">
        <v>-5.4796764919584628E-4</v>
      </c>
      <c r="BA266" s="171">
        <v>-1.4827724995442493E-2</v>
      </c>
      <c r="BB266" s="171">
        <f t="shared" si="85"/>
        <v>-1.4441022044388352E-2</v>
      </c>
      <c r="BC266" s="171"/>
      <c r="BD266" s="1"/>
      <c r="BE266" s="179">
        <f>AM266/'2018-19 disagg'!AM266-1</f>
        <v>2.497321118065754E-2</v>
      </c>
      <c r="BF266" s="179">
        <f>AN266/'2018-19 disagg'!AN266-1</f>
        <v>3.2915940252141285E-2</v>
      </c>
      <c r="BG266" s="179">
        <f>AO266/'2018-19 disagg'!AO266-1</f>
        <v>4.5331994171161183E-2</v>
      </c>
      <c r="BH266" s="179">
        <f>AQ266/'2018-19 disagg'!AQ266-1</f>
        <v>2.8883479764864717E-2</v>
      </c>
      <c r="BI266" s="1"/>
      <c r="BJ266" s="179">
        <f>AS266/'2018-19 disagg'!AS266-1</f>
        <v>1.7201661772011434E-2</v>
      </c>
      <c r="BK266" s="179">
        <f>AT266/'2018-19 disagg'!AT266-1</f>
        <v>2.5084167502294363E-2</v>
      </c>
      <c r="BL266" s="179">
        <f>AU266/'2018-19 disagg'!AU266-1</f>
        <v>3.7406080447248247E-2</v>
      </c>
      <c r="BM266" s="179">
        <f>AW266/'2018-19 disagg'!AW266-1</f>
        <v>2.1082281927194524E-2</v>
      </c>
    </row>
    <row r="267" spans="2:65" ht="15" x14ac:dyDescent="0.25">
      <c r="B267" t="s">
        <v>544</v>
      </c>
      <c r="D267" s="55">
        <v>11480943.639900506</v>
      </c>
      <c r="E267" s="166">
        <v>1636.584831498777</v>
      </c>
      <c r="F267" s="171">
        <f>VLOOKUP(B267,'2019-20'!$B$12:$AMX475,33,FALSE)</f>
        <v>2.7415017917477913E-2</v>
      </c>
      <c r="G267" s="171">
        <f>VLOOKUP(B267,'2019-20'!$B$12:$AMX475,34,FALSE)</f>
        <v>1.9806519743561513E-2</v>
      </c>
      <c r="I267" s="175">
        <v>11640830.224001274</v>
      </c>
      <c r="J267" s="175">
        <v>1659.3763342277061</v>
      </c>
      <c r="K267" s="171">
        <f t="shared" si="84"/>
        <v>-1.3734981184684858E-2</v>
      </c>
      <c r="L267" s="170">
        <f t="shared" si="84"/>
        <v>-1.3734981184684969E-2</v>
      </c>
      <c r="N267" s="55">
        <v>8725330</v>
      </c>
      <c r="O267" s="55">
        <v>935759</v>
      </c>
      <c r="P267" s="55">
        <v>1804367</v>
      </c>
      <c r="R267" s="55">
        <v>1804367</v>
      </c>
      <c r="S267" s="55">
        <v>15487.639900506008</v>
      </c>
      <c r="U267" s="171">
        <v>-1.3913405147028879E-2</v>
      </c>
      <c r="V267" s="171">
        <v>1.3877015321008823E-3</v>
      </c>
      <c r="AA267" s="55">
        <v>6311.3455588997458</v>
      </c>
      <c r="AB267" s="55">
        <v>0</v>
      </c>
      <c r="AC267" s="55">
        <v>9176.2943416062626</v>
      </c>
      <c r="AE267" s="55">
        <v>0</v>
      </c>
      <c r="AF267" s="55">
        <v>0</v>
      </c>
      <c r="AG267" s="55">
        <v>9176.2943416062626</v>
      </c>
      <c r="AI267" s="55">
        <v>8321.7840066489371</v>
      </c>
      <c r="AJ267" s="55">
        <v>854.51033495732565</v>
      </c>
      <c r="AK267" s="55">
        <v>0</v>
      </c>
      <c r="AM267" s="55">
        <v>8739962</v>
      </c>
      <c r="AN267" s="55">
        <v>936614</v>
      </c>
      <c r="AO267" s="55">
        <v>1804367</v>
      </c>
      <c r="AP267" s="55"/>
      <c r="AQ267" s="55">
        <v>11480943</v>
      </c>
      <c r="AR267" s="1"/>
      <c r="AS267" s="175">
        <v>1245.8635531808666</v>
      </c>
      <c r="AT267" s="175">
        <v>133.51239353202499</v>
      </c>
      <c r="AU267" s="175">
        <v>257.2087935693886</v>
      </c>
      <c r="AV267" s="175"/>
      <c r="AW267" s="175">
        <v>1636.5847402822801</v>
      </c>
      <c r="AX267" s="1"/>
      <c r="AY267" s="171">
        <v>-1.2259780693181455E-2</v>
      </c>
      <c r="AZ267" s="171">
        <v>2.3026662664074049E-3</v>
      </c>
      <c r="BA267" s="171">
        <v>-2.8827316163780425E-2</v>
      </c>
      <c r="BB267" s="171">
        <f t="shared" si="85"/>
        <v>-1.3735036155034352E-2</v>
      </c>
      <c r="BC267" s="171"/>
      <c r="BD267" s="1"/>
      <c r="BE267" s="179">
        <f>AM267/'2018-19 disagg'!AM267-1</f>
        <v>2.3612165015899356E-2</v>
      </c>
      <c r="BF267" s="179">
        <f>AN267/'2018-19 disagg'!AN267-1</f>
        <v>2.943507215060337E-2</v>
      </c>
      <c r="BG267" s="179">
        <f>AO267/'2018-19 disagg'!AO267-1</f>
        <v>4.5157975586275656E-2</v>
      </c>
      <c r="BH267" s="179">
        <f>AQ267/'2018-19 disagg'!AQ267-1</f>
        <v>2.7414960653596943E-2</v>
      </c>
      <c r="BI267" s="1"/>
      <c r="BJ267" s="179">
        <f>AS267/'2018-19 disagg'!AS267-1</f>
        <v>1.6031828781270407E-2</v>
      </c>
      <c r="BK267" s="179">
        <f>AT267/'2018-19 disagg'!AT267-1</f>
        <v>2.1811614511742627E-2</v>
      </c>
      <c r="BL267" s="179">
        <f>AU267/'2018-19 disagg'!AU267-1</f>
        <v>3.7418082349343296E-2</v>
      </c>
      <c r="BM267" s="179">
        <f>AW267/'2018-19 disagg'!AW267-1</f>
        <v>1.980646290374688E-2</v>
      </c>
    </row>
    <row r="268" spans="2:65" ht="15" x14ac:dyDescent="0.25">
      <c r="B268" t="s">
        <v>545</v>
      </c>
      <c r="D268" s="55">
        <v>9094695.7666571625</v>
      </c>
      <c r="E268" s="166">
        <v>1645.4766582609341</v>
      </c>
      <c r="F268" s="171">
        <f>VLOOKUP(B268,'2019-20'!$B$12:$AMX476,33,FALSE)</f>
        <v>2.7654116172886045E-2</v>
      </c>
      <c r="G268" s="171">
        <f>VLOOKUP(B268,'2019-20'!$B$12:$AMX476,34,FALSE)</f>
        <v>1.9708055045295048E-2</v>
      </c>
      <c r="I268" s="175">
        <v>9142196.9044944178</v>
      </c>
      <c r="J268" s="175">
        <v>1654.0708999549329</v>
      </c>
      <c r="K268" s="171">
        <f t="shared" si="84"/>
        <v>-5.1958121590996997E-3</v>
      </c>
      <c r="L268" s="170">
        <f t="shared" si="84"/>
        <v>-5.1958121590996997E-3</v>
      </c>
      <c r="N268" s="55">
        <v>6851291</v>
      </c>
      <c r="O268" s="55">
        <v>738300</v>
      </c>
      <c r="P268" s="55">
        <v>1495207</v>
      </c>
      <c r="R268" s="55">
        <v>1495207</v>
      </c>
      <c r="S268" s="55">
        <v>9897.7666571641748</v>
      </c>
      <c r="U268" s="171">
        <v>-4.4834429604047044E-3</v>
      </c>
      <c r="V268" s="171">
        <v>7.9724974814645577E-3</v>
      </c>
      <c r="AA268" s="55">
        <v>3822.4623950605455</v>
      </c>
      <c r="AB268" s="55">
        <v>0</v>
      </c>
      <c r="AC268" s="55">
        <v>6075.3042621036293</v>
      </c>
      <c r="AE268" s="55">
        <v>0</v>
      </c>
      <c r="AF268" s="55">
        <v>0</v>
      </c>
      <c r="AG268" s="55">
        <v>6075.3042621036293</v>
      </c>
      <c r="AI268" s="55">
        <v>5488.4333064119801</v>
      </c>
      <c r="AJ268" s="55">
        <v>586.87095569164933</v>
      </c>
      <c r="AK268" s="55">
        <v>0</v>
      </c>
      <c r="AM268" s="55">
        <v>6860600</v>
      </c>
      <c r="AN268" s="55">
        <v>738888</v>
      </c>
      <c r="AO268" s="55">
        <v>1495207</v>
      </c>
      <c r="AP268" s="55"/>
      <c r="AQ268" s="55">
        <v>9094695</v>
      </c>
      <c r="AR268" s="1"/>
      <c r="AS268" s="175">
        <v>1241.2682569385522</v>
      </c>
      <c r="AT268" s="175">
        <v>133.68484095163876</v>
      </c>
      <c r="AU268" s="175">
        <v>270.52342166170911</v>
      </c>
      <c r="AV268" s="175"/>
      <c r="AW268" s="175">
        <v>1645.4765195519001</v>
      </c>
      <c r="AX268" s="1"/>
      <c r="AY268" s="171">
        <v>-3.1308126853979434E-3</v>
      </c>
      <c r="AZ268" s="171">
        <v>8.7752711893327451E-3</v>
      </c>
      <c r="BA268" s="171">
        <v>-2.119857889693455E-2</v>
      </c>
      <c r="BB268" s="171">
        <f t="shared" si="85"/>
        <v>-5.1958960182826308E-3</v>
      </c>
      <c r="BC268" s="171"/>
      <c r="BD268" s="1"/>
      <c r="BE268" s="179">
        <f>AM268/'2018-19 disagg'!AM268-1</f>
        <v>2.370612474872158E-2</v>
      </c>
      <c r="BF268" s="179">
        <f>AN268/'2018-19 disagg'!AN268-1</f>
        <v>2.8587656190836697E-2</v>
      </c>
      <c r="BG268" s="179">
        <f>AO268/'2018-19 disagg'!AO268-1</f>
        <v>4.5688513285748744E-2</v>
      </c>
      <c r="BH268" s="179">
        <f>AQ268/'2018-19 disagg'!AQ268-1</f>
        <v>2.7654029544547098E-2</v>
      </c>
      <c r="BI268" s="1"/>
      <c r="BJ268" s="179">
        <f>AS268/'2018-19 disagg'!AS268-1</f>
        <v>1.5790590410926786E-2</v>
      </c>
      <c r="BK268" s="179">
        <f>AT268/'2018-19 disagg'!AT268-1</f>
        <v>2.0634376714259384E-2</v>
      </c>
      <c r="BL268" s="179">
        <f>AU268/'2018-19 disagg'!AU268-1</f>
        <v>3.7603005996649896E-2</v>
      </c>
      <c r="BM268" s="179">
        <f>AW268/'2018-19 disagg'!AW268-1</f>
        <v>1.9707969086786514E-2</v>
      </c>
    </row>
    <row r="269" spans="2:65" ht="15" x14ac:dyDescent="0.25">
      <c r="B269" t="s">
        <v>546</v>
      </c>
      <c r="D269" s="55">
        <v>9738333.5695559941</v>
      </c>
      <c r="E269" s="166">
        <v>1703.5962630356873</v>
      </c>
      <c r="F269" s="171">
        <f>VLOOKUP(B269,'2019-20'!$B$12:$AMX477,33,FALSE)</f>
        <v>2.6022612767590658E-2</v>
      </c>
      <c r="G269" s="171">
        <f>VLOOKUP(B269,'2019-20'!$B$12:$AMX477,34,FALSE)</f>
        <v>2.0306662048818813E-2</v>
      </c>
      <c r="I269" s="175">
        <v>9735200.3864522632</v>
      </c>
      <c r="J269" s="175">
        <v>1703.0481529315509</v>
      </c>
      <c r="K269" s="171">
        <f t="shared" si="84"/>
        <v>3.2184063803053498E-4</v>
      </c>
      <c r="L269" s="170">
        <f t="shared" si="84"/>
        <v>3.2184063803075702E-4</v>
      </c>
      <c r="N269" s="55">
        <v>7459432</v>
      </c>
      <c r="O269" s="55">
        <v>762473</v>
      </c>
      <c r="P269" s="55">
        <v>1509050</v>
      </c>
      <c r="R269" s="55">
        <v>1509050</v>
      </c>
      <c r="S269" s="55">
        <v>7378.5695559922897</v>
      </c>
      <c r="U269" s="171">
        <v>1.3812939172164196E-3</v>
      </c>
      <c r="V269" s="171">
        <v>-5.0320909772462175E-3</v>
      </c>
      <c r="AA269" s="55">
        <v>247.21944193184027</v>
      </c>
      <c r="AB269" s="55">
        <v>0</v>
      </c>
      <c r="AC269" s="55">
        <v>7131.3501140604494</v>
      </c>
      <c r="AE269" s="55">
        <v>0</v>
      </c>
      <c r="AF269" s="55">
        <v>0</v>
      </c>
      <c r="AG269" s="55">
        <v>7131.3501140604494</v>
      </c>
      <c r="AI269" s="55">
        <v>6444.209245344402</v>
      </c>
      <c r="AJ269" s="55">
        <v>687.14086871604627</v>
      </c>
      <c r="AK269" s="55">
        <v>0</v>
      </c>
      <c r="AM269" s="55">
        <v>7466123</v>
      </c>
      <c r="AN269" s="55">
        <v>763160</v>
      </c>
      <c r="AO269" s="55">
        <v>1509050</v>
      </c>
      <c r="AP269" s="55"/>
      <c r="AQ269" s="55">
        <v>9738333</v>
      </c>
      <c r="AR269" s="1"/>
      <c r="AS269" s="175">
        <v>1306.1022351840338</v>
      </c>
      <c r="AT269" s="175">
        <v>133.50503089797039</v>
      </c>
      <c r="AU269" s="175">
        <v>263.98889731718407</v>
      </c>
      <c r="AV269" s="175"/>
      <c r="AW269" s="175">
        <v>1703.5961633991883</v>
      </c>
      <c r="AX269" s="1"/>
      <c r="AY269" s="171">
        <v>2.2795181034009904E-3</v>
      </c>
      <c r="AZ269" s="171">
        <v>-4.1356094579024782E-3</v>
      </c>
      <c r="BA269" s="171">
        <v>-7.0266515141200747E-3</v>
      </c>
      <c r="BB269" s="171">
        <f t="shared" si="85"/>
        <v>3.2178213322620053E-4</v>
      </c>
      <c r="BC269" s="171"/>
      <c r="BD269" s="1"/>
      <c r="BE269" s="179">
        <f>AM269/'2018-19 disagg'!AM269-1</f>
        <v>2.2307320289932875E-2</v>
      </c>
      <c r="BF269" s="179">
        <f>AN269/'2018-19 disagg'!AN269-1</f>
        <v>2.9052849595611718E-2</v>
      </c>
      <c r="BG269" s="179">
        <f>AO269/'2018-19 disagg'!AO269-1</f>
        <v>4.3226442459914249E-2</v>
      </c>
      <c r="BH269" s="179">
        <f>AQ269/'2018-19 disagg'!AQ269-1</f>
        <v>2.6022552759651374E-2</v>
      </c>
      <c r="BI269" s="1"/>
      <c r="BJ269" s="179">
        <f>AS269/'2018-19 disagg'!AS269-1</f>
        <v>1.6612067388581231E-2</v>
      </c>
      <c r="BK269" s="179">
        <f>AT269/'2018-19 disagg'!AT269-1</f>
        <v>2.3320017490251033E-2</v>
      </c>
      <c r="BL269" s="179">
        <f>AU269/'2018-19 disagg'!AU269-1</f>
        <v>3.7414649562352409E-2</v>
      </c>
      <c r="BM269" s="179">
        <f>AW269/'2018-19 disagg'!AW269-1</f>
        <v>2.0306602375182559E-2</v>
      </c>
    </row>
    <row r="270" spans="2:65" ht="15" x14ac:dyDescent="0.25">
      <c r="B270" t="s">
        <v>547</v>
      </c>
      <c r="D270" s="55">
        <v>7994564.8193902047</v>
      </c>
      <c r="E270" s="166">
        <v>1682.0161652540746</v>
      </c>
      <c r="F270" s="171">
        <f>VLOOKUP(B270,'2019-20'!$B$12:$AMX478,33,FALSE)</f>
        <v>2.5835369211792747E-2</v>
      </c>
      <c r="G270" s="171">
        <f>VLOOKUP(B270,'2019-20'!$B$12:$AMX478,34,FALSE)</f>
        <v>1.9363644135057978E-2</v>
      </c>
      <c r="I270" s="175">
        <v>8006158.1240715533</v>
      </c>
      <c r="J270" s="175">
        <v>1684.4553381575763</v>
      </c>
      <c r="K270" s="171">
        <f t="shared" si="84"/>
        <v>-1.4480484274338457E-3</v>
      </c>
      <c r="L270" s="170">
        <f t="shared" si="84"/>
        <v>-1.4480484274338457E-3</v>
      </c>
      <c r="N270" s="55">
        <v>6130156</v>
      </c>
      <c r="O270" s="55">
        <v>637727</v>
      </c>
      <c r="P270" s="55">
        <v>1220701</v>
      </c>
      <c r="R270" s="55">
        <v>1220701</v>
      </c>
      <c r="S270" s="55">
        <v>5980.8193902048515</v>
      </c>
      <c r="U270" s="171">
        <v>5.1406478094730979E-3</v>
      </c>
      <c r="V270" s="171">
        <v>-1.4436865619688821E-2</v>
      </c>
      <c r="AA270" s="55">
        <v>806.33072019164683</v>
      </c>
      <c r="AB270" s="55">
        <v>0</v>
      </c>
      <c r="AC270" s="55">
        <v>5174.4886700132047</v>
      </c>
      <c r="AE270" s="55">
        <v>0</v>
      </c>
      <c r="AF270" s="55">
        <v>0</v>
      </c>
      <c r="AG270" s="55">
        <v>5174.4886700132047</v>
      </c>
      <c r="AI270" s="55">
        <v>4674.9145264201979</v>
      </c>
      <c r="AJ270" s="55">
        <v>499.57414359300702</v>
      </c>
      <c r="AK270" s="55">
        <v>0</v>
      </c>
      <c r="AM270" s="55">
        <v>6135637</v>
      </c>
      <c r="AN270" s="55">
        <v>638226</v>
      </c>
      <c r="AO270" s="55">
        <v>1220701</v>
      </c>
      <c r="AP270" s="55"/>
      <c r="AQ270" s="55">
        <v>7994564</v>
      </c>
      <c r="AR270" s="1"/>
      <c r="AS270" s="175">
        <v>1290.9071164324118</v>
      </c>
      <c r="AT270" s="175">
        <v>134.27953532651824</v>
      </c>
      <c r="AU270" s="175">
        <v>256.82934109957313</v>
      </c>
      <c r="AV270" s="175"/>
      <c r="AW270" s="175">
        <v>1682.0159928585033</v>
      </c>
      <c r="AX270" s="1"/>
      <c r="AY270" s="171">
        <v>6.0393485751051301E-3</v>
      </c>
      <c r="AZ270" s="171">
        <v>-1.3665695504489372E-2</v>
      </c>
      <c r="BA270" s="171">
        <v>-3.140898803662806E-2</v>
      </c>
      <c r="BB270" s="171">
        <f t="shared" si="85"/>
        <v>-1.4481507724277698E-3</v>
      </c>
      <c r="BC270" s="171"/>
      <c r="BD270" s="1"/>
      <c r="BE270" s="179">
        <f>AM270/'2018-19 disagg'!AM270-1</f>
        <v>2.1863101881082203E-2</v>
      </c>
      <c r="BF270" s="179">
        <f>AN270/'2018-19 disagg'!AN270-1</f>
        <v>3.0144459688483671E-2</v>
      </c>
      <c r="BG270" s="179">
        <f>AO270/'2018-19 disagg'!AO270-1</f>
        <v>4.3948957976107206E-2</v>
      </c>
      <c r="BH270" s="179">
        <f>AQ270/'2018-19 disagg'!AQ270-1</f>
        <v>2.5835264070428465E-2</v>
      </c>
      <c r="BI270" s="1"/>
      <c r="BJ270" s="179">
        <f>AS270/'2018-19 disagg'!AS270-1</f>
        <v>1.5416436792399235E-2</v>
      </c>
      <c r="BK270" s="179">
        <f>AT270/'2018-19 disagg'!AT270-1</f>
        <v>2.3645549695208601E-2</v>
      </c>
      <c r="BL270" s="179">
        <f>AU270/'2018-19 disagg'!AU270-1</f>
        <v>3.7362959040082577E-2</v>
      </c>
      <c r="BM270" s="179">
        <f>AW270/'2018-19 disagg'!AW270-1</f>
        <v>1.936353965700266E-2</v>
      </c>
    </row>
    <row r="271" spans="2:65" ht="15" x14ac:dyDescent="0.25">
      <c r="B271" t="s">
        <v>548</v>
      </c>
      <c r="D271" s="55">
        <v>9621724.273211617</v>
      </c>
      <c r="E271" s="166">
        <v>1716.9927290474577</v>
      </c>
      <c r="F271" s="171">
        <f>VLOOKUP(B271,'2019-20'!$B$12:$AMX479,33,FALSE)</f>
        <v>2.4639361039034302E-2</v>
      </c>
      <c r="G271" s="171">
        <f>VLOOKUP(B271,'2019-20'!$B$12:$AMX479,34,FALSE)</f>
        <v>1.7014393881410017E-2</v>
      </c>
      <c r="I271" s="175">
        <v>9477046.0010584015</v>
      </c>
      <c r="J271" s="175">
        <v>1691.1749510396387</v>
      </c>
      <c r="K271" s="171">
        <f t="shared" si="84"/>
        <v>1.5266178104132555E-2</v>
      </c>
      <c r="L271" s="170">
        <f t="shared" si="84"/>
        <v>1.5266178104132777E-2</v>
      </c>
      <c r="N271" s="55">
        <v>7203217</v>
      </c>
      <c r="O271" s="55">
        <v>773441</v>
      </c>
      <c r="P271" s="55">
        <v>1638836</v>
      </c>
      <c r="R271" s="55">
        <v>1638836</v>
      </c>
      <c r="S271" s="55">
        <v>6230.2732116162806</v>
      </c>
      <c r="U271" s="171">
        <v>2.0334976922637749E-2</v>
      </c>
      <c r="V271" s="171">
        <v>-1.3423712604945792E-2</v>
      </c>
      <c r="AA271" s="55">
        <v>0</v>
      </c>
      <c r="AB271" s="55">
        <v>0</v>
      </c>
      <c r="AC271" s="55">
        <v>6230.2732116162806</v>
      </c>
      <c r="AE271" s="55">
        <v>0</v>
      </c>
      <c r="AF271" s="55">
        <v>350.63386111822911</v>
      </c>
      <c r="AG271" s="55">
        <v>5879.6393504980515</v>
      </c>
      <c r="AI271" s="55">
        <v>5319.089015935564</v>
      </c>
      <c r="AJ271" s="55">
        <v>560.55033456248759</v>
      </c>
      <c r="AK271" s="55">
        <v>0</v>
      </c>
      <c r="AM271" s="55">
        <v>7208535</v>
      </c>
      <c r="AN271" s="55">
        <v>774352</v>
      </c>
      <c r="AO271" s="55">
        <v>1638836</v>
      </c>
      <c r="AP271" s="55"/>
      <c r="AQ271" s="55">
        <v>9621723</v>
      </c>
      <c r="AR271" s="1"/>
      <c r="AS271" s="175">
        <v>1286.3600983187205</v>
      </c>
      <c r="AT271" s="175">
        <v>138.18279509682591</v>
      </c>
      <c r="AU271" s="175">
        <v>292.44960842782325</v>
      </c>
      <c r="AV271" s="175"/>
      <c r="AW271" s="175">
        <v>1716.9925018433696</v>
      </c>
      <c r="AX271" s="1"/>
      <c r="AY271" s="171">
        <v>2.1088271097625899E-2</v>
      </c>
      <c r="AZ271" s="171">
        <v>-1.2261670512767053E-2</v>
      </c>
      <c r="BA271" s="171">
        <v>3.3143377861077905E-3</v>
      </c>
      <c r="BB271" s="171">
        <f t="shared" si="85"/>
        <v>1.5266043757246717E-2</v>
      </c>
      <c r="BC271" s="171"/>
      <c r="BD271" s="1"/>
      <c r="BE271" s="179">
        <f>AM271/'2018-19 disagg'!AM271-1</f>
        <v>1.9363931873418672E-2</v>
      </c>
      <c r="BF271" s="179">
        <f>AN271/'2018-19 disagg'!AN271-1</f>
        <v>3.1049234853861352E-2</v>
      </c>
      <c r="BG271" s="179">
        <f>AO271/'2018-19 disagg'!AO271-1</f>
        <v>4.536402592813249E-2</v>
      </c>
      <c r="BH271" s="179">
        <f>AQ271/'2018-19 disagg'!AQ271-1</f>
        <v>2.4639225451825508E-2</v>
      </c>
      <c r="BI271" s="1"/>
      <c r="BJ271" s="179">
        <f>AS271/'2018-19 disagg'!AS271-1</f>
        <v>1.1778222405533612E-2</v>
      </c>
      <c r="BK271" s="179">
        <f>AT271/'2018-19 disagg'!AT271-1</f>
        <v>2.3376567911141066E-2</v>
      </c>
      <c r="BL271" s="179">
        <f>AU271/'2018-19 disagg'!AU271-1</f>
        <v>3.758483388403544E-2</v>
      </c>
      <c r="BM271" s="179">
        <f>AW271/'2018-19 disagg'!AW271-1</f>
        <v>1.7014259303188561E-2</v>
      </c>
    </row>
    <row r="272" spans="2:65" ht="15" x14ac:dyDescent="0.25">
      <c r="B272" t="s">
        <v>549</v>
      </c>
      <c r="D272" s="55">
        <v>11709366.958077634</v>
      </c>
      <c r="E272" s="166">
        <v>1767.3046542335594</v>
      </c>
      <c r="F272" s="171">
        <f>VLOOKUP(B272,'2019-20'!$B$12:$AMX480,33,FALSE)</f>
        <v>2.622959934808855E-2</v>
      </c>
      <c r="G272" s="171">
        <f>VLOOKUP(B272,'2019-20'!$B$12:$AMX480,34,FALSE)</f>
        <v>1.9882905347363256E-2</v>
      </c>
      <c r="I272" s="175">
        <v>11608679.434986722</v>
      </c>
      <c r="J272" s="175">
        <v>1752.1078012509086</v>
      </c>
      <c r="K272" s="171">
        <f t="shared" si="84"/>
        <v>8.6734691620009574E-3</v>
      </c>
      <c r="L272" s="170">
        <f t="shared" si="84"/>
        <v>8.6734691620007354E-3</v>
      </c>
      <c r="N272" s="55">
        <v>8833137</v>
      </c>
      <c r="O272" s="55">
        <v>914200</v>
      </c>
      <c r="P272" s="55">
        <v>1956243</v>
      </c>
      <c r="R272" s="55">
        <v>1956243</v>
      </c>
      <c r="S272" s="55">
        <v>5786.9580776335788</v>
      </c>
      <c r="U272" s="171">
        <v>1.0679668170760825E-2</v>
      </c>
      <c r="V272" s="171">
        <v>-1.6814425956058421E-2</v>
      </c>
      <c r="AA272" s="55">
        <v>892.56237122026505</v>
      </c>
      <c r="AB272" s="55">
        <v>0</v>
      </c>
      <c r="AC272" s="55">
        <v>4894.3957064133137</v>
      </c>
      <c r="AE272" s="55">
        <v>0</v>
      </c>
      <c r="AF272" s="55">
        <v>0</v>
      </c>
      <c r="AG272" s="55">
        <v>4894.3957064133137</v>
      </c>
      <c r="AI272" s="55">
        <v>4420.8136935751754</v>
      </c>
      <c r="AJ272" s="55">
        <v>473.58201283813827</v>
      </c>
      <c r="AK272" s="55">
        <v>0</v>
      </c>
      <c r="AM272" s="55">
        <v>8838451</v>
      </c>
      <c r="AN272" s="55">
        <v>914674</v>
      </c>
      <c r="AO272" s="55">
        <v>1956243</v>
      </c>
      <c r="AP272" s="55"/>
      <c r="AQ272" s="55">
        <v>11709368</v>
      </c>
      <c r="AR272" s="1"/>
      <c r="AS272" s="175">
        <v>1333.9948815712653</v>
      </c>
      <c r="AT272" s="175">
        <v>138.05252009727897</v>
      </c>
      <c r="AU272" s="175">
        <v>295.25740982323902</v>
      </c>
      <c r="AV272" s="175"/>
      <c r="AW272" s="175">
        <v>1767.3048114917833</v>
      </c>
      <c r="AX272" s="1"/>
      <c r="AY272" s="171">
        <v>1.1287691317765081E-2</v>
      </c>
      <c r="AZ272" s="171">
        <v>-1.6304657894259167E-2</v>
      </c>
      <c r="BA272" s="171">
        <v>8.8688197703021832E-3</v>
      </c>
      <c r="BB272" s="171">
        <f t="shared" si="85"/>
        <v>8.6735589157385107E-3</v>
      </c>
      <c r="BC272" s="171"/>
      <c r="BD272" s="1"/>
      <c r="BE272" s="179">
        <f>AM272/'2018-19 disagg'!AM272-1</f>
        <v>2.1983077896852832E-2</v>
      </c>
      <c r="BF272" s="179">
        <f>AN272/'2018-19 disagg'!AN272-1</f>
        <v>2.9911868925998952E-2</v>
      </c>
      <c r="BG272" s="179">
        <f>AO272/'2018-19 disagg'!AO272-1</f>
        <v>4.4085796539573785E-2</v>
      </c>
      <c r="BH272" s="179">
        <f>AQ272/'2018-19 disagg'!AQ272-1</f>
        <v>2.6229690664004712E-2</v>
      </c>
      <c r="BI272" s="1"/>
      <c r="BJ272" s="179">
        <f>AS272/'2018-19 disagg'!AS272-1</f>
        <v>1.5662646413049597E-2</v>
      </c>
      <c r="BK272" s="179">
        <f>AT272/'2018-19 disagg'!AT272-1</f>
        <v>2.3542402011440533E-2</v>
      </c>
      <c r="BL272" s="179">
        <f>AU272/'2018-19 disagg'!AU272-1</f>
        <v>3.7628671286755511E-2</v>
      </c>
      <c r="BM272" s="179">
        <f>AW272/'2018-19 disagg'!AW272-1</f>
        <v>1.9882996098538497E-2</v>
      </c>
    </row>
    <row r="273" spans="2:65" ht="15" x14ac:dyDescent="0.25">
      <c r="B273" t="s">
        <v>550</v>
      </c>
      <c r="D273" s="55">
        <v>10311084.102442069</v>
      </c>
      <c r="E273" s="166">
        <v>1817.9192484270416</v>
      </c>
      <c r="F273" s="171">
        <f>VLOOKUP(B273,'2019-20'!$B$12:$AMX481,33,FALSE)</f>
        <v>2.5440391026845033E-2</v>
      </c>
      <c r="G273" s="171">
        <f>VLOOKUP(B273,'2019-20'!$B$12:$AMX481,34,FALSE)</f>
        <v>1.8284704388272566E-2</v>
      </c>
      <c r="I273" s="175">
        <v>10143866.828240141</v>
      </c>
      <c r="J273" s="175">
        <v>1788.4376247276296</v>
      </c>
      <c r="K273" s="171">
        <f t="shared" si="84"/>
        <v>1.6484569152307893E-2</v>
      </c>
      <c r="L273" s="170">
        <f t="shared" si="84"/>
        <v>1.6484569152307893E-2</v>
      </c>
      <c r="N273" s="55">
        <v>7707147</v>
      </c>
      <c r="O273" s="55">
        <v>818803</v>
      </c>
      <c r="P273" s="55">
        <v>1783590</v>
      </c>
      <c r="R273" s="55">
        <v>1783590</v>
      </c>
      <c r="S273" s="55">
        <v>1544.1024420688045</v>
      </c>
      <c r="U273" s="171">
        <v>2.2140380084082256E-2</v>
      </c>
      <c r="V273" s="171">
        <v>-1.2289255036167512E-2</v>
      </c>
      <c r="AA273" s="55">
        <v>0</v>
      </c>
      <c r="AB273" s="55">
        <v>0</v>
      </c>
      <c r="AC273" s="55">
        <v>1544.1024420688045</v>
      </c>
      <c r="AE273" s="55">
        <v>0</v>
      </c>
      <c r="AF273" s="55">
        <v>6.1497541734856807</v>
      </c>
      <c r="AG273" s="55">
        <v>1537.9526878953188</v>
      </c>
      <c r="AI273" s="55">
        <v>1394.7629121488321</v>
      </c>
      <c r="AJ273" s="55">
        <v>143.18977574648676</v>
      </c>
      <c r="AK273" s="55">
        <v>0</v>
      </c>
      <c r="AM273" s="55">
        <v>7708543</v>
      </c>
      <c r="AN273" s="55">
        <v>818953</v>
      </c>
      <c r="AO273" s="55">
        <v>1783590</v>
      </c>
      <c r="AP273" s="55"/>
      <c r="AQ273" s="55">
        <v>10311086</v>
      </c>
      <c r="AR273" s="1"/>
      <c r="AS273" s="175">
        <v>1359.0722913130526</v>
      </c>
      <c r="AT273" s="175">
        <v>144.38738036327985</v>
      </c>
      <c r="AU273" s="175">
        <v>314.45991130399705</v>
      </c>
      <c r="AV273" s="175"/>
      <c r="AW273" s="175">
        <v>1817.9195829803296</v>
      </c>
      <c r="AX273" s="1"/>
      <c r="AY273" s="171">
        <v>2.2325520963138779E-2</v>
      </c>
      <c r="AZ273" s="171">
        <v>-1.2108312108815578E-2</v>
      </c>
      <c r="BA273" s="171">
        <v>5.0250784945269356E-3</v>
      </c>
      <c r="BB273" s="171">
        <f t="shared" si="85"/>
        <v>1.6484756216862628E-2</v>
      </c>
      <c r="BC273" s="171"/>
      <c r="BD273" s="1"/>
      <c r="BE273" s="179">
        <f>AM273/'2018-19 disagg'!AM273-1</f>
        <v>2.0511254951110169E-2</v>
      </c>
      <c r="BF273" s="179">
        <f>AN273/'2018-19 disagg'!AN273-1</f>
        <v>2.9839391165256579E-2</v>
      </c>
      <c r="BG273" s="179">
        <f>AO273/'2018-19 disagg'!AO273-1</f>
        <v>4.5210470212565301E-2</v>
      </c>
      <c r="BH273" s="179">
        <f>AQ273/'2018-19 disagg'!AQ273-1</f>
        <v>2.5440579739547609E-2</v>
      </c>
      <c r="BI273" s="1"/>
      <c r="BJ273" s="179">
        <f>AS273/'2018-19 disagg'!AS273-1</f>
        <v>1.3389964610426297E-2</v>
      </c>
      <c r="BK273" s="179">
        <f>AT273/'2018-19 disagg'!AT273-1</f>
        <v>2.2653007601939557E-2</v>
      </c>
      <c r="BL273" s="179">
        <f>AU273/'2018-19 disagg'!AU273-1</f>
        <v>3.7916824807485261E-2</v>
      </c>
      <c r="BM273" s="179">
        <f>AW273/'2018-19 disagg'!AW273-1</f>
        <v>1.828489178410786E-2</v>
      </c>
    </row>
    <row r="274" spans="2:65" ht="15" x14ac:dyDescent="0.25">
      <c r="B274" t="s">
        <v>551</v>
      </c>
      <c r="D274" s="55">
        <v>11487044.443094276</v>
      </c>
      <c r="E274" s="166">
        <v>1832.5366130127022</v>
      </c>
      <c r="F274" s="171">
        <f>VLOOKUP(B274,'2019-20'!$B$12:$AMX482,33,FALSE)</f>
        <v>2.6622500390715231E-2</v>
      </c>
      <c r="G274" s="171">
        <f>VLOOKUP(B274,'2019-20'!$B$12:$AMX482,34,FALSE)</f>
        <v>2.047855894817352E-2</v>
      </c>
      <c r="I274" s="175">
        <v>11412258.49280145</v>
      </c>
      <c r="J274" s="175">
        <v>1820.6059555899444</v>
      </c>
      <c r="K274" s="171">
        <f t="shared" si="84"/>
        <v>6.5531244617353934E-3</v>
      </c>
      <c r="L274" s="170">
        <f t="shared" si="84"/>
        <v>6.5531244617353934E-3</v>
      </c>
      <c r="N274" s="55">
        <v>8403768</v>
      </c>
      <c r="O274" s="55">
        <v>916856</v>
      </c>
      <c r="P274" s="55">
        <v>2163043</v>
      </c>
      <c r="R274" s="55">
        <v>2163043</v>
      </c>
      <c r="S274" s="55">
        <v>3377.4430942755134</v>
      </c>
      <c r="U274" s="171">
        <v>3.3201552693262748E-4</v>
      </c>
      <c r="V274" s="171">
        <v>-2.7328641483606142E-2</v>
      </c>
      <c r="AA274" s="55">
        <v>741.04980515295756</v>
      </c>
      <c r="AB274" s="55">
        <v>0</v>
      </c>
      <c r="AC274" s="55">
        <v>2636.3932891225559</v>
      </c>
      <c r="AE274" s="55">
        <v>0</v>
      </c>
      <c r="AF274" s="55">
        <v>0</v>
      </c>
      <c r="AG274" s="55">
        <v>2636.3932891225559</v>
      </c>
      <c r="AI274" s="55">
        <v>2362.696624001936</v>
      </c>
      <c r="AJ274" s="55">
        <v>273.6966651206202</v>
      </c>
      <c r="AK274" s="55">
        <v>0</v>
      </c>
      <c r="AM274" s="55">
        <v>8406872</v>
      </c>
      <c r="AN274" s="55">
        <v>917130</v>
      </c>
      <c r="AO274" s="55">
        <v>2163043</v>
      </c>
      <c r="AP274" s="55"/>
      <c r="AQ274" s="55">
        <v>11487045</v>
      </c>
      <c r="AR274" s="1"/>
      <c r="AS274" s="175">
        <v>1341.154447275858</v>
      </c>
      <c r="AT274" s="175">
        <v>146.31042059759062</v>
      </c>
      <c r="AU274" s="175">
        <v>345.07183398283144</v>
      </c>
      <c r="AV274" s="175"/>
      <c r="AW274" s="175">
        <v>1832.5367018562802</v>
      </c>
      <c r="AX274" s="1"/>
      <c r="AY274" s="171">
        <v>7.0149628558691113E-4</v>
      </c>
      <c r="AZ274" s="171">
        <v>-2.7037961210767736E-2</v>
      </c>
      <c r="BA274" s="171">
        <v>4.5623508277840452E-2</v>
      </c>
      <c r="BB274" s="171">
        <f t="shared" si="85"/>
        <v>6.5531732606409765E-3</v>
      </c>
      <c r="BC274" s="171"/>
      <c r="BD274" s="1"/>
      <c r="BE274" s="179">
        <f>AM274/'2018-19 disagg'!AM274-1</f>
        <v>2.1806238667525957E-2</v>
      </c>
      <c r="BF274" s="179">
        <f>AN274/'2018-19 disagg'!AN274-1</f>
        <v>3.1057758031442173E-2</v>
      </c>
      <c r="BG274" s="179">
        <f>AO274/'2018-19 disagg'!AO274-1</f>
        <v>4.3841433841892208E-2</v>
      </c>
      <c r="BH274" s="179">
        <f>AQ274/'2018-19 disagg'!AQ274-1</f>
        <v>2.6622550162608283E-2</v>
      </c>
      <c r="BI274" s="1"/>
      <c r="BJ274" s="179">
        <f>AS274/'2018-19 disagg'!AS274-1</f>
        <v>1.5691120701956329E-2</v>
      </c>
      <c r="BK274" s="179">
        <f>AT274/'2018-19 disagg'!AT274-1</f>
        <v>2.4887273275056465E-2</v>
      </c>
      <c r="BL274" s="179">
        <f>AU274/'2018-19 disagg'!AU274-1</f>
        <v>3.7594443694703328E-2</v>
      </c>
      <c r="BM274" s="179">
        <f>AW274/'2018-19 disagg'!AW274-1</f>
        <v>2.0478608422200839E-2</v>
      </c>
    </row>
    <row r="275" spans="2:65" ht="15" x14ac:dyDescent="0.25">
      <c r="B275"/>
      <c r="D275" s="1"/>
      <c r="N275" s="1"/>
      <c r="O275" s="1"/>
      <c r="P275" s="1"/>
      <c r="R275" s="1"/>
      <c r="S275" s="1"/>
      <c r="AA275" s="1"/>
      <c r="AB275" s="1"/>
      <c r="AC275" s="1"/>
      <c r="AE275" s="1"/>
      <c r="AF275" s="1"/>
      <c r="AG275" s="1"/>
      <c r="AI275" s="1"/>
      <c r="AJ275" s="1"/>
      <c r="AK275" s="1"/>
      <c r="AM275" s="1"/>
      <c r="AN275" s="1"/>
      <c r="AO275" s="1"/>
      <c r="AP275" s="1"/>
      <c r="AR275" s="1"/>
      <c r="AV275" s="64"/>
      <c r="AX275" s="1"/>
      <c r="BA275" s="64"/>
      <c r="BD275" s="1"/>
      <c r="BE275" s="179"/>
      <c r="BF275" s="179"/>
      <c r="BG275" s="179"/>
      <c r="BH275" s="179"/>
      <c r="BI275" s="1"/>
      <c r="BJ275" s="179"/>
      <c r="BK275" s="179"/>
    </row>
    <row r="276" spans="2:65" ht="15" x14ac:dyDescent="0.25">
      <c r="B276" t="s">
        <v>12</v>
      </c>
      <c r="D276" s="172">
        <f>SUM(D265:D274)</f>
        <v>99838451.654917568</v>
      </c>
      <c r="E276" s="166">
        <v>1692.2107060040184</v>
      </c>
      <c r="F276" s="171">
        <f>VLOOKUP(B276,'2019-20'!$B$12:$AMX484,33,FALSE)</f>
        <v>2.665323895268723E-2</v>
      </c>
      <c r="G276" s="171">
        <f>VLOOKUP(B276,'2019-20'!$B$12:$AMX484,34,FALSE)</f>
        <v>1.9577570627366425E-2</v>
      </c>
      <c r="I276" s="175">
        <f>SUM(I265:I274)</f>
        <v>99838483.828704476</v>
      </c>
      <c r="J276" s="175">
        <v>1692.2112513332554</v>
      </c>
      <c r="K276" s="171">
        <f t="shared" ref="K276:L276" si="86">D276/I276-1</f>
        <v>-3.2225836843480238E-7</v>
      </c>
      <c r="L276" s="170">
        <f t="shared" si="86"/>
        <v>-3.2225836843480238E-7</v>
      </c>
      <c r="N276" s="172">
        <f>SUM(N265:N274)</f>
        <v>75160962</v>
      </c>
      <c r="O276" s="172">
        <f>SUM(O265:O274)</f>
        <v>7992415</v>
      </c>
      <c r="P276" s="172">
        <f>SUM(P265:P274)</f>
        <v>16596334</v>
      </c>
      <c r="R276" s="172">
        <f>SUM(R265:R274)</f>
        <v>16596334</v>
      </c>
      <c r="S276" s="172">
        <f>SUM(S265:S274)</f>
        <v>88740.654917549327</v>
      </c>
      <c r="U276" s="171">
        <v>-9.2916395838749111E-5</v>
      </c>
      <c r="V276" s="171">
        <v>-9.9697754214714829E-3</v>
      </c>
      <c r="AA276" s="172">
        <f>SUM(AA265:AA274)</f>
        <v>15817.158812276874</v>
      </c>
      <c r="AB276" s="172">
        <f>SUM(AB265:AB274)</f>
        <v>0</v>
      </c>
      <c r="AC276" s="172">
        <f>SUM(AC265:AC274)</f>
        <v>72923.496105272454</v>
      </c>
      <c r="AE276" s="172">
        <f>SUM(AE265:AE274)</f>
        <v>0</v>
      </c>
      <c r="AF276" s="172">
        <f>SUM(AF265:AF274)</f>
        <v>381.11262246734253</v>
      </c>
      <c r="AG276" s="172">
        <f>SUM(AG265:AG274)</f>
        <v>72542.383482805119</v>
      </c>
      <c r="AI276" s="172">
        <f>SUM(AI265:AI274)</f>
        <v>65609.912215498945</v>
      </c>
      <c r="AJ276" s="172">
        <f>SUM(AJ265:AJ274)</f>
        <v>6932.471267306164</v>
      </c>
      <c r="AK276" s="172">
        <f>SUM(AK265:AK274)</f>
        <v>0</v>
      </c>
      <c r="AM276" s="172">
        <f>SUM(AM265:AM274)</f>
        <v>75242387</v>
      </c>
      <c r="AN276" s="172">
        <f>SUM(AN265:AN274)</f>
        <v>7999732</v>
      </c>
      <c r="AO276" s="172">
        <f>SUM(AO265:AO274)</f>
        <v>16596334</v>
      </c>
      <c r="AP276" s="172"/>
      <c r="AQ276" s="172">
        <f>SUM(AQ265:AQ274)</f>
        <v>99838453</v>
      </c>
      <c r="AR276" s="1"/>
      <c r="AS276" s="175">
        <v>1275.3199865998333</v>
      </c>
      <c r="AT276" s="175">
        <v>135.59136696503603</v>
      </c>
      <c r="AU276" s="175">
        <v>281.2993752376085</v>
      </c>
      <c r="AV276" s="175"/>
      <c r="AW276" s="175">
        <v>1692.2107288024779</v>
      </c>
      <c r="AX276" s="1"/>
      <c r="AY276" s="171">
        <v>9.9032458612824392E-4</v>
      </c>
      <c r="AZ276" s="171">
        <v>-9.0634096792970853E-3</v>
      </c>
      <c r="BA276" s="171">
        <v>-7.853491492126885E-5</v>
      </c>
      <c r="BB276" s="171">
        <f t="shared" ref="BB276" si="87">SUM(AM276:AO276)/I276-1</f>
        <v>-3.0878578372028898E-7</v>
      </c>
      <c r="BC276" s="171"/>
      <c r="BD276" s="1"/>
      <c r="BE276" s="179">
        <f>AM276/'2018-19 disagg'!AM276-1</f>
        <v>2.2355184870710199E-2</v>
      </c>
      <c r="BF276" s="179">
        <f>AN276/'2018-19 disagg'!AN276-1</f>
        <v>3.0439825772549778E-2</v>
      </c>
      <c r="BG276" s="179">
        <f>AO276/'2018-19 disagg'!AO276-1</f>
        <v>4.4714991673167059E-2</v>
      </c>
      <c r="BH276" s="179">
        <f>AQ276/'2018-19 disagg'!AQ276-1</f>
        <v>2.6653252784364589E-2</v>
      </c>
      <c r="BI276" s="1"/>
      <c r="BJ276" s="179">
        <f>AS276/'2018-19 disagg'!AS276-1</f>
        <v>1.530913862612171E-2</v>
      </c>
      <c r="BK276" s="179">
        <f>AT276/'2018-19 disagg'!AT276-1</f>
        <v>2.3338060386014936E-2</v>
      </c>
      <c r="BL276" s="179">
        <f>AU276/'2018-19 disagg'!AU276-1</f>
        <v>3.7514842201948673E-2</v>
      </c>
      <c r="BM276" s="179">
        <f>AW276/'2018-19 disagg'!AW276-1</f>
        <v>1.9577584363716038E-2</v>
      </c>
    </row>
    <row r="277" spans="2:65" ht="15" x14ac:dyDescent="0.25">
      <c r="B277"/>
      <c r="D277" s="1"/>
      <c r="N277" s="1"/>
      <c r="O277" s="1"/>
      <c r="P277" s="1"/>
      <c r="R277" s="1"/>
      <c r="S277" s="1"/>
      <c r="AA277" s="1"/>
      <c r="AB277" s="1"/>
      <c r="AC277" s="1"/>
      <c r="AE277" s="1"/>
      <c r="AF277" s="1"/>
      <c r="AG277" s="1"/>
      <c r="AI277" s="1"/>
      <c r="AJ277" s="1"/>
      <c r="AK277" s="1"/>
      <c r="AM277" s="1"/>
      <c r="AN277" s="1"/>
      <c r="AO277" s="1"/>
      <c r="AP277" s="1"/>
      <c r="AR277" s="1"/>
      <c r="AV277" s="64"/>
      <c r="AX277" s="1"/>
      <c r="BA277" s="64"/>
      <c r="BD277" s="1"/>
      <c r="BE277" s="179"/>
      <c r="BF277" s="179"/>
      <c r="BG277" s="179"/>
      <c r="BH277" s="179"/>
      <c r="BI277" s="1"/>
      <c r="BJ277" s="179"/>
      <c r="BK277" s="179"/>
    </row>
    <row r="278" spans="2:65" ht="15" x14ac:dyDescent="0.25">
      <c r="B278" s="174" t="s">
        <v>552</v>
      </c>
      <c r="D278" s="1"/>
      <c r="N278" s="1"/>
      <c r="O278" s="1"/>
      <c r="P278" s="1"/>
      <c r="R278" s="1"/>
      <c r="S278" s="1"/>
      <c r="AA278" s="1"/>
      <c r="AB278" s="1"/>
      <c r="AC278" s="1"/>
      <c r="AE278" s="1"/>
      <c r="AF278" s="1"/>
      <c r="AG278" s="1"/>
      <c r="AI278" s="1"/>
      <c r="AJ278" s="1"/>
      <c r="AK278" s="1"/>
      <c r="AM278" s="1"/>
      <c r="AN278" s="1"/>
      <c r="AO278" s="1"/>
      <c r="AP278" s="1"/>
      <c r="AR278" s="1"/>
      <c r="AV278" s="64"/>
      <c r="AX278" s="1"/>
      <c r="BA278" s="64"/>
      <c r="BD278" s="1"/>
      <c r="BE278" s="179"/>
      <c r="BF278" s="179"/>
      <c r="BG278" s="179"/>
      <c r="BH278" s="179"/>
      <c r="BI278" s="1"/>
      <c r="BJ278" s="179"/>
      <c r="BK278" s="179"/>
    </row>
    <row r="279" spans="2:65" ht="15" x14ac:dyDescent="0.25">
      <c r="B279" t="s">
        <v>553</v>
      </c>
      <c r="D279" s="55">
        <v>10343314.4067616</v>
      </c>
      <c r="E279" s="166">
        <v>1700.3580259111036</v>
      </c>
      <c r="F279" s="171">
        <f>VLOOKUP(B279,'2019-20'!$B$12:$AMX487,33,FALSE)</f>
        <v>2.9306366992502664E-2</v>
      </c>
      <c r="G279" s="171">
        <f>VLOOKUP(B279,'2019-20'!$B$12:$AMX487,34,FALSE)</f>
        <v>1.8369184669052352E-2</v>
      </c>
      <c r="I279" s="175">
        <v>10237036.753404059</v>
      </c>
      <c r="J279" s="175">
        <v>1682.8868311127167</v>
      </c>
      <c r="K279" s="171">
        <f t="shared" ref="K279:L288" si="88">D279/I279-1</f>
        <v>1.038168133197348E-2</v>
      </c>
      <c r="L279" s="170">
        <f t="shared" si="88"/>
        <v>1.038168133197348E-2</v>
      </c>
      <c r="N279" s="55">
        <v>7350752</v>
      </c>
      <c r="O279" s="55">
        <v>848228</v>
      </c>
      <c r="P279" s="55">
        <v>2141840</v>
      </c>
      <c r="R279" s="55">
        <v>2141840</v>
      </c>
      <c r="S279" s="55">
        <v>2494.4067615996173</v>
      </c>
      <c r="U279" s="171">
        <v>1.657098338535401E-2</v>
      </c>
      <c r="V279" s="171">
        <v>-4.1240618514362337E-2</v>
      </c>
      <c r="AA279" s="55">
        <v>999.06210473572719</v>
      </c>
      <c r="AB279" s="55">
        <v>0</v>
      </c>
      <c r="AC279" s="55">
        <v>1495.3446568638901</v>
      </c>
      <c r="AE279" s="55">
        <v>0</v>
      </c>
      <c r="AF279" s="55">
        <v>350.63386111822911</v>
      </c>
      <c r="AG279" s="55">
        <v>1144.710795745661</v>
      </c>
      <c r="AI279" s="55">
        <v>1028.7263203617781</v>
      </c>
      <c r="AJ279" s="55">
        <v>115.98447538388307</v>
      </c>
      <c r="AK279" s="55">
        <v>0</v>
      </c>
      <c r="AM279" s="55">
        <v>7352780</v>
      </c>
      <c r="AN279" s="55">
        <v>848695</v>
      </c>
      <c r="AO279" s="55">
        <v>2141840</v>
      </c>
      <c r="AP279" s="55"/>
      <c r="AQ279" s="55">
        <v>10343315</v>
      </c>
      <c r="AR279" s="1"/>
      <c r="AS279" s="175">
        <v>1208.7381272665984</v>
      </c>
      <c r="AT279" s="175">
        <v>139.51865891819497</v>
      </c>
      <c r="AU279" s="175">
        <v>352.10133724995052</v>
      </c>
      <c r="AV279" s="175"/>
      <c r="AW279" s="175">
        <v>1700.3581234347439</v>
      </c>
      <c r="AX279" s="1"/>
      <c r="AY279" s="171">
        <v>1.6851445296503398E-2</v>
      </c>
      <c r="AZ279" s="171">
        <v>-4.0712764410095748E-2</v>
      </c>
      <c r="BA279" s="171">
        <v>9.6379123534324762E-3</v>
      </c>
      <c r="BB279" s="171">
        <f t="shared" ref="BB279:BB288" si="89">SUM(AM279:AO279)/I279-1</f>
        <v>1.0381739282180558E-2</v>
      </c>
      <c r="BC279" s="171"/>
      <c r="BD279" s="1"/>
      <c r="BE279" s="179">
        <f>AM279/'2018-19 disagg'!AM279-1</f>
        <v>2.2884330760024607E-2</v>
      </c>
      <c r="BF279" s="179">
        <f>AN279/'2018-19 disagg'!AN279-1</f>
        <v>3.7365928189457609E-2</v>
      </c>
      <c r="BG279" s="179">
        <f>AO279/'2018-19 disagg'!AO279-1</f>
        <v>4.8680629882090543E-2</v>
      </c>
      <c r="BH279" s="179">
        <f>AQ279/'2018-19 disagg'!AQ279-1</f>
        <v>2.9306426028130605E-2</v>
      </c>
      <c r="BI279" s="1"/>
      <c r="BJ279" s="179">
        <f>AS279/'2018-19 disagg'!AS279-1</f>
        <v>1.2015387576460146E-2</v>
      </c>
      <c r="BK279" s="179">
        <f>AT279/'2018-19 disagg'!AT279-1</f>
        <v>2.6343106747193978E-2</v>
      </c>
      <c r="BL279" s="179">
        <f>AU279/'2018-19 disagg'!AU279-1</f>
        <v>3.7537580916403357E-2</v>
      </c>
      <c r="BM279" s="179">
        <f>AW279/'2018-19 disagg'!AW279-1</f>
        <v>1.8369243077380748E-2</v>
      </c>
    </row>
    <row r="280" spans="2:65" ht="15" x14ac:dyDescent="0.25">
      <c r="B280" t="s">
        <v>554</v>
      </c>
      <c r="D280" s="55">
        <v>10961739.762900176</v>
      </c>
      <c r="E280" s="166">
        <v>1646.3378636581638</v>
      </c>
      <c r="F280" s="171">
        <f>VLOOKUP(B280,'2019-20'!$B$12:$AMX488,33,FALSE)</f>
        <v>2.9667350269190429E-2</v>
      </c>
      <c r="G280" s="171">
        <f>VLOOKUP(B280,'2019-20'!$B$12:$AMX488,34,FALSE)</f>
        <v>1.9821210876295403E-2</v>
      </c>
      <c r="I280" s="175">
        <v>11031055.801892392</v>
      </c>
      <c r="J280" s="175">
        <v>1656.748402680256</v>
      </c>
      <c r="K280" s="171">
        <f t="shared" si="88"/>
        <v>-6.2837175549710356E-3</v>
      </c>
      <c r="L280" s="170">
        <f t="shared" si="88"/>
        <v>-6.2837175549711466E-3</v>
      </c>
      <c r="N280" s="55">
        <v>7970233</v>
      </c>
      <c r="O280" s="55">
        <v>890328</v>
      </c>
      <c r="P280" s="55">
        <v>2087890</v>
      </c>
      <c r="R280" s="55">
        <v>2087890</v>
      </c>
      <c r="S280" s="55">
        <v>13288.762900176866</v>
      </c>
      <c r="U280" s="171">
        <v>-9.3708316037579564E-3</v>
      </c>
      <c r="V280" s="171">
        <v>-3.3943885896242199E-2</v>
      </c>
      <c r="AA280" s="55">
        <v>0</v>
      </c>
      <c r="AB280" s="55">
        <v>0</v>
      </c>
      <c r="AC280" s="55">
        <v>13288.762900176866</v>
      </c>
      <c r="AE280" s="55">
        <v>0</v>
      </c>
      <c r="AF280" s="55">
        <v>0</v>
      </c>
      <c r="AG280" s="55">
        <v>13288.762900176866</v>
      </c>
      <c r="AI280" s="55">
        <v>11951.36138435654</v>
      </c>
      <c r="AJ280" s="55">
        <v>1337.4015158203265</v>
      </c>
      <c r="AK280" s="55">
        <v>0</v>
      </c>
      <c r="AM280" s="55">
        <v>7982183</v>
      </c>
      <c r="AN280" s="55">
        <v>891666</v>
      </c>
      <c r="AO280" s="55">
        <v>2087890</v>
      </c>
      <c r="AP280" s="55"/>
      <c r="AQ280" s="55">
        <v>10961739</v>
      </c>
      <c r="AR280" s="1"/>
      <c r="AS280" s="175">
        <v>1198.8398184771052</v>
      </c>
      <c r="AT280" s="175">
        <v>133.91884219920871</v>
      </c>
      <c r="AU280" s="175">
        <v>313.57908840227833</v>
      </c>
      <c r="AV280" s="175"/>
      <c r="AW280" s="175">
        <v>1646.3377490785922</v>
      </c>
      <c r="AX280" s="1"/>
      <c r="AY280" s="171">
        <v>-7.8855527464980479E-3</v>
      </c>
      <c r="AZ280" s="171">
        <v>-3.2492080403580204E-2</v>
      </c>
      <c r="BA280" s="171">
        <v>1.1664052816629189E-2</v>
      </c>
      <c r="BB280" s="171">
        <f t="shared" si="89"/>
        <v>-6.2837867142782056E-3</v>
      </c>
      <c r="BC280" s="171"/>
      <c r="BD280" s="1"/>
      <c r="BE280" s="179">
        <f>AM280/'2018-19 disagg'!AM280-1</f>
        <v>2.4429030590479517E-2</v>
      </c>
      <c r="BF280" s="179">
        <f>AN280/'2018-19 disagg'!AN280-1</f>
        <v>3.634252560155371E-2</v>
      </c>
      <c r="BG280" s="179">
        <f>AO280/'2018-19 disagg'!AO280-1</f>
        <v>4.7259051267736663E-2</v>
      </c>
      <c r="BH280" s="179">
        <f>AQ280/'2018-19 disagg'!AQ280-1</f>
        <v>2.9667278607810044E-2</v>
      </c>
      <c r="BI280" s="1"/>
      <c r="BJ280" s="179">
        <f>AS280/'2018-19 disagg'!AS280-1</f>
        <v>1.4632982351516777E-2</v>
      </c>
      <c r="BK280" s="179">
        <f>AT280/'2018-19 disagg'!AT280-1</f>
        <v>2.6432555198792063E-2</v>
      </c>
      <c r="BL280" s="179">
        <f>AU280/'2018-19 disagg'!AU280-1</f>
        <v>3.7244692167628157E-2</v>
      </c>
      <c r="BM280" s="179">
        <f>AW280/'2018-19 disagg'!AW280-1</f>
        <v>1.9821139900173312E-2</v>
      </c>
    </row>
    <row r="281" spans="2:65" ht="15" x14ac:dyDescent="0.25">
      <c r="B281" t="s">
        <v>555</v>
      </c>
      <c r="D281" s="55">
        <v>10315880.389353711</v>
      </c>
      <c r="E281" s="166">
        <v>1747.2786526207649</v>
      </c>
      <c r="F281" s="171">
        <f>VLOOKUP(B281,'2019-20'!$B$12:$AMX489,33,FALSE)</f>
        <v>2.6412354637113555E-2</v>
      </c>
      <c r="G281" s="171">
        <f>VLOOKUP(B281,'2019-20'!$B$12:$AMX489,34,FALSE)</f>
        <v>1.9468849580707603E-2</v>
      </c>
      <c r="I281" s="175">
        <v>10267182.802331017</v>
      </c>
      <c r="J281" s="175">
        <v>1739.0303741387158</v>
      </c>
      <c r="K281" s="171">
        <f t="shared" si="88"/>
        <v>4.743033016967102E-3</v>
      </c>
      <c r="L281" s="170">
        <f t="shared" si="88"/>
        <v>4.743033016967324E-3</v>
      </c>
      <c r="N281" s="55">
        <v>7726388</v>
      </c>
      <c r="O281" s="55">
        <v>822345</v>
      </c>
      <c r="P281" s="55">
        <v>1763131</v>
      </c>
      <c r="R281" s="55">
        <v>1763131</v>
      </c>
      <c r="S281" s="55">
        <v>4016.389353711842</v>
      </c>
      <c r="U281" s="171">
        <v>6.4373778703719076E-4</v>
      </c>
      <c r="V281" s="171">
        <v>-2.0229401554821336E-2</v>
      </c>
      <c r="AA281" s="55">
        <v>0</v>
      </c>
      <c r="AB281" s="55">
        <v>0</v>
      </c>
      <c r="AC281" s="55">
        <v>4016.389353711842</v>
      </c>
      <c r="AE281" s="55">
        <v>0</v>
      </c>
      <c r="AF281" s="55">
        <v>0</v>
      </c>
      <c r="AG281" s="55">
        <v>4016.389353711842</v>
      </c>
      <c r="AI281" s="55">
        <v>3620.6937031275988</v>
      </c>
      <c r="AJ281" s="55">
        <v>395.6956505842432</v>
      </c>
      <c r="AK281" s="55">
        <v>0</v>
      </c>
      <c r="AM281" s="55">
        <v>7730009</v>
      </c>
      <c r="AN281" s="55">
        <v>822740</v>
      </c>
      <c r="AO281" s="55">
        <v>1763131</v>
      </c>
      <c r="AP281" s="55"/>
      <c r="AQ281" s="55">
        <v>10315880</v>
      </c>
      <c r="AR281" s="1"/>
      <c r="AS281" s="175">
        <v>1309.2900654611569</v>
      </c>
      <c r="AT281" s="175">
        <v>139.35369395527383</v>
      </c>
      <c r="AU281" s="175">
        <v>298.63482725655234</v>
      </c>
      <c r="AV281" s="175"/>
      <c r="AW281" s="175">
        <v>1747.278586672983</v>
      </c>
      <c r="AX281" s="1"/>
      <c r="AY281" s="171">
        <v>1.1126931351930214E-3</v>
      </c>
      <c r="AZ281" s="171">
        <v>-1.9758784737809232E-2</v>
      </c>
      <c r="BA281" s="171">
        <v>3.32209790045912E-2</v>
      </c>
      <c r="BB281" s="171">
        <f t="shared" si="89"/>
        <v>4.742995094810798E-3</v>
      </c>
      <c r="BC281" s="171"/>
      <c r="BD281" s="1"/>
      <c r="BE281" s="179">
        <f>AM281/'2018-19 disagg'!AM281-1</f>
        <v>2.1947655452533965E-2</v>
      </c>
      <c r="BF281" s="179">
        <f>AN281/'2018-19 disagg'!AN281-1</f>
        <v>3.0866865888573569E-2</v>
      </c>
      <c r="BG281" s="179">
        <f>AO281/'2018-19 disagg'!AO281-1</f>
        <v>4.430905697547205E-2</v>
      </c>
      <c r="BH281" s="179">
        <f>AQ281/'2018-19 disagg'!AQ281-1</f>
        <v>2.6412315897089034E-2</v>
      </c>
      <c r="BI281" s="1"/>
      <c r="BJ281" s="179">
        <f>AS281/'2018-19 disagg'!AS281-1</f>
        <v>1.5034353326970784E-2</v>
      </c>
      <c r="BK281" s="179">
        <f>AT281/'2018-19 disagg'!AT281-1</f>
        <v>2.3893226820959956E-2</v>
      </c>
      <c r="BL281" s="179">
        <f>AU281/'2018-19 disagg'!AU281-1</f>
        <v>3.7244483770755066E-2</v>
      </c>
      <c r="BM281" s="179">
        <f>AW281/'2018-19 disagg'!AW281-1</f>
        <v>1.9468811102752559E-2</v>
      </c>
    </row>
    <row r="282" spans="2:65" ht="15" x14ac:dyDescent="0.25">
      <c r="B282" t="s">
        <v>556</v>
      </c>
      <c r="D282" s="55">
        <v>12889503.947711054</v>
      </c>
      <c r="E282" s="166">
        <v>1638.9790753885504</v>
      </c>
      <c r="F282" s="171">
        <f>VLOOKUP(B282,'2019-20'!$B$12:$AMX490,33,FALSE)</f>
        <v>2.775015857073404E-2</v>
      </c>
      <c r="G282" s="171">
        <f>VLOOKUP(B282,'2019-20'!$B$12:$AMX490,34,FALSE)</f>
        <v>2.0746474050023833E-2</v>
      </c>
      <c r="I282" s="175">
        <v>12943981.374668892</v>
      </c>
      <c r="J282" s="175">
        <v>1645.9062126334836</v>
      </c>
      <c r="K282" s="171">
        <f t="shared" si="88"/>
        <v>-4.208707149752966E-3</v>
      </c>
      <c r="L282" s="170">
        <f t="shared" si="88"/>
        <v>-4.208707149752855E-3</v>
      </c>
      <c r="N282" s="55">
        <v>9690508</v>
      </c>
      <c r="O282" s="55">
        <v>1035029</v>
      </c>
      <c r="P282" s="55">
        <v>2141439</v>
      </c>
      <c r="R282" s="55">
        <v>2141439</v>
      </c>
      <c r="S282" s="55">
        <v>22527.947711054207</v>
      </c>
      <c r="U282" s="171">
        <v>-6.5247107069729138E-3</v>
      </c>
      <c r="V282" s="171">
        <v>-1.4780518447821134E-2</v>
      </c>
      <c r="AA282" s="55">
        <v>4232.6259046803461</v>
      </c>
      <c r="AB282" s="55">
        <v>0</v>
      </c>
      <c r="AC282" s="55">
        <v>18295.32180637386</v>
      </c>
      <c r="AE282" s="55">
        <v>0</v>
      </c>
      <c r="AF282" s="55">
        <v>0</v>
      </c>
      <c r="AG282" s="55">
        <v>18295.32180637386</v>
      </c>
      <c r="AI282" s="55">
        <v>16569.50548129169</v>
      </c>
      <c r="AJ282" s="55">
        <v>1725.816325082171</v>
      </c>
      <c r="AK282" s="55">
        <v>0</v>
      </c>
      <c r="AM282" s="55">
        <v>9711309</v>
      </c>
      <c r="AN282" s="55">
        <v>1036755</v>
      </c>
      <c r="AO282" s="55">
        <v>2141439</v>
      </c>
      <c r="AP282" s="55"/>
      <c r="AQ282" s="55">
        <v>12889503</v>
      </c>
      <c r="AR282" s="1"/>
      <c r="AS282" s="175">
        <v>1234.8521952591525</v>
      </c>
      <c r="AT282" s="175">
        <v>131.82972426229077</v>
      </c>
      <c r="AU282" s="175">
        <v>272.29703535986386</v>
      </c>
      <c r="AV282" s="175"/>
      <c r="AW282" s="175">
        <v>1638.9789548813071</v>
      </c>
      <c r="AX282" s="1"/>
      <c r="AY282" s="171">
        <v>-4.3921827226212073E-3</v>
      </c>
      <c r="AZ282" s="171">
        <v>-1.3137580109707891E-2</v>
      </c>
      <c r="BA282" s="171">
        <v>1.0122186684160539E-3</v>
      </c>
      <c r="BB282" s="171">
        <f t="shared" si="89"/>
        <v>-4.2087803661017276E-3</v>
      </c>
      <c r="BC282" s="171"/>
      <c r="BD282" s="1"/>
      <c r="BE282" s="179">
        <f>AM282/'2018-19 disagg'!AM282-1</f>
        <v>2.3711378024944052E-2</v>
      </c>
      <c r="BF282" s="179">
        <f>AN282/'2018-19 disagg'!AN282-1</f>
        <v>3.2067350095864589E-2</v>
      </c>
      <c r="BG282" s="179">
        <f>AO282/'2018-19 disagg'!AO282-1</f>
        <v>4.431911282771539E-2</v>
      </c>
      <c r="BH282" s="179">
        <f>AQ282/'2018-19 disagg'!AQ282-1</f>
        <v>2.7750083004584258E-2</v>
      </c>
      <c r="BI282" s="1"/>
      <c r="BJ282" s="179">
        <f>AS282/'2018-19 disagg'!AS282-1</f>
        <v>1.6735216092827132E-2</v>
      </c>
      <c r="BK282" s="179">
        <f>AT282/'2018-19 disagg'!AT282-1</f>
        <v>2.5034245732982408E-2</v>
      </c>
      <c r="BL282" s="179">
        <f>AU282/'2018-19 disagg'!AU282-1</f>
        <v>3.7202517861323114E-2</v>
      </c>
      <c r="BM282" s="179">
        <f>AW282/'2018-19 disagg'!AW282-1</f>
        <v>2.0746398998825466E-2</v>
      </c>
    </row>
    <row r="283" spans="2:65" ht="15" x14ac:dyDescent="0.25">
      <c r="B283" t="s">
        <v>557</v>
      </c>
      <c r="D283" s="55">
        <v>9132676.8246126883</v>
      </c>
      <c r="E283" s="166">
        <v>1683.0344358257471</v>
      </c>
      <c r="F283" s="171">
        <f>VLOOKUP(B283,'2019-20'!$B$12:$AMX491,33,FALSE)</f>
        <v>2.7948379093571285E-2</v>
      </c>
      <c r="G283" s="171">
        <f>VLOOKUP(B283,'2019-20'!$B$12:$AMX491,34,FALSE)</f>
        <v>2.0546860795228161E-2</v>
      </c>
      <c r="I283" s="175">
        <v>9197082.9846700914</v>
      </c>
      <c r="J283" s="175">
        <v>1694.9036596401475</v>
      </c>
      <c r="K283" s="171">
        <f t="shared" si="88"/>
        <v>-7.0028899559519964E-3</v>
      </c>
      <c r="L283" s="170">
        <f t="shared" si="88"/>
        <v>-7.0028899559519964E-3</v>
      </c>
      <c r="N283" s="55">
        <v>6937564</v>
      </c>
      <c r="O283" s="55">
        <v>715878</v>
      </c>
      <c r="P283" s="55">
        <v>1463302</v>
      </c>
      <c r="R283" s="55">
        <v>1463302</v>
      </c>
      <c r="S283" s="55">
        <v>15932.824612688506</v>
      </c>
      <c r="U283" s="171">
        <v>-6.36420016588779E-3</v>
      </c>
      <c r="V283" s="171">
        <v>-1.885157822928285E-2</v>
      </c>
      <c r="AA283" s="55">
        <v>340.57182745583123</v>
      </c>
      <c r="AB283" s="55">
        <v>0</v>
      </c>
      <c r="AC283" s="55">
        <v>15592.252785232675</v>
      </c>
      <c r="AE283" s="55">
        <v>0</v>
      </c>
      <c r="AF283" s="55">
        <v>0</v>
      </c>
      <c r="AG283" s="55">
        <v>15592.252785232675</v>
      </c>
      <c r="AI283" s="55">
        <v>14115.359947610503</v>
      </c>
      <c r="AJ283" s="55">
        <v>1476.8928376221745</v>
      </c>
      <c r="AK283" s="55">
        <v>0</v>
      </c>
      <c r="AM283" s="55">
        <v>6952020</v>
      </c>
      <c r="AN283" s="55">
        <v>717356</v>
      </c>
      <c r="AO283" s="55">
        <v>1463302</v>
      </c>
      <c r="AP283" s="55"/>
      <c r="AQ283" s="55">
        <v>9132678</v>
      </c>
      <c r="AR283" s="1"/>
      <c r="AS283" s="175">
        <v>1281.1675353513369</v>
      </c>
      <c r="AT283" s="175">
        <v>132.19944972676913</v>
      </c>
      <c r="AU283" s="175">
        <v>269.66766735634849</v>
      </c>
      <c r="AV283" s="175"/>
      <c r="AW283" s="175">
        <v>1683.0346524344545</v>
      </c>
      <c r="AX283" s="1"/>
      <c r="AY283" s="171">
        <v>-4.2937329064287599E-3</v>
      </c>
      <c r="AZ283" s="171">
        <v>-1.6825901553400802E-2</v>
      </c>
      <c r="BA283" s="171">
        <v>-1.4910900334895616E-2</v>
      </c>
      <c r="BB283" s="171">
        <f t="shared" si="89"/>
        <v>-7.002762155940423E-3</v>
      </c>
      <c r="BC283" s="171"/>
      <c r="BD283" s="1"/>
      <c r="BE283" s="179">
        <f>AM283/'2018-19 disagg'!AM283-1</f>
        <v>2.3929119329228143E-2</v>
      </c>
      <c r="BF283" s="179">
        <f>AN283/'2018-19 disagg'!AN283-1</f>
        <v>3.3445702596018201E-2</v>
      </c>
      <c r="BG283" s="179">
        <f>AO283/'2018-19 disagg'!AO283-1</f>
        <v>4.4707538690108573E-2</v>
      </c>
      <c r="BH283" s="179">
        <f>AQ283/'2018-19 disagg'!AQ283-1</f>
        <v>2.7948511391856279E-2</v>
      </c>
      <c r="BI283" s="1"/>
      <c r="BJ283" s="179">
        <f>AS283/'2018-19 disagg'!AS283-1</f>
        <v>1.6556540834961719E-2</v>
      </c>
      <c r="BK283" s="179">
        <f>AT283/'2018-19 disagg'!AT283-1</f>
        <v>2.6004602017744904E-2</v>
      </c>
      <c r="BL283" s="179">
        <f>AU283/'2018-19 disagg'!AU283-1</f>
        <v>3.7185349715162408E-2</v>
      </c>
      <c r="BM283" s="179">
        <f>AW283/'2018-19 disagg'!AW283-1</f>
        <v>2.0546992140928477E-2</v>
      </c>
    </row>
    <row r="284" spans="2:65" ht="15" x14ac:dyDescent="0.25">
      <c r="B284" t="s">
        <v>558</v>
      </c>
      <c r="D284" s="55">
        <v>8893280.7068216242</v>
      </c>
      <c r="E284" s="166">
        <v>1697.6014812731344</v>
      </c>
      <c r="F284" s="171">
        <f>VLOOKUP(B284,'2019-20'!$B$12:$AMX492,33,FALSE)</f>
        <v>2.3943341996024881E-2</v>
      </c>
      <c r="G284" s="171">
        <f>VLOOKUP(B284,'2019-20'!$B$12:$AMX492,34,FALSE)</f>
        <v>1.8054123409584344E-2</v>
      </c>
      <c r="I284" s="175">
        <v>8827743.8371477872</v>
      </c>
      <c r="J284" s="175">
        <v>1685.0914199466126</v>
      </c>
      <c r="K284" s="171">
        <f t="shared" si="88"/>
        <v>7.4239659513060108E-3</v>
      </c>
      <c r="L284" s="170">
        <f t="shared" si="88"/>
        <v>7.4239659513060108E-3</v>
      </c>
      <c r="N284" s="55">
        <v>6837532</v>
      </c>
      <c r="O284" s="55">
        <v>707647</v>
      </c>
      <c r="P284" s="55">
        <v>1342901</v>
      </c>
      <c r="R284" s="55">
        <v>1342901</v>
      </c>
      <c r="S284" s="55">
        <v>5200.7068216247426</v>
      </c>
      <c r="U284" s="171">
        <v>9.8925653753711984E-3</v>
      </c>
      <c r="V284" s="171">
        <v>4.4802475169316569E-3</v>
      </c>
      <c r="AA284" s="55">
        <v>849.39131823173375</v>
      </c>
      <c r="AB284" s="55">
        <v>0</v>
      </c>
      <c r="AC284" s="55">
        <v>4351.3155033930088</v>
      </c>
      <c r="AE284" s="55">
        <v>0</v>
      </c>
      <c r="AF284" s="55">
        <v>0</v>
      </c>
      <c r="AG284" s="55">
        <v>4351.3155033930088</v>
      </c>
      <c r="AI284" s="55">
        <v>3946.172793414727</v>
      </c>
      <c r="AJ284" s="55">
        <v>405.14270997828191</v>
      </c>
      <c r="AK284" s="55">
        <v>0</v>
      </c>
      <c r="AM284" s="55">
        <v>6842327</v>
      </c>
      <c r="AN284" s="55">
        <v>708053</v>
      </c>
      <c r="AO284" s="55">
        <v>1342901</v>
      </c>
      <c r="AP284" s="55"/>
      <c r="AQ284" s="55">
        <v>8893281</v>
      </c>
      <c r="AR284" s="1"/>
      <c r="AS284" s="175">
        <v>1306.1034317341871</v>
      </c>
      <c r="AT284" s="175">
        <v>135.15730147794551</v>
      </c>
      <c r="AU284" s="175">
        <v>256.3408040246062</v>
      </c>
      <c r="AV284" s="175"/>
      <c r="AW284" s="175">
        <v>1697.6015372367387</v>
      </c>
      <c r="AX284" s="1"/>
      <c r="AY284" s="171">
        <v>1.0600779223726819E-2</v>
      </c>
      <c r="AZ284" s="171">
        <v>5.0565503635371378E-3</v>
      </c>
      <c r="BA284" s="171">
        <v>-7.2434994842037748E-3</v>
      </c>
      <c r="BB284" s="171">
        <f t="shared" si="89"/>
        <v>7.4239991623259449E-3</v>
      </c>
      <c r="BC284" s="171"/>
      <c r="BD284" s="1"/>
      <c r="BE284" s="179">
        <f>AM284/'2018-19 disagg'!AM284-1</f>
        <v>1.9823606670358984E-2</v>
      </c>
      <c r="BF284" s="179">
        <f>AN284/'2018-19 disagg'!AN284-1</f>
        <v>2.78172131980432E-2</v>
      </c>
      <c r="BG284" s="179">
        <f>AO284/'2018-19 disagg'!AO284-1</f>
        <v>4.3345134957280207E-2</v>
      </c>
      <c r="BH284" s="179">
        <f>AQ284/'2018-19 disagg'!AQ284-1</f>
        <v>2.3943375751626972E-2</v>
      </c>
      <c r="BI284" s="1"/>
      <c r="BJ284" s="179">
        <f>AS284/'2018-19 disagg'!AS284-1</f>
        <v>1.3958082775661573E-2</v>
      </c>
      <c r="BK284" s="179">
        <f>AT284/'2018-19 disagg'!AT284-1</f>
        <v>2.1905714009396782E-2</v>
      </c>
      <c r="BL284" s="179">
        <f>AU284/'2018-19 disagg'!AU284-1</f>
        <v>3.7344326798417704E-2</v>
      </c>
      <c r="BM284" s="179">
        <f>AW284/'2018-19 disagg'!AW284-1</f>
        <v>1.8054156971040847E-2</v>
      </c>
    </row>
    <row r="285" spans="2:65" ht="15" x14ac:dyDescent="0.25">
      <c r="B285" t="s">
        <v>559</v>
      </c>
      <c r="D285" s="55">
        <v>8149804.6261077449</v>
      </c>
      <c r="E285" s="166">
        <v>1683.559283680529</v>
      </c>
      <c r="F285" s="171">
        <f>VLOOKUP(B285,'2019-20'!$B$12:$AMX493,33,FALSE)</f>
        <v>2.5642898587630025E-2</v>
      </c>
      <c r="G285" s="171">
        <f>VLOOKUP(B285,'2019-20'!$B$12:$AMX493,34,FALSE)</f>
        <v>1.9967350182896748E-2</v>
      </c>
      <c r="I285" s="175">
        <v>8154054.1824634383</v>
      </c>
      <c r="J285" s="175">
        <v>1684.4371427682465</v>
      </c>
      <c r="K285" s="171">
        <f t="shared" si="88"/>
        <v>-5.2115870959412725E-4</v>
      </c>
      <c r="L285" s="170">
        <f t="shared" si="88"/>
        <v>-5.2115870959412725E-4</v>
      </c>
      <c r="N285" s="55">
        <v>6236426</v>
      </c>
      <c r="O285" s="55">
        <v>636050</v>
      </c>
      <c r="P285" s="55">
        <v>1270209</v>
      </c>
      <c r="R285" s="55">
        <v>1270209</v>
      </c>
      <c r="S285" s="55">
        <v>7119.6261077432428</v>
      </c>
      <c r="U285" s="171">
        <v>2.0519992315382041E-4</v>
      </c>
      <c r="V285" s="171">
        <v>-4.9878174622383087E-3</v>
      </c>
      <c r="AA285" s="55">
        <v>2167.6483440120937</v>
      </c>
      <c r="AB285" s="55">
        <v>0</v>
      </c>
      <c r="AC285" s="55">
        <v>4951.977763731149</v>
      </c>
      <c r="AE285" s="55">
        <v>0</v>
      </c>
      <c r="AF285" s="55">
        <v>6.1497541734856807</v>
      </c>
      <c r="AG285" s="55">
        <v>4945.8280095576629</v>
      </c>
      <c r="AI285" s="55">
        <v>4483.5358178761153</v>
      </c>
      <c r="AJ285" s="55">
        <v>462.29219168154799</v>
      </c>
      <c r="AK285" s="55">
        <v>0</v>
      </c>
      <c r="AM285" s="55">
        <v>6243078</v>
      </c>
      <c r="AN285" s="55">
        <v>636519</v>
      </c>
      <c r="AO285" s="55">
        <v>1270209</v>
      </c>
      <c r="AP285" s="55"/>
      <c r="AQ285" s="55">
        <v>8149806</v>
      </c>
      <c r="AR285" s="1"/>
      <c r="AS285" s="175">
        <v>1289.6740974588749</v>
      </c>
      <c r="AT285" s="175">
        <v>131.48995845325425</v>
      </c>
      <c r="AU285" s="175">
        <v>262.39551158245018</v>
      </c>
      <c r="AV285" s="175"/>
      <c r="AW285" s="175">
        <v>1683.5595674945794</v>
      </c>
      <c r="AX285" s="1"/>
      <c r="AY285" s="171">
        <v>1.2720553608498442E-3</v>
      </c>
      <c r="AZ285" s="171">
        <v>-4.2541318815290108E-3</v>
      </c>
      <c r="BA285" s="171">
        <v>-7.3927147429737605E-3</v>
      </c>
      <c r="BB285" s="171">
        <f t="shared" si="89"/>
        <v>-5.2099021767293419E-4</v>
      </c>
      <c r="BC285" s="171"/>
      <c r="BD285" s="1"/>
      <c r="BE285" s="179">
        <f>AM285/'2018-19 disagg'!AM285-1</f>
        <v>2.1816984929574401E-2</v>
      </c>
      <c r="BF285" s="179">
        <f>AN285/'2018-19 disagg'!AN285-1</f>
        <v>2.8882196909081115E-2</v>
      </c>
      <c r="BG285" s="179">
        <f>AO285/'2018-19 disagg'!AO285-1</f>
        <v>4.3195990844381527E-2</v>
      </c>
      <c r="BH285" s="179">
        <f>AQ285/'2018-19 disagg'!AQ285-1</f>
        <v>2.5643071490282221E-2</v>
      </c>
      <c r="BI285" s="1"/>
      <c r="BJ285" s="179">
        <f>AS285/'2018-19 disagg'!AS285-1</f>
        <v>1.6162607790384476E-2</v>
      </c>
      <c r="BK285" s="179">
        <f>AT285/'2018-19 disagg'!AT285-1</f>
        <v>2.3188723362521202E-2</v>
      </c>
      <c r="BL285" s="179">
        <f>AU285/'2018-19 disagg'!AU285-1</f>
        <v>3.7423309777887326E-2</v>
      </c>
      <c r="BM285" s="179">
        <f>AW285/'2018-19 disagg'!AW285-1</f>
        <v>1.9967522128766291E-2</v>
      </c>
    </row>
    <row r="286" spans="2:65" ht="15" x14ac:dyDescent="0.25">
      <c r="B286" t="s">
        <v>560</v>
      </c>
      <c r="D286" s="55">
        <v>8723910.8312336057</v>
      </c>
      <c r="E286" s="166">
        <v>1683.2163914486307</v>
      </c>
      <c r="F286" s="171">
        <f>VLOOKUP(B286,'2019-20'!$B$12:$AMX494,33,FALSE)</f>
        <v>2.509641588995648E-2</v>
      </c>
      <c r="G286" s="171">
        <f>VLOOKUP(B286,'2019-20'!$B$12:$AMX494,34,FALSE)</f>
        <v>2.0254338917324421E-2</v>
      </c>
      <c r="I286" s="175">
        <v>8794594.8654657342</v>
      </c>
      <c r="J286" s="175">
        <v>1696.8543718607266</v>
      </c>
      <c r="K286" s="171">
        <f t="shared" si="88"/>
        <v>-8.0372132330606139E-3</v>
      </c>
      <c r="L286" s="170">
        <f t="shared" si="88"/>
        <v>-8.0372132330607249E-3</v>
      </c>
      <c r="N286" s="55">
        <v>6717586</v>
      </c>
      <c r="O286" s="55">
        <v>695154</v>
      </c>
      <c r="P286" s="55">
        <v>1305005</v>
      </c>
      <c r="R286" s="55">
        <v>1305005</v>
      </c>
      <c r="S286" s="55">
        <v>6165.8312336053059</v>
      </c>
      <c r="U286" s="171">
        <v>-9.3014380378371175E-3</v>
      </c>
      <c r="V286" s="171">
        <v>-7.7222514321384494E-4</v>
      </c>
      <c r="AA286" s="55">
        <v>3096.4471559703525</v>
      </c>
      <c r="AB286" s="55">
        <v>0</v>
      </c>
      <c r="AC286" s="55">
        <v>3069.3840776349534</v>
      </c>
      <c r="AE286" s="55">
        <v>0</v>
      </c>
      <c r="AF286" s="55">
        <v>0</v>
      </c>
      <c r="AG286" s="55">
        <v>3069.3840776349534</v>
      </c>
      <c r="AI286" s="55">
        <v>2782.1396150450514</v>
      </c>
      <c r="AJ286" s="55">
        <v>287.24446258990156</v>
      </c>
      <c r="AK286" s="55">
        <v>0</v>
      </c>
      <c r="AM286" s="55">
        <v>6723465</v>
      </c>
      <c r="AN286" s="55">
        <v>695441</v>
      </c>
      <c r="AO286" s="55">
        <v>1305005</v>
      </c>
      <c r="AP286" s="55"/>
      <c r="AQ286" s="55">
        <v>8723911</v>
      </c>
      <c r="AR286" s="1"/>
      <c r="AS286" s="175">
        <v>1297.2446319388707</v>
      </c>
      <c r="AT286" s="175">
        <v>134.18038229993022</v>
      </c>
      <c r="AU286" s="175">
        <v>251.79140977210204</v>
      </c>
      <c r="AV286" s="175"/>
      <c r="AW286" s="175">
        <v>1683.216424010903</v>
      </c>
      <c r="AX286" s="1"/>
      <c r="AY286" s="171">
        <v>-8.4344127633150245E-3</v>
      </c>
      <c r="AZ286" s="171">
        <v>-3.5968580461565036E-4</v>
      </c>
      <c r="BA286" s="171">
        <v>-1.0045747931415883E-2</v>
      </c>
      <c r="BB286" s="171">
        <f t="shared" si="89"/>
        <v>-8.0371940432745204E-3</v>
      </c>
      <c r="BC286" s="171"/>
      <c r="BD286" s="1"/>
      <c r="BE286" s="179">
        <f>AM286/'2018-19 disagg'!AM286-1</f>
        <v>2.1676801684411773E-2</v>
      </c>
      <c r="BF286" s="179">
        <f>AN286/'2018-19 disagg'!AN286-1</f>
        <v>2.6728201766624382E-2</v>
      </c>
      <c r="BG286" s="179">
        <f>AO286/'2018-19 disagg'!AO286-1</f>
        <v>4.2185594574586371E-2</v>
      </c>
      <c r="BH286" s="179">
        <f>AQ286/'2018-19 disagg'!AQ286-1</f>
        <v>2.5096435720721511E-2</v>
      </c>
      <c r="BI286" s="1"/>
      <c r="BJ286" s="179">
        <f>AS286/'2018-19 disagg'!AS286-1</f>
        <v>1.685087737307378E-2</v>
      </c>
      <c r="BK286" s="179">
        <f>AT286/'2018-19 disagg'!AT286-1</f>
        <v>2.1878416999198125E-2</v>
      </c>
      <c r="BL286" s="179">
        <f>AU286/'2018-19 disagg'!AU286-1</f>
        <v>3.7262796298759948E-2</v>
      </c>
      <c r="BM286" s="179">
        <f>AW286/'2018-19 disagg'!AW286-1</f>
        <v>2.0254358654417937E-2</v>
      </c>
    </row>
    <row r="287" spans="2:65" ht="15" x14ac:dyDescent="0.25">
      <c r="B287" t="s">
        <v>561</v>
      </c>
      <c r="D287" s="55">
        <v>10235308.786724769</v>
      </c>
      <c r="E287" s="166">
        <v>1705.277999475931</v>
      </c>
      <c r="F287" s="171">
        <f>VLOOKUP(B287,'2019-20'!$B$12:$AMX495,33,FALSE)</f>
        <v>2.5211713276393599E-2</v>
      </c>
      <c r="G287" s="171">
        <f>VLOOKUP(B287,'2019-20'!$B$12:$AMX495,34,FALSE)</f>
        <v>1.9842294914870884E-2</v>
      </c>
      <c r="I287" s="175">
        <v>10204851.306096274</v>
      </c>
      <c r="J287" s="175">
        <v>1700.2035583703928</v>
      </c>
      <c r="K287" s="171">
        <f t="shared" si="88"/>
        <v>2.9846079785895707E-3</v>
      </c>
      <c r="L287" s="170">
        <f t="shared" si="88"/>
        <v>2.9846079785893487E-3</v>
      </c>
      <c r="N287" s="55">
        <v>7814955</v>
      </c>
      <c r="O287" s="55">
        <v>825827</v>
      </c>
      <c r="P287" s="55">
        <v>1587337</v>
      </c>
      <c r="R287" s="55">
        <v>1587337</v>
      </c>
      <c r="S287" s="55">
        <v>7189.7867247698596</v>
      </c>
      <c r="U287" s="171">
        <v>7.3195088634414596E-4</v>
      </c>
      <c r="V287" s="171">
        <v>2.4180801596602963E-2</v>
      </c>
      <c r="AA287" s="55">
        <v>3040.4478339609923</v>
      </c>
      <c r="AB287" s="55">
        <v>0</v>
      </c>
      <c r="AC287" s="55">
        <v>4149.3388908088673</v>
      </c>
      <c r="AE287" s="55">
        <v>0</v>
      </c>
      <c r="AF287" s="55">
        <v>0</v>
      </c>
      <c r="AG287" s="55">
        <v>4149.3388908088673</v>
      </c>
      <c r="AI287" s="55">
        <v>3760.3079070434737</v>
      </c>
      <c r="AJ287" s="55">
        <v>389.03098376539305</v>
      </c>
      <c r="AK287" s="55">
        <v>0</v>
      </c>
      <c r="AM287" s="55">
        <v>7821755</v>
      </c>
      <c r="AN287" s="55">
        <v>826217</v>
      </c>
      <c r="AO287" s="55">
        <v>1587337</v>
      </c>
      <c r="AP287" s="55"/>
      <c r="AQ287" s="55">
        <v>10235309</v>
      </c>
      <c r="AR287" s="1"/>
      <c r="AS287" s="175">
        <v>1303.1621220935356</v>
      </c>
      <c r="AT287" s="175">
        <v>137.65385121750231</v>
      </c>
      <c r="AU287" s="175">
        <v>264.46206169812103</v>
      </c>
      <c r="AV287" s="175"/>
      <c r="AW287" s="175">
        <v>1705.2780350091589</v>
      </c>
      <c r="AX287" s="1"/>
      <c r="AY287" s="171">
        <v>1.6027143476855521E-3</v>
      </c>
      <c r="AZ287" s="171">
        <v>2.4664474947828641E-2</v>
      </c>
      <c r="BA287" s="171">
        <v>-1.2244355717792033E-3</v>
      </c>
      <c r="BB287" s="171">
        <f t="shared" si="89"/>
        <v>2.9846288779857844E-3</v>
      </c>
      <c r="BC287" s="171"/>
      <c r="BD287" s="1"/>
      <c r="BE287" s="179">
        <f>AM287/'2018-19 disagg'!AM287-1</f>
        <v>2.1783000561985233E-2</v>
      </c>
      <c r="BF287" s="179">
        <f>AN287/'2018-19 disagg'!AN287-1</f>
        <v>2.4563217920434921E-2</v>
      </c>
      <c r="BG287" s="179">
        <f>AO287/'2018-19 disagg'!AO287-1</f>
        <v>4.2798205217482677E-2</v>
      </c>
      <c r="BH287" s="179">
        <f>AQ287/'2018-19 disagg'!AQ287-1</f>
        <v>2.5211734638940442E-2</v>
      </c>
      <c r="BI287" s="1"/>
      <c r="BJ287" s="179">
        <f>AS287/'2018-19 disagg'!AS287-1</f>
        <v>1.6431539655265892E-2</v>
      </c>
      <c r="BK287" s="179">
        <f>AT287/'2018-19 disagg'!AT287-1</f>
        <v>1.9197195972381342E-2</v>
      </c>
      <c r="BL287" s="179">
        <f>AU287/'2018-19 disagg'!AU287-1</f>
        <v>3.7336679799904848E-2</v>
      </c>
      <c r="BM287" s="179">
        <f>AW287/'2018-19 disagg'!AW287-1</f>
        <v>1.9842316165534113E-2</v>
      </c>
    </row>
    <row r="288" spans="2:65" ht="15" x14ac:dyDescent="0.25">
      <c r="B288" t="s">
        <v>562</v>
      </c>
      <c r="D288" s="55">
        <v>10193031.372690575</v>
      </c>
      <c r="E288" s="166">
        <v>1757.9195374934575</v>
      </c>
      <c r="F288" s="171">
        <f>VLOOKUP(B288,'2019-20'!$B$12:$AMX496,33,FALSE)</f>
        <v>2.4403437101699454E-2</v>
      </c>
      <c r="G288" s="171">
        <f>VLOOKUP(B288,'2019-20'!$B$12:$AMX496,34,FALSE)</f>
        <v>1.8595386682291881E-2</v>
      </c>
      <c r="I288" s="175">
        <v>10180899.920564793</v>
      </c>
      <c r="J288" s="175">
        <v>1755.8273123319402</v>
      </c>
      <c r="K288" s="171">
        <f t="shared" si="88"/>
        <v>1.1915893703342562E-3</v>
      </c>
      <c r="L288" s="170">
        <f t="shared" si="88"/>
        <v>1.1915893703342562E-3</v>
      </c>
      <c r="N288" s="55">
        <v>7879018</v>
      </c>
      <c r="O288" s="55">
        <v>815929</v>
      </c>
      <c r="P288" s="55">
        <v>1493280</v>
      </c>
      <c r="R288" s="55">
        <v>1493280</v>
      </c>
      <c r="S288" s="55">
        <v>4804.3726905751391</v>
      </c>
      <c r="U288" s="171">
        <v>5.2039624302000487E-3</v>
      </c>
      <c r="V288" s="171">
        <v>1.8241839507143975E-2</v>
      </c>
      <c r="AA288" s="55">
        <v>1090.9643232297967</v>
      </c>
      <c r="AB288" s="55">
        <v>0</v>
      </c>
      <c r="AC288" s="55">
        <v>3713.4083673453424</v>
      </c>
      <c r="AE288" s="55">
        <v>0</v>
      </c>
      <c r="AF288" s="55">
        <v>24.329007175627737</v>
      </c>
      <c r="AG288" s="55">
        <v>3689.0793601697146</v>
      </c>
      <c r="AI288" s="55">
        <v>3352.1092453714728</v>
      </c>
      <c r="AJ288" s="55">
        <v>336.97011479824153</v>
      </c>
      <c r="AK288" s="55">
        <v>0</v>
      </c>
      <c r="AM288" s="55">
        <v>7883461</v>
      </c>
      <c r="AN288" s="55">
        <v>816290</v>
      </c>
      <c r="AO288" s="55">
        <v>1493280</v>
      </c>
      <c r="AP288" s="55"/>
      <c r="AQ288" s="55">
        <v>10193031</v>
      </c>
      <c r="AR288" s="1"/>
      <c r="AS288" s="175">
        <v>1359.6043814892716</v>
      </c>
      <c r="AT288" s="175">
        <v>140.77972359676511</v>
      </c>
      <c r="AU288" s="175">
        <v>257.53536813213123</v>
      </c>
      <c r="AV288" s="175"/>
      <c r="AW288" s="175">
        <v>1757.9194732181679</v>
      </c>
      <c r="AX288" s="1"/>
      <c r="AY288" s="171">
        <v>5.7707997194507143E-3</v>
      </c>
      <c r="AZ288" s="171">
        <v>1.8692350892401732E-2</v>
      </c>
      <c r="BA288" s="171">
        <v>-3.1193334433820108E-2</v>
      </c>
      <c r="BB288" s="171">
        <f t="shared" si="89"/>
        <v>1.1915527634942524E-3</v>
      </c>
      <c r="BC288" s="171"/>
      <c r="BD288" s="1"/>
      <c r="BE288" s="179">
        <f>AM288/'2018-19 disagg'!AM288-1</f>
        <v>2.0890050627125012E-2</v>
      </c>
      <c r="BF288" s="179">
        <f>AN288/'2018-19 disagg'!AN288-1</f>
        <v>2.443591330026007E-2</v>
      </c>
      <c r="BG288" s="179">
        <f>AO288/'2018-19 disagg'!AO288-1</f>
        <v>4.3341195935295618E-2</v>
      </c>
      <c r="BH288" s="179">
        <f>AQ288/'2018-19 disagg'!AQ288-1</f>
        <v>2.4403399646158341E-2</v>
      </c>
      <c r="BI288" s="1"/>
      <c r="BJ288" s="179">
        <f>AS288/'2018-19 disagg'!AS288-1</f>
        <v>1.5101920021580062E-2</v>
      </c>
      <c r="BK288" s="179">
        <f>AT288/'2018-19 disagg'!AT288-1</f>
        <v>1.8627678750858578E-2</v>
      </c>
      <c r="BL288" s="179">
        <f>AU288/'2018-19 disagg'!AU288-1</f>
        <v>3.74257742848354E-2</v>
      </c>
      <c r="BM288" s="179">
        <f>AW288/'2018-19 disagg'!AW288-1</f>
        <v>1.8595349439112008E-2</v>
      </c>
    </row>
    <row r="289" spans="2:65" ht="15" x14ac:dyDescent="0.25">
      <c r="B289"/>
      <c r="D289" s="1"/>
      <c r="N289" s="1"/>
      <c r="O289" s="1"/>
      <c r="P289" s="1"/>
      <c r="R289" s="1"/>
      <c r="S289" s="1"/>
      <c r="AA289" s="1"/>
      <c r="AB289" s="1"/>
      <c r="AC289" s="1"/>
      <c r="AE289" s="1"/>
      <c r="AF289" s="1"/>
      <c r="AG289" s="1"/>
      <c r="AI289" s="1"/>
      <c r="AJ289" s="1"/>
      <c r="AK289" s="1"/>
      <c r="AM289" s="1"/>
      <c r="AN289" s="1"/>
      <c r="AO289" s="1"/>
      <c r="AP289" s="1"/>
      <c r="AR289" s="1"/>
      <c r="AV289" s="64"/>
      <c r="AX289" s="1"/>
      <c r="BA289" s="64"/>
      <c r="BD289" s="1"/>
      <c r="BE289" s="179"/>
      <c r="BF289" s="179"/>
      <c r="BG289" s="179"/>
      <c r="BH289" s="179"/>
      <c r="BI289" s="1"/>
      <c r="BJ289" s="179"/>
      <c r="BK289" s="179"/>
    </row>
    <row r="290" spans="2:65" ht="15" x14ac:dyDescent="0.25">
      <c r="B290" t="s">
        <v>12</v>
      </c>
      <c r="D290" s="172">
        <f>SUM(D279:D288)</f>
        <v>99838451.654917523</v>
      </c>
      <c r="E290" s="166">
        <v>1692.2107060040175</v>
      </c>
      <c r="F290" s="171">
        <f>VLOOKUP(B290,'2019-20'!$B$12:$AMX498,33,FALSE)</f>
        <v>2.665323895268723E-2</v>
      </c>
      <c r="G290" s="171">
        <f>VLOOKUP(B290,'2019-20'!$B$12:$AMX498,34,FALSE)</f>
        <v>1.9577570627366425E-2</v>
      </c>
      <c r="I290" s="175">
        <f>SUM(I279:I288)</f>
        <v>99838483.828704476</v>
      </c>
      <c r="J290" s="175">
        <v>1692.2112513332554</v>
      </c>
      <c r="K290" s="171">
        <f t="shared" ref="K290:L290" si="90">D290/I290-1</f>
        <v>-3.2225836887889159E-7</v>
      </c>
      <c r="L290" s="170">
        <f t="shared" si="90"/>
        <v>-3.2225836898991389E-7</v>
      </c>
      <c r="N290" s="172">
        <f>SUM(N279:N288)</f>
        <v>75160962</v>
      </c>
      <c r="O290" s="172">
        <f>SUM(O279:O288)</f>
        <v>7992415</v>
      </c>
      <c r="P290" s="172">
        <f>SUM(P279:P288)</f>
        <v>16596334</v>
      </c>
      <c r="R290" s="172">
        <f>SUM(R279:R288)</f>
        <v>16596334</v>
      </c>
      <c r="S290" s="172">
        <f>SUM(S279:S288)</f>
        <v>88740.654917549327</v>
      </c>
      <c r="U290" s="171">
        <v>-9.2916395838749111E-5</v>
      </c>
      <c r="V290" s="171">
        <v>-9.9697754214714829E-3</v>
      </c>
      <c r="AA290" s="172">
        <f>SUM(AA279:AA288)</f>
        <v>15817.158812276874</v>
      </c>
      <c r="AB290" s="172">
        <f>SUM(AB279:AB288)</f>
        <v>0</v>
      </c>
      <c r="AC290" s="172">
        <f>SUM(AC279:AC288)</f>
        <v>72923.496105272454</v>
      </c>
      <c r="AE290" s="172">
        <f>SUM(AE279:AE288)</f>
        <v>0</v>
      </c>
      <c r="AF290" s="172">
        <f>SUM(AF279:AF288)</f>
        <v>381.11262246734253</v>
      </c>
      <c r="AG290" s="172">
        <f>SUM(AG279:AG288)</f>
        <v>72542.383482805104</v>
      </c>
      <c r="AI290" s="172">
        <f>SUM(AI279:AI288)</f>
        <v>65609.912215498945</v>
      </c>
      <c r="AJ290" s="172">
        <f>SUM(AJ279:AJ288)</f>
        <v>6932.471267306164</v>
      </c>
      <c r="AK290" s="172">
        <f>SUM(AK279:AK288)</f>
        <v>0</v>
      </c>
      <c r="AM290" s="172">
        <f>SUM(AM279:AM288)</f>
        <v>75242387</v>
      </c>
      <c r="AN290" s="172">
        <f>SUM(AN279:AN288)</f>
        <v>7999732</v>
      </c>
      <c r="AO290" s="172">
        <f>SUM(AO279:AO288)</f>
        <v>16596334</v>
      </c>
      <c r="AP290" s="172"/>
      <c r="AQ290" s="172">
        <f>SUM(AQ279:AQ288)</f>
        <v>99838453</v>
      </c>
      <c r="AR290" s="1"/>
      <c r="AS290" s="175">
        <v>1275.3199865998333</v>
      </c>
      <c r="AT290" s="175">
        <v>135.59136696503603</v>
      </c>
      <c r="AU290" s="175">
        <v>281.2993752376085</v>
      </c>
      <c r="AV290" s="175"/>
      <c r="AW290" s="175">
        <v>1692.2107288024779</v>
      </c>
      <c r="AX290" s="1"/>
      <c r="AY290" s="171">
        <v>9.9032458612824392E-4</v>
      </c>
      <c r="AZ290" s="171">
        <v>-9.0634096792970853E-3</v>
      </c>
      <c r="BA290" s="171">
        <v>-7.853491492126885E-5</v>
      </c>
      <c r="BB290" s="171">
        <f t="shared" ref="BB290" si="91">SUM(AM290:AO290)/I290-1</f>
        <v>-3.0878578372028898E-7</v>
      </c>
      <c r="BC290" s="171"/>
      <c r="BD290" s="1"/>
      <c r="BE290" s="179">
        <f>AM290/'2018-19 disagg'!AM290-1</f>
        <v>2.2355184870710199E-2</v>
      </c>
      <c r="BF290" s="179">
        <f>AN290/'2018-19 disagg'!AN290-1</f>
        <v>3.0439825772549778E-2</v>
      </c>
      <c r="BG290" s="179">
        <f>AO290/'2018-19 disagg'!AO290-1</f>
        <v>4.4714991673167059E-2</v>
      </c>
      <c r="BH290" s="179">
        <f>AQ290/'2018-19 disagg'!AQ290-1</f>
        <v>2.6653252784364589E-2</v>
      </c>
      <c r="BI290" s="1"/>
      <c r="BJ290" s="179">
        <f>AS290/'2018-19 disagg'!AS290-1</f>
        <v>1.530913862612171E-2</v>
      </c>
      <c r="BK290" s="179">
        <f>AT290/'2018-19 disagg'!AT290-1</f>
        <v>2.3338060386014936E-2</v>
      </c>
      <c r="BL290" s="179">
        <f>AU290/'2018-19 disagg'!AU290-1</f>
        <v>3.7514842201948673E-2</v>
      </c>
      <c r="BM290" s="179">
        <f>AW290/'2018-19 disagg'!AW290-1</f>
        <v>1.9577584363716038E-2</v>
      </c>
    </row>
    <row r="291" spans="2:65" ht="15" x14ac:dyDescent="0.25">
      <c r="B291"/>
      <c r="D291" s="1"/>
      <c r="N291" s="1"/>
      <c r="O291" s="1"/>
      <c r="P291" s="1"/>
      <c r="R291" s="1"/>
      <c r="S291" s="1"/>
      <c r="AA291" s="1"/>
      <c r="AB291" s="1"/>
      <c r="AC291" s="1"/>
      <c r="AE291" s="1"/>
      <c r="AF291" s="1"/>
      <c r="AG291" s="1"/>
      <c r="AI291" s="1"/>
      <c r="AJ291" s="1"/>
      <c r="AK291" s="1"/>
      <c r="AM291" s="1"/>
      <c r="AN291" s="1"/>
      <c r="AO291" s="1"/>
      <c r="AP291" s="1"/>
      <c r="AR291" s="1"/>
      <c r="AV291" s="64"/>
      <c r="AX291" s="1"/>
      <c r="BA291" s="64"/>
      <c r="BD291" s="1"/>
      <c r="BE291" s="179"/>
      <c r="BF291" s="179"/>
      <c r="BG291" s="179"/>
      <c r="BH291" s="179"/>
      <c r="BI291" s="1"/>
      <c r="BJ291" s="179"/>
      <c r="BK291" s="179"/>
    </row>
    <row r="292" spans="2:65" ht="15" x14ac:dyDescent="0.25">
      <c r="B292" s="174" t="s">
        <v>563</v>
      </c>
      <c r="D292" s="1"/>
      <c r="N292" s="1"/>
      <c r="O292" s="1"/>
      <c r="P292" s="1"/>
      <c r="R292" s="1"/>
      <c r="S292" s="1"/>
      <c r="AA292" s="1"/>
      <c r="AB292" s="1"/>
      <c r="AC292" s="1"/>
      <c r="AE292" s="1"/>
      <c r="AF292" s="1"/>
      <c r="AG292" s="1"/>
      <c r="AI292" s="1"/>
      <c r="AJ292" s="1"/>
      <c r="AK292" s="1"/>
      <c r="AM292" s="1"/>
      <c r="AN292" s="1"/>
      <c r="AO292" s="1"/>
      <c r="AP292" s="1"/>
      <c r="AR292" s="1"/>
      <c r="AV292" s="64"/>
      <c r="AX292" s="1"/>
      <c r="BA292" s="64"/>
      <c r="BD292" s="1"/>
      <c r="BE292" s="179"/>
      <c r="BF292" s="179"/>
      <c r="BG292" s="179"/>
      <c r="BH292" s="179"/>
      <c r="BI292" s="1"/>
      <c r="BJ292" s="179"/>
      <c r="BK292" s="179"/>
    </row>
    <row r="293" spans="2:65" ht="15" x14ac:dyDescent="0.25">
      <c r="B293"/>
      <c r="D293" s="1"/>
      <c r="N293" s="1"/>
      <c r="O293" s="1"/>
      <c r="P293" s="1"/>
      <c r="R293" s="1"/>
      <c r="S293" s="1"/>
      <c r="AA293" s="1"/>
      <c r="AB293" s="1"/>
      <c r="AC293" s="1"/>
      <c r="AE293" s="1"/>
      <c r="AF293" s="1"/>
      <c r="AG293" s="1"/>
      <c r="AI293" s="1"/>
      <c r="AJ293" s="1"/>
      <c r="AK293" s="1"/>
      <c r="AM293" s="1"/>
      <c r="AN293" s="1"/>
      <c r="AO293" s="1"/>
      <c r="AP293" s="1"/>
      <c r="AR293" s="1"/>
      <c r="AV293" s="64"/>
      <c r="AX293" s="1"/>
      <c r="BA293" s="64"/>
      <c r="BD293" s="1"/>
      <c r="BE293" s="179"/>
      <c r="BF293" s="179"/>
      <c r="BG293" s="179"/>
      <c r="BH293" s="179"/>
      <c r="BI293" s="1"/>
      <c r="BJ293" s="179"/>
      <c r="BK293" s="179"/>
    </row>
    <row r="294" spans="2:65" ht="15" x14ac:dyDescent="0.25">
      <c r="B294" t="s">
        <v>564</v>
      </c>
      <c r="D294" s="55">
        <v>6891394.2002017777</v>
      </c>
      <c r="E294" s="166">
        <v>1936.2054891456758</v>
      </c>
      <c r="F294" s="171">
        <f>VLOOKUP(B294,'2019-20'!$B$12:$AMX502,33,FALSE)</f>
        <v>2.1908943082702192E-2</v>
      </c>
      <c r="G294" s="171">
        <f>VLOOKUP(B294,'2019-20'!$B$12:$AMX502,34,FALSE)</f>
        <v>1.9036155696496637E-2</v>
      </c>
      <c r="I294" s="175">
        <v>6697100.4849298317</v>
      </c>
      <c r="J294" s="175">
        <v>1881.6167445335864</v>
      </c>
      <c r="K294" s="171">
        <f t="shared" ref="K294:L305" si="92">D294/I294-1</f>
        <v>2.9011617148220425E-2</v>
      </c>
      <c r="L294" s="170">
        <f t="shared" si="92"/>
        <v>2.9011617148220425E-2</v>
      </c>
      <c r="N294" s="55">
        <v>5349158</v>
      </c>
      <c r="O294" s="55">
        <v>519487</v>
      </c>
      <c r="P294" s="55">
        <v>1021708</v>
      </c>
      <c r="R294" s="55">
        <v>1021708</v>
      </c>
      <c r="S294" s="55">
        <v>1041.2002017773921</v>
      </c>
      <c r="U294" s="171">
        <v>3.1992279606006147E-2</v>
      </c>
      <c r="V294" s="171">
        <v>1.1125590053221224E-2</v>
      </c>
      <c r="AA294" s="55">
        <v>0</v>
      </c>
      <c r="AB294" s="55">
        <v>0</v>
      </c>
      <c r="AC294" s="55">
        <v>1041.2002017773921</v>
      </c>
      <c r="AE294" s="55">
        <v>0</v>
      </c>
      <c r="AF294" s="55">
        <v>6.1497541734856807</v>
      </c>
      <c r="AG294" s="55">
        <v>1035.0504476039064</v>
      </c>
      <c r="AI294" s="55">
        <v>945.5237447717949</v>
      </c>
      <c r="AJ294" s="55">
        <v>89.526702832111525</v>
      </c>
      <c r="AK294" s="55">
        <v>0</v>
      </c>
      <c r="AM294" s="55">
        <v>5350104</v>
      </c>
      <c r="AN294" s="55">
        <v>519583</v>
      </c>
      <c r="AO294" s="55">
        <v>1021708</v>
      </c>
      <c r="AP294" s="55"/>
      <c r="AQ294" s="55">
        <v>6891395</v>
      </c>
      <c r="AR294" s="1"/>
      <c r="AS294" s="175">
        <v>1503.1647343576619</v>
      </c>
      <c r="AT294" s="175">
        <v>145.98199253168855</v>
      </c>
      <c r="AU294" s="175">
        <v>287.0589869675614</v>
      </c>
      <c r="AV294" s="175"/>
      <c r="AW294" s="175">
        <v>1936.2057138569116</v>
      </c>
      <c r="AX294" s="1"/>
      <c r="AY294" s="171">
        <v>3.2174787712236697E-2</v>
      </c>
      <c r="AZ294" s="171">
        <v>1.1312443731263278E-2</v>
      </c>
      <c r="BA294" s="171">
        <v>2.1709963496639784E-2</v>
      </c>
      <c r="BB294" s="171">
        <f t="shared" ref="BB294:BB305" si="93">SUM(AM294:AO294)/I294-1</f>
        <v>2.9011736572772007E-2</v>
      </c>
      <c r="BC294" s="171"/>
      <c r="BD294" s="1"/>
      <c r="BE294" s="179">
        <f>AM294/'2018-19 disagg'!AM294-1</f>
        <v>1.8269299396758587E-2</v>
      </c>
      <c r="BF294" s="179">
        <f>AN294/'2018-19 disagg'!AN294-1</f>
        <v>2.4026787966700214E-2</v>
      </c>
      <c r="BG294" s="179">
        <f>AO294/'2018-19 disagg'!AO294-1</f>
        <v>4.0286476178064135E-2</v>
      </c>
      <c r="BH294" s="179">
        <f>AQ294/'2018-19 disagg'!AQ294-1</f>
        <v>2.1909061682934716E-2</v>
      </c>
      <c r="BI294" s="1"/>
      <c r="BJ294" s="179">
        <f>AS294/'2018-19 disagg'!AS294-1</f>
        <v>1.5406743766075204E-2</v>
      </c>
      <c r="BK294" s="179">
        <f>AT294/'2018-19 disagg'!AT294-1</f>
        <v>2.1148046901245943E-2</v>
      </c>
      <c r="BL294" s="179">
        <f>AU294/'2018-19 disagg'!AU294-1</f>
        <v>3.7362025925393727E-2</v>
      </c>
      <c r="BM294" s="179">
        <f>AW294/'2018-19 disagg'!AW294-1</f>
        <v>1.9036273963320749E-2</v>
      </c>
    </row>
    <row r="295" spans="2:65" ht="15" x14ac:dyDescent="0.25">
      <c r="B295" t="s">
        <v>565</v>
      </c>
      <c r="D295" s="55">
        <v>7952843.3184206085</v>
      </c>
      <c r="E295" s="166">
        <v>1760.9626856060547</v>
      </c>
      <c r="F295" s="171">
        <f>VLOOKUP(B295,'2019-20'!$B$12:$AMX503,33,FALSE)</f>
        <v>2.4990294224357612E-2</v>
      </c>
      <c r="G295" s="171">
        <f>VLOOKUP(B295,'2019-20'!$B$12:$AMX503,34,FALSE)</f>
        <v>1.9411869594731623E-2</v>
      </c>
      <c r="I295" s="175">
        <v>7776354.2823383277</v>
      </c>
      <c r="J295" s="175">
        <v>1721.8835041717098</v>
      </c>
      <c r="K295" s="171">
        <f t="shared" si="92"/>
        <v>2.2695601264351328E-2</v>
      </c>
      <c r="L295" s="170">
        <f t="shared" si="92"/>
        <v>2.2695601264351106E-2</v>
      </c>
      <c r="N295" s="55">
        <v>5940737</v>
      </c>
      <c r="O295" s="55">
        <v>621273</v>
      </c>
      <c r="P295" s="55">
        <v>1390285</v>
      </c>
      <c r="R295" s="55">
        <v>1390285</v>
      </c>
      <c r="S295" s="55">
        <v>548.3184206088772</v>
      </c>
      <c r="U295" s="171">
        <v>2.0630893921484317E-2</v>
      </c>
      <c r="V295" s="171">
        <v>-3.6616159909771961E-2</v>
      </c>
      <c r="AA295" s="55">
        <v>548.3184206088772</v>
      </c>
      <c r="AB295" s="55">
        <v>0</v>
      </c>
      <c r="AC295" s="55">
        <v>0</v>
      </c>
      <c r="AE295" s="55">
        <v>0</v>
      </c>
      <c r="AF295" s="55">
        <v>0</v>
      </c>
      <c r="AG295" s="55">
        <v>0</v>
      </c>
      <c r="AI295" s="55">
        <v>0</v>
      </c>
      <c r="AJ295" s="55">
        <v>0</v>
      </c>
      <c r="AK295" s="55">
        <v>0</v>
      </c>
      <c r="AM295" s="55">
        <v>5941285</v>
      </c>
      <c r="AN295" s="55">
        <v>621273</v>
      </c>
      <c r="AO295" s="55">
        <v>1390285</v>
      </c>
      <c r="AP295" s="55"/>
      <c r="AQ295" s="55">
        <v>7952843</v>
      </c>
      <c r="AR295" s="1"/>
      <c r="AS295" s="175">
        <v>1315.5522837118765</v>
      </c>
      <c r="AT295" s="175">
        <v>137.56571414408307</v>
      </c>
      <c r="AU295" s="175">
        <v>307.84461724363774</v>
      </c>
      <c r="AV295" s="175"/>
      <c r="AW295" s="175">
        <v>1760.9626150995973</v>
      </c>
      <c r="AX295" s="1"/>
      <c r="AY295" s="171">
        <v>2.0725041453999227E-2</v>
      </c>
      <c r="AZ295" s="171">
        <v>-3.6616159909771961E-2</v>
      </c>
      <c r="BA295" s="171">
        <v>6.0625374308736379E-2</v>
      </c>
      <c r="BB295" s="171">
        <f t="shared" si="93"/>
        <v>2.2695560317064434E-2</v>
      </c>
      <c r="BC295" s="171"/>
      <c r="BD295" s="1"/>
      <c r="BE295" s="179">
        <f>AM295/'2018-19 disagg'!AM295-1</f>
        <v>2.0280296586629776E-2</v>
      </c>
      <c r="BF295" s="179">
        <f>AN295/'2018-19 disagg'!AN295-1</f>
        <v>3.0392338974505329E-2</v>
      </c>
      <c r="BG295" s="179">
        <f>AO295/'2018-19 disagg'!AO295-1</f>
        <v>4.3124741148012236E-2</v>
      </c>
      <c r="BH295" s="179">
        <f>AQ295/'2018-19 disagg'!AQ295-1</f>
        <v>2.4990253185194655E-2</v>
      </c>
      <c r="BI295" s="1"/>
      <c r="BJ295" s="179">
        <f>AS295/'2018-19 disagg'!AS295-1</f>
        <v>1.4727505728343582E-2</v>
      </c>
      <c r="BK295" s="179">
        <f>AT295/'2018-19 disagg'!AT295-1</f>
        <v>2.4784514164551297E-2</v>
      </c>
      <c r="BL295" s="179">
        <f>AU295/'2018-19 disagg'!AU295-1</f>
        <v>3.7447621295676914E-2</v>
      </c>
      <c r="BM295" s="179">
        <f>AW295/'2018-19 disagg'!AW295-1</f>
        <v>1.9411828778920892E-2</v>
      </c>
    </row>
    <row r="296" spans="2:65" ht="15" x14ac:dyDescent="0.25">
      <c r="B296" t="s">
        <v>566</v>
      </c>
      <c r="D296" s="55">
        <v>7722336.2697943412</v>
      </c>
      <c r="E296" s="166">
        <v>1767.9474832310718</v>
      </c>
      <c r="F296" s="171">
        <f>VLOOKUP(B296,'2019-20'!$B$12:$AMX504,33,FALSE)</f>
        <v>2.3651967891753278E-2</v>
      </c>
      <c r="G296" s="171">
        <f>VLOOKUP(B296,'2019-20'!$B$12:$AMX504,34,FALSE)</f>
        <v>1.9172825673498206E-2</v>
      </c>
      <c r="I296" s="175">
        <v>7621171.7800676487</v>
      </c>
      <c r="J296" s="175">
        <v>1744.7869397431846</v>
      </c>
      <c r="K296" s="171">
        <f t="shared" si="92"/>
        <v>1.3274138498134525E-2</v>
      </c>
      <c r="L296" s="170">
        <f t="shared" si="92"/>
        <v>1.3274138498134525E-2</v>
      </c>
      <c r="N296" s="55">
        <v>5965806</v>
      </c>
      <c r="O296" s="55">
        <v>611918</v>
      </c>
      <c r="P296" s="55">
        <v>1143081</v>
      </c>
      <c r="R296" s="55">
        <v>1143081</v>
      </c>
      <c r="S296" s="55">
        <v>1531.2697943415114</v>
      </c>
      <c r="U296" s="171">
        <v>1.4254730318542297E-2</v>
      </c>
      <c r="V296" s="171">
        <v>2.2445644594568659E-2</v>
      </c>
      <c r="AA296" s="55">
        <v>473.09855470751063</v>
      </c>
      <c r="AB296" s="55">
        <v>0</v>
      </c>
      <c r="AC296" s="55">
        <v>1058.1712396340008</v>
      </c>
      <c r="AE296" s="55">
        <v>0</v>
      </c>
      <c r="AF296" s="55">
        <v>0</v>
      </c>
      <c r="AG296" s="55">
        <v>1058.1712396340008</v>
      </c>
      <c r="AI296" s="55">
        <v>956.27521600253908</v>
      </c>
      <c r="AJ296" s="55">
        <v>101.8960236314618</v>
      </c>
      <c r="AK296" s="55">
        <v>0</v>
      </c>
      <c r="AM296" s="55">
        <v>5967235</v>
      </c>
      <c r="AN296" s="55">
        <v>612020</v>
      </c>
      <c r="AO296" s="55">
        <v>1143081</v>
      </c>
      <c r="AP296" s="55"/>
      <c r="AQ296" s="55">
        <v>7722336</v>
      </c>
      <c r="AR296" s="1"/>
      <c r="AS296" s="175">
        <v>1366.1355490777305</v>
      </c>
      <c r="AT296" s="175">
        <v>140.11552733327119</v>
      </c>
      <c r="AU296" s="175">
        <v>261.69634505349984</v>
      </c>
      <c r="AV296" s="175"/>
      <c r="AW296" s="175">
        <v>1767.9474214645015</v>
      </c>
      <c r="AX296" s="1"/>
      <c r="AY296" s="171">
        <v>1.449767653731393E-2</v>
      </c>
      <c r="AZ296" s="171">
        <v>2.2616075037452665E-2</v>
      </c>
      <c r="BA296" s="171">
        <v>2.0636750785933966E-3</v>
      </c>
      <c r="BB296" s="171">
        <f t="shared" si="93"/>
        <v>1.327410309749677E-2</v>
      </c>
      <c r="BC296" s="171"/>
      <c r="BD296" s="1"/>
      <c r="BE296" s="179">
        <f>AM296/'2018-19 disagg'!AM296-1</f>
        <v>2.0191194115231514E-2</v>
      </c>
      <c r="BF296" s="179">
        <f>AN296/'2018-19 disagg'!AN296-1</f>
        <v>2.4097292756756428E-2</v>
      </c>
      <c r="BG296" s="179">
        <f>AO296/'2018-19 disagg'!AO296-1</f>
        <v>4.1859172131558431E-2</v>
      </c>
      <c r="BH296" s="179">
        <f>AQ296/'2018-19 disagg'!AQ296-1</f>
        <v>2.365193212854666E-2</v>
      </c>
      <c r="BI296" s="1"/>
      <c r="BJ296" s="179">
        <f>AS296/'2018-19 disagg'!AS296-1</f>
        <v>1.5727195030010188E-2</v>
      </c>
      <c r="BK296" s="179">
        <f>AT296/'2018-19 disagg'!AT296-1</f>
        <v>1.961620195297975E-2</v>
      </c>
      <c r="BL296" s="179">
        <f>AU296/'2018-19 disagg'!AU296-1</f>
        <v>3.7300361569232221E-2</v>
      </c>
      <c r="BM296" s="179">
        <f>AW296/'2018-19 disagg'!AW296-1</f>
        <v>1.9172790066778855E-2</v>
      </c>
    </row>
    <row r="297" spans="2:65" ht="15" x14ac:dyDescent="0.25">
      <c r="B297" t="s">
        <v>567</v>
      </c>
      <c r="D297" s="55">
        <v>22788260.975580405</v>
      </c>
      <c r="E297" s="166">
        <v>1647.8014732321608</v>
      </c>
      <c r="F297" s="171">
        <f>VLOOKUP(B297,'2019-20'!$B$12:$AMX505,33,FALSE)</f>
        <v>2.6013150520384887E-2</v>
      </c>
      <c r="G297" s="171">
        <f>VLOOKUP(B297,'2019-20'!$B$12:$AMX505,34,FALSE)</f>
        <v>1.9855565378863238E-2</v>
      </c>
      <c r="I297" s="175">
        <v>22997489.033054166</v>
      </c>
      <c r="J297" s="175">
        <v>1662.93059176017</v>
      </c>
      <c r="K297" s="171">
        <f t="shared" si="92"/>
        <v>-9.0978653005568955E-3</v>
      </c>
      <c r="L297" s="170">
        <f t="shared" si="92"/>
        <v>-9.0978653005567844E-3</v>
      </c>
      <c r="N297" s="55">
        <v>17390890</v>
      </c>
      <c r="O297" s="55">
        <v>1840071</v>
      </c>
      <c r="P297" s="55">
        <v>3534763</v>
      </c>
      <c r="R297" s="55">
        <v>3534763</v>
      </c>
      <c r="S297" s="55">
        <v>22536.975580400991</v>
      </c>
      <c r="U297" s="171">
        <v>-1.1352113474400238E-2</v>
      </c>
      <c r="V297" s="171">
        <v>3.7719501187414295E-3</v>
      </c>
      <c r="AA297" s="55">
        <v>3893.0535709453106</v>
      </c>
      <c r="AB297" s="55">
        <v>0</v>
      </c>
      <c r="AC297" s="55">
        <v>18643.92200945568</v>
      </c>
      <c r="AE297" s="55">
        <v>0</v>
      </c>
      <c r="AF297" s="55">
        <v>24.329007175627737</v>
      </c>
      <c r="AG297" s="55">
        <v>18619.593002280053</v>
      </c>
      <c r="AI297" s="55">
        <v>16860.086067593606</v>
      </c>
      <c r="AJ297" s="55">
        <v>1759.5069346864464</v>
      </c>
      <c r="AK297" s="55">
        <v>0</v>
      </c>
      <c r="AM297" s="55">
        <v>17411643</v>
      </c>
      <c r="AN297" s="55">
        <v>1841855</v>
      </c>
      <c r="AO297" s="55">
        <v>3534763</v>
      </c>
      <c r="AP297" s="55"/>
      <c r="AQ297" s="55">
        <v>22788261</v>
      </c>
      <c r="AR297" s="1"/>
      <c r="AS297" s="175">
        <v>1259.0223983101323</v>
      </c>
      <c r="AT297" s="175">
        <v>133.18310623756236</v>
      </c>
      <c r="AU297" s="175">
        <v>255.59597045022795</v>
      </c>
      <c r="AV297" s="175"/>
      <c r="AW297" s="175">
        <v>1647.8014749979227</v>
      </c>
      <c r="AX297" s="1"/>
      <c r="AY297" s="171">
        <v>-1.0172334314790477E-2</v>
      </c>
      <c r="AZ297" s="171">
        <v>4.7451349355294159E-3</v>
      </c>
      <c r="BA297" s="171">
        <v>-1.090991782986217E-2</v>
      </c>
      <c r="BB297" s="171">
        <f t="shared" si="93"/>
        <v>-9.0978642387193887E-3</v>
      </c>
      <c r="BC297" s="171"/>
      <c r="BD297" s="1"/>
      <c r="BE297" s="179">
        <f>AM297/'2018-19 disagg'!AM297-1</f>
        <v>2.2343225601286321E-2</v>
      </c>
      <c r="BF297" s="179">
        <f>AN297/'2018-19 disagg'!AN297-1</f>
        <v>2.7641950731792209E-2</v>
      </c>
      <c r="BG297" s="179">
        <f>AO297/'2018-19 disagg'!AO297-1</f>
        <v>4.3604636572424971E-2</v>
      </c>
      <c r="BH297" s="179">
        <f>AQ297/'2018-19 disagg'!AQ297-1</f>
        <v>2.6013151619846742E-2</v>
      </c>
      <c r="BI297" s="1"/>
      <c r="BJ297" s="179">
        <f>AS297/'2018-19 disagg'!AS297-1</f>
        <v>1.6207665396911874E-2</v>
      </c>
      <c r="BK297" s="179">
        <f>AT297/'2018-19 disagg'!AT297-1</f>
        <v>2.1474590397842386E-2</v>
      </c>
      <c r="BL297" s="179">
        <f>AU297/'2018-19 disagg'!AU297-1</f>
        <v>3.7341476689413566E-2</v>
      </c>
      <c r="BM297" s="179">
        <f>AW297/'2018-19 disagg'!AW297-1</f>
        <v>1.9855566471726815E-2</v>
      </c>
    </row>
    <row r="298" spans="2:65" ht="15" x14ac:dyDescent="0.25">
      <c r="B298" t="s">
        <v>568</v>
      </c>
      <c r="D298" s="55">
        <v>13098720.722310646</v>
      </c>
      <c r="E298" s="166">
        <v>1726.7570459625877</v>
      </c>
      <c r="F298" s="171">
        <f>VLOOKUP(B298,'2019-20'!$B$12:$AMX506,33,FALSE)</f>
        <v>2.6157646080219532E-2</v>
      </c>
      <c r="G298" s="171">
        <f>VLOOKUP(B298,'2019-20'!$B$12:$AMX506,34,FALSE)</f>
        <v>1.9746422796510732E-2</v>
      </c>
      <c r="I298" s="175">
        <v>13149216.262518436</v>
      </c>
      <c r="J298" s="175">
        <v>1733.4136906603385</v>
      </c>
      <c r="K298" s="171">
        <f t="shared" si="92"/>
        <v>-3.8401939096345261E-3</v>
      </c>
      <c r="L298" s="170">
        <f t="shared" si="92"/>
        <v>-3.8401939096344151E-3</v>
      </c>
      <c r="N298" s="55">
        <v>9747839</v>
      </c>
      <c r="O298" s="55">
        <v>1060436</v>
      </c>
      <c r="P298" s="55">
        <v>2285556</v>
      </c>
      <c r="R298" s="55">
        <v>2285556</v>
      </c>
      <c r="S298" s="55">
        <v>4889.7223106455349</v>
      </c>
      <c r="U298" s="171">
        <v>-5.9948144935971781E-3</v>
      </c>
      <c r="V298" s="171">
        <v>-2.2693453571287714E-2</v>
      </c>
      <c r="AA298" s="55">
        <v>1176.7019102282065</v>
      </c>
      <c r="AB298" s="55">
        <v>0</v>
      </c>
      <c r="AC298" s="55">
        <v>3713.0204004173283</v>
      </c>
      <c r="AE298" s="55">
        <v>0</v>
      </c>
      <c r="AF298" s="55">
        <v>0</v>
      </c>
      <c r="AG298" s="55">
        <v>3713.0204004173283</v>
      </c>
      <c r="AI298" s="55">
        <v>3338.7303914481126</v>
      </c>
      <c r="AJ298" s="55">
        <v>374.29000896921605</v>
      </c>
      <c r="AK298" s="55">
        <v>0</v>
      </c>
      <c r="AM298" s="55">
        <v>9752355</v>
      </c>
      <c r="AN298" s="55">
        <v>1060811</v>
      </c>
      <c r="AO298" s="55">
        <v>2285556</v>
      </c>
      <c r="AP298" s="55"/>
      <c r="AQ298" s="55">
        <v>13098722</v>
      </c>
      <c r="AR298" s="1"/>
      <c r="AS298" s="175">
        <v>1285.6177384021562</v>
      </c>
      <c r="AT298" s="175">
        <v>139.84288294387662</v>
      </c>
      <c r="AU298" s="175">
        <v>301.29659304972785</v>
      </c>
      <c r="AV298" s="175"/>
      <c r="AW298" s="175">
        <v>1726.7572143957607</v>
      </c>
      <c r="AX298" s="1"/>
      <c r="AY298" s="171">
        <v>-5.5343096147468795E-3</v>
      </c>
      <c r="AZ298" s="171">
        <v>-2.2347850484528364E-2</v>
      </c>
      <c r="BA298" s="171">
        <v>1.24150833978518E-2</v>
      </c>
      <c r="BB298" s="171">
        <f t="shared" si="93"/>
        <v>-3.8400967411547082E-3</v>
      </c>
      <c r="BC298" s="171"/>
      <c r="BD298" s="1"/>
      <c r="BE298" s="179">
        <f>AM298/'2018-19 disagg'!AM298-1</f>
        <v>2.1609630268713875E-2</v>
      </c>
      <c r="BF298" s="179">
        <f>AN298/'2018-19 disagg'!AN298-1</f>
        <v>3.0722158742003458E-2</v>
      </c>
      <c r="BG298" s="179">
        <f>AO298/'2018-19 disagg'!AO298-1</f>
        <v>4.3841168306187228E-2</v>
      </c>
      <c r="BH298" s="179">
        <f>AQ298/'2018-19 disagg'!AQ298-1</f>
        <v>2.6157746174780394E-2</v>
      </c>
      <c r="BI298" s="1"/>
      <c r="BJ298" s="179">
        <f>AS298/'2018-19 disagg'!AS298-1</f>
        <v>1.5226822058436174E-2</v>
      </c>
      <c r="BK298" s="179">
        <f>AT298/'2018-19 disagg'!AT298-1</f>
        <v>2.4282417315913962E-2</v>
      </c>
      <c r="BL298" s="179">
        <f>AU298/'2018-19 disagg'!AU298-1</f>
        <v>3.7319461989129499E-2</v>
      </c>
      <c r="BM298" s="179">
        <f>AW298/'2018-19 disagg'!AW298-1</f>
        <v>1.9746522265701394E-2</v>
      </c>
    </row>
    <row r="299" spans="2:65" ht="15" x14ac:dyDescent="0.25">
      <c r="B299" t="s">
        <v>569</v>
      </c>
      <c r="D299" s="55">
        <v>6996491</v>
      </c>
      <c r="E299" s="166">
        <v>1781.6151082047093</v>
      </c>
      <c r="F299" s="171">
        <f>VLOOKUP(B299,'2019-20'!$B$12:$AMX507,33,FALSE)</f>
        <v>2.3583188021347512E-2</v>
      </c>
      <c r="G299" s="171">
        <f>VLOOKUP(B299,'2019-20'!$B$12:$AMX507,34,FALSE)</f>
        <v>1.9265302480006019E-2</v>
      </c>
      <c r="I299" s="175">
        <v>6912863.9810665604</v>
      </c>
      <c r="J299" s="175">
        <v>1760.3199817783427</v>
      </c>
      <c r="K299" s="171">
        <f t="shared" si="92"/>
        <v>1.2097304266724063E-2</v>
      </c>
      <c r="L299" s="170">
        <f t="shared" si="92"/>
        <v>1.2097304266723841E-2</v>
      </c>
      <c r="N299" s="55">
        <v>5404368</v>
      </c>
      <c r="O299" s="55">
        <v>554968</v>
      </c>
      <c r="P299" s="55">
        <v>1037155</v>
      </c>
      <c r="R299" s="55">
        <v>1037155</v>
      </c>
      <c r="S299" s="55">
        <v>0</v>
      </c>
      <c r="U299" s="171">
        <v>1.6554043603690616E-2</v>
      </c>
      <c r="V299" s="171">
        <v>2.0560060004934044E-2</v>
      </c>
      <c r="AA299" s="55">
        <v>0</v>
      </c>
      <c r="AB299" s="55">
        <v>0</v>
      </c>
      <c r="AC299" s="55">
        <v>0</v>
      </c>
      <c r="AE299" s="55">
        <v>0</v>
      </c>
      <c r="AF299" s="55">
        <v>0</v>
      </c>
      <c r="AG299" s="55">
        <v>0</v>
      </c>
      <c r="AI299" s="55">
        <v>0</v>
      </c>
      <c r="AJ299" s="55">
        <v>0</v>
      </c>
      <c r="AK299" s="55">
        <v>0</v>
      </c>
      <c r="AM299" s="55">
        <v>5404368</v>
      </c>
      <c r="AN299" s="55">
        <v>554968</v>
      </c>
      <c r="AO299" s="55">
        <v>1037155</v>
      </c>
      <c r="AP299" s="55"/>
      <c r="AQ299" s="55">
        <v>6996491</v>
      </c>
      <c r="AR299" s="1"/>
      <c r="AS299" s="175">
        <v>1376.1903901681669</v>
      </c>
      <c r="AT299" s="175">
        <v>141.31932326792833</v>
      </c>
      <c r="AU299" s="175">
        <v>264.10539476861408</v>
      </c>
      <c r="AV299" s="175"/>
      <c r="AW299" s="175">
        <v>1781.6151082047093</v>
      </c>
      <c r="AX299" s="1"/>
      <c r="AY299" s="171">
        <v>1.6554043603690616E-2</v>
      </c>
      <c r="AZ299" s="171">
        <v>2.0560060004934044E-2</v>
      </c>
      <c r="BA299" s="171">
        <v>-1.4781349001717126E-2</v>
      </c>
      <c r="BB299" s="171">
        <f t="shared" si="93"/>
        <v>1.2097304266724063E-2</v>
      </c>
      <c r="BC299" s="171"/>
      <c r="BD299" s="1"/>
      <c r="BE299" s="179">
        <f>AM299/'2018-19 disagg'!AM299-1</f>
        <v>2.0178103719224794E-2</v>
      </c>
      <c r="BF299" s="179">
        <f>AN299/'2018-19 disagg'!AN299-1</f>
        <v>2.345978862031517E-2</v>
      </c>
      <c r="BG299" s="179">
        <f>AO299/'2018-19 disagg'!AO299-1</f>
        <v>4.1768994878315979E-2</v>
      </c>
      <c r="BH299" s="179">
        <f>AQ299/'2018-19 disagg'!AQ299-1</f>
        <v>2.3583188021347512E-2</v>
      </c>
      <c r="BI299" s="1"/>
      <c r="BJ299" s="179">
        <f>AS299/'2018-19 disagg'!AS299-1</f>
        <v>1.587458219289184E-2</v>
      </c>
      <c r="BK299" s="179">
        <f>AT299/'2018-19 disagg'!AT299-1</f>
        <v>1.9142423627274807E-2</v>
      </c>
      <c r="BL299" s="179">
        <f>AU299/'2018-19 disagg'!AU299-1</f>
        <v>3.7374394289869439E-2</v>
      </c>
      <c r="BM299" s="179">
        <f>AW299/'2018-19 disagg'!AW299-1</f>
        <v>1.9265302480006019E-2</v>
      </c>
    </row>
    <row r="300" spans="2:65" ht="15" x14ac:dyDescent="0.25">
      <c r="B300" t="s">
        <v>570</v>
      </c>
      <c r="D300" s="55">
        <v>4147927.5435706796</v>
      </c>
      <c r="E300" s="166">
        <v>1629.2389653616819</v>
      </c>
      <c r="F300" s="171">
        <f>VLOOKUP(B300,'2019-20'!$B$12:$AMX508,33,FALSE)</f>
        <v>3.1777599679884583E-2</v>
      </c>
      <c r="G300" s="171">
        <f>VLOOKUP(B300,'2019-20'!$B$12:$AMX508,34,FALSE)</f>
        <v>2.1381318844932107E-2</v>
      </c>
      <c r="I300" s="175">
        <v>4244415.8245406337</v>
      </c>
      <c r="J300" s="175">
        <v>1667.1380041963116</v>
      </c>
      <c r="K300" s="171">
        <f t="shared" si="92"/>
        <v>-2.2732994352738012E-2</v>
      </c>
      <c r="L300" s="170">
        <f t="shared" si="92"/>
        <v>-2.2732994352738012E-2</v>
      </c>
      <c r="N300" s="55">
        <v>3132421</v>
      </c>
      <c r="O300" s="55">
        <v>324217</v>
      </c>
      <c r="P300" s="55">
        <v>678550</v>
      </c>
      <c r="R300" s="55">
        <v>678550</v>
      </c>
      <c r="S300" s="55">
        <v>12739.543570679438</v>
      </c>
      <c r="U300" s="171">
        <v>-1.5399158861708173E-2</v>
      </c>
      <c r="V300" s="171">
        <v>-2.7229289188019701E-2</v>
      </c>
      <c r="AA300" s="55">
        <v>0</v>
      </c>
      <c r="AB300" s="55">
        <v>0</v>
      </c>
      <c r="AC300" s="55">
        <v>12739.543570679438</v>
      </c>
      <c r="AE300" s="55">
        <v>0</v>
      </c>
      <c r="AF300" s="55">
        <v>0</v>
      </c>
      <c r="AG300" s="55">
        <v>12739.543570679438</v>
      </c>
      <c r="AI300" s="55">
        <v>11540.348549682112</v>
      </c>
      <c r="AJ300" s="55">
        <v>1199.1950209973268</v>
      </c>
      <c r="AK300" s="55">
        <v>0</v>
      </c>
      <c r="AM300" s="55">
        <v>3143961</v>
      </c>
      <c r="AN300" s="55">
        <v>325417</v>
      </c>
      <c r="AO300" s="55">
        <v>678550</v>
      </c>
      <c r="AP300" s="55"/>
      <c r="AQ300" s="55">
        <v>4147928</v>
      </c>
      <c r="AR300" s="1"/>
      <c r="AS300" s="175">
        <v>1234.8971174091573</v>
      </c>
      <c r="AT300" s="175">
        <v>127.81854331397105</v>
      </c>
      <c r="AU300" s="175">
        <v>266.52348391662099</v>
      </c>
      <c r="AV300" s="175"/>
      <c r="AW300" s="175">
        <v>1629.2391446397492</v>
      </c>
      <c r="AX300" s="1"/>
      <c r="AY300" s="171">
        <v>-1.1771838745179841E-2</v>
      </c>
      <c r="AZ300" s="171">
        <v>-2.3628846111393931E-2</v>
      </c>
      <c r="BA300" s="171">
        <v>-7.0111881170708767E-2</v>
      </c>
      <c r="BB300" s="171">
        <f t="shared" si="93"/>
        <v>-2.2732886816309139E-2</v>
      </c>
      <c r="BC300" s="171"/>
      <c r="BD300" s="1"/>
      <c r="BE300" s="179">
        <f>AM300/'2018-19 disagg'!AM300-1</f>
        <v>2.7612862316471976E-2</v>
      </c>
      <c r="BF300" s="179">
        <f>AN300/'2018-19 disagg'!AN300-1</f>
        <v>3.8924096097054939E-2</v>
      </c>
      <c r="BG300" s="179">
        <f>AO300/'2018-19 disagg'!AO300-1</f>
        <v>4.8000605432521271E-2</v>
      </c>
      <c r="BH300" s="179">
        <f>AQ300/'2018-19 disagg'!AQ300-1</f>
        <v>3.1777713214545811E-2</v>
      </c>
      <c r="BI300" s="1"/>
      <c r="BJ300" s="179">
        <f>AS300/'2018-19 disagg'!AS300-1</f>
        <v>1.7258545737428355E-2</v>
      </c>
      <c r="BK300" s="179">
        <f>AT300/'2018-19 disagg'!AT300-1</f>
        <v>2.8455806542624584E-2</v>
      </c>
      <c r="BL300" s="179">
        <f>AU300/'2018-19 disagg'!AU300-1</f>
        <v>3.7440860180582458E-2</v>
      </c>
      <c r="BM300" s="179">
        <f>AW300/'2018-19 disagg'!AW300-1</f>
        <v>2.1381431235608206E-2</v>
      </c>
    </row>
    <row r="301" spans="2:65" ht="15" x14ac:dyDescent="0.25">
      <c r="B301" t="s">
        <v>571</v>
      </c>
      <c r="D301" s="55">
        <v>13920440.729473077</v>
      </c>
      <c r="E301" s="166">
        <v>1569.5563043885243</v>
      </c>
      <c r="F301" s="171">
        <f>VLOOKUP(B301,'2019-20'!$B$12:$AMX509,33,FALSE)</f>
        <v>2.8777569329289099E-2</v>
      </c>
      <c r="G301" s="171">
        <f>VLOOKUP(B301,'2019-20'!$B$12:$AMX509,34,FALSE)</f>
        <v>2.0788877507526449E-2</v>
      </c>
      <c r="I301" s="175">
        <v>14187637.967996961</v>
      </c>
      <c r="J301" s="175">
        <v>1599.6833038413815</v>
      </c>
      <c r="K301" s="171">
        <f t="shared" si="92"/>
        <v>-1.8833102390024337E-2</v>
      </c>
      <c r="L301" s="170">
        <f t="shared" si="92"/>
        <v>-1.8833102390024448E-2</v>
      </c>
      <c r="N301" s="55">
        <v>10476063</v>
      </c>
      <c r="O301" s="55">
        <v>1145123</v>
      </c>
      <c r="P301" s="55">
        <v>2268435</v>
      </c>
      <c r="R301" s="55">
        <v>2268435</v>
      </c>
      <c r="S301" s="55">
        <v>30819.729473077983</v>
      </c>
      <c r="U301" s="171">
        <v>-2.4080047723809339E-2</v>
      </c>
      <c r="V301" s="171">
        <v>-6.4413612667544307E-3</v>
      </c>
      <c r="AA301" s="55">
        <v>9725.9863557869685</v>
      </c>
      <c r="AB301" s="55">
        <v>0</v>
      </c>
      <c r="AC301" s="55">
        <v>21093.743117291015</v>
      </c>
      <c r="AE301" s="55">
        <v>0</v>
      </c>
      <c r="AF301" s="55">
        <v>0</v>
      </c>
      <c r="AG301" s="55">
        <v>21093.743117291015</v>
      </c>
      <c r="AI301" s="55">
        <v>19109.288617831371</v>
      </c>
      <c r="AJ301" s="55">
        <v>1984.4544994596463</v>
      </c>
      <c r="AK301" s="55">
        <v>0</v>
      </c>
      <c r="AM301" s="55">
        <v>10504897</v>
      </c>
      <c r="AN301" s="55">
        <v>1147109</v>
      </c>
      <c r="AO301" s="55">
        <v>2268435</v>
      </c>
      <c r="AP301" s="55"/>
      <c r="AQ301" s="55">
        <v>13920441</v>
      </c>
      <c r="AR301" s="1"/>
      <c r="AS301" s="175">
        <v>1184.4472192890269</v>
      </c>
      <c r="AT301" s="175">
        <v>129.33873271403004</v>
      </c>
      <c r="AU301" s="175">
        <v>255.77038288789538</v>
      </c>
      <c r="AV301" s="175"/>
      <c r="AW301" s="175">
        <v>1569.5563348909523</v>
      </c>
      <c r="AX301" s="1"/>
      <c r="AY301" s="171">
        <v>-2.1393955066297488E-2</v>
      </c>
      <c r="AZ301" s="171">
        <v>-4.7182210831022697E-3</v>
      </c>
      <c r="BA301" s="171">
        <v>-1.3955197936149744E-2</v>
      </c>
      <c r="BB301" s="171">
        <f t="shared" si="93"/>
        <v>-1.8833083322232769E-2</v>
      </c>
      <c r="BC301" s="171"/>
      <c r="BD301" s="1"/>
      <c r="BE301" s="179">
        <f>AM301/'2018-19 disagg'!AM301-1</f>
        <v>2.4815009565358981E-2</v>
      </c>
      <c r="BF301" s="179">
        <f>AN301/'2018-19 disagg'!AN301-1</f>
        <v>3.2703057212794873E-2</v>
      </c>
      <c r="BG301" s="179">
        <f>AO301/'2018-19 disagg'!AO301-1</f>
        <v>4.5488462426552134E-2</v>
      </c>
      <c r="BH301" s="179">
        <f>AQ301/'2018-19 disagg'!AQ301-1</f>
        <v>2.8777589322336317E-2</v>
      </c>
      <c r="BI301" s="1"/>
      <c r="BJ301" s="179">
        <f>AS301/'2018-19 disagg'!AS301-1</f>
        <v>1.6857087921449576E-2</v>
      </c>
      <c r="BK301" s="179">
        <f>AT301/'2018-19 disagg'!AT301-1</f>
        <v>2.4683883084762881E-2</v>
      </c>
      <c r="BL301" s="179">
        <f>AU301/'2018-19 disagg'!AU301-1</f>
        <v>3.7370006718989268E-2</v>
      </c>
      <c r="BM301" s="179">
        <f>AW301/'2018-19 disagg'!AW301-1</f>
        <v>2.0788897345323409E-2</v>
      </c>
    </row>
    <row r="302" spans="2:65" ht="15" x14ac:dyDescent="0.25">
      <c r="B302" t="s">
        <v>572</v>
      </c>
      <c r="D302" s="55">
        <v>5864709.1067890152</v>
      </c>
      <c r="E302" s="166">
        <v>1615.2906605737019</v>
      </c>
      <c r="F302" s="171">
        <f>VLOOKUP(B302,'2019-20'!$B$12:$AMX510,33,FALSE)</f>
        <v>3.3389220782182427E-2</v>
      </c>
      <c r="G302" s="171">
        <f>VLOOKUP(B302,'2019-20'!$B$12:$AMX510,34,FALSE)</f>
        <v>2.0897727130171129E-2</v>
      </c>
      <c r="I302" s="175">
        <v>5994049.7925336715</v>
      </c>
      <c r="J302" s="175">
        <v>1650.9143885218948</v>
      </c>
      <c r="K302" s="171">
        <f t="shared" si="92"/>
        <v>-2.1578180065465302E-2</v>
      </c>
      <c r="L302" s="170">
        <f t="shared" si="92"/>
        <v>-2.1578180065465302E-2</v>
      </c>
      <c r="N302" s="55">
        <v>4248602</v>
      </c>
      <c r="O302" s="55">
        <v>466680</v>
      </c>
      <c r="P302" s="55">
        <v>1138861</v>
      </c>
      <c r="R302" s="55">
        <v>1138861</v>
      </c>
      <c r="S302" s="55">
        <v>10566.106789014768</v>
      </c>
      <c r="U302" s="171">
        <v>-2.3828012516320496E-2</v>
      </c>
      <c r="V302" s="171">
        <v>-4.1674465125186355E-2</v>
      </c>
      <c r="AA302" s="55">
        <v>0</v>
      </c>
      <c r="AB302" s="55">
        <v>0</v>
      </c>
      <c r="AC302" s="55">
        <v>10566.106789014768</v>
      </c>
      <c r="AE302" s="55">
        <v>0</v>
      </c>
      <c r="AF302" s="55">
        <v>0</v>
      </c>
      <c r="AG302" s="55">
        <v>10566.106789014768</v>
      </c>
      <c r="AI302" s="55">
        <v>9514.6162021946275</v>
      </c>
      <c r="AJ302" s="55">
        <v>1051.4905868201395</v>
      </c>
      <c r="AK302" s="55">
        <v>0</v>
      </c>
      <c r="AM302" s="55">
        <v>4258116</v>
      </c>
      <c r="AN302" s="55">
        <v>467731</v>
      </c>
      <c r="AO302" s="55">
        <v>1138861</v>
      </c>
      <c r="AP302" s="55"/>
      <c r="AQ302" s="55">
        <v>5864708</v>
      </c>
      <c r="AR302" s="1"/>
      <c r="AS302" s="175">
        <v>1172.7938898925668</v>
      </c>
      <c r="AT302" s="175">
        <v>128.82506228419803</v>
      </c>
      <c r="AU302" s="175">
        <v>313.67140355897737</v>
      </c>
      <c r="AV302" s="175"/>
      <c r="AW302" s="175">
        <v>1615.290355735742</v>
      </c>
      <c r="AX302" s="1"/>
      <c r="AY302" s="171">
        <v>-2.1642046335228593E-2</v>
      </c>
      <c r="AZ302" s="171">
        <v>-3.9516240780553158E-2</v>
      </c>
      <c r="BA302" s="171">
        <v>-1.3773801379285411E-2</v>
      </c>
      <c r="BB302" s="171">
        <f t="shared" si="93"/>
        <v>-2.1578364713416787E-2</v>
      </c>
      <c r="BC302" s="171"/>
      <c r="BD302" s="1"/>
      <c r="BE302" s="179">
        <f>AM302/'2018-19 disagg'!AM302-1</f>
        <v>2.8246301022132991E-2</v>
      </c>
      <c r="BF302" s="179">
        <f>AN302/'2018-19 disagg'!AN302-1</f>
        <v>4.0620904926436108E-2</v>
      </c>
      <c r="BG302" s="179">
        <f>AO302/'2018-19 disagg'!AO302-1</f>
        <v>5.0027613841403529E-2</v>
      </c>
      <c r="BH302" s="179">
        <f>AQ302/'2018-19 disagg'!AQ302-1</f>
        <v>3.3389025760772517E-2</v>
      </c>
      <c r="BI302" s="1"/>
      <c r="BJ302" s="179">
        <f>AS302/'2018-19 disagg'!AS302-1</f>
        <v>1.5816974410617135E-2</v>
      </c>
      <c r="BK302" s="179">
        <f>AT302/'2018-19 disagg'!AT302-1</f>
        <v>2.8041995483003568E-2</v>
      </c>
      <c r="BL302" s="179">
        <f>AU302/'2018-19 disagg'!AU302-1</f>
        <v>3.7334997149690574E-2</v>
      </c>
      <c r="BM302" s="179">
        <f>AW302/'2018-19 disagg'!AW302-1</f>
        <v>2.0897534466158385E-2</v>
      </c>
    </row>
    <row r="303" spans="2:65" ht="15" x14ac:dyDescent="0.25">
      <c r="B303" t="s">
        <v>573</v>
      </c>
      <c r="D303" s="55">
        <v>4242810.4459783118</v>
      </c>
      <c r="E303" s="166">
        <v>1718.7526755059009</v>
      </c>
      <c r="F303" s="171">
        <f>VLOOKUP(B303,'2019-20'!$B$12:$AMX511,33,FALSE)</f>
        <v>3.1176672049613385E-2</v>
      </c>
      <c r="G303" s="171">
        <f>VLOOKUP(B303,'2019-20'!$B$12:$AMX511,34,FALSE)</f>
        <v>1.9608288130161133E-2</v>
      </c>
      <c r="I303" s="175">
        <v>4226472.7922911095</v>
      </c>
      <c r="J303" s="175">
        <v>1712.1343298729996</v>
      </c>
      <c r="K303" s="171">
        <f t="shared" si="92"/>
        <v>3.8655527883679763E-3</v>
      </c>
      <c r="L303" s="170">
        <f t="shared" si="92"/>
        <v>3.8655527883681984E-3</v>
      </c>
      <c r="N303" s="55">
        <v>2998821</v>
      </c>
      <c r="O303" s="55">
        <v>347732</v>
      </c>
      <c r="P303" s="55">
        <v>896096</v>
      </c>
      <c r="R303" s="55">
        <v>896096</v>
      </c>
      <c r="S303" s="55">
        <v>161.44597831147257</v>
      </c>
      <c r="U303" s="171">
        <v>1.3622248110042756E-2</v>
      </c>
      <c r="V303" s="171">
        <v>-4.6212997338361261E-2</v>
      </c>
      <c r="AA303" s="55">
        <v>0</v>
      </c>
      <c r="AB303" s="55">
        <v>0</v>
      </c>
      <c r="AC303" s="55">
        <v>161.44597831147257</v>
      </c>
      <c r="AE303" s="55">
        <v>0</v>
      </c>
      <c r="AF303" s="55">
        <v>0</v>
      </c>
      <c r="AG303" s="55">
        <v>161.44597831147257</v>
      </c>
      <c r="AI303" s="55">
        <v>143.6281340053867</v>
      </c>
      <c r="AJ303" s="55">
        <v>17.817844306085878</v>
      </c>
      <c r="AK303" s="55">
        <v>0</v>
      </c>
      <c r="AM303" s="55">
        <v>2998965</v>
      </c>
      <c r="AN303" s="55">
        <v>347750</v>
      </c>
      <c r="AO303" s="55">
        <v>896096</v>
      </c>
      <c r="AP303" s="55"/>
      <c r="AQ303" s="55">
        <v>4242811</v>
      </c>
      <c r="AR303" s="1"/>
      <c r="AS303" s="175">
        <v>1214.8737689623624</v>
      </c>
      <c r="AT303" s="175">
        <v>140.87271880687555</v>
      </c>
      <c r="AU303" s="175">
        <v>363.00641216956421</v>
      </c>
      <c r="AV303" s="175"/>
      <c r="AW303" s="175">
        <v>1718.7528999388023</v>
      </c>
      <c r="AX303" s="1"/>
      <c r="AY303" s="171">
        <v>1.3670921106439637E-2</v>
      </c>
      <c r="AZ303" s="171">
        <v>-4.6163625505892814E-2</v>
      </c>
      <c r="BA303" s="171">
        <v>-8.0555038254356282E-3</v>
      </c>
      <c r="BB303" s="171">
        <f t="shared" si="93"/>
        <v>3.8656838720672049E-3</v>
      </c>
      <c r="BC303" s="171"/>
      <c r="BD303" s="1"/>
      <c r="BE303" s="179">
        <f>AM303/'2018-19 disagg'!AM303-1</f>
        <v>2.5166262440840415E-2</v>
      </c>
      <c r="BF303" s="179">
        <f>AN303/'2018-19 disagg'!AN303-1</f>
        <v>3.7864521000528173E-2</v>
      </c>
      <c r="BG303" s="179">
        <f>AO303/'2018-19 disagg'!AO303-1</f>
        <v>4.9139177520854727E-2</v>
      </c>
      <c r="BH303" s="179">
        <f>AQ303/'2018-19 disagg'!AQ303-1</f>
        <v>3.1176806699569459E-2</v>
      </c>
      <c r="BI303" s="1"/>
      <c r="BJ303" s="179">
        <f>AS303/'2018-19 disagg'!AS303-1</f>
        <v>1.3665307050128028E-2</v>
      </c>
      <c r="BK303" s="179">
        <f>AT303/'2018-19 disagg'!AT303-1</f>
        <v>2.6221108614706612E-2</v>
      </c>
      <c r="BL303" s="179">
        <f>AU303/'2018-19 disagg'!AU303-1</f>
        <v>3.7369278996699729E-2</v>
      </c>
      <c r="BM303" s="179">
        <f>AW303/'2018-19 disagg'!AW303-1</f>
        <v>1.9608421269529996E-2</v>
      </c>
    </row>
    <row r="304" spans="2:65" ht="15" x14ac:dyDescent="0.25">
      <c r="B304" t="s">
        <v>574</v>
      </c>
      <c r="D304" s="55">
        <v>2809232.7089375732</v>
      </c>
      <c r="E304" s="166">
        <v>1580.7431675708206</v>
      </c>
      <c r="F304" s="171">
        <f>VLOOKUP(B304,'2019-20'!$B$12:$AMX512,33,FALSE)</f>
        <v>3.2046147244354062E-2</v>
      </c>
      <c r="G304" s="171">
        <f>VLOOKUP(B304,'2019-20'!$B$12:$AMX512,34,FALSE)</f>
        <v>1.9909111732346441E-2</v>
      </c>
      <c r="I304" s="175">
        <v>2846508.850221049</v>
      </c>
      <c r="J304" s="175">
        <v>1601.7182920095299</v>
      </c>
      <c r="K304" s="171">
        <f t="shared" si="92"/>
        <v>-1.3095389210042718E-2</v>
      </c>
      <c r="L304" s="170">
        <f t="shared" si="92"/>
        <v>-1.3095389210042496E-2</v>
      </c>
      <c r="N304" s="55">
        <v>2082719</v>
      </c>
      <c r="O304" s="55">
        <v>226631</v>
      </c>
      <c r="P304" s="55">
        <v>496327</v>
      </c>
      <c r="R304" s="55">
        <v>496327</v>
      </c>
      <c r="S304" s="55">
        <v>3555.7089375731302</v>
      </c>
      <c r="U304" s="171">
        <v>-1.6567276793021057E-2</v>
      </c>
      <c r="V304" s="171">
        <v>-2.7566242645089223E-2</v>
      </c>
      <c r="AA304" s="55">
        <v>0</v>
      </c>
      <c r="AB304" s="55">
        <v>0</v>
      </c>
      <c r="AC304" s="55">
        <v>3555.7089375731302</v>
      </c>
      <c r="AE304" s="55">
        <v>0</v>
      </c>
      <c r="AF304" s="55">
        <v>0</v>
      </c>
      <c r="AG304" s="55">
        <v>3555.7089375731302</v>
      </c>
      <c r="AI304" s="55">
        <v>3201.4152919693997</v>
      </c>
      <c r="AJ304" s="55">
        <v>354.29364560373057</v>
      </c>
      <c r="AK304" s="55">
        <v>0</v>
      </c>
      <c r="AM304" s="55">
        <v>2085920</v>
      </c>
      <c r="AN304" s="55">
        <v>226985</v>
      </c>
      <c r="AO304" s="55">
        <v>496327</v>
      </c>
      <c r="AP304" s="55"/>
      <c r="AQ304" s="55">
        <v>2809232</v>
      </c>
      <c r="AR304" s="1"/>
      <c r="AS304" s="175">
        <v>1173.7382159936251</v>
      </c>
      <c r="AT304" s="175">
        <v>127.72348362224484</v>
      </c>
      <c r="AU304" s="175">
        <v>279.28106903882599</v>
      </c>
      <c r="AV304" s="175"/>
      <c r="AW304" s="175">
        <v>1580.7427686546957</v>
      </c>
      <c r="AX304" s="1"/>
      <c r="AY304" s="171">
        <v>-1.5055806380072645E-2</v>
      </c>
      <c r="AZ304" s="171">
        <v>-2.6047290912521115E-2</v>
      </c>
      <c r="BA304" s="171">
        <v>1.3696799040923135E-3</v>
      </c>
      <c r="BB304" s="171">
        <f t="shared" si="93"/>
        <v>-1.3095638265152143E-2</v>
      </c>
      <c r="BC304" s="171"/>
      <c r="BD304" s="1"/>
      <c r="BE304" s="179">
        <f>AM304/'2018-19 disagg'!AM304-1</f>
        <v>2.7206251326530762E-2</v>
      </c>
      <c r="BF304" s="179">
        <f>AN304/'2018-19 disagg'!AN304-1</f>
        <v>3.8495500317974551E-2</v>
      </c>
      <c r="BG304" s="179">
        <f>AO304/'2018-19 disagg'!AO304-1</f>
        <v>4.985203877662836E-2</v>
      </c>
      <c r="BH304" s="179">
        <f>AQ304/'2018-19 disagg'!AQ304-1</f>
        <v>3.2045886797332779E-2</v>
      </c>
      <c r="BI304" s="1"/>
      <c r="BJ304" s="179">
        <f>AS304/'2018-19 disagg'!AS304-1</f>
        <v>1.5126133800977604E-2</v>
      </c>
      <c r="BK304" s="179">
        <f>AT304/'2018-19 disagg'!AT304-1</f>
        <v>2.6282619333850121E-2</v>
      </c>
      <c r="BL304" s="179">
        <f>AU304/'2018-19 disagg'!AU304-1</f>
        <v>3.7505602998530785E-2</v>
      </c>
      <c r="BM304" s="179">
        <f>AW304/'2018-19 disagg'!AW304-1</f>
        <v>1.9908854348225757E-2</v>
      </c>
    </row>
    <row r="305" spans="2:65" ht="15" x14ac:dyDescent="0.25">
      <c r="B305" t="s">
        <v>575</v>
      </c>
      <c r="D305" s="55">
        <v>3403284.633861118</v>
      </c>
      <c r="E305" s="166">
        <v>1770.9179405356244</v>
      </c>
      <c r="F305" s="171">
        <f>VLOOKUP(B305,'2019-20'!$B$12:$AMX513,33,FALSE)</f>
        <v>2.3106084450183806E-2</v>
      </c>
      <c r="G305" s="171">
        <f>VLOOKUP(B305,'2019-20'!$B$12:$AMX513,34,FALSE)</f>
        <v>1.3012492023843469E-2</v>
      </c>
      <c r="I305" s="175">
        <v>3185202.7771460889</v>
      </c>
      <c r="J305" s="175">
        <v>1657.4378428913074</v>
      </c>
      <c r="K305" s="171">
        <f t="shared" si="92"/>
        <v>6.8467181518166331E-2</v>
      </c>
      <c r="L305" s="170">
        <f t="shared" si="92"/>
        <v>6.8467181518166331E-2</v>
      </c>
      <c r="N305" s="55">
        <v>2423538</v>
      </c>
      <c r="O305" s="55">
        <v>273879</v>
      </c>
      <c r="P305" s="55">
        <v>705517</v>
      </c>
      <c r="R305" s="55">
        <v>705517</v>
      </c>
      <c r="S305" s="55">
        <v>350.63386111822911</v>
      </c>
      <c r="U305" s="171">
        <v>8.9800205205457173E-2</v>
      </c>
      <c r="V305" s="171">
        <v>-3.32707210247285E-2</v>
      </c>
      <c r="AA305" s="55">
        <v>0</v>
      </c>
      <c r="AB305" s="55">
        <v>0</v>
      </c>
      <c r="AC305" s="55">
        <v>350.63386111822911</v>
      </c>
      <c r="AE305" s="55">
        <v>0</v>
      </c>
      <c r="AF305" s="55">
        <v>350.63386111822911</v>
      </c>
      <c r="AG305" s="55">
        <v>0</v>
      </c>
      <c r="AI305" s="55">
        <v>0</v>
      </c>
      <c r="AJ305" s="55">
        <v>0</v>
      </c>
      <c r="AK305" s="55">
        <v>0</v>
      </c>
      <c r="AM305" s="55">
        <v>2423538</v>
      </c>
      <c r="AN305" s="55">
        <v>274230</v>
      </c>
      <c r="AO305" s="55">
        <v>705517</v>
      </c>
      <c r="AP305" s="55"/>
      <c r="AQ305" s="55">
        <v>3403285</v>
      </c>
      <c r="AR305" s="1"/>
      <c r="AS305" s="175">
        <v>1261.1013727936606</v>
      </c>
      <c r="AT305" s="175">
        <v>142.69709386079589</v>
      </c>
      <c r="AU305" s="175">
        <v>367.11966440355587</v>
      </c>
      <c r="AV305" s="175"/>
      <c r="AW305" s="175">
        <v>1770.9181310580122</v>
      </c>
      <c r="AX305" s="1"/>
      <c r="AY305" s="171">
        <v>8.9800205205457173E-2</v>
      </c>
      <c r="AZ305" s="171">
        <v>-3.2031772522213453E-2</v>
      </c>
      <c r="BA305" s="171">
        <v>4.0491869053853824E-2</v>
      </c>
      <c r="BB305" s="171">
        <f t="shared" si="93"/>
        <v>6.8467296468110783E-2</v>
      </c>
      <c r="BC305" s="171"/>
      <c r="BD305" s="1"/>
      <c r="BE305" s="179">
        <f>AM305/'2018-19 disagg'!AM305-1</f>
        <v>1.452334267118327E-2</v>
      </c>
      <c r="BF305" s="179">
        <f>AN305/'2018-19 disagg'!AN305-1</f>
        <v>3.6433727654106463E-2</v>
      </c>
      <c r="BG305" s="179">
        <f>AO305/'2018-19 disagg'!AO305-1</f>
        <v>4.8332070313080511E-2</v>
      </c>
      <c r="BH305" s="179">
        <f>AQ305/'2018-19 disagg'!AQ305-1</f>
        <v>2.3106194520001067E-2</v>
      </c>
      <c r="BI305" s="1"/>
      <c r="BJ305" s="179">
        <f>AS305/'2018-19 disagg'!AS305-1</f>
        <v>4.5144244528596555E-3</v>
      </c>
      <c r="BK305" s="179">
        <f>AT305/'2018-19 disagg'!AT305-1</f>
        <v>2.6208649548471907E-2</v>
      </c>
      <c r="BL305" s="179">
        <f>AU305/'2018-19 disagg'!AU305-1</f>
        <v>3.7989607487352917E-2</v>
      </c>
      <c r="BM305" s="179">
        <f>AW305/'2018-19 disagg'!AW305-1</f>
        <v>1.3012601007752034E-2</v>
      </c>
    </row>
    <row r="306" spans="2:65" ht="15" x14ac:dyDescent="0.25">
      <c r="B306"/>
      <c r="D306" s="1"/>
      <c r="N306" s="1"/>
      <c r="O306" s="1"/>
      <c r="P306" s="1"/>
      <c r="R306" s="1"/>
      <c r="S306" s="1"/>
      <c r="AA306" s="1"/>
      <c r="AB306" s="1"/>
      <c r="AC306" s="1"/>
      <c r="AE306" s="1"/>
      <c r="AF306" s="1"/>
      <c r="AG306" s="1"/>
      <c r="AI306" s="1"/>
      <c r="AJ306" s="1"/>
      <c r="AK306" s="1"/>
      <c r="AM306" s="1"/>
      <c r="AN306" s="1"/>
      <c r="AO306" s="1"/>
      <c r="AP306" s="1"/>
      <c r="AR306" s="1"/>
      <c r="AV306" s="64"/>
      <c r="AX306" s="1"/>
      <c r="BA306" s="64"/>
      <c r="BD306" s="1"/>
      <c r="BE306" s="179"/>
      <c r="BF306" s="179"/>
      <c r="BG306" s="179"/>
      <c r="BH306" s="179"/>
      <c r="BI306" s="1"/>
      <c r="BJ306" s="179"/>
      <c r="BK306" s="179"/>
    </row>
    <row r="307" spans="2:65" ht="15" x14ac:dyDescent="0.25">
      <c r="B307" t="s">
        <v>12</v>
      </c>
      <c r="D307" s="172">
        <f>SUM(D294:D305)</f>
        <v>99838451.654917583</v>
      </c>
      <c r="E307" s="166">
        <v>1692.2107060040187</v>
      </c>
      <c r="F307" s="171">
        <f>VLOOKUP(B307,'2019-20'!$B$12:$AMX515,33,FALSE)</f>
        <v>2.665323895268723E-2</v>
      </c>
      <c r="G307" s="171">
        <f>VLOOKUP(B307,'2019-20'!$B$12:$AMX515,34,FALSE)</f>
        <v>1.9577570627366425E-2</v>
      </c>
      <c r="I307" s="175">
        <f>SUM(I294:I305)</f>
        <v>99838483.828704476</v>
      </c>
      <c r="J307" s="175">
        <v>1692.2112513332554</v>
      </c>
      <c r="K307" s="171">
        <f t="shared" ref="K307:L307" si="94">D307/I307-1</f>
        <v>-3.2225836832378008E-7</v>
      </c>
      <c r="L307" s="170">
        <f t="shared" si="94"/>
        <v>-3.2225836832378008E-7</v>
      </c>
      <c r="N307" s="172">
        <f>SUM(N294:N305)</f>
        <v>75160962</v>
      </c>
      <c r="O307" s="172">
        <f>SUM(O294:O305)</f>
        <v>7992415</v>
      </c>
      <c r="P307" s="172">
        <f>SUM(P294:P305)</f>
        <v>16596334</v>
      </c>
      <c r="R307" s="172">
        <f>SUM(R294:R305)</f>
        <v>16596334</v>
      </c>
      <c r="S307" s="172">
        <f>SUM(S294:S305)</f>
        <v>88740.654917549327</v>
      </c>
      <c r="U307" s="171">
        <v>-9.2916395838749111E-5</v>
      </c>
      <c r="V307" s="171">
        <v>-9.9697754214714829E-3</v>
      </c>
      <c r="AA307" s="172">
        <f>SUM(AA294:AA305)</f>
        <v>15817.158812276874</v>
      </c>
      <c r="AB307" s="172">
        <f>SUM(AB294:AB305)</f>
        <v>0</v>
      </c>
      <c r="AC307" s="172">
        <f>SUM(AC294:AC305)</f>
        <v>72923.496105272454</v>
      </c>
      <c r="AE307" s="172">
        <f>SUM(AE294:AE305)</f>
        <v>0</v>
      </c>
      <c r="AF307" s="172">
        <f>SUM(AF294:AF305)</f>
        <v>381.11262246734253</v>
      </c>
      <c r="AG307" s="172">
        <f>SUM(AG294:AG305)</f>
        <v>72542.383482805104</v>
      </c>
      <c r="AI307" s="172">
        <f>SUM(AI294:AI305)</f>
        <v>65609.912215498945</v>
      </c>
      <c r="AJ307" s="172">
        <f>SUM(AJ294:AJ305)</f>
        <v>6932.4712673061649</v>
      </c>
      <c r="AK307" s="172">
        <f>SUM(AK294:AK305)</f>
        <v>0</v>
      </c>
      <c r="AM307" s="172">
        <f>SUM(AM294:AM305)</f>
        <v>75242387</v>
      </c>
      <c r="AN307" s="172">
        <f>SUM(AN294:AN305)</f>
        <v>7999732</v>
      </c>
      <c r="AO307" s="172">
        <f>SUM(AO294:AO305)</f>
        <v>16596334</v>
      </c>
      <c r="AP307" s="172"/>
      <c r="AQ307" s="172">
        <f>SUM(AQ294:AQ305)</f>
        <v>99838453</v>
      </c>
      <c r="AR307" s="1"/>
      <c r="AS307" s="175">
        <v>1275.3199865998333</v>
      </c>
      <c r="AT307" s="175">
        <v>135.59136696503603</v>
      </c>
      <c r="AU307" s="175">
        <v>281.2993752376085</v>
      </c>
      <c r="AV307" s="175"/>
      <c r="AW307" s="175">
        <v>1692.2107288024779</v>
      </c>
      <c r="AX307" s="1"/>
      <c r="AY307" s="171">
        <v>9.9032458612824392E-4</v>
      </c>
      <c r="AZ307" s="171">
        <v>-9.0634096792970853E-3</v>
      </c>
      <c r="BA307" s="171">
        <v>-7.853491492126885E-5</v>
      </c>
      <c r="BB307" s="171">
        <f t="shared" ref="BB307" si="95">SUM(AM307:AO307)/I307-1</f>
        <v>-3.0878578372028898E-7</v>
      </c>
      <c r="BC307" s="171"/>
      <c r="BD307" s="1"/>
      <c r="BE307" s="179">
        <f>AM307/'2018-19 disagg'!AM307-1</f>
        <v>2.2355184870710199E-2</v>
      </c>
      <c r="BF307" s="179">
        <f>AN307/'2018-19 disagg'!AN307-1</f>
        <v>3.0439825772549778E-2</v>
      </c>
      <c r="BG307" s="179">
        <f>AO307/'2018-19 disagg'!AO307-1</f>
        <v>4.4714991673167059E-2</v>
      </c>
      <c r="BH307" s="179">
        <f>AQ307/'2018-19 disagg'!AQ307-1</f>
        <v>2.6653252784364589E-2</v>
      </c>
      <c r="BI307" s="1"/>
      <c r="BJ307" s="179">
        <f>AS307/'2018-19 disagg'!AS307-1</f>
        <v>1.530913862612171E-2</v>
      </c>
      <c r="BK307" s="179">
        <f>AT307/'2018-19 disagg'!AT307-1</f>
        <v>2.3338060386014936E-2</v>
      </c>
      <c r="BL307" s="179">
        <f>AU307/'2018-19 disagg'!AU307-1</f>
        <v>3.7514842201948673E-2</v>
      </c>
      <c r="BM307" s="179">
        <f>AW307/'2018-19 disagg'!AW307-1</f>
        <v>1.9577584363716038E-2</v>
      </c>
    </row>
    <row r="308" spans="2:65" ht="15" x14ac:dyDescent="0.25">
      <c r="B308"/>
      <c r="D308" s="1"/>
      <c r="N308" s="1"/>
      <c r="O308" s="1"/>
      <c r="P308" s="1"/>
      <c r="R308" s="1"/>
      <c r="S308" s="1"/>
      <c r="AA308" s="1"/>
      <c r="AB308" s="1"/>
      <c r="AC308" s="1"/>
      <c r="AE308" s="1"/>
      <c r="AF308" s="1"/>
      <c r="AG308" s="1"/>
      <c r="AI308" s="1"/>
      <c r="AJ308" s="1"/>
      <c r="AK308" s="1"/>
      <c r="AM308" s="1"/>
      <c r="AN308" s="1"/>
      <c r="AO308" s="1"/>
      <c r="AP308" s="1"/>
      <c r="AR308" s="1"/>
      <c r="AV308" s="64"/>
      <c r="AX308" s="1"/>
      <c r="BA308" s="64"/>
      <c r="BD308" s="1"/>
      <c r="BE308" s="179"/>
      <c r="BF308" s="179"/>
      <c r="BG308" s="179"/>
      <c r="BH308" s="179"/>
      <c r="BI308" s="1"/>
      <c r="BJ308" s="179"/>
      <c r="BK308" s="179"/>
    </row>
    <row r="309" spans="2:65" x14ac:dyDescent="0.2">
      <c r="B309" s="43" t="s">
        <v>576</v>
      </c>
      <c r="D309" s="1"/>
      <c r="N309" s="1"/>
      <c r="O309" s="1"/>
      <c r="P309" s="1"/>
      <c r="R309" s="1"/>
      <c r="S309" s="1"/>
      <c r="AA309" s="1"/>
      <c r="AB309" s="1"/>
      <c r="AC309" s="1"/>
      <c r="AE309" s="1"/>
      <c r="AF309" s="1"/>
      <c r="AG309" s="1"/>
      <c r="AI309" s="1"/>
      <c r="AJ309" s="1"/>
      <c r="AK309" s="1"/>
      <c r="AM309" s="1"/>
      <c r="AN309" s="1"/>
      <c r="AO309" s="1"/>
      <c r="AP309" s="1"/>
      <c r="AR309" s="1"/>
      <c r="AV309" s="64"/>
      <c r="AX309" s="1"/>
      <c r="BA309" s="64"/>
      <c r="BD309" s="1"/>
      <c r="BE309" s="179"/>
      <c r="BF309" s="179"/>
      <c r="BG309" s="179"/>
      <c r="BH309" s="179"/>
      <c r="BI309" s="1"/>
      <c r="BJ309" s="179"/>
      <c r="BK309" s="179"/>
    </row>
    <row r="310" spans="2:65" ht="15" x14ac:dyDescent="0.25">
      <c r="B310"/>
      <c r="D310" s="1"/>
      <c r="N310" s="1"/>
      <c r="O310" s="1"/>
      <c r="P310" s="1"/>
      <c r="R310" s="1"/>
      <c r="S310" s="1"/>
      <c r="AA310" s="1"/>
      <c r="AB310" s="1"/>
      <c r="AC310" s="1"/>
      <c r="AE310" s="1"/>
      <c r="AF310" s="1"/>
      <c r="AG310" s="1"/>
      <c r="AI310" s="1"/>
      <c r="AJ310" s="1"/>
      <c r="AK310" s="1"/>
      <c r="AM310" s="1"/>
      <c r="AN310" s="1"/>
      <c r="AO310" s="1"/>
      <c r="AP310" s="1"/>
      <c r="AR310" s="1"/>
      <c r="AV310" s="64"/>
      <c r="AX310" s="1"/>
      <c r="BA310" s="64"/>
      <c r="BD310" s="1"/>
      <c r="BE310" s="179"/>
      <c r="BF310" s="179"/>
      <c r="BG310" s="179"/>
      <c r="BH310" s="179"/>
      <c r="BI310" s="1"/>
      <c r="BJ310" s="179"/>
      <c r="BK310" s="179"/>
    </row>
    <row r="311" spans="2:65" ht="15" x14ac:dyDescent="0.25">
      <c r="B311" t="s">
        <v>577</v>
      </c>
      <c r="D311" s="55">
        <v>6208253.2002017777</v>
      </c>
      <c r="E311" s="166">
        <v>1893.0455059921967</v>
      </c>
      <c r="F311" s="171">
        <f>VLOOKUP(B311,'2019-20'!$B$12:$AMX519,33,FALSE)</f>
        <v>2.186891349079878E-2</v>
      </c>
      <c r="G311" s="171">
        <f>VLOOKUP(B311,'2019-20'!$B$12:$AMX519,34,FALSE)</f>
        <v>1.9316716774947507E-2</v>
      </c>
      <c r="I311" s="175">
        <v>6016958.2779805381</v>
      </c>
      <c r="J311" s="175">
        <v>1834.715089826459</v>
      </c>
      <c r="K311" s="171">
        <f t="shared" ref="K311:L323" si="96">D311/I311-1</f>
        <v>3.1792628996829775E-2</v>
      </c>
      <c r="L311" s="170">
        <f t="shared" si="96"/>
        <v>3.1792628996829775E-2</v>
      </c>
      <c r="N311" s="55">
        <v>4853120</v>
      </c>
      <c r="O311" s="55">
        <v>469609</v>
      </c>
      <c r="P311" s="55">
        <v>884483</v>
      </c>
      <c r="R311" s="55">
        <v>884483</v>
      </c>
      <c r="S311" s="55">
        <v>1041.2002017773921</v>
      </c>
      <c r="U311" s="171">
        <v>4.07288328347859E-2</v>
      </c>
      <c r="V311" s="171">
        <v>1.447216903444204E-2</v>
      </c>
      <c r="AA311" s="55">
        <v>0</v>
      </c>
      <c r="AB311" s="55">
        <v>0</v>
      </c>
      <c r="AC311" s="55">
        <v>1041.2002017773921</v>
      </c>
      <c r="AE311" s="55">
        <v>0</v>
      </c>
      <c r="AF311" s="55">
        <v>6.1497541734856807</v>
      </c>
      <c r="AG311" s="55">
        <v>1035.0504476039064</v>
      </c>
      <c r="AI311" s="55">
        <v>945.5237447717949</v>
      </c>
      <c r="AJ311" s="55">
        <v>89.526702832111525</v>
      </c>
      <c r="AK311" s="55">
        <v>0</v>
      </c>
      <c r="AM311" s="55">
        <v>4854066</v>
      </c>
      <c r="AN311" s="55">
        <v>469705</v>
      </c>
      <c r="AO311" s="55">
        <v>884483</v>
      </c>
      <c r="AP311" s="55"/>
      <c r="AQ311" s="55">
        <v>6208254</v>
      </c>
      <c r="AR311" s="1"/>
      <c r="AS311" s="175">
        <v>1480.1213047803628</v>
      </c>
      <c r="AT311" s="175">
        <v>143.22433552857757</v>
      </c>
      <c r="AU311" s="175">
        <v>269.7001095609433</v>
      </c>
      <c r="AV311" s="175"/>
      <c r="AW311" s="175">
        <v>1893.0457498698838</v>
      </c>
      <c r="AX311" s="1"/>
      <c r="AY311" s="171">
        <v>4.0931698099988756E-2</v>
      </c>
      <c r="AZ311" s="171">
        <v>1.467955289681977E-2</v>
      </c>
      <c r="BA311" s="171">
        <v>-7.1526977073986808E-3</v>
      </c>
      <c r="BB311" s="171">
        <f t="shared" ref="BB311:BB323" si="97">SUM(AM311:AO311)/I311-1</f>
        <v>3.1792761920839796E-2</v>
      </c>
      <c r="BC311" s="171"/>
      <c r="BD311" s="1"/>
      <c r="BE311" s="179">
        <f>AM311/'2018-19 disagg'!AM311-1</f>
        <v>1.8521778632945907E-2</v>
      </c>
      <c r="BF311" s="179">
        <f>AN311/'2018-19 disagg'!AN311-1</f>
        <v>2.3032692265807064E-2</v>
      </c>
      <c r="BG311" s="179">
        <f>AO311/'2018-19 disagg'!AO311-1</f>
        <v>3.9998071645427347E-2</v>
      </c>
      <c r="BH311" s="179">
        <f>AQ311/'2018-19 disagg'!AQ311-1</f>
        <v>2.1869045136354126E-2</v>
      </c>
      <c r="BI311" s="1"/>
      <c r="BJ311" s="179">
        <f>AS311/'2018-19 disagg'!AS311-1</f>
        <v>1.5977941645508809E-2</v>
      </c>
      <c r="BK311" s="179">
        <f>AT311/'2018-19 disagg'!AT311-1</f>
        <v>2.0477588922375389E-2</v>
      </c>
      <c r="BL311" s="179">
        <f>AU311/'2018-19 disagg'!AU311-1</f>
        <v>3.7400595953679838E-2</v>
      </c>
      <c r="BM311" s="179">
        <f>AW311/'2018-19 disagg'!AW311-1</f>
        <v>1.9316848091708083E-2</v>
      </c>
    </row>
    <row r="312" spans="2:65" ht="15" x14ac:dyDescent="0.25">
      <c r="B312" t="s">
        <v>578</v>
      </c>
      <c r="D312" s="55">
        <v>8424129.059259221</v>
      </c>
      <c r="E312" s="166">
        <v>1846.1786202954029</v>
      </c>
      <c r="F312" s="171">
        <f>VLOOKUP(B312,'2019-20'!$B$12:$AMX520,33,FALSE)</f>
        <v>2.5534374993513964E-2</v>
      </c>
      <c r="G312" s="171">
        <f>VLOOKUP(B312,'2019-20'!$B$12:$AMX520,34,FALSE)</f>
        <v>2.0824000332047676E-2</v>
      </c>
      <c r="I312" s="175">
        <v>8419638.5485568848</v>
      </c>
      <c r="J312" s="175">
        <v>1845.1945084905453</v>
      </c>
      <c r="K312" s="171">
        <f t="shared" si="96"/>
        <v>5.333377052278987E-4</v>
      </c>
      <c r="L312" s="170">
        <f t="shared" si="96"/>
        <v>5.333377052278987E-4</v>
      </c>
      <c r="N312" s="55">
        <v>6296653</v>
      </c>
      <c r="O312" s="55">
        <v>640661</v>
      </c>
      <c r="P312" s="55">
        <v>1484113</v>
      </c>
      <c r="R312" s="55">
        <v>1484113</v>
      </c>
      <c r="S312" s="55">
        <v>2702.0592592204339</v>
      </c>
      <c r="U312" s="171">
        <v>-7.9808352936331373E-3</v>
      </c>
      <c r="V312" s="171">
        <v>-2.4527182295658756E-2</v>
      </c>
      <c r="AA312" s="55">
        <v>0</v>
      </c>
      <c r="AB312" s="55">
        <v>0</v>
      </c>
      <c r="AC312" s="55">
        <v>2702.0592592204339</v>
      </c>
      <c r="AE312" s="55">
        <v>0</v>
      </c>
      <c r="AF312" s="55">
        <v>0</v>
      </c>
      <c r="AG312" s="55">
        <v>2702.0592592204339</v>
      </c>
      <c r="AI312" s="55">
        <v>2432.6648648166506</v>
      </c>
      <c r="AJ312" s="55">
        <v>269.39439440378339</v>
      </c>
      <c r="AK312" s="55">
        <v>0</v>
      </c>
      <c r="AM312" s="55">
        <v>6299086</v>
      </c>
      <c r="AN312" s="55">
        <v>640931</v>
      </c>
      <c r="AO312" s="55">
        <v>1484113</v>
      </c>
      <c r="AP312" s="55"/>
      <c r="AQ312" s="55">
        <v>8424130</v>
      </c>
      <c r="AR312" s="1"/>
      <c r="AS312" s="175">
        <v>1380.467680254736</v>
      </c>
      <c r="AT312" s="175">
        <v>140.46236720269388</v>
      </c>
      <c r="AU312" s="175">
        <v>325.24877900474718</v>
      </c>
      <c r="AV312" s="175"/>
      <c r="AW312" s="175">
        <v>1846.1788264621771</v>
      </c>
      <c r="AX312" s="1"/>
      <c r="AY312" s="171">
        <v>-7.5975232979219598E-3</v>
      </c>
      <c r="AZ312" s="171">
        <v>-2.4116079293009629E-2</v>
      </c>
      <c r="BA312" s="171">
        <v>4.8428921732224905E-2</v>
      </c>
      <c r="BB312" s="171">
        <f t="shared" si="97"/>
        <v>5.3344943695776692E-4</v>
      </c>
      <c r="BC312" s="171"/>
      <c r="BD312" s="1"/>
      <c r="BE312" s="179">
        <f>AM312/'2018-19 disagg'!AM312-1</f>
        <v>2.1287531074749788E-2</v>
      </c>
      <c r="BF312" s="179">
        <f>AN312/'2018-19 disagg'!AN312-1</f>
        <v>2.9252547312976329E-2</v>
      </c>
      <c r="BG312" s="179">
        <f>AO312/'2018-19 disagg'!AO312-1</f>
        <v>4.2304947902766843E-2</v>
      </c>
      <c r="BH312" s="179">
        <f>AQ312/'2018-19 disagg'!AQ312-1</f>
        <v>2.5534489517163861E-2</v>
      </c>
      <c r="BI312" s="1"/>
      <c r="BJ312" s="179">
        <f>AS312/'2018-19 disagg'!AS312-1</f>
        <v>1.6596662561954911E-2</v>
      </c>
      <c r="BK312" s="179">
        <f>AT312/'2018-19 disagg'!AT312-1</f>
        <v>2.4525094740610598E-2</v>
      </c>
      <c r="BL312" s="179">
        <f>AU312/'2018-19 disagg'!AU312-1</f>
        <v>3.7517544441860728E-2</v>
      </c>
      <c r="BM312" s="179">
        <f>AW312/'2018-19 disagg'!AW312-1</f>
        <v>2.0824114329679677E-2</v>
      </c>
    </row>
    <row r="313" spans="2:65" ht="15" x14ac:dyDescent="0.25">
      <c r="B313" t="s">
        <v>579</v>
      </c>
      <c r="D313" s="55">
        <v>4953548.9929482676</v>
      </c>
      <c r="E313" s="166">
        <v>1904.8899050905543</v>
      </c>
      <c r="F313" s="171">
        <f>VLOOKUP(B313,'2019-20'!$B$12:$AMX521,33,FALSE)</f>
        <v>2.2970186387571978E-2</v>
      </c>
      <c r="G313" s="171">
        <f>VLOOKUP(B313,'2019-20'!$B$12:$AMX521,34,FALSE)</f>
        <v>2.0087424909284612E-2</v>
      </c>
      <c r="I313" s="175">
        <v>4863086.7430243529</v>
      </c>
      <c r="J313" s="175">
        <v>1870.1025986730433</v>
      </c>
      <c r="K313" s="171">
        <f t="shared" si="96"/>
        <v>1.8601817056558723E-2</v>
      </c>
      <c r="L313" s="170">
        <f t="shared" si="96"/>
        <v>1.8601817056558723E-2</v>
      </c>
      <c r="N313" s="55">
        <v>3805526</v>
      </c>
      <c r="O313" s="55">
        <v>372999</v>
      </c>
      <c r="P313" s="55">
        <v>774749</v>
      </c>
      <c r="R313" s="55">
        <v>774749</v>
      </c>
      <c r="S313" s="55">
        <v>274.9929482669686</v>
      </c>
      <c r="U313" s="171">
        <v>1.2354071968586844E-2</v>
      </c>
      <c r="V313" s="171">
        <v>-9.9572437114925361E-4</v>
      </c>
      <c r="AA313" s="55">
        <v>0</v>
      </c>
      <c r="AB313" s="55">
        <v>0</v>
      </c>
      <c r="AC313" s="55">
        <v>274.9929482669686</v>
      </c>
      <c r="AE313" s="55">
        <v>0</v>
      </c>
      <c r="AF313" s="55">
        <v>0</v>
      </c>
      <c r="AG313" s="55">
        <v>274.9929482669686</v>
      </c>
      <c r="AI313" s="55">
        <v>250.07070030035351</v>
      </c>
      <c r="AJ313" s="55">
        <v>24.922247966615082</v>
      </c>
      <c r="AK313" s="55">
        <v>0</v>
      </c>
      <c r="AM313" s="55">
        <v>3805776</v>
      </c>
      <c r="AN313" s="55">
        <v>373024</v>
      </c>
      <c r="AO313" s="55">
        <v>774749</v>
      </c>
      <c r="AP313" s="55"/>
      <c r="AQ313" s="55">
        <v>4953549</v>
      </c>
      <c r="AR313" s="1"/>
      <c r="AS313" s="175">
        <v>1463.5131889794998</v>
      </c>
      <c r="AT313" s="175">
        <v>143.44657799247486</v>
      </c>
      <c r="AU313" s="175">
        <v>297.93014083032699</v>
      </c>
      <c r="AV313" s="175"/>
      <c r="AW313" s="175">
        <v>1904.8899078023017</v>
      </c>
      <c r="AX313" s="1"/>
      <c r="AY313" s="171">
        <v>1.2420577497124219E-2</v>
      </c>
      <c r="AZ313" s="171">
        <v>-9.2876680051046101E-4</v>
      </c>
      <c r="BA313" s="171">
        <v>6.0384891624950754E-2</v>
      </c>
      <c r="BB313" s="171">
        <f t="shared" si="97"/>
        <v>1.8601818506611467E-2</v>
      </c>
      <c r="BC313" s="171"/>
      <c r="BD313" s="1"/>
      <c r="BE313" s="179">
        <f>AM313/'2018-19 disagg'!AM313-1</f>
        <v>1.9280424941219287E-2</v>
      </c>
      <c r="BF313" s="179">
        <f>AN313/'2018-19 disagg'!AN313-1</f>
        <v>2.5526545132636302E-2</v>
      </c>
      <c r="BG313" s="179">
        <f>AO313/'2018-19 disagg'!AO313-1</f>
        <v>4.0219174697970095E-2</v>
      </c>
      <c r="BH313" s="179">
        <f>AQ313/'2018-19 disagg'!AQ313-1</f>
        <v>2.2970187843843526E-2</v>
      </c>
      <c r="BI313" s="1"/>
      <c r="BJ313" s="179">
        <f>AS313/'2018-19 disagg'!AS313-1</f>
        <v>1.6408061324280299E-2</v>
      </c>
      <c r="BK313" s="179">
        <f>AT313/'2018-19 disagg'!AT313-1</f>
        <v>2.2636579756705633E-2</v>
      </c>
      <c r="BL313" s="179">
        <f>AU313/'2018-19 disagg'!AU313-1</f>
        <v>3.7287805039598609E-2</v>
      </c>
      <c r="BM313" s="179">
        <f>AW313/'2018-19 disagg'!AW313-1</f>
        <v>2.008742636145211E-2</v>
      </c>
    </row>
    <row r="314" spans="2:65" ht="15" x14ac:dyDescent="0.25">
      <c r="B314" t="s">
        <v>580</v>
      </c>
      <c r="D314" s="55">
        <v>10022549.049805153</v>
      </c>
      <c r="E314" s="166">
        <v>1715.9140478107299</v>
      </c>
      <c r="F314" s="171">
        <f>VLOOKUP(B314,'2019-20'!$B$12:$AMX522,33,FALSE)</f>
        <v>2.3760635138618147E-2</v>
      </c>
      <c r="G314" s="171">
        <f>VLOOKUP(B314,'2019-20'!$B$12:$AMX522,34,FALSE)</f>
        <v>1.8893714931579764E-2</v>
      </c>
      <c r="I314" s="175">
        <v>9764642.4658930469</v>
      </c>
      <c r="J314" s="175">
        <v>1671.7590600767201</v>
      </c>
      <c r="K314" s="171">
        <f t="shared" si="96"/>
        <v>2.6412291572676549E-2</v>
      </c>
      <c r="L314" s="170">
        <f t="shared" si="96"/>
        <v>2.6412291572676549E-2</v>
      </c>
      <c r="N314" s="55">
        <v>7677700</v>
      </c>
      <c r="O314" s="55">
        <v>807228</v>
      </c>
      <c r="P314" s="55">
        <v>1536880</v>
      </c>
      <c r="R314" s="55">
        <v>1536880</v>
      </c>
      <c r="S314" s="55">
        <v>741.04980515295756</v>
      </c>
      <c r="U314" s="171">
        <v>2.5969050518397596E-2</v>
      </c>
      <c r="V314" s="171">
        <v>2.6968473753634647E-3</v>
      </c>
      <c r="AA314" s="55">
        <v>741.04980515295756</v>
      </c>
      <c r="AB314" s="55">
        <v>0</v>
      </c>
      <c r="AC314" s="55">
        <v>0</v>
      </c>
      <c r="AE314" s="55">
        <v>0</v>
      </c>
      <c r="AF314" s="55">
        <v>0</v>
      </c>
      <c r="AG314" s="55">
        <v>0</v>
      </c>
      <c r="AI314" s="55">
        <v>0</v>
      </c>
      <c r="AJ314" s="55">
        <v>0</v>
      </c>
      <c r="AK314" s="55">
        <v>0</v>
      </c>
      <c r="AM314" s="55">
        <v>7678441</v>
      </c>
      <c r="AN314" s="55">
        <v>807228</v>
      </c>
      <c r="AO314" s="55">
        <v>1536880</v>
      </c>
      <c r="AP314" s="55"/>
      <c r="AQ314" s="55">
        <v>10022549</v>
      </c>
      <c r="AR314" s="1"/>
      <c r="AS314" s="175">
        <v>1314.5902017253798</v>
      </c>
      <c r="AT314" s="175">
        <v>138.20175467368634</v>
      </c>
      <c r="AU314" s="175">
        <v>263.12208288475506</v>
      </c>
      <c r="AV314" s="175"/>
      <c r="AW314" s="175">
        <v>1715.914039283821</v>
      </c>
      <c r="AX314" s="1"/>
      <c r="AY314" s="171">
        <v>2.6068070155324419E-2</v>
      </c>
      <c r="AZ314" s="171">
        <v>2.6968473753634647E-3</v>
      </c>
      <c r="BA314" s="171">
        <v>4.1090418712603771E-2</v>
      </c>
      <c r="BB314" s="171">
        <f t="shared" si="97"/>
        <v>2.6412286472115687E-2</v>
      </c>
      <c r="BC314" s="171"/>
      <c r="BD314" s="1"/>
      <c r="BE314" s="179">
        <f>AM314/'2018-19 disagg'!AM314-1</f>
        <v>1.9916586294293159E-2</v>
      </c>
      <c r="BF314" s="179">
        <f>AN314/'2018-19 disagg'!AN314-1</f>
        <v>2.5713094923455415E-2</v>
      </c>
      <c r="BG314" s="179">
        <f>AO314/'2018-19 disagg'!AO314-1</f>
        <v>4.2346160550119638E-2</v>
      </c>
      <c r="BH314" s="179">
        <f>AQ314/'2018-19 disagg'!AQ314-1</f>
        <v>2.3760630051234299E-2</v>
      </c>
      <c r="BI314" s="1"/>
      <c r="BJ314" s="179">
        <f>AS314/'2018-19 disagg'!AS314-1</f>
        <v>1.5067940553331161E-2</v>
      </c>
      <c r="BK314" s="179">
        <f>AT314/'2018-19 disagg'!AT314-1</f>
        <v>2.083689279478973E-2</v>
      </c>
      <c r="BL314" s="179">
        <f>AU314/'2018-19 disagg'!AU314-1</f>
        <v>3.7390885442453836E-2</v>
      </c>
      <c r="BM314" s="179">
        <f>AW314/'2018-19 disagg'!AW314-1</f>
        <v>1.8893709868381015E-2</v>
      </c>
    </row>
    <row r="315" spans="2:65" ht="15" x14ac:dyDescent="0.25">
      <c r="B315" t="s">
        <v>581</v>
      </c>
      <c r="D315" s="55">
        <v>7652364.9424886946</v>
      </c>
      <c r="E315" s="166">
        <v>1694.801211765614</v>
      </c>
      <c r="F315" s="171">
        <f>VLOOKUP(B315,'2019-20'!$B$12:$AMX523,33,FALSE)</f>
        <v>2.6011055035345398E-2</v>
      </c>
      <c r="G315" s="171">
        <f>VLOOKUP(B315,'2019-20'!$B$12:$AMX523,34,FALSE)</f>
        <v>1.9733922942796189E-2</v>
      </c>
      <c r="I315" s="175">
        <v>7728432.3446326815</v>
      </c>
      <c r="J315" s="175">
        <v>1711.6481768931769</v>
      </c>
      <c r="K315" s="171">
        <f t="shared" si="96"/>
        <v>-9.8425396965291512E-3</v>
      </c>
      <c r="L315" s="170">
        <f t="shared" si="96"/>
        <v>-9.8425396965292622E-3</v>
      </c>
      <c r="N315" s="55">
        <v>5670607</v>
      </c>
      <c r="O315" s="55">
        <v>624154</v>
      </c>
      <c r="P315" s="55">
        <v>1355570</v>
      </c>
      <c r="R315" s="55">
        <v>1355570</v>
      </c>
      <c r="S315" s="55">
        <v>2033.9424886933994</v>
      </c>
      <c r="U315" s="171">
        <v>-1.8136134757766542E-2</v>
      </c>
      <c r="V315" s="171">
        <v>-1.6214806540589599E-2</v>
      </c>
      <c r="AA315" s="55">
        <v>413.40975913271541</v>
      </c>
      <c r="AB315" s="55">
        <v>0</v>
      </c>
      <c r="AC315" s="55">
        <v>1620.5327295606839</v>
      </c>
      <c r="AE315" s="55">
        <v>0</v>
      </c>
      <c r="AF315" s="55">
        <v>0</v>
      </c>
      <c r="AG315" s="55">
        <v>1620.5327295606839</v>
      </c>
      <c r="AI315" s="55">
        <v>1457.1817639120793</v>
      </c>
      <c r="AJ315" s="55">
        <v>163.35096564860467</v>
      </c>
      <c r="AK315" s="55">
        <v>0</v>
      </c>
      <c r="AM315" s="55">
        <v>5672477</v>
      </c>
      <c r="AN315" s="55">
        <v>624317</v>
      </c>
      <c r="AO315" s="55">
        <v>1355570</v>
      </c>
      <c r="AP315" s="55"/>
      <c r="AQ315" s="55">
        <v>7652364</v>
      </c>
      <c r="AR315" s="1"/>
      <c r="AS315" s="175">
        <v>1256.3071632840879</v>
      </c>
      <c r="AT315" s="175">
        <v>138.27009245873222</v>
      </c>
      <c r="AU315" s="175">
        <v>300.22374728588784</v>
      </c>
      <c r="AV315" s="175"/>
      <c r="AW315" s="175">
        <v>1694.801003028708</v>
      </c>
      <c r="AX315" s="1"/>
      <c r="AY315" s="171">
        <v>-1.7812344830514859E-2</v>
      </c>
      <c r="AZ315" s="171">
        <v>-1.5957887596652842E-2</v>
      </c>
      <c r="BA315" s="171">
        <v>2.8004970709102794E-2</v>
      </c>
      <c r="BB315" s="171">
        <f t="shared" si="97"/>
        <v>-9.8426616473533679E-3</v>
      </c>
      <c r="BC315" s="171"/>
      <c r="BD315" s="1"/>
      <c r="BE315" s="179">
        <f>AM315/'2018-19 disagg'!AM315-1</f>
        <v>2.1419004790830254E-2</v>
      </c>
      <c r="BF315" s="179">
        <f>AN315/'2018-19 disagg'!AN315-1</f>
        <v>2.9750280398495699E-2</v>
      </c>
      <c r="BG315" s="179">
        <f>AO315/'2018-19 disagg'!AO315-1</f>
        <v>4.3903280482442408E-2</v>
      </c>
      <c r="BH315" s="179">
        <f>AQ315/'2018-19 disagg'!AQ315-1</f>
        <v>2.6010928668682709E-2</v>
      </c>
      <c r="BI315" s="1"/>
      <c r="BJ315" s="179">
        <f>AS315/'2018-19 disagg'!AS315-1</f>
        <v>1.5169966845823168E-2</v>
      </c>
      <c r="BK315" s="179">
        <f>AT315/'2018-19 disagg'!AT315-1</f>
        <v>2.3450271738083783E-2</v>
      </c>
      <c r="BL315" s="179">
        <f>AU315/'2018-19 disagg'!AU315-1</f>
        <v>3.7516683816378293E-2</v>
      </c>
      <c r="BM315" s="179">
        <f>AW315/'2018-19 disagg'!AW315-1</f>
        <v>1.9733797349244186E-2</v>
      </c>
    </row>
    <row r="316" spans="2:65" ht="15" x14ac:dyDescent="0.25">
      <c r="B316" t="s">
        <v>582</v>
      </c>
      <c r="D316" s="55">
        <v>6355062.2147590527</v>
      </c>
      <c r="E316" s="166">
        <v>1686.4092764445345</v>
      </c>
      <c r="F316" s="171">
        <f>VLOOKUP(B316,'2019-20'!$B$12:$AMX524,33,FALSE)</f>
        <v>2.4543867178990375E-2</v>
      </c>
      <c r="G316" s="171">
        <f>VLOOKUP(B316,'2019-20'!$B$12:$AMX524,34,FALSE)</f>
        <v>1.9770944340756769E-2</v>
      </c>
      <c r="I316" s="175">
        <v>6372366.4269992337</v>
      </c>
      <c r="J316" s="175">
        <v>1691.0012038021666</v>
      </c>
      <c r="K316" s="171">
        <f t="shared" si="96"/>
        <v>-2.7155080358944872E-3</v>
      </c>
      <c r="L316" s="170">
        <f t="shared" si="96"/>
        <v>-2.7155080358945982E-3</v>
      </c>
      <c r="N316" s="55">
        <v>4849771</v>
      </c>
      <c r="O316" s="55">
        <v>505895</v>
      </c>
      <c r="P316" s="55">
        <v>997261</v>
      </c>
      <c r="R316" s="55">
        <v>997261</v>
      </c>
      <c r="S316" s="55">
        <v>2135.2147590530803</v>
      </c>
      <c r="U316" s="171">
        <v>-2.2373421219968881E-3</v>
      </c>
      <c r="V316" s="171">
        <v>4.0875636393458148E-3</v>
      </c>
      <c r="AA316" s="55">
        <v>1496.0527424382162</v>
      </c>
      <c r="AB316" s="55">
        <v>0</v>
      </c>
      <c r="AC316" s="55">
        <v>639.16201661486411</v>
      </c>
      <c r="AE316" s="55">
        <v>0</v>
      </c>
      <c r="AF316" s="55">
        <v>0</v>
      </c>
      <c r="AG316" s="55">
        <v>639.16201661486411</v>
      </c>
      <c r="AI316" s="55">
        <v>578.94331663261494</v>
      </c>
      <c r="AJ316" s="55">
        <v>60.218699982249127</v>
      </c>
      <c r="AK316" s="55">
        <v>0</v>
      </c>
      <c r="AM316" s="55">
        <v>4851846</v>
      </c>
      <c r="AN316" s="55">
        <v>505955</v>
      </c>
      <c r="AO316" s="55">
        <v>997261</v>
      </c>
      <c r="AP316" s="55"/>
      <c r="AQ316" s="55">
        <v>6355062</v>
      </c>
      <c r="AR316" s="1"/>
      <c r="AS316" s="175">
        <v>1287.5087333178108</v>
      </c>
      <c r="AT316" s="175">
        <v>134.26260461807999</v>
      </c>
      <c r="AU316" s="175">
        <v>264.63788151916884</v>
      </c>
      <c r="AV316" s="175"/>
      <c r="AW316" s="175">
        <v>1686.4092194550597</v>
      </c>
      <c r="AX316" s="1"/>
      <c r="AY316" s="171">
        <v>-1.8104441272056571E-3</v>
      </c>
      <c r="AZ316" s="171">
        <v>4.2066501174062854E-3</v>
      </c>
      <c r="BA316" s="171">
        <v>-1.0540844830002838E-2</v>
      </c>
      <c r="BB316" s="171">
        <f t="shared" si="97"/>
        <v>-2.7155417375115398E-3</v>
      </c>
      <c r="BC316" s="171"/>
      <c r="BD316" s="1"/>
      <c r="BE316" s="179">
        <f>AM316/'2018-19 disagg'!AM316-1</f>
        <v>2.0831772861508391E-2</v>
      </c>
      <c r="BF316" s="179">
        <f>AN316/'2018-19 disagg'!AN316-1</f>
        <v>2.6252910679658958E-2</v>
      </c>
      <c r="BG316" s="179">
        <f>AO316/'2018-19 disagg'!AO316-1</f>
        <v>4.209941137315254E-2</v>
      </c>
      <c r="BH316" s="179">
        <f>AQ316/'2018-19 disagg'!AQ316-1</f>
        <v>2.4543832556186862E-2</v>
      </c>
      <c r="BI316" s="1"/>
      <c r="BJ316" s="179">
        <f>AS316/'2018-19 disagg'!AS316-1</f>
        <v>1.6076143123466169E-2</v>
      </c>
      <c r="BK316" s="179">
        <f>AT316/'2018-19 disagg'!AT316-1</f>
        <v>2.1472026120100018E-2</v>
      </c>
      <c r="BL316" s="179">
        <f>AU316/'2018-19 disagg'!AU316-1</f>
        <v>3.7244704571824716E-2</v>
      </c>
      <c r="BM316" s="179">
        <f>AW316/'2018-19 disagg'!AW316-1</f>
        <v>1.9770909879246679E-2</v>
      </c>
    </row>
    <row r="317" spans="2:65" ht="15" x14ac:dyDescent="0.25">
      <c r="B317" t="s">
        <v>583</v>
      </c>
      <c r="D317" s="55">
        <v>7839380.126687021</v>
      </c>
      <c r="E317" s="166">
        <v>1580.1189308403759</v>
      </c>
      <c r="F317" s="171">
        <f>VLOOKUP(B317,'2019-20'!$B$12:$AMX525,33,FALSE)</f>
        <v>3.0373329133575488E-2</v>
      </c>
      <c r="G317" s="171">
        <f>VLOOKUP(B317,'2019-20'!$B$12:$AMX525,34,FALSE)</f>
        <v>2.1543622150903996E-2</v>
      </c>
      <c r="I317" s="175">
        <v>8017566.5702693611</v>
      </c>
      <c r="J317" s="175">
        <v>1616.0344966342957</v>
      </c>
      <c r="K317" s="171">
        <f t="shared" si="96"/>
        <v>-2.2224504407994394E-2</v>
      </c>
      <c r="L317" s="170">
        <f t="shared" si="96"/>
        <v>-2.2224504407994283E-2</v>
      </c>
      <c r="N317" s="55">
        <v>5955287</v>
      </c>
      <c r="O317" s="55">
        <v>638940</v>
      </c>
      <c r="P317" s="55">
        <v>1219781</v>
      </c>
      <c r="R317" s="55">
        <v>1219781</v>
      </c>
      <c r="S317" s="55">
        <v>25372.126687019845</v>
      </c>
      <c r="U317" s="171">
        <v>-1.6638368946640947E-2</v>
      </c>
      <c r="V317" s="171">
        <v>-1.4547236181838952E-2</v>
      </c>
      <c r="AA317" s="55">
        <v>892.56237122026505</v>
      </c>
      <c r="AB317" s="55">
        <v>0</v>
      </c>
      <c r="AC317" s="55">
        <v>24479.56431579958</v>
      </c>
      <c r="AE317" s="55">
        <v>0</v>
      </c>
      <c r="AF317" s="55">
        <v>0</v>
      </c>
      <c r="AG317" s="55">
        <v>24479.56431579958</v>
      </c>
      <c r="AI317" s="55">
        <v>22148.996557026043</v>
      </c>
      <c r="AJ317" s="55">
        <v>2330.5677587735372</v>
      </c>
      <c r="AK317" s="55">
        <v>0</v>
      </c>
      <c r="AM317" s="55">
        <v>5978328</v>
      </c>
      <c r="AN317" s="55">
        <v>641272</v>
      </c>
      <c r="AO317" s="55">
        <v>1219781</v>
      </c>
      <c r="AP317" s="55"/>
      <c r="AQ317" s="55">
        <v>7839381</v>
      </c>
      <c r="AR317" s="1"/>
      <c r="AS317" s="175">
        <v>1205.0020658412986</v>
      </c>
      <c r="AT317" s="175">
        <v>129.25588638933516</v>
      </c>
      <c r="AU317" s="175">
        <v>245.86115463620683</v>
      </c>
      <c r="AV317" s="175"/>
      <c r="AW317" s="175">
        <v>1580.1191068668406</v>
      </c>
      <c r="AX317" s="1"/>
      <c r="AY317" s="171">
        <v>-1.283374368826129E-2</v>
      </c>
      <c r="AZ317" s="171">
        <v>-1.0950535638401537E-2</v>
      </c>
      <c r="BA317" s="171">
        <v>-7.1099365062273878E-2</v>
      </c>
      <c r="BB317" s="171">
        <f t="shared" si="97"/>
        <v>-2.2224395483051773E-2</v>
      </c>
      <c r="BC317" s="171"/>
      <c r="BD317" s="1"/>
      <c r="BE317" s="179">
        <f>AM317/'2018-19 disagg'!AM317-1</f>
        <v>2.6693070476774716E-2</v>
      </c>
      <c r="BF317" s="179">
        <f>AN317/'2018-19 disagg'!AN317-1</f>
        <v>3.482041136431846E-2</v>
      </c>
      <c r="BG317" s="179">
        <f>AO317/'2018-19 disagg'!AO317-1</f>
        <v>4.6393583254696669E-2</v>
      </c>
      <c r="BH317" s="179">
        <f>AQ317/'2018-19 disagg'!AQ317-1</f>
        <v>3.0373443917957488E-2</v>
      </c>
      <c r="BI317" s="1"/>
      <c r="BJ317" s="179">
        <f>AS317/'2018-19 disagg'!AS317-1</f>
        <v>1.7894901194702495E-2</v>
      </c>
      <c r="BK317" s="179">
        <f>AT317/'2018-19 disagg'!AT317-1</f>
        <v>2.5952595443929694E-2</v>
      </c>
      <c r="BL317" s="179">
        <f>AU317/'2018-19 disagg'!AU317-1</f>
        <v>3.7426591905594053E-2</v>
      </c>
      <c r="BM317" s="179">
        <f>AW317/'2018-19 disagg'!AW317-1</f>
        <v>2.154373595164949E-2</v>
      </c>
    </row>
    <row r="318" spans="2:65" ht="15" x14ac:dyDescent="0.25">
      <c r="B318" t="s">
        <v>584</v>
      </c>
      <c r="D318" s="55">
        <v>7361986.8431630488</v>
      </c>
      <c r="E318" s="166">
        <v>1610.7765022873004</v>
      </c>
      <c r="F318" s="171">
        <f>VLOOKUP(B318,'2019-20'!$B$12:$AMX526,33,FALSE)</f>
        <v>2.8247935177951211E-2</v>
      </c>
      <c r="G318" s="171">
        <f>VLOOKUP(B318,'2019-20'!$B$12:$AMX526,34,FALSE)</f>
        <v>2.0535206170488873E-2</v>
      </c>
      <c r="I318" s="175">
        <v>7515341.6909148768</v>
      </c>
      <c r="J318" s="175">
        <v>1644.329996817095</v>
      </c>
      <c r="K318" s="171">
        <f t="shared" si="96"/>
        <v>-2.0405572235952407E-2</v>
      </c>
      <c r="L318" s="170">
        <f t="shared" si="96"/>
        <v>-2.0405572235952407E-2</v>
      </c>
      <c r="N318" s="55">
        <v>5661382</v>
      </c>
      <c r="O318" s="55">
        <v>626652</v>
      </c>
      <c r="P318" s="55">
        <v>1053366</v>
      </c>
      <c r="R318" s="55">
        <v>1053366</v>
      </c>
      <c r="S318" s="55">
        <v>20586.843163049198</v>
      </c>
      <c r="U318" s="171">
        <v>-5.3273764605539231E-3</v>
      </c>
      <c r="V318" s="171">
        <v>3.2921448283470545E-2</v>
      </c>
      <c r="AA318" s="55">
        <v>10992.003381250252</v>
      </c>
      <c r="AB318" s="55">
        <v>0</v>
      </c>
      <c r="AC318" s="55">
        <v>9594.8397817989462</v>
      </c>
      <c r="AE318" s="55">
        <v>0</v>
      </c>
      <c r="AF318" s="55">
        <v>24.329007175627737</v>
      </c>
      <c r="AG318" s="55">
        <v>9570.5107746233189</v>
      </c>
      <c r="AI318" s="55">
        <v>8678.9921975952075</v>
      </c>
      <c r="AJ318" s="55">
        <v>891.51857702811105</v>
      </c>
      <c r="AK318" s="55">
        <v>0</v>
      </c>
      <c r="AM318" s="55">
        <v>5681053</v>
      </c>
      <c r="AN318" s="55">
        <v>627568</v>
      </c>
      <c r="AO318" s="55">
        <v>1053366</v>
      </c>
      <c r="AP318" s="55"/>
      <c r="AQ318" s="55">
        <v>7361987</v>
      </c>
      <c r="AR318" s="1"/>
      <c r="AS318" s="175">
        <v>1242.9941638848575</v>
      </c>
      <c r="AT318" s="175">
        <v>137.30964337789001</v>
      </c>
      <c r="AU318" s="175">
        <v>230.47272933991934</v>
      </c>
      <c r="AV318" s="175"/>
      <c r="AW318" s="175">
        <v>1610.7765366026667</v>
      </c>
      <c r="AX318" s="1"/>
      <c r="AY318" s="171">
        <v>-1.8712936211262576E-3</v>
      </c>
      <c r="AZ318" s="171">
        <v>3.4431307099252795E-2</v>
      </c>
      <c r="BA318" s="171">
        <v>-0.13442741677124714</v>
      </c>
      <c r="BB318" s="171">
        <f t="shared" si="97"/>
        <v>-2.040555136704747E-2</v>
      </c>
      <c r="BC318" s="171"/>
      <c r="BD318" s="1"/>
      <c r="BE318" s="179">
        <f>AM318/'2018-19 disagg'!AM318-1</f>
        <v>2.5292785947718333E-2</v>
      </c>
      <c r="BF318" s="179">
        <f>AN318/'2018-19 disagg'!AN318-1</f>
        <v>2.700694688781069E-2</v>
      </c>
      <c r="BG318" s="179">
        <f>AO318/'2018-19 disagg'!AO318-1</f>
        <v>4.5248599377236465E-2</v>
      </c>
      <c r="BH318" s="179">
        <f>AQ318/'2018-19 disagg'!AQ318-1</f>
        <v>2.8247957083351816E-2</v>
      </c>
      <c r="BI318" s="1"/>
      <c r="BJ318" s="179">
        <f>AS318/'2018-19 disagg'!AS318-1</f>
        <v>1.7602223058377664E-2</v>
      </c>
      <c r="BK318" s="179">
        <f>AT318/'2018-19 disagg'!AT318-1</f>
        <v>1.9303526341912791E-2</v>
      </c>
      <c r="BL318" s="179">
        <f>AU318/'2018-19 disagg'!AU318-1</f>
        <v>3.7408351012399255E-2</v>
      </c>
      <c r="BM318" s="179">
        <f>AW318/'2018-19 disagg'!AW318-1</f>
        <v>2.0535227911580245E-2</v>
      </c>
    </row>
    <row r="319" spans="2:65" ht="15" x14ac:dyDescent="0.25">
      <c r="B319" t="s">
        <v>516</v>
      </c>
      <c r="D319" s="55">
        <v>16527785.857607082</v>
      </c>
      <c r="E319" s="166">
        <v>1677.7215305233035</v>
      </c>
      <c r="F319" s="171">
        <f>VLOOKUP(B319,'2019-20'!$B$12:$AMX527,33,FALSE)</f>
        <v>3.0635671718523216E-2</v>
      </c>
      <c r="G319" s="171">
        <f>VLOOKUP(B319,'2019-20'!$B$12:$AMX527,34,FALSE)</f>
        <v>1.8712604325428872E-2</v>
      </c>
      <c r="I319" s="175">
        <v>16468357.288225044</v>
      </c>
      <c r="J319" s="175">
        <v>1671.6889868275275</v>
      </c>
      <c r="K319" s="171">
        <f t="shared" si="96"/>
        <v>3.608651934247753E-3</v>
      </c>
      <c r="L319" s="170">
        <f t="shared" si="96"/>
        <v>3.608651934247753E-3</v>
      </c>
      <c r="N319" s="55">
        <v>11918900</v>
      </c>
      <c r="O319" s="55">
        <v>1323987</v>
      </c>
      <c r="P319" s="55">
        <v>3269723</v>
      </c>
      <c r="R319" s="55">
        <v>3269723</v>
      </c>
      <c r="S319" s="55">
        <v>15175.857607081532</v>
      </c>
      <c r="U319" s="171">
        <v>9.3289744585109968E-3</v>
      </c>
      <c r="V319" s="171">
        <v>-3.8809197783809091E-2</v>
      </c>
      <c r="AA319" s="55">
        <v>0</v>
      </c>
      <c r="AB319" s="55">
        <v>0</v>
      </c>
      <c r="AC319" s="55">
        <v>15175.857607081532</v>
      </c>
      <c r="AE319" s="55">
        <v>0</v>
      </c>
      <c r="AF319" s="55">
        <v>350.63386111822911</v>
      </c>
      <c r="AG319" s="55">
        <v>14825.223745963303</v>
      </c>
      <c r="AI319" s="55">
        <v>13385.970631738845</v>
      </c>
      <c r="AJ319" s="55">
        <v>1439.2531142244554</v>
      </c>
      <c r="AK319" s="55">
        <v>0</v>
      </c>
      <c r="AM319" s="55">
        <v>11932286</v>
      </c>
      <c r="AN319" s="55">
        <v>1325778</v>
      </c>
      <c r="AO319" s="55">
        <v>3269723</v>
      </c>
      <c r="AP319" s="55"/>
      <c r="AQ319" s="55">
        <v>16527787</v>
      </c>
      <c r="AR319" s="1"/>
      <c r="AS319" s="175">
        <v>1211.2362359382707</v>
      </c>
      <c r="AT319" s="175">
        <v>134.57860081544882</v>
      </c>
      <c r="AU319" s="175">
        <v>331.90680973292046</v>
      </c>
      <c r="AV319" s="175"/>
      <c r="AW319" s="175">
        <v>1677.7216464866399</v>
      </c>
      <c r="AX319" s="1"/>
      <c r="AY319" s="171">
        <v>1.0462541956526739E-2</v>
      </c>
      <c r="AZ319" s="171">
        <v>-3.7508963924436478E-2</v>
      </c>
      <c r="BA319" s="171">
        <v>-3.7941819667720589E-3</v>
      </c>
      <c r="BB319" s="171">
        <f t="shared" si="97"/>
        <v>3.6087213032138798E-3</v>
      </c>
      <c r="BC319" s="171"/>
      <c r="BD319" s="1"/>
      <c r="BE319" s="179">
        <f>AM319/'2018-19 disagg'!AM319-1</f>
        <v>2.4677018072423618E-2</v>
      </c>
      <c r="BF319" s="179">
        <f>AN319/'2018-19 disagg'!AN319-1</f>
        <v>3.887337805572777E-2</v>
      </c>
      <c r="BG319" s="179">
        <f>AO319/'2018-19 disagg'!AO319-1</f>
        <v>4.9534185614449999E-2</v>
      </c>
      <c r="BH319" s="179">
        <f>AQ319/'2018-19 disagg'!AQ319-1</f>
        <v>3.0635742955584355E-2</v>
      </c>
      <c r="BI319" s="1"/>
      <c r="BJ319" s="179">
        <f>AS319/'2018-19 disagg'!AS319-1</f>
        <v>1.2822884281128877E-2</v>
      </c>
      <c r="BK319" s="179">
        <f>AT319/'2018-19 disagg'!AT319-1</f>
        <v>2.6855011489008485E-2</v>
      </c>
      <c r="BL319" s="179">
        <f>AU319/'2018-19 disagg'!AU319-1</f>
        <v>3.7392487854686296E-2</v>
      </c>
      <c r="BM319" s="179">
        <f>AW319/'2018-19 disagg'!AW319-1</f>
        <v>1.8712674738373014E-2</v>
      </c>
    </row>
    <row r="320" spans="2:65" ht="15" x14ac:dyDescent="0.25">
      <c r="B320" t="s">
        <v>585</v>
      </c>
      <c r="D320" s="55">
        <v>8090796.5343570691</v>
      </c>
      <c r="E320" s="166">
        <v>1660.6348149646158</v>
      </c>
      <c r="F320" s="171">
        <f>VLOOKUP(B320,'2019-20'!$B$12:$AMX528,33,FALSE)</f>
        <v>2.7972394398250611E-2</v>
      </c>
      <c r="G320" s="171">
        <f>VLOOKUP(B320,'2019-20'!$B$12:$AMX528,34,FALSE)</f>
        <v>1.9710322235922506E-2</v>
      </c>
      <c r="I320" s="175">
        <v>8174624.3500063755</v>
      </c>
      <c r="J320" s="175">
        <v>1677.8404619659386</v>
      </c>
      <c r="K320" s="171">
        <f t="shared" si="96"/>
        <v>-1.0254638263499039E-2</v>
      </c>
      <c r="L320" s="170">
        <f t="shared" si="96"/>
        <v>-1.0254638263499039E-2</v>
      </c>
      <c r="N320" s="55">
        <v>6103905</v>
      </c>
      <c r="O320" s="55">
        <v>635202</v>
      </c>
      <c r="P320" s="55">
        <v>1341969</v>
      </c>
      <c r="R320" s="55">
        <v>1341969</v>
      </c>
      <c r="S320" s="55">
        <v>9720.5343570708646</v>
      </c>
      <c r="U320" s="171">
        <v>-7.8867967722572319E-3</v>
      </c>
      <c r="V320" s="171">
        <v>-3.030114903044745E-2</v>
      </c>
      <c r="AA320" s="55">
        <v>223.00543845805805</v>
      </c>
      <c r="AB320" s="55">
        <v>0</v>
      </c>
      <c r="AC320" s="55">
        <v>9497.5289186128066</v>
      </c>
      <c r="AE320" s="55">
        <v>0</v>
      </c>
      <c r="AF320" s="55">
        <v>0</v>
      </c>
      <c r="AG320" s="55">
        <v>9497.5289186128066</v>
      </c>
      <c r="AI320" s="55">
        <v>8601.1584607420373</v>
      </c>
      <c r="AJ320" s="55">
        <v>896.37045787076772</v>
      </c>
      <c r="AK320" s="55">
        <v>0</v>
      </c>
      <c r="AM320" s="55">
        <v>6112729</v>
      </c>
      <c r="AN320" s="55">
        <v>636099</v>
      </c>
      <c r="AO320" s="55">
        <v>1341969</v>
      </c>
      <c r="AP320" s="55"/>
      <c r="AQ320" s="55">
        <v>8090797</v>
      </c>
      <c r="AR320" s="1"/>
      <c r="AS320" s="175">
        <v>1254.636740491273</v>
      </c>
      <c r="AT320" s="175">
        <v>130.55922747266536</v>
      </c>
      <c r="AU320" s="175">
        <v>275.43894257382146</v>
      </c>
      <c r="AV320" s="175"/>
      <c r="AW320" s="175">
        <v>1660.6349105377599</v>
      </c>
      <c r="AX320" s="1"/>
      <c r="AY320" s="171">
        <v>-6.4525662419194774E-3</v>
      </c>
      <c r="AZ320" s="171">
        <v>-2.8931789567914756E-2</v>
      </c>
      <c r="BA320" s="171">
        <v>-1.8415455736945474E-2</v>
      </c>
      <c r="BB320" s="171">
        <f t="shared" si="97"/>
        <v>-1.0254581301501697E-2</v>
      </c>
      <c r="BC320" s="171"/>
      <c r="BD320" s="1"/>
      <c r="BE320" s="179">
        <f>AM320/'2018-19 disagg'!AM320-1</f>
        <v>2.3458035104509278E-2</v>
      </c>
      <c r="BF320" s="179">
        <f>AN320/'2018-19 disagg'!AN320-1</f>
        <v>3.4635372191182512E-2</v>
      </c>
      <c r="BG320" s="179">
        <f>AO320/'2018-19 disagg'!AO320-1</f>
        <v>4.5792264387379156E-2</v>
      </c>
      <c r="BH320" s="179">
        <f>AQ320/'2018-19 disagg'!AQ320-1</f>
        <v>2.7972453560296762E-2</v>
      </c>
      <c r="BI320" s="1"/>
      <c r="BJ320" s="179">
        <f>AS320/'2018-19 disagg'!AS320-1</f>
        <v>1.52322459809624E-2</v>
      </c>
      <c r="BK320" s="179">
        <f>AT320/'2018-19 disagg'!AT320-1</f>
        <v>2.6319748003876819E-2</v>
      </c>
      <c r="BL320" s="179">
        <f>AU320/'2018-19 disagg'!AU320-1</f>
        <v>3.738696945703146E-2</v>
      </c>
      <c r="BM320" s="179">
        <f>AW320/'2018-19 disagg'!AW320-1</f>
        <v>1.9710380922468573E-2</v>
      </c>
    </row>
    <row r="321" spans="2:65" ht="15" x14ac:dyDescent="0.25">
      <c r="B321" t="s">
        <v>586</v>
      </c>
      <c r="D321" s="55">
        <v>5911657.8078617137</v>
      </c>
      <c r="E321" s="166">
        <v>1517.5067241289739</v>
      </c>
      <c r="F321" s="171">
        <f>VLOOKUP(B321,'2019-20'!$B$12:$AMX529,33,FALSE)</f>
        <v>2.7087314053201306E-2</v>
      </c>
      <c r="G321" s="171">
        <f>VLOOKUP(B321,'2019-20'!$B$12:$AMX529,34,FALSE)</f>
        <v>2.0012368784497969E-2</v>
      </c>
      <c r="I321" s="175">
        <v>5995355.2141656354</v>
      </c>
      <c r="J321" s="175">
        <v>1538.9916241327339</v>
      </c>
      <c r="K321" s="171">
        <f t="shared" si="96"/>
        <v>-1.3960374875897963E-2</v>
      </c>
      <c r="L321" s="170">
        <f t="shared" si="96"/>
        <v>-1.3960374875897963E-2</v>
      </c>
      <c r="N321" s="55">
        <v>4412331</v>
      </c>
      <c r="O321" s="55">
        <v>499094</v>
      </c>
      <c r="P321" s="55">
        <v>994660</v>
      </c>
      <c r="R321" s="55">
        <v>994660</v>
      </c>
      <c r="S321" s="55">
        <v>5572.807861712703</v>
      </c>
      <c r="U321" s="171">
        <v>-2.7634780849747465E-2</v>
      </c>
      <c r="V321" s="171">
        <v>-1.0526784591022631E-2</v>
      </c>
      <c r="AA321" s="55">
        <v>258.01229958276963</v>
      </c>
      <c r="AB321" s="55">
        <v>0</v>
      </c>
      <c r="AC321" s="55">
        <v>5314.7955621299334</v>
      </c>
      <c r="AE321" s="55">
        <v>0</v>
      </c>
      <c r="AF321" s="55">
        <v>0</v>
      </c>
      <c r="AG321" s="55">
        <v>5314.7955621299334</v>
      </c>
      <c r="AI321" s="55">
        <v>4796.0655150869861</v>
      </c>
      <c r="AJ321" s="55">
        <v>518.73004704294704</v>
      </c>
      <c r="AK321" s="55">
        <v>0</v>
      </c>
      <c r="AM321" s="55">
        <v>4417384</v>
      </c>
      <c r="AN321" s="55">
        <v>499612</v>
      </c>
      <c r="AO321" s="55">
        <v>994660</v>
      </c>
      <c r="AP321" s="55"/>
      <c r="AQ321" s="55">
        <v>5911656</v>
      </c>
      <c r="AR321" s="1"/>
      <c r="AS321" s="175">
        <v>1133.93064025883</v>
      </c>
      <c r="AT321" s="175">
        <v>128.24906212387117</v>
      </c>
      <c r="AU321" s="175">
        <v>255.32655767301364</v>
      </c>
      <c r="AV321" s="175"/>
      <c r="AW321" s="175">
        <v>1517.5062600557146</v>
      </c>
      <c r="AX321" s="1"/>
      <c r="AY321" s="171">
        <v>-2.6521228522787821E-2</v>
      </c>
      <c r="AZ321" s="171">
        <v>-9.4998294972289399E-3</v>
      </c>
      <c r="BA321" s="171">
        <v>4.3472292465123852E-2</v>
      </c>
      <c r="BB321" s="171">
        <f t="shared" si="97"/>
        <v>-1.3960676419617846E-2</v>
      </c>
      <c r="BC321" s="171"/>
      <c r="BD321" s="1"/>
      <c r="BE321" s="179">
        <f>AM321/'2018-19 disagg'!AM321-1</f>
        <v>2.2736959963919112E-2</v>
      </c>
      <c r="BF321" s="179">
        <f>AN321/'2018-19 disagg'!AN321-1</f>
        <v>3.1531568732708459E-2</v>
      </c>
      <c r="BG321" s="179">
        <f>AO321/'2018-19 disagg'!AO321-1</f>
        <v>4.4557465572954369E-2</v>
      </c>
      <c r="BH321" s="179">
        <f>AQ321/'2018-19 disagg'!AQ321-1</f>
        <v>2.7086999956565272E-2</v>
      </c>
      <c r="BI321" s="1"/>
      <c r="BJ321" s="179">
        <f>AS321/'2018-19 disagg'!AS321-1</f>
        <v>1.5691981492254481E-2</v>
      </c>
      <c r="BK321" s="179">
        <f>AT321/'2018-19 disagg'!AT321-1</f>
        <v>2.4426009846070684E-2</v>
      </c>
      <c r="BL321" s="179">
        <f>AU321/'2018-19 disagg'!AU321-1</f>
        <v>3.7362179643679161E-2</v>
      </c>
      <c r="BM321" s="179">
        <f>AW321/'2018-19 disagg'!AW321-1</f>
        <v>2.0012056851471893E-2</v>
      </c>
    </row>
    <row r="322" spans="2:65" ht="15" x14ac:dyDescent="0.25">
      <c r="B322" t="s">
        <v>537</v>
      </c>
      <c r="D322" s="55">
        <v>4785873.5345918648</v>
      </c>
      <c r="E322" s="166">
        <v>1645.4275802718187</v>
      </c>
      <c r="F322" s="171">
        <f>VLOOKUP(B322,'2019-20'!$B$12:$AMX530,33,FALSE)</f>
        <v>2.5221091277049856E-2</v>
      </c>
      <c r="G322" s="171">
        <f>VLOOKUP(B322,'2019-20'!$B$12:$AMX530,34,FALSE)</f>
        <v>1.9076181634550604E-2</v>
      </c>
      <c r="I322" s="175">
        <v>4811395.433160495</v>
      </c>
      <c r="J322" s="175">
        <v>1654.2022450226091</v>
      </c>
      <c r="K322" s="171">
        <f t="shared" si="96"/>
        <v>-5.304469134407741E-3</v>
      </c>
      <c r="L322" s="170">
        <f t="shared" si="96"/>
        <v>-5.304469134407741E-3</v>
      </c>
      <c r="N322" s="55">
        <v>3635668</v>
      </c>
      <c r="O322" s="55">
        <v>384509</v>
      </c>
      <c r="P322" s="55">
        <v>762773</v>
      </c>
      <c r="R322" s="55">
        <v>762773</v>
      </c>
      <c r="S322" s="55">
        <v>2923.5345918651437</v>
      </c>
      <c r="U322" s="171">
        <v>-2.0363035707101518E-2</v>
      </c>
      <c r="V322" s="171">
        <v>-1.6735516800956751E-2</v>
      </c>
      <c r="AA322" s="55">
        <v>340.57182745583123</v>
      </c>
      <c r="AB322" s="55">
        <v>0</v>
      </c>
      <c r="AC322" s="55">
        <v>2582.9627644093125</v>
      </c>
      <c r="AE322" s="55">
        <v>0</v>
      </c>
      <c r="AF322" s="55">
        <v>0</v>
      </c>
      <c r="AG322" s="55">
        <v>2582.9627644093125</v>
      </c>
      <c r="AI322" s="55">
        <v>2334.3444628763309</v>
      </c>
      <c r="AJ322" s="55">
        <v>248.61830153298195</v>
      </c>
      <c r="AK322" s="55">
        <v>0</v>
      </c>
      <c r="AM322" s="55">
        <v>3638343</v>
      </c>
      <c r="AN322" s="55">
        <v>384758</v>
      </c>
      <c r="AO322" s="55">
        <v>762773</v>
      </c>
      <c r="AP322" s="55"/>
      <c r="AQ322" s="55">
        <v>4785874</v>
      </c>
      <c r="AR322" s="1"/>
      <c r="AS322" s="175">
        <v>1250.8959702796335</v>
      </c>
      <c r="AT322" s="175">
        <v>132.28335858737103</v>
      </c>
      <c r="AU322" s="175">
        <v>262.24841141643515</v>
      </c>
      <c r="AV322" s="175"/>
      <c r="AW322" s="175">
        <v>1645.4277402834398</v>
      </c>
      <c r="AX322" s="1"/>
      <c r="AY322" s="171">
        <v>-1.9642252379392988E-2</v>
      </c>
      <c r="AZ322" s="171">
        <v>-1.609877525182124E-2</v>
      </c>
      <c r="BA322" s="171">
        <v>7.5688936636585158E-2</v>
      </c>
      <c r="BB322" s="171">
        <f t="shared" si="97"/>
        <v>-5.3043724040222617E-3</v>
      </c>
      <c r="BC322" s="171"/>
      <c r="BD322" s="1"/>
      <c r="BE322" s="179">
        <f>AM322/'2018-19 disagg'!AM322-1</f>
        <v>2.0870885195120037E-2</v>
      </c>
      <c r="BF322" s="179">
        <f>AN322/'2018-19 disagg'!AN322-1</f>
        <v>3.0699334044114845E-2</v>
      </c>
      <c r="BG322" s="179">
        <f>AO322/'2018-19 disagg'!AO322-1</f>
        <v>4.3636438266199562E-2</v>
      </c>
      <c r="BH322" s="179">
        <f>AQ322/'2018-19 disagg'!AQ322-1</f>
        <v>2.5221190975930785E-2</v>
      </c>
      <c r="BI322" s="1"/>
      <c r="BJ322" s="179">
        <f>AS322/'2018-19 disagg'!AS322-1</f>
        <v>1.4752049560975866E-2</v>
      </c>
      <c r="BK322" s="179">
        <f>AT322/'2018-19 disagg'!AT322-1</f>
        <v>2.4521589233582608E-2</v>
      </c>
      <c r="BL322" s="179">
        <f>AU322/'2018-19 disagg'!AU322-1</f>
        <v>3.7381151804255053E-2</v>
      </c>
      <c r="BM322" s="179">
        <f>AW322/'2018-19 disagg'!AW322-1</f>
        <v>1.907628073586265E-2</v>
      </c>
    </row>
    <row r="323" spans="2:65" ht="15" x14ac:dyDescent="0.25">
      <c r="B323" t="s">
        <v>587</v>
      </c>
      <c r="D323" s="55">
        <v>5705063.4911875855</v>
      </c>
      <c r="E323" s="166">
        <v>1691.9153633898461</v>
      </c>
      <c r="F323" s="171">
        <f>VLOOKUP(B323,'2019-20'!$B$12:$AMX531,33,FALSE)</f>
        <v>2.5305901901977013E-2</v>
      </c>
      <c r="G323" s="171">
        <f>VLOOKUP(B323,'2019-20'!$B$12:$AMX531,34,FALSE)</f>
        <v>1.8311137039942249E-2</v>
      </c>
      <c r="I323" s="175">
        <v>5690718.4748759605</v>
      </c>
      <c r="J323" s="175">
        <v>1687.6611507026066</v>
      </c>
      <c r="K323" s="171">
        <f t="shared" si="96"/>
        <v>2.520774200122089E-3</v>
      </c>
      <c r="L323" s="170">
        <f t="shared" si="96"/>
        <v>2.520774200122089E-3</v>
      </c>
      <c r="N323" s="55">
        <v>4320112</v>
      </c>
      <c r="O323" s="55">
        <v>463485</v>
      </c>
      <c r="P323" s="55">
        <v>921006</v>
      </c>
      <c r="R323" s="55">
        <v>921006</v>
      </c>
      <c r="S323" s="55">
        <v>460.4911875858088</v>
      </c>
      <c r="U323" s="171">
        <v>-2.3070144648396074E-4</v>
      </c>
      <c r="V323" s="171">
        <v>2.1990028810944695E-2</v>
      </c>
      <c r="AA323" s="55">
        <v>460.4911875858088</v>
      </c>
      <c r="AB323" s="55">
        <v>0</v>
      </c>
      <c r="AC323" s="55">
        <v>0</v>
      </c>
      <c r="AE323" s="55">
        <v>0</v>
      </c>
      <c r="AF323" s="55">
        <v>0</v>
      </c>
      <c r="AG323" s="55">
        <v>0</v>
      </c>
      <c r="AI323" s="55">
        <v>0</v>
      </c>
      <c r="AJ323" s="55">
        <v>0</v>
      </c>
      <c r="AK323" s="55">
        <v>0</v>
      </c>
      <c r="AM323" s="55">
        <v>4320572</v>
      </c>
      <c r="AN323" s="55">
        <v>463485</v>
      </c>
      <c r="AO323" s="55">
        <v>921006</v>
      </c>
      <c r="AP323" s="55"/>
      <c r="AQ323" s="55">
        <v>5705063</v>
      </c>
      <c r="AR323" s="1"/>
      <c r="AS323" s="175">
        <v>1281.3252922992992</v>
      </c>
      <c r="AT323" s="175">
        <v>137.4528773276642</v>
      </c>
      <c r="AU323" s="175">
        <v>273.13704809442095</v>
      </c>
      <c r="AV323" s="175"/>
      <c r="AW323" s="175">
        <v>1691.9152177213844</v>
      </c>
      <c r="AX323" s="1"/>
      <c r="AY323" s="171">
        <v>-1.2424729035687143E-4</v>
      </c>
      <c r="AZ323" s="171">
        <v>2.1990028810944695E-2</v>
      </c>
      <c r="BA323" s="171">
        <v>5.3582337829420901E-3</v>
      </c>
      <c r="BB323" s="171">
        <f t="shared" si="97"/>
        <v>2.520687886313322E-3</v>
      </c>
      <c r="BC323" s="171"/>
      <c r="BD323" s="1"/>
      <c r="BE323" s="179">
        <f>AM323/'2018-19 disagg'!AM323-1</f>
        <v>2.1318380564236739E-2</v>
      </c>
      <c r="BF323" s="179">
        <f>AN323/'2018-19 disagg'!AN323-1</f>
        <v>2.501017302997055E-2</v>
      </c>
      <c r="BG323" s="179">
        <f>AO323/'2018-19 disagg'!AO323-1</f>
        <v>4.4589267000267663E-2</v>
      </c>
      <c r="BH323" s="179">
        <f>AQ323/'2018-19 disagg'!AQ323-1</f>
        <v>2.5305813626442353E-2</v>
      </c>
      <c r="BI323" s="1"/>
      <c r="BJ323" s="179">
        <f>AS323/'2018-19 disagg'!AS323-1</f>
        <v>1.4350819070570564E-2</v>
      </c>
      <c r="BK323" s="179">
        <f>AT323/'2018-19 disagg'!AT323-1</f>
        <v>1.8017425667219422E-2</v>
      </c>
      <c r="BL323" s="179">
        <f>AU323/'2018-19 disagg'!AU323-1</f>
        <v>3.7462948614195746E-2</v>
      </c>
      <c r="BM323" s="179">
        <f>AW323/'2018-19 disagg'!AW323-1</f>
        <v>1.8311049366634302E-2</v>
      </c>
    </row>
    <row r="324" spans="2:65" ht="15" x14ac:dyDescent="0.25">
      <c r="B324"/>
      <c r="D324" s="1"/>
      <c r="N324" s="1"/>
      <c r="O324" s="1"/>
      <c r="P324" s="1"/>
      <c r="R324" s="1"/>
      <c r="S324" s="1"/>
      <c r="AA324" s="1"/>
      <c r="AB324" s="1"/>
      <c r="AC324" s="1"/>
      <c r="AE324" s="1"/>
      <c r="AF324" s="1"/>
      <c r="AG324" s="1"/>
      <c r="AI324" s="1"/>
      <c r="AJ324" s="1"/>
      <c r="AK324" s="1"/>
      <c r="AM324" s="1"/>
      <c r="AN324" s="1"/>
      <c r="AO324" s="1"/>
      <c r="AP324" s="1"/>
      <c r="AR324" s="1"/>
      <c r="AV324" s="64"/>
      <c r="AX324" s="1"/>
      <c r="BA324" s="64"/>
      <c r="BD324" s="1"/>
      <c r="BE324" s="179"/>
      <c r="BF324" s="179"/>
      <c r="BG324" s="179"/>
      <c r="BH324" s="179"/>
      <c r="BI324" s="1"/>
      <c r="BJ324" s="179"/>
      <c r="BK324" s="179"/>
    </row>
    <row r="325" spans="2:65" ht="15" x14ac:dyDescent="0.25">
      <c r="B325" t="s">
        <v>12</v>
      </c>
      <c r="D325" s="172">
        <f>SUM(D311:D323)</f>
        <v>99838451.654917568</v>
      </c>
      <c r="E325" s="166">
        <v>1692.2107060040184</v>
      </c>
      <c r="F325" s="171">
        <f>VLOOKUP(B325,'2019-20'!$B$12:$AMX533,33,FALSE)</f>
        <v>2.665323895268723E-2</v>
      </c>
      <c r="G325" s="171">
        <f>VLOOKUP(B325,'2019-20'!$B$12:$AMX533,34,FALSE)</f>
        <v>1.9577570627366425E-2</v>
      </c>
      <c r="I325" s="175">
        <f>SUM(I311:I323)</f>
        <v>99838483.828704491</v>
      </c>
      <c r="J325" s="175">
        <v>1692.2112513332556</v>
      </c>
      <c r="K325" s="171">
        <f t="shared" ref="K325:L325" si="98">D325/I325-1</f>
        <v>-3.2225836865684698E-7</v>
      </c>
      <c r="L325" s="170">
        <f t="shared" si="98"/>
        <v>-3.2225836865684698E-7</v>
      </c>
      <c r="N325" s="172">
        <f>SUM(N311:N323)</f>
        <v>75160962</v>
      </c>
      <c r="O325" s="172">
        <f>SUM(O311:O323)</f>
        <v>7992415</v>
      </c>
      <c r="P325" s="172">
        <f>SUM(P311:P323)</f>
        <v>16596334</v>
      </c>
      <c r="R325" s="172">
        <f>SUM(R311:R323)</f>
        <v>16596334</v>
      </c>
      <c r="S325" s="172">
        <f>SUM(S311:S323)</f>
        <v>88740.654917549327</v>
      </c>
      <c r="U325" s="171">
        <v>-9.2916395838749111E-5</v>
      </c>
      <c r="V325" s="171">
        <v>-9.9697754214714829E-3</v>
      </c>
      <c r="AA325" s="172">
        <f>SUM(AA311:AA323)</f>
        <v>15817.158812276874</v>
      </c>
      <c r="AB325" s="172">
        <f>SUM(AB311:AB323)</f>
        <v>0</v>
      </c>
      <c r="AC325" s="172">
        <f>SUM(AC311:AC323)</f>
        <v>72923.496105272454</v>
      </c>
      <c r="AE325" s="172">
        <f>SUM(AE311:AE323)</f>
        <v>0</v>
      </c>
      <c r="AF325" s="172">
        <f>SUM(AF311:AF323)</f>
        <v>381.11262246734253</v>
      </c>
      <c r="AG325" s="172">
        <f>SUM(AG311:AG323)</f>
        <v>72542.383482805104</v>
      </c>
      <c r="AI325" s="172">
        <f>SUM(AI311:AI323)</f>
        <v>65609.912215498931</v>
      </c>
      <c r="AJ325" s="172">
        <f>SUM(AJ311:AJ323)</f>
        <v>6932.471267306164</v>
      </c>
      <c r="AK325" s="172">
        <f>SUM(AK311:AK323)</f>
        <v>0</v>
      </c>
      <c r="AM325" s="172">
        <f>SUM(AM311:AM323)</f>
        <v>75242387</v>
      </c>
      <c r="AN325" s="172">
        <f>SUM(AN311:AN323)</f>
        <v>7999732</v>
      </c>
      <c r="AO325" s="172">
        <f>SUM(AO311:AO323)</f>
        <v>16596334</v>
      </c>
      <c r="AP325" s="172"/>
      <c r="AQ325" s="172">
        <f>SUM(AQ311:AQ323)</f>
        <v>99838453</v>
      </c>
      <c r="AR325" s="1"/>
      <c r="AS325" s="175">
        <v>1275.3199865998333</v>
      </c>
      <c r="AT325" s="175">
        <v>135.59136696503603</v>
      </c>
      <c r="AU325" s="175">
        <v>281.2993752376085</v>
      </c>
      <c r="AV325" s="175"/>
      <c r="AW325" s="175">
        <v>1692.2107288024779</v>
      </c>
      <c r="AX325" s="1"/>
      <c r="AY325" s="171">
        <v>9.9032458612824392E-4</v>
      </c>
      <c r="AZ325" s="171">
        <v>-9.0634096792970853E-3</v>
      </c>
      <c r="BA325" s="171">
        <v>-7.853491492126885E-5</v>
      </c>
      <c r="BB325" s="171">
        <f t="shared" ref="BB325" si="99">SUM(AM325:AO325)/I325-1</f>
        <v>-3.0878578394233358E-7</v>
      </c>
      <c r="BC325" s="171"/>
      <c r="BD325" s="1"/>
      <c r="BE325" s="179">
        <f>AM325/'2018-19 disagg'!AM325-1</f>
        <v>2.2355184870710199E-2</v>
      </c>
      <c r="BF325" s="179">
        <f>AN325/'2018-19 disagg'!AN325-1</f>
        <v>3.0439825772549778E-2</v>
      </c>
      <c r="BG325" s="179">
        <f>AO325/'2018-19 disagg'!AO325-1</f>
        <v>4.4714991673167059E-2</v>
      </c>
      <c r="BH325" s="179">
        <f>AQ325/'2018-19 disagg'!AQ325-1</f>
        <v>2.6653252784364589E-2</v>
      </c>
      <c r="BI325" s="1"/>
      <c r="BJ325" s="179">
        <f>AS325/'2018-19 disagg'!AS325-1</f>
        <v>1.530913862612171E-2</v>
      </c>
      <c r="BK325" s="179">
        <f>AT325/'2018-19 disagg'!AT325-1</f>
        <v>2.3338060386014936E-2</v>
      </c>
      <c r="BL325" s="179">
        <f>AU325/'2018-19 disagg'!AU325-1</f>
        <v>3.7514842201948673E-2</v>
      </c>
      <c r="BM325" s="179">
        <f>AW325/'2018-19 disagg'!AW325-1</f>
        <v>1.9577584363716038E-2</v>
      </c>
    </row>
  </sheetData>
  <mergeCells count="9">
    <mergeCell ref="AS6:AW7"/>
    <mergeCell ref="AY6:BC7"/>
    <mergeCell ref="BE6:BH7"/>
    <mergeCell ref="BJ6:BM7"/>
    <mergeCell ref="I9:L9"/>
    <mergeCell ref="AA6:AC7"/>
    <mergeCell ref="AE6:AG7"/>
    <mergeCell ref="AI6:AK7"/>
    <mergeCell ref="AM6:AQ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Q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2.140625" style="11" bestFit="1" customWidth="1"/>
    <col min="5" max="5" width="11.28515625" style="75" customWidth="1"/>
    <col min="6" max="6" width="4.7109375" style="1" customWidth="1"/>
    <col min="7" max="7" width="12.28515625" style="11" customWidth="1"/>
    <col min="8" max="8" width="12.28515625" style="75" customWidth="1"/>
    <col min="9" max="9" width="3.140625" style="150" customWidth="1"/>
    <col min="10" max="10" width="11.140625" style="53" customWidth="1"/>
    <col min="11" max="11" width="11.140625" style="119" customWidth="1"/>
    <col min="12" max="12" width="13.28515625" style="64" customWidth="1"/>
    <col min="13" max="13" width="13.42578125" style="53" bestFit="1" customWidth="1"/>
    <col min="14" max="15" width="13.42578125" style="54" bestFit="1" customWidth="1"/>
    <col min="16" max="16" width="10.5703125" style="52" customWidth="1"/>
    <col min="17" max="18" width="13.85546875" style="52" customWidth="1"/>
    <col min="19" max="19" width="13.28515625" style="52" bestFit="1" customWidth="1"/>
    <col min="20" max="20" width="13" style="53" bestFit="1" customWidth="1"/>
    <col min="21" max="21" width="13" style="54" bestFit="1" customWidth="1"/>
    <col min="22" max="22" width="13.28515625" style="119" bestFit="1" customWidth="1"/>
    <col min="23" max="23" width="10.5703125" style="53" customWidth="1"/>
    <col min="24" max="25" width="13" style="54" bestFit="1" customWidth="1"/>
    <col min="26" max="26" width="13.28515625" style="139" bestFit="1" customWidth="1"/>
    <col min="27" max="27" width="12" style="54" customWidth="1"/>
    <col min="28" max="29" width="13.28515625" style="54" bestFit="1" customWidth="1"/>
    <col min="30" max="30" width="13" style="54" bestFit="1" customWidth="1"/>
    <col min="31" max="31" width="13" style="119" bestFit="1" customWidth="1"/>
    <col min="32" max="32" width="13.28515625" style="64" customWidth="1"/>
    <col min="33" max="35" width="11.140625" style="64" customWidth="1"/>
    <col min="36" max="36" width="5.7109375" style="64" customWidth="1"/>
    <col min="37" max="37" width="13.28515625" style="64" bestFit="1" customWidth="1"/>
    <col min="38" max="38" width="11.140625" style="64" customWidth="1"/>
    <col min="39" max="39" width="13.140625" style="64" bestFit="1" customWidth="1"/>
    <col min="40" max="40" width="11.140625" style="52" customWidth="1"/>
    <col min="41" max="41" width="9.140625" style="1"/>
    <col min="42" max="43" width="11.140625" style="64" customWidth="1"/>
    <col min="44" max="16384" width="9.140625" style="1"/>
  </cols>
  <sheetData>
    <row r="1" spans="1:43" x14ac:dyDescent="0.2">
      <c r="A1" s="321" t="s">
        <v>616</v>
      </c>
    </row>
    <row r="2" spans="1:43" x14ac:dyDescent="0.2">
      <c r="A2" s="279" t="s">
        <v>949</v>
      </c>
    </row>
    <row r="3" spans="1:43" x14ac:dyDescent="0.2">
      <c r="A3" s="354" t="s">
        <v>967</v>
      </c>
    </row>
    <row r="4" spans="1:43" x14ac:dyDescent="0.2">
      <c r="B4" s="1" t="s">
        <v>64</v>
      </c>
      <c r="D4" s="59" t="s">
        <v>60</v>
      </c>
      <c r="E4" s="69"/>
      <c r="G4" s="83" t="s">
        <v>60</v>
      </c>
      <c r="H4" s="76"/>
      <c r="I4" s="149"/>
      <c r="J4" s="125"/>
      <c r="K4" s="111">
        <f>MIN(K12:K220)</f>
        <v>-2.4764419261959936E-2</v>
      </c>
      <c r="L4" s="6"/>
      <c r="M4" s="102"/>
      <c r="N4" s="18"/>
      <c r="O4" s="111"/>
      <c r="P4" s="4"/>
      <c r="Q4" s="5"/>
      <c r="R4" s="5"/>
      <c r="S4" s="148"/>
      <c r="T4" s="120"/>
      <c r="U4" s="144"/>
      <c r="V4" s="110"/>
      <c r="W4" s="125"/>
      <c r="X4" s="129"/>
      <c r="Y4" s="129"/>
      <c r="Z4" s="134"/>
      <c r="AA4" s="129"/>
      <c r="AB4" s="129"/>
      <c r="AC4" s="129"/>
      <c r="AD4" s="129"/>
      <c r="AE4" s="140"/>
      <c r="AF4" s="6"/>
      <c r="AG4" s="7"/>
      <c r="AH4" s="7"/>
      <c r="AI4" s="8">
        <f>MAX(AI12:AI220)</f>
        <v>4.0600000000000191E-2</v>
      </c>
      <c r="AJ4" s="7"/>
      <c r="AK4" s="7" t="s">
        <v>1</v>
      </c>
      <c r="AL4" s="8">
        <f>MIN(AM12:AM220)</f>
        <v>-2.4930556188961339E-2</v>
      </c>
      <c r="AM4" s="228" t="s">
        <v>2</v>
      </c>
      <c r="AN4" s="9">
        <f>COUNTIF(AN12:AN220,"&lt;-5%")</f>
        <v>0</v>
      </c>
      <c r="AP4" s="7"/>
      <c r="AQ4" s="7"/>
    </row>
    <row r="5" spans="1:43" s="11" customFormat="1" x14ac:dyDescent="0.2">
      <c r="B5" s="12">
        <v>5</v>
      </c>
      <c r="D5" s="13"/>
      <c r="E5" s="69"/>
      <c r="G5" s="84"/>
      <c r="H5" s="77"/>
      <c r="I5" s="150"/>
      <c r="J5" s="125"/>
      <c r="K5" s="9">
        <f>COUNTIF(K12:K220,"&lt;-5%")</f>
        <v>0</v>
      </c>
      <c r="L5" s="20"/>
      <c r="M5" s="103"/>
      <c r="N5" s="97"/>
      <c r="O5" s="126"/>
      <c r="P5" s="17"/>
      <c r="Q5" s="18"/>
      <c r="R5" s="18"/>
      <c r="S5" s="155"/>
      <c r="T5" s="102"/>
      <c r="U5" s="18"/>
      <c r="V5" s="111"/>
      <c r="W5" s="130"/>
      <c r="X5" s="18"/>
      <c r="Y5" s="18"/>
      <c r="Z5" s="135"/>
      <c r="AA5" s="157"/>
      <c r="AB5" s="18"/>
      <c r="AC5" s="18"/>
      <c r="AD5" s="18"/>
      <c r="AE5" s="111"/>
      <c r="AF5" s="20"/>
      <c r="AG5" s="21"/>
      <c r="AH5" s="21"/>
      <c r="AI5" s="21"/>
      <c r="AJ5" s="21"/>
      <c r="AK5" s="7" t="s">
        <v>610</v>
      </c>
      <c r="AL5" s="8">
        <f>MAX(AM12:AM220)</f>
        <v>0.15830541899339567</v>
      </c>
      <c r="AM5" s="228" t="s">
        <v>14</v>
      </c>
      <c r="AN5" s="9">
        <f>COUNTIF(AN12:AN220,"&lt;-2.5%")</f>
        <v>0</v>
      </c>
      <c r="AP5" s="21"/>
      <c r="AQ5" s="21"/>
    </row>
    <row r="6" spans="1:43" s="11" customFormat="1" x14ac:dyDescent="0.2">
      <c r="B6" s="12"/>
      <c r="D6" s="23"/>
      <c r="E6" s="70"/>
      <c r="F6" s="14"/>
      <c r="G6" s="85"/>
      <c r="H6" s="78"/>
      <c r="I6" s="149"/>
      <c r="J6" s="104"/>
      <c r="K6" s="127"/>
      <c r="L6" s="28"/>
      <c r="M6" s="104"/>
      <c r="N6" s="26"/>
      <c r="O6" s="127"/>
      <c r="P6" s="26"/>
      <c r="Q6" s="27"/>
      <c r="R6" s="27"/>
      <c r="S6" s="27"/>
      <c r="T6" s="121"/>
      <c r="U6" s="145"/>
      <c r="V6" s="112"/>
      <c r="W6" s="104"/>
      <c r="X6" s="27"/>
      <c r="Y6" s="27"/>
      <c r="Z6" s="136"/>
      <c r="AA6" s="27"/>
      <c r="AB6" s="27"/>
      <c r="AC6" s="27"/>
      <c r="AD6" s="27"/>
      <c r="AE6" s="113"/>
      <c r="AF6" s="28"/>
      <c r="AG6" s="25"/>
      <c r="AH6" s="25"/>
      <c r="AI6" s="25"/>
      <c r="AJ6" s="25"/>
      <c r="AK6" s="28"/>
      <c r="AL6" s="28"/>
      <c r="AM6" s="28"/>
      <c r="AN6" s="29"/>
      <c r="AP6" s="25"/>
      <c r="AQ6" s="25"/>
    </row>
    <row r="7" spans="1:43" s="11" customFormat="1" x14ac:dyDescent="0.2">
      <c r="B7" s="12"/>
      <c r="D7" s="23"/>
      <c r="E7" s="70"/>
      <c r="F7" s="14"/>
      <c r="G7" s="85"/>
      <c r="H7" s="78"/>
      <c r="I7" s="149"/>
      <c r="J7" s="104"/>
      <c r="K7" s="127"/>
      <c r="L7" s="28">
        <f>AK8-L8</f>
        <v>210710.03575229645</v>
      </c>
      <c r="M7" s="104"/>
      <c r="N7" s="26"/>
      <c r="O7" s="147">
        <f>AK8-O8</f>
        <v>196387.14963145554</v>
      </c>
      <c r="P7" s="26"/>
      <c r="Q7" s="27"/>
      <c r="R7" s="27"/>
      <c r="S7" s="147">
        <f>AK8-S8</f>
        <v>-11811.163124740124</v>
      </c>
      <c r="T7" s="122"/>
      <c r="U7" s="27"/>
      <c r="V7" s="147">
        <f>AK8-V8</f>
        <v>-19472.689216315746</v>
      </c>
      <c r="W7" s="104"/>
      <c r="X7" s="27"/>
      <c r="Y7" s="27"/>
      <c r="Z7" s="147">
        <f>AK8-Z8</f>
        <v>11.379874721169472</v>
      </c>
      <c r="AA7" s="27"/>
      <c r="AB7" s="27"/>
      <c r="AC7" s="29">
        <f>AK8-AC8</f>
        <v>11.379874721169472</v>
      </c>
      <c r="AD7" s="27"/>
      <c r="AE7" s="113"/>
      <c r="AF7" s="28">
        <f>AK8-AF8</f>
        <v>11.379874721169472</v>
      </c>
      <c r="AG7" s="25"/>
      <c r="AH7" s="25"/>
      <c r="AI7" s="25"/>
      <c r="AJ7" s="25"/>
      <c r="AK7" s="25">
        <f>AK8/D8-1</f>
        <v>4.076887124595463E-2</v>
      </c>
      <c r="AL7" s="28"/>
      <c r="AM7" s="28"/>
      <c r="AN7" s="29"/>
      <c r="AP7" s="25"/>
      <c r="AQ7" s="25"/>
    </row>
    <row r="8" spans="1:43" s="30" customFormat="1" x14ac:dyDescent="0.2">
      <c r="B8" s="31"/>
      <c r="D8" s="32">
        <f>+D222</f>
        <v>99838453</v>
      </c>
      <c r="E8" s="71">
        <f>E222</f>
        <v>1692.2107288024779</v>
      </c>
      <c r="F8" s="33"/>
      <c r="G8" s="86">
        <f t="shared" ref="G8:H8" si="0">G222</f>
        <v>99838483.828704581</v>
      </c>
      <c r="H8" s="79">
        <f t="shared" si="0"/>
        <v>1680.7163909395731</v>
      </c>
      <c r="I8" s="151"/>
      <c r="J8" s="123">
        <f>+J222</f>
        <v>-3.08785784830512E-7</v>
      </c>
      <c r="K8" s="105">
        <f>+K222</f>
        <v>6.8389514881086466E-3</v>
      </c>
      <c r="L8" s="101">
        <f>L222</f>
        <v>103698044</v>
      </c>
      <c r="M8" s="123"/>
      <c r="N8" s="36"/>
      <c r="O8" s="101">
        <f>O222</f>
        <v>103712366.88612084</v>
      </c>
      <c r="P8" s="105"/>
      <c r="Q8" s="35">
        <f>Q222</f>
        <v>4.088717399173869E-2</v>
      </c>
      <c r="R8" s="35"/>
      <c r="S8" s="100">
        <f>S222</f>
        <v>103920565.19887704</v>
      </c>
      <c r="T8" s="123">
        <f t="shared" ref="T8:AI8" si="1">+T222</f>
        <v>4.0963913222579862E-2</v>
      </c>
      <c r="U8" s="36"/>
      <c r="V8" s="114">
        <f t="shared" si="1"/>
        <v>103928226.72496861</v>
      </c>
      <c r="W8" s="123"/>
      <c r="X8" s="36">
        <f>X222</f>
        <v>4.0768757263071498E-2</v>
      </c>
      <c r="Y8" s="36"/>
      <c r="Z8" s="137">
        <f>Z222</f>
        <v>103908742.65587758</v>
      </c>
      <c r="AA8" s="133"/>
      <c r="AB8" s="133">
        <f>AB222</f>
        <v>101300880.79956298</v>
      </c>
      <c r="AC8" s="133">
        <f>AC222</f>
        <v>103908742.65587758</v>
      </c>
      <c r="AD8" s="36">
        <f>AD222</f>
        <v>4.0768757263071498E-2</v>
      </c>
      <c r="AE8" s="105"/>
      <c r="AF8" s="101">
        <f>AF222</f>
        <v>103908742.65587758</v>
      </c>
      <c r="AG8" s="34">
        <f t="shared" si="1"/>
        <v>1749.2365693703007</v>
      </c>
      <c r="AH8" s="35">
        <f t="shared" si="1"/>
        <v>4.0768757263071498E-2</v>
      </c>
      <c r="AI8" s="35">
        <f t="shared" si="1"/>
        <v>3.3699018448002604E-2</v>
      </c>
      <c r="AJ8" s="65"/>
      <c r="AK8" s="34">
        <f>+AK222</f>
        <v>103908754.0357523</v>
      </c>
      <c r="AL8" s="34">
        <f>+AL222</f>
        <v>1749.2367609431412</v>
      </c>
      <c r="AM8" s="35">
        <f>+AM222</f>
        <v>-1.0951795959002197E-7</v>
      </c>
      <c r="AN8" s="36">
        <f>+AN222</f>
        <v>-1.0951795936797737E-7</v>
      </c>
      <c r="AP8" s="101">
        <f>AP222</f>
        <v>118</v>
      </c>
      <c r="AQ8" s="101">
        <f>AQ222</f>
        <v>0</v>
      </c>
    </row>
    <row r="9" spans="1:43" s="38" customFormat="1" x14ac:dyDescent="0.2">
      <c r="D9" s="373" t="s">
        <v>57</v>
      </c>
      <c r="E9" s="373"/>
      <c r="G9" s="375"/>
      <c r="H9" s="376"/>
      <c r="I9" s="152"/>
      <c r="J9" s="95"/>
      <c r="K9" s="96"/>
      <c r="L9" s="39"/>
      <c r="M9" s="370" t="s">
        <v>36</v>
      </c>
      <c r="N9" s="371"/>
      <c r="O9" s="372"/>
      <c r="P9" s="371" t="s">
        <v>951</v>
      </c>
      <c r="Q9" s="371"/>
      <c r="R9" s="371"/>
      <c r="S9" s="372"/>
      <c r="T9" s="367" t="s">
        <v>39</v>
      </c>
      <c r="U9" s="368"/>
      <c r="V9" s="369"/>
      <c r="W9" s="370" t="s">
        <v>40</v>
      </c>
      <c r="X9" s="371"/>
      <c r="Y9" s="371"/>
      <c r="Z9" s="372"/>
      <c r="AA9" s="163"/>
      <c r="AB9" s="164"/>
      <c r="AC9" s="164"/>
      <c r="AD9" s="164"/>
      <c r="AE9" s="165"/>
      <c r="AF9" s="39"/>
      <c r="AG9" s="40"/>
      <c r="AH9" s="40"/>
      <c r="AI9" s="40"/>
      <c r="AJ9" s="41"/>
      <c r="AK9" s="374" t="s">
        <v>3</v>
      </c>
      <c r="AL9" s="374"/>
      <c r="AM9" s="374"/>
      <c r="AN9" s="374"/>
      <c r="AP9" s="40"/>
      <c r="AQ9" s="40"/>
    </row>
    <row r="10" spans="1:43" ht="63.75" x14ac:dyDescent="0.2">
      <c r="A10" s="44" t="s">
        <v>67</v>
      </c>
      <c r="B10" s="45" t="s">
        <v>68</v>
      </c>
      <c r="C10" s="43"/>
      <c r="D10" s="67" t="s">
        <v>4</v>
      </c>
      <c r="E10" s="72" t="s">
        <v>5</v>
      </c>
      <c r="F10" s="46"/>
      <c r="G10" s="87" t="s">
        <v>15</v>
      </c>
      <c r="H10" s="80" t="s">
        <v>16</v>
      </c>
      <c r="I10" s="153"/>
      <c r="J10" s="128" t="s">
        <v>8</v>
      </c>
      <c r="K10" s="115" t="s">
        <v>9</v>
      </c>
      <c r="L10" s="50" t="s">
        <v>488</v>
      </c>
      <c r="M10" s="128" t="s">
        <v>44</v>
      </c>
      <c r="N10" s="98" t="s">
        <v>46</v>
      </c>
      <c r="O10" s="106" t="s">
        <v>35</v>
      </c>
      <c r="P10" s="49" t="s">
        <v>34</v>
      </c>
      <c r="Q10" s="49" t="s">
        <v>45</v>
      </c>
      <c r="R10" s="49" t="s">
        <v>48</v>
      </c>
      <c r="S10" s="49" t="s">
        <v>37</v>
      </c>
      <c r="T10" s="124" t="s">
        <v>47</v>
      </c>
      <c r="U10" s="47" t="s">
        <v>49</v>
      </c>
      <c r="V10" s="115" t="s">
        <v>38</v>
      </c>
      <c r="W10" s="128" t="s">
        <v>34</v>
      </c>
      <c r="X10" s="98" t="s">
        <v>51</v>
      </c>
      <c r="Y10" s="98" t="s">
        <v>52</v>
      </c>
      <c r="Z10" s="138" t="s">
        <v>50</v>
      </c>
      <c r="AA10" s="98" t="s">
        <v>41</v>
      </c>
      <c r="AB10" s="98" t="s">
        <v>42</v>
      </c>
      <c r="AC10" s="98" t="s">
        <v>43</v>
      </c>
      <c r="AD10" s="98" t="s">
        <v>53</v>
      </c>
      <c r="AE10" s="115" t="s">
        <v>54</v>
      </c>
      <c r="AF10" s="50" t="s">
        <v>487</v>
      </c>
      <c r="AG10" s="50" t="s">
        <v>5</v>
      </c>
      <c r="AH10" s="50" t="s">
        <v>10</v>
      </c>
      <c r="AI10" s="50" t="s">
        <v>11</v>
      </c>
      <c r="AJ10" s="48"/>
      <c r="AK10" s="48" t="s">
        <v>6</v>
      </c>
      <c r="AL10" s="48" t="s">
        <v>7</v>
      </c>
      <c r="AM10" s="48" t="s">
        <v>8</v>
      </c>
      <c r="AN10" s="49" t="s">
        <v>9</v>
      </c>
      <c r="AP10" s="50" t="s">
        <v>511</v>
      </c>
      <c r="AQ10" s="50" t="s">
        <v>512</v>
      </c>
    </row>
    <row r="11" spans="1:43" x14ac:dyDescent="0.2">
      <c r="D11" s="13"/>
      <c r="E11" s="69"/>
      <c r="G11" s="84"/>
      <c r="H11" s="77"/>
      <c r="J11" s="125"/>
      <c r="K11" s="116"/>
      <c r="L11" s="3"/>
      <c r="M11" s="125"/>
      <c r="N11" s="15"/>
      <c r="O11" s="107"/>
      <c r="P11" s="4"/>
      <c r="Q11" s="4"/>
      <c r="R11" s="4"/>
      <c r="S11" s="4"/>
      <c r="T11" s="125"/>
      <c r="U11" s="15"/>
      <c r="V11" s="116"/>
      <c r="W11" s="125"/>
      <c r="X11" s="15"/>
      <c r="Y11" s="15"/>
      <c r="Z11" s="107"/>
      <c r="AA11" s="15"/>
      <c r="AB11" s="15"/>
      <c r="AC11" s="15"/>
      <c r="AD11" s="15"/>
      <c r="AE11" s="116"/>
      <c r="AF11" s="3"/>
      <c r="AG11" s="3"/>
      <c r="AH11" s="3"/>
      <c r="AI11" s="3"/>
      <c r="AJ11" s="3"/>
      <c r="AK11" s="3"/>
      <c r="AL11" s="3"/>
      <c r="AM11" s="3"/>
      <c r="AN11" s="4"/>
      <c r="AP11" s="3"/>
      <c r="AQ11" s="3"/>
    </row>
    <row r="12" spans="1:43" x14ac:dyDescent="0.2">
      <c r="A12" s="156" t="s">
        <v>69</v>
      </c>
      <c r="B12" s="156" t="s">
        <v>70</v>
      </c>
      <c r="D12" s="68">
        <f>VLOOKUP(A12,'2019-20 disagg'!A12:AZ220,43,FALSE)</f>
        <v>197854</v>
      </c>
      <c r="E12" s="73">
        <v>1831.4255107901508</v>
      </c>
      <c r="F12" s="55"/>
      <c r="G12" s="88">
        <v>195159.4778692179</v>
      </c>
      <c r="H12" s="81">
        <v>1802.7590849673236</v>
      </c>
      <c r="I12" s="90"/>
      <c r="J12" s="103">
        <f>D12/G12-1</f>
        <v>1.3806770545818914E-2</v>
      </c>
      <c r="K12" s="126">
        <f>E12/H12-1</f>
        <v>1.5901418032985282E-2</v>
      </c>
      <c r="L12" s="56">
        <v>205345</v>
      </c>
      <c r="M12" s="103">
        <v>2.662364639192849E-2</v>
      </c>
      <c r="N12" s="97">
        <f>INDEX('Pace of change parameters'!$E$22:$I$22,1,$B$5)</f>
        <v>2.4506891160555818E-2</v>
      </c>
      <c r="O12" s="108">
        <f>MAX(IF(INDEX('Pace of change parameters'!$E$30:$I$30,1,$B$5)=1,(1+M12)*D12,D12),L12)</f>
        <v>205345</v>
      </c>
      <c r="P12" s="94">
        <f>IF(K12&lt;INDEX('Pace of change parameters'!$E$18:$I$18,1,$B$5),1,IF(K12&gt;INDEX('Pace of change parameters'!$E$19:$I$19,1,$B$5),0,(K12-INDEX('Pace of change parameters'!$E$19:$I$19,1,$B$5))/(INDEX('Pace of change parameters'!$E$18:$I$18,1,$B$5)-INDEX('Pace of change parameters'!$E$19:$I$19,1,$B$5))))</f>
        <v>0</v>
      </c>
      <c r="Q12" s="57">
        <v>2.662364639192849E-2</v>
      </c>
      <c r="R12" s="57">
        <v>2.450689116055571E-2</v>
      </c>
      <c r="S12" s="9">
        <f>MAX(IF(INDEX('Pace of change parameters'!$E$31:$I$31,1,$B$5)=1,D12*(1+Q12),D12),L12)</f>
        <v>205345</v>
      </c>
      <c r="T12" s="103">
        <f>IF(Q12&lt;INDEX('Pace of change parameters'!$E$24:$I$24,1,$B$5),INDEX('Pace of change parameters'!$E$24:$I$24,1,$B$5),Q12)</f>
        <v>3.2992755077120454E-2</v>
      </c>
      <c r="U12" s="132">
        <v>3.086286762911139E-2</v>
      </c>
      <c r="V12" s="117">
        <f>MAX(D12*(1+T12),L12)</f>
        <v>205345</v>
      </c>
      <c r="W12" s="131">
        <f>IF(J12&gt;INDEX('Pace of change parameters'!$E$26:$I$26,1,$B$5),0,IF(J12&lt;INDEX('Pace of change parameters'!$E$25:$I$25,1,$B$5),1,(J12-INDEX('Pace of change parameters'!$E$26:$I$26,1,$B$5))/(INDEX('Pace of change parameters'!$E$25:$I$25,1,$B$5)-INDEX('Pace of change parameters'!$E$26:$I$26,1,$B$5))))</f>
        <v>1</v>
      </c>
      <c r="X12" s="132">
        <f>MIN(T12, T12+(INDEX('Pace of change parameters'!$E$27:$I$27,1,$B$5)-T12)*(1-W12))</f>
        <v>3.2992755077120454E-2</v>
      </c>
      <c r="Y12" s="132">
        <v>3.086286762911139E-2</v>
      </c>
      <c r="Z12" s="108">
        <f>MAX(D12*(1+X12),L12)</f>
        <v>205345</v>
      </c>
      <c r="AA12" s="97">
        <f>MIN(VLOOKUP(A12,'2019-20 disagg'!$A$12:$BB$220,54,FALSE),-2.5%)</f>
        <v>-2.5000000000000001E-2</v>
      </c>
      <c r="AB12" s="99">
        <f t="shared" ref="AB12:AB75" si="2">(1+AA12)*AK12</f>
        <v>197991.98112008363</v>
      </c>
      <c r="AC12" s="99">
        <f>MAX(IF(INDEX('Pace of change parameters'!$E$29:$I$29,1,$B$5)=1,MAX(AB12,Z12),Z12),L12)</f>
        <v>205345</v>
      </c>
      <c r="AD12" s="97">
        <f t="shared" ref="AD12:AD75" si="3">AC12/D12-1</f>
        <v>3.7861251225651316E-2</v>
      </c>
      <c r="AE12" s="146">
        <v>3.5721325615431843E-2</v>
      </c>
      <c r="AF12" s="56">
        <f>AC12</f>
        <v>205345</v>
      </c>
      <c r="AG12" s="56">
        <v>1896.8464578014941</v>
      </c>
      <c r="AH12" s="16">
        <f t="shared" ref="AH12:AH75" si="4">AF12/D12 - 1</f>
        <v>3.7861251225651316E-2</v>
      </c>
      <c r="AI12" s="16">
        <f t="shared" ref="AI12:AI75" si="5">AG12/E12 - 1</f>
        <v>3.5721325615431621E-2</v>
      </c>
      <c r="AJ12" s="56"/>
      <c r="AK12" s="56">
        <v>203068.69858470117</v>
      </c>
      <c r="AL12" s="56">
        <v>1875.8194336397269</v>
      </c>
      <c r="AM12" s="16">
        <f>AF12/AK12-1</f>
        <v>1.120951397809522E-2</v>
      </c>
      <c r="AN12" s="58">
        <f>AG12/AL12-1</f>
        <v>1.120951397809522E-2</v>
      </c>
      <c r="AP12" s="56">
        <f t="shared" ref="AP12:AP75" si="6">IF(AF12=L12,1,0)</f>
        <v>1</v>
      </c>
      <c r="AQ12" s="56">
        <f t="shared" ref="AQ12:AQ75" si="7">IF(AB12=AF12,1,0)</f>
        <v>0</v>
      </c>
    </row>
    <row r="13" spans="1:43" x14ac:dyDescent="0.2">
      <c r="A13" s="156" t="s">
        <v>71</v>
      </c>
      <c r="B13" s="156" t="s">
        <v>72</v>
      </c>
      <c r="D13" s="68">
        <f>VLOOKUP(A13,'2019-20 disagg'!A13:AZ221,43,FALSE)</f>
        <v>585676</v>
      </c>
      <c r="E13" s="73">
        <v>1987.9116029809193</v>
      </c>
      <c r="F13" s="55"/>
      <c r="G13" s="88">
        <v>562984.01076523343</v>
      </c>
      <c r="H13" s="81">
        <v>1903.0373272963502</v>
      </c>
      <c r="I13" s="90"/>
      <c r="J13" s="103">
        <f t="shared" ref="J13:K76" si="8">D13/G13-1</f>
        <v>4.0306631806332538E-2</v>
      </c>
      <c r="K13" s="126">
        <f t="shared" si="8"/>
        <v>4.4599375150013554E-2</v>
      </c>
      <c r="L13" s="56">
        <v>607595</v>
      </c>
      <c r="M13" s="103">
        <v>2.8734438119425443E-2</v>
      </c>
      <c r="N13" s="97">
        <f>INDEX('Pace of change parameters'!$E$22:$I$22,1,$B$5)</f>
        <v>2.4506891160555818E-2</v>
      </c>
      <c r="O13" s="108">
        <f>MAX(IF(INDEX('Pace of change parameters'!$E$30:$I$30,1,$B$5)=1,(1+M13)*D13,D13),L13)</f>
        <v>607595</v>
      </c>
      <c r="P13" s="94">
        <f>IF(K13&lt;INDEX('Pace of change parameters'!$E$18:$I$18,1,$B$5),1,IF(K13&gt;INDEX('Pace of change parameters'!$E$19:$I$19,1,$B$5),0,(K13-INDEX('Pace of change parameters'!$E$19:$I$19,1,$B$5))/(INDEX('Pace of change parameters'!$E$18:$I$18,1,$B$5)-INDEX('Pace of change parameters'!$E$19:$I$19,1,$B$5))))</f>
        <v>0</v>
      </c>
      <c r="Q13" s="57">
        <v>2.8734438119425443E-2</v>
      </c>
      <c r="R13" s="57">
        <v>2.450689116055571E-2</v>
      </c>
      <c r="S13" s="9">
        <f>MAX(IF(INDEX('Pace of change parameters'!$E$31:$I$31,1,$B$5)=1,D13*(1+Q13),D13),L13)</f>
        <v>607595</v>
      </c>
      <c r="T13" s="103">
        <f>IF(Q13&lt;INDEX('Pace of change parameters'!$E$24:$I$24,1,$B$5),INDEX('Pace of change parameters'!$E$24:$I$24,1,$B$5),Q13)</f>
        <v>3.2992755077120454E-2</v>
      </c>
      <c r="U13" s="132">
        <v>2.8747708718758203E-2</v>
      </c>
      <c r="V13" s="117">
        <f t="shared" ref="V13:V76" si="9">MAX(D13*(1+T13),L13)</f>
        <v>607595</v>
      </c>
      <c r="W13" s="131">
        <f>IF(J13&gt;INDEX('Pace of change parameters'!$E$26:$I$26,1,$B$5),0,IF(J13&lt;INDEX('Pace of change parameters'!$E$25:$I$25,1,$B$5),1,(J13-INDEX('Pace of change parameters'!$E$26:$I$26,1,$B$5))/(INDEX('Pace of change parameters'!$E$25:$I$25,1,$B$5)-INDEX('Pace of change parameters'!$E$26:$I$26,1,$B$5))))</f>
        <v>1</v>
      </c>
      <c r="X13" s="132">
        <f>MIN(T13, T13+(INDEX('Pace of change parameters'!$E$27:$I$27,1,$B$5)-T13)*(1-W13))</f>
        <v>3.2992755077120454E-2</v>
      </c>
      <c r="Y13" s="132">
        <v>2.8747708718758203E-2</v>
      </c>
      <c r="Z13" s="108">
        <f t="shared" ref="Z13:Z76" si="10">MAX(D13*(1+X13),L13)</f>
        <v>607595</v>
      </c>
      <c r="AA13" s="97">
        <f>MIN(VLOOKUP(A13,'2019-20 disagg'!$A$12:$BB$220,54,FALSE),-2.5%)</f>
        <v>-2.5000000000000001E-2</v>
      </c>
      <c r="AB13" s="99">
        <f t="shared" si="2"/>
        <v>571073.36590366962</v>
      </c>
      <c r="AC13" s="99">
        <f>MAX(IF(INDEX('Pace of change parameters'!$E$29:$I$29,1,$B$5)=1,MAX(AB13,Z13),Z13),L13)</f>
        <v>607595</v>
      </c>
      <c r="AD13" s="97">
        <f t="shared" si="3"/>
        <v>3.7425129252351086E-2</v>
      </c>
      <c r="AE13" s="146">
        <v>3.3161868212657319E-2</v>
      </c>
      <c r="AF13" s="56">
        <f t="shared" ref="AF13:AF76" si="11">AC13</f>
        <v>607595</v>
      </c>
      <c r="AG13" s="56">
        <v>2053.8344655773849</v>
      </c>
      <c r="AH13" s="16">
        <f t="shared" si="4"/>
        <v>3.7425129252351086E-2</v>
      </c>
      <c r="AI13" s="16">
        <f t="shared" si="5"/>
        <v>3.3161868212657319E-2</v>
      </c>
      <c r="AJ13" s="56"/>
      <c r="AK13" s="56">
        <v>585716.27272171248</v>
      </c>
      <c r="AL13" s="56">
        <v>1979.8784847890063</v>
      </c>
      <c r="AM13" s="16">
        <f t="shared" ref="AM13:AN76" si="12">AF13/AK13-1</f>
        <v>3.7353797900511188E-2</v>
      </c>
      <c r="AN13" s="58">
        <f t="shared" si="12"/>
        <v>3.7353797900510965E-2</v>
      </c>
      <c r="AP13" s="56">
        <f t="shared" si="6"/>
        <v>1</v>
      </c>
      <c r="AQ13" s="56">
        <f t="shared" si="7"/>
        <v>0</v>
      </c>
    </row>
    <row r="14" spans="1:43" x14ac:dyDescent="0.2">
      <c r="A14" s="156" t="s">
        <v>73</v>
      </c>
      <c r="B14" s="156" t="s">
        <v>74</v>
      </c>
      <c r="D14" s="68">
        <f>VLOOKUP(A14,'2019-20 disagg'!A14:AZ222,43,FALSE)</f>
        <v>962620</v>
      </c>
      <c r="E14" s="73">
        <v>1868.1411167497947</v>
      </c>
      <c r="F14" s="55"/>
      <c r="G14" s="88">
        <v>935354.32713210932</v>
      </c>
      <c r="H14" s="81">
        <v>1811.0720972234878</v>
      </c>
      <c r="I14" s="90"/>
      <c r="J14" s="103">
        <f t="shared" si="8"/>
        <v>2.9150100744698593E-2</v>
      </c>
      <c r="K14" s="126">
        <f t="shared" si="8"/>
        <v>3.1511180374209413E-2</v>
      </c>
      <c r="L14" s="56">
        <v>999187</v>
      </c>
      <c r="M14" s="103">
        <v>2.685731832299032E-2</v>
      </c>
      <c r="N14" s="97">
        <f>INDEX('Pace of change parameters'!$E$22:$I$22,1,$B$5)</f>
        <v>2.4506891160555818E-2</v>
      </c>
      <c r="O14" s="108">
        <f>MAX(IF(INDEX('Pace of change parameters'!$E$30:$I$30,1,$B$5)=1,(1+M14)*D14,D14),L14)</f>
        <v>999187</v>
      </c>
      <c r="P14" s="94">
        <f>IF(K14&lt;INDEX('Pace of change parameters'!$E$18:$I$18,1,$B$5),1,IF(K14&gt;INDEX('Pace of change parameters'!$E$19:$I$19,1,$B$5),0,(K14-INDEX('Pace of change parameters'!$E$19:$I$19,1,$B$5))/(INDEX('Pace of change parameters'!$E$18:$I$18,1,$B$5)-INDEX('Pace of change parameters'!$E$19:$I$19,1,$B$5))))</f>
        <v>0</v>
      </c>
      <c r="Q14" s="57">
        <v>2.685731832299032E-2</v>
      </c>
      <c r="R14" s="57">
        <v>2.450689116055571E-2</v>
      </c>
      <c r="S14" s="9">
        <f>MAX(IF(INDEX('Pace of change parameters'!$E$31:$I$31,1,$B$5)=1,D14*(1+Q14),D14),L14)</f>
        <v>999187</v>
      </c>
      <c r="T14" s="103">
        <f>IF(Q14&lt;INDEX('Pace of change parameters'!$E$24:$I$24,1,$B$5),INDEX('Pace of change parameters'!$E$24:$I$24,1,$B$5),Q14)</f>
        <v>3.2992755077120454E-2</v>
      </c>
      <c r="U14" s="132">
        <v>3.0628284194158306E-2</v>
      </c>
      <c r="V14" s="117">
        <f t="shared" si="9"/>
        <v>999187</v>
      </c>
      <c r="W14" s="131">
        <f>IF(J14&gt;INDEX('Pace of change parameters'!$E$26:$I$26,1,$B$5),0,IF(J14&lt;INDEX('Pace of change parameters'!$E$25:$I$25,1,$B$5),1,(J14-INDEX('Pace of change parameters'!$E$26:$I$26,1,$B$5))/(INDEX('Pace of change parameters'!$E$25:$I$25,1,$B$5)-INDEX('Pace of change parameters'!$E$26:$I$26,1,$B$5))))</f>
        <v>1</v>
      </c>
      <c r="X14" s="132">
        <f>MIN(T14, T14+(INDEX('Pace of change parameters'!$E$27:$I$27,1,$B$5)-T14)*(1-W14))</f>
        <v>3.2992755077120454E-2</v>
      </c>
      <c r="Y14" s="132">
        <v>3.0628284194158306E-2</v>
      </c>
      <c r="Z14" s="108">
        <f t="shared" si="10"/>
        <v>999187</v>
      </c>
      <c r="AA14" s="97">
        <f>MIN(VLOOKUP(A14,'2019-20 disagg'!$A$12:$BB$220,54,FALSE),-2.5%)</f>
        <v>-2.5000000000000001E-2</v>
      </c>
      <c r="AB14" s="99">
        <f t="shared" si="2"/>
        <v>949066.39156384382</v>
      </c>
      <c r="AC14" s="99">
        <f>MAX(IF(INDEX('Pace of change parameters'!$E$29:$I$29,1,$B$5)=1,MAX(AB14,Z14),Z14),L14)</f>
        <v>999187</v>
      </c>
      <c r="AD14" s="97">
        <f t="shared" si="3"/>
        <v>3.7986952276079844E-2</v>
      </c>
      <c r="AE14" s="146">
        <v>3.5611049915207804E-2</v>
      </c>
      <c r="AF14" s="56">
        <f t="shared" si="11"/>
        <v>999187</v>
      </c>
      <c r="AG14" s="56">
        <v>1934.6675833070237</v>
      </c>
      <c r="AH14" s="16">
        <f t="shared" si="4"/>
        <v>3.7986952276079844E-2</v>
      </c>
      <c r="AI14" s="16">
        <f t="shared" si="5"/>
        <v>3.5611049915207804E-2</v>
      </c>
      <c r="AJ14" s="56"/>
      <c r="AK14" s="56">
        <v>973401.42724496801</v>
      </c>
      <c r="AL14" s="56">
        <v>1884.7404808465583</v>
      </c>
      <c r="AM14" s="16">
        <f t="shared" si="12"/>
        <v>2.649017356386385E-2</v>
      </c>
      <c r="AN14" s="58">
        <f t="shared" si="12"/>
        <v>2.649017356386385E-2</v>
      </c>
      <c r="AP14" s="56">
        <f t="shared" si="6"/>
        <v>1</v>
      </c>
      <c r="AQ14" s="56">
        <f t="shared" si="7"/>
        <v>0</v>
      </c>
    </row>
    <row r="15" spans="1:43" x14ac:dyDescent="0.2">
      <c r="A15" s="156" t="s">
        <v>75</v>
      </c>
      <c r="B15" s="156" t="s">
        <v>76</v>
      </c>
      <c r="D15" s="68">
        <f>VLOOKUP(A15,'2019-20 disagg'!A15:AZ223,43,FALSE)</f>
        <v>542643</v>
      </c>
      <c r="E15" s="73">
        <v>1806.4040910665951</v>
      </c>
      <c r="F15" s="55"/>
      <c r="G15" s="88">
        <v>545829.62876183074</v>
      </c>
      <c r="H15" s="81">
        <v>1808.2148137859499</v>
      </c>
      <c r="I15" s="90"/>
      <c r="J15" s="103">
        <f t="shared" si="8"/>
        <v>-5.8381381184076098E-3</v>
      </c>
      <c r="K15" s="126">
        <f t="shared" si="8"/>
        <v>-1.0013869511241724E-3</v>
      </c>
      <c r="L15" s="56">
        <v>563540</v>
      </c>
      <c r="M15" s="103">
        <v>2.9491275586982946E-2</v>
      </c>
      <c r="N15" s="97">
        <f>INDEX('Pace of change parameters'!$E$22:$I$22,1,$B$5)</f>
        <v>2.4506891160555818E-2</v>
      </c>
      <c r="O15" s="108">
        <f>MAX(IF(INDEX('Pace of change parameters'!$E$30:$I$30,1,$B$5)=1,(1+M15)*D15,D15),L15)</f>
        <v>563540</v>
      </c>
      <c r="P15" s="94">
        <f>IF(K15&lt;INDEX('Pace of change parameters'!$E$18:$I$18,1,$B$5),1,IF(K15&gt;INDEX('Pace of change parameters'!$E$19:$I$19,1,$B$5),0,(K15-INDEX('Pace of change parameters'!$E$19:$I$19,1,$B$5))/(INDEX('Pace of change parameters'!$E$18:$I$18,1,$B$5)-INDEX('Pace of change parameters'!$E$19:$I$19,1,$B$5))))</f>
        <v>0.24561859642584008</v>
      </c>
      <c r="Q15" s="57">
        <v>3.3463273213907963E-2</v>
      </c>
      <c r="R15" s="57">
        <v>2.8459657965828278E-2</v>
      </c>
      <c r="S15" s="9">
        <f>MAX(IF(INDEX('Pace of change parameters'!$E$31:$I$31,1,$B$5)=1,D15*(1+Q15),D15),L15)</f>
        <v>563540</v>
      </c>
      <c r="T15" s="103">
        <f>IF(Q15&lt;INDEX('Pace of change parameters'!$E$24:$I$24,1,$B$5),INDEX('Pace of change parameters'!$E$24:$I$24,1,$B$5),Q15)</f>
        <v>3.3463273213907963E-2</v>
      </c>
      <c r="U15" s="132">
        <v>2.8459657965828278E-2</v>
      </c>
      <c r="V15" s="117">
        <f t="shared" si="9"/>
        <v>563540</v>
      </c>
      <c r="W15" s="131">
        <f>IF(J15&gt;INDEX('Pace of change parameters'!$E$26:$I$26,1,$B$5),0,IF(J15&lt;INDEX('Pace of change parameters'!$E$25:$I$25,1,$B$5),1,(J15-INDEX('Pace of change parameters'!$E$26:$I$26,1,$B$5))/(INDEX('Pace of change parameters'!$E$25:$I$25,1,$B$5)-INDEX('Pace of change parameters'!$E$26:$I$26,1,$B$5))))</f>
        <v>1</v>
      </c>
      <c r="X15" s="132">
        <f>MIN(T15, T15+(INDEX('Pace of change parameters'!$E$27:$I$27,1,$B$5)-T15)*(1-W15))</f>
        <v>3.3463273213907963E-2</v>
      </c>
      <c r="Y15" s="132">
        <v>2.8459657965828278E-2</v>
      </c>
      <c r="Z15" s="108">
        <f t="shared" si="10"/>
        <v>563540</v>
      </c>
      <c r="AA15" s="97">
        <f>MIN(VLOOKUP(A15,'2019-20 disagg'!$A$12:$BB$220,54,FALSE),-2.5%)</f>
        <v>-2.5000000000000001E-2</v>
      </c>
      <c r="AB15" s="99">
        <f t="shared" si="2"/>
        <v>553736.24883944681</v>
      </c>
      <c r="AC15" s="99">
        <f>MAX(IF(INDEX('Pace of change parameters'!$E$29:$I$29,1,$B$5)=1,MAX(AB15,Z15),Z15),L15)</f>
        <v>563540</v>
      </c>
      <c r="AD15" s="97">
        <f t="shared" si="3"/>
        <v>3.8509664733535676E-2</v>
      </c>
      <c r="AE15" s="146">
        <v>3.348161687888962E-2</v>
      </c>
      <c r="AF15" s="56">
        <f t="shared" si="11"/>
        <v>563540</v>
      </c>
      <c r="AG15" s="56">
        <v>1866.8854207721456</v>
      </c>
      <c r="AH15" s="16">
        <f t="shared" si="4"/>
        <v>3.8509664733535676E-2</v>
      </c>
      <c r="AI15" s="16">
        <f t="shared" si="5"/>
        <v>3.348161687888962E-2</v>
      </c>
      <c r="AJ15" s="56"/>
      <c r="AK15" s="56">
        <v>567934.61419430445</v>
      </c>
      <c r="AL15" s="56">
        <v>1881.4438215409734</v>
      </c>
      <c r="AM15" s="16">
        <f t="shared" si="12"/>
        <v>-7.7378875745033326E-3</v>
      </c>
      <c r="AN15" s="58">
        <f t="shared" si="12"/>
        <v>-7.7378875745032216E-3</v>
      </c>
      <c r="AP15" s="56">
        <f t="shared" si="6"/>
        <v>1</v>
      </c>
      <c r="AQ15" s="56">
        <f t="shared" si="7"/>
        <v>0</v>
      </c>
    </row>
    <row r="16" spans="1:43" x14ac:dyDescent="0.2">
      <c r="A16" s="156" t="s">
        <v>77</v>
      </c>
      <c r="B16" s="156" t="s">
        <v>78</v>
      </c>
      <c r="D16" s="68">
        <f>VLOOKUP(A16,'2019-20 disagg'!A16:AZ224,43,FALSE)</f>
        <v>457723</v>
      </c>
      <c r="E16" s="73">
        <v>1794.5179279579982</v>
      </c>
      <c r="F16" s="55"/>
      <c r="G16" s="88">
        <v>438253.72328752268</v>
      </c>
      <c r="H16" s="81">
        <v>1712.8079222647104</v>
      </c>
      <c r="I16" s="90"/>
      <c r="J16" s="103">
        <f t="shared" si="8"/>
        <v>4.4424669267907779E-2</v>
      </c>
      <c r="K16" s="126">
        <f t="shared" si="8"/>
        <v>4.7705294114502417E-2</v>
      </c>
      <c r="L16" s="56">
        <v>474278</v>
      </c>
      <c r="M16" s="103">
        <v>2.7724952607729891E-2</v>
      </c>
      <c r="N16" s="97">
        <f>INDEX('Pace of change parameters'!$E$22:$I$22,1,$B$5)</f>
        <v>2.4506891160555818E-2</v>
      </c>
      <c r="O16" s="108">
        <f>MAX(IF(INDEX('Pace of change parameters'!$E$30:$I$30,1,$B$5)=1,(1+M16)*D16,D16),L16)</f>
        <v>474278</v>
      </c>
      <c r="P16" s="94">
        <f>IF(K16&lt;INDEX('Pace of change parameters'!$E$18:$I$18,1,$B$5),1,IF(K16&gt;INDEX('Pace of change parameters'!$E$19:$I$19,1,$B$5),0,(K16-INDEX('Pace of change parameters'!$E$19:$I$19,1,$B$5))/(INDEX('Pace of change parameters'!$E$18:$I$18,1,$B$5)-INDEX('Pace of change parameters'!$E$19:$I$19,1,$B$5))))</f>
        <v>0</v>
      </c>
      <c r="Q16" s="57">
        <v>2.7724952607729891E-2</v>
      </c>
      <c r="R16" s="57">
        <v>2.450689116055571E-2</v>
      </c>
      <c r="S16" s="9">
        <f>MAX(IF(INDEX('Pace of change parameters'!$E$31:$I$31,1,$B$5)=1,D16*(1+Q16),D16),L16)</f>
        <v>474278</v>
      </c>
      <c r="T16" s="103">
        <f>IF(Q16&lt;INDEX('Pace of change parameters'!$E$24:$I$24,1,$B$5),INDEX('Pace of change parameters'!$E$24:$I$24,1,$B$5),Q16)</f>
        <v>3.2992755077120454E-2</v>
      </c>
      <c r="U16" s="132">
        <v>2.9758198835307725E-2</v>
      </c>
      <c r="V16" s="117">
        <f t="shared" si="9"/>
        <v>474278</v>
      </c>
      <c r="W16" s="131">
        <f>IF(J16&gt;INDEX('Pace of change parameters'!$E$26:$I$26,1,$B$5),0,IF(J16&lt;INDEX('Pace of change parameters'!$E$25:$I$25,1,$B$5),1,(J16-INDEX('Pace of change parameters'!$E$26:$I$26,1,$B$5))/(INDEX('Pace of change parameters'!$E$25:$I$25,1,$B$5)-INDEX('Pace of change parameters'!$E$26:$I$26,1,$B$5))))</f>
        <v>1</v>
      </c>
      <c r="X16" s="132">
        <f>MIN(T16, T16+(INDEX('Pace of change parameters'!$E$27:$I$27,1,$B$5)-T16)*(1-W16))</f>
        <v>3.2992755077120454E-2</v>
      </c>
      <c r="Y16" s="132">
        <v>2.9758198835307725E-2</v>
      </c>
      <c r="Z16" s="108">
        <f t="shared" si="10"/>
        <v>474278</v>
      </c>
      <c r="AA16" s="97">
        <f>MIN(VLOOKUP(A16,'2019-20 disagg'!$A$12:$BB$220,54,FALSE),-2.5%)</f>
        <v>-2.5000000000000001E-2</v>
      </c>
      <c r="AB16" s="99">
        <f t="shared" si="2"/>
        <v>444602.84920471063</v>
      </c>
      <c r="AC16" s="99">
        <f>MAX(IF(INDEX('Pace of change parameters'!$E$29:$I$29,1,$B$5)=1,MAX(AB16,Z16),Z16),L16)</f>
        <v>474278</v>
      </c>
      <c r="AD16" s="97">
        <f t="shared" si="3"/>
        <v>3.6168162840844786E-2</v>
      </c>
      <c r="AE16" s="146">
        <v>3.2923663610611387E-2</v>
      </c>
      <c r="AF16" s="56">
        <f t="shared" si="11"/>
        <v>474278</v>
      </c>
      <c r="AG16" s="56">
        <v>1853.6000325612986</v>
      </c>
      <c r="AH16" s="16">
        <f t="shared" si="4"/>
        <v>3.6168162840844786E-2</v>
      </c>
      <c r="AI16" s="16">
        <f t="shared" si="5"/>
        <v>3.2923663610611387E-2</v>
      </c>
      <c r="AJ16" s="56"/>
      <c r="AK16" s="56">
        <v>456002.92226124171</v>
      </c>
      <c r="AL16" s="56">
        <v>1782.1763428864188</v>
      </c>
      <c r="AM16" s="16">
        <f t="shared" si="12"/>
        <v>4.0076668035667895E-2</v>
      </c>
      <c r="AN16" s="58">
        <f t="shared" si="12"/>
        <v>4.0076668035667895E-2</v>
      </c>
      <c r="AP16" s="56">
        <f t="shared" si="6"/>
        <v>1</v>
      </c>
      <c r="AQ16" s="56">
        <f t="shared" si="7"/>
        <v>0</v>
      </c>
    </row>
    <row r="17" spans="1:43" x14ac:dyDescent="0.2">
      <c r="A17" s="156" t="s">
        <v>79</v>
      </c>
      <c r="B17" s="156" t="s">
        <v>80</v>
      </c>
      <c r="D17" s="68">
        <f>VLOOKUP(A17,'2019-20 disagg'!A17:AZ225,43,FALSE)</f>
        <v>418926</v>
      </c>
      <c r="E17" s="73">
        <v>1887.260874084908</v>
      </c>
      <c r="F17" s="55"/>
      <c r="G17" s="88">
        <v>408172.00646854559</v>
      </c>
      <c r="H17" s="81">
        <v>1828.2233575648327</v>
      </c>
      <c r="I17" s="90"/>
      <c r="J17" s="103">
        <f t="shared" si="8"/>
        <v>2.6346719914716044E-2</v>
      </c>
      <c r="K17" s="126">
        <f t="shared" si="8"/>
        <v>3.229228872708001E-2</v>
      </c>
      <c r="L17" s="56">
        <v>435161</v>
      </c>
      <c r="M17" s="103">
        <v>3.0441801948444702E-2</v>
      </c>
      <c r="N17" s="97">
        <f>INDEX('Pace of change parameters'!$E$22:$I$22,1,$B$5)</f>
        <v>2.4506891160555818E-2</v>
      </c>
      <c r="O17" s="108">
        <f>MAX(IF(INDEX('Pace of change parameters'!$E$30:$I$30,1,$B$5)=1,(1+M17)*D17,D17),L17)</f>
        <v>435161</v>
      </c>
      <c r="P17" s="94">
        <f>IF(K17&lt;INDEX('Pace of change parameters'!$E$18:$I$18,1,$B$5),1,IF(K17&gt;INDEX('Pace of change parameters'!$E$19:$I$19,1,$B$5),0,(K17-INDEX('Pace of change parameters'!$E$19:$I$19,1,$B$5))/(INDEX('Pace of change parameters'!$E$18:$I$18,1,$B$5)-INDEX('Pace of change parameters'!$E$19:$I$19,1,$B$5))))</f>
        <v>0</v>
      </c>
      <c r="Q17" s="57">
        <v>3.0441801948444702E-2</v>
      </c>
      <c r="R17" s="57">
        <v>2.450689116055571E-2</v>
      </c>
      <c r="S17" s="9">
        <f>MAX(IF(INDEX('Pace of change parameters'!$E$31:$I$31,1,$B$5)=1,D17*(1+Q17),D17),L17)</f>
        <v>435161</v>
      </c>
      <c r="T17" s="103">
        <f>IF(Q17&lt;INDEX('Pace of change parameters'!$E$24:$I$24,1,$B$5),INDEX('Pace of change parameters'!$E$24:$I$24,1,$B$5),Q17)</f>
        <v>3.2992755077120454E-2</v>
      </c>
      <c r="U17" s="132">
        <v>2.7043151873595628E-2</v>
      </c>
      <c r="V17" s="117">
        <f t="shared" si="9"/>
        <v>435161</v>
      </c>
      <c r="W17" s="131">
        <f>IF(J17&gt;INDEX('Pace of change parameters'!$E$26:$I$26,1,$B$5),0,IF(J17&lt;INDEX('Pace of change parameters'!$E$25:$I$25,1,$B$5),1,(J17-INDEX('Pace of change parameters'!$E$26:$I$26,1,$B$5))/(INDEX('Pace of change parameters'!$E$25:$I$25,1,$B$5)-INDEX('Pace of change parameters'!$E$26:$I$26,1,$B$5))))</f>
        <v>1</v>
      </c>
      <c r="X17" s="132">
        <f>MIN(T17, T17+(INDEX('Pace of change parameters'!$E$27:$I$27,1,$B$5)-T17)*(1-W17))</f>
        <v>3.2992755077120454E-2</v>
      </c>
      <c r="Y17" s="132">
        <v>2.7043151873595628E-2</v>
      </c>
      <c r="Z17" s="108">
        <f t="shared" si="10"/>
        <v>435161</v>
      </c>
      <c r="AA17" s="97">
        <f>MIN(VLOOKUP(A17,'2019-20 disagg'!$A$12:$BB$220,54,FALSE),-2.5%)</f>
        <v>-2.5000000000000001E-2</v>
      </c>
      <c r="AB17" s="99">
        <f t="shared" si="2"/>
        <v>414148.22679434338</v>
      </c>
      <c r="AC17" s="99">
        <f>MAX(IF(INDEX('Pace of change parameters'!$E$29:$I$29,1,$B$5)=1,MAX(AB17,Z17),Z17),L17)</f>
        <v>435161</v>
      </c>
      <c r="AD17" s="97">
        <f t="shared" si="3"/>
        <v>3.875386106376788E-2</v>
      </c>
      <c r="AE17" s="146">
        <v>3.2771076316165715E-2</v>
      </c>
      <c r="AF17" s="56">
        <f t="shared" si="11"/>
        <v>435161</v>
      </c>
      <c r="AG17" s="56">
        <v>1949.1084442180581</v>
      </c>
      <c r="AH17" s="16">
        <f t="shared" si="4"/>
        <v>3.875386106376788E-2</v>
      </c>
      <c r="AI17" s="16">
        <f t="shared" si="5"/>
        <v>3.2771076316165715E-2</v>
      </c>
      <c r="AJ17" s="56"/>
      <c r="AK17" s="56">
        <v>424767.41209676245</v>
      </c>
      <c r="AL17" s="56">
        <v>1902.5550307735559</v>
      </c>
      <c r="AM17" s="16">
        <f t="shared" si="12"/>
        <v>2.4468891932957204E-2</v>
      </c>
      <c r="AN17" s="58">
        <f t="shared" si="12"/>
        <v>2.4468891932957204E-2</v>
      </c>
      <c r="AP17" s="56">
        <f t="shared" si="6"/>
        <v>1</v>
      </c>
      <c r="AQ17" s="56">
        <f t="shared" si="7"/>
        <v>0</v>
      </c>
    </row>
    <row r="18" spans="1:43" x14ac:dyDescent="0.2">
      <c r="A18" s="156" t="s">
        <v>81</v>
      </c>
      <c r="B18" s="156" t="s">
        <v>82</v>
      </c>
      <c r="D18" s="68">
        <f>VLOOKUP(A18,'2019-20 disagg'!A18:AZ226,43,FALSE)</f>
        <v>613106</v>
      </c>
      <c r="E18" s="73">
        <v>1887.2727855911019</v>
      </c>
      <c r="F18" s="55"/>
      <c r="G18" s="88">
        <v>590523.64614452212</v>
      </c>
      <c r="H18" s="81">
        <v>1814.2997212493185</v>
      </c>
      <c r="I18" s="90"/>
      <c r="J18" s="103">
        <f t="shared" si="8"/>
        <v>3.8241235559178799E-2</v>
      </c>
      <c r="K18" s="126">
        <f t="shared" si="8"/>
        <v>4.0221063525013534E-2</v>
      </c>
      <c r="L18" s="56">
        <v>636314</v>
      </c>
      <c r="M18" s="103">
        <v>2.6460529028943469E-2</v>
      </c>
      <c r="N18" s="97">
        <f>INDEX('Pace of change parameters'!$E$22:$I$22,1,$B$5)</f>
        <v>2.4506891160555818E-2</v>
      </c>
      <c r="O18" s="108">
        <f>MAX(IF(INDEX('Pace of change parameters'!$E$30:$I$30,1,$B$5)=1,(1+M18)*D18,D18),L18)</f>
        <v>636314</v>
      </c>
      <c r="P18" s="94">
        <f>IF(K18&lt;INDEX('Pace of change parameters'!$E$18:$I$18,1,$B$5),1,IF(K18&gt;INDEX('Pace of change parameters'!$E$19:$I$19,1,$B$5),0,(K18-INDEX('Pace of change parameters'!$E$19:$I$19,1,$B$5))/(INDEX('Pace of change parameters'!$E$18:$I$18,1,$B$5)-INDEX('Pace of change parameters'!$E$19:$I$19,1,$B$5))))</f>
        <v>0</v>
      </c>
      <c r="Q18" s="57">
        <v>2.6460529028943469E-2</v>
      </c>
      <c r="R18" s="57">
        <v>2.450689116055571E-2</v>
      </c>
      <c r="S18" s="9">
        <f>MAX(IF(INDEX('Pace of change parameters'!$E$31:$I$31,1,$B$5)=1,D18*(1+Q18),D18),L18)</f>
        <v>636314</v>
      </c>
      <c r="T18" s="103">
        <f>IF(Q18&lt;INDEX('Pace of change parameters'!$E$24:$I$24,1,$B$5),INDEX('Pace of change parameters'!$E$24:$I$24,1,$B$5),Q18)</f>
        <v>3.2992755077120454E-2</v>
      </c>
      <c r="U18" s="132">
        <v>3.1026684578532526E-2</v>
      </c>
      <c r="V18" s="117">
        <f t="shared" si="9"/>
        <v>636314</v>
      </c>
      <c r="W18" s="131">
        <f>IF(J18&gt;INDEX('Pace of change parameters'!$E$26:$I$26,1,$B$5),0,IF(J18&lt;INDEX('Pace of change parameters'!$E$25:$I$25,1,$B$5),1,(J18-INDEX('Pace of change parameters'!$E$26:$I$26,1,$B$5))/(INDEX('Pace of change parameters'!$E$25:$I$25,1,$B$5)-INDEX('Pace of change parameters'!$E$26:$I$26,1,$B$5))))</f>
        <v>1</v>
      </c>
      <c r="X18" s="132">
        <f>MIN(T18, T18+(INDEX('Pace of change parameters'!$E$27:$I$27,1,$B$5)-T18)*(1-W18))</f>
        <v>3.2992755077120454E-2</v>
      </c>
      <c r="Y18" s="132">
        <v>3.1026684578532526E-2</v>
      </c>
      <c r="Z18" s="108">
        <f t="shared" si="10"/>
        <v>636314</v>
      </c>
      <c r="AA18" s="97">
        <f>MIN(VLOOKUP(A18,'2019-20 disagg'!$A$12:$BB$220,54,FALSE),-2.5%)</f>
        <v>-2.5000000000000001E-2</v>
      </c>
      <c r="AB18" s="99">
        <f t="shared" si="2"/>
        <v>599145.91848642204</v>
      </c>
      <c r="AC18" s="99">
        <f>MAX(IF(INDEX('Pace of change parameters'!$E$29:$I$29,1,$B$5)=1,MAX(AB18,Z18),Z18),L18)</f>
        <v>636314</v>
      </c>
      <c r="AD18" s="97">
        <f t="shared" si="3"/>
        <v>3.7853160791119222E-2</v>
      </c>
      <c r="AE18" s="146">
        <v>3.587783959814006E-2</v>
      </c>
      <c r="AF18" s="56">
        <f t="shared" si="11"/>
        <v>636314</v>
      </c>
      <c r="AG18" s="56">
        <v>1954.984055870475</v>
      </c>
      <c r="AH18" s="16">
        <f t="shared" si="4"/>
        <v>3.7853160791119222E-2</v>
      </c>
      <c r="AI18" s="16">
        <f t="shared" si="5"/>
        <v>3.5877839598140282E-2</v>
      </c>
      <c r="AJ18" s="56"/>
      <c r="AK18" s="56">
        <v>614508.63434504822</v>
      </c>
      <c r="AL18" s="56">
        <v>1887.9901783385387</v>
      </c>
      <c r="AM18" s="16">
        <f t="shared" si="12"/>
        <v>3.5484229897261299E-2</v>
      </c>
      <c r="AN18" s="58">
        <f t="shared" si="12"/>
        <v>3.5484229897261521E-2</v>
      </c>
      <c r="AP18" s="56">
        <f t="shared" si="6"/>
        <v>1</v>
      </c>
      <c r="AQ18" s="56">
        <f t="shared" si="7"/>
        <v>0</v>
      </c>
    </row>
    <row r="19" spans="1:43" x14ac:dyDescent="0.2">
      <c r="A19" s="156" t="s">
        <v>83</v>
      </c>
      <c r="B19" s="156" t="s">
        <v>84</v>
      </c>
      <c r="D19" s="68">
        <f>VLOOKUP(A19,'2019-20 disagg'!A19:AZ227,43,FALSE)</f>
        <v>582593</v>
      </c>
      <c r="E19" s="73">
        <v>1972.1668904586768</v>
      </c>
      <c r="F19" s="55"/>
      <c r="G19" s="88">
        <v>569204.91657893872</v>
      </c>
      <c r="H19" s="81">
        <v>1923.8462754377329</v>
      </c>
      <c r="I19" s="90"/>
      <c r="J19" s="103">
        <f t="shared" si="8"/>
        <v>2.3520674244219331E-2</v>
      </c>
      <c r="K19" s="126">
        <f t="shared" si="8"/>
        <v>2.5116671554201719E-2</v>
      </c>
      <c r="L19" s="56">
        <v>604689</v>
      </c>
      <c r="M19" s="103">
        <v>2.6104426299313976E-2</v>
      </c>
      <c r="N19" s="97">
        <f>INDEX('Pace of change parameters'!$E$22:$I$22,1,$B$5)</f>
        <v>2.4506891160555818E-2</v>
      </c>
      <c r="O19" s="108">
        <f>MAX(IF(INDEX('Pace of change parameters'!$E$30:$I$30,1,$B$5)=1,(1+M19)*D19,D19),L19)</f>
        <v>604689</v>
      </c>
      <c r="P19" s="94">
        <f>IF(K19&lt;INDEX('Pace of change parameters'!$E$18:$I$18,1,$B$5),1,IF(K19&gt;INDEX('Pace of change parameters'!$E$19:$I$19,1,$B$5),0,(K19-INDEX('Pace of change parameters'!$E$19:$I$19,1,$B$5))/(INDEX('Pace of change parameters'!$E$18:$I$18,1,$B$5)-INDEX('Pace of change parameters'!$E$19:$I$19,1,$B$5))))</f>
        <v>0</v>
      </c>
      <c r="Q19" s="57">
        <v>2.6104426299313976E-2</v>
      </c>
      <c r="R19" s="57">
        <v>2.450689116055571E-2</v>
      </c>
      <c r="S19" s="9">
        <f>MAX(IF(INDEX('Pace of change parameters'!$E$31:$I$31,1,$B$5)=1,D19*(1+Q19),D19),L19)</f>
        <v>604689</v>
      </c>
      <c r="T19" s="103">
        <f>IF(Q19&lt;INDEX('Pace of change parameters'!$E$24:$I$24,1,$B$5),INDEX('Pace of change parameters'!$E$24:$I$24,1,$B$5),Q19)</f>
        <v>3.2992755077120454E-2</v>
      </c>
      <c r="U19" s="132">
        <v>3.1384495545222713E-2</v>
      </c>
      <c r="V19" s="117">
        <f t="shared" si="9"/>
        <v>604689</v>
      </c>
      <c r="W19" s="131">
        <f>IF(J19&gt;INDEX('Pace of change parameters'!$E$26:$I$26,1,$B$5),0,IF(J19&lt;INDEX('Pace of change parameters'!$E$25:$I$25,1,$B$5),1,(J19-INDEX('Pace of change parameters'!$E$26:$I$26,1,$B$5))/(INDEX('Pace of change parameters'!$E$25:$I$25,1,$B$5)-INDEX('Pace of change parameters'!$E$26:$I$26,1,$B$5))))</f>
        <v>1</v>
      </c>
      <c r="X19" s="132">
        <f>MIN(T19, T19+(INDEX('Pace of change parameters'!$E$27:$I$27,1,$B$5)-T19)*(1-W19))</f>
        <v>3.2992755077120454E-2</v>
      </c>
      <c r="Y19" s="132">
        <v>3.1384495545222713E-2</v>
      </c>
      <c r="Z19" s="108">
        <f t="shared" si="10"/>
        <v>604689</v>
      </c>
      <c r="AA19" s="97">
        <f>MIN(VLOOKUP(A19,'2019-20 disagg'!$A$12:$BB$220,54,FALSE),-2.5%)</f>
        <v>-2.5000000000000001E-2</v>
      </c>
      <c r="AB19" s="99">
        <f t="shared" si="2"/>
        <v>577578.42820286797</v>
      </c>
      <c r="AC19" s="99">
        <f>MAX(IF(INDEX('Pace of change parameters'!$E$29:$I$29,1,$B$5)=1,MAX(AB19,Z19),Z19),L19)</f>
        <v>604689</v>
      </c>
      <c r="AD19" s="97">
        <f t="shared" si="3"/>
        <v>3.7926991913737274E-2</v>
      </c>
      <c r="AE19" s="146">
        <v>3.6311050301412351E-2</v>
      </c>
      <c r="AF19" s="56">
        <f t="shared" si="11"/>
        <v>604689</v>
      </c>
      <c r="AG19" s="56">
        <v>2043.778341620902</v>
      </c>
      <c r="AH19" s="16">
        <f t="shared" si="4"/>
        <v>3.7926991913737274E-2</v>
      </c>
      <c r="AI19" s="16">
        <f t="shared" si="5"/>
        <v>3.6311050301412351E-2</v>
      </c>
      <c r="AJ19" s="56"/>
      <c r="AK19" s="56">
        <v>592388.13149012101</v>
      </c>
      <c r="AL19" s="56">
        <v>2002.2028397619013</v>
      </c>
      <c r="AM19" s="16">
        <f t="shared" si="12"/>
        <v>2.076488007775712E-2</v>
      </c>
      <c r="AN19" s="58">
        <f t="shared" si="12"/>
        <v>2.076488007775712E-2</v>
      </c>
      <c r="AP19" s="56">
        <f t="shared" si="6"/>
        <v>1</v>
      </c>
      <c r="AQ19" s="56">
        <f t="shared" si="7"/>
        <v>0</v>
      </c>
    </row>
    <row r="20" spans="1:43" x14ac:dyDescent="0.2">
      <c r="A20" s="156" t="s">
        <v>85</v>
      </c>
      <c r="B20" s="156" t="s">
        <v>86</v>
      </c>
      <c r="D20" s="68">
        <f>VLOOKUP(A20,'2019-20 disagg'!A20:AZ228,43,FALSE)</f>
        <v>317570</v>
      </c>
      <c r="E20" s="73">
        <v>2023.5697836863676</v>
      </c>
      <c r="F20" s="55"/>
      <c r="G20" s="88">
        <v>302975.38472581236</v>
      </c>
      <c r="H20" s="81">
        <v>1925.1852525423799</v>
      </c>
      <c r="I20" s="90"/>
      <c r="J20" s="103">
        <f t="shared" si="8"/>
        <v>4.8170960447481592E-2</v>
      </c>
      <c r="K20" s="126">
        <f t="shared" si="8"/>
        <v>5.1103929356441036E-2</v>
      </c>
      <c r="L20" s="56">
        <v>327645</v>
      </c>
      <c r="M20" s="103">
        <v>2.7373643791735125E-2</v>
      </c>
      <c r="N20" s="97">
        <f>INDEX('Pace of change parameters'!$E$22:$I$22,1,$B$5)</f>
        <v>2.4506891160555818E-2</v>
      </c>
      <c r="O20" s="108">
        <f>MAX(IF(INDEX('Pace of change parameters'!$E$30:$I$30,1,$B$5)=1,(1+M20)*D20,D20),L20)</f>
        <v>327645</v>
      </c>
      <c r="P20" s="94">
        <f>IF(K20&lt;INDEX('Pace of change parameters'!$E$18:$I$18,1,$B$5),1,IF(K20&gt;INDEX('Pace of change parameters'!$E$19:$I$19,1,$B$5),0,(K20-INDEX('Pace of change parameters'!$E$19:$I$19,1,$B$5))/(INDEX('Pace of change parameters'!$E$18:$I$18,1,$B$5)-INDEX('Pace of change parameters'!$E$19:$I$19,1,$B$5))))</f>
        <v>0</v>
      </c>
      <c r="Q20" s="57">
        <v>2.7373643791735125E-2</v>
      </c>
      <c r="R20" s="57">
        <v>2.450689116055571E-2</v>
      </c>
      <c r="S20" s="9">
        <f>MAX(IF(INDEX('Pace of change parameters'!$E$31:$I$31,1,$B$5)=1,D20*(1+Q20),D20),L20)</f>
        <v>327645</v>
      </c>
      <c r="T20" s="103">
        <f>IF(Q20&lt;INDEX('Pace of change parameters'!$E$24:$I$24,1,$B$5),INDEX('Pace of change parameters'!$E$24:$I$24,1,$B$5),Q20)</f>
        <v>3.2992755077120454E-2</v>
      </c>
      <c r="U20" s="132">
        <v>3.0110323046182774E-2</v>
      </c>
      <c r="V20" s="117">
        <f t="shared" si="9"/>
        <v>328047.50922984118</v>
      </c>
      <c r="W20" s="131">
        <f>IF(J20&gt;INDEX('Pace of change parameters'!$E$26:$I$26,1,$B$5),0,IF(J20&lt;INDEX('Pace of change parameters'!$E$25:$I$25,1,$B$5),1,(J20-INDEX('Pace of change parameters'!$E$26:$I$26,1,$B$5))/(INDEX('Pace of change parameters'!$E$25:$I$25,1,$B$5)-INDEX('Pace of change parameters'!$E$26:$I$26,1,$B$5))))</f>
        <v>1</v>
      </c>
      <c r="X20" s="132">
        <f>MIN(T20, T20+(INDEX('Pace of change parameters'!$E$27:$I$27,1,$B$5)-T20)*(1-W20))</f>
        <v>3.2992755077120454E-2</v>
      </c>
      <c r="Y20" s="132">
        <v>3.0110323046182774E-2</v>
      </c>
      <c r="Z20" s="108">
        <f t="shared" si="10"/>
        <v>328047.50922984118</v>
      </c>
      <c r="AA20" s="97">
        <f>MIN(VLOOKUP(A20,'2019-20 disagg'!$A$12:$BB$220,54,FALSE),-2.5%)</f>
        <v>-2.5000000000000001E-2</v>
      </c>
      <c r="AB20" s="99">
        <f t="shared" si="2"/>
        <v>307357.02685510548</v>
      </c>
      <c r="AC20" s="99">
        <f>MAX(IF(INDEX('Pace of change parameters'!$E$29:$I$29,1,$B$5)=1,MAX(AB20,Z20),Z20),L20)</f>
        <v>328047.50922984118</v>
      </c>
      <c r="AD20" s="97">
        <f t="shared" si="3"/>
        <v>3.2992755077120517E-2</v>
      </c>
      <c r="AE20" s="146">
        <v>3.0110323046182774E-2</v>
      </c>
      <c r="AF20" s="56">
        <f t="shared" si="11"/>
        <v>328047.50922984118</v>
      </c>
      <c r="AG20" s="56">
        <v>2084.5001235796585</v>
      </c>
      <c r="AH20" s="16">
        <f t="shared" si="4"/>
        <v>3.2992755077120517E-2</v>
      </c>
      <c r="AI20" s="16">
        <f t="shared" si="5"/>
        <v>3.0110323046182774E-2</v>
      </c>
      <c r="AJ20" s="56"/>
      <c r="AK20" s="56">
        <v>315237.97626164666</v>
      </c>
      <c r="AL20" s="56">
        <v>2003.1049832297551</v>
      </c>
      <c r="AM20" s="16">
        <f t="shared" si="12"/>
        <v>4.0634485476973792E-2</v>
      </c>
      <c r="AN20" s="58">
        <f t="shared" si="12"/>
        <v>4.0634485476973792E-2</v>
      </c>
      <c r="AP20" s="56">
        <f t="shared" si="6"/>
        <v>0</v>
      </c>
      <c r="AQ20" s="56">
        <f t="shared" si="7"/>
        <v>0</v>
      </c>
    </row>
    <row r="21" spans="1:43" x14ac:dyDescent="0.2">
      <c r="A21" s="156" t="s">
        <v>87</v>
      </c>
      <c r="B21" s="156" t="s">
        <v>88</v>
      </c>
      <c r="D21" s="68">
        <f>VLOOKUP(A21,'2019-20 disagg'!A21:AZ229,43,FALSE)</f>
        <v>555857</v>
      </c>
      <c r="E21" s="73">
        <v>1949.1233635426056</v>
      </c>
      <c r="F21" s="55"/>
      <c r="G21" s="88">
        <v>511457.00239855237</v>
      </c>
      <c r="H21" s="81">
        <v>1791.7811590027286</v>
      </c>
      <c r="I21" s="90"/>
      <c r="J21" s="103">
        <f t="shared" si="8"/>
        <v>8.6810811843864411E-2</v>
      </c>
      <c r="K21" s="126">
        <f t="shared" si="8"/>
        <v>8.7813293352995592E-2</v>
      </c>
      <c r="L21" s="56">
        <v>566786</v>
      </c>
      <c r="M21" s="103">
        <v>2.5451903119558361E-2</v>
      </c>
      <c r="N21" s="97">
        <f>INDEX('Pace of change parameters'!$E$22:$I$22,1,$B$5)</f>
        <v>2.4506891160555818E-2</v>
      </c>
      <c r="O21" s="108">
        <f>MAX(IF(INDEX('Pace of change parameters'!$E$30:$I$30,1,$B$5)=1,(1+M21)*D21,D21),L21)</f>
        <v>570004.61851232836</v>
      </c>
      <c r="P21" s="94">
        <f>IF(K21&lt;INDEX('Pace of change parameters'!$E$18:$I$18,1,$B$5),1,IF(K21&gt;INDEX('Pace of change parameters'!$E$19:$I$19,1,$B$5),0,(K21-INDEX('Pace of change parameters'!$E$19:$I$19,1,$B$5))/(INDEX('Pace of change parameters'!$E$18:$I$18,1,$B$5)-INDEX('Pace of change parameters'!$E$19:$I$19,1,$B$5))))</f>
        <v>0</v>
      </c>
      <c r="Q21" s="57">
        <v>2.5451903119558361E-2</v>
      </c>
      <c r="R21" s="57">
        <v>2.450689116055571E-2</v>
      </c>
      <c r="S21" s="9">
        <f>MAX(IF(INDEX('Pace of change parameters'!$E$31:$I$31,1,$B$5)=1,D21*(1+Q21),D21),L21)</f>
        <v>570004.61851232836</v>
      </c>
      <c r="T21" s="103">
        <f>IF(Q21&lt;INDEX('Pace of change parameters'!$E$24:$I$24,1,$B$5),INDEX('Pace of change parameters'!$E$24:$I$24,1,$B$5),Q21)</f>
        <v>3.2992755077120454E-2</v>
      </c>
      <c r="U21" s="132">
        <v>3.2040793796302536E-2</v>
      </c>
      <c r="V21" s="117">
        <f t="shared" si="9"/>
        <v>574196.25385890296</v>
      </c>
      <c r="W21" s="131">
        <f>IF(J21&gt;INDEX('Pace of change parameters'!$E$26:$I$26,1,$B$5),0,IF(J21&lt;INDEX('Pace of change parameters'!$E$25:$I$25,1,$B$5),1,(J21-INDEX('Pace of change parameters'!$E$26:$I$26,1,$B$5))/(INDEX('Pace of change parameters'!$E$25:$I$25,1,$B$5)-INDEX('Pace of change parameters'!$E$26:$I$26,1,$B$5))))</f>
        <v>0.2637837631227119</v>
      </c>
      <c r="X21" s="132">
        <f>MIN(T21, T21+(INDEX('Pace of change parameters'!$E$27:$I$27,1,$B$5)-T21)*(1-W21))</f>
        <v>1.6795997865820117E-2</v>
      </c>
      <c r="Y21" s="132">
        <v>1.5858962813346089E-2</v>
      </c>
      <c r="Z21" s="108">
        <f t="shared" si="10"/>
        <v>566786</v>
      </c>
      <c r="AA21" s="97">
        <f>MIN(VLOOKUP(A21,'2019-20 disagg'!$A$12:$BB$220,54,FALSE),-2.5%)</f>
        <v>-2.5000000000000001E-2</v>
      </c>
      <c r="AB21" s="99">
        <f t="shared" si="2"/>
        <v>518844.92445822037</v>
      </c>
      <c r="AC21" s="99">
        <f>MAX(IF(INDEX('Pace of change parameters'!$E$29:$I$29,1,$B$5)=1,MAX(AB21,Z21),Z21),L21)</f>
        <v>566786</v>
      </c>
      <c r="AD21" s="97">
        <f t="shared" si="3"/>
        <v>1.9661531652925168E-2</v>
      </c>
      <c r="AE21" s="146">
        <v>1.8721855848905955E-2</v>
      </c>
      <c r="AF21" s="56">
        <f t="shared" si="11"/>
        <v>566786</v>
      </c>
      <c r="AG21" s="56">
        <v>1985.6145701865846</v>
      </c>
      <c r="AH21" s="16">
        <f t="shared" si="4"/>
        <v>1.9661531652925168E-2</v>
      </c>
      <c r="AI21" s="16">
        <f t="shared" si="5"/>
        <v>1.8721855848905733E-2</v>
      </c>
      <c r="AJ21" s="56"/>
      <c r="AK21" s="56">
        <v>532148.6404699696</v>
      </c>
      <c r="AL21" s="56">
        <v>1864.2699255488915</v>
      </c>
      <c r="AM21" s="16">
        <f t="shared" si="12"/>
        <v>6.5089632662483687E-2</v>
      </c>
      <c r="AN21" s="58">
        <f t="shared" si="12"/>
        <v>6.5089632662483687E-2</v>
      </c>
      <c r="AP21" s="56">
        <f t="shared" si="6"/>
        <v>1</v>
      </c>
      <c r="AQ21" s="56">
        <f t="shared" si="7"/>
        <v>0</v>
      </c>
    </row>
    <row r="22" spans="1:43" x14ac:dyDescent="0.2">
      <c r="A22" s="156" t="s">
        <v>89</v>
      </c>
      <c r="B22" s="156" t="s">
        <v>90</v>
      </c>
      <c r="D22" s="68">
        <f>VLOOKUP(A22,'2019-20 disagg'!A22:AZ230,43,FALSE)</f>
        <v>306647</v>
      </c>
      <c r="E22" s="73">
        <v>1777.3443725182431</v>
      </c>
      <c r="F22" s="55"/>
      <c r="G22" s="88">
        <v>309060.28982286411</v>
      </c>
      <c r="H22" s="81">
        <v>1788.1623904515943</v>
      </c>
      <c r="I22" s="90"/>
      <c r="J22" s="103">
        <f t="shared" si="8"/>
        <v>-7.8084758939663823E-3</v>
      </c>
      <c r="K22" s="126">
        <f t="shared" si="8"/>
        <v>-6.0497961433017E-3</v>
      </c>
      <c r="L22" s="56">
        <v>318286</v>
      </c>
      <c r="M22" s="103">
        <v>2.6322850559648447E-2</v>
      </c>
      <c r="N22" s="97">
        <f>INDEX('Pace of change parameters'!$E$22:$I$22,1,$B$5)</f>
        <v>2.4506891160555818E-2</v>
      </c>
      <c r="O22" s="108">
        <f>MAX(IF(INDEX('Pace of change parameters'!$E$30:$I$30,1,$B$5)=1,(1+M22)*D22,D22),L22)</f>
        <v>318286</v>
      </c>
      <c r="P22" s="94">
        <f>IF(K22&lt;INDEX('Pace of change parameters'!$E$18:$I$18,1,$B$5),1,IF(K22&gt;INDEX('Pace of change parameters'!$E$19:$I$19,1,$B$5),0,(K22-INDEX('Pace of change parameters'!$E$19:$I$19,1,$B$5))/(INDEX('Pace of change parameters'!$E$18:$I$18,1,$B$5)-INDEX('Pace of change parameters'!$E$19:$I$19,1,$B$5))))</f>
        <v>0.4112123217569304</v>
      </c>
      <c r="Q22" s="57">
        <v>3.2952265191069863E-2</v>
      </c>
      <c r="R22" s="57">
        <v>3.1124575810710597E-2</v>
      </c>
      <c r="S22" s="9">
        <f>MAX(IF(INDEX('Pace of change parameters'!$E$31:$I$31,1,$B$5)=1,D22*(1+Q22),D22),L22)</f>
        <v>318286</v>
      </c>
      <c r="T22" s="103">
        <f>IF(Q22&lt;INDEX('Pace of change parameters'!$E$24:$I$24,1,$B$5),INDEX('Pace of change parameters'!$E$24:$I$24,1,$B$5),Q22)</f>
        <v>3.2992755077120454E-2</v>
      </c>
      <c r="U22" s="132">
        <v>3.1164994054598161E-2</v>
      </c>
      <c r="V22" s="117">
        <f t="shared" si="9"/>
        <v>318286</v>
      </c>
      <c r="W22" s="131">
        <f>IF(J22&gt;INDEX('Pace of change parameters'!$E$26:$I$26,1,$B$5),0,IF(J22&lt;INDEX('Pace of change parameters'!$E$25:$I$25,1,$B$5),1,(J22-INDEX('Pace of change parameters'!$E$26:$I$26,1,$B$5))/(INDEX('Pace of change parameters'!$E$25:$I$25,1,$B$5)-INDEX('Pace of change parameters'!$E$26:$I$26,1,$B$5))))</f>
        <v>1</v>
      </c>
      <c r="X22" s="132">
        <f>MIN(T22, T22+(INDEX('Pace of change parameters'!$E$27:$I$27,1,$B$5)-T22)*(1-W22))</f>
        <v>3.2992755077120454E-2</v>
      </c>
      <c r="Y22" s="132">
        <v>3.1164994054598161E-2</v>
      </c>
      <c r="Z22" s="108">
        <f t="shared" si="10"/>
        <v>318286</v>
      </c>
      <c r="AA22" s="97">
        <f>MIN(VLOOKUP(A22,'2019-20 disagg'!$A$12:$BB$220,54,FALSE),-2.5%)</f>
        <v>-2.5000000000000001E-2</v>
      </c>
      <c r="AB22" s="99">
        <f t="shared" si="2"/>
        <v>313619.71307551203</v>
      </c>
      <c r="AC22" s="99">
        <f>MAX(IF(INDEX('Pace of change parameters'!$E$29:$I$29,1,$B$5)=1,MAX(AB22,Z22),Z22),L22)</f>
        <v>318286</v>
      </c>
      <c r="AD22" s="97">
        <f t="shared" si="3"/>
        <v>3.7955694984787014E-2</v>
      </c>
      <c r="AE22" s="146">
        <v>3.611915261498444E-2</v>
      </c>
      <c r="AF22" s="56">
        <f t="shared" si="11"/>
        <v>318286</v>
      </c>
      <c r="AG22" s="56">
        <v>1841.540545158613</v>
      </c>
      <c r="AH22" s="16">
        <f t="shared" si="4"/>
        <v>3.7955694984787014E-2</v>
      </c>
      <c r="AI22" s="16">
        <f t="shared" si="5"/>
        <v>3.6119152614984218E-2</v>
      </c>
      <c r="AJ22" s="56"/>
      <c r="AK22" s="56">
        <v>321661.24418001232</v>
      </c>
      <c r="AL22" s="56">
        <v>1861.0690478489714</v>
      </c>
      <c r="AM22" s="16">
        <f t="shared" si="12"/>
        <v>-1.0493163976333486E-2</v>
      </c>
      <c r="AN22" s="58">
        <f t="shared" si="12"/>
        <v>-1.0493163976333708E-2</v>
      </c>
      <c r="AP22" s="56">
        <f t="shared" si="6"/>
        <v>1</v>
      </c>
      <c r="AQ22" s="56">
        <f t="shared" si="7"/>
        <v>0</v>
      </c>
    </row>
    <row r="23" spans="1:43" x14ac:dyDescent="0.2">
      <c r="A23" s="156" t="s">
        <v>91</v>
      </c>
      <c r="B23" s="156" t="s">
        <v>92</v>
      </c>
      <c r="D23" s="68">
        <f>VLOOKUP(A23,'2019-20 disagg'!A23:AZ231,43,FALSE)</f>
        <v>352406</v>
      </c>
      <c r="E23" s="73">
        <v>2050.3613556400387</v>
      </c>
      <c r="F23" s="55"/>
      <c r="G23" s="88">
        <v>356180.24642410292</v>
      </c>
      <c r="H23" s="81">
        <v>2071.5552689987881</v>
      </c>
      <c r="I23" s="90"/>
      <c r="J23" s="103">
        <f t="shared" si="8"/>
        <v>-1.0596450707176297E-2</v>
      </c>
      <c r="K23" s="126">
        <f t="shared" si="8"/>
        <v>-1.0230918612657902E-2</v>
      </c>
      <c r="L23" s="56">
        <v>365668</v>
      </c>
      <c r="M23" s="103">
        <v>2.4885392076629653E-2</v>
      </c>
      <c r="N23" s="97">
        <f>INDEX('Pace of change parameters'!$E$22:$I$22,1,$B$5)</f>
        <v>2.4506891160555818E-2</v>
      </c>
      <c r="O23" s="108">
        <f>MAX(IF(INDEX('Pace of change parameters'!$E$30:$I$30,1,$B$5)=1,(1+M23)*D23,D23),L23)</f>
        <v>365668</v>
      </c>
      <c r="P23" s="94">
        <f>IF(K23&lt;INDEX('Pace of change parameters'!$E$18:$I$18,1,$B$5),1,IF(K23&gt;INDEX('Pace of change parameters'!$E$19:$I$19,1,$B$5),0,(K23-INDEX('Pace of change parameters'!$E$19:$I$19,1,$B$5))/(INDEX('Pace of change parameters'!$E$18:$I$18,1,$B$5)-INDEX('Pace of change parameters'!$E$19:$I$19,1,$B$5))))</f>
        <v>0.54835802833694369</v>
      </c>
      <c r="Q23" s="57">
        <v>3.3713437799442358E-2</v>
      </c>
      <c r="R23" s="57">
        <v>3.3331676593565174E-2</v>
      </c>
      <c r="S23" s="9">
        <f>MAX(IF(INDEX('Pace of change parameters'!$E$31:$I$31,1,$B$5)=1,D23*(1+Q23),D23),L23)</f>
        <v>365668</v>
      </c>
      <c r="T23" s="103">
        <f>IF(Q23&lt;INDEX('Pace of change parameters'!$E$24:$I$24,1,$B$5),INDEX('Pace of change parameters'!$E$24:$I$24,1,$B$5),Q23)</f>
        <v>3.3713437799442358E-2</v>
      </c>
      <c r="U23" s="132">
        <v>3.3331676593565174E-2</v>
      </c>
      <c r="V23" s="117">
        <f t="shared" si="9"/>
        <v>365668</v>
      </c>
      <c r="W23" s="131">
        <f>IF(J23&gt;INDEX('Pace of change parameters'!$E$26:$I$26,1,$B$5),0,IF(J23&lt;INDEX('Pace of change parameters'!$E$25:$I$25,1,$B$5),1,(J23-INDEX('Pace of change parameters'!$E$26:$I$26,1,$B$5))/(INDEX('Pace of change parameters'!$E$25:$I$25,1,$B$5)-INDEX('Pace of change parameters'!$E$26:$I$26,1,$B$5))))</f>
        <v>1</v>
      </c>
      <c r="X23" s="132">
        <f>MIN(T23, T23+(INDEX('Pace of change parameters'!$E$27:$I$27,1,$B$5)-T23)*(1-W23))</f>
        <v>3.3713437799442358E-2</v>
      </c>
      <c r="Y23" s="132">
        <v>3.3331676593565174E-2</v>
      </c>
      <c r="Z23" s="108">
        <f t="shared" si="10"/>
        <v>365668</v>
      </c>
      <c r="AA23" s="97">
        <f>MIN(VLOOKUP(A23,'2019-20 disagg'!$A$12:$BB$220,54,FALSE),-2.5%)</f>
        <v>-2.5000000000000001E-2</v>
      </c>
      <c r="AB23" s="99">
        <f t="shared" si="2"/>
        <v>361397.35469356796</v>
      </c>
      <c r="AC23" s="99">
        <f>MAX(IF(INDEX('Pace of change parameters'!$E$29:$I$29,1,$B$5)=1,MAX(AB23,Z23),Z23),L23)</f>
        <v>365668</v>
      </c>
      <c r="AD23" s="97">
        <f t="shared" si="3"/>
        <v>3.76327304302424E-2</v>
      </c>
      <c r="AE23" s="146">
        <v>3.7249521788522477E-2</v>
      </c>
      <c r="AF23" s="56">
        <f t="shared" si="11"/>
        <v>365668</v>
      </c>
      <c r="AG23" s="56">
        <v>2126.7363356312967</v>
      </c>
      <c r="AH23" s="16">
        <f t="shared" si="4"/>
        <v>3.76327304302424E-2</v>
      </c>
      <c r="AI23" s="16">
        <f t="shared" si="5"/>
        <v>3.7249521788522477E-2</v>
      </c>
      <c r="AJ23" s="56"/>
      <c r="AK23" s="56">
        <v>370663.95353186456</v>
      </c>
      <c r="AL23" s="56">
        <v>2155.7929550438294</v>
      </c>
      <c r="AM23" s="16">
        <f t="shared" si="12"/>
        <v>-1.3478390559051423E-2</v>
      </c>
      <c r="AN23" s="58">
        <f t="shared" si="12"/>
        <v>-1.3478390559051534E-2</v>
      </c>
      <c r="AP23" s="56">
        <f t="shared" si="6"/>
        <v>1</v>
      </c>
      <c r="AQ23" s="56">
        <f t="shared" si="7"/>
        <v>0</v>
      </c>
    </row>
    <row r="24" spans="1:43" x14ac:dyDescent="0.2">
      <c r="A24" s="156" t="s">
        <v>93</v>
      </c>
      <c r="B24" s="156" t="s">
        <v>94</v>
      </c>
      <c r="D24" s="68">
        <f>VLOOKUP(A24,'2019-20 disagg'!A24:AZ232,43,FALSE)</f>
        <v>550270</v>
      </c>
      <c r="E24" s="73">
        <v>1782.0312175670272</v>
      </c>
      <c r="F24" s="55"/>
      <c r="G24" s="88">
        <v>562469.55531629454</v>
      </c>
      <c r="H24" s="81">
        <v>1811.1113268602687</v>
      </c>
      <c r="I24" s="90"/>
      <c r="J24" s="103">
        <f t="shared" si="8"/>
        <v>-2.1689272247694125E-2</v>
      </c>
      <c r="K24" s="126">
        <f t="shared" si="8"/>
        <v>-1.6056500151017561E-2</v>
      </c>
      <c r="L24" s="56">
        <v>571732</v>
      </c>
      <c r="M24" s="103">
        <v>3.0405644660520537E-2</v>
      </c>
      <c r="N24" s="97">
        <f>INDEX('Pace of change parameters'!$E$22:$I$22,1,$B$5)</f>
        <v>2.4506891160555818E-2</v>
      </c>
      <c r="O24" s="108">
        <f>MAX(IF(INDEX('Pace of change parameters'!$E$30:$I$30,1,$B$5)=1,(1+M24)*D24,D24),L24)</f>
        <v>571732</v>
      </c>
      <c r="P24" s="94">
        <f>IF(K24&lt;INDEX('Pace of change parameters'!$E$18:$I$18,1,$B$5),1,IF(K24&gt;INDEX('Pace of change parameters'!$E$19:$I$19,1,$B$5),0,(K24-INDEX('Pace of change parameters'!$E$19:$I$19,1,$B$5))/(INDEX('Pace of change parameters'!$E$18:$I$18,1,$B$5)-INDEX('Pace of change parameters'!$E$19:$I$19,1,$B$5))))</f>
        <v>0.73944391548170296</v>
      </c>
      <c r="Q24" s="57">
        <v>4.2374111844521778E-2</v>
      </c>
      <c r="R24" s="57">
        <v>3.6406842573067699E-2</v>
      </c>
      <c r="S24" s="9">
        <f>MAX(IF(INDEX('Pace of change parameters'!$E$31:$I$31,1,$B$5)=1,D24*(1+Q24),D24),L24)</f>
        <v>573587.20252468495</v>
      </c>
      <c r="T24" s="103">
        <f>IF(Q24&lt;INDEX('Pace of change parameters'!$E$24:$I$24,1,$B$5),INDEX('Pace of change parameters'!$E$24:$I$24,1,$B$5),Q24)</f>
        <v>4.2374111844521778E-2</v>
      </c>
      <c r="U24" s="132">
        <v>3.6406842573067699E-2</v>
      </c>
      <c r="V24" s="117">
        <f t="shared" si="9"/>
        <v>573587.20252468495</v>
      </c>
      <c r="W24" s="131">
        <f>IF(J24&gt;INDEX('Pace of change parameters'!$E$26:$I$26,1,$B$5),0,IF(J24&lt;INDEX('Pace of change parameters'!$E$25:$I$25,1,$B$5),1,(J24-INDEX('Pace of change parameters'!$E$26:$I$26,1,$B$5))/(INDEX('Pace of change parameters'!$E$25:$I$25,1,$B$5)-INDEX('Pace of change parameters'!$E$26:$I$26,1,$B$5))))</f>
        <v>1</v>
      </c>
      <c r="X24" s="132">
        <f>MIN(T24, T24+(INDEX('Pace of change parameters'!$E$27:$I$27,1,$B$5)-T24)*(1-W24))</f>
        <v>4.2374111844521778E-2</v>
      </c>
      <c r="Y24" s="132">
        <v>3.6406842573067699E-2</v>
      </c>
      <c r="Z24" s="108">
        <f t="shared" si="10"/>
        <v>573587.20252468495</v>
      </c>
      <c r="AA24" s="97">
        <f>MIN(VLOOKUP(A24,'2019-20 disagg'!$A$12:$BB$220,54,FALSE),-2.5%)</f>
        <v>-2.5000000000000001E-2</v>
      </c>
      <c r="AB24" s="99">
        <f t="shared" si="2"/>
        <v>570718.92460039549</v>
      </c>
      <c r="AC24" s="99">
        <f>MAX(IF(INDEX('Pace of change parameters'!$E$29:$I$29,1,$B$5)=1,MAX(AB24,Z24),Z24),L24)</f>
        <v>573587.20252468495</v>
      </c>
      <c r="AD24" s="97">
        <f t="shared" si="3"/>
        <v>4.2374111844521778E-2</v>
      </c>
      <c r="AE24" s="146">
        <v>3.6406842573067699E-2</v>
      </c>
      <c r="AF24" s="56">
        <f t="shared" si="11"/>
        <v>573587.20252468495</v>
      </c>
      <c r="AG24" s="56">
        <v>1846.9093475652819</v>
      </c>
      <c r="AH24" s="16">
        <f t="shared" si="4"/>
        <v>4.2374111844521778E-2</v>
      </c>
      <c r="AI24" s="16">
        <f t="shared" si="5"/>
        <v>3.6406842573067699E-2</v>
      </c>
      <c r="AJ24" s="56"/>
      <c r="AK24" s="56">
        <v>585352.74317989277</v>
      </c>
      <c r="AL24" s="56">
        <v>1884.7935383554827</v>
      </c>
      <c r="AM24" s="16">
        <f t="shared" si="12"/>
        <v>-2.0099915465147111E-2</v>
      </c>
      <c r="AN24" s="58">
        <f t="shared" si="12"/>
        <v>-2.0099915465147222E-2</v>
      </c>
      <c r="AP24" s="56">
        <f t="shared" si="6"/>
        <v>0</v>
      </c>
      <c r="AQ24" s="56">
        <f t="shared" si="7"/>
        <v>0</v>
      </c>
    </row>
    <row r="25" spans="1:43" x14ac:dyDescent="0.2">
      <c r="A25" s="156" t="s">
        <v>95</v>
      </c>
      <c r="B25" s="156" t="s">
        <v>96</v>
      </c>
      <c r="D25" s="68">
        <f>VLOOKUP(A25,'2019-20 disagg'!A25:AZ233,43,FALSE)</f>
        <v>358289</v>
      </c>
      <c r="E25" s="73">
        <v>1756.1790856472271</v>
      </c>
      <c r="F25" s="55"/>
      <c r="G25" s="88">
        <v>365101.82083765033</v>
      </c>
      <c r="H25" s="81">
        <v>1779.8785341221514</v>
      </c>
      <c r="I25" s="90"/>
      <c r="J25" s="103">
        <f t="shared" si="8"/>
        <v>-1.8660057136991925E-2</v>
      </c>
      <c r="K25" s="126">
        <f t="shared" si="8"/>
        <v>-1.3315205515759043E-2</v>
      </c>
      <c r="L25" s="56">
        <v>372345</v>
      </c>
      <c r="M25" s="103">
        <v>3.0086850845278734E-2</v>
      </c>
      <c r="N25" s="97">
        <f>INDEX('Pace of change parameters'!$E$22:$I$22,1,$B$5)</f>
        <v>2.4506891160555818E-2</v>
      </c>
      <c r="O25" s="108">
        <f>MAX(IF(INDEX('Pace of change parameters'!$E$30:$I$30,1,$B$5)=1,(1+M25)*D25,D25),L25)</f>
        <v>372345</v>
      </c>
      <c r="P25" s="94">
        <f>IF(K25&lt;INDEX('Pace of change parameters'!$E$18:$I$18,1,$B$5),1,IF(K25&gt;INDEX('Pace of change parameters'!$E$19:$I$19,1,$B$5),0,(K25-INDEX('Pace of change parameters'!$E$19:$I$19,1,$B$5))/(INDEX('Pace of change parameters'!$E$18:$I$18,1,$B$5)-INDEX('Pace of change parameters'!$E$19:$I$19,1,$B$5))))</f>
        <v>0.64952624565692541</v>
      </c>
      <c r="Q25" s="57">
        <v>4.0596678937406372E-2</v>
      </c>
      <c r="R25" s="57">
        <v>3.4959787725988178E-2</v>
      </c>
      <c r="S25" s="9">
        <f>MAX(IF(INDEX('Pace of change parameters'!$E$31:$I$31,1,$B$5)=1,D25*(1+Q25),D25),L25)</f>
        <v>372834.34349980438</v>
      </c>
      <c r="T25" s="103">
        <f>IF(Q25&lt;INDEX('Pace of change parameters'!$E$24:$I$24,1,$B$5),INDEX('Pace of change parameters'!$E$24:$I$24,1,$B$5),Q25)</f>
        <v>4.0596678937406372E-2</v>
      </c>
      <c r="U25" s="132">
        <v>3.4959787725988178E-2</v>
      </c>
      <c r="V25" s="117">
        <f t="shared" si="9"/>
        <v>372834.34349980438</v>
      </c>
      <c r="W25" s="131">
        <f>IF(J25&gt;INDEX('Pace of change parameters'!$E$26:$I$26,1,$B$5),0,IF(J25&lt;INDEX('Pace of change parameters'!$E$25:$I$25,1,$B$5),1,(J25-INDEX('Pace of change parameters'!$E$26:$I$26,1,$B$5))/(INDEX('Pace of change parameters'!$E$25:$I$25,1,$B$5)-INDEX('Pace of change parameters'!$E$26:$I$26,1,$B$5))))</f>
        <v>1</v>
      </c>
      <c r="X25" s="132">
        <f>MIN(T25, T25+(INDEX('Pace of change parameters'!$E$27:$I$27,1,$B$5)-T25)*(1-W25))</f>
        <v>4.0596678937406372E-2</v>
      </c>
      <c r="Y25" s="132">
        <v>3.4959787725988178E-2</v>
      </c>
      <c r="Z25" s="108">
        <f t="shared" si="10"/>
        <v>372834.34349980438</v>
      </c>
      <c r="AA25" s="97">
        <f>MIN(VLOOKUP(A25,'2019-20 disagg'!$A$12:$BB$220,54,FALSE),-2.5%)</f>
        <v>-2.5000000000000001E-2</v>
      </c>
      <c r="AB25" s="99">
        <f t="shared" si="2"/>
        <v>370526.01441561495</v>
      </c>
      <c r="AC25" s="99">
        <f>MAX(IF(INDEX('Pace of change parameters'!$E$29:$I$29,1,$B$5)=1,MAX(AB25,Z25),Z25),L25)</f>
        <v>372834.34349980438</v>
      </c>
      <c r="AD25" s="97">
        <f t="shared" si="3"/>
        <v>4.0596678937406372E-2</v>
      </c>
      <c r="AE25" s="146">
        <v>3.4959787725988178E-2</v>
      </c>
      <c r="AF25" s="56">
        <f t="shared" si="11"/>
        <v>372834.34349980438</v>
      </c>
      <c r="AG25" s="56">
        <v>1817.5747336902739</v>
      </c>
      <c r="AH25" s="16">
        <f t="shared" si="4"/>
        <v>4.0596678937406372E-2</v>
      </c>
      <c r="AI25" s="16">
        <f t="shared" si="5"/>
        <v>3.4959787725987956E-2</v>
      </c>
      <c r="AJ25" s="56"/>
      <c r="AK25" s="56">
        <v>380026.68145191279</v>
      </c>
      <c r="AL25" s="56">
        <v>1852.6375222070212</v>
      </c>
      <c r="AM25" s="16">
        <f t="shared" si="12"/>
        <v>-1.8925876269081154E-2</v>
      </c>
      <c r="AN25" s="58">
        <f t="shared" si="12"/>
        <v>-1.8925876269081265E-2</v>
      </c>
      <c r="AP25" s="56">
        <f t="shared" si="6"/>
        <v>0</v>
      </c>
      <c r="AQ25" s="56">
        <f t="shared" si="7"/>
        <v>0</v>
      </c>
    </row>
    <row r="26" spans="1:43" x14ac:dyDescent="0.2">
      <c r="A26" s="156" t="s">
        <v>97</v>
      </c>
      <c r="B26" s="156" t="s">
        <v>98</v>
      </c>
      <c r="D26" s="68">
        <f>VLOOKUP(A26,'2019-20 disagg'!A26:AZ234,43,FALSE)</f>
        <v>414869</v>
      </c>
      <c r="E26" s="73">
        <v>1801.7191673211646</v>
      </c>
      <c r="F26" s="55"/>
      <c r="G26" s="88">
        <v>419715.52034885174</v>
      </c>
      <c r="H26" s="81">
        <v>1814.8219090210546</v>
      </c>
      <c r="I26" s="90"/>
      <c r="J26" s="103">
        <f t="shared" si="8"/>
        <v>-1.1547155427617972E-2</v>
      </c>
      <c r="K26" s="126">
        <f t="shared" si="8"/>
        <v>-7.2198498567597191E-3</v>
      </c>
      <c r="L26" s="56">
        <v>431364</v>
      </c>
      <c r="M26" s="103">
        <v>2.8992036205001348E-2</v>
      </c>
      <c r="N26" s="97">
        <f>INDEX('Pace of change parameters'!$E$22:$I$22,1,$B$5)</f>
        <v>2.4506891160555818E-2</v>
      </c>
      <c r="O26" s="108">
        <f>MAX(IF(INDEX('Pace of change parameters'!$E$30:$I$30,1,$B$5)=1,(1+M26)*D26,D26),L26)</f>
        <v>431364</v>
      </c>
      <c r="P26" s="94">
        <f>IF(K26&lt;INDEX('Pace of change parameters'!$E$18:$I$18,1,$B$5),1,IF(K26&gt;INDEX('Pace of change parameters'!$E$19:$I$19,1,$B$5),0,(K26-INDEX('Pace of change parameters'!$E$19:$I$19,1,$B$5))/(INDEX('Pace of change parameters'!$E$18:$I$18,1,$B$5)-INDEX('Pace of change parameters'!$E$19:$I$19,1,$B$5))))</f>
        <v>0.44959145186968141</v>
      </c>
      <c r="Q26" s="57">
        <v>3.625903559046062E-2</v>
      </c>
      <c r="R26" s="57">
        <v>3.17422153287783E-2</v>
      </c>
      <c r="S26" s="9">
        <f>MAX(IF(INDEX('Pace of change parameters'!$E$31:$I$31,1,$B$5)=1,D26*(1+Q26),D26),L26)</f>
        <v>431364</v>
      </c>
      <c r="T26" s="103">
        <f>IF(Q26&lt;INDEX('Pace of change parameters'!$E$24:$I$24,1,$B$5),INDEX('Pace of change parameters'!$E$24:$I$24,1,$B$5),Q26)</f>
        <v>3.625903559046062E-2</v>
      </c>
      <c r="U26" s="132">
        <v>3.17422153287783E-2</v>
      </c>
      <c r="V26" s="117">
        <f t="shared" si="9"/>
        <v>431364</v>
      </c>
      <c r="W26" s="131">
        <f>IF(J26&gt;INDEX('Pace of change parameters'!$E$26:$I$26,1,$B$5),0,IF(J26&lt;INDEX('Pace of change parameters'!$E$25:$I$25,1,$B$5),1,(J26-INDEX('Pace of change parameters'!$E$26:$I$26,1,$B$5))/(INDEX('Pace of change parameters'!$E$25:$I$25,1,$B$5)-INDEX('Pace of change parameters'!$E$26:$I$26,1,$B$5))))</f>
        <v>1</v>
      </c>
      <c r="X26" s="132">
        <f>MIN(T26, T26+(INDEX('Pace of change parameters'!$E$27:$I$27,1,$B$5)-T26)*(1-W26))</f>
        <v>3.625903559046062E-2</v>
      </c>
      <c r="Y26" s="132">
        <v>3.17422153287783E-2</v>
      </c>
      <c r="Z26" s="108">
        <f t="shared" si="10"/>
        <v>431364</v>
      </c>
      <c r="AA26" s="97">
        <f>MIN(VLOOKUP(A26,'2019-20 disagg'!$A$12:$BB$220,54,FALSE),-2.5%)</f>
        <v>-2.5000000000000001E-2</v>
      </c>
      <c r="AB26" s="99">
        <f t="shared" si="2"/>
        <v>426284.48850279819</v>
      </c>
      <c r="AC26" s="99">
        <f>MAX(IF(INDEX('Pace of change parameters'!$E$29:$I$29,1,$B$5)=1,MAX(AB26,Z26),Z26),L26)</f>
        <v>431364</v>
      </c>
      <c r="AD26" s="97">
        <f t="shared" si="3"/>
        <v>3.9759538553133744E-2</v>
      </c>
      <c r="AE26" s="146">
        <v>3.5227460385691467E-2</v>
      </c>
      <c r="AF26" s="56">
        <f t="shared" si="11"/>
        <v>431364</v>
      </c>
      <c r="AG26" s="56">
        <v>1865.189157914112</v>
      </c>
      <c r="AH26" s="16">
        <f t="shared" si="4"/>
        <v>3.9759538553133744E-2</v>
      </c>
      <c r="AI26" s="16">
        <f t="shared" si="5"/>
        <v>3.5227460385691467E-2</v>
      </c>
      <c r="AJ26" s="56"/>
      <c r="AK26" s="56">
        <v>437214.86000286997</v>
      </c>
      <c r="AL26" s="56">
        <v>1890.4878862313253</v>
      </c>
      <c r="AM26" s="16">
        <f t="shared" si="12"/>
        <v>-1.3382116067215954E-2</v>
      </c>
      <c r="AN26" s="58">
        <f t="shared" si="12"/>
        <v>-1.3382116067215954E-2</v>
      </c>
      <c r="AP26" s="56">
        <f t="shared" si="6"/>
        <v>1</v>
      </c>
      <c r="AQ26" s="56">
        <f t="shared" si="7"/>
        <v>0</v>
      </c>
    </row>
    <row r="27" spans="1:43" x14ac:dyDescent="0.2">
      <c r="A27" s="156" t="s">
        <v>99</v>
      </c>
      <c r="B27" s="156" t="s">
        <v>100</v>
      </c>
      <c r="D27" s="68">
        <f>VLOOKUP(A27,'2019-20 disagg'!A27:AZ235,43,FALSE)</f>
        <v>321854</v>
      </c>
      <c r="E27" s="73">
        <v>1752.2248889607172</v>
      </c>
      <c r="F27" s="55"/>
      <c r="G27" s="88">
        <v>314876.29257343238</v>
      </c>
      <c r="H27" s="81">
        <v>1703.7875117197029</v>
      </c>
      <c r="I27" s="90"/>
      <c r="J27" s="103">
        <f t="shared" si="8"/>
        <v>2.2160154927955755E-2</v>
      </c>
      <c r="K27" s="126">
        <f t="shared" si="8"/>
        <v>2.8429235986196622E-2</v>
      </c>
      <c r="L27" s="56">
        <v>334406</v>
      </c>
      <c r="M27" s="103">
        <v>3.0790365148900101E-2</v>
      </c>
      <c r="N27" s="97">
        <f>INDEX('Pace of change parameters'!$E$22:$I$22,1,$B$5)</f>
        <v>2.4506891160555818E-2</v>
      </c>
      <c r="O27" s="108">
        <f>MAX(IF(INDEX('Pace of change parameters'!$E$30:$I$30,1,$B$5)=1,(1+M27)*D27,D27),L27)</f>
        <v>334406</v>
      </c>
      <c r="P27" s="94">
        <f>IF(K27&lt;INDEX('Pace of change parameters'!$E$18:$I$18,1,$B$5),1,IF(K27&gt;INDEX('Pace of change parameters'!$E$19:$I$19,1,$B$5),0,(K27-INDEX('Pace of change parameters'!$E$19:$I$19,1,$B$5))/(INDEX('Pace of change parameters'!$E$18:$I$18,1,$B$5)-INDEX('Pace of change parameters'!$E$19:$I$19,1,$B$5))))</f>
        <v>0</v>
      </c>
      <c r="Q27" s="57">
        <v>3.0790365148900101E-2</v>
      </c>
      <c r="R27" s="57">
        <v>2.450689116055571E-2</v>
      </c>
      <c r="S27" s="9">
        <f>MAX(IF(INDEX('Pace of change parameters'!$E$31:$I$31,1,$B$5)=1,D27*(1+Q27),D27),L27)</f>
        <v>334406</v>
      </c>
      <c r="T27" s="103">
        <f>IF(Q27&lt;INDEX('Pace of change parameters'!$E$24:$I$24,1,$B$5),INDEX('Pace of change parameters'!$E$24:$I$24,1,$B$5),Q27)</f>
        <v>3.2992755077120454E-2</v>
      </c>
      <c r="U27" s="132">
        <v>2.6695855798538615E-2</v>
      </c>
      <c r="V27" s="117">
        <f t="shared" si="9"/>
        <v>334406</v>
      </c>
      <c r="W27" s="131">
        <f>IF(J27&gt;INDEX('Pace of change parameters'!$E$26:$I$26,1,$B$5),0,IF(J27&lt;INDEX('Pace of change parameters'!$E$25:$I$25,1,$B$5),1,(J27-INDEX('Pace of change parameters'!$E$26:$I$26,1,$B$5))/(INDEX('Pace of change parameters'!$E$25:$I$25,1,$B$5)-INDEX('Pace of change parameters'!$E$26:$I$26,1,$B$5))))</f>
        <v>1</v>
      </c>
      <c r="X27" s="132">
        <f>MIN(T27, T27+(INDEX('Pace of change parameters'!$E$27:$I$27,1,$B$5)-T27)*(1-W27))</f>
        <v>3.2992755077120454E-2</v>
      </c>
      <c r="Y27" s="132">
        <v>2.6695855798538615E-2</v>
      </c>
      <c r="Z27" s="108">
        <f t="shared" si="10"/>
        <v>334406</v>
      </c>
      <c r="AA27" s="97">
        <f>MIN(VLOOKUP(A27,'2019-20 disagg'!$A$12:$BB$220,54,FALSE),-2.5%)</f>
        <v>-2.5000000000000001E-2</v>
      </c>
      <c r="AB27" s="99">
        <f t="shared" si="2"/>
        <v>319505.7454772598</v>
      </c>
      <c r="AC27" s="99">
        <f>MAX(IF(INDEX('Pace of change parameters'!$E$29:$I$29,1,$B$5)=1,MAX(AB27,Z27),Z27),L27)</f>
        <v>334406</v>
      </c>
      <c r="AD27" s="97">
        <f t="shared" si="3"/>
        <v>3.8999049258359397E-2</v>
      </c>
      <c r="AE27" s="146">
        <v>3.2665536916122395E-2</v>
      </c>
      <c r="AF27" s="56">
        <f t="shared" si="11"/>
        <v>334406</v>
      </c>
      <c r="AG27" s="56">
        <v>1809.4622557564121</v>
      </c>
      <c r="AH27" s="16">
        <f t="shared" si="4"/>
        <v>3.8999049258359397E-2</v>
      </c>
      <c r="AI27" s="16">
        <f t="shared" si="5"/>
        <v>3.2665536916122395E-2</v>
      </c>
      <c r="AJ27" s="56"/>
      <c r="AK27" s="56">
        <v>327698.20048949722</v>
      </c>
      <c r="AL27" s="56">
        <v>1773.1665253166591</v>
      </c>
      <c r="AM27" s="16">
        <f t="shared" si="12"/>
        <v>2.0469442616660727E-2</v>
      </c>
      <c r="AN27" s="58">
        <f t="shared" si="12"/>
        <v>2.0469442616660727E-2</v>
      </c>
      <c r="AP27" s="56">
        <f t="shared" si="6"/>
        <v>1</v>
      </c>
      <c r="AQ27" s="56">
        <f t="shared" si="7"/>
        <v>0</v>
      </c>
    </row>
    <row r="28" spans="1:43" x14ac:dyDescent="0.2">
      <c r="A28" s="156" t="s">
        <v>101</v>
      </c>
      <c r="B28" s="156" t="s">
        <v>102</v>
      </c>
      <c r="D28" s="68">
        <f>VLOOKUP(A28,'2019-20 disagg'!A28:AZ236,43,FALSE)</f>
        <v>973686</v>
      </c>
      <c r="E28" s="73">
        <v>1866.2302861837115</v>
      </c>
      <c r="F28" s="55"/>
      <c r="G28" s="88">
        <v>931444.94340503064</v>
      </c>
      <c r="H28" s="81">
        <v>1784.8605757074417</v>
      </c>
      <c r="I28" s="90"/>
      <c r="J28" s="103">
        <f t="shared" si="8"/>
        <v>4.5350030502663063E-2</v>
      </c>
      <c r="K28" s="126">
        <f t="shared" si="8"/>
        <v>4.5588832866689577E-2</v>
      </c>
      <c r="L28" s="56">
        <v>1009827</v>
      </c>
      <c r="M28" s="103">
        <v>2.4740932065928645E-2</v>
      </c>
      <c r="N28" s="97">
        <f>INDEX('Pace of change parameters'!$E$22:$I$22,1,$B$5)</f>
        <v>2.4506891160555818E-2</v>
      </c>
      <c r="O28" s="108">
        <f>MAX(IF(INDEX('Pace of change parameters'!$E$30:$I$30,1,$B$5)=1,(1+M28)*D28,D28),L28)</f>
        <v>1009827</v>
      </c>
      <c r="P28" s="94">
        <f>IF(K28&lt;INDEX('Pace of change parameters'!$E$18:$I$18,1,$B$5),1,IF(K28&gt;INDEX('Pace of change parameters'!$E$19:$I$19,1,$B$5),0,(K28-INDEX('Pace of change parameters'!$E$19:$I$19,1,$B$5))/(INDEX('Pace of change parameters'!$E$18:$I$18,1,$B$5)-INDEX('Pace of change parameters'!$E$19:$I$19,1,$B$5))))</f>
        <v>0</v>
      </c>
      <c r="Q28" s="57">
        <v>2.4740932065928645E-2</v>
      </c>
      <c r="R28" s="57">
        <v>2.450689116055571E-2</v>
      </c>
      <c r="S28" s="9">
        <f>MAX(IF(INDEX('Pace of change parameters'!$E$31:$I$31,1,$B$5)=1,D28*(1+Q28),D28),L28)</f>
        <v>1009827</v>
      </c>
      <c r="T28" s="103">
        <f>IF(Q28&lt;INDEX('Pace of change parameters'!$E$24:$I$24,1,$B$5),INDEX('Pace of change parameters'!$E$24:$I$24,1,$B$5),Q28)</f>
        <v>3.2992755077120454E-2</v>
      </c>
      <c r="U28" s="132">
        <v>3.2756829535281806E-2</v>
      </c>
      <c r="V28" s="117">
        <f t="shared" si="9"/>
        <v>1009827</v>
      </c>
      <c r="W28" s="131">
        <f>IF(J28&gt;INDEX('Pace of change parameters'!$E$26:$I$26,1,$B$5),0,IF(J28&lt;INDEX('Pace of change parameters'!$E$25:$I$25,1,$B$5),1,(J28-INDEX('Pace of change parameters'!$E$26:$I$26,1,$B$5))/(INDEX('Pace of change parameters'!$E$25:$I$25,1,$B$5)-INDEX('Pace of change parameters'!$E$26:$I$26,1,$B$5))))</f>
        <v>1</v>
      </c>
      <c r="X28" s="132">
        <f>MIN(T28, T28+(INDEX('Pace of change parameters'!$E$27:$I$27,1,$B$5)-T28)*(1-W28))</f>
        <v>3.2992755077120454E-2</v>
      </c>
      <c r="Y28" s="132">
        <v>3.2756829535281806E-2</v>
      </c>
      <c r="Z28" s="108">
        <f t="shared" si="10"/>
        <v>1009827</v>
      </c>
      <c r="AA28" s="97">
        <f>MIN(VLOOKUP(A28,'2019-20 disagg'!$A$12:$BB$220,54,FALSE),-2.5%)</f>
        <v>-2.5000000000000001E-2</v>
      </c>
      <c r="AB28" s="99">
        <f t="shared" si="2"/>
        <v>944881.8687407712</v>
      </c>
      <c r="AC28" s="99">
        <f>MAX(IF(INDEX('Pace of change parameters'!$E$29:$I$29,1,$B$5)=1,MAX(AB28,Z28),Z28),L28)</f>
        <v>1009827</v>
      </c>
      <c r="AD28" s="97">
        <f t="shared" si="3"/>
        <v>3.7117715567441589E-2</v>
      </c>
      <c r="AE28" s="146">
        <v>3.688084792457258E-2</v>
      </c>
      <c r="AF28" s="56">
        <f t="shared" si="11"/>
        <v>1009827</v>
      </c>
      <c r="AG28" s="56">
        <v>1935.0584415606847</v>
      </c>
      <c r="AH28" s="16">
        <f t="shared" si="4"/>
        <v>3.7117715567441589E-2</v>
      </c>
      <c r="AI28" s="16">
        <f t="shared" si="5"/>
        <v>3.688084792457258E-2</v>
      </c>
      <c r="AJ28" s="56"/>
      <c r="AK28" s="56">
        <v>969109.60896489362</v>
      </c>
      <c r="AL28" s="56">
        <v>1857.0346501183783</v>
      </c>
      <c r="AM28" s="16">
        <f t="shared" si="12"/>
        <v>4.2015258809162681E-2</v>
      </c>
      <c r="AN28" s="58">
        <f t="shared" si="12"/>
        <v>4.2015258809162681E-2</v>
      </c>
      <c r="AP28" s="56">
        <f t="shared" si="6"/>
        <v>1</v>
      </c>
      <c r="AQ28" s="56">
        <f t="shared" si="7"/>
        <v>0</v>
      </c>
    </row>
    <row r="29" spans="1:43" x14ac:dyDescent="0.2">
      <c r="A29" s="156" t="s">
        <v>103</v>
      </c>
      <c r="B29" s="156" t="s">
        <v>104</v>
      </c>
      <c r="D29" s="68">
        <f>VLOOKUP(A29,'2019-20 disagg'!A29:AZ237,43,FALSE)</f>
        <v>724575</v>
      </c>
      <c r="E29" s="73">
        <v>1919.33840079073</v>
      </c>
      <c r="F29" s="55"/>
      <c r="G29" s="88">
        <v>698170.81761663419</v>
      </c>
      <c r="H29" s="81">
        <v>1845.3164942857295</v>
      </c>
      <c r="I29" s="90"/>
      <c r="J29" s="103">
        <f t="shared" si="8"/>
        <v>3.7819086271039692E-2</v>
      </c>
      <c r="K29" s="126">
        <f t="shared" si="8"/>
        <v>4.0113393412034792E-2</v>
      </c>
      <c r="L29" s="56">
        <v>751139</v>
      </c>
      <c r="M29" s="103">
        <v>2.6771769025573766E-2</v>
      </c>
      <c r="N29" s="97">
        <f>INDEX('Pace of change parameters'!$E$22:$I$22,1,$B$5)</f>
        <v>2.4506891160555818E-2</v>
      </c>
      <c r="O29" s="108">
        <f>MAX(IF(INDEX('Pace of change parameters'!$E$30:$I$30,1,$B$5)=1,(1+M29)*D29,D29),L29)</f>
        <v>751139</v>
      </c>
      <c r="P29" s="94">
        <f>IF(K29&lt;INDEX('Pace of change parameters'!$E$18:$I$18,1,$B$5),1,IF(K29&gt;INDEX('Pace of change parameters'!$E$19:$I$19,1,$B$5),0,(K29-INDEX('Pace of change parameters'!$E$19:$I$19,1,$B$5))/(INDEX('Pace of change parameters'!$E$18:$I$18,1,$B$5)-INDEX('Pace of change parameters'!$E$19:$I$19,1,$B$5))))</f>
        <v>0</v>
      </c>
      <c r="Q29" s="57">
        <v>2.6771769025573766E-2</v>
      </c>
      <c r="R29" s="57">
        <v>2.450689116055571E-2</v>
      </c>
      <c r="S29" s="9">
        <f>MAX(IF(INDEX('Pace of change parameters'!$E$31:$I$31,1,$B$5)=1,D29*(1+Q29),D29),L29)</f>
        <v>751139</v>
      </c>
      <c r="T29" s="103">
        <f>IF(Q29&lt;INDEX('Pace of change parameters'!$E$24:$I$24,1,$B$5),INDEX('Pace of change parameters'!$E$24:$I$24,1,$B$5),Q29)</f>
        <v>3.2992755077120454E-2</v>
      </c>
      <c r="U29" s="132">
        <v>3.0714154811436911E-2</v>
      </c>
      <c r="V29" s="117">
        <f t="shared" si="9"/>
        <v>751139</v>
      </c>
      <c r="W29" s="131">
        <f>IF(J29&gt;INDEX('Pace of change parameters'!$E$26:$I$26,1,$B$5),0,IF(J29&lt;INDEX('Pace of change parameters'!$E$25:$I$25,1,$B$5),1,(J29-INDEX('Pace of change parameters'!$E$26:$I$26,1,$B$5))/(INDEX('Pace of change parameters'!$E$25:$I$25,1,$B$5)-INDEX('Pace of change parameters'!$E$26:$I$26,1,$B$5))))</f>
        <v>1</v>
      </c>
      <c r="X29" s="132">
        <f>MIN(T29, T29+(INDEX('Pace of change parameters'!$E$27:$I$27,1,$B$5)-T29)*(1-W29))</f>
        <v>3.2992755077120454E-2</v>
      </c>
      <c r="Y29" s="132">
        <v>3.0714154811436911E-2</v>
      </c>
      <c r="Z29" s="108">
        <f t="shared" si="10"/>
        <v>751139</v>
      </c>
      <c r="AA29" s="97">
        <f>MIN(VLOOKUP(A29,'2019-20 disagg'!$A$12:$BB$220,54,FALSE),-2.5%)</f>
        <v>-2.5000000000000001E-2</v>
      </c>
      <c r="AB29" s="99">
        <f t="shared" si="2"/>
        <v>708443.64966454427</v>
      </c>
      <c r="AC29" s="99">
        <f>MAX(IF(INDEX('Pace of change parameters'!$E$29:$I$29,1,$B$5)=1,MAX(AB29,Z29),Z29),L29)</f>
        <v>751139</v>
      </c>
      <c r="AD29" s="97">
        <f t="shared" si="3"/>
        <v>3.6661491218990427E-2</v>
      </c>
      <c r="AE29" s="146">
        <v>3.4374798366881176E-2</v>
      </c>
      <c r="AF29" s="56">
        <f t="shared" si="11"/>
        <v>751139</v>
      </c>
      <c r="AG29" s="56">
        <v>1985.3152713157235</v>
      </c>
      <c r="AH29" s="16">
        <f t="shared" si="4"/>
        <v>3.6661491218990427E-2</v>
      </c>
      <c r="AI29" s="16">
        <f t="shared" si="5"/>
        <v>3.4374798366881176E-2</v>
      </c>
      <c r="AJ29" s="56"/>
      <c r="AK29" s="56">
        <v>726608.87145081465</v>
      </c>
      <c r="AL29" s="56">
        <v>1920.4803488632406</v>
      </c>
      <c r="AM29" s="16">
        <f t="shared" si="12"/>
        <v>3.3759742707526019E-2</v>
      </c>
      <c r="AN29" s="58">
        <f t="shared" si="12"/>
        <v>3.3759742707526019E-2</v>
      </c>
      <c r="AP29" s="56">
        <f t="shared" si="6"/>
        <v>1</v>
      </c>
      <c r="AQ29" s="56">
        <f t="shared" si="7"/>
        <v>0</v>
      </c>
    </row>
    <row r="30" spans="1:43" x14ac:dyDescent="0.2">
      <c r="A30" s="156" t="s">
        <v>105</v>
      </c>
      <c r="B30" s="156" t="s">
        <v>106</v>
      </c>
      <c r="D30" s="68">
        <f>VLOOKUP(A30,'2019-20 disagg'!A30:AZ238,43,FALSE)</f>
        <v>353788</v>
      </c>
      <c r="E30" s="73">
        <v>1683.9829317103254</v>
      </c>
      <c r="F30" s="55"/>
      <c r="G30" s="88">
        <v>351484.47278478649</v>
      </c>
      <c r="H30" s="81">
        <v>1664.6009960201247</v>
      </c>
      <c r="I30" s="90"/>
      <c r="J30" s="103">
        <f t="shared" si="8"/>
        <v>6.5537097470134142E-3</v>
      </c>
      <c r="K30" s="126">
        <f t="shared" si="8"/>
        <v>1.1643592510481859E-2</v>
      </c>
      <c r="L30" s="56">
        <v>367605</v>
      </c>
      <c r="M30" s="103">
        <v>2.9687558536649616E-2</v>
      </c>
      <c r="N30" s="97">
        <f>INDEX('Pace of change parameters'!$E$22:$I$22,1,$B$5)</f>
        <v>2.4506891160555818E-2</v>
      </c>
      <c r="O30" s="108">
        <f>MAX(IF(INDEX('Pace of change parameters'!$E$30:$I$30,1,$B$5)=1,(1+M30)*D30,D30),L30)</f>
        <v>367605</v>
      </c>
      <c r="P30" s="94">
        <f>IF(K30&lt;INDEX('Pace of change parameters'!$E$18:$I$18,1,$B$5),1,IF(K30&gt;INDEX('Pace of change parameters'!$E$19:$I$19,1,$B$5),0,(K30-INDEX('Pace of change parameters'!$E$19:$I$19,1,$B$5))/(INDEX('Pace of change parameters'!$E$18:$I$18,1,$B$5)-INDEX('Pace of change parameters'!$E$19:$I$19,1,$B$5))))</f>
        <v>0</v>
      </c>
      <c r="Q30" s="57">
        <v>2.9687558536649616E-2</v>
      </c>
      <c r="R30" s="57">
        <v>2.450689116055571E-2</v>
      </c>
      <c r="S30" s="9">
        <f>MAX(IF(INDEX('Pace of change parameters'!$E$31:$I$31,1,$B$5)=1,D30*(1+Q30),D30),L30)</f>
        <v>367605</v>
      </c>
      <c r="T30" s="103">
        <f>IF(Q30&lt;INDEX('Pace of change parameters'!$E$24:$I$24,1,$B$5),INDEX('Pace of change parameters'!$E$24:$I$24,1,$B$5),Q30)</f>
        <v>3.2992755077120454E-2</v>
      </c>
      <c r="U30" s="132">
        <v>2.7795458264507911E-2</v>
      </c>
      <c r="V30" s="117">
        <f t="shared" si="9"/>
        <v>367605</v>
      </c>
      <c r="W30" s="131">
        <f>IF(J30&gt;INDEX('Pace of change parameters'!$E$26:$I$26,1,$B$5),0,IF(J30&lt;INDEX('Pace of change parameters'!$E$25:$I$25,1,$B$5),1,(J30-INDEX('Pace of change parameters'!$E$26:$I$26,1,$B$5))/(INDEX('Pace of change parameters'!$E$25:$I$25,1,$B$5)-INDEX('Pace of change parameters'!$E$26:$I$26,1,$B$5))))</f>
        <v>1</v>
      </c>
      <c r="X30" s="132">
        <f>MIN(T30, T30+(INDEX('Pace of change parameters'!$E$27:$I$27,1,$B$5)-T30)*(1-W30))</f>
        <v>3.2992755077120454E-2</v>
      </c>
      <c r="Y30" s="132">
        <v>2.7795458264507911E-2</v>
      </c>
      <c r="Z30" s="108">
        <f t="shared" si="10"/>
        <v>367605</v>
      </c>
      <c r="AA30" s="97">
        <f>MIN(VLOOKUP(A30,'2019-20 disagg'!$A$12:$BB$220,54,FALSE),-2.5%)</f>
        <v>-2.5000000000000001E-2</v>
      </c>
      <c r="AB30" s="99">
        <f t="shared" si="2"/>
        <v>356643.00474752142</v>
      </c>
      <c r="AC30" s="99">
        <f>MAX(IF(INDEX('Pace of change parameters'!$E$29:$I$29,1,$B$5)=1,MAX(AB30,Z30),Z30),L30)</f>
        <v>367605</v>
      </c>
      <c r="AD30" s="97">
        <f t="shared" si="3"/>
        <v>3.9054461994188605E-2</v>
      </c>
      <c r="AE30" s="146">
        <v>3.3826666913428172E-2</v>
      </c>
      <c r="AF30" s="56">
        <f t="shared" si="11"/>
        <v>367605</v>
      </c>
      <c r="AG30" s="56">
        <v>1740.9464614291887</v>
      </c>
      <c r="AH30" s="16">
        <f t="shared" si="4"/>
        <v>3.9054461994188605E-2</v>
      </c>
      <c r="AI30" s="16">
        <f t="shared" si="5"/>
        <v>3.3826666913428172E-2</v>
      </c>
      <c r="AJ30" s="56"/>
      <c r="AK30" s="56">
        <v>365787.69717694505</v>
      </c>
      <c r="AL30" s="56">
        <v>1732.3398676147879</v>
      </c>
      <c r="AM30" s="16">
        <f t="shared" si="12"/>
        <v>4.9681901197893286E-3</v>
      </c>
      <c r="AN30" s="58">
        <f t="shared" si="12"/>
        <v>4.9681901197893286E-3</v>
      </c>
      <c r="AP30" s="56">
        <f t="shared" si="6"/>
        <v>1</v>
      </c>
      <c r="AQ30" s="56">
        <f t="shared" si="7"/>
        <v>0</v>
      </c>
    </row>
    <row r="31" spans="1:43" x14ac:dyDescent="0.2">
      <c r="A31" s="156" t="s">
        <v>107</v>
      </c>
      <c r="B31" s="156" t="s">
        <v>108</v>
      </c>
      <c r="D31" s="68">
        <f>VLOOKUP(A31,'2019-20 disagg'!A31:AZ239,43,FALSE)</f>
        <v>294189</v>
      </c>
      <c r="E31" s="73">
        <v>1921.549094694348</v>
      </c>
      <c r="F31" s="55"/>
      <c r="G31" s="88">
        <v>283998.60135239724</v>
      </c>
      <c r="H31" s="81">
        <v>1847.638274032432</v>
      </c>
      <c r="I31" s="90"/>
      <c r="J31" s="103">
        <f t="shared" si="8"/>
        <v>3.5881862090433758E-2</v>
      </c>
      <c r="K31" s="126">
        <f t="shared" si="8"/>
        <v>4.000286295250155E-2</v>
      </c>
      <c r="L31" s="56">
        <v>305478</v>
      </c>
      <c r="M31" s="103">
        <v>2.8582639502308993E-2</v>
      </c>
      <c r="N31" s="97">
        <f>INDEX('Pace of change parameters'!$E$22:$I$22,1,$B$5)</f>
        <v>2.4506891160555818E-2</v>
      </c>
      <c r="O31" s="108">
        <f>MAX(IF(INDEX('Pace of change parameters'!$E$30:$I$30,1,$B$5)=1,(1+M31)*D31,D31),L31)</f>
        <v>305478</v>
      </c>
      <c r="P31" s="94">
        <f>IF(K31&lt;INDEX('Pace of change parameters'!$E$18:$I$18,1,$B$5),1,IF(K31&gt;INDEX('Pace of change parameters'!$E$19:$I$19,1,$B$5),0,(K31-INDEX('Pace of change parameters'!$E$19:$I$19,1,$B$5))/(INDEX('Pace of change parameters'!$E$18:$I$18,1,$B$5)-INDEX('Pace of change parameters'!$E$19:$I$19,1,$B$5))))</f>
        <v>0</v>
      </c>
      <c r="Q31" s="57">
        <v>2.8582639502308993E-2</v>
      </c>
      <c r="R31" s="57">
        <v>2.450689116055571E-2</v>
      </c>
      <c r="S31" s="9">
        <f>MAX(IF(INDEX('Pace of change parameters'!$E$31:$I$31,1,$B$5)=1,D31*(1+Q31),D31),L31)</f>
        <v>305478</v>
      </c>
      <c r="T31" s="103">
        <f>IF(Q31&lt;INDEX('Pace of change parameters'!$E$24:$I$24,1,$B$5),INDEX('Pace of change parameters'!$E$24:$I$24,1,$B$5),Q31)</f>
        <v>3.2992755077120454E-2</v>
      </c>
      <c r="U31" s="132">
        <v>2.8899531696852332E-2</v>
      </c>
      <c r="V31" s="117">
        <f t="shared" si="9"/>
        <v>305478</v>
      </c>
      <c r="W31" s="131">
        <f>IF(J31&gt;INDEX('Pace of change parameters'!$E$26:$I$26,1,$B$5),0,IF(J31&lt;INDEX('Pace of change parameters'!$E$25:$I$25,1,$B$5),1,(J31-INDEX('Pace of change parameters'!$E$26:$I$26,1,$B$5))/(INDEX('Pace of change parameters'!$E$25:$I$25,1,$B$5)-INDEX('Pace of change parameters'!$E$26:$I$26,1,$B$5))))</f>
        <v>1</v>
      </c>
      <c r="X31" s="132">
        <f>MIN(T31, T31+(INDEX('Pace of change parameters'!$E$27:$I$27,1,$B$5)-T31)*(1-W31))</f>
        <v>3.2992755077120454E-2</v>
      </c>
      <c r="Y31" s="132">
        <v>2.8899531696852332E-2</v>
      </c>
      <c r="Z31" s="108">
        <f t="shared" si="10"/>
        <v>305478</v>
      </c>
      <c r="AA31" s="97">
        <f>MIN(VLOOKUP(A31,'2019-20 disagg'!$A$12:$BB$220,54,FALSE),-2.5%)</f>
        <v>-2.5000000000000001E-2</v>
      </c>
      <c r="AB31" s="99">
        <f t="shared" si="2"/>
        <v>288110.5880446501</v>
      </c>
      <c r="AC31" s="99">
        <f>MAX(IF(INDEX('Pace of change parameters'!$E$29:$I$29,1,$B$5)=1,MAX(AB31,Z31),Z31),L31)</f>
        <v>305478</v>
      </c>
      <c r="AD31" s="97">
        <f t="shared" si="3"/>
        <v>3.8373290639690749E-2</v>
      </c>
      <c r="AE31" s="146">
        <v>3.425874694148745E-2</v>
      </c>
      <c r="AF31" s="56">
        <f t="shared" si="11"/>
        <v>305478</v>
      </c>
      <c r="AG31" s="56">
        <v>1987.3789588651262</v>
      </c>
      <c r="AH31" s="16">
        <f t="shared" si="4"/>
        <v>3.8373290639690749E-2</v>
      </c>
      <c r="AI31" s="16">
        <f t="shared" si="5"/>
        <v>3.425874694148745E-2</v>
      </c>
      <c r="AJ31" s="56"/>
      <c r="AK31" s="56">
        <v>295498.03902015393</v>
      </c>
      <c r="AL31" s="56">
        <v>1922.4513226306312</v>
      </c>
      <c r="AM31" s="16">
        <f t="shared" si="12"/>
        <v>3.3773357728324571E-2</v>
      </c>
      <c r="AN31" s="58">
        <f t="shared" si="12"/>
        <v>3.3773357728324571E-2</v>
      </c>
      <c r="AP31" s="56">
        <f t="shared" si="6"/>
        <v>1</v>
      </c>
      <c r="AQ31" s="56">
        <f t="shared" si="7"/>
        <v>0</v>
      </c>
    </row>
    <row r="32" spans="1:43" x14ac:dyDescent="0.2">
      <c r="A32" s="156" t="s">
        <v>109</v>
      </c>
      <c r="B32" s="156" t="s">
        <v>110</v>
      </c>
      <c r="D32" s="68">
        <f>VLOOKUP(A32,'2019-20 disagg'!A32:AZ240,43,FALSE)</f>
        <v>371715</v>
      </c>
      <c r="E32" s="73">
        <v>1747.5100534063536</v>
      </c>
      <c r="F32" s="55"/>
      <c r="G32" s="88">
        <v>369859.01108526223</v>
      </c>
      <c r="H32" s="81">
        <v>1735.6056055125043</v>
      </c>
      <c r="I32" s="90"/>
      <c r="J32" s="103">
        <f t="shared" si="8"/>
        <v>5.0180984080712143E-3</v>
      </c>
      <c r="K32" s="126">
        <f t="shared" si="8"/>
        <v>6.8589591183845222E-3</v>
      </c>
      <c r="L32" s="56">
        <v>385841</v>
      </c>
      <c r="M32" s="103">
        <v>2.6383448892570716E-2</v>
      </c>
      <c r="N32" s="97">
        <f>INDEX('Pace of change parameters'!$E$22:$I$22,1,$B$5)</f>
        <v>2.4506891160555818E-2</v>
      </c>
      <c r="O32" s="108">
        <f>MAX(IF(INDEX('Pace of change parameters'!$E$30:$I$30,1,$B$5)=1,(1+M32)*D32,D32),L32)</f>
        <v>385841</v>
      </c>
      <c r="P32" s="94">
        <f>IF(K32&lt;INDEX('Pace of change parameters'!$E$18:$I$18,1,$B$5),1,IF(K32&gt;INDEX('Pace of change parameters'!$E$19:$I$19,1,$B$5),0,(K32-INDEX('Pace of change parameters'!$E$19:$I$19,1,$B$5))/(INDEX('Pace of change parameters'!$E$18:$I$18,1,$B$5)-INDEX('Pace of change parameters'!$E$19:$I$19,1,$B$5))))</f>
        <v>0</v>
      </c>
      <c r="Q32" s="57">
        <v>2.6383448892570716E-2</v>
      </c>
      <c r="R32" s="57">
        <v>2.450689116055571E-2</v>
      </c>
      <c r="S32" s="9">
        <f>MAX(IF(INDEX('Pace of change parameters'!$E$31:$I$31,1,$B$5)=1,D32*(1+Q32),D32),L32)</f>
        <v>385841</v>
      </c>
      <c r="T32" s="103">
        <f>IF(Q32&lt;INDEX('Pace of change parameters'!$E$24:$I$24,1,$B$5),INDEX('Pace of change parameters'!$E$24:$I$24,1,$B$5),Q32)</f>
        <v>3.2992755077120454E-2</v>
      </c>
      <c r="U32" s="132">
        <v>3.1104113416202228E-2</v>
      </c>
      <c r="V32" s="117">
        <f t="shared" si="9"/>
        <v>385841</v>
      </c>
      <c r="W32" s="131">
        <f>IF(J32&gt;INDEX('Pace of change parameters'!$E$26:$I$26,1,$B$5),0,IF(J32&lt;INDEX('Pace of change parameters'!$E$25:$I$25,1,$B$5),1,(J32-INDEX('Pace of change parameters'!$E$26:$I$26,1,$B$5))/(INDEX('Pace of change parameters'!$E$25:$I$25,1,$B$5)-INDEX('Pace of change parameters'!$E$26:$I$26,1,$B$5))))</f>
        <v>1</v>
      </c>
      <c r="X32" s="132">
        <f>MIN(T32, T32+(INDEX('Pace of change parameters'!$E$27:$I$27,1,$B$5)-T32)*(1-W32))</f>
        <v>3.2992755077120454E-2</v>
      </c>
      <c r="Y32" s="132">
        <v>3.1104113416202228E-2</v>
      </c>
      <c r="Z32" s="108">
        <f t="shared" si="10"/>
        <v>385841</v>
      </c>
      <c r="AA32" s="97">
        <f>MIN(VLOOKUP(A32,'2019-20 disagg'!$A$12:$BB$220,54,FALSE),-2.5%)</f>
        <v>-2.5000000000000001E-2</v>
      </c>
      <c r="AB32" s="99">
        <f t="shared" si="2"/>
        <v>375316.39629079332</v>
      </c>
      <c r="AC32" s="99">
        <f>MAX(IF(INDEX('Pace of change parameters'!$E$29:$I$29,1,$B$5)=1,MAX(AB32,Z32),Z32),L32)</f>
        <v>385841</v>
      </c>
      <c r="AD32" s="97">
        <f t="shared" si="3"/>
        <v>3.8002232893480148E-2</v>
      </c>
      <c r="AE32" s="146">
        <v>3.6104432302398237E-2</v>
      </c>
      <c r="AF32" s="56">
        <f t="shared" si="11"/>
        <v>385841</v>
      </c>
      <c r="AG32" s="56">
        <v>1810.6029118273236</v>
      </c>
      <c r="AH32" s="16">
        <f t="shared" si="4"/>
        <v>3.8002232893480148E-2</v>
      </c>
      <c r="AI32" s="16">
        <f t="shared" si="5"/>
        <v>3.6104432302398237E-2</v>
      </c>
      <c r="AJ32" s="56"/>
      <c r="AK32" s="56">
        <v>384939.89363158291</v>
      </c>
      <c r="AL32" s="56">
        <v>1806.3743673892725</v>
      </c>
      <c r="AM32" s="16">
        <f t="shared" si="12"/>
        <v>2.3409014844264497E-3</v>
      </c>
      <c r="AN32" s="58">
        <f t="shared" si="12"/>
        <v>2.3409014844262277E-3</v>
      </c>
      <c r="AP32" s="56">
        <f t="shared" si="6"/>
        <v>1</v>
      </c>
      <c r="AQ32" s="56">
        <f t="shared" si="7"/>
        <v>0</v>
      </c>
    </row>
    <row r="33" spans="1:43" x14ac:dyDescent="0.2">
      <c r="A33" s="156" t="s">
        <v>111</v>
      </c>
      <c r="B33" s="156" t="s">
        <v>112</v>
      </c>
      <c r="D33" s="68">
        <f>VLOOKUP(A33,'2019-20 disagg'!A33:AZ241,43,FALSE)</f>
        <v>259557</v>
      </c>
      <c r="E33" s="73">
        <v>1979.9923096349489</v>
      </c>
      <c r="F33" s="55"/>
      <c r="G33" s="88">
        <v>249383.90810984225</v>
      </c>
      <c r="H33" s="81">
        <v>1898.4904032382603</v>
      </c>
      <c r="I33" s="90"/>
      <c r="J33" s="103">
        <f t="shared" si="8"/>
        <v>4.0792896250855915E-2</v>
      </c>
      <c r="K33" s="126">
        <f t="shared" si="8"/>
        <v>4.2929849030403533E-2</v>
      </c>
      <c r="L33" s="56">
        <v>269382</v>
      </c>
      <c r="M33" s="103">
        <v>2.6610405564446937E-2</v>
      </c>
      <c r="N33" s="97">
        <f>INDEX('Pace of change parameters'!$E$22:$I$22,1,$B$5)</f>
        <v>2.4506891160555818E-2</v>
      </c>
      <c r="O33" s="108">
        <f>MAX(IF(INDEX('Pace of change parameters'!$E$30:$I$30,1,$B$5)=1,(1+M33)*D33,D33),L33)</f>
        <v>269382</v>
      </c>
      <c r="P33" s="94">
        <f>IF(K33&lt;INDEX('Pace of change parameters'!$E$18:$I$18,1,$B$5),1,IF(K33&gt;INDEX('Pace of change parameters'!$E$19:$I$19,1,$B$5),0,(K33-INDEX('Pace of change parameters'!$E$19:$I$19,1,$B$5))/(INDEX('Pace of change parameters'!$E$18:$I$18,1,$B$5)-INDEX('Pace of change parameters'!$E$19:$I$19,1,$B$5))))</f>
        <v>0</v>
      </c>
      <c r="Q33" s="57">
        <v>2.6610405564446937E-2</v>
      </c>
      <c r="R33" s="57">
        <v>2.450689116055571E-2</v>
      </c>
      <c r="S33" s="9">
        <f>MAX(IF(INDEX('Pace of change parameters'!$E$31:$I$31,1,$B$5)=1,D33*(1+Q33),D33),L33)</f>
        <v>269382</v>
      </c>
      <c r="T33" s="103">
        <f>IF(Q33&lt;INDEX('Pace of change parameters'!$E$24:$I$24,1,$B$5),INDEX('Pace of change parameters'!$E$24:$I$24,1,$B$5),Q33)</f>
        <v>3.2992755077120454E-2</v>
      </c>
      <c r="U33" s="132">
        <v>3.0876163303218407E-2</v>
      </c>
      <c r="V33" s="117">
        <f t="shared" si="9"/>
        <v>269382</v>
      </c>
      <c r="W33" s="131">
        <f>IF(J33&gt;INDEX('Pace of change parameters'!$E$26:$I$26,1,$B$5),0,IF(J33&lt;INDEX('Pace of change parameters'!$E$25:$I$25,1,$B$5),1,(J33-INDEX('Pace of change parameters'!$E$26:$I$26,1,$B$5))/(INDEX('Pace of change parameters'!$E$25:$I$25,1,$B$5)-INDEX('Pace of change parameters'!$E$26:$I$26,1,$B$5))))</f>
        <v>1</v>
      </c>
      <c r="X33" s="132">
        <f>MIN(T33, T33+(INDEX('Pace of change parameters'!$E$27:$I$27,1,$B$5)-T33)*(1-W33))</f>
        <v>3.2992755077120454E-2</v>
      </c>
      <c r="Y33" s="132">
        <v>3.0876163303218407E-2</v>
      </c>
      <c r="Z33" s="108">
        <f t="shared" si="10"/>
        <v>269382</v>
      </c>
      <c r="AA33" s="97">
        <f>MIN(VLOOKUP(A33,'2019-20 disagg'!$A$12:$BB$220,54,FALSE),-2.5%)</f>
        <v>-2.5000000000000001E-2</v>
      </c>
      <c r="AB33" s="99">
        <f t="shared" si="2"/>
        <v>252998.80329921094</v>
      </c>
      <c r="AC33" s="99">
        <f>MAX(IF(INDEX('Pace of change parameters'!$E$29:$I$29,1,$B$5)=1,MAX(AB33,Z33),Z33),L33)</f>
        <v>269382</v>
      </c>
      <c r="AD33" s="97">
        <f t="shared" si="3"/>
        <v>3.7852957153919897E-2</v>
      </c>
      <c r="AE33" s="146">
        <v>3.5726406874805994E-2</v>
      </c>
      <c r="AF33" s="56">
        <f t="shared" si="11"/>
        <v>269382</v>
      </c>
      <c r="AG33" s="56">
        <v>2050.7303204979539</v>
      </c>
      <c r="AH33" s="16">
        <f t="shared" si="4"/>
        <v>3.7852957153919897E-2</v>
      </c>
      <c r="AI33" s="16">
        <f t="shared" si="5"/>
        <v>3.5726406874805994E-2</v>
      </c>
      <c r="AJ33" s="56"/>
      <c r="AK33" s="56">
        <v>259485.95210175481</v>
      </c>
      <c r="AL33" s="56">
        <v>1975.394457381519</v>
      </c>
      <c r="AM33" s="16">
        <f t="shared" si="12"/>
        <v>3.8137123871601952E-2</v>
      </c>
      <c r="AN33" s="58">
        <f t="shared" si="12"/>
        <v>3.8137123871601952E-2</v>
      </c>
      <c r="AP33" s="56">
        <f t="shared" si="6"/>
        <v>1</v>
      </c>
      <c r="AQ33" s="56">
        <f t="shared" si="7"/>
        <v>0</v>
      </c>
    </row>
    <row r="34" spans="1:43" x14ac:dyDescent="0.2">
      <c r="A34" s="156" t="s">
        <v>113</v>
      </c>
      <c r="B34" s="156" t="s">
        <v>114</v>
      </c>
      <c r="D34" s="68">
        <f>VLOOKUP(A34,'2019-20 disagg'!A34:AZ242,43,FALSE)</f>
        <v>436218</v>
      </c>
      <c r="E34" s="73">
        <v>1900.3040341137478</v>
      </c>
      <c r="F34" s="55"/>
      <c r="G34" s="88">
        <v>441604.71412689809</v>
      </c>
      <c r="H34" s="81">
        <v>1918.6879968805183</v>
      </c>
      <c r="I34" s="90"/>
      <c r="J34" s="103">
        <f t="shared" si="8"/>
        <v>-1.2198044890775694E-2</v>
      </c>
      <c r="K34" s="126">
        <f t="shared" si="8"/>
        <v>-9.581528000727535E-3</v>
      </c>
      <c r="L34" s="56">
        <v>452943</v>
      </c>
      <c r="M34" s="103">
        <v>2.7220633091139312E-2</v>
      </c>
      <c r="N34" s="97">
        <f>INDEX('Pace of change parameters'!$E$22:$I$22,1,$B$5)</f>
        <v>2.4506891160555818E-2</v>
      </c>
      <c r="O34" s="108">
        <f>MAX(IF(INDEX('Pace of change parameters'!$E$30:$I$30,1,$B$5)=1,(1+M34)*D34,D34),L34)</f>
        <v>452943</v>
      </c>
      <c r="P34" s="94">
        <f>IF(K34&lt;INDEX('Pace of change parameters'!$E$18:$I$18,1,$B$5),1,IF(K34&gt;INDEX('Pace of change parameters'!$E$19:$I$19,1,$B$5),0,(K34-INDEX('Pace of change parameters'!$E$19:$I$19,1,$B$5))/(INDEX('Pace of change parameters'!$E$18:$I$18,1,$B$5)-INDEX('Pace of change parameters'!$E$19:$I$19,1,$B$5))))</f>
        <v>0.52705725684020954</v>
      </c>
      <c r="Q34" s="57">
        <v>3.572509021712178E-2</v>
      </c>
      <c r="R34" s="57">
        <v>3.2988880959504252E-2</v>
      </c>
      <c r="S34" s="9">
        <f>MAX(IF(INDEX('Pace of change parameters'!$E$31:$I$31,1,$B$5)=1,D34*(1+Q34),D34),L34)</f>
        <v>452943</v>
      </c>
      <c r="T34" s="103">
        <f>IF(Q34&lt;INDEX('Pace of change parameters'!$E$24:$I$24,1,$B$5),INDEX('Pace of change parameters'!$E$24:$I$24,1,$B$5),Q34)</f>
        <v>3.572509021712178E-2</v>
      </c>
      <c r="U34" s="132">
        <v>3.2988880959504252E-2</v>
      </c>
      <c r="V34" s="117">
        <f t="shared" si="9"/>
        <v>452943</v>
      </c>
      <c r="W34" s="131">
        <f>IF(J34&gt;INDEX('Pace of change parameters'!$E$26:$I$26,1,$B$5),0,IF(J34&lt;INDEX('Pace of change parameters'!$E$25:$I$25,1,$B$5),1,(J34-INDEX('Pace of change parameters'!$E$26:$I$26,1,$B$5))/(INDEX('Pace of change parameters'!$E$25:$I$25,1,$B$5)-INDEX('Pace of change parameters'!$E$26:$I$26,1,$B$5))))</f>
        <v>1</v>
      </c>
      <c r="X34" s="132">
        <f>MIN(T34, T34+(INDEX('Pace of change parameters'!$E$27:$I$27,1,$B$5)-T34)*(1-W34))</f>
        <v>3.572509021712178E-2</v>
      </c>
      <c r="Y34" s="132">
        <v>3.2988880959504252E-2</v>
      </c>
      <c r="Z34" s="108">
        <f t="shared" si="10"/>
        <v>452943</v>
      </c>
      <c r="AA34" s="97">
        <f>MIN(VLOOKUP(A34,'2019-20 disagg'!$A$12:$BB$220,54,FALSE),-2.5%)</f>
        <v>-2.5000000000000001E-2</v>
      </c>
      <c r="AB34" s="99">
        <f t="shared" si="2"/>
        <v>448140.39986735932</v>
      </c>
      <c r="AC34" s="99">
        <f>MAX(IF(INDEX('Pace of change parameters'!$E$29:$I$29,1,$B$5)=1,MAX(AB34,Z34),Z34),L34)</f>
        <v>452943</v>
      </c>
      <c r="AD34" s="97">
        <f t="shared" si="3"/>
        <v>3.8340921282478124E-2</v>
      </c>
      <c r="AE34" s="146">
        <v>3.5597801444780197E-2</v>
      </c>
      <c r="AF34" s="56">
        <f t="shared" si="11"/>
        <v>452943</v>
      </c>
      <c r="AG34" s="56">
        <v>1967.9506798048433</v>
      </c>
      <c r="AH34" s="16">
        <f t="shared" si="4"/>
        <v>3.8340921282478124E-2</v>
      </c>
      <c r="AI34" s="16">
        <f t="shared" si="5"/>
        <v>3.5597801444779975E-2</v>
      </c>
      <c r="AJ34" s="56"/>
      <c r="AK34" s="56">
        <v>459631.17935113778</v>
      </c>
      <c r="AL34" s="56">
        <v>1997.0095395305225</v>
      </c>
      <c r="AM34" s="16">
        <f t="shared" si="12"/>
        <v>-1.4551187237949126E-2</v>
      </c>
      <c r="AN34" s="58">
        <f t="shared" si="12"/>
        <v>-1.4551187237949126E-2</v>
      </c>
      <c r="AP34" s="56">
        <f t="shared" si="6"/>
        <v>1</v>
      </c>
      <c r="AQ34" s="56">
        <f t="shared" si="7"/>
        <v>0</v>
      </c>
    </row>
    <row r="35" spans="1:43" x14ac:dyDescent="0.2">
      <c r="A35" s="156" t="s">
        <v>115</v>
      </c>
      <c r="B35" s="156" t="s">
        <v>116</v>
      </c>
      <c r="D35" s="68">
        <f>VLOOKUP(A35,'2019-20 disagg'!A35:AZ243,43,FALSE)</f>
        <v>360350</v>
      </c>
      <c r="E35" s="73">
        <v>2212.2633982146558</v>
      </c>
      <c r="F35" s="55"/>
      <c r="G35" s="88">
        <v>336335.20283975563</v>
      </c>
      <c r="H35" s="81">
        <v>2062.9432464541246</v>
      </c>
      <c r="I35" s="90"/>
      <c r="J35" s="103">
        <f t="shared" si="8"/>
        <v>7.1401378617170996E-2</v>
      </c>
      <c r="K35" s="126">
        <f t="shared" si="8"/>
        <v>7.238209389288297E-2</v>
      </c>
      <c r="L35" s="56">
        <v>371874</v>
      </c>
      <c r="M35" s="103">
        <v>2.5444681215978537E-2</v>
      </c>
      <c r="N35" s="97">
        <f>INDEX('Pace of change parameters'!$E$22:$I$22,1,$B$5)</f>
        <v>2.4506891160555818E-2</v>
      </c>
      <c r="O35" s="108">
        <f>MAX(IF(INDEX('Pace of change parameters'!$E$30:$I$30,1,$B$5)=1,(1+M35)*D35,D35),L35)</f>
        <v>371874</v>
      </c>
      <c r="P35" s="94">
        <f>IF(K35&lt;INDEX('Pace of change parameters'!$E$18:$I$18,1,$B$5),1,IF(K35&gt;INDEX('Pace of change parameters'!$E$19:$I$19,1,$B$5),0,(K35-INDEX('Pace of change parameters'!$E$19:$I$19,1,$B$5))/(INDEX('Pace of change parameters'!$E$18:$I$18,1,$B$5)-INDEX('Pace of change parameters'!$E$19:$I$19,1,$B$5))))</f>
        <v>0</v>
      </c>
      <c r="Q35" s="57">
        <v>2.5444681215978537E-2</v>
      </c>
      <c r="R35" s="57">
        <v>2.450689116055571E-2</v>
      </c>
      <c r="S35" s="9">
        <f>MAX(IF(INDEX('Pace of change parameters'!$E$31:$I$31,1,$B$5)=1,D35*(1+Q35),D35),L35)</f>
        <v>371874</v>
      </c>
      <c r="T35" s="103">
        <f>IF(Q35&lt;INDEX('Pace of change parameters'!$E$24:$I$24,1,$B$5),INDEX('Pace of change parameters'!$E$24:$I$24,1,$B$5),Q35)</f>
        <v>3.2992755077120454E-2</v>
      </c>
      <c r="U35" s="132">
        <v>3.2048062154352186E-2</v>
      </c>
      <c r="V35" s="117">
        <f t="shared" si="9"/>
        <v>372238.93929204036</v>
      </c>
      <c r="W35" s="131">
        <f>IF(J35&gt;INDEX('Pace of change parameters'!$E$26:$I$26,1,$B$5),0,IF(J35&lt;INDEX('Pace of change parameters'!$E$25:$I$25,1,$B$5),1,(J35-INDEX('Pace of change parameters'!$E$26:$I$26,1,$B$5))/(INDEX('Pace of change parameters'!$E$25:$I$25,1,$B$5)-INDEX('Pace of change parameters'!$E$26:$I$26,1,$B$5))))</f>
        <v>0.57197242765658018</v>
      </c>
      <c r="X35" s="132">
        <f>MIN(T35, T35+(INDEX('Pace of change parameters'!$E$27:$I$27,1,$B$5)-T35)*(1-W35))</f>
        <v>2.3576148485565218E-2</v>
      </c>
      <c r="Y35" s="132">
        <v>2.2640067241397555E-2</v>
      </c>
      <c r="Z35" s="108">
        <f t="shared" si="10"/>
        <v>371874</v>
      </c>
      <c r="AA35" s="97">
        <f>MIN(VLOOKUP(A35,'2019-20 disagg'!$A$12:$BB$220,54,FALSE),-2.5%)</f>
        <v>-2.5000000000000001E-2</v>
      </c>
      <c r="AB35" s="99">
        <f t="shared" si="2"/>
        <v>341235.86435989017</v>
      </c>
      <c r="AC35" s="99">
        <f>MAX(IF(INDEX('Pace of change parameters'!$E$29:$I$29,1,$B$5)=1,MAX(AB35,Z35),Z35),L35)</f>
        <v>371874</v>
      </c>
      <c r="AD35" s="97">
        <f t="shared" si="3"/>
        <v>3.1980019425558392E-2</v>
      </c>
      <c r="AE35" s="146">
        <v>3.1036252670179065E-2</v>
      </c>
      <c r="AF35" s="56">
        <f t="shared" si="11"/>
        <v>371874</v>
      </c>
      <c r="AG35" s="56">
        <v>2280.9237640146348</v>
      </c>
      <c r="AH35" s="16">
        <f t="shared" si="4"/>
        <v>3.1980019425558392E-2</v>
      </c>
      <c r="AI35" s="16">
        <f t="shared" si="5"/>
        <v>3.1036252670179065E-2</v>
      </c>
      <c r="AJ35" s="56"/>
      <c r="AK35" s="56">
        <v>349985.50190757966</v>
      </c>
      <c r="AL35" s="56">
        <v>2146.6686252913291</v>
      </c>
      <c r="AM35" s="16">
        <f t="shared" si="12"/>
        <v>6.254115662825499E-2</v>
      </c>
      <c r="AN35" s="58">
        <f t="shared" si="12"/>
        <v>6.254115662825499E-2</v>
      </c>
      <c r="AP35" s="56">
        <f t="shared" si="6"/>
        <v>1</v>
      </c>
      <c r="AQ35" s="56">
        <f t="shared" si="7"/>
        <v>0</v>
      </c>
    </row>
    <row r="36" spans="1:43" x14ac:dyDescent="0.2">
      <c r="A36" s="156" t="s">
        <v>117</v>
      </c>
      <c r="B36" s="156" t="s">
        <v>118</v>
      </c>
      <c r="D36" s="68">
        <f>VLOOKUP(A36,'2019-20 disagg'!A36:AZ244,43,FALSE)</f>
        <v>285777</v>
      </c>
      <c r="E36" s="73">
        <v>1793.591936475485</v>
      </c>
      <c r="F36" s="55"/>
      <c r="G36" s="88">
        <v>275068.43328622647</v>
      </c>
      <c r="H36" s="81">
        <v>1723.2615132387821</v>
      </c>
      <c r="I36" s="90"/>
      <c r="J36" s="103">
        <f t="shared" si="8"/>
        <v>3.8930554792634409E-2</v>
      </c>
      <c r="K36" s="126">
        <f t="shared" si="8"/>
        <v>4.0812391326793263E-2</v>
      </c>
      <c r="L36" s="56">
        <v>296584</v>
      </c>
      <c r="M36" s="103">
        <v>2.6362601812619513E-2</v>
      </c>
      <c r="N36" s="97">
        <f>INDEX('Pace of change parameters'!$E$22:$I$22,1,$B$5)</f>
        <v>2.4506891160555818E-2</v>
      </c>
      <c r="O36" s="108">
        <f>MAX(IF(INDEX('Pace of change parameters'!$E$30:$I$30,1,$B$5)=1,(1+M36)*D36,D36),L36)</f>
        <v>296584</v>
      </c>
      <c r="P36" s="94">
        <f>IF(K36&lt;INDEX('Pace of change parameters'!$E$18:$I$18,1,$B$5),1,IF(K36&gt;INDEX('Pace of change parameters'!$E$19:$I$19,1,$B$5),0,(K36-INDEX('Pace of change parameters'!$E$19:$I$19,1,$B$5))/(INDEX('Pace of change parameters'!$E$18:$I$18,1,$B$5)-INDEX('Pace of change parameters'!$E$19:$I$19,1,$B$5))))</f>
        <v>0</v>
      </c>
      <c r="Q36" s="57">
        <v>2.6362601812619513E-2</v>
      </c>
      <c r="R36" s="57">
        <v>2.450689116055571E-2</v>
      </c>
      <c r="S36" s="9">
        <f>MAX(IF(INDEX('Pace of change parameters'!$E$31:$I$31,1,$B$5)=1,D36*(1+Q36),D36),L36)</f>
        <v>296584</v>
      </c>
      <c r="T36" s="103">
        <f>IF(Q36&lt;INDEX('Pace of change parameters'!$E$24:$I$24,1,$B$5),INDEX('Pace of change parameters'!$E$24:$I$24,1,$B$5),Q36)</f>
        <v>3.2992755077120454E-2</v>
      </c>
      <c r="U36" s="132">
        <v>3.1125056803902096E-2</v>
      </c>
      <c r="V36" s="117">
        <f t="shared" si="9"/>
        <v>296584</v>
      </c>
      <c r="W36" s="131">
        <f>IF(J36&gt;INDEX('Pace of change parameters'!$E$26:$I$26,1,$B$5),0,IF(J36&lt;INDEX('Pace of change parameters'!$E$25:$I$25,1,$B$5),1,(J36-INDEX('Pace of change parameters'!$E$26:$I$26,1,$B$5))/(INDEX('Pace of change parameters'!$E$25:$I$25,1,$B$5)-INDEX('Pace of change parameters'!$E$26:$I$26,1,$B$5))))</f>
        <v>1</v>
      </c>
      <c r="X36" s="132">
        <f>MIN(T36, T36+(INDEX('Pace of change parameters'!$E$27:$I$27,1,$B$5)-T36)*(1-W36))</f>
        <v>3.2992755077120454E-2</v>
      </c>
      <c r="Y36" s="132">
        <v>3.1125056803902096E-2</v>
      </c>
      <c r="Z36" s="108">
        <f t="shared" si="10"/>
        <v>296584</v>
      </c>
      <c r="AA36" s="97">
        <f>MIN(VLOOKUP(A36,'2019-20 disagg'!$A$12:$BB$220,54,FALSE),-2.5%)</f>
        <v>-2.5000000000000001E-2</v>
      </c>
      <c r="AB36" s="99">
        <f t="shared" si="2"/>
        <v>279073.12833424599</v>
      </c>
      <c r="AC36" s="99">
        <f>MAX(IF(INDEX('Pace of change parameters'!$E$29:$I$29,1,$B$5)=1,MAX(AB36,Z36),Z36),L36)</f>
        <v>296584</v>
      </c>
      <c r="AD36" s="97">
        <f t="shared" si="3"/>
        <v>3.781619934424385E-2</v>
      </c>
      <c r="AE36" s="146">
        <v>3.5939780062592019E-2</v>
      </c>
      <c r="AF36" s="56">
        <f t="shared" si="11"/>
        <v>296584</v>
      </c>
      <c r="AG36" s="56">
        <v>1858.0532361944527</v>
      </c>
      <c r="AH36" s="16">
        <f t="shared" si="4"/>
        <v>3.781619934424385E-2</v>
      </c>
      <c r="AI36" s="16">
        <f t="shared" si="5"/>
        <v>3.5939780062592241E-2</v>
      </c>
      <c r="AJ36" s="56"/>
      <c r="AK36" s="56">
        <v>286228.84957358567</v>
      </c>
      <c r="AL36" s="56">
        <v>1793.1798082243683</v>
      </c>
      <c r="AM36" s="16">
        <f t="shared" si="12"/>
        <v>3.6177871105030457E-2</v>
      </c>
      <c r="AN36" s="58">
        <f t="shared" si="12"/>
        <v>3.6177871105030457E-2</v>
      </c>
      <c r="AP36" s="56">
        <f t="shared" si="6"/>
        <v>1</v>
      </c>
      <c r="AQ36" s="56">
        <f t="shared" si="7"/>
        <v>0</v>
      </c>
    </row>
    <row r="37" spans="1:43" x14ac:dyDescent="0.2">
      <c r="A37" s="156" t="s">
        <v>119</v>
      </c>
      <c r="B37" s="156" t="s">
        <v>120</v>
      </c>
      <c r="D37" s="68">
        <f>VLOOKUP(A37,'2019-20 disagg'!A37:AZ245,43,FALSE)</f>
        <v>1056089</v>
      </c>
      <c r="E37" s="73">
        <v>2068.8331314780453</v>
      </c>
      <c r="F37" s="55"/>
      <c r="G37" s="88">
        <v>1007435.2045102831</v>
      </c>
      <c r="H37" s="81">
        <v>1970.1803939524093</v>
      </c>
      <c r="I37" s="90"/>
      <c r="J37" s="103">
        <f t="shared" si="8"/>
        <v>4.8294714411303064E-2</v>
      </c>
      <c r="K37" s="126">
        <f t="shared" si="8"/>
        <v>5.0072946532437657E-2</v>
      </c>
      <c r="L37" s="56">
        <v>1092551</v>
      </c>
      <c r="M37" s="103">
        <v>2.6244771774795561E-2</v>
      </c>
      <c r="N37" s="97">
        <f>INDEX('Pace of change parameters'!$E$22:$I$22,1,$B$5)</f>
        <v>2.4506891160555818E-2</v>
      </c>
      <c r="O37" s="108">
        <f>MAX(IF(INDEX('Pace of change parameters'!$E$30:$I$30,1,$B$5)=1,(1+M37)*D37,D37),L37)</f>
        <v>1092551</v>
      </c>
      <c r="P37" s="94">
        <f>IF(K37&lt;INDEX('Pace of change parameters'!$E$18:$I$18,1,$B$5),1,IF(K37&gt;INDEX('Pace of change parameters'!$E$19:$I$19,1,$B$5),0,(K37-INDEX('Pace of change parameters'!$E$19:$I$19,1,$B$5))/(INDEX('Pace of change parameters'!$E$18:$I$18,1,$B$5)-INDEX('Pace of change parameters'!$E$19:$I$19,1,$B$5))))</f>
        <v>0</v>
      </c>
      <c r="Q37" s="57">
        <v>2.6244771774795561E-2</v>
      </c>
      <c r="R37" s="57">
        <v>2.450689116055571E-2</v>
      </c>
      <c r="S37" s="9">
        <f>MAX(IF(INDEX('Pace of change parameters'!$E$31:$I$31,1,$B$5)=1,D37*(1+Q37),D37),L37)</f>
        <v>1092551</v>
      </c>
      <c r="T37" s="103">
        <f>IF(Q37&lt;INDEX('Pace of change parameters'!$E$24:$I$24,1,$B$5),INDEX('Pace of change parameters'!$E$24:$I$24,1,$B$5),Q37)</f>
        <v>3.2992755077120454E-2</v>
      </c>
      <c r="U37" s="132">
        <v>3.1243447179946982E-2</v>
      </c>
      <c r="V37" s="117">
        <f t="shared" si="9"/>
        <v>1092551</v>
      </c>
      <c r="W37" s="131">
        <f>IF(J37&gt;INDEX('Pace of change parameters'!$E$26:$I$26,1,$B$5),0,IF(J37&lt;INDEX('Pace of change parameters'!$E$25:$I$25,1,$B$5),1,(J37-INDEX('Pace of change parameters'!$E$26:$I$26,1,$B$5))/(INDEX('Pace of change parameters'!$E$25:$I$25,1,$B$5)-INDEX('Pace of change parameters'!$E$26:$I$26,1,$B$5))))</f>
        <v>1</v>
      </c>
      <c r="X37" s="132">
        <f>MIN(T37, T37+(INDEX('Pace of change parameters'!$E$27:$I$27,1,$B$5)-T37)*(1-W37))</f>
        <v>3.2992755077120454E-2</v>
      </c>
      <c r="Y37" s="132">
        <v>3.1243447179946982E-2</v>
      </c>
      <c r="Z37" s="108">
        <f t="shared" si="10"/>
        <v>1092551</v>
      </c>
      <c r="AA37" s="97">
        <f>MIN(VLOOKUP(A37,'2019-20 disagg'!$A$12:$BB$220,54,FALSE),-2.5%)</f>
        <v>-2.5000000000000001E-2</v>
      </c>
      <c r="AB37" s="99">
        <f t="shared" si="2"/>
        <v>1022265.381616958</v>
      </c>
      <c r="AC37" s="99">
        <f>MAX(IF(INDEX('Pace of change parameters'!$E$29:$I$29,1,$B$5)=1,MAX(AB37,Z37),Z37),L37)</f>
        <v>1092551</v>
      </c>
      <c r="AD37" s="97">
        <f t="shared" si="3"/>
        <v>3.4525499271368165E-2</v>
      </c>
      <c r="AE37" s="146">
        <v>3.2773595768842867E-2</v>
      </c>
      <c r="AF37" s="56">
        <f t="shared" si="11"/>
        <v>1092551</v>
      </c>
      <c r="AG37" s="56">
        <v>2136.6362322422965</v>
      </c>
      <c r="AH37" s="16">
        <f t="shared" si="4"/>
        <v>3.4525499271368165E-2</v>
      </c>
      <c r="AI37" s="16">
        <f t="shared" si="5"/>
        <v>3.2773595768843089E-2</v>
      </c>
      <c r="AJ37" s="56"/>
      <c r="AK37" s="56">
        <v>1048477.3144789313</v>
      </c>
      <c r="AL37" s="56">
        <v>2050.4439781756505</v>
      </c>
      <c r="AM37" s="16">
        <f t="shared" si="12"/>
        <v>4.2035898070882372E-2</v>
      </c>
      <c r="AN37" s="58">
        <f t="shared" si="12"/>
        <v>4.2035898070882372E-2</v>
      </c>
      <c r="AP37" s="56">
        <f t="shared" si="6"/>
        <v>1</v>
      </c>
      <c r="AQ37" s="56">
        <f t="shared" si="7"/>
        <v>0</v>
      </c>
    </row>
    <row r="38" spans="1:43" x14ac:dyDescent="0.2">
      <c r="A38" s="156" t="s">
        <v>121</v>
      </c>
      <c r="B38" s="156" t="s">
        <v>122</v>
      </c>
      <c r="D38" s="68">
        <f>VLOOKUP(A38,'2019-20 disagg'!A38:AZ246,43,FALSE)</f>
        <v>431012</v>
      </c>
      <c r="E38" s="73">
        <v>2057.8407043647112</v>
      </c>
      <c r="F38" s="55"/>
      <c r="G38" s="88">
        <v>443115.2503395353</v>
      </c>
      <c r="H38" s="81">
        <v>2102.7101737048174</v>
      </c>
      <c r="I38" s="90"/>
      <c r="J38" s="103">
        <f t="shared" si="8"/>
        <v>-2.7314000884106848E-2</v>
      </c>
      <c r="K38" s="126">
        <f t="shared" si="8"/>
        <v>-2.1338874896415061E-2</v>
      </c>
      <c r="L38" s="56">
        <v>448162</v>
      </c>
      <c r="M38" s="103">
        <v>3.0800348407300282E-2</v>
      </c>
      <c r="N38" s="97">
        <f>INDEX('Pace of change parameters'!$E$22:$I$22,1,$B$5)</f>
        <v>2.4506891160555818E-2</v>
      </c>
      <c r="O38" s="108">
        <f>MAX(IF(INDEX('Pace of change parameters'!$E$30:$I$30,1,$B$5)=1,(1+M38)*D38,D38),L38)</f>
        <v>448162</v>
      </c>
      <c r="P38" s="94">
        <f>IF(K38&lt;INDEX('Pace of change parameters'!$E$18:$I$18,1,$B$5),1,IF(K38&gt;INDEX('Pace of change parameters'!$E$19:$I$19,1,$B$5),0,(K38-INDEX('Pace of change parameters'!$E$19:$I$19,1,$B$5))/(INDEX('Pace of change parameters'!$E$18:$I$18,1,$B$5)-INDEX('Pace of change parameters'!$E$19:$I$19,1,$B$5))))</f>
        <v>0.91271198456782743</v>
      </c>
      <c r="Q38" s="57">
        <v>4.5578951121184597E-2</v>
      </c>
      <c r="R38" s="57">
        <v>3.9195264467271063E-2</v>
      </c>
      <c r="S38" s="9">
        <f>MAX(IF(INDEX('Pace of change parameters'!$E$31:$I$31,1,$B$5)=1,D38*(1+Q38),D38),L38)</f>
        <v>450657.07488064404</v>
      </c>
      <c r="T38" s="103">
        <f>IF(Q38&lt;INDEX('Pace of change parameters'!$E$24:$I$24,1,$B$5),INDEX('Pace of change parameters'!$E$24:$I$24,1,$B$5),Q38)</f>
        <v>4.5578951121184597E-2</v>
      </c>
      <c r="U38" s="132">
        <v>3.9195264467271063E-2</v>
      </c>
      <c r="V38" s="117">
        <f t="shared" si="9"/>
        <v>450657.07488064404</v>
      </c>
      <c r="W38" s="131">
        <f>IF(J38&gt;INDEX('Pace of change parameters'!$E$26:$I$26,1,$B$5),0,IF(J38&lt;INDEX('Pace of change parameters'!$E$25:$I$25,1,$B$5),1,(J38-INDEX('Pace of change parameters'!$E$26:$I$26,1,$B$5))/(INDEX('Pace of change parameters'!$E$25:$I$25,1,$B$5)-INDEX('Pace of change parameters'!$E$26:$I$26,1,$B$5))))</f>
        <v>1</v>
      </c>
      <c r="X38" s="132">
        <f>MIN(T38, T38+(INDEX('Pace of change parameters'!$E$27:$I$27,1,$B$5)-T38)*(1-W38))</f>
        <v>4.5578951121184597E-2</v>
      </c>
      <c r="Y38" s="132">
        <v>3.9195264467271063E-2</v>
      </c>
      <c r="Z38" s="108">
        <f t="shared" si="10"/>
        <v>450657.07488064404</v>
      </c>
      <c r="AA38" s="97">
        <f>MIN(VLOOKUP(A38,'2019-20 disagg'!$A$12:$BB$220,54,FALSE),-2.5%)</f>
        <v>-2.7919723576530719E-2</v>
      </c>
      <c r="AB38" s="99">
        <f t="shared" si="2"/>
        <v>448514.75562091212</v>
      </c>
      <c r="AC38" s="99">
        <f>MAX(IF(INDEX('Pace of change parameters'!$E$29:$I$29,1,$B$5)=1,MAX(AB38,Z38),Z38),L38)</f>
        <v>450657.07488064404</v>
      </c>
      <c r="AD38" s="97">
        <f t="shared" si="3"/>
        <v>4.5578951121184597E-2</v>
      </c>
      <c r="AE38" s="146">
        <v>3.9195264467271063E-2</v>
      </c>
      <c r="AF38" s="56">
        <f t="shared" si="11"/>
        <v>450657.07488064404</v>
      </c>
      <c r="AG38" s="56">
        <v>2138.4983150038015</v>
      </c>
      <c r="AH38" s="16">
        <f t="shared" si="4"/>
        <v>4.5578951121184597E-2</v>
      </c>
      <c r="AI38" s="16">
        <f t="shared" si="5"/>
        <v>3.9195264467271063E-2</v>
      </c>
      <c r="AJ38" s="56"/>
      <c r="AK38" s="56">
        <v>461396.82750390953</v>
      </c>
      <c r="AL38" s="56">
        <v>2189.4615510619365</v>
      </c>
      <c r="AM38" s="16">
        <f t="shared" si="12"/>
        <v>-2.3276606996554428E-2</v>
      </c>
      <c r="AN38" s="58">
        <f t="shared" si="12"/>
        <v>-2.3276606996554317E-2</v>
      </c>
      <c r="AP38" s="56">
        <f t="shared" si="6"/>
        <v>0</v>
      </c>
      <c r="AQ38" s="56">
        <f t="shared" si="7"/>
        <v>0</v>
      </c>
    </row>
    <row r="39" spans="1:43" x14ac:dyDescent="0.2">
      <c r="A39" s="156" t="s">
        <v>123</v>
      </c>
      <c r="B39" s="156" t="s">
        <v>124</v>
      </c>
      <c r="D39" s="68">
        <f>VLOOKUP(A39,'2019-20 disagg'!A39:AZ247,43,FALSE)</f>
        <v>457828</v>
      </c>
      <c r="E39" s="73">
        <v>1816.5184325009445</v>
      </c>
      <c r="F39" s="55"/>
      <c r="G39" s="88">
        <v>451230.3974301063</v>
      </c>
      <c r="H39" s="81">
        <v>1783.0074090781111</v>
      </c>
      <c r="I39" s="90"/>
      <c r="J39" s="103">
        <f t="shared" si="8"/>
        <v>1.4621361077332251E-2</v>
      </c>
      <c r="K39" s="126">
        <f t="shared" si="8"/>
        <v>1.8794663023952385E-2</v>
      </c>
      <c r="L39" s="56">
        <v>475271</v>
      </c>
      <c r="M39" s="103">
        <v>2.8720853893082987E-2</v>
      </c>
      <c r="N39" s="97">
        <f>INDEX('Pace of change parameters'!$E$22:$I$22,1,$B$5)</f>
        <v>2.4506891160555818E-2</v>
      </c>
      <c r="O39" s="108">
        <f>MAX(IF(INDEX('Pace of change parameters'!$E$30:$I$30,1,$B$5)=1,(1+M39)*D39,D39),L39)</f>
        <v>475271</v>
      </c>
      <c r="P39" s="94">
        <f>IF(K39&lt;INDEX('Pace of change parameters'!$E$18:$I$18,1,$B$5),1,IF(K39&gt;INDEX('Pace of change parameters'!$E$19:$I$19,1,$B$5),0,(K39-INDEX('Pace of change parameters'!$E$19:$I$19,1,$B$5))/(INDEX('Pace of change parameters'!$E$18:$I$18,1,$B$5)-INDEX('Pace of change parameters'!$E$19:$I$19,1,$B$5))))</f>
        <v>0</v>
      </c>
      <c r="Q39" s="57">
        <v>2.8720853893082987E-2</v>
      </c>
      <c r="R39" s="57">
        <v>2.450689116055571E-2</v>
      </c>
      <c r="S39" s="9">
        <f>MAX(IF(INDEX('Pace of change parameters'!$E$31:$I$31,1,$B$5)=1,D39*(1+Q39),D39),L39)</f>
        <v>475271</v>
      </c>
      <c r="T39" s="103">
        <f>IF(Q39&lt;INDEX('Pace of change parameters'!$E$24:$I$24,1,$B$5),INDEX('Pace of change parameters'!$E$24:$I$24,1,$B$5),Q39)</f>
        <v>3.2992755077120454E-2</v>
      </c>
      <c r="U39" s="132">
        <v>2.8761293299717883E-2</v>
      </c>
      <c r="V39" s="117">
        <f t="shared" si="9"/>
        <v>475271</v>
      </c>
      <c r="W39" s="131">
        <f>IF(J39&gt;INDEX('Pace of change parameters'!$E$26:$I$26,1,$B$5),0,IF(J39&lt;INDEX('Pace of change parameters'!$E$25:$I$25,1,$B$5),1,(J39-INDEX('Pace of change parameters'!$E$26:$I$26,1,$B$5))/(INDEX('Pace of change parameters'!$E$25:$I$25,1,$B$5)-INDEX('Pace of change parameters'!$E$26:$I$26,1,$B$5))))</f>
        <v>1</v>
      </c>
      <c r="X39" s="132">
        <f>MIN(T39, T39+(INDEX('Pace of change parameters'!$E$27:$I$27,1,$B$5)-T39)*(1-W39))</f>
        <v>3.2992755077120454E-2</v>
      </c>
      <c r="Y39" s="132">
        <v>2.8761293299717883E-2</v>
      </c>
      <c r="Z39" s="108">
        <f t="shared" si="10"/>
        <v>475271</v>
      </c>
      <c r="AA39" s="97">
        <f>MIN(VLOOKUP(A39,'2019-20 disagg'!$A$12:$BB$220,54,FALSE),-2.5%)</f>
        <v>-2.5000000000000001E-2</v>
      </c>
      <c r="AB39" s="99">
        <f t="shared" si="2"/>
        <v>457882.72695468809</v>
      </c>
      <c r="AC39" s="99">
        <f>MAX(IF(INDEX('Pace of change parameters'!$E$29:$I$29,1,$B$5)=1,MAX(AB39,Z39),Z39),L39)</f>
        <v>475271</v>
      </c>
      <c r="AD39" s="97">
        <f t="shared" si="3"/>
        <v>3.8099460932926821E-2</v>
      </c>
      <c r="AE39" s="146">
        <v>3.3847080489317394E-2</v>
      </c>
      <c r="AF39" s="56">
        <f t="shared" si="11"/>
        <v>475271</v>
      </c>
      <c r="AG39" s="56">
        <v>1878.0022780961328</v>
      </c>
      <c r="AH39" s="16">
        <f t="shared" si="4"/>
        <v>3.8099460932926821E-2</v>
      </c>
      <c r="AI39" s="16">
        <f t="shared" si="5"/>
        <v>3.3847080489317394E-2</v>
      </c>
      <c r="AJ39" s="56"/>
      <c r="AK39" s="56">
        <v>469623.30969711597</v>
      </c>
      <c r="AL39" s="56">
        <v>1855.685799171903</v>
      </c>
      <c r="AM39" s="16">
        <f t="shared" si="12"/>
        <v>1.2026000810152482E-2</v>
      </c>
      <c r="AN39" s="58">
        <f t="shared" si="12"/>
        <v>1.2026000810152482E-2</v>
      </c>
      <c r="AP39" s="56">
        <f t="shared" si="6"/>
        <v>1</v>
      </c>
      <c r="AQ39" s="56">
        <f t="shared" si="7"/>
        <v>0</v>
      </c>
    </row>
    <row r="40" spans="1:43" x14ac:dyDescent="0.2">
      <c r="A40" s="156" t="s">
        <v>125</v>
      </c>
      <c r="B40" s="156" t="s">
        <v>126</v>
      </c>
      <c r="D40" s="68">
        <f>VLOOKUP(A40,'2019-20 disagg'!A40:AZ248,43,FALSE)</f>
        <v>534302</v>
      </c>
      <c r="E40" s="73">
        <v>1974.4447478812849</v>
      </c>
      <c r="F40" s="55"/>
      <c r="G40" s="88">
        <v>543040.62060361053</v>
      </c>
      <c r="H40" s="81">
        <v>1988.8159347454559</v>
      </c>
      <c r="I40" s="90"/>
      <c r="J40" s="103">
        <f t="shared" si="8"/>
        <v>-1.609202014003519E-2</v>
      </c>
      <c r="K40" s="126">
        <f t="shared" si="8"/>
        <v>-7.2260014680596285E-3</v>
      </c>
      <c r="L40" s="56">
        <v>555794</v>
      </c>
      <c r="M40" s="103">
        <v>3.3738747607019448E-2</v>
      </c>
      <c r="N40" s="97">
        <f>INDEX('Pace of change parameters'!$E$22:$I$22,1,$B$5)</f>
        <v>2.4506891160555818E-2</v>
      </c>
      <c r="O40" s="108">
        <f>MAX(IF(INDEX('Pace of change parameters'!$E$30:$I$30,1,$B$5)=1,(1+M40)*D40,D40),L40)</f>
        <v>555794</v>
      </c>
      <c r="P40" s="94">
        <f>IF(K40&lt;INDEX('Pace of change parameters'!$E$18:$I$18,1,$B$5),1,IF(K40&gt;INDEX('Pace of change parameters'!$E$19:$I$19,1,$B$5),0,(K40-INDEX('Pace of change parameters'!$E$19:$I$19,1,$B$5))/(INDEX('Pace of change parameters'!$E$18:$I$18,1,$B$5)-INDEX('Pace of change parameters'!$E$19:$I$19,1,$B$5))))</f>
        <v>0.44979323191427828</v>
      </c>
      <c r="Q40" s="57">
        <v>4.1042545986252454E-2</v>
      </c>
      <c r="R40" s="57">
        <v>3.1745462596997731E-2</v>
      </c>
      <c r="S40" s="9">
        <f>MAX(IF(INDEX('Pace of change parameters'!$E$31:$I$31,1,$B$5)=1,D40*(1+Q40),D40),L40)</f>
        <v>556231.11440554669</v>
      </c>
      <c r="T40" s="103">
        <f>IF(Q40&lt;INDEX('Pace of change parameters'!$E$24:$I$24,1,$B$5),INDEX('Pace of change parameters'!$E$24:$I$24,1,$B$5),Q40)</f>
        <v>4.1042545986252454E-2</v>
      </c>
      <c r="U40" s="132">
        <v>3.1745462596997731E-2</v>
      </c>
      <c r="V40" s="117">
        <f t="shared" si="9"/>
        <v>556231.11440554669</v>
      </c>
      <c r="W40" s="131">
        <f>IF(J40&gt;INDEX('Pace of change parameters'!$E$26:$I$26,1,$B$5),0,IF(J40&lt;INDEX('Pace of change parameters'!$E$25:$I$25,1,$B$5),1,(J40-INDEX('Pace of change parameters'!$E$26:$I$26,1,$B$5))/(INDEX('Pace of change parameters'!$E$25:$I$25,1,$B$5)-INDEX('Pace of change parameters'!$E$26:$I$26,1,$B$5))))</f>
        <v>1</v>
      </c>
      <c r="X40" s="132">
        <f>MIN(T40, T40+(INDEX('Pace of change parameters'!$E$27:$I$27,1,$B$5)-T40)*(1-W40))</f>
        <v>4.1042545986252454E-2</v>
      </c>
      <c r="Y40" s="132">
        <v>3.1745462596997731E-2</v>
      </c>
      <c r="Z40" s="108">
        <f t="shared" si="10"/>
        <v>556231.11440554669</v>
      </c>
      <c r="AA40" s="97">
        <f>MIN(VLOOKUP(A40,'2019-20 disagg'!$A$12:$BB$220,54,FALSE),-2.5%)</f>
        <v>-2.5000000000000001E-2</v>
      </c>
      <c r="AB40" s="99">
        <f t="shared" si="2"/>
        <v>551123.83785217488</v>
      </c>
      <c r="AC40" s="99">
        <f>MAX(IF(INDEX('Pace of change parameters'!$E$29:$I$29,1,$B$5)=1,MAX(AB40,Z40),Z40),L40)</f>
        <v>556231.11440554669</v>
      </c>
      <c r="AD40" s="97">
        <f t="shared" si="3"/>
        <v>4.1042545986252454E-2</v>
      </c>
      <c r="AE40" s="146">
        <v>3.1745462596997731E-2</v>
      </c>
      <c r="AF40" s="56">
        <f t="shared" si="11"/>
        <v>556231.11440554669</v>
      </c>
      <c r="AG40" s="56">
        <v>2037.1244097749891</v>
      </c>
      <c r="AH40" s="16">
        <f t="shared" si="4"/>
        <v>4.1042545986252454E-2</v>
      </c>
      <c r="AI40" s="16">
        <f t="shared" si="5"/>
        <v>3.1745462596997953E-2</v>
      </c>
      <c r="AJ40" s="56"/>
      <c r="AK40" s="56">
        <v>565255.21830992296</v>
      </c>
      <c r="AL40" s="56">
        <v>2070.1740214631041</v>
      </c>
      <c r="AM40" s="16">
        <f t="shared" si="12"/>
        <v>-1.5964653862653E-2</v>
      </c>
      <c r="AN40" s="58">
        <f t="shared" si="12"/>
        <v>-1.5964653862653111E-2</v>
      </c>
      <c r="AP40" s="56">
        <f t="shared" si="6"/>
        <v>0</v>
      </c>
      <c r="AQ40" s="56">
        <f t="shared" si="7"/>
        <v>0</v>
      </c>
    </row>
    <row r="41" spans="1:43" x14ac:dyDescent="0.2">
      <c r="A41" s="156" t="s">
        <v>127</v>
      </c>
      <c r="B41" s="156" t="s">
        <v>128</v>
      </c>
      <c r="D41" s="68">
        <f>VLOOKUP(A41,'2019-20 disagg'!A41:AZ249,43,FALSE)</f>
        <v>302916</v>
      </c>
      <c r="E41" s="73">
        <v>1658.6390179114533</v>
      </c>
      <c r="F41" s="55"/>
      <c r="G41" s="88">
        <v>306377.39764794335</v>
      </c>
      <c r="H41" s="81">
        <v>1671.8523060400901</v>
      </c>
      <c r="I41" s="90"/>
      <c r="J41" s="103">
        <f t="shared" si="8"/>
        <v>-1.1297823124409523E-2</v>
      </c>
      <c r="K41" s="126">
        <f t="shared" si="8"/>
        <v>-7.9033824225379634E-3</v>
      </c>
      <c r="L41" s="56">
        <v>314492</v>
      </c>
      <c r="M41" s="103">
        <v>2.8024257635557381E-2</v>
      </c>
      <c r="N41" s="97">
        <f>INDEX('Pace of change parameters'!$E$22:$I$22,1,$B$5)</f>
        <v>2.4506891160555818E-2</v>
      </c>
      <c r="O41" s="108">
        <f>MAX(IF(INDEX('Pace of change parameters'!$E$30:$I$30,1,$B$5)=1,(1+M41)*D41,D41),L41)</f>
        <v>314492</v>
      </c>
      <c r="P41" s="94">
        <f>IF(K41&lt;INDEX('Pace of change parameters'!$E$18:$I$18,1,$B$5),1,IF(K41&gt;INDEX('Pace of change parameters'!$E$19:$I$19,1,$B$5),0,(K41-INDEX('Pace of change parameters'!$E$19:$I$19,1,$B$5))/(INDEX('Pace of change parameters'!$E$18:$I$18,1,$B$5)-INDEX('Pace of change parameters'!$E$19:$I$19,1,$B$5))))</f>
        <v>0.47201211937970083</v>
      </c>
      <c r="Q41" s="57">
        <v>3.5646479340501358E-2</v>
      </c>
      <c r="R41" s="57">
        <v>3.2103033571269979E-2</v>
      </c>
      <c r="S41" s="9">
        <f>MAX(IF(INDEX('Pace of change parameters'!$E$31:$I$31,1,$B$5)=1,D41*(1+Q41),D41),L41)</f>
        <v>314492</v>
      </c>
      <c r="T41" s="103">
        <f>IF(Q41&lt;INDEX('Pace of change parameters'!$E$24:$I$24,1,$B$5),INDEX('Pace of change parameters'!$E$24:$I$24,1,$B$5),Q41)</f>
        <v>3.5646479340501358E-2</v>
      </c>
      <c r="U41" s="132">
        <v>3.2103033571269979E-2</v>
      </c>
      <c r="V41" s="117">
        <f t="shared" si="9"/>
        <v>314492</v>
      </c>
      <c r="W41" s="131">
        <f>IF(J41&gt;INDEX('Pace of change parameters'!$E$26:$I$26,1,$B$5),0,IF(J41&lt;INDEX('Pace of change parameters'!$E$25:$I$25,1,$B$5),1,(J41-INDEX('Pace of change parameters'!$E$26:$I$26,1,$B$5))/(INDEX('Pace of change parameters'!$E$25:$I$25,1,$B$5)-INDEX('Pace of change parameters'!$E$26:$I$26,1,$B$5))))</f>
        <v>1</v>
      </c>
      <c r="X41" s="132">
        <f>MIN(T41, T41+(INDEX('Pace of change parameters'!$E$27:$I$27,1,$B$5)-T41)*(1-W41))</f>
        <v>3.5646479340501358E-2</v>
      </c>
      <c r="Y41" s="132">
        <v>3.2103033571269979E-2</v>
      </c>
      <c r="Z41" s="108">
        <f t="shared" si="10"/>
        <v>314492</v>
      </c>
      <c r="AA41" s="97">
        <f>MIN(VLOOKUP(A41,'2019-20 disagg'!$A$12:$BB$220,54,FALSE),-2.5%)</f>
        <v>-2.5000000000000001E-2</v>
      </c>
      <c r="AB41" s="99">
        <f t="shared" si="2"/>
        <v>310785.0578766464</v>
      </c>
      <c r="AC41" s="99">
        <f>MAX(IF(INDEX('Pace of change parameters'!$E$29:$I$29,1,$B$5)=1,MAX(AB41,Z41),Z41),L41)</f>
        <v>314492</v>
      </c>
      <c r="AD41" s="97">
        <f t="shared" si="3"/>
        <v>3.8215214779014683E-2</v>
      </c>
      <c r="AE41" s="146">
        <v>3.4662980127762921E-2</v>
      </c>
      <c r="AF41" s="56">
        <f t="shared" si="11"/>
        <v>314492</v>
      </c>
      <c r="AG41" s="56">
        <v>1716.1323892284499</v>
      </c>
      <c r="AH41" s="16">
        <f t="shared" si="4"/>
        <v>3.8215214779014683E-2</v>
      </c>
      <c r="AI41" s="16">
        <f t="shared" si="5"/>
        <v>3.4662980127762699E-2</v>
      </c>
      <c r="AJ41" s="56"/>
      <c r="AK41" s="56">
        <v>318753.90551450913</v>
      </c>
      <c r="AL41" s="56">
        <v>1739.3889238725124</v>
      </c>
      <c r="AM41" s="16">
        <f t="shared" si="12"/>
        <v>-1.3370520143525355E-2</v>
      </c>
      <c r="AN41" s="58">
        <f t="shared" si="12"/>
        <v>-1.3370520143525355E-2</v>
      </c>
      <c r="AP41" s="56">
        <f t="shared" si="6"/>
        <v>1</v>
      </c>
      <c r="AQ41" s="56">
        <f t="shared" si="7"/>
        <v>0</v>
      </c>
    </row>
    <row r="42" spans="1:43" x14ac:dyDescent="0.2">
      <c r="A42" s="156" t="s">
        <v>129</v>
      </c>
      <c r="B42" s="156" t="s">
        <v>130</v>
      </c>
      <c r="D42" s="68">
        <f>VLOOKUP(A42,'2019-20 disagg'!A42:AZ250,43,FALSE)</f>
        <v>330321</v>
      </c>
      <c r="E42" s="73">
        <v>1863.0325763612525</v>
      </c>
      <c r="F42" s="55"/>
      <c r="G42" s="88">
        <v>319335.43559699442</v>
      </c>
      <c r="H42" s="81">
        <v>1789.5092633970644</v>
      </c>
      <c r="I42" s="90"/>
      <c r="J42" s="103">
        <f t="shared" si="8"/>
        <v>3.440133219937902E-2</v>
      </c>
      <c r="K42" s="126">
        <f t="shared" si="8"/>
        <v>4.108574035801138E-2</v>
      </c>
      <c r="L42" s="56">
        <v>343273</v>
      </c>
      <c r="M42" s="103">
        <v>3.1127360420091454E-2</v>
      </c>
      <c r="N42" s="97">
        <f>INDEX('Pace of change parameters'!$E$22:$I$22,1,$B$5)</f>
        <v>2.4506891160555818E-2</v>
      </c>
      <c r="O42" s="108">
        <f>MAX(IF(INDEX('Pace of change parameters'!$E$30:$I$30,1,$B$5)=1,(1+M42)*D42,D42),L42)</f>
        <v>343273</v>
      </c>
      <c r="P42" s="94">
        <f>IF(K42&lt;INDEX('Pace of change parameters'!$E$18:$I$18,1,$B$5),1,IF(K42&gt;INDEX('Pace of change parameters'!$E$19:$I$19,1,$B$5),0,(K42-INDEX('Pace of change parameters'!$E$19:$I$19,1,$B$5))/(INDEX('Pace of change parameters'!$E$18:$I$18,1,$B$5)-INDEX('Pace of change parameters'!$E$19:$I$19,1,$B$5))))</f>
        <v>0</v>
      </c>
      <c r="Q42" s="57">
        <v>3.1127360420091454E-2</v>
      </c>
      <c r="R42" s="57">
        <v>2.450689116055571E-2</v>
      </c>
      <c r="S42" s="9">
        <f>MAX(IF(INDEX('Pace of change parameters'!$E$31:$I$31,1,$B$5)=1,D42*(1+Q42),D42),L42)</f>
        <v>343273</v>
      </c>
      <c r="T42" s="103">
        <f>IF(Q42&lt;INDEX('Pace of change parameters'!$E$24:$I$24,1,$B$5),INDEX('Pace of change parameters'!$E$24:$I$24,1,$B$5),Q42)</f>
        <v>3.2992755077120454E-2</v>
      </c>
      <c r="U42" s="132">
        <v>2.6360308841259839E-2</v>
      </c>
      <c r="V42" s="117">
        <f t="shared" si="9"/>
        <v>343273</v>
      </c>
      <c r="W42" s="131">
        <f>IF(J42&gt;INDEX('Pace of change parameters'!$E$26:$I$26,1,$B$5),0,IF(J42&lt;INDEX('Pace of change parameters'!$E$25:$I$25,1,$B$5),1,(J42-INDEX('Pace of change parameters'!$E$26:$I$26,1,$B$5))/(INDEX('Pace of change parameters'!$E$25:$I$25,1,$B$5)-INDEX('Pace of change parameters'!$E$26:$I$26,1,$B$5))))</f>
        <v>1</v>
      </c>
      <c r="X42" s="132">
        <f>MIN(T42, T42+(INDEX('Pace of change parameters'!$E$27:$I$27,1,$B$5)-T42)*(1-W42))</f>
        <v>3.2992755077120454E-2</v>
      </c>
      <c r="Y42" s="132">
        <v>2.6360308841259839E-2</v>
      </c>
      <c r="Z42" s="108">
        <f t="shared" si="10"/>
        <v>343273</v>
      </c>
      <c r="AA42" s="97">
        <f>MIN(VLOOKUP(A42,'2019-20 disagg'!$A$12:$BB$220,54,FALSE),-2.5%)</f>
        <v>-2.5000000000000001E-2</v>
      </c>
      <c r="AB42" s="99">
        <f t="shared" si="2"/>
        <v>324014.28612060985</v>
      </c>
      <c r="AC42" s="99">
        <f>MAX(IF(INDEX('Pace of change parameters'!$E$29:$I$29,1,$B$5)=1,MAX(AB42,Z42),Z42),L42)</f>
        <v>343273</v>
      </c>
      <c r="AD42" s="97">
        <f t="shared" si="3"/>
        <v>3.9210343877622122E-2</v>
      </c>
      <c r="AE42" s="146">
        <v>3.2537976913147082E-2</v>
      </c>
      <c r="AF42" s="56">
        <f t="shared" si="11"/>
        <v>343273</v>
      </c>
      <c r="AG42" s="56">
        <v>1923.6518873193359</v>
      </c>
      <c r="AH42" s="16">
        <f t="shared" si="4"/>
        <v>3.9210343877622122E-2</v>
      </c>
      <c r="AI42" s="16">
        <f t="shared" si="5"/>
        <v>3.2537976913147082E-2</v>
      </c>
      <c r="AJ42" s="56"/>
      <c r="AK42" s="56">
        <v>332322.34473908704</v>
      </c>
      <c r="AL42" s="56">
        <v>1862.2860104224094</v>
      </c>
      <c r="AM42" s="16">
        <f>AF42/AK42-1</f>
        <v>3.2951907791546553E-2</v>
      </c>
      <c r="AN42" s="58">
        <f t="shared" si="12"/>
        <v>3.2951907791546553E-2</v>
      </c>
      <c r="AP42" s="56">
        <f t="shared" si="6"/>
        <v>1</v>
      </c>
      <c r="AQ42" s="56">
        <f t="shared" si="7"/>
        <v>0</v>
      </c>
    </row>
    <row r="43" spans="1:43" x14ac:dyDescent="0.2">
      <c r="A43" s="156" t="s">
        <v>131</v>
      </c>
      <c r="B43" s="156" t="s">
        <v>132</v>
      </c>
      <c r="D43" s="68">
        <f>VLOOKUP(A43,'2019-20 disagg'!A43:AZ251,43,FALSE)</f>
        <v>327620</v>
      </c>
      <c r="E43" s="73">
        <v>2112.4890060340626</v>
      </c>
      <c r="F43" s="55"/>
      <c r="G43" s="88">
        <v>307993.37659828225</v>
      </c>
      <c r="H43" s="81">
        <v>1984.8679262652652</v>
      </c>
      <c r="I43" s="90"/>
      <c r="J43" s="103">
        <f t="shared" si="8"/>
        <v>6.372417361207372E-2</v>
      </c>
      <c r="K43" s="126">
        <f t="shared" si="8"/>
        <v>6.4297013458688879E-2</v>
      </c>
      <c r="L43" s="56">
        <v>338559</v>
      </c>
      <c r="M43" s="103">
        <v>2.5058611601763259E-2</v>
      </c>
      <c r="N43" s="97">
        <f>INDEX('Pace of change parameters'!$E$22:$I$22,1,$B$5)</f>
        <v>2.4506891160555818E-2</v>
      </c>
      <c r="O43" s="108">
        <f>MAX(IF(INDEX('Pace of change parameters'!$E$30:$I$30,1,$B$5)=1,(1+M43)*D43,D43),L43)</f>
        <v>338559</v>
      </c>
      <c r="P43" s="94">
        <f>IF(K43&lt;INDEX('Pace of change parameters'!$E$18:$I$18,1,$B$5),1,IF(K43&gt;INDEX('Pace of change parameters'!$E$19:$I$19,1,$B$5),0,(K43-INDEX('Pace of change parameters'!$E$19:$I$19,1,$B$5))/(INDEX('Pace of change parameters'!$E$18:$I$18,1,$B$5)-INDEX('Pace of change parameters'!$E$19:$I$19,1,$B$5))))</f>
        <v>0</v>
      </c>
      <c r="Q43" s="57">
        <v>2.5058611601763259E-2</v>
      </c>
      <c r="R43" s="57">
        <v>2.450689116055571E-2</v>
      </c>
      <c r="S43" s="9">
        <f>MAX(IF(INDEX('Pace of change parameters'!$E$31:$I$31,1,$B$5)=1,D43*(1+Q43),D43),L43)</f>
        <v>338559</v>
      </c>
      <c r="T43" s="103">
        <f>IF(Q43&lt;INDEX('Pace of change parameters'!$E$24:$I$24,1,$B$5),INDEX('Pace of change parameters'!$E$24:$I$24,1,$B$5),Q43)</f>
        <v>3.2992755077120454E-2</v>
      </c>
      <c r="U43" s="132">
        <v>3.2436764217529612E-2</v>
      </c>
      <c r="V43" s="117">
        <f t="shared" si="9"/>
        <v>338559</v>
      </c>
      <c r="W43" s="131">
        <f>IF(J43&gt;INDEX('Pace of change parameters'!$E$26:$I$26,1,$B$5),0,IF(J43&lt;INDEX('Pace of change parameters'!$E$25:$I$25,1,$B$5),1,(J43-INDEX('Pace of change parameters'!$E$26:$I$26,1,$B$5))/(INDEX('Pace of change parameters'!$E$25:$I$25,1,$B$5)-INDEX('Pace of change parameters'!$E$26:$I$26,1,$B$5))))</f>
        <v>0.72551652775852571</v>
      </c>
      <c r="X43" s="132">
        <f>MIN(T43, T43+(INDEX('Pace of change parameters'!$E$27:$I$27,1,$B$5)-T43)*(1-W43))</f>
        <v>2.6954118687808021E-2</v>
      </c>
      <c r="Y43" s="132">
        <v>2.6401378022006261E-2</v>
      </c>
      <c r="Z43" s="108">
        <f t="shared" si="10"/>
        <v>338559</v>
      </c>
      <c r="AA43" s="97">
        <f>MIN(VLOOKUP(A43,'2019-20 disagg'!$A$12:$BB$220,54,FALSE),-2.5%)</f>
        <v>-2.5000000000000001E-2</v>
      </c>
      <c r="AB43" s="99">
        <f t="shared" si="2"/>
        <v>312536.76892895479</v>
      </c>
      <c r="AC43" s="99">
        <f>MAX(IF(INDEX('Pace of change parameters'!$E$29:$I$29,1,$B$5)=1,MAX(AB43,Z43),Z43),L43)</f>
        <v>338559</v>
      </c>
      <c r="AD43" s="97">
        <f t="shared" si="3"/>
        <v>3.3389292472987053E-2</v>
      </c>
      <c r="AE43" s="146">
        <v>3.2833088183857218E-2</v>
      </c>
      <c r="AF43" s="56">
        <f t="shared" si="11"/>
        <v>338559</v>
      </c>
      <c r="AG43" s="56">
        <v>2181.8485438566076</v>
      </c>
      <c r="AH43" s="16">
        <f t="shared" si="4"/>
        <v>3.3389292472987053E-2</v>
      </c>
      <c r="AI43" s="16">
        <f t="shared" si="5"/>
        <v>3.2833088183856995E-2</v>
      </c>
      <c r="AJ43" s="56"/>
      <c r="AK43" s="56">
        <v>320550.53223482543</v>
      </c>
      <c r="AL43" s="56">
        <v>2065.7927037503491</v>
      </c>
      <c r="AM43" s="16">
        <f t="shared" si="12"/>
        <v>5.6179809278813275E-2</v>
      </c>
      <c r="AN43" s="58">
        <f t="shared" si="12"/>
        <v>5.6179809278813275E-2</v>
      </c>
      <c r="AP43" s="56">
        <f t="shared" si="6"/>
        <v>1</v>
      </c>
      <c r="AQ43" s="56">
        <f t="shared" si="7"/>
        <v>0</v>
      </c>
    </row>
    <row r="44" spans="1:43" x14ac:dyDescent="0.2">
      <c r="A44" s="156" t="s">
        <v>133</v>
      </c>
      <c r="B44" s="156" t="s">
        <v>134</v>
      </c>
      <c r="D44" s="68">
        <f>VLOOKUP(A44,'2019-20 disagg'!A44:AZ252,43,FALSE)</f>
        <v>240660</v>
      </c>
      <c r="E44" s="73">
        <v>1928.1123061001267</v>
      </c>
      <c r="F44" s="55"/>
      <c r="G44" s="88">
        <v>233280.51047433176</v>
      </c>
      <c r="H44" s="81">
        <v>1864.1722856697463</v>
      </c>
      <c r="I44" s="90"/>
      <c r="J44" s="103">
        <f t="shared" si="8"/>
        <v>3.1633544999809304E-2</v>
      </c>
      <c r="K44" s="126">
        <f t="shared" si="8"/>
        <v>3.4299415843642711E-2</v>
      </c>
      <c r="L44" s="56">
        <v>249799</v>
      </c>
      <c r="M44" s="103">
        <v>2.7154345834445648E-2</v>
      </c>
      <c r="N44" s="97">
        <f>INDEX('Pace of change parameters'!$E$22:$I$22,1,$B$5)</f>
        <v>2.4506891160555818E-2</v>
      </c>
      <c r="O44" s="108">
        <f>MAX(IF(INDEX('Pace of change parameters'!$E$30:$I$30,1,$B$5)=1,(1+M44)*D44,D44),L44)</f>
        <v>249799</v>
      </c>
      <c r="P44" s="94">
        <f>IF(K44&lt;INDEX('Pace of change parameters'!$E$18:$I$18,1,$B$5),1,IF(K44&gt;INDEX('Pace of change parameters'!$E$19:$I$19,1,$B$5),0,(K44-INDEX('Pace of change parameters'!$E$19:$I$19,1,$B$5))/(INDEX('Pace of change parameters'!$E$18:$I$18,1,$B$5)-INDEX('Pace of change parameters'!$E$19:$I$19,1,$B$5))))</f>
        <v>0</v>
      </c>
      <c r="Q44" s="57">
        <v>2.7154345834445648E-2</v>
      </c>
      <c r="R44" s="57">
        <v>2.450689116055571E-2</v>
      </c>
      <c r="S44" s="9">
        <f>MAX(IF(INDEX('Pace of change parameters'!$E$31:$I$31,1,$B$5)=1,D44*(1+Q44),D44),L44)</f>
        <v>249799</v>
      </c>
      <c r="T44" s="103">
        <f>IF(Q44&lt;INDEX('Pace of change parameters'!$E$24:$I$24,1,$B$5),INDEX('Pace of change parameters'!$E$24:$I$24,1,$B$5),Q44)</f>
        <v>3.2992755077120454E-2</v>
      </c>
      <c r="U44" s="132">
        <v>3.0330252106058664E-2</v>
      </c>
      <c r="V44" s="117">
        <f t="shared" si="9"/>
        <v>249799</v>
      </c>
      <c r="W44" s="131">
        <f>IF(J44&gt;INDEX('Pace of change parameters'!$E$26:$I$26,1,$B$5),0,IF(J44&lt;INDEX('Pace of change parameters'!$E$25:$I$25,1,$B$5),1,(J44-INDEX('Pace of change parameters'!$E$26:$I$26,1,$B$5))/(INDEX('Pace of change parameters'!$E$25:$I$25,1,$B$5)-INDEX('Pace of change parameters'!$E$26:$I$26,1,$B$5))))</f>
        <v>1</v>
      </c>
      <c r="X44" s="132">
        <f>MIN(T44, T44+(INDEX('Pace of change parameters'!$E$27:$I$27,1,$B$5)-T44)*(1-W44))</f>
        <v>3.2992755077120454E-2</v>
      </c>
      <c r="Y44" s="132">
        <v>3.0330252106058664E-2</v>
      </c>
      <c r="Z44" s="108">
        <f t="shared" si="10"/>
        <v>249799</v>
      </c>
      <c r="AA44" s="97">
        <f>MIN(VLOOKUP(A44,'2019-20 disagg'!$A$12:$BB$220,54,FALSE),-2.5%)</f>
        <v>-2.5000000000000001E-2</v>
      </c>
      <c r="AB44" s="99">
        <f t="shared" si="2"/>
        <v>236661.95116852608</v>
      </c>
      <c r="AC44" s="99">
        <f>MAX(IF(INDEX('Pace of change parameters'!$E$29:$I$29,1,$B$5)=1,MAX(AB44,Z44),Z44),L44)</f>
        <v>249799</v>
      </c>
      <c r="AD44" s="97">
        <f t="shared" si="3"/>
        <v>3.7974736142275312E-2</v>
      </c>
      <c r="AE44" s="146">
        <v>3.5299392287942322E-2</v>
      </c>
      <c r="AF44" s="56">
        <f t="shared" si="11"/>
        <v>249799</v>
      </c>
      <c r="AG44" s="56">
        <v>1996.1734987683647</v>
      </c>
      <c r="AH44" s="16">
        <f t="shared" si="4"/>
        <v>3.7974736142275312E-2</v>
      </c>
      <c r="AI44" s="16">
        <f t="shared" si="5"/>
        <v>3.5299392287942544E-2</v>
      </c>
      <c r="AJ44" s="56"/>
      <c r="AK44" s="56">
        <v>242730.20632669341</v>
      </c>
      <c r="AL44" s="56">
        <v>1939.685928366097</v>
      </c>
      <c r="AM44" s="16">
        <f t="shared" si="12"/>
        <v>2.9122018970282548E-2</v>
      </c>
      <c r="AN44" s="58">
        <f t="shared" si="12"/>
        <v>2.9122018970282548E-2</v>
      </c>
      <c r="AP44" s="56">
        <f t="shared" si="6"/>
        <v>1</v>
      </c>
      <c r="AQ44" s="56">
        <f t="shared" si="7"/>
        <v>0</v>
      </c>
    </row>
    <row r="45" spans="1:43" x14ac:dyDescent="0.2">
      <c r="A45" s="156" t="s">
        <v>135</v>
      </c>
      <c r="B45" s="156" t="s">
        <v>136</v>
      </c>
      <c r="D45" s="68">
        <f>VLOOKUP(A45,'2019-20 disagg'!A45:AZ253,43,FALSE)</f>
        <v>390095</v>
      </c>
      <c r="E45" s="73">
        <v>1963.674379423984</v>
      </c>
      <c r="F45" s="55"/>
      <c r="G45" s="88">
        <v>384341.17188170872</v>
      </c>
      <c r="H45" s="81">
        <v>1926.7496304935414</v>
      </c>
      <c r="I45" s="90"/>
      <c r="J45" s="103">
        <f t="shared" si="8"/>
        <v>1.4970626462215586E-2</v>
      </c>
      <c r="K45" s="126">
        <f t="shared" si="8"/>
        <v>1.9164269371617415E-2</v>
      </c>
      <c r="L45" s="56">
        <v>405065</v>
      </c>
      <c r="M45" s="103">
        <v>2.8739935888878909E-2</v>
      </c>
      <c r="N45" s="97">
        <f>INDEX('Pace of change parameters'!$E$22:$I$22,1,$B$5)</f>
        <v>2.4506891160555818E-2</v>
      </c>
      <c r="O45" s="108">
        <f>MAX(IF(INDEX('Pace of change parameters'!$E$30:$I$30,1,$B$5)=1,(1+M45)*D45,D45),L45)</f>
        <v>405065</v>
      </c>
      <c r="P45" s="94">
        <f>IF(K45&lt;INDEX('Pace of change parameters'!$E$18:$I$18,1,$B$5),1,IF(K45&gt;INDEX('Pace of change parameters'!$E$19:$I$19,1,$B$5),0,(K45-INDEX('Pace of change parameters'!$E$19:$I$19,1,$B$5))/(INDEX('Pace of change parameters'!$E$18:$I$18,1,$B$5)-INDEX('Pace of change parameters'!$E$19:$I$19,1,$B$5))))</f>
        <v>0</v>
      </c>
      <c r="Q45" s="57">
        <v>2.8739935888878909E-2</v>
      </c>
      <c r="R45" s="57">
        <v>2.450689116055571E-2</v>
      </c>
      <c r="S45" s="9">
        <f>MAX(IF(INDEX('Pace of change parameters'!$E$31:$I$31,1,$B$5)=1,D45*(1+Q45),D45),L45)</f>
        <v>405065</v>
      </c>
      <c r="T45" s="103">
        <f>IF(Q45&lt;INDEX('Pace of change parameters'!$E$24:$I$24,1,$B$5),INDEX('Pace of change parameters'!$E$24:$I$24,1,$B$5),Q45)</f>
        <v>3.2992755077120454E-2</v>
      </c>
      <c r="U45" s="132">
        <v>2.874221090776552E-2</v>
      </c>
      <c r="V45" s="117">
        <f t="shared" si="9"/>
        <v>405065</v>
      </c>
      <c r="W45" s="131">
        <f>IF(J45&gt;INDEX('Pace of change parameters'!$E$26:$I$26,1,$B$5),0,IF(J45&lt;INDEX('Pace of change parameters'!$E$25:$I$25,1,$B$5),1,(J45-INDEX('Pace of change parameters'!$E$26:$I$26,1,$B$5))/(INDEX('Pace of change parameters'!$E$25:$I$25,1,$B$5)-INDEX('Pace of change parameters'!$E$26:$I$26,1,$B$5))))</f>
        <v>1</v>
      </c>
      <c r="X45" s="132">
        <f>MIN(T45, T45+(INDEX('Pace of change parameters'!$E$27:$I$27,1,$B$5)-T45)*(1-W45))</f>
        <v>3.2992755077120454E-2</v>
      </c>
      <c r="Y45" s="132">
        <v>2.874221090776552E-2</v>
      </c>
      <c r="Z45" s="108">
        <f t="shared" si="10"/>
        <v>405065</v>
      </c>
      <c r="AA45" s="97">
        <f>MIN(VLOOKUP(A45,'2019-20 disagg'!$A$12:$BB$220,54,FALSE),-2.5%)</f>
        <v>-2.5000000000000001E-2</v>
      </c>
      <c r="AB45" s="99">
        <f t="shared" si="2"/>
        <v>389899.86667879869</v>
      </c>
      <c r="AC45" s="99">
        <f>MAX(IF(INDEX('Pace of change parameters'!$E$29:$I$29,1,$B$5)=1,MAX(AB45,Z45),Z45),L45)</f>
        <v>405065</v>
      </c>
      <c r="AD45" s="97">
        <f t="shared" si="3"/>
        <v>3.8375267563029558E-2</v>
      </c>
      <c r="AE45" s="146">
        <v>3.4102575506430366E-2</v>
      </c>
      <c r="AF45" s="56">
        <f t="shared" si="11"/>
        <v>405065</v>
      </c>
      <c r="AG45" s="56">
        <v>2030.640733218333</v>
      </c>
      <c r="AH45" s="16">
        <f t="shared" si="4"/>
        <v>3.8375267563029558E-2</v>
      </c>
      <c r="AI45" s="16">
        <f t="shared" si="5"/>
        <v>3.4102575506430366E-2</v>
      </c>
      <c r="AJ45" s="56"/>
      <c r="AK45" s="56">
        <v>399897.29915774224</v>
      </c>
      <c r="AL45" s="56">
        <v>2004.7344124367912</v>
      </c>
      <c r="AM45" s="16">
        <f t="shared" si="12"/>
        <v>1.2922570002702916E-2</v>
      </c>
      <c r="AN45" s="58">
        <f t="shared" si="12"/>
        <v>1.2922570002702916E-2</v>
      </c>
      <c r="AP45" s="56">
        <f t="shared" si="6"/>
        <v>1</v>
      </c>
      <c r="AQ45" s="56">
        <f t="shared" si="7"/>
        <v>0</v>
      </c>
    </row>
    <row r="46" spans="1:43" x14ac:dyDescent="0.2">
      <c r="A46" s="156" t="s">
        <v>137</v>
      </c>
      <c r="B46" s="156" t="s">
        <v>138</v>
      </c>
      <c r="D46" s="68">
        <f>VLOOKUP(A46,'2019-20 disagg'!A46:AZ254,43,FALSE)</f>
        <v>550939</v>
      </c>
      <c r="E46" s="73">
        <v>1765.5413673071337</v>
      </c>
      <c r="F46" s="55"/>
      <c r="G46" s="88">
        <v>559277.52948042168</v>
      </c>
      <c r="H46" s="81">
        <v>1783.3879358327961</v>
      </c>
      <c r="I46" s="90"/>
      <c r="J46" s="103">
        <f t="shared" si="8"/>
        <v>-1.4909466304087515E-2</v>
      </c>
      <c r="K46" s="126">
        <f t="shared" si="8"/>
        <v>-1.0007115203080286E-2</v>
      </c>
      <c r="L46" s="56">
        <v>572340</v>
      </c>
      <c r="M46" s="103">
        <v>2.9605399687509859E-2</v>
      </c>
      <c r="N46" s="97">
        <f>INDEX('Pace of change parameters'!$E$22:$I$22,1,$B$5)</f>
        <v>2.4506891160555818E-2</v>
      </c>
      <c r="O46" s="108">
        <f>MAX(IF(INDEX('Pace of change parameters'!$E$30:$I$30,1,$B$5)=1,(1+M46)*D46,D46),L46)</f>
        <v>572340</v>
      </c>
      <c r="P46" s="94">
        <f>IF(K46&lt;INDEX('Pace of change parameters'!$E$18:$I$18,1,$B$5),1,IF(K46&gt;INDEX('Pace of change parameters'!$E$19:$I$19,1,$B$5),0,(K46-INDEX('Pace of change parameters'!$E$19:$I$19,1,$B$5))/(INDEX('Pace of change parameters'!$E$18:$I$18,1,$B$5)-INDEX('Pace of change parameters'!$E$19:$I$19,1,$B$5))))</f>
        <v>0.54101701477742836</v>
      </c>
      <c r="Q46" s="57">
        <v>3.8355374437429424E-2</v>
      </c>
      <c r="R46" s="57">
        <v>3.3213536863360149E-2</v>
      </c>
      <c r="S46" s="9">
        <f>MAX(IF(INDEX('Pace of change parameters'!$E$31:$I$31,1,$B$5)=1,D46*(1+Q46),D46),L46)</f>
        <v>572340</v>
      </c>
      <c r="T46" s="103">
        <f>IF(Q46&lt;INDEX('Pace of change parameters'!$E$24:$I$24,1,$B$5),INDEX('Pace of change parameters'!$E$24:$I$24,1,$B$5),Q46)</f>
        <v>3.8355374437429424E-2</v>
      </c>
      <c r="U46" s="132">
        <v>3.3213536863360149E-2</v>
      </c>
      <c r="V46" s="117">
        <f t="shared" si="9"/>
        <v>572340</v>
      </c>
      <c r="W46" s="131">
        <f>IF(J46&gt;INDEX('Pace of change parameters'!$E$26:$I$26,1,$B$5),0,IF(J46&lt;INDEX('Pace of change parameters'!$E$25:$I$25,1,$B$5),1,(J46-INDEX('Pace of change parameters'!$E$26:$I$26,1,$B$5))/(INDEX('Pace of change parameters'!$E$25:$I$25,1,$B$5)-INDEX('Pace of change parameters'!$E$26:$I$26,1,$B$5))))</f>
        <v>1</v>
      </c>
      <c r="X46" s="132">
        <f>MIN(T46, T46+(INDEX('Pace of change parameters'!$E$27:$I$27,1,$B$5)-T46)*(1-W46))</f>
        <v>3.8355374437429424E-2</v>
      </c>
      <c r="Y46" s="132">
        <v>3.3213536863360149E-2</v>
      </c>
      <c r="Z46" s="108">
        <f t="shared" si="10"/>
        <v>572340</v>
      </c>
      <c r="AA46" s="97">
        <f>MIN(VLOOKUP(A46,'2019-20 disagg'!$A$12:$BB$220,54,FALSE),-2.5%)</f>
        <v>-2.5000000000000001E-2</v>
      </c>
      <c r="AB46" s="99">
        <f t="shared" si="2"/>
        <v>567413.52047523297</v>
      </c>
      <c r="AC46" s="99">
        <f>MAX(IF(INDEX('Pace of change parameters'!$E$29:$I$29,1,$B$5)=1,MAX(AB46,Z46),Z46),L46)</f>
        <v>572340</v>
      </c>
      <c r="AD46" s="97">
        <f t="shared" si="3"/>
        <v>3.8844590780467536E-2</v>
      </c>
      <c r="AE46" s="146">
        <v>3.3700330653352983E-2</v>
      </c>
      <c r="AF46" s="56">
        <f t="shared" si="11"/>
        <v>572340</v>
      </c>
      <c r="AG46" s="56">
        <v>1825.040695167557</v>
      </c>
      <c r="AH46" s="16">
        <f t="shared" si="4"/>
        <v>3.8844590780467536E-2</v>
      </c>
      <c r="AI46" s="16">
        <f t="shared" si="5"/>
        <v>3.3700330653352983E-2</v>
      </c>
      <c r="AJ46" s="56"/>
      <c r="AK46" s="56">
        <v>581962.58510280307</v>
      </c>
      <c r="AL46" s="56">
        <v>1855.7245708451765</v>
      </c>
      <c r="AM46" s="16">
        <f t="shared" si="12"/>
        <v>-1.6534714342681056E-2</v>
      </c>
      <c r="AN46" s="58">
        <f t="shared" si="12"/>
        <v>-1.6534714342681056E-2</v>
      </c>
      <c r="AP46" s="56">
        <f t="shared" si="6"/>
        <v>1</v>
      </c>
      <c r="AQ46" s="56">
        <f t="shared" si="7"/>
        <v>0</v>
      </c>
    </row>
    <row r="47" spans="1:43" x14ac:dyDescent="0.2">
      <c r="A47" s="156" t="s">
        <v>139</v>
      </c>
      <c r="B47" s="156" t="s">
        <v>140</v>
      </c>
      <c r="D47" s="68">
        <f>VLOOKUP(A47,'2019-20 disagg'!A47:AZ255,43,FALSE)</f>
        <v>467360</v>
      </c>
      <c r="E47" s="73">
        <v>1873.1786796659001</v>
      </c>
      <c r="F47" s="55"/>
      <c r="G47" s="88">
        <v>466099.74705594708</v>
      </c>
      <c r="H47" s="81">
        <v>1857.5620390663175</v>
      </c>
      <c r="I47" s="90"/>
      <c r="J47" s="103">
        <f t="shared" si="8"/>
        <v>2.7038267066505917E-3</v>
      </c>
      <c r="K47" s="126">
        <f t="shared" si="8"/>
        <v>8.4070627366137352E-3</v>
      </c>
      <c r="L47" s="56">
        <v>485533</v>
      </c>
      <c r="M47" s="103">
        <v>3.0334139904388158E-2</v>
      </c>
      <c r="N47" s="97">
        <f>INDEX('Pace of change parameters'!$E$22:$I$22,1,$B$5)</f>
        <v>2.4506891160555818E-2</v>
      </c>
      <c r="O47" s="108">
        <f>MAX(IF(INDEX('Pace of change parameters'!$E$30:$I$30,1,$B$5)=1,(1+M47)*D47,D47),L47)</f>
        <v>485533</v>
      </c>
      <c r="P47" s="94">
        <f>IF(K47&lt;INDEX('Pace of change parameters'!$E$18:$I$18,1,$B$5),1,IF(K47&gt;INDEX('Pace of change parameters'!$E$19:$I$19,1,$B$5),0,(K47-INDEX('Pace of change parameters'!$E$19:$I$19,1,$B$5))/(INDEX('Pace of change parameters'!$E$18:$I$18,1,$B$5)-INDEX('Pace of change parameters'!$E$19:$I$19,1,$B$5))))</f>
        <v>0</v>
      </c>
      <c r="Q47" s="57">
        <v>3.0334139904388158E-2</v>
      </c>
      <c r="R47" s="57">
        <v>2.450689116055571E-2</v>
      </c>
      <c r="S47" s="9">
        <f>MAX(IF(INDEX('Pace of change parameters'!$E$31:$I$31,1,$B$5)=1,D47*(1+Q47),D47),L47)</f>
        <v>485533</v>
      </c>
      <c r="T47" s="103">
        <f>IF(Q47&lt;INDEX('Pace of change parameters'!$E$24:$I$24,1,$B$5),INDEX('Pace of change parameters'!$E$24:$I$24,1,$B$5),Q47)</f>
        <v>3.2992755077120454E-2</v>
      </c>
      <c r="U47" s="132">
        <v>2.7150470034551955E-2</v>
      </c>
      <c r="V47" s="117">
        <f t="shared" si="9"/>
        <v>485533</v>
      </c>
      <c r="W47" s="131">
        <f>IF(J47&gt;INDEX('Pace of change parameters'!$E$26:$I$26,1,$B$5),0,IF(J47&lt;INDEX('Pace of change parameters'!$E$25:$I$25,1,$B$5),1,(J47-INDEX('Pace of change parameters'!$E$26:$I$26,1,$B$5))/(INDEX('Pace of change parameters'!$E$25:$I$25,1,$B$5)-INDEX('Pace of change parameters'!$E$26:$I$26,1,$B$5))))</f>
        <v>1</v>
      </c>
      <c r="X47" s="132">
        <f>MIN(T47, T47+(INDEX('Pace of change parameters'!$E$27:$I$27,1,$B$5)-T47)*(1-W47))</f>
        <v>3.2992755077120454E-2</v>
      </c>
      <c r="Y47" s="132">
        <v>2.7150470034551955E-2</v>
      </c>
      <c r="Z47" s="108">
        <f t="shared" si="10"/>
        <v>485533</v>
      </c>
      <c r="AA47" s="97">
        <f>MIN(VLOOKUP(A47,'2019-20 disagg'!$A$12:$BB$220,54,FALSE),-2.5%)</f>
        <v>-2.5000000000000001E-2</v>
      </c>
      <c r="AB47" s="99">
        <f t="shared" si="2"/>
        <v>472887.56481806666</v>
      </c>
      <c r="AC47" s="99">
        <f>MAX(IF(INDEX('Pace of change parameters'!$E$29:$I$29,1,$B$5)=1,MAX(AB47,Z47),Z47),L47)</f>
        <v>485533</v>
      </c>
      <c r="AD47" s="97">
        <f t="shared" si="3"/>
        <v>3.8884371790482763E-2</v>
      </c>
      <c r="AE47" s="146">
        <v>3.300876560017918E-2</v>
      </c>
      <c r="AF47" s="56">
        <f t="shared" si="11"/>
        <v>485533</v>
      </c>
      <c r="AG47" s="56">
        <v>1935.0099956302449</v>
      </c>
      <c r="AH47" s="16">
        <f t="shared" si="4"/>
        <v>3.8884371790482763E-2</v>
      </c>
      <c r="AI47" s="16">
        <f t="shared" si="5"/>
        <v>3.300876560017918E-2</v>
      </c>
      <c r="AJ47" s="56"/>
      <c r="AK47" s="56">
        <v>485012.88699288887</v>
      </c>
      <c r="AL47" s="56">
        <v>1932.9371728404092</v>
      </c>
      <c r="AM47" s="16">
        <f t="shared" si="12"/>
        <v>1.0723694587495558E-3</v>
      </c>
      <c r="AN47" s="58">
        <f t="shared" si="12"/>
        <v>1.0723694587495558E-3</v>
      </c>
      <c r="AP47" s="56">
        <f t="shared" si="6"/>
        <v>1</v>
      </c>
      <c r="AQ47" s="56">
        <f t="shared" si="7"/>
        <v>0</v>
      </c>
    </row>
    <row r="48" spans="1:43" x14ac:dyDescent="0.2">
      <c r="A48" s="156" t="s">
        <v>141</v>
      </c>
      <c r="B48" s="156" t="s">
        <v>142</v>
      </c>
      <c r="D48" s="68">
        <f>VLOOKUP(A48,'2019-20 disagg'!A48:AZ256,43,FALSE)</f>
        <v>419437</v>
      </c>
      <c r="E48" s="73">
        <v>1706.9971180834816</v>
      </c>
      <c r="F48" s="55"/>
      <c r="G48" s="88">
        <v>414201.06005877245</v>
      </c>
      <c r="H48" s="81">
        <v>1673.8208791118534</v>
      </c>
      <c r="I48" s="90"/>
      <c r="J48" s="103">
        <f t="shared" si="8"/>
        <v>1.2641058766205582E-2</v>
      </c>
      <c r="K48" s="126">
        <f t="shared" si="8"/>
        <v>1.9820662644160603E-2</v>
      </c>
      <c r="L48" s="56">
        <v>436011</v>
      </c>
      <c r="M48" s="103">
        <v>3.1770623541435006E-2</v>
      </c>
      <c r="N48" s="97">
        <f>INDEX('Pace of change parameters'!$E$22:$I$22,1,$B$5)</f>
        <v>2.4506891160555818E-2</v>
      </c>
      <c r="O48" s="108">
        <f>MAX(IF(INDEX('Pace of change parameters'!$E$30:$I$30,1,$B$5)=1,(1+M48)*D48,D48),L48)</f>
        <v>436011</v>
      </c>
      <c r="P48" s="94">
        <f>IF(K48&lt;INDEX('Pace of change parameters'!$E$18:$I$18,1,$B$5),1,IF(K48&gt;INDEX('Pace of change parameters'!$E$19:$I$19,1,$B$5),0,(K48-INDEX('Pace of change parameters'!$E$19:$I$19,1,$B$5))/(INDEX('Pace of change parameters'!$E$18:$I$18,1,$B$5)-INDEX('Pace of change parameters'!$E$19:$I$19,1,$B$5))))</f>
        <v>0</v>
      </c>
      <c r="Q48" s="57">
        <v>3.1770623541435006E-2</v>
      </c>
      <c r="R48" s="57">
        <v>2.450689116055571E-2</v>
      </c>
      <c r="S48" s="9">
        <f>MAX(IF(INDEX('Pace of change parameters'!$E$31:$I$31,1,$B$5)=1,D48*(1+Q48),D48),L48)</f>
        <v>436011</v>
      </c>
      <c r="T48" s="103">
        <f>IF(Q48&lt;INDEX('Pace of change parameters'!$E$24:$I$24,1,$B$5),INDEX('Pace of change parameters'!$E$24:$I$24,1,$B$5),Q48)</f>
        <v>3.2992755077120454E-2</v>
      </c>
      <c r="U48" s="132">
        <v>2.5720418810642132E-2</v>
      </c>
      <c r="V48" s="117">
        <f t="shared" si="9"/>
        <v>436011</v>
      </c>
      <c r="W48" s="131">
        <f>IF(J48&gt;INDEX('Pace of change parameters'!$E$26:$I$26,1,$B$5),0,IF(J48&lt;INDEX('Pace of change parameters'!$E$25:$I$25,1,$B$5),1,(J48-INDEX('Pace of change parameters'!$E$26:$I$26,1,$B$5))/(INDEX('Pace of change parameters'!$E$25:$I$25,1,$B$5)-INDEX('Pace of change parameters'!$E$26:$I$26,1,$B$5))))</f>
        <v>1</v>
      </c>
      <c r="X48" s="132">
        <f>MIN(T48, T48+(INDEX('Pace of change parameters'!$E$27:$I$27,1,$B$5)-T48)*(1-W48))</f>
        <v>3.2992755077120454E-2</v>
      </c>
      <c r="Y48" s="132">
        <v>2.5720418810642132E-2</v>
      </c>
      <c r="Z48" s="108">
        <f t="shared" si="10"/>
        <v>436011</v>
      </c>
      <c r="AA48" s="97">
        <f>MIN(VLOOKUP(A48,'2019-20 disagg'!$A$12:$BB$220,54,FALSE),-2.5%)</f>
        <v>-2.5000000000000001E-2</v>
      </c>
      <c r="AB48" s="99">
        <f t="shared" si="2"/>
        <v>420307.04502472794</v>
      </c>
      <c r="AC48" s="99">
        <f>MAX(IF(INDEX('Pace of change parameters'!$E$29:$I$29,1,$B$5)=1,MAX(AB48,Z48),Z48),L48)</f>
        <v>436011</v>
      </c>
      <c r="AD48" s="97">
        <f t="shared" si="3"/>
        <v>3.9514873509013171E-2</v>
      </c>
      <c r="AE48" s="146">
        <v>3.2196621104039647E-2</v>
      </c>
      <c r="AF48" s="56">
        <f t="shared" si="11"/>
        <v>436011</v>
      </c>
      <c r="AG48" s="56">
        <v>1761.9566575201034</v>
      </c>
      <c r="AH48" s="16">
        <f t="shared" si="4"/>
        <v>3.9514873509013171E-2</v>
      </c>
      <c r="AI48" s="16">
        <f t="shared" si="5"/>
        <v>3.2196621104039869E-2</v>
      </c>
      <c r="AJ48" s="56"/>
      <c r="AK48" s="56">
        <v>431084.14874331071</v>
      </c>
      <c r="AL48" s="56">
        <v>1742.0468424642104</v>
      </c>
      <c r="AM48" s="16">
        <f t="shared" si="12"/>
        <v>1.1428978010562307E-2</v>
      </c>
      <c r="AN48" s="58">
        <f t="shared" si="12"/>
        <v>1.1428978010562307E-2</v>
      </c>
      <c r="AP48" s="56">
        <f t="shared" si="6"/>
        <v>1</v>
      </c>
      <c r="AQ48" s="56">
        <f t="shared" si="7"/>
        <v>0</v>
      </c>
    </row>
    <row r="49" spans="1:43" x14ac:dyDescent="0.2">
      <c r="A49" s="156" t="s">
        <v>143</v>
      </c>
      <c r="B49" s="156" t="s">
        <v>144</v>
      </c>
      <c r="D49" s="68">
        <f>VLOOKUP(A49,'2019-20 disagg'!A49:AZ257,43,FALSE)</f>
        <v>175699</v>
      </c>
      <c r="E49" s="73">
        <v>1681.0201885072822</v>
      </c>
      <c r="F49" s="55"/>
      <c r="G49" s="88">
        <v>176772.22066778201</v>
      </c>
      <c r="H49" s="81">
        <v>1687.9895376943166</v>
      </c>
      <c r="I49" s="90"/>
      <c r="J49" s="103">
        <f t="shared" si="8"/>
        <v>-6.071206571528931E-3</v>
      </c>
      <c r="K49" s="126">
        <f t="shared" si="8"/>
        <v>-4.1287869571479119E-3</v>
      </c>
      <c r="L49" s="56">
        <v>182355</v>
      </c>
      <c r="M49" s="103">
        <v>2.6509069076736669E-2</v>
      </c>
      <c r="N49" s="97">
        <f>INDEX('Pace of change parameters'!$E$22:$I$22,1,$B$5)</f>
        <v>2.4506891160555818E-2</v>
      </c>
      <c r="O49" s="108">
        <f>MAX(IF(INDEX('Pace of change parameters'!$E$30:$I$30,1,$B$5)=1,(1+M49)*D49,D49),L49)</f>
        <v>182355</v>
      </c>
      <c r="P49" s="94">
        <f>IF(K49&lt;INDEX('Pace of change parameters'!$E$18:$I$18,1,$B$5),1,IF(K49&gt;INDEX('Pace of change parameters'!$E$19:$I$19,1,$B$5),0,(K49-INDEX('Pace of change parameters'!$E$19:$I$19,1,$B$5))/(INDEX('Pace of change parameters'!$E$18:$I$18,1,$B$5)-INDEX('Pace of change parameters'!$E$19:$I$19,1,$B$5))))</f>
        <v>0.34820097394000693</v>
      </c>
      <c r="Q49" s="57">
        <v>3.2123656347550877E-2</v>
      </c>
      <c r="R49" s="57">
        <v>3.0110527332172898E-2</v>
      </c>
      <c r="S49" s="9">
        <f>MAX(IF(INDEX('Pace of change parameters'!$E$31:$I$31,1,$B$5)=1,D49*(1+Q49),D49),L49)</f>
        <v>182355</v>
      </c>
      <c r="T49" s="103">
        <f>IF(Q49&lt;INDEX('Pace of change parameters'!$E$24:$I$24,1,$B$5),INDEX('Pace of change parameters'!$E$24:$I$24,1,$B$5),Q49)</f>
        <v>3.2992755077120454E-2</v>
      </c>
      <c r="U49" s="132">
        <v>3.0977930908396401E-2</v>
      </c>
      <c r="V49" s="117">
        <f t="shared" si="9"/>
        <v>182355</v>
      </c>
      <c r="W49" s="131">
        <f>IF(J49&gt;INDEX('Pace of change parameters'!$E$26:$I$26,1,$B$5),0,IF(J49&lt;INDEX('Pace of change parameters'!$E$25:$I$25,1,$B$5),1,(J49-INDEX('Pace of change parameters'!$E$26:$I$26,1,$B$5))/(INDEX('Pace of change parameters'!$E$25:$I$25,1,$B$5)-INDEX('Pace of change parameters'!$E$26:$I$26,1,$B$5))))</f>
        <v>1</v>
      </c>
      <c r="X49" s="132">
        <f>MIN(T49, T49+(INDEX('Pace of change parameters'!$E$27:$I$27,1,$B$5)-T49)*(1-W49))</f>
        <v>3.2992755077120454E-2</v>
      </c>
      <c r="Y49" s="132">
        <v>3.0977930908396401E-2</v>
      </c>
      <c r="Z49" s="108">
        <f t="shared" si="10"/>
        <v>182355</v>
      </c>
      <c r="AA49" s="97">
        <f>MIN(VLOOKUP(A49,'2019-20 disagg'!$A$12:$BB$220,54,FALSE),-2.5%)</f>
        <v>-2.5000000000000001E-2</v>
      </c>
      <c r="AB49" s="99">
        <f t="shared" si="2"/>
        <v>179322.75650321427</v>
      </c>
      <c r="AC49" s="99">
        <f>MAX(IF(INDEX('Pace of change parameters'!$E$29:$I$29,1,$B$5)=1,MAX(AB49,Z49),Z49),L49)</f>
        <v>182355</v>
      </c>
      <c r="AD49" s="97">
        <f t="shared" si="3"/>
        <v>3.7882970307173025E-2</v>
      </c>
      <c r="AE49" s="146">
        <v>3.585860790714257E-2</v>
      </c>
      <c r="AF49" s="56">
        <f t="shared" si="11"/>
        <v>182355</v>
      </c>
      <c r="AG49" s="56">
        <v>1741.2992323309556</v>
      </c>
      <c r="AH49" s="16">
        <f t="shared" si="4"/>
        <v>3.7882970307173025E-2</v>
      </c>
      <c r="AI49" s="16">
        <f t="shared" si="5"/>
        <v>3.585860790714257E-2</v>
      </c>
      <c r="AJ49" s="56"/>
      <c r="AK49" s="56">
        <v>183920.77590073258</v>
      </c>
      <c r="AL49" s="56">
        <v>1756.2507520257705</v>
      </c>
      <c r="AM49" s="16">
        <f t="shared" si="12"/>
        <v>-8.5133171772702187E-3</v>
      </c>
      <c r="AN49" s="58">
        <f t="shared" si="12"/>
        <v>-8.5133171772702187E-3</v>
      </c>
      <c r="AP49" s="56">
        <f t="shared" si="6"/>
        <v>1</v>
      </c>
      <c r="AQ49" s="56">
        <f t="shared" si="7"/>
        <v>0</v>
      </c>
    </row>
    <row r="50" spans="1:43" x14ac:dyDescent="0.2">
      <c r="A50" s="156" t="s">
        <v>145</v>
      </c>
      <c r="B50" s="156" t="s">
        <v>146</v>
      </c>
      <c r="D50" s="68">
        <f>VLOOKUP(A50,'2019-20 disagg'!A50:AZ258,43,FALSE)</f>
        <v>371595</v>
      </c>
      <c r="E50" s="73">
        <v>1681.880053557009</v>
      </c>
      <c r="F50" s="55"/>
      <c r="G50" s="88">
        <v>378841.40596919064</v>
      </c>
      <c r="H50" s="81">
        <v>1702.3307840125806</v>
      </c>
      <c r="I50" s="90"/>
      <c r="J50" s="103">
        <f t="shared" si="8"/>
        <v>-1.912780877436604E-2</v>
      </c>
      <c r="K50" s="126">
        <f t="shared" si="8"/>
        <v>-1.2013370519780575E-2</v>
      </c>
      <c r="L50" s="56">
        <v>386157</v>
      </c>
      <c r="M50" s="103">
        <v>3.1937819556488112E-2</v>
      </c>
      <c r="N50" s="97">
        <f>INDEX('Pace of change parameters'!$E$22:$I$22,1,$B$5)</f>
        <v>2.4506891160555818E-2</v>
      </c>
      <c r="O50" s="108">
        <f>MAX(IF(INDEX('Pace of change parameters'!$E$30:$I$30,1,$B$5)=1,(1+M50)*D50,D50),L50)</f>
        <v>386157</v>
      </c>
      <c r="P50" s="94">
        <f>IF(K50&lt;INDEX('Pace of change parameters'!$E$18:$I$18,1,$B$5),1,IF(K50&gt;INDEX('Pace of change parameters'!$E$19:$I$19,1,$B$5),0,(K50-INDEX('Pace of change parameters'!$E$19:$I$19,1,$B$5))/(INDEX('Pace of change parameters'!$E$18:$I$18,1,$B$5)-INDEX('Pace of change parameters'!$E$19:$I$19,1,$B$5))))</f>
        <v>0.60682453536678249</v>
      </c>
      <c r="Q50" s="57">
        <v>4.1774345139013125E-2</v>
      </c>
      <c r="R50" s="57">
        <v>3.4272584454658528E-2</v>
      </c>
      <c r="S50" s="9">
        <f>MAX(IF(INDEX('Pace of change parameters'!$E$31:$I$31,1,$B$5)=1,D50*(1+Q50),D50),L50)</f>
        <v>387118.13778193155</v>
      </c>
      <c r="T50" s="103">
        <f>IF(Q50&lt;INDEX('Pace of change parameters'!$E$24:$I$24,1,$B$5),INDEX('Pace of change parameters'!$E$24:$I$24,1,$B$5),Q50)</f>
        <v>4.1774345139013125E-2</v>
      </c>
      <c r="U50" s="132">
        <v>3.4272584454658528E-2</v>
      </c>
      <c r="V50" s="117">
        <f t="shared" si="9"/>
        <v>387118.13778193155</v>
      </c>
      <c r="W50" s="131">
        <f>IF(J50&gt;INDEX('Pace of change parameters'!$E$26:$I$26,1,$B$5),0,IF(J50&lt;INDEX('Pace of change parameters'!$E$25:$I$25,1,$B$5),1,(J50-INDEX('Pace of change parameters'!$E$26:$I$26,1,$B$5))/(INDEX('Pace of change parameters'!$E$25:$I$25,1,$B$5)-INDEX('Pace of change parameters'!$E$26:$I$26,1,$B$5))))</f>
        <v>1</v>
      </c>
      <c r="X50" s="132">
        <f>MIN(T50, T50+(INDEX('Pace of change parameters'!$E$27:$I$27,1,$B$5)-T50)*(1-W50))</f>
        <v>4.1774345139013125E-2</v>
      </c>
      <c r="Y50" s="132">
        <v>3.4272584454658528E-2</v>
      </c>
      <c r="Z50" s="108">
        <f t="shared" si="10"/>
        <v>387118.13778193155</v>
      </c>
      <c r="AA50" s="97">
        <f>MIN(VLOOKUP(A50,'2019-20 disagg'!$A$12:$BB$220,54,FALSE),-2.5%)</f>
        <v>-2.5000000000000001E-2</v>
      </c>
      <c r="AB50" s="99">
        <f t="shared" si="2"/>
        <v>384374.60156919702</v>
      </c>
      <c r="AC50" s="99">
        <f>MAX(IF(INDEX('Pace of change parameters'!$E$29:$I$29,1,$B$5)=1,MAX(AB50,Z50),Z50),L50)</f>
        <v>387118.13778193155</v>
      </c>
      <c r="AD50" s="97">
        <f t="shared" si="3"/>
        <v>4.1774345139013125E-2</v>
      </c>
      <c r="AE50" s="146">
        <v>3.4272584454658528E-2</v>
      </c>
      <c r="AF50" s="56">
        <f t="shared" si="11"/>
        <v>387118.13778193155</v>
      </c>
      <c r="AG50" s="56">
        <v>1739.5224297351472</v>
      </c>
      <c r="AH50" s="16">
        <f t="shared" si="4"/>
        <v>4.1774345139013125E-2</v>
      </c>
      <c r="AI50" s="16">
        <f t="shared" si="5"/>
        <v>3.4272584454658528E-2</v>
      </c>
      <c r="AJ50" s="56"/>
      <c r="AK50" s="56">
        <v>394230.36058379186</v>
      </c>
      <c r="AL50" s="56">
        <v>1771.4813329268104</v>
      </c>
      <c r="AM50" s="16">
        <f t="shared" si="12"/>
        <v>-1.8040778978382743E-2</v>
      </c>
      <c r="AN50" s="58">
        <f t="shared" si="12"/>
        <v>-1.8040778978382632E-2</v>
      </c>
      <c r="AP50" s="56">
        <f t="shared" si="6"/>
        <v>0</v>
      </c>
      <c r="AQ50" s="56">
        <f t="shared" si="7"/>
        <v>0</v>
      </c>
    </row>
    <row r="51" spans="1:43" x14ac:dyDescent="0.2">
      <c r="A51" s="156" t="s">
        <v>147</v>
      </c>
      <c r="B51" s="156" t="s">
        <v>148</v>
      </c>
      <c r="D51" s="68">
        <f>VLOOKUP(A51,'2019-20 disagg'!A51:AZ259,43,FALSE)</f>
        <v>452478</v>
      </c>
      <c r="E51" s="73">
        <v>1725.7493607164204</v>
      </c>
      <c r="F51" s="55"/>
      <c r="G51" s="88">
        <v>451603.96086447604</v>
      </c>
      <c r="H51" s="81">
        <v>1717.9194221928658</v>
      </c>
      <c r="I51" s="90"/>
      <c r="J51" s="103">
        <f t="shared" si="8"/>
        <v>1.9354106944740046E-3</v>
      </c>
      <c r="K51" s="126">
        <f t="shared" si="8"/>
        <v>4.5578031323261214E-3</v>
      </c>
      <c r="L51" s="56">
        <v>469690</v>
      </c>
      <c r="M51" s="103">
        <v>2.7188360539948553E-2</v>
      </c>
      <c r="N51" s="97">
        <f>INDEX('Pace of change parameters'!$E$22:$I$22,1,$B$5)</f>
        <v>2.4506891160555818E-2</v>
      </c>
      <c r="O51" s="108">
        <f>MAX(IF(INDEX('Pace of change parameters'!$E$30:$I$30,1,$B$5)=1,(1+M51)*D51,D51),L51)</f>
        <v>469690</v>
      </c>
      <c r="P51" s="94">
        <f>IF(K51&lt;INDEX('Pace of change parameters'!$E$18:$I$18,1,$B$5),1,IF(K51&gt;INDEX('Pace of change parameters'!$E$19:$I$19,1,$B$5),0,(K51-INDEX('Pace of change parameters'!$E$19:$I$19,1,$B$5))/(INDEX('Pace of change parameters'!$E$18:$I$18,1,$B$5)-INDEX('Pace of change parameters'!$E$19:$I$19,1,$B$5))))</f>
        <v>6.327066053177649E-2</v>
      </c>
      <c r="Q51" s="57">
        <v>2.820924718501705E-2</v>
      </c>
      <c r="R51" s="57">
        <v>2.5525112786837223E-2</v>
      </c>
      <c r="S51" s="9">
        <f>MAX(IF(INDEX('Pace of change parameters'!$E$31:$I$31,1,$B$5)=1,D51*(1+Q51),D51),L51)</f>
        <v>469690</v>
      </c>
      <c r="T51" s="103">
        <f>IF(Q51&lt;INDEX('Pace of change parameters'!$E$24:$I$24,1,$B$5),INDEX('Pace of change parameters'!$E$24:$I$24,1,$B$5),Q51)</f>
        <v>3.2992755077120454E-2</v>
      </c>
      <c r="U51" s="132">
        <v>3.0296133358765021E-2</v>
      </c>
      <c r="V51" s="117">
        <f t="shared" si="9"/>
        <v>469690</v>
      </c>
      <c r="W51" s="131">
        <f>IF(J51&gt;INDEX('Pace of change parameters'!$E$26:$I$26,1,$B$5),0,IF(J51&lt;INDEX('Pace of change parameters'!$E$25:$I$25,1,$B$5),1,(J51-INDEX('Pace of change parameters'!$E$26:$I$26,1,$B$5))/(INDEX('Pace of change parameters'!$E$25:$I$25,1,$B$5)-INDEX('Pace of change parameters'!$E$26:$I$26,1,$B$5))))</f>
        <v>1</v>
      </c>
      <c r="X51" s="132">
        <f>MIN(T51, T51+(INDEX('Pace of change parameters'!$E$27:$I$27,1,$B$5)-T51)*(1-W51))</f>
        <v>3.2992755077120454E-2</v>
      </c>
      <c r="Y51" s="132">
        <v>3.0296133358765021E-2</v>
      </c>
      <c r="Z51" s="108">
        <f t="shared" si="10"/>
        <v>469690</v>
      </c>
      <c r="AA51" s="97">
        <f>MIN(VLOOKUP(A51,'2019-20 disagg'!$A$12:$BB$220,54,FALSE),-2.5%)</f>
        <v>-2.5000000000000001E-2</v>
      </c>
      <c r="AB51" s="99">
        <f t="shared" si="2"/>
        <v>458129.73317917413</v>
      </c>
      <c r="AC51" s="99">
        <f>MAX(IF(INDEX('Pace of change parameters'!$E$29:$I$29,1,$B$5)=1,MAX(AB51,Z51),Z51),L51)</f>
        <v>469690</v>
      </c>
      <c r="AD51" s="97">
        <f t="shared" si="3"/>
        <v>3.8039418491064847E-2</v>
      </c>
      <c r="AE51" s="146">
        <v>3.5329622486538925E-2</v>
      </c>
      <c r="AF51" s="56">
        <f t="shared" si="11"/>
        <v>469690</v>
      </c>
      <c r="AG51" s="56">
        <v>1786.7194341369172</v>
      </c>
      <c r="AH51" s="16">
        <f t="shared" si="4"/>
        <v>3.8039418491064847E-2</v>
      </c>
      <c r="AI51" s="16">
        <f t="shared" si="5"/>
        <v>3.5329622486538925E-2</v>
      </c>
      <c r="AJ51" s="56"/>
      <c r="AK51" s="56">
        <v>469876.64941453759</v>
      </c>
      <c r="AL51" s="56">
        <v>1787.4294559307059</v>
      </c>
      <c r="AM51" s="16">
        <f t="shared" si="12"/>
        <v>-3.972306663252434E-4</v>
      </c>
      <c r="AN51" s="58">
        <f t="shared" si="12"/>
        <v>-3.972306663252434E-4</v>
      </c>
      <c r="AP51" s="56">
        <f t="shared" si="6"/>
        <v>1</v>
      </c>
      <c r="AQ51" s="56">
        <f t="shared" si="7"/>
        <v>0</v>
      </c>
    </row>
    <row r="52" spans="1:43" x14ac:dyDescent="0.2">
      <c r="A52" s="156" t="s">
        <v>149</v>
      </c>
      <c r="B52" s="156" t="s">
        <v>150</v>
      </c>
      <c r="D52" s="68">
        <f>VLOOKUP(A52,'2019-20 disagg'!A52:AZ260,43,FALSE)</f>
        <v>199236</v>
      </c>
      <c r="E52" s="73">
        <v>1775.9296803111995</v>
      </c>
      <c r="F52" s="55"/>
      <c r="G52" s="88">
        <v>194223.68382700553</v>
      </c>
      <c r="H52" s="81">
        <v>1730.4227993472091</v>
      </c>
      <c r="I52" s="90"/>
      <c r="J52" s="103">
        <f t="shared" si="8"/>
        <v>2.5806925675752934E-2</v>
      </c>
      <c r="K52" s="126">
        <f t="shared" si="8"/>
        <v>2.6298128400271681E-2</v>
      </c>
      <c r="L52" s="56">
        <v>206710</v>
      </c>
      <c r="M52" s="103">
        <v>2.4997471369784474E-2</v>
      </c>
      <c r="N52" s="97">
        <f>INDEX('Pace of change parameters'!$E$22:$I$22,1,$B$5)</f>
        <v>2.4506891160555818E-2</v>
      </c>
      <c r="O52" s="108">
        <f>MAX(IF(INDEX('Pace of change parameters'!$E$30:$I$30,1,$B$5)=1,(1+M52)*D52,D52),L52)</f>
        <v>206710</v>
      </c>
      <c r="P52" s="94">
        <f>IF(K52&lt;INDEX('Pace of change parameters'!$E$18:$I$18,1,$B$5),1,IF(K52&gt;INDEX('Pace of change parameters'!$E$19:$I$19,1,$B$5),0,(K52-INDEX('Pace of change parameters'!$E$19:$I$19,1,$B$5))/(INDEX('Pace of change parameters'!$E$18:$I$18,1,$B$5)-INDEX('Pace of change parameters'!$E$19:$I$19,1,$B$5))))</f>
        <v>0</v>
      </c>
      <c r="Q52" s="57">
        <v>2.4997471369784474E-2</v>
      </c>
      <c r="R52" s="57">
        <v>2.450689116055571E-2</v>
      </c>
      <c r="S52" s="9">
        <f>MAX(IF(INDEX('Pace of change parameters'!$E$31:$I$31,1,$B$5)=1,D52*(1+Q52),D52),L52)</f>
        <v>206710</v>
      </c>
      <c r="T52" s="103">
        <f>IF(Q52&lt;INDEX('Pace of change parameters'!$E$24:$I$24,1,$B$5),INDEX('Pace of change parameters'!$E$24:$I$24,1,$B$5),Q52)</f>
        <v>3.2992755077120454E-2</v>
      </c>
      <c r="U52" s="132">
        <v>3.24983481970329E-2</v>
      </c>
      <c r="V52" s="117">
        <f t="shared" si="9"/>
        <v>206710</v>
      </c>
      <c r="W52" s="131">
        <f>IF(J52&gt;INDEX('Pace of change parameters'!$E$26:$I$26,1,$B$5),0,IF(J52&lt;INDEX('Pace of change parameters'!$E$25:$I$25,1,$B$5),1,(J52-INDEX('Pace of change parameters'!$E$26:$I$26,1,$B$5))/(INDEX('Pace of change parameters'!$E$25:$I$25,1,$B$5)-INDEX('Pace of change parameters'!$E$26:$I$26,1,$B$5))))</f>
        <v>1</v>
      </c>
      <c r="X52" s="132">
        <f>MIN(T52, T52+(INDEX('Pace of change parameters'!$E$27:$I$27,1,$B$5)-T52)*(1-W52))</f>
        <v>3.2992755077120454E-2</v>
      </c>
      <c r="Y52" s="132">
        <v>3.24983481970329E-2</v>
      </c>
      <c r="Z52" s="108">
        <f t="shared" si="10"/>
        <v>206710</v>
      </c>
      <c r="AA52" s="97">
        <f>MIN(VLOOKUP(A52,'2019-20 disagg'!$A$12:$BB$220,54,FALSE),-2.5%)</f>
        <v>-2.5000000000000001E-2</v>
      </c>
      <c r="AB52" s="99">
        <f t="shared" si="2"/>
        <v>197051.19345004007</v>
      </c>
      <c r="AC52" s="99">
        <f>MAX(IF(INDEX('Pace of change parameters'!$E$29:$I$29,1,$B$5)=1,MAX(AB52,Z52),Z52),L52)</f>
        <v>206710</v>
      </c>
      <c r="AD52" s="97">
        <f t="shared" si="3"/>
        <v>3.7513300809090655E-2</v>
      </c>
      <c r="AE52" s="146">
        <v>3.7016730323401248E-2</v>
      </c>
      <c r="AF52" s="56">
        <f t="shared" si="11"/>
        <v>206710</v>
      </c>
      <c r="AG52" s="56">
        <v>1841.6687903606035</v>
      </c>
      <c r="AH52" s="16">
        <f t="shared" si="4"/>
        <v>3.7513300809090655E-2</v>
      </c>
      <c r="AI52" s="16">
        <f t="shared" si="5"/>
        <v>3.7016730323401248E-2</v>
      </c>
      <c r="AJ52" s="56"/>
      <c r="AK52" s="56">
        <v>202103.78815388726</v>
      </c>
      <c r="AL52" s="56">
        <v>1800.6300568751644</v>
      </c>
      <c r="AM52" s="16">
        <f t="shared" si="12"/>
        <v>2.2791318699110441E-2</v>
      </c>
      <c r="AN52" s="58">
        <f t="shared" si="12"/>
        <v>2.2791318699110219E-2</v>
      </c>
      <c r="AP52" s="56">
        <f t="shared" si="6"/>
        <v>1</v>
      </c>
      <c r="AQ52" s="56">
        <f t="shared" si="7"/>
        <v>0</v>
      </c>
    </row>
    <row r="53" spans="1:43" x14ac:dyDescent="0.2">
      <c r="A53" s="156" t="s">
        <v>151</v>
      </c>
      <c r="B53" s="156" t="s">
        <v>152</v>
      </c>
      <c r="D53" s="68">
        <f>VLOOKUP(A53,'2019-20 disagg'!A53:AZ261,43,FALSE)</f>
        <v>616886</v>
      </c>
      <c r="E53" s="73">
        <v>1864.870147317725</v>
      </c>
      <c r="F53" s="55"/>
      <c r="G53" s="88">
        <v>614328.19930881145</v>
      </c>
      <c r="H53" s="81">
        <v>1847.0279453218045</v>
      </c>
      <c r="I53" s="90"/>
      <c r="J53" s="103">
        <f t="shared" si="8"/>
        <v>4.1635736306202542E-3</v>
      </c>
      <c r="K53" s="126">
        <f t="shared" si="8"/>
        <v>9.6599523797740172E-3</v>
      </c>
      <c r="L53" s="56">
        <v>640830</v>
      </c>
      <c r="M53" s="103">
        <v>3.011462086994654E-2</v>
      </c>
      <c r="N53" s="97">
        <f>INDEX('Pace of change parameters'!$E$22:$I$22,1,$B$5)</f>
        <v>2.4506891160555818E-2</v>
      </c>
      <c r="O53" s="108">
        <f>MAX(IF(INDEX('Pace of change parameters'!$E$30:$I$30,1,$B$5)=1,(1+M53)*D53,D53),L53)</f>
        <v>640830</v>
      </c>
      <c r="P53" s="94">
        <f>IF(K53&lt;INDEX('Pace of change parameters'!$E$18:$I$18,1,$B$5),1,IF(K53&gt;INDEX('Pace of change parameters'!$E$19:$I$19,1,$B$5),0,(K53-INDEX('Pace of change parameters'!$E$19:$I$19,1,$B$5))/(INDEX('Pace of change parameters'!$E$18:$I$18,1,$B$5)-INDEX('Pace of change parameters'!$E$19:$I$19,1,$B$5))))</f>
        <v>0</v>
      </c>
      <c r="Q53" s="57">
        <v>3.011462086994654E-2</v>
      </c>
      <c r="R53" s="57">
        <v>2.450689116055571E-2</v>
      </c>
      <c r="S53" s="9">
        <f>MAX(IF(INDEX('Pace of change parameters'!$E$31:$I$31,1,$B$5)=1,D53*(1+Q53),D53),L53)</f>
        <v>640830</v>
      </c>
      <c r="T53" s="103">
        <f>IF(Q53&lt;INDEX('Pace of change parameters'!$E$24:$I$24,1,$B$5),INDEX('Pace of change parameters'!$E$24:$I$24,1,$B$5),Q53)</f>
        <v>3.2992755077120454E-2</v>
      </c>
      <c r="U53" s="132">
        <v>2.7369357403821404E-2</v>
      </c>
      <c r="V53" s="117">
        <f t="shared" si="9"/>
        <v>640830</v>
      </c>
      <c r="W53" s="131">
        <f>IF(J53&gt;INDEX('Pace of change parameters'!$E$26:$I$26,1,$B$5),0,IF(J53&lt;INDEX('Pace of change parameters'!$E$25:$I$25,1,$B$5),1,(J53-INDEX('Pace of change parameters'!$E$26:$I$26,1,$B$5))/(INDEX('Pace of change parameters'!$E$25:$I$25,1,$B$5)-INDEX('Pace of change parameters'!$E$26:$I$26,1,$B$5))))</f>
        <v>1</v>
      </c>
      <c r="X53" s="132">
        <f>MIN(T53, T53+(INDEX('Pace of change parameters'!$E$27:$I$27,1,$B$5)-T53)*(1-W53))</f>
        <v>3.2992755077120454E-2</v>
      </c>
      <c r="Y53" s="132">
        <v>2.7369357403821404E-2</v>
      </c>
      <c r="Z53" s="108">
        <f t="shared" si="10"/>
        <v>640830</v>
      </c>
      <c r="AA53" s="97">
        <f>MIN(VLOOKUP(A53,'2019-20 disagg'!$A$12:$BB$220,54,FALSE),-2.5%)</f>
        <v>-2.5000000000000001E-2</v>
      </c>
      <c r="AB53" s="99">
        <f t="shared" si="2"/>
        <v>623309.79784237023</v>
      </c>
      <c r="AC53" s="99">
        <f>MAX(IF(INDEX('Pace of change parameters'!$E$29:$I$29,1,$B$5)=1,MAX(AB53,Z53),Z53),L53)</f>
        <v>640830</v>
      </c>
      <c r="AD53" s="97">
        <f t="shared" si="3"/>
        <v>3.8814302804732081E-2</v>
      </c>
      <c r="AE53" s="146">
        <v>3.3159213836614576E-2</v>
      </c>
      <c r="AF53" s="56">
        <f t="shared" si="11"/>
        <v>640830</v>
      </c>
      <c r="AG53" s="56">
        <v>1926.7077753101526</v>
      </c>
      <c r="AH53" s="16">
        <f t="shared" si="4"/>
        <v>3.8814302804732081E-2</v>
      </c>
      <c r="AI53" s="16">
        <f t="shared" si="5"/>
        <v>3.3159213836614576E-2</v>
      </c>
      <c r="AJ53" s="56"/>
      <c r="AK53" s="56">
        <v>639292.10035114898</v>
      </c>
      <c r="AL53" s="56">
        <v>1922.0839543106861</v>
      </c>
      <c r="AM53" s="16">
        <f t="shared" si="12"/>
        <v>2.4056290512681766E-3</v>
      </c>
      <c r="AN53" s="58">
        <f t="shared" si="12"/>
        <v>2.4056290512683987E-3</v>
      </c>
      <c r="AP53" s="56">
        <f t="shared" si="6"/>
        <v>1</v>
      </c>
      <c r="AQ53" s="56">
        <f t="shared" si="7"/>
        <v>0</v>
      </c>
    </row>
    <row r="54" spans="1:43" x14ac:dyDescent="0.2">
      <c r="A54" s="156" t="s">
        <v>153</v>
      </c>
      <c r="B54" s="156" t="s">
        <v>154</v>
      </c>
      <c r="D54" s="68">
        <f>VLOOKUP(A54,'2019-20 disagg'!A54:AZ262,43,FALSE)</f>
        <v>662702</v>
      </c>
      <c r="E54" s="73">
        <v>1966.1526213196682</v>
      </c>
      <c r="F54" s="55"/>
      <c r="G54" s="88">
        <v>659974.08656901889</v>
      </c>
      <c r="H54" s="81">
        <v>1953.849670899416</v>
      </c>
      <c r="I54" s="90"/>
      <c r="J54" s="103">
        <f t="shared" si="8"/>
        <v>4.1333644555086035E-3</v>
      </c>
      <c r="K54" s="126">
        <f t="shared" si="8"/>
        <v>6.2967743135473597E-3</v>
      </c>
      <c r="L54" s="56">
        <v>687816</v>
      </c>
      <c r="M54" s="103">
        <v>2.6714195873677404E-2</v>
      </c>
      <c r="N54" s="97">
        <f>INDEX('Pace of change parameters'!$E$22:$I$22,1,$B$5)</f>
        <v>2.4506891160555818E-2</v>
      </c>
      <c r="O54" s="108">
        <f>MAX(IF(INDEX('Pace of change parameters'!$E$30:$I$30,1,$B$5)=1,(1+M54)*D54,D54),L54)</f>
        <v>687816</v>
      </c>
      <c r="P54" s="94">
        <f>IF(K54&lt;INDEX('Pace of change parameters'!$E$18:$I$18,1,$B$5),1,IF(K54&gt;INDEX('Pace of change parameters'!$E$19:$I$19,1,$B$5),0,(K54-INDEX('Pace of change parameters'!$E$19:$I$19,1,$B$5))/(INDEX('Pace of change parameters'!$E$18:$I$18,1,$B$5)-INDEX('Pace of change parameters'!$E$19:$I$19,1,$B$5))))</f>
        <v>6.2303721597428748E-3</v>
      </c>
      <c r="Q54" s="57">
        <v>2.6814677954626553E-2</v>
      </c>
      <c r="R54" s="57">
        <v>2.4607157217832798E-2</v>
      </c>
      <c r="S54" s="9">
        <f>MAX(IF(INDEX('Pace of change parameters'!$E$31:$I$31,1,$B$5)=1,D54*(1+Q54),D54),L54)</f>
        <v>687816</v>
      </c>
      <c r="T54" s="103">
        <f>IF(Q54&lt;INDEX('Pace of change parameters'!$E$24:$I$24,1,$B$5),INDEX('Pace of change parameters'!$E$24:$I$24,1,$B$5),Q54)</f>
        <v>3.2992755077120454E-2</v>
      </c>
      <c r="U54" s="132">
        <v>3.0771952261628099E-2</v>
      </c>
      <c r="V54" s="117">
        <f t="shared" si="9"/>
        <v>687816</v>
      </c>
      <c r="W54" s="131">
        <f>IF(J54&gt;INDEX('Pace of change parameters'!$E$26:$I$26,1,$B$5),0,IF(J54&lt;INDEX('Pace of change parameters'!$E$25:$I$25,1,$B$5),1,(J54-INDEX('Pace of change parameters'!$E$26:$I$26,1,$B$5))/(INDEX('Pace of change parameters'!$E$25:$I$25,1,$B$5)-INDEX('Pace of change parameters'!$E$26:$I$26,1,$B$5))))</f>
        <v>1</v>
      </c>
      <c r="X54" s="132">
        <f>MIN(T54, T54+(INDEX('Pace of change parameters'!$E$27:$I$27,1,$B$5)-T54)*(1-W54))</f>
        <v>3.2992755077120454E-2</v>
      </c>
      <c r="Y54" s="132">
        <v>3.0771952261628099E-2</v>
      </c>
      <c r="Z54" s="108">
        <f t="shared" si="10"/>
        <v>687816</v>
      </c>
      <c r="AA54" s="97">
        <f>MIN(VLOOKUP(A54,'2019-20 disagg'!$A$12:$BB$220,54,FALSE),-2.5%)</f>
        <v>-2.5000000000000001E-2</v>
      </c>
      <c r="AB54" s="99">
        <f t="shared" si="2"/>
        <v>669479.71264663723</v>
      </c>
      <c r="AC54" s="99">
        <f>MAX(IF(INDEX('Pace of change parameters'!$E$29:$I$29,1,$B$5)=1,MAX(AB54,Z54),Z54),L54)</f>
        <v>687816</v>
      </c>
      <c r="AD54" s="97">
        <f t="shared" si="3"/>
        <v>3.7896369710669342E-2</v>
      </c>
      <c r="AE54" s="146">
        <v>3.5665024748457341E-2</v>
      </c>
      <c r="AF54" s="56">
        <f t="shared" si="11"/>
        <v>687816</v>
      </c>
      <c r="AG54" s="56">
        <v>2036.2755032182788</v>
      </c>
      <c r="AH54" s="16">
        <f t="shared" si="4"/>
        <v>3.7896369710669342E-2</v>
      </c>
      <c r="AI54" s="16">
        <f t="shared" si="5"/>
        <v>3.5665024748457563E-2</v>
      </c>
      <c r="AJ54" s="56"/>
      <c r="AK54" s="56">
        <v>686645.85912475619</v>
      </c>
      <c r="AL54" s="56">
        <v>2032.811307561921</v>
      </c>
      <c r="AM54" s="16">
        <f t="shared" si="12"/>
        <v>1.7041402925452864E-3</v>
      </c>
      <c r="AN54" s="58">
        <f t="shared" si="12"/>
        <v>1.7041402925452864E-3</v>
      </c>
      <c r="AP54" s="56">
        <f t="shared" si="6"/>
        <v>1</v>
      </c>
      <c r="AQ54" s="56">
        <f t="shared" si="7"/>
        <v>0</v>
      </c>
    </row>
    <row r="55" spans="1:43" x14ac:dyDescent="0.2">
      <c r="A55" s="156" t="s">
        <v>155</v>
      </c>
      <c r="B55" s="156" t="s">
        <v>156</v>
      </c>
      <c r="D55" s="68">
        <f>VLOOKUP(A55,'2019-20 disagg'!A55:AZ263,43,FALSE)</f>
        <v>271803</v>
      </c>
      <c r="E55" s="73">
        <v>1680.3494016263678</v>
      </c>
      <c r="F55" s="55"/>
      <c r="G55" s="88">
        <v>276074.82657849463</v>
      </c>
      <c r="H55" s="81">
        <v>1696.7139022579222</v>
      </c>
      <c r="I55" s="90"/>
      <c r="J55" s="103">
        <f t="shared" si="8"/>
        <v>-1.5473437514883503E-2</v>
      </c>
      <c r="K55" s="126">
        <f t="shared" si="8"/>
        <v>-9.6448202668565353E-3</v>
      </c>
      <c r="L55" s="56">
        <v>282304</v>
      </c>
      <c r="M55" s="103">
        <v>3.0572200888175249E-2</v>
      </c>
      <c r="N55" s="97">
        <f>INDEX('Pace of change parameters'!$E$22:$I$22,1,$B$5)</f>
        <v>2.4506891160555818E-2</v>
      </c>
      <c r="O55" s="108">
        <f>MAX(IF(INDEX('Pace of change parameters'!$E$30:$I$30,1,$B$5)=1,(1+M55)*D55,D55),L55)</f>
        <v>282304</v>
      </c>
      <c r="P55" s="94">
        <f>IF(K55&lt;INDEX('Pace of change parameters'!$E$18:$I$18,1,$B$5),1,IF(K55&gt;INDEX('Pace of change parameters'!$E$19:$I$19,1,$B$5),0,(K55-INDEX('Pace of change parameters'!$E$19:$I$19,1,$B$5))/(INDEX('Pace of change parameters'!$E$18:$I$18,1,$B$5)-INDEX('Pace of change parameters'!$E$19:$I$19,1,$B$5))))</f>
        <v>0.52913331718594925</v>
      </c>
      <c r="Q55" s="57">
        <v>3.913801402341921E-2</v>
      </c>
      <c r="R55" s="57">
        <v>3.3022291224605427E-2</v>
      </c>
      <c r="S55" s="9">
        <f>MAX(IF(INDEX('Pace of change parameters'!$E$31:$I$31,1,$B$5)=1,D55*(1+Q55),D55),L55)</f>
        <v>282440.82962560741</v>
      </c>
      <c r="T55" s="103">
        <f>IF(Q55&lt;INDEX('Pace of change parameters'!$E$24:$I$24,1,$B$5),INDEX('Pace of change parameters'!$E$24:$I$24,1,$B$5),Q55)</f>
        <v>3.913801402341921E-2</v>
      </c>
      <c r="U55" s="132">
        <v>3.3022291224605427E-2</v>
      </c>
      <c r="V55" s="117">
        <f t="shared" si="9"/>
        <v>282440.82962560741</v>
      </c>
      <c r="W55" s="131">
        <f>IF(J55&gt;INDEX('Pace of change parameters'!$E$26:$I$26,1,$B$5),0,IF(J55&lt;INDEX('Pace of change parameters'!$E$25:$I$25,1,$B$5),1,(J55-INDEX('Pace of change parameters'!$E$26:$I$26,1,$B$5))/(INDEX('Pace of change parameters'!$E$25:$I$25,1,$B$5)-INDEX('Pace of change parameters'!$E$26:$I$26,1,$B$5))))</f>
        <v>1</v>
      </c>
      <c r="X55" s="132">
        <f>MIN(T55, T55+(INDEX('Pace of change parameters'!$E$27:$I$27,1,$B$5)-T55)*(1-W55))</f>
        <v>3.913801402341921E-2</v>
      </c>
      <c r="Y55" s="132">
        <v>3.3022291224605427E-2</v>
      </c>
      <c r="Z55" s="108">
        <f t="shared" si="10"/>
        <v>282440.82962560741</v>
      </c>
      <c r="AA55" s="97">
        <f>MIN(VLOOKUP(A55,'2019-20 disagg'!$A$12:$BB$220,54,FALSE),-2.5%)</f>
        <v>-2.5000000000000001E-2</v>
      </c>
      <c r="AB55" s="99">
        <f t="shared" si="2"/>
        <v>280050.73506767309</v>
      </c>
      <c r="AC55" s="99">
        <f>MAX(IF(INDEX('Pace of change parameters'!$E$29:$I$29,1,$B$5)=1,MAX(AB55,Z55),Z55),L55)</f>
        <v>282440.82962560741</v>
      </c>
      <c r="AD55" s="97">
        <f t="shared" si="3"/>
        <v>3.913801402341921E-2</v>
      </c>
      <c r="AE55" s="146">
        <v>3.3022291224605427E-2</v>
      </c>
      <c r="AF55" s="56">
        <f t="shared" si="11"/>
        <v>282440.82962560741</v>
      </c>
      <c r="AG55" s="56">
        <v>1735.8383889259653</v>
      </c>
      <c r="AH55" s="16">
        <f t="shared" si="4"/>
        <v>3.913801402341921E-2</v>
      </c>
      <c r="AI55" s="16">
        <f t="shared" si="5"/>
        <v>3.3022291224605427E-2</v>
      </c>
      <c r="AJ55" s="56"/>
      <c r="AK55" s="56">
        <v>287231.52314633137</v>
      </c>
      <c r="AL55" s="56">
        <v>1765.2812627975466</v>
      </c>
      <c r="AM55" s="16">
        <f t="shared" si="12"/>
        <v>-1.6678857070584585E-2</v>
      </c>
      <c r="AN55" s="58">
        <f t="shared" si="12"/>
        <v>-1.6678857070584474E-2</v>
      </c>
      <c r="AP55" s="56">
        <f t="shared" si="6"/>
        <v>0</v>
      </c>
      <c r="AQ55" s="56">
        <f t="shared" si="7"/>
        <v>0</v>
      </c>
    </row>
    <row r="56" spans="1:43" x14ac:dyDescent="0.2">
      <c r="A56" s="156" t="s">
        <v>157</v>
      </c>
      <c r="B56" s="156" t="s">
        <v>158</v>
      </c>
      <c r="D56" s="68">
        <f>VLOOKUP(A56,'2019-20 disagg'!A56:AZ264,43,FALSE)</f>
        <v>494862</v>
      </c>
      <c r="E56" s="73">
        <v>1888.2879881640081</v>
      </c>
      <c r="F56" s="55"/>
      <c r="G56" s="88">
        <v>473150.63715447485</v>
      </c>
      <c r="H56" s="81">
        <v>1794.3807209160925</v>
      </c>
      <c r="I56" s="90"/>
      <c r="J56" s="103">
        <f t="shared" si="8"/>
        <v>4.5886787717537736E-2</v>
      </c>
      <c r="K56" s="126">
        <f t="shared" si="8"/>
        <v>5.2334081699213053E-2</v>
      </c>
      <c r="L56" s="56">
        <v>513805</v>
      </c>
      <c r="M56" s="103">
        <v>3.0822390305524694E-2</v>
      </c>
      <c r="N56" s="97">
        <f>INDEX('Pace of change parameters'!$E$22:$I$22,1,$B$5)</f>
        <v>2.4506891160555818E-2</v>
      </c>
      <c r="O56" s="108">
        <f>MAX(IF(INDEX('Pace of change parameters'!$E$30:$I$30,1,$B$5)=1,(1+M56)*D56,D56),L56)</f>
        <v>513805</v>
      </c>
      <c r="P56" s="94">
        <f>IF(K56&lt;INDEX('Pace of change parameters'!$E$18:$I$18,1,$B$5),1,IF(K56&gt;INDEX('Pace of change parameters'!$E$19:$I$19,1,$B$5),0,(K56-INDEX('Pace of change parameters'!$E$19:$I$19,1,$B$5))/(INDEX('Pace of change parameters'!$E$18:$I$18,1,$B$5)-INDEX('Pace of change parameters'!$E$19:$I$19,1,$B$5))))</f>
        <v>0</v>
      </c>
      <c r="Q56" s="57">
        <v>3.0822390305524694E-2</v>
      </c>
      <c r="R56" s="57">
        <v>2.450689116055571E-2</v>
      </c>
      <c r="S56" s="9">
        <f>MAX(IF(INDEX('Pace of change parameters'!$E$31:$I$31,1,$B$5)=1,D56*(1+Q56),D56),L56)</f>
        <v>513805</v>
      </c>
      <c r="T56" s="103">
        <f>IF(Q56&lt;INDEX('Pace of change parameters'!$E$24:$I$24,1,$B$5),INDEX('Pace of change parameters'!$E$24:$I$24,1,$B$5),Q56)</f>
        <v>3.2992755077120454E-2</v>
      </c>
      <c r="U56" s="132">
        <v>2.6663958843353264E-2</v>
      </c>
      <c r="V56" s="117">
        <f t="shared" si="9"/>
        <v>513805</v>
      </c>
      <c r="W56" s="131">
        <f>IF(J56&gt;INDEX('Pace of change parameters'!$E$26:$I$26,1,$B$5),0,IF(J56&lt;INDEX('Pace of change parameters'!$E$25:$I$25,1,$B$5),1,(J56-INDEX('Pace of change parameters'!$E$26:$I$26,1,$B$5))/(INDEX('Pace of change parameters'!$E$25:$I$25,1,$B$5)-INDEX('Pace of change parameters'!$E$26:$I$26,1,$B$5))))</f>
        <v>1</v>
      </c>
      <c r="X56" s="132">
        <f>MIN(T56, T56+(INDEX('Pace of change parameters'!$E$27:$I$27,1,$B$5)-T56)*(1-W56))</f>
        <v>3.2992755077120454E-2</v>
      </c>
      <c r="Y56" s="132">
        <v>2.6663958843353264E-2</v>
      </c>
      <c r="Z56" s="108">
        <f t="shared" si="10"/>
        <v>513805</v>
      </c>
      <c r="AA56" s="97">
        <f>MIN(VLOOKUP(A56,'2019-20 disagg'!$A$12:$BB$220,54,FALSE),-2.5%)</f>
        <v>-2.5000000000000001E-2</v>
      </c>
      <c r="AB56" s="99">
        <f t="shared" si="2"/>
        <v>480009.20481039095</v>
      </c>
      <c r="AC56" s="99">
        <f>MAX(IF(INDEX('Pace of change parameters'!$E$29:$I$29,1,$B$5)=1,MAX(AB56,Z56),Z56),L56)</f>
        <v>513805</v>
      </c>
      <c r="AD56" s="97">
        <f t="shared" si="3"/>
        <v>3.8279358689897292E-2</v>
      </c>
      <c r="AE56" s="146">
        <v>3.1918173228935975E-2</v>
      </c>
      <c r="AF56" s="56">
        <f t="shared" si="11"/>
        <v>513805</v>
      </c>
      <c r="AG56" s="56">
        <v>1948.5586912763463</v>
      </c>
      <c r="AH56" s="16">
        <f t="shared" si="4"/>
        <v>3.8279358689897292E-2</v>
      </c>
      <c r="AI56" s="16">
        <f t="shared" si="5"/>
        <v>3.1918173228936197E-2</v>
      </c>
      <c r="AJ56" s="56"/>
      <c r="AK56" s="56">
        <v>492317.1331388625</v>
      </c>
      <c r="AL56" s="56">
        <v>1867.0679122273716</v>
      </c>
      <c r="AM56" s="16">
        <f t="shared" si="12"/>
        <v>4.3646392568419179E-2</v>
      </c>
      <c r="AN56" s="58">
        <f t="shared" si="12"/>
        <v>4.3646392568419179E-2</v>
      </c>
      <c r="AP56" s="56">
        <f t="shared" si="6"/>
        <v>1</v>
      </c>
      <c r="AQ56" s="56">
        <f t="shared" si="7"/>
        <v>0</v>
      </c>
    </row>
    <row r="57" spans="1:43" x14ac:dyDescent="0.2">
      <c r="A57" s="156" t="s">
        <v>159</v>
      </c>
      <c r="B57" s="156" t="s">
        <v>160</v>
      </c>
      <c r="D57" s="68">
        <f>VLOOKUP(A57,'2019-20 disagg'!A57:AZ265,43,FALSE)</f>
        <v>209707</v>
      </c>
      <c r="E57" s="73">
        <v>1806.6161257229792</v>
      </c>
      <c r="F57" s="55"/>
      <c r="G57" s="88">
        <v>205117.68120366969</v>
      </c>
      <c r="H57" s="81">
        <v>1759.5424673189254</v>
      </c>
      <c r="I57" s="90"/>
      <c r="J57" s="103">
        <f t="shared" si="8"/>
        <v>2.2374077014713167E-2</v>
      </c>
      <c r="K57" s="126">
        <f t="shared" si="8"/>
        <v>2.6753351668619585E-2</v>
      </c>
      <c r="L57" s="56">
        <v>217554</v>
      </c>
      <c r="M57" s="103">
        <v>2.8895301588872213E-2</v>
      </c>
      <c r="N57" s="97">
        <f>INDEX('Pace of change parameters'!$E$22:$I$22,1,$B$5)</f>
        <v>2.4506891160555818E-2</v>
      </c>
      <c r="O57" s="108">
        <f>MAX(IF(INDEX('Pace of change parameters'!$E$30:$I$30,1,$B$5)=1,(1+M57)*D57,D57),L57)</f>
        <v>217554</v>
      </c>
      <c r="P57" s="94">
        <f>IF(K57&lt;INDEX('Pace of change parameters'!$E$18:$I$18,1,$B$5),1,IF(K57&gt;INDEX('Pace of change parameters'!$E$19:$I$19,1,$B$5),0,(K57-INDEX('Pace of change parameters'!$E$19:$I$19,1,$B$5))/(INDEX('Pace of change parameters'!$E$18:$I$18,1,$B$5)-INDEX('Pace of change parameters'!$E$19:$I$19,1,$B$5))))</f>
        <v>0</v>
      </c>
      <c r="Q57" s="57">
        <v>2.8895301588872213E-2</v>
      </c>
      <c r="R57" s="57">
        <v>2.450689116055571E-2</v>
      </c>
      <c r="S57" s="9">
        <f>MAX(IF(INDEX('Pace of change parameters'!$E$31:$I$31,1,$B$5)=1,D57*(1+Q57),D57),L57)</f>
        <v>217554</v>
      </c>
      <c r="T57" s="103">
        <f>IF(Q57&lt;INDEX('Pace of change parameters'!$E$24:$I$24,1,$B$5),INDEX('Pace of change parameters'!$E$24:$I$24,1,$B$5),Q57)</f>
        <v>3.2992755077120454E-2</v>
      </c>
      <c r="U57" s="132">
        <v>2.8586868324838255E-2</v>
      </c>
      <c r="V57" s="117">
        <f t="shared" si="9"/>
        <v>217554</v>
      </c>
      <c r="W57" s="131">
        <f>IF(J57&gt;INDEX('Pace of change parameters'!$E$26:$I$26,1,$B$5),0,IF(J57&lt;INDEX('Pace of change parameters'!$E$25:$I$25,1,$B$5),1,(J57-INDEX('Pace of change parameters'!$E$26:$I$26,1,$B$5))/(INDEX('Pace of change parameters'!$E$25:$I$25,1,$B$5)-INDEX('Pace of change parameters'!$E$26:$I$26,1,$B$5))))</f>
        <v>1</v>
      </c>
      <c r="X57" s="132">
        <f>MIN(T57, T57+(INDEX('Pace of change parameters'!$E$27:$I$27,1,$B$5)-T57)*(1-W57))</f>
        <v>3.2992755077120454E-2</v>
      </c>
      <c r="Y57" s="132">
        <v>2.8586868324838255E-2</v>
      </c>
      <c r="Z57" s="108">
        <f t="shared" si="10"/>
        <v>217554</v>
      </c>
      <c r="AA57" s="97">
        <f>MIN(VLOOKUP(A57,'2019-20 disagg'!$A$12:$BB$220,54,FALSE),-2.5%)</f>
        <v>-2.5000000000000001E-2</v>
      </c>
      <c r="AB57" s="99">
        <f t="shared" si="2"/>
        <v>208102.7632964268</v>
      </c>
      <c r="AC57" s="99">
        <f>MAX(IF(INDEX('Pace of change parameters'!$E$29:$I$29,1,$B$5)=1,MAX(AB57,Z57),Z57),L57)</f>
        <v>217554</v>
      </c>
      <c r="AD57" s="97">
        <f t="shared" si="3"/>
        <v>3.7418874906417043E-2</v>
      </c>
      <c r="AE57" s="146">
        <v>3.2994110013292E-2</v>
      </c>
      <c r="AF57" s="56">
        <f t="shared" si="11"/>
        <v>217554</v>
      </c>
      <c r="AG57" s="56">
        <v>1866.2238169268708</v>
      </c>
      <c r="AH57" s="16">
        <f t="shared" si="4"/>
        <v>3.7418874906417043E-2</v>
      </c>
      <c r="AI57" s="16">
        <f t="shared" si="5"/>
        <v>3.2994110013292222E-2</v>
      </c>
      <c r="AJ57" s="56"/>
      <c r="AK57" s="56">
        <v>213438.73158607876</v>
      </c>
      <c r="AL57" s="56">
        <v>1830.9221818059045</v>
      </c>
      <c r="AM57" s="16">
        <f t="shared" si="12"/>
        <v>1.9280794930425227E-2</v>
      </c>
      <c r="AN57" s="58">
        <f t="shared" si="12"/>
        <v>1.9280794930425227E-2</v>
      </c>
      <c r="AP57" s="56">
        <f t="shared" si="6"/>
        <v>1</v>
      </c>
      <c r="AQ57" s="56">
        <f t="shared" si="7"/>
        <v>0</v>
      </c>
    </row>
    <row r="58" spans="1:43" x14ac:dyDescent="0.2">
      <c r="A58" s="156" t="s">
        <v>161</v>
      </c>
      <c r="B58" s="156" t="s">
        <v>162</v>
      </c>
      <c r="D58" s="68">
        <f>VLOOKUP(A58,'2019-20 disagg'!A58:AZ266,43,FALSE)</f>
        <v>190079</v>
      </c>
      <c r="E58" s="73">
        <v>1515.8859476095652</v>
      </c>
      <c r="F58" s="55"/>
      <c r="G58" s="88">
        <v>194808.87808165446</v>
      </c>
      <c r="H58" s="81">
        <v>1547.5889394903666</v>
      </c>
      <c r="I58" s="90"/>
      <c r="J58" s="103">
        <f t="shared" si="8"/>
        <v>-2.4279581753311685E-2</v>
      </c>
      <c r="K58" s="126">
        <f t="shared" si="8"/>
        <v>-2.0485408671401695E-2</v>
      </c>
      <c r="L58" s="56">
        <v>197389</v>
      </c>
      <c r="M58" s="103">
        <v>2.8490774654208018E-2</v>
      </c>
      <c r="N58" s="97">
        <f>INDEX('Pace of change parameters'!$E$22:$I$22,1,$B$5)</f>
        <v>2.4506891160555818E-2</v>
      </c>
      <c r="O58" s="108">
        <f>MAX(IF(INDEX('Pace of change parameters'!$E$30:$I$30,1,$B$5)=1,(1+M58)*D58,D58),L58)</f>
        <v>197389</v>
      </c>
      <c r="P58" s="94">
        <f>IF(K58&lt;INDEX('Pace of change parameters'!$E$18:$I$18,1,$B$5),1,IF(K58&gt;INDEX('Pace of change parameters'!$E$19:$I$19,1,$B$5),0,(K58-INDEX('Pace of change parameters'!$E$19:$I$19,1,$B$5))/(INDEX('Pace of change parameters'!$E$18:$I$18,1,$B$5)-INDEX('Pace of change parameters'!$E$19:$I$19,1,$B$5))))</f>
        <v>0.8847172943071383</v>
      </c>
      <c r="Q58" s="57">
        <v>4.2783991479180772E-2</v>
      </c>
      <c r="R58" s="57">
        <v>3.8744742869979198E-2</v>
      </c>
      <c r="S58" s="9">
        <f>MAX(IF(INDEX('Pace of change parameters'!$E$31:$I$31,1,$B$5)=1,D58*(1+Q58),D58),L58)</f>
        <v>198211.3383163712</v>
      </c>
      <c r="T58" s="103">
        <f>IF(Q58&lt;INDEX('Pace of change parameters'!$E$24:$I$24,1,$B$5),INDEX('Pace of change parameters'!$E$24:$I$24,1,$B$5),Q58)</f>
        <v>4.2783991479180772E-2</v>
      </c>
      <c r="U58" s="132">
        <v>3.8744742869979198E-2</v>
      </c>
      <c r="V58" s="117">
        <f t="shared" si="9"/>
        <v>198211.3383163712</v>
      </c>
      <c r="W58" s="131">
        <f>IF(J58&gt;INDEX('Pace of change parameters'!$E$26:$I$26,1,$B$5),0,IF(J58&lt;INDEX('Pace of change parameters'!$E$25:$I$25,1,$B$5),1,(J58-INDEX('Pace of change parameters'!$E$26:$I$26,1,$B$5))/(INDEX('Pace of change parameters'!$E$25:$I$25,1,$B$5)-INDEX('Pace of change parameters'!$E$26:$I$26,1,$B$5))))</f>
        <v>1</v>
      </c>
      <c r="X58" s="132">
        <f>MIN(T58, T58+(INDEX('Pace of change parameters'!$E$27:$I$27,1,$B$5)-T58)*(1-W58))</f>
        <v>4.2783991479180772E-2</v>
      </c>
      <c r="Y58" s="132">
        <v>3.8744742869979198E-2</v>
      </c>
      <c r="Z58" s="108">
        <f t="shared" si="10"/>
        <v>198211.3383163712</v>
      </c>
      <c r="AA58" s="97">
        <f>MIN(VLOOKUP(A58,'2019-20 disagg'!$A$12:$BB$220,54,FALSE),-2.5%)</f>
        <v>-2.7061316393728441E-2</v>
      </c>
      <c r="AB58" s="99">
        <f t="shared" si="2"/>
        <v>197261.26883862427</v>
      </c>
      <c r="AC58" s="99">
        <f>MAX(IF(INDEX('Pace of change parameters'!$E$29:$I$29,1,$B$5)=1,MAX(AB58,Z58),Z58),L58)</f>
        <v>198211.3383163712</v>
      </c>
      <c r="AD58" s="97">
        <f t="shared" si="3"/>
        <v>4.2783991479180772E-2</v>
      </c>
      <c r="AE58" s="146">
        <v>3.8744742869979198E-2</v>
      </c>
      <c r="AF58" s="56">
        <f t="shared" si="11"/>
        <v>198211.3383163712</v>
      </c>
      <c r="AG58" s="56">
        <v>1574.6185588699122</v>
      </c>
      <c r="AH58" s="16">
        <f t="shared" si="4"/>
        <v>4.2783991479180772E-2</v>
      </c>
      <c r="AI58" s="16">
        <f t="shared" si="5"/>
        <v>3.8744742869978976E-2</v>
      </c>
      <c r="AJ58" s="56"/>
      <c r="AK58" s="56">
        <v>202747.89373926455</v>
      </c>
      <c r="AL58" s="56">
        <v>1610.6575888411851</v>
      </c>
      <c r="AM58" s="16">
        <f t="shared" si="12"/>
        <v>-2.2375351670619104E-2</v>
      </c>
      <c r="AN58" s="58">
        <f t="shared" si="12"/>
        <v>-2.2375351670618993E-2</v>
      </c>
      <c r="AP58" s="56">
        <f t="shared" si="6"/>
        <v>0</v>
      </c>
      <c r="AQ58" s="56">
        <f t="shared" si="7"/>
        <v>0</v>
      </c>
    </row>
    <row r="59" spans="1:43" x14ac:dyDescent="0.2">
      <c r="A59" s="156" t="s">
        <v>163</v>
      </c>
      <c r="B59" s="156" t="s">
        <v>164</v>
      </c>
      <c r="D59" s="68">
        <f>VLOOKUP(A59,'2019-20 disagg'!A59:AZ267,43,FALSE)</f>
        <v>590531</v>
      </c>
      <c r="E59" s="73">
        <v>1696.4074308112577</v>
      </c>
      <c r="F59" s="55"/>
      <c r="G59" s="88">
        <v>598480.23092357232</v>
      </c>
      <c r="H59" s="81">
        <v>1709.1347645155479</v>
      </c>
      <c r="I59" s="90"/>
      <c r="J59" s="103">
        <f t="shared" si="8"/>
        <v>-1.3282361743687132E-2</v>
      </c>
      <c r="K59" s="126">
        <f t="shared" si="8"/>
        <v>-7.4466531068998476E-3</v>
      </c>
      <c r="L59" s="56">
        <v>613303</v>
      </c>
      <c r="M59" s="103">
        <v>3.0566095416556749E-2</v>
      </c>
      <c r="N59" s="97">
        <f>INDEX('Pace of change parameters'!$E$22:$I$22,1,$B$5)</f>
        <v>2.4506891160555818E-2</v>
      </c>
      <c r="O59" s="108">
        <f>MAX(IF(INDEX('Pace of change parameters'!$E$30:$I$30,1,$B$5)=1,(1+M59)*D59,D59),L59)</f>
        <v>613303</v>
      </c>
      <c r="P59" s="94">
        <f>IF(K59&lt;INDEX('Pace of change parameters'!$E$18:$I$18,1,$B$5),1,IF(K59&gt;INDEX('Pace of change parameters'!$E$19:$I$19,1,$B$5),0,(K59-INDEX('Pace of change parameters'!$E$19:$I$19,1,$B$5))/(INDEX('Pace of change parameters'!$E$18:$I$18,1,$B$5)-INDEX('Pace of change parameters'!$E$19:$I$19,1,$B$5))))</f>
        <v>0.45703086370779028</v>
      </c>
      <c r="Q59" s="57">
        <v>3.7964642541669091E-2</v>
      </c>
      <c r="R59" s="57">
        <v>3.186193859319042E-2</v>
      </c>
      <c r="S59" s="9">
        <f>MAX(IF(INDEX('Pace of change parameters'!$E$31:$I$31,1,$B$5)=1,D59*(1+Q59),D59),L59)</f>
        <v>613303</v>
      </c>
      <c r="T59" s="103">
        <f>IF(Q59&lt;INDEX('Pace of change parameters'!$E$24:$I$24,1,$B$5),INDEX('Pace of change parameters'!$E$24:$I$24,1,$B$5),Q59)</f>
        <v>3.7964642541669091E-2</v>
      </c>
      <c r="U59" s="132">
        <v>3.186193859319042E-2</v>
      </c>
      <c r="V59" s="117">
        <f t="shared" si="9"/>
        <v>613303</v>
      </c>
      <c r="W59" s="131">
        <f>IF(J59&gt;INDEX('Pace of change parameters'!$E$26:$I$26,1,$B$5),0,IF(J59&lt;INDEX('Pace of change parameters'!$E$25:$I$25,1,$B$5),1,(J59-INDEX('Pace of change parameters'!$E$26:$I$26,1,$B$5))/(INDEX('Pace of change parameters'!$E$25:$I$25,1,$B$5)-INDEX('Pace of change parameters'!$E$26:$I$26,1,$B$5))))</f>
        <v>1</v>
      </c>
      <c r="X59" s="132">
        <f>MIN(T59, T59+(INDEX('Pace of change parameters'!$E$27:$I$27,1,$B$5)-T59)*(1-W59))</f>
        <v>3.7964642541669091E-2</v>
      </c>
      <c r="Y59" s="132">
        <v>3.186193859319042E-2</v>
      </c>
      <c r="Z59" s="108">
        <f t="shared" si="10"/>
        <v>613303</v>
      </c>
      <c r="AA59" s="97">
        <f>MIN(VLOOKUP(A59,'2019-20 disagg'!$A$12:$BB$220,54,FALSE),-2.5%)</f>
        <v>-2.5000000000000001E-2</v>
      </c>
      <c r="AB59" s="99">
        <f t="shared" si="2"/>
        <v>607120.0515320322</v>
      </c>
      <c r="AC59" s="99">
        <f>MAX(IF(INDEX('Pace of change parameters'!$E$29:$I$29,1,$B$5)=1,MAX(AB59,Z59),Z59),L59)</f>
        <v>613303</v>
      </c>
      <c r="AD59" s="97">
        <f t="shared" si="3"/>
        <v>3.8561904455481688E-2</v>
      </c>
      <c r="AE59" s="146">
        <v>3.2455688910855596E-2</v>
      </c>
      <c r="AF59" s="56">
        <f t="shared" si="11"/>
        <v>613303</v>
      </c>
      <c r="AG59" s="56">
        <v>1751.4655026517316</v>
      </c>
      <c r="AH59" s="16">
        <f t="shared" si="4"/>
        <v>3.8561904455481688E-2</v>
      </c>
      <c r="AI59" s="16">
        <f t="shared" si="5"/>
        <v>3.2455688910855596E-2</v>
      </c>
      <c r="AJ59" s="56"/>
      <c r="AK59" s="56">
        <v>622687.23234054586</v>
      </c>
      <c r="AL59" s="56">
        <v>1778.264913731304</v>
      </c>
      <c r="AM59" s="16">
        <f t="shared" si="12"/>
        <v>-1.5070539193926535E-2</v>
      </c>
      <c r="AN59" s="58">
        <f t="shared" si="12"/>
        <v>-1.5070539193926757E-2</v>
      </c>
      <c r="AP59" s="56">
        <f t="shared" si="6"/>
        <v>1</v>
      </c>
      <c r="AQ59" s="56">
        <f t="shared" si="7"/>
        <v>0</v>
      </c>
    </row>
    <row r="60" spans="1:43" x14ac:dyDescent="0.2">
      <c r="A60" s="156" t="s">
        <v>165</v>
      </c>
      <c r="B60" s="156" t="s">
        <v>166</v>
      </c>
      <c r="D60" s="68">
        <f>VLOOKUP(A60,'2019-20 disagg'!A60:AZ268,43,FALSE)</f>
        <v>367315</v>
      </c>
      <c r="E60" s="73">
        <v>1642.6206809463677</v>
      </c>
      <c r="F60" s="55"/>
      <c r="G60" s="88">
        <v>354450.23544625333</v>
      </c>
      <c r="H60" s="81">
        <v>1575.0970947038588</v>
      </c>
      <c r="I60" s="90"/>
      <c r="J60" s="103">
        <f t="shared" si="8"/>
        <v>3.6294980979628688E-2</v>
      </c>
      <c r="K60" s="126">
        <f t="shared" si="8"/>
        <v>4.2869475456180917E-2</v>
      </c>
      <c r="L60" s="56">
        <v>380930</v>
      </c>
      <c r="M60" s="103">
        <v>3.1006599275283264E-2</v>
      </c>
      <c r="N60" s="97">
        <f>INDEX('Pace of change parameters'!$E$22:$I$22,1,$B$5)</f>
        <v>2.4506891160555818E-2</v>
      </c>
      <c r="O60" s="108">
        <f>MAX(IF(INDEX('Pace of change parameters'!$E$30:$I$30,1,$B$5)=1,(1+M60)*D60,D60),L60)</f>
        <v>380930</v>
      </c>
      <c r="P60" s="94">
        <f>IF(K60&lt;INDEX('Pace of change parameters'!$E$18:$I$18,1,$B$5),1,IF(K60&gt;INDEX('Pace of change parameters'!$E$19:$I$19,1,$B$5),0,(K60-INDEX('Pace of change parameters'!$E$19:$I$19,1,$B$5))/(INDEX('Pace of change parameters'!$E$18:$I$18,1,$B$5)-INDEX('Pace of change parameters'!$E$19:$I$19,1,$B$5))))</f>
        <v>0</v>
      </c>
      <c r="Q60" s="57">
        <v>3.1006599275283264E-2</v>
      </c>
      <c r="R60" s="57">
        <v>2.450689116055571E-2</v>
      </c>
      <c r="S60" s="9">
        <f>MAX(IF(INDEX('Pace of change parameters'!$E$31:$I$31,1,$B$5)=1,D60*(1+Q60),D60),L60)</f>
        <v>380930</v>
      </c>
      <c r="T60" s="103">
        <f>IF(Q60&lt;INDEX('Pace of change parameters'!$E$24:$I$24,1,$B$5),INDEX('Pace of change parameters'!$E$24:$I$24,1,$B$5),Q60)</f>
        <v>3.2992755077120454E-2</v>
      </c>
      <c r="U60" s="132">
        <v>2.6480525769035479E-2</v>
      </c>
      <c r="V60" s="117">
        <f t="shared" si="9"/>
        <v>380930</v>
      </c>
      <c r="W60" s="131">
        <f>IF(J60&gt;INDEX('Pace of change parameters'!$E$26:$I$26,1,$B$5),0,IF(J60&lt;INDEX('Pace of change parameters'!$E$25:$I$25,1,$B$5),1,(J60-INDEX('Pace of change parameters'!$E$26:$I$26,1,$B$5))/(INDEX('Pace of change parameters'!$E$25:$I$25,1,$B$5)-INDEX('Pace of change parameters'!$E$26:$I$26,1,$B$5))))</f>
        <v>1</v>
      </c>
      <c r="X60" s="132">
        <f>MIN(T60, T60+(INDEX('Pace of change parameters'!$E$27:$I$27,1,$B$5)-T60)*(1-W60))</f>
        <v>3.2992755077120454E-2</v>
      </c>
      <c r="Y60" s="132">
        <v>2.6480525769035479E-2</v>
      </c>
      <c r="Z60" s="108">
        <f t="shared" si="10"/>
        <v>380930</v>
      </c>
      <c r="AA60" s="97">
        <f>MIN(VLOOKUP(A60,'2019-20 disagg'!$A$12:$BB$220,54,FALSE),-2.5%)</f>
        <v>-2.5000000000000001E-2</v>
      </c>
      <c r="AB60" s="99">
        <f t="shared" si="2"/>
        <v>359568.98039276019</v>
      </c>
      <c r="AC60" s="99">
        <f>MAX(IF(INDEX('Pace of change parameters'!$E$29:$I$29,1,$B$5)=1,MAX(AB60,Z60),Z60),L60)</f>
        <v>380930</v>
      </c>
      <c r="AD60" s="97">
        <f t="shared" si="3"/>
        <v>3.706627826252662E-2</v>
      </c>
      <c r="AE60" s="146">
        <v>3.0528368506108627E-2</v>
      </c>
      <c r="AF60" s="56">
        <f t="shared" si="11"/>
        <v>380930</v>
      </c>
      <c r="AG60" s="56">
        <v>1692.7672104100536</v>
      </c>
      <c r="AH60" s="16">
        <f t="shared" si="4"/>
        <v>3.706627826252662E-2</v>
      </c>
      <c r="AI60" s="16">
        <f t="shared" si="5"/>
        <v>3.0528368506108627E-2</v>
      </c>
      <c r="AJ60" s="56"/>
      <c r="AK60" s="56">
        <v>368788.69783872843</v>
      </c>
      <c r="AL60" s="56">
        <v>1638.8139954091841</v>
      </c>
      <c r="AM60" s="16">
        <f t="shared" si="12"/>
        <v>3.2922110228500001E-2</v>
      </c>
      <c r="AN60" s="58">
        <f t="shared" si="12"/>
        <v>3.2922110228500001E-2</v>
      </c>
      <c r="AP60" s="56">
        <f t="shared" si="6"/>
        <v>1</v>
      </c>
      <c r="AQ60" s="56">
        <f t="shared" si="7"/>
        <v>0</v>
      </c>
    </row>
    <row r="61" spans="1:43" x14ac:dyDescent="0.2">
      <c r="A61" s="156" t="s">
        <v>167</v>
      </c>
      <c r="B61" s="156" t="s">
        <v>168</v>
      </c>
      <c r="D61" s="68">
        <f>VLOOKUP(A61,'2019-20 disagg'!A61:AZ269,43,FALSE)</f>
        <v>594204</v>
      </c>
      <c r="E61" s="73">
        <v>1874.905105138085</v>
      </c>
      <c r="F61" s="55"/>
      <c r="G61" s="88">
        <v>563594.29399172601</v>
      </c>
      <c r="H61" s="81">
        <v>1774.0549985947193</v>
      </c>
      <c r="I61" s="90"/>
      <c r="J61" s="103">
        <f t="shared" si="8"/>
        <v>5.4311596718761956E-2</v>
      </c>
      <c r="K61" s="126">
        <f t="shared" si="8"/>
        <v>5.6847226621075331E-2</v>
      </c>
      <c r="L61" s="56">
        <v>614964</v>
      </c>
      <c r="M61" s="103">
        <v>2.6970840448828692E-2</v>
      </c>
      <c r="N61" s="97">
        <f>INDEX('Pace of change parameters'!$E$22:$I$22,1,$B$5)</f>
        <v>2.4506891160555818E-2</v>
      </c>
      <c r="O61" s="108">
        <f>MAX(IF(INDEX('Pace of change parameters'!$E$30:$I$30,1,$B$5)=1,(1+M61)*D61,D61),L61)</f>
        <v>614964</v>
      </c>
      <c r="P61" s="94">
        <f>IF(K61&lt;INDEX('Pace of change parameters'!$E$18:$I$18,1,$B$5),1,IF(K61&gt;INDEX('Pace of change parameters'!$E$19:$I$19,1,$B$5),0,(K61-INDEX('Pace of change parameters'!$E$19:$I$19,1,$B$5))/(INDEX('Pace of change parameters'!$E$18:$I$18,1,$B$5)-INDEX('Pace of change parameters'!$E$19:$I$19,1,$B$5))))</f>
        <v>0</v>
      </c>
      <c r="Q61" s="57">
        <v>2.6970840448828692E-2</v>
      </c>
      <c r="R61" s="57">
        <v>2.450689116055571E-2</v>
      </c>
      <c r="S61" s="9">
        <f>MAX(IF(INDEX('Pace of change parameters'!$E$31:$I$31,1,$B$5)=1,D61*(1+Q61),D61),L61)</f>
        <v>614964</v>
      </c>
      <c r="T61" s="103">
        <f>IF(Q61&lt;INDEX('Pace of change parameters'!$E$24:$I$24,1,$B$5),INDEX('Pace of change parameters'!$E$24:$I$24,1,$B$5),Q61)</f>
        <v>3.2992755077120454E-2</v>
      </c>
      <c r="U61" s="132">
        <v>3.0514357771749046E-2</v>
      </c>
      <c r="V61" s="117">
        <f t="shared" si="9"/>
        <v>614964</v>
      </c>
      <c r="W61" s="131">
        <f>IF(J61&gt;INDEX('Pace of change parameters'!$E$26:$I$26,1,$B$5),0,IF(J61&lt;INDEX('Pace of change parameters'!$E$25:$I$25,1,$B$5),1,(J61-INDEX('Pace of change parameters'!$E$26:$I$26,1,$B$5))/(INDEX('Pace of change parameters'!$E$25:$I$25,1,$B$5)-INDEX('Pace of change parameters'!$E$26:$I$26,1,$B$5))))</f>
        <v>0.91376806562476098</v>
      </c>
      <c r="X61" s="132">
        <f>MIN(T61, T61+(INDEX('Pace of change parameters'!$E$27:$I$27,1,$B$5)-T61)*(1-W61))</f>
        <v>3.1095652520865196E-2</v>
      </c>
      <c r="Y61" s="132">
        <v>2.8621806819404183E-2</v>
      </c>
      <c r="Z61" s="108">
        <f t="shared" si="10"/>
        <v>614964</v>
      </c>
      <c r="AA61" s="97">
        <f>MIN(VLOOKUP(A61,'2019-20 disagg'!$A$12:$BB$220,54,FALSE),-2.5%)</f>
        <v>-2.5000000000000001E-2</v>
      </c>
      <c r="AB61" s="99">
        <f t="shared" si="2"/>
        <v>571806.15500563383</v>
      </c>
      <c r="AC61" s="99">
        <f>MAX(IF(INDEX('Pace of change parameters'!$E$29:$I$29,1,$B$5)=1,MAX(AB61,Z61),Z61),L61)</f>
        <v>614964</v>
      </c>
      <c r="AD61" s="97">
        <f t="shared" si="3"/>
        <v>3.4937496213421682E-2</v>
      </c>
      <c r="AE61" s="146">
        <v>3.245443300776385E-2</v>
      </c>
      <c r="AF61" s="56">
        <f t="shared" si="11"/>
        <v>614964</v>
      </c>
      <c r="AG61" s="56">
        <v>1935.7540872687034</v>
      </c>
      <c r="AH61" s="16">
        <f t="shared" si="4"/>
        <v>3.4937496213421682E-2</v>
      </c>
      <c r="AI61" s="16">
        <f t="shared" si="5"/>
        <v>3.245443300776385E-2</v>
      </c>
      <c r="AJ61" s="56"/>
      <c r="AK61" s="56">
        <v>586467.85128782957</v>
      </c>
      <c r="AL61" s="56">
        <v>1846.0552815808896</v>
      </c>
      <c r="AM61" s="16">
        <f t="shared" si="12"/>
        <v>4.8589447229878902E-2</v>
      </c>
      <c r="AN61" s="58">
        <f t="shared" si="12"/>
        <v>4.8589447229878902E-2</v>
      </c>
      <c r="AP61" s="56">
        <f t="shared" si="6"/>
        <v>1</v>
      </c>
      <c r="AQ61" s="56">
        <f t="shared" si="7"/>
        <v>0</v>
      </c>
    </row>
    <row r="62" spans="1:43" x14ac:dyDescent="0.2">
      <c r="A62" s="156" t="s">
        <v>169</v>
      </c>
      <c r="B62" s="156" t="s">
        <v>170</v>
      </c>
      <c r="D62" s="68">
        <f>VLOOKUP(A62,'2019-20 disagg'!A62:AZ270,43,FALSE)</f>
        <v>516784</v>
      </c>
      <c r="E62" s="73">
        <v>1682.5313096620187</v>
      </c>
      <c r="F62" s="55"/>
      <c r="G62" s="88">
        <v>514689.32399935473</v>
      </c>
      <c r="H62" s="81">
        <v>1667.8836383321802</v>
      </c>
      <c r="I62" s="90"/>
      <c r="J62" s="103">
        <f t="shared" si="8"/>
        <v>4.0697871569761457E-3</v>
      </c>
      <c r="K62" s="126">
        <f t="shared" si="8"/>
        <v>8.7821901919282741E-3</v>
      </c>
      <c r="L62" s="56">
        <v>536692</v>
      </c>
      <c r="M62" s="103">
        <v>2.9315211702601429E-2</v>
      </c>
      <c r="N62" s="97">
        <f>INDEX('Pace of change parameters'!$E$22:$I$22,1,$B$5)</f>
        <v>2.4506891160555818E-2</v>
      </c>
      <c r="O62" s="108">
        <f>MAX(IF(INDEX('Pace of change parameters'!$E$30:$I$30,1,$B$5)=1,(1+M62)*D62,D62),L62)</f>
        <v>536692</v>
      </c>
      <c r="P62" s="94">
        <f>IF(K62&lt;INDEX('Pace of change parameters'!$E$18:$I$18,1,$B$5),1,IF(K62&gt;INDEX('Pace of change parameters'!$E$19:$I$19,1,$B$5),0,(K62-INDEX('Pace of change parameters'!$E$19:$I$19,1,$B$5))/(INDEX('Pace of change parameters'!$E$18:$I$18,1,$B$5)-INDEX('Pace of change parameters'!$E$19:$I$19,1,$B$5))))</f>
        <v>0</v>
      </c>
      <c r="Q62" s="57">
        <v>2.9315211702601429E-2</v>
      </c>
      <c r="R62" s="57">
        <v>2.450689116055571E-2</v>
      </c>
      <c r="S62" s="9">
        <f>MAX(IF(INDEX('Pace of change parameters'!$E$31:$I$31,1,$B$5)=1,D62*(1+Q62),D62),L62)</f>
        <v>536692</v>
      </c>
      <c r="T62" s="103">
        <f>IF(Q62&lt;INDEX('Pace of change parameters'!$E$24:$I$24,1,$B$5),INDEX('Pace of change parameters'!$E$24:$I$24,1,$B$5),Q62)</f>
        <v>3.2992755077120454E-2</v>
      </c>
      <c r="U62" s="132">
        <v>2.8167255339478503E-2</v>
      </c>
      <c r="V62" s="117">
        <f t="shared" si="9"/>
        <v>536692</v>
      </c>
      <c r="W62" s="131">
        <f>IF(J62&gt;INDEX('Pace of change parameters'!$E$26:$I$26,1,$B$5),0,IF(J62&lt;INDEX('Pace of change parameters'!$E$25:$I$25,1,$B$5),1,(J62-INDEX('Pace of change parameters'!$E$26:$I$26,1,$B$5))/(INDEX('Pace of change parameters'!$E$25:$I$25,1,$B$5)-INDEX('Pace of change parameters'!$E$26:$I$26,1,$B$5))))</f>
        <v>1</v>
      </c>
      <c r="X62" s="132">
        <f>MIN(T62, T62+(INDEX('Pace of change parameters'!$E$27:$I$27,1,$B$5)-T62)*(1-W62))</f>
        <v>3.2992755077120454E-2</v>
      </c>
      <c r="Y62" s="132">
        <v>2.8167255339478503E-2</v>
      </c>
      <c r="Z62" s="108">
        <f t="shared" si="10"/>
        <v>536692</v>
      </c>
      <c r="AA62" s="97">
        <f>MIN(VLOOKUP(A62,'2019-20 disagg'!$A$12:$BB$220,54,FALSE),-2.5%)</f>
        <v>-2.5000000000000001E-2</v>
      </c>
      <c r="AB62" s="99">
        <f t="shared" si="2"/>
        <v>522177.43984586326</v>
      </c>
      <c r="AC62" s="99">
        <f>MAX(IF(INDEX('Pace of change parameters'!$E$29:$I$29,1,$B$5)=1,MAX(AB62,Z62),Z62),L62)</f>
        <v>536692</v>
      </c>
      <c r="AD62" s="97">
        <f t="shared" si="3"/>
        <v>3.8522864484968666E-2</v>
      </c>
      <c r="AE62" s="146">
        <v>3.3671531515326203E-2</v>
      </c>
      <c r="AF62" s="56">
        <f t="shared" si="11"/>
        <v>536692</v>
      </c>
      <c r="AG62" s="56">
        <v>1739.1847156808262</v>
      </c>
      <c r="AH62" s="16">
        <f t="shared" si="4"/>
        <v>3.8522864484968666E-2</v>
      </c>
      <c r="AI62" s="16">
        <f t="shared" si="5"/>
        <v>3.3671531515326203E-2</v>
      </c>
      <c r="AJ62" s="56"/>
      <c r="AK62" s="56">
        <v>535566.60497011617</v>
      </c>
      <c r="AL62" s="56">
        <v>1735.5378011840996</v>
      </c>
      <c r="AM62" s="16">
        <f t="shared" si="12"/>
        <v>2.101316660598318E-3</v>
      </c>
      <c r="AN62" s="58">
        <f t="shared" si="12"/>
        <v>2.1013166605985401E-3</v>
      </c>
      <c r="AP62" s="56">
        <f t="shared" si="6"/>
        <v>1</v>
      </c>
      <c r="AQ62" s="56">
        <f t="shared" si="7"/>
        <v>0</v>
      </c>
    </row>
    <row r="63" spans="1:43" x14ac:dyDescent="0.2">
      <c r="A63" s="156" t="s">
        <v>171</v>
      </c>
      <c r="B63" s="156" t="s">
        <v>172</v>
      </c>
      <c r="D63" s="68">
        <f>VLOOKUP(A63,'2019-20 disagg'!A63:AZ271,43,FALSE)</f>
        <v>393625</v>
      </c>
      <c r="E63" s="73">
        <v>1567.8910150635825</v>
      </c>
      <c r="F63" s="55"/>
      <c r="G63" s="88">
        <v>382673.33340279834</v>
      </c>
      <c r="H63" s="81">
        <v>1514.9191117748453</v>
      </c>
      <c r="I63" s="90"/>
      <c r="J63" s="103">
        <f t="shared" si="8"/>
        <v>2.8618839206321356E-2</v>
      </c>
      <c r="K63" s="126">
        <f t="shared" si="8"/>
        <v>3.4966819599151044E-2</v>
      </c>
      <c r="L63" s="56">
        <v>408844</v>
      </c>
      <c r="M63" s="103">
        <v>3.0829495228768433E-2</v>
      </c>
      <c r="N63" s="97">
        <f>INDEX('Pace of change parameters'!$E$22:$I$22,1,$B$5)</f>
        <v>2.4506891160555818E-2</v>
      </c>
      <c r="O63" s="108">
        <f>MAX(IF(INDEX('Pace of change parameters'!$E$30:$I$30,1,$B$5)=1,(1+M63)*D63,D63),L63)</f>
        <v>408844</v>
      </c>
      <c r="P63" s="94">
        <f>IF(K63&lt;INDEX('Pace of change parameters'!$E$18:$I$18,1,$B$5),1,IF(K63&gt;INDEX('Pace of change parameters'!$E$19:$I$19,1,$B$5),0,(K63-INDEX('Pace of change parameters'!$E$19:$I$19,1,$B$5))/(INDEX('Pace of change parameters'!$E$18:$I$18,1,$B$5)-INDEX('Pace of change parameters'!$E$19:$I$19,1,$B$5))))</f>
        <v>0</v>
      </c>
      <c r="Q63" s="57">
        <v>3.0829495228768433E-2</v>
      </c>
      <c r="R63" s="57">
        <v>2.450689116055571E-2</v>
      </c>
      <c r="S63" s="9">
        <f>MAX(IF(INDEX('Pace of change parameters'!$E$31:$I$31,1,$B$5)=1,D63*(1+Q63),D63),L63)</f>
        <v>408844</v>
      </c>
      <c r="T63" s="103">
        <f>IF(Q63&lt;INDEX('Pace of change parameters'!$E$24:$I$24,1,$B$5),INDEX('Pace of change parameters'!$E$24:$I$24,1,$B$5),Q63)</f>
        <v>3.2992755077120454E-2</v>
      </c>
      <c r="U63" s="132">
        <v>2.6656882630790024E-2</v>
      </c>
      <c r="V63" s="117">
        <f t="shared" si="9"/>
        <v>408844</v>
      </c>
      <c r="W63" s="131">
        <f>IF(J63&gt;INDEX('Pace of change parameters'!$E$26:$I$26,1,$B$5),0,IF(J63&lt;INDEX('Pace of change parameters'!$E$25:$I$25,1,$B$5),1,(J63-INDEX('Pace of change parameters'!$E$26:$I$26,1,$B$5))/(INDEX('Pace of change parameters'!$E$25:$I$25,1,$B$5)-INDEX('Pace of change parameters'!$E$26:$I$26,1,$B$5))))</f>
        <v>1</v>
      </c>
      <c r="X63" s="132">
        <f>MIN(T63, T63+(INDEX('Pace of change parameters'!$E$27:$I$27,1,$B$5)-T63)*(1-W63))</f>
        <v>3.2992755077120454E-2</v>
      </c>
      <c r="Y63" s="132">
        <v>2.6656882630790024E-2</v>
      </c>
      <c r="Z63" s="108">
        <f t="shared" si="10"/>
        <v>408844</v>
      </c>
      <c r="AA63" s="97">
        <f>MIN(VLOOKUP(A63,'2019-20 disagg'!$A$12:$BB$220,54,FALSE),-2.5%)</f>
        <v>-2.5000000000000001E-2</v>
      </c>
      <c r="AB63" s="99">
        <f t="shared" si="2"/>
        <v>388188.72092994745</v>
      </c>
      <c r="AC63" s="99">
        <f>MAX(IF(INDEX('Pace of change parameters'!$E$29:$I$29,1,$B$5)=1,MAX(AB63,Z63),Z63),L63)</f>
        <v>408844</v>
      </c>
      <c r="AD63" s="97">
        <f t="shared" si="3"/>
        <v>3.866370276278186E-2</v>
      </c>
      <c r="AE63" s="146">
        <v>3.2293047496330329E-2</v>
      </c>
      <c r="AF63" s="56">
        <f t="shared" si="11"/>
        <v>408844</v>
      </c>
      <c r="AG63" s="56">
        <v>1618.5229940821</v>
      </c>
      <c r="AH63" s="16">
        <f t="shared" si="4"/>
        <v>3.866370276278186E-2</v>
      </c>
      <c r="AI63" s="16">
        <f t="shared" si="5"/>
        <v>3.2293047496330107E-2</v>
      </c>
      <c r="AJ63" s="56"/>
      <c r="AK63" s="56">
        <v>398142.27787686919</v>
      </c>
      <c r="AL63" s="56">
        <v>1576.1572425177765</v>
      </c>
      <c r="AM63" s="16">
        <f t="shared" si="12"/>
        <v>2.6879140241520494E-2</v>
      </c>
      <c r="AN63" s="58">
        <f t="shared" si="12"/>
        <v>2.6879140241520494E-2</v>
      </c>
      <c r="AP63" s="56">
        <f t="shared" si="6"/>
        <v>1</v>
      </c>
      <c r="AQ63" s="56">
        <f t="shared" si="7"/>
        <v>0</v>
      </c>
    </row>
    <row r="64" spans="1:43" x14ac:dyDescent="0.2">
      <c r="A64" s="156" t="s">
        <v>173</v>
      </c>
      <c r="B64" s="156" t="s">
        <v>174</v>
      </c>
      <c r="D64" s="68">
        <f>VLOOKUP(A64,'2019-20 disagg'!A64:AZ272,43,FALSE)</f>
        <v>253019</v>
      </c>
      <c r="E64" s="73">
        <v>1750.9811931472414</v>
      </c>
      <c r="F64" s="55"/>
      <c r="G64" s="88">
        <v>237133.66804900698</v>
      </c>
      <c r="H64" s="81">
        <v>1637.5564837028176</v>
      </c>
      <c r="I64" s="90"/>
      <c r="J64" s="103">
        <f t="shared" si="8"/>
        <v>6.6988935319425291E-2</v>
      </c>
      <c r="K64" s="126">
        <f t="shared" si="8"/>
        <v>6.9264608929976879E-2</v>
      </c>
      <c r="L64" s="56">
        <v>261285</v>
      </c>
      <c r="M64" s="103">
        <v>2.6691959082880912E-2</v>
      </c>
      <c r="N64" s="97">
        <f>INDEX('Pace of change parameters'!$E$22:$I$22,1,$B$5)</f>
        <v>2.4506891160555818E-2</v>
      </c>
      <c r="O64" s="108">
        <f>MAX(IF(INDEX('Pace of change parameters'!$E$30:$I$30,1,$B$5)=1,(1+M64)*D64,D64),L64)</f>
        <v>261285</v>
      </c>
      <c r="P64" s="94">
        <f>IF(K64&lt;INDEX('Pace of change parameters'!$E$18:$I$18,1,$B$5),1,IF(K64&gt;INDEX('Pace of change parameters'!$E$19:$I$19,1,$B$5),0,(K64-INDEX('Pace of change parameters'!$E$19:$I$19,1,$B$5))/(INDEX('Pace of change parameters'!$E$18:$I$18,1,$B$5)-INDEX('Pace of change parameters'!$E$19:$I$19,1,$B$5))))</f>
        <v>0</v>
      </c>
      <c r="Q64" s="57">
        <v>2.6691959082880912E-2</v>
      </c>
      <c r="R64" s="57">
        <v>2.450689116055571E-2</v>
      </c>
      <c r="S64" s="9">
        <f>MAX(IF(INDEX('Pace of change parameters'!$E$31:$I$31,1,$B$5)=1,D64*(1+Q64),D64),L64)</f>
        <v>261285</v>
      </c>
      <c r="T64" s="103">
        <f>IF(Q64&lt;INDEX('Pace of change parameters'!$E$24:$I$24,1,$B$5),INDEX('Pace of change parameters'!$E$24:$I$24,1,$B$5),Q64)</f>
        <v>3.2992755077120454E-2</v>
      </c>
      <c r="U64" s="132">
        <v>3.0794277419684102E-2</v>
      </c>
      <c r="V64" s="117">
        <f t="shared" si="9"/>
        <v>261366.79389685797</v>
      </c>
      <c r="W64" s="131">
        <f>IF(J64&gt;INDEX('Pace of change parameters'!$E$26:$I$26,1,$B$5),0,IF(J64&lt;INDEX('Pace of change parameters'!$E$25:$I$25,1,$B$5),1,(J64-INDEX('Pace of change parameters'!$E$26:$I$26,1,$B$5))/(INDEX('Pace of change parameters'!$E$25:$I$25,1,$B$5)-INDEX('Pace of change parameters'!$E$26:$I$26,1,$B$5))))</f>
        <v>0.66022129361149429</v>
      </c>
      <c r="X64" s="132">
        <f>MIN(T64, T64+(INDEX('Pace of change parameters'!$E$27:$I$27,1,$B$5)-T64)*(1-W64))</f>
        <v>2.5517623536573331E-2</v>
      </c>
      <c r="Y64" s="132">
        <v>2.3335054906182373E-2</v>
      </c>
      <c r="Z64" s="108">
        <f t="shared" si="10"/>
        <v>261285</v>
      </c>
      <c r="AA64" s="97">
        <f>MIN(VLOOKUP(A64,'2019-20 disagg'!$A$12:$BB$220,54,FALSE),-2.5%)</f>
        <v>-2.5000000000000001E-2</v>
      </c>
      <c r="AB64" s="99">
        <f t="shared" si="2"/>
        <v>240589.63623773202</v>
      </c>
      <c r="AC64" s="99">
        <f>MAX(IF(INDEX('Pace of change parameters'!$E$29:$I$29,1,$B$5)=1,MAX(AB64,Z64),Z64),L64)</f>
        <v>261285</v>
      </c>
      <c r="AD64" s="97">
        <f t="shared" si="3"/>
        <v>3.2669483319434534E-2</v>
      </c>
      <c r="AE64" s="146">
        <v>3.0471693668504551E-2</v>
      </c>
      <c r="AF64" s="56">
        <f t="shared" si="11"/>
        <v>261285</v>
      </c>
      <c r="AG64" s="56">
        <v>1804.3365556841366</v>
      </c>
      <c r="AH64" s="16">
        <f t="shared" si="4"/>
        <v>3.2669483319434534E-2</v>
      </c>
      <c r="AI64" s="16">
        <f t="shared" si="5"/>
        <v>3.0471693668504551E-2</v>
      </c>
      <c r="AJ64" s="56"/>
      <c r="AK64" s="56">
        <v>246758.60126946875</v>
      </c>
      <c r="AL64" s="56">
        <v>1704.0226752396366</v>
      </c>
      <c r="AM64" s="16">
        <f t="shared" si="12"/>
        <v>5.8868864776340457E-2</v>
      </c>
      <c r="AN64" s="58">
        <f t="shared" si="12"/>
        <v>5.8868864776340457E-2</v>
      </c>
      <c r="AP64" s="56">
        <f t="shared" si="6"/>
        <v>1</v>
      </c>
      <c r="AQ64" s="56">
        <f t="shared" si="7"/>
        <v>0</v>
      </c>
    </row>
    <row r="65" spans="1:43" x14ac:dyDescent="0.2">
      <c r="A65" s="156" t="s">
        <v>175</v>
      </c>
      <c r="B65" s="156" t="s">
        <v>176</v>
      </c>
      <c r="D65" s="68">
        <f>VLOOKUP(A65,'2019-20 disagg'!A65:AZ273,43,FALSE)</f>
        <v>260372</v>
      </c>
      <c r="E65" s="73">
        <v>1588.9456116265919</v>
      </c>
      <c r="F65" s="55"/>
      <c r="G65" s="88">
        <v>253663.44719746907</v>
      </c>
      <c r="H65" s="81">
        <v>1542.9006062701944</v>
      </c>
      <c r="I65" s="90"/>
      <c r="J65" s="103">
        <f t="shared" si="8"/>
        <v>2.6446667332832297E-2</v>
      </c>
      <c r="K65" s="126">
        <f t="shared" si="8"/>
        <v>2.9843144250041309E-2</v>
      </c>
      <c r="L65" s="56">
        <v>270305</v>
      </c>
      <c r="M65" s="103">
        <v>2.7896949424751849E-2</v>
      </c>
      <c r="N65" s="97">
        <f>INDEX('Pace of change parameters'!$E$22:$I$22,1,$B$5)</f>
        <v>2.4506891160555818E-2</v>
      </c>
      <c r="O65" s="108">
        <f>MAX(IF(INDEX('Pace of change parameters'!$E$30:$I$30,1,$B$5)=1,(1+M65)*D65,D65),L65)</f>
        <v>270305</v>
      </c>
      <c r="P65" s="94">
        <f>IF(K65&lt;INDEX('Pace of change parameters'!$E$18:$I$18,1,$B$5),1,IF(K65&gt;INDEX('Pace of change parameters'!$E$19:$I$19,1,$B$5),0,(K65-INDEX('Pace of change parameters'!$E$19:$I$19,1,$B$5))/(INDEX('Pace of change parameters'!$E$18:$I$18,1,$B$5)-INDEX('Pace of change parameters'!$E$19:$I$19,1,$B$5))))</f>
        <v>0</v>
      </c>
      <c r="Q65" s="57">
        <v>2.7896949424751849E-2</v>
      </c>
      <c r="R65" s="57">
        <v>2.450689116055571E-2</v>
      </c>
      <c r="S65" s="9">
        <f>MAX(IF(INDEX('Pace of change parameters'!$E$31:$I$31,1,$B$5)=1,D65*(1+Q65),D65),L65)</f>
        <v>270305</v>
      </c>
      <c r="T65" s="103">
        <f>IF(Q65&lt;INDEX('Pace of change parameters'!$E$24:$I$24,1,$B$5),INDEX('Pace of change parameters'!$E$24:$I$24,1,$B$5),Q65)</f>
        <v>3.2992755077120454E-2</v>
      </c>
      <c r="U65" s="132">
        <v>2.9585890577557672E-2</v>
      </c>
      <c r="V65" s="117">
        <f t="shared" si="9"/>
        <v>270305</v>
      </c>
      <c r="W65" s="131">
        <f>IF(J65&gt;INDEX('Pace of change parameters'!$E$26:$I$26,1,$B$5),0,IF(J65&lt;INDEX('Pace of change parameters'!$E$25:$I$25,1,$B$5),1,(J65-INDEX('Pace of change parameters'!$E$26:$I$26,1,$B$5))/(INDEX('Pace of change parameters'!$E$25:$I$25,1,$B$5)-INDEX('Pace of change parameters'!$E$26:$I$26,1,$B$5))))</f>
        <v>1</v>
      </c>
      <c r="X65" s="132">
        <f>MIN(T65, T65+(INDEX('Pace of change parameters'!$E$27:$I$27,1,$B$5)-T65)*(1-W65))</f>
        <v>3.2992755077120454E-2</v>
      </c>
      <c r="Y65" s="132">
        <v>2.9585890577557672E-2</v>
      </c>
      <c r="Z65" s="108">
        <f t="shared" si="10"/>
        <v>270305</v>
      </c>
      <c r="AA65" s="97">
        <f>MIN(VLOOKUP(A65,'2019-20 disagg'!$A$12:$BB$220,54,FALSE),-2.5%)</f>
        <v>-2.5000000000000001E-2</v>
      </c>
      <c r="AB65" s="99">
        <f t="shared" si="2"/>
        <v>257362.64253056381</v>
      </c>
      <c r="AC65" s="99">
        <f>MAX(IF(INDEX('Pace of change parameters'!$E$29:$I$29,1,$B$5)=1,MAX(AB65,Z65),Z65),L65)</f>
        <v>270305</v>
      </c>
      <c r="AD65" s="97">
        <f t="shared" si="3"/>
        <v>3.8149263361651808E-2</v>
      </c>
      <c r="AE65" s="146">
        <v>3.4725392426245394E-2</v>
      </c>
      <c r="AF65" s="56">
        <f t="shared" si="11"/>
        <v>270305</v>
      </c>
      <c r="AG65" s="56">
        <v>1644.122371534286</v>
      </c>
      <c r="AH65" s="16">
        <f t="shared" si="4"/>
        <v>3.8149263361651808E-2</v>
      </c>
      <c r="AI65" s="16">
        <f t="shared" si="5"/>
        <v>3.4725392426245394E-2</v>
      </c>
      <c r="AJ65" s="56"/>
      <c r="AK65" s="56">
        <v>263961.68464673212</v>
      </c>
      <c r="AL65" s="56">
        <v>1605.5393387305839</v>
      </c>
      <c r="AM65" s="16">
        <f t="shared" si="12"/>
        <v>2.4031197413205474E-2</v>
      </c>
      <c r="AN65" s="58">
        <f t="shared" si="12"/>
        <v>2.4031197413205474E-2</v>
      </c>
      <c r="AP65" s="56">
        <f t="shared" si="6"/>
        <v>1</v>
      </c>
      <c r="AQ65" s="56">
        <f t="shared" si="7"/>
        <v>0</v>
      </c>
    </row>
    <row r="66" spans="1:43" x14ac:dyDescent="0.2">
      <c r="A66" s="156" t="s">
        <v>177</v>
      </c>
      <c r="B66" s="156" t="s">
        <v>178</v>
      </c>
      <c r="D66" s="68">
        <f>VLOOKUP(A66,'2019-20 disagg'!A66:AZ274,43,FALSE)</f>
        <v>532487</v>
      </c>
      <c r="E66" s="73">
        <v>1808.9277013362387</v>
      </c>
      <c r="F66" s="55"/>
      <c r="G66" s="88">
        <v>519908.70043208706</v>
      </c>
      <c r="H66" s="81">
        <v>1762.1695669304315</v>
      </c>
      <c r="I66" s="90"/>
      <c r="J66" s="103">
        <f t="shared" si="8"/>
        <v>2.4193285393107056E-2</v>
      </c>
      <c r="K66" s="126">
        <f t="shared" si="8"/>
        <v>2.6534412625940584E-2</v>
      </c>
      <c r="L66" s="56">
        <v>552730</v>
      </c>
      <c r="M66" s="103">
        <v>2.6848735241481236E-2</v>
      </c>
      <c r="N66" s="97">
        <f>INDEX('Pace of change parameters'!$E$22:$I$22,1,$B$5)</f>
        <v>2.4506891160555818E-2</v>
      </c>
      <c r="O66" s="108">
        <f>MAX(IF(INDEX('Pace of change parameters'!$E$30:$I$30,1,$B$5)=1,(1+M66)*D66,D66),L66)</f>
        <v>552730</v>
      </c>
      <c r="P66" s="94">
        <f>IF(K66&lt;INDEX('Pace of change parameters'!$E$18:$I$18,1,$B$5),1,IF(K66&gt;INDEX('Pace of change parameters'!$E$19:$I$19,1,$B$5),0,(K66-INDEX('Pace of change parameters'!$E$19:$I$19,1,$B$5))/(INDEX('Pace of change parameters'!$E$18:$I$18,1,$B$5)-INDEX('Pace of change parameters'!$E$19:$I$19,1,$B$5))))</f>
        <v>0</v>
      </c>
      <c r="Q66" s="57">
        <v>2.6848735241481236E-2</v>
      </c>
      <c r="R66" s="57">
        <v>2.450689116055571E-2</v>
      </c>
      <c r="S66" s="9">
        <f>MAX(IF(INDEX('Pace of change parameters'!$E$31:$I$31,1,$B$5)=1,D66*(1+Q66),D66),L66)</f>
        <v>552730</v>
      </c>
      <c r="T66" s="103">
        <f>IF(Q66&lt;INDEX('Pace of change parameters'!$E$24:$I$24,1,$B$5),INDEX('Pace of change parameters'!$E$24:$I$24,1,$B$5),Q66)</f>
        <v>3.2992755077120454E-2</v>
      </c>
      <c r="U66" s="132">
        <v>3.0636898867639539E-2</v>
      </c>
      <c r="V66" s="117">
        <f t="shared" si="9"/>
        <v>552730</v>
      </c>
      <c r="W66" s="131">
        <f>IF(J66&gt;INDEX('Pace of change parameters'!$E$26:$I$26,1,$B$5),0,IF(J66&lt;INDEX('Pace of change parameters'!$E$25:$I$25,1,$B$5),1,(J66-INDEX('Pace of change parameters'!$E$26:$I$26,1,$B$5))/(INDEX('Pace of change parameters'!$E$25:$I$25,1,$B$5)-INDEX('Pace of change parameters'!$E$26:$I$26,1,$B$5))))</f>
        <v>1</v>
      </c>
      <c r="X66" s="132">
        <f>MIN(T66, T66+(INDEX('Pace of change parameters'!$E$27:$I$27,1,$B$5)-T66)*(1-W66))</f>
        <v>3.2992755077120454E-2</v>
      </c>
      <c r="Y66" s="132">
        <v>3.0636898867639539E-2</v>
      </c>
      <c r="Z66" s="108">
        <f t="shared" si="10"/>
        <v>552730</v>
      </c>
      <c r="AA66" s="97">
        <f>MIN(VLOOKUP(A66,'2019-20 disagg'!$A$12:$BB$220,54,FALSE),-2.5%)</f>
        <v>-2.5000000000000001E-2</v>
      </c>
      <c r="AB66" s="99">
        <f t="shared" si="2"/>
        <v>527556.22432941908</v>
      </c>
      <c r="AC66" s="99">
        <f>MAX(IF(INDEX('Pace of change parameters'!$E$29:$I$29,1,$B$5)=1,MAX(AB66,Z66),Z66),L66)</f>
        <v>552730</v>
      </c>
      <c r="AD66" s="97">
        <f t="shared" si="3"/>
        <v>3.8015951563136863E-2</v>
      </c>
      <c r="AE66" s="146">
        <v>3.5648639388863312E-2</v>
      </c>
      <c r="AF66" s="56">
        <f t="shared" si="11"/>
        <v>552730</v>
      </c>
      <c r="AG66" s="56">
        <v>1873.4135126416998</v>
      </c>
      <c r="AH66" s="16">
        <f t="shared" si="4"/>
        <v>3.8015951563136863E-2</v>
      </c>
      <c r="AI66" s="16">
        <f t="shared" si="5"/>
        <v>3.5648639388863312E-2</v>
      </c>
      <c r="AJ66" s="56"/>
      <c r="AK66" s="56">
        <v>541083.30700453243</v>
      </c>
      <c r="AL66" s="56">
        <v>1833.9384126194495</v>
      </c>
      <c r="AM66" s="16">
        <f t="shared" si="12"/>
        <v>2.1524768634878733E-2</v>
      </c>
      <c r="AN66" s="58">
        <f t="shared" si="12"/>
        <v>2.1524768634878733E-2</v>
      </c>
      <c r="AP66" s="56">
        <f t="shared" si="6"/>
        <v>1</v>
      </c>
      <c r="AQ66" s="56">
        <f t="shared" si="7"/>
        <v>0</v>
      </c>
    </row>
    <row r="67" spans="1:43" x14ac:dyDescent="0.2">
      <c r="A67" s="156" t="s">
        <v>179</v>
      </c>
      <c r="B67" s="156" t="s">
        <v>180</v>
      </c>
      <c r="D67" s="68">
        <f>VLOOKUP(A67,'2019-20 disagg'!A67:AZ275,43,FALSE)</f>
        <v>358304</v>
      </c>
      <c r="E67" s="73">
        <v>1641.5016576466803</v>
      </c>
      <c r="F67" s="55"/>
      <c r="G67" s="88">
        <v>347999.3541032169</v>
      </c>
      <c r="H67" s="81">
        <v>1582.585356671673</v>
      </c>
      <c r="I67" s="90"/>
      <c r="J67" s="103">
        <f t="shared" si="8"/>
        <v>2.9611106386498331E-2</v>
      </c>
      <c r="K67" s="126">
        <f t="shared" si="8"/>
        <v>3.7227882039117199E-2</v>
      </c>
      <c r="L67" s="56">
        <v>372480</v>
      </c>
      <c r="M67" s="103">
        <v>3.2085907253261325E-2</v>
      </c>
      <c r="N67" s="97">
        <f>INDEX('Pace of change parameters'!$E$22:$I$22,1,$B$5)</f>
        <v>2.4506891160555818E-2</v>
      </c>
      <c r="O67" s="108">
        <f>MAX(IF(INDEX('Pace of change parameters'!$E$30:$I$30,1,$B$5)=1,(1+M67)*D67,D67),L67)</f>
        <v>372480</v>
      </c>
      <c r="P67" s="94">
        <f>IF(K67&lt;INDEX('Pace of change parameters'!$E$18:$I$18,1,$B$5),1,IF(K67&gt;INDEX('Pace of change parameters'!$E$19:$I$19,1,$B$5),0,(K67-INDEX('Pace of change parameters'!$E$19:$I$19,1,$B$5))/(INDEX('Pace of change parameters'!$E$18:$I$18,1,$B$5)-INDEX('Pace of change parameters'!$E$19:$I$19,1,$B$5))))</f>
        <v>0</v>
      </c>
      <c r="Q67" s="57">
        <v>3.2085907253261325E-2</v>
      </c>
      <c r="R67" s="57">
        <v>2.450689116055571E-2</v>
      </c>
      <c r="S67" s="9">
        <f>MAX(IF(INDEX('Pace of change parameters'!$E$31:$I$31,1,$B$5)=1,D67*(1+Q67),D67),L67)</f>
        <v>372480</v>
      </c>
      <c r="T67" s="103">
        <f>IF(Q67&lt;INDEX('Pace of change parameters'!$E$24:$I$24,1,$B$5),INDEX('Pace of change parameters'!$E$24:$I$24,1,$B$5),Q67)</f>
        <v>3.2992755077120454E-2</v>
      </c>
      <c r="U67" s="132">
        <v>2.5407079641232011E-2</v>
      </c>
      <c r="V67" s="117">
        <f t="shared" si="9"/>
        <v>372480</v>
      </c>
      <c r="W67" s="131">
        <f>IF(J67&gt;INDEX('Pace of change parameters'!$E$26:$I$26,1,$B$5),0,IF(J67&lt;INDEX('Pace of change parameters'!$E$25:$I$25,1,$B$5),1,(J67-INDEX('Pace of change parameters'!$E$26:$I$26,1,$B$5))/(INDEX('Pace of change parameters'!$E$25:$I$25,1,$B$5)-INDEX('Pace of change parameters'!$E$26:$I$26,1,$B$5))))</f>
        <v>1</v>
      </c>
      <c r="X67" s="132">
        <f>MIN(T67, T67+(INDEX('Pace of change parameters'!$E$27:$I$27,1,$B$5)-T67)*(1-W67))</f>
        <v>3.2992755077120454E-2</v>
      </c>
      <c r="Y67" s="132">
        <v>2.5407079641232011E-2</v>
      </c>
      <c r="Z67" s="108">
        <f t="shared" si="10"/>
        <v>372480</v>
      </c>
      <c r="AA67" s="97">
        <f>MIN(VLOOKUP(A67,'2019-20 disagg'!$A$12:$BB$220,54,FALSE),-2.5%)</f>
        <v>-2.5000000000000001E-2</v>
      </c>
      <c r="AB67" s="99">
        <f t="shared" si="2"/>
        <v>353115.34714321117</v>
      </c>
      <c r="AC67" s="99">
        <f>MAX(IF(INDEX('Pace of change parameters'!$E$29:$I$29,1,$B$5)=1,MAX(AB67,Z67),Z67),L67)</f>
        <v>372480</v>
      </c>
      <c r="AD67" s="97">
        <f t="shared" si="3"/>
        <v>3.9564168973832192E-2</v>
      </c>
      <c r="AE67" s="146">
        <v>3.1930237039792697E-2</v>
      </c>
      <c r="AF67" s="56">
        <f t="shared" si="11"/>
        <v>372480</v>
      </c>
      <c r="AG67" s="56">
        <v>1693.9151946765514</v>
      </c>
      <c r="AH67" s="16">
        <f t="shared" si="4"/>
        <v>3.9564168973832192E-2</v>
      </c>
      <c r="AI67" s="16">
        <f t="shared" si="5"/>
        <v>3.1930237039792697E-2</v>
      </c>
      <c r="AJ67" s="56"/>
      <c r="AK67" s="56">
        <v>362169.58681354992</v>
      </c>
      <c r="AL67" s="56">
        <v>1647.0268635985842</v>
      </c>
      <c r="AM67" s="16">
        <f t="shared" si="12"/>
        <v>2.8468467706422862E-2</v>
      </c>
      <c r="AN67" s="58">
        <f t="shared" si="12"/>
        <v>2.8468467706422862E-2</v>
      </c>
      <c r="AP67" s="56">
        <f t="shared" si="6"/>
        <v>1</v>
      </c>
      <c r="AQ67" s="56">
        <f t="shared" si="7"/>
        <v>0</v>
      </c>
    </row>
    <row r="68" spans="1:43" x14ac:dyDescent="0.2">
      <c r="A68" s="156" t="s">
        <v>181</v>
      </c>
      <c r="B68" s="156" t="s">
        <v>182</v>
      </c>
      <c r="D68" s="68">
        <f>VLOOKUP(A68,'2019-20 disagg'!A68:AZ276,43,FALSE)</f>
        <v>525219</v>
      </c>
      <c r="E68" s="73">
        <v>1872.4020121260151</v>
      </c>
      <c r="F68" s="55"/>
      <c r="G68" s="88">
        <v>520264.23398000677</v>
      </c>
      <c r="H68" s="81">
        <v>1843.4510186544078</v>
      </c>
      <c r="I68" s="90"/>
      <c r="J68" s="103">
        <f t="shared" si="8"/>
        <v>9.52355687049522E-3</v>
      </c>
      <c r="K68" s="126">
        <f t="shared" si="8"/>
        <v>1.5704780424673048E-2</v>
      </c>
      <c r="L68" s="56">
        <v>545871</v>
      </c>
      <c r="M68" s="103">
        <v>3.0779856346915935E-2</v>
      </c>
      <c r="N68" s="97">
        <f>INDEX('Pace of change parameters'!$E$22:$I$22,1,$B$5)</f>
        <v>2.4506891160555818E-2</v>
      </c>
      <c r="O68" s="108">
        <f>MAX(IF(INDEX('Pace of change parameters'!$E$30:$I$30,1,$B$5)=1,(1+M68)*D68,D68),L68)</f>
        <v>545871</v>
      </c>
      <c r="P68" s="94">
        <f>IF(K68&lt;INDEX('Pace of change parameters'!$E$18:$I$18,1,$B$5),1,IF(K68&gt;INDEX('Pace of change parameters'!$E$19:$I$19,1,$B$5),0,(K68-INDEX('Pace of change parameters'!$E$19:$I$19,1,$B$5))/(INDEX('Pace of change parameters'!$E$18:$I$18,1,$B$5)-INDEX('Pace of change parameters'!$E$19:$I$19,1,$B$5))))</f>
        <v>0</v>
      </c>
      <c r="Q68" s="57">
        <v>3.0779856346915935E-2</v>
      </c>
      <c r="R68" s="57">
        <v>2.450689116055571E-2</v>
      </c>
      <c r="S68" s="9">
        <f>MAX(IF(INDEX('Pace of change parameters'!$E$31:$I$31,1,$B$5)=1,D68*(1+Q68),D68),L68)</f>
        <v>545871</v>
      </c>
      <c r="T68" s="103">
        <f>IF(Q68&lt;INDEX('Pace of change parameters'!$E$24:$I$24,1,$B$5),INDEX('Pace of change parameters'!$E$24:$I$24,1,$B$5),Q68)</f>
        <v>3.2992755077120454E-2</v>
      </c>
      <c r="U68" s="132">
        <v>2.6706322964131779E-2</v>
      </c>
      <c r="V68" s="117">
        <f t="shared" si="9"/>
        <v>545871</v>
      </c>
      <c r="W68" s="131">
        <f>IF(J68&gt;INDEX('Pace of change parameters'!$E$26:$I$26,1,$B$5),0,IF(J68&lt;INDEX('Pace of change parameters'!$E$25:$I$25,1,$B$5),1,(J68-INDEX('Pace of change parameters'!$E$26:$I$26,1,$B$5))/(INDEX('Pace of change parameters'!$E$25:$I$25,1,$B$5)-INDEX('Pace of change parameters'!$E$26:$I$26,1,$B$5))))</f>
        <v>1</v>
      </c>
      <c r="X68" s="132">
        <f>MIN(T68, T68+(INDEX('Pace of change parameters'!$E$27:$I$27,1,$B$5)-T68)*(1-W68))</f>
        <v>3.2992755077120454E-2</v>
      </c>
      <c r="Y68" s="132">
        <v>2.6706322964131779E-2</v>
      </c>
      <c r="Z68" s="108">
        <f t="shared" si="10"/>
        <v>545871</v>
      </c>
      <c r="AA68" s="97">
        <f>MIN(VLOOKUP(A68,'2019-20 disagg'!$A$12:$BB$220,54,FALSE),-2.5%)</f>
        <v>-2.5000000000000001E-2</v>
      </c>
      <c r="AB68" s="99">
        <f t="shared" si="2"/>
        <v>527911.91013409826</v>
      </c>
      <c r="AC68" s="99">
        <f>MAX(IF(INDEX('Pace of change parameters'!$E$29:$I$29,1,$B$5)=1,MAX(AB68,Z68),Z68),L68)</f>
        <v>545871</v>
      </c>
      <c r="AD68" s="97">
        <f t="shared" si="3"/>
        <v>3.9320740491109341E-2</v>
      </c>
      <c r="AE68" s="146">
        <v>3.2995798475198734E-2</v>
      </c>
      <c r="AF68" s="56">
        <f t="shared" si="11"/>
        <v>545871</v>
      </c>
      <c r="AG68" s="56">
        <v>1934.1834115826821</v>
      </c>
      <c r="AH68" s="16">
        <f t="shared" si="4"/>
        <v>3.9320740491109341E-2</v>
      </c>
      <c r="AI68" s="16">
        <f t="shared" si="5"/>
        <v>3.2995798475198956E-2</v>
      </c>
      <c r="AJ68" s="56"/>
      <c r="AK68" s="56">
        <v>541448.11295804952</v>
      </c>
      <c r="AL68" s="56">
        <v>1918.5118064821279</v>
      </c>
      <c r="AM68" s="16">
        <f t="shared" si="12"/>
        <v>8.1686258315452065E-3</v>
      </c>
      <c r="AN68" s="58">
        <f t="shared" si="12"/>
        <v>8.1686258315452065E-3</v>
      </c>
      <c r="AP68" s="56">
        <f t="shared" si="6"/>
        <v>1</v>
      </c>
      <c r="AQ68" s="56">
        <f t="shared" si="7"/>
        <v>0</v>
      </c>
    </row>
    <row r="69" spans="1:43" x14ac:dyDescent="0.2">
      <c r="A69" s="156" t="s">
        <v>183</v>
      </c>
      <c r="B69" s="156" t="s">
        <v>184</v>
      </c>
      <c r="D69" s="68">
        <f>VLOOKUP(A69,'2019-20 disagg'!A69:AZ277,43,FALSE)</f>
        <v>575681</v>
      </c>
      <c r="E69" s="73">
        <v>1535.0578994696691</v>
      </c>
      <c r="F69" s="55"/>
      <c r="G69" s="88">
        <v>558065.4243902968</v>
      </c>
      <c r="H69" s="81">
        <v>1481.9499201358324</v>
      </c>
      <c r="I69" s="90"/>
      <c r="J69" s="103">
        <f t="shared" si="8"/>
        <v>3.156543093302866E-2</v>
      </c>
      <c r="K69" s="126">
        <f t="shared" si="8"/>
        <v>3.5836554671813126E-2</v>
      </c>
      <c r="L69" s="56">
        <v>597868</v>
      </c>
      <c r="M69" s="103">
        <v>2.8748789514425832E-2</v>
      </c>
      <c r="N69" s="97">
        <f>INDEX('Pace of change parameters'!$E$22:$I$22,1,$B$5)</f>
        <v>2.4506891160555818E-2</v>
      </c>
      <c r="O69" s="108">
        <f>MAX(IF(INDEX('Pace of change parameters'!$E$30:$I$30,1,$B$5)=1,(1+M69)*D69,D69),L69)</f>
        <v>597868</v>
      </c>
      <c r="P69" s="94">
        <f>IF(K69&lt;INDEX('Pace of change parameters'!$E$18:$I$18,1,$B$5),1,IF(K69&gt;INDEX('Pace of change parameters'!$E$19:$I$19,1,$B$5),0,(K69-INDEX('Pace of change parameters'!$E$19:$I$19,1,$B$5))/(INDEX('Pace of change parameters'!$E$18:$I$18,1,$B$5)-INDEX('Pace of change parameters'!$E$19:$I$19,1,$B$5))))</f>
        <v>0</v>
      </c>
      <c r="Q69" s="57">
        <v>2.8748789514425832E-2</v>
      </c>
      <c r="R69" s="57">
        <v>2.450689116055571E-2</v>
      </c>
      <c r="S69" s="9">
        <f>MAX(IF(INDEX('Pace of change parameters'!$E$31:$I$31,1,$B$5)=1,D69*(1+Q69),D69),L69)</f>
        <v>597868</v>
      </c>
      <c r="T69" s="103">
        <f>IF(Q69&lt;INDEX('Pace of change parameters'!$E$24:$I$24,1,$B$5),INDEX('Pace of change parameters'!$E$24:$I$24,1,$B$5),Q69)</f>
        <v>3.2992755077120454E-2</v>
      </c>
      <c r="U69" s="132">
        <v>2.8733357338835308E-2</v>
      </c>
      <c r="V69" s="117">
        <f t="shared" si="9"/>
        <v>597868</v>
      </c>
      <c r="W69" s="131">
        <f>IF(J69&gt;INDEX('Pace of change parameters'!$E$26:$I$26,1,$B$5),0,IF(J69&lt;INDEX('Pace of change parameters'!$E$25:$I$25,1,$B$5),1,(J69-INDEX('Pace of change parameters'!$E$26:$I$26,1,$B$5))/(INDEX('Pace of change parameters'!$E$25:$I$25,1,$B$5)-INDEX('Pace of change parameters'!$E$26:$I$26,1,$B$5))))</f>
        <v>1</v>
      </c>
      <c r="X69" s="132">
        <f>MIN(T69, T69+(INDEX('Pace of change parameters'!$E$27:$I$27,1,$B$5)-T69)*(1-W69))</f>
        <v>3.2992755077120454E-2</v>
      </c>
      <c r="Y69" s="132">
        <v>2.8733357338835308E-2</v>
      </c>
      <c r="Z69" s="108">
        <f t="shared" si="10"/>
        <v>597868</v>
      </c>
      <c r="AA69" s="97">
        <f>MIN(VLOOKUP(A69,'2019-20 disagg'!$A$12:$BB$220,54,FALSE),-2.5%)</f>
        <v>-2.5000000000000001E-2</v>
      </c>
      <c r="AB69" s="99">
        <f t="shared" si="2"/>
        <v>566156.87698100985</v>
      </c>
      <c r="AC69" s="99">
        <f>MAX(IF(INDEX('Pace of change parameters'!$E$29:$I$29,1,$B$5)=1,MAX(AB69,Z69),Z69),L69)</f>
        <v>597868</v>
      </c>
      <c r="AD69" s="97">
        <f t="shared" si="3"/>
        <v>3.8540441668215575E-2</v>
      </c>
      <c r="AE69" s="146">
        <v>3.4258168838500414E-2</v>
      </c>
      <c r="AF69" s="56">
        <f t="shared" si="11"/>
        <v>597868</v>
      </c>
      <c r="AG69" s="56">
        <v>1587.6461721665748</v>
      </c>
      <c r="AH69" s="16">
        <f t="shared" si="4"/>
        <v>3.8540441668215575E-2</v>
      </c>
      <c r="AI69" s="16">
        <f t="shared" si="5"/>
        <v>3.4258168838500414E-2</v>
      </c>
      <c r="AJ69" s="56"/>
      <c r="AK69" s="56">
        <v>580673.71998052287</v>
      </c>
      <c r="AL69" s="56">
        <v>1541.9865401807801</v>
      </c>
      <c r="AM69" s="16">
        <f t="shared" si="12"/>
        <v>2.9610914749256922E-2</v>
      </c>
      <c r="AN69" s="58">
        <f t="shared" si="12"/>
        <v>2.9610914749256922E-2</v>
      </c>
      <c r="AP69" s="56">
        <f t="shared" si="6"/>
        <v>1</v>
      </c>
      <c r="AQ69" s="56">
        <f t="shared" si="7"/>
        <v>0</v>
      </c>
    </row>
    <row r="70" spans="1:43" x14ac:dyDescent="0.2">
      <c r="A70" s="156" t="s">
        <v>185</v>
      </c>
      <c r="B70" s="156" t="s">
        <v>186</v>
      </c>
      <c r="D70" s="68">
        <f>VLOOKUP(A70,'2019-20 disagg'!A70:AZ278,43,FALSE)</f>
        <v>307875</v>
      </c>
      <c r="E70" s="73">
        <v>1812.8238047239995</v>
      </c>
      <c r="F70" s="55"/>
      <c r="G70" s="88">
        <v>297010.45968870318</v>
      </c>
      <c r="H70" s="81">
        <v>1746.3635896929604</v>
      </c>
      <c r="I70" s="90"/>
      <c r="J70" s="103">
        <f t="shared" si="8"/>
        <v>3.6579655553827806E-2</v>
      </c>
      <c r="K70" s="126">
        <f t="shared" si="8"/>
        <v>3.8056344866147729E-2</v>
      </c>
      <c r="L70" s="56">
        <v>318762</v>
      </c>
      <c r="M70" s="103">
        <v>2.5966381869706012E-2</v>
      </c>
      <c r="N70" s="97">
        <f>INDEX('Pace of change parameters'!$E$22:$I$22,1,$B$5)</f>
        <v>2.4506891160555818E-2</v>
      </c>
      <c r="O70" s="108">
        <f>MAX(IF(INDEX('Pace of change parameters'!$E$30:$I$30,1,$B$5)=1,(1+M70)*D70,D70),L70)</f>
        <v>318762</v>
      </c>
      <c r="P70" s="94">
        <f>IF(K70&lt;INDEX('Pace of change parameters'!$E$18:$I$18,1,$B$5),1,IF(K70&gt;INDEX('Pace of change parameters'!$E$19:$I$19,1,$B$5),0,(K70-INDEX('Pace of change parameters'!$E$19:$I$19,1,$B$5))/(INDEX('Pace of change parameters'!$E$18:$I$18,1,$B$5)-INDEX('Pace of change parameters'!$E$19:$I$19,1,$B$5))))</f>
        <v>0</v>
      </c>
      <c r="Q70" s="57">
        <v>2.5966381869706012E-2</v>
      </c>
      <c r="R70" s="57">
        <v>2.450689116055571E-2</v>
      </c>
      <c r="S70" s="9">
        <f>MAX(IF(INDEX('Pace of change parameters'!$E$31:$I$31,1,$B$5)=1,D70*(1+Q70),D70),L70)</f>
        <v>318762</v>
      </c>
      <c r="T70" s="103">
        <f>IF(Q70&lt;INDEX('Pace of change parameters'!$E$24:$I$24,1,$B$5),INDEX('Pace of change parameters'!$E$24:$I$24,1,$B$5),Q70)</f>
        <v>3.2992755077120454E-2</v>
      </c>
      <c r="U70" s="132">
        <v>3.1523268985473862E-2</v>
      </c>
      <c r="V70" s="117">
        <f t="shared" si="9"/>
        <v>318762</v>
      </c>
      <c r="W70" s="131">
        <f>IF(J70&gt;INDEX('Pace of change parameters'!$E$26:$I$26,1,$B$5),0,IF(J70&lt;INDEX('Pace of change parameters'!$E$25:$I$25,1,$B$5),1,(J70-INDEX('Pace of change parameters'!$E$26:$I$26,1,$B$5))/(INDEX('Pace of change parameters'!$E$25:$I$25,1,$B$5)-INDEX('Pace of change parameters'!$E$26:$I$26,1,$B$5))))</f>
        <v>1</v>
      </c>
      <c r="X70" s="132">
        <f>MIN(T70, T70+(INDEX('Pace of change parameters'!$E$27:$I$27,1,$B$5)-T70)*(1-W70))</f>
        <v>3.2992755077120454E-2</v>
      </c>
      <c r="Y70" s="132">
        <v>3.1523268985473862E-2</v>
      </c>
      <c r="Z70" s="108">
        <f t="shared" si="10"/>
        <v>318762</v>
      </c>
      <c r="AA70" s="97">
        <f>MIN(VLOOKUP(A70,'2019-20 disagg'!$A$12:$BB$220,54,FALSE),-2.5%)</f>
        <v>-2.5000000000000001E-2</v>
      </c>
      <c r="AB70" s="99">
        <f t="shared" si="2"/>
        <v>301359.57026479248</v>
      </c>
      <c r="AC70" s="99">
        <f>MAX(IF(INDEX('Pace of change parameters'!$E$29:$I$29,1,$B$5)=1,MAX(AB70,Z70),Z70),L70)</f>
        <v>318762</v>
      </c>
      <c r="AD70" s="97">
        <f t="shared" si="3"/>
        <v>3.5361753958587094E-2</v>
      </c>
      <c r="AE70" s="146">
        <v>3.3888897842426324E-2</v>
      </c>
      <c r="AF70" s="56">
        <f t="shared" si="11"/>
        <v>318762</v>
      </c>
      <c r="AG70" s="56">
        <v>1874.2584054486099</v>
      </c>
      <c r="AH70" s="16">
        <f t="shared" si="4"/>
        <v>3.5361753958587094E-2</v>
      </c>
      <c r="AI70" s="16">
        <f t="shared" si="5"/>
        <v>3.3888897842426324E-2</v>
      </c>
      <c r="AJ70" s="56"/>
      <c r="AK70" s="56">
        <v>309086.7387331205</v>
      </c>
      <c r="AL70" s="56">
        <v>1817.369755752723</v>
      </c>
      <c r="AM70" s="16">
        <f t="shared" si="12"/>
        <v>3.130273821043339E-2</v>
      </c>
      <c r="AN70" s="58">
        <f t="shared" si="12"/>
        <v>3.130273821043339E-2</v>
      </c>
      <c r="AP70" s="56">
        <f t="shared" si="6"/>
        <v>1</v>
      </c>
      <c r="AQ70" s="56">
        <f t="shared" si="7"/>
        <v>0</v>
      </c>
    </row>
    <row r="71" spans="1:43" x14ac:dyDescent="0.2">
      <c r="A71" s="156" t="s">
        <v>187</v>
      </c>
      <c r="B71" s="156" t="s">
        <v>188</v>
      </c>
      <c r="D71" s="68">
        <f>VLOOKUP(A71,'2019-20 disagg'!A71:AZ279,43,FALSE)</f>
        <v>328143</v>
      </c>
      <c r="E71" s="73">
        <v>1681.2722602313995</v>
      </c>
      <c r="F71" s="55"/>
      <c r="G71" s="88">
        <v>314917.51034791995</v>
      </c>
      <c r="H71" s="81">
        <v>1603.437756263078</v>
      </c>
      <c r="I71" s="90"/>
      <c r="J71" s="103">
        <f t="shared" si="8"/>
        <v>4.1996679185824171E-2</v>
      </c>
      <c r="K71" s="126">
        <f t="shared" si="8"/>
        <v>4.8542267178315779E-2</v>
      </c>
      <c r="L71" s="56">
        <v>340932</v>
      </c>
      <c r="M71" s="103">
        <v>3.0942612251572355E-2</v>
      </c>
      <c r="N71" s="97">
        <f>INDEX('Pace of change parameters'!$E$22:$I$22,1,$B$5)</f>
        <v>2.4506891160555818E-2</v>
      </c>
      <c r="O71" s="108">
        <f>MAX(IF(INDEX('Pace of change parameters'!$E$30:$I$30,1,$B$5)=1,(1+M71)*D71,D71),L71)</f>
        <v>340932</v>
      </c>
      <c r="P71" s="94">
        <f>IF(K71&lt;INDEX('Pace of change parameters'!$E$18:$I$18,1,$B$5),1,IF(K71&gt;INDEX('Pace of change parameters'!$E$19:$I$19,1,$B$5),0,(K71-INDEX('Pace of change parameters'!$E$19:$I$19,1,$B$5))/(INDEX('Pace of change parameters'!$E$18:$I$18,1,$B$5)-INDEX('Pace of change parameters'!$E$19:$I$19,1,$B$5))))</f>
        <v>0</v>
      </c>
      <c r="Q71" s="57">
        <v>3.0942612251572355E-2</v>
      </c>
      <c r="R71" s="57">
        <v>2.450689116055571E-2</v>
      </c>
      <c r="S71" s="9">
        <f>MAX(IF(INDEX('Pace of change parameters'!$E$31:$I$31,1,$B$5)=1,D71*(1+Q71),D71),L71)</f>
        <v>340932</v>
      </c>
      <c r="T71" s="103">
        <f>IF(Q71&lt;INDEX('Pace of change parameters'!$E$24:$I$24,1,$B$5),INDEX('Pace of change parameters'!$E$24:$I$24,1,$B$5),Q71)</f>
        <v>3.2992755077120454E-2</v>
      </c>
      <c r="U71" s="132">
        <v>2.6544235846551523E-2</v>
      </c>
      <c r="V71" s="117">
        <f t="shared" si="9"/>
        <v>340932</v>
      </c>
      <c r="W71" s="131">
        <f>IF(J71&gt;INDEX('Pace of change parameters'!$E$26:$I$26,1,$B$5),0,IF(J71&lt;INDEX('Pace of change parameters'!$E$25:$I$25,1,$B$5),1,(J71-INDEX('Pace of change parameters'!$E$26:$I$26,1,$B$5))/(INDEX('Pace of change parameters'!$E$25:$I$25,1,$B$5)-INDEX('Pace of change parameters'!$E$26:$I$26,1,$B$5))))</f>
        <v>1</v>
      </c>
      <c r="X71" s="132">
        <f>MIN(T71, T71+(INDEX('Pace of change parameters'!$E$27:$I$27,1,$B$5)-T71)*(1-W71))</f>
        <v>3.2992755077120454E-2</v>
      </c>
      <c r="Y71" s="132">
        <v>2.6544235846551523E-2</v>
      </c>
      <c r="Z71" s="108">
        <f t="shared" si="10"/>
        <v>340932</v>
      </c>
      <c r="AA71" s="97">
        <f>MIN(VLOOKUP(A71,'2019-20 disagg'!$A$12:$BB$220,54,FALSE),-2.5%)</f>
        <v>-2.5000000000000001E-2</v>
      </c>
      <c r="AB71" s="99">
        <f t="shared" si="2"/>
        <v>319530.22259929276</v>
      </c>
      <c r="AC71" s="99">
        <f>MAX(IF(INDEX('Pace of change parameters'!$E$29:$I$29,1,$B$5)=1,MAX(AB71,Z71),Z71),L71)</f>
        <v>340932</v>
      </c>
      <c r="AD71" s="97">
        <f t="shared" si="3"/>
        <v>3.8973862005284188E-2</v>
      </c>
      <c r="AE71" s="146">
        <v>3.2488005355980398E-2</v>
      </c>
      <c r="AF71" s="56">
        <f t="shared" si="11"/>
        <v>340932</v>
      </c>
      <c r="AG71" s="56">
        <v>1735.8934424266588</v>
      </c>
      <c r="AH71" s="16">
        <f t="shared" si="4"/>
        <v>3.8973862005284188E-2</v>
      </c>
      <c r="AI71" s="16">
        <f t="shared" si="5"/>
        <v>3.248800535598062E-2</v>
      </c>
      <c r="AJ71" s="56"/>
      <c r="AK71" s="56">
        <v>327723.30523004389</v>
      </c>
      <c r="AL71" s="56">
        <v>1668.6398944048183</v>
      </c>
      <c r="AM71" s="16">
        <f t="shared" si="12"/>
        <v>4.0304410944117519E-2</v>
      </c>
      <c r="AN71" s="58">
        <f t="shared" si="12"/>
        <v>4.0304410944117519E-2</v>
      </c>
      <c r="AP71" s="56">
        <f t="shared" si="6"/>
        <v>1</v>
      </c>
      <c r="AQ71" s="56">
        <f t="shared" si="7"/>
        <v>0</v>
      </c>
    </row>
    <row r="72" spans="1:43" x14ac:dyDescent="0.2">
      <c r="A72" s="156" t="s">
        <v>189</v>
      </c>
      <c r="B72" s="156" t="s">
        <v>190</v>
      </c>
      <c r="D72" s="68">
        <f>VLOOKUP(A72,'2019-20 disagg'!A72:AZ280,43,FALSE)</f>
        <v>294334</v>
      </c>
      <c r="E72" s="73">
        <v>1681.9797982301311</v>
      </c>
      <c r="F72" s="55"/>
      <c r="G72" s="88">
        <v>295272.27433424885</v>
      </c>
      <c r="H72" s="81">
        <v>1679.5697764115953</v>
      </c>
      <c r="I72" s="90"/>
      <c r="J72" s="103">
        <f t="shared" si="8"/>
        <v>-3.1776581000175774E-3</v>
      </c>
      <c r="K72" s="126">
        <f t="shared" si="8"/>
        <v>1.434904254876912E-3</v>
      </c>
      <c r="L72" s="56">
        <v>305629</v>
      </c>
      <c r="M72" s="103">
        <v>2.9247557295195126E-2</v>
      </c>
      <c r="N72" s="97">
        <f>INDEX('Pace of change parameters'!$E$22:$I$22,1,$B$5)</f>
        <v>2.4506891160555818E-2</v>
      </c>
      <c r="O72" s="108">
        <f>MAX(IF(INDEX('Pace of change parameters'!$E$30:$I$30,1,$B$5)=1,(1+M72)*D72,D72),L72)</f>
        <v>305629</v>
      </c>
      <c r="P72" s="94">
        <f>IF(K72&lt;INDEX('Pace of change parameters'!$E$18:$I$18,1,$B$5),1,IF(K72&gt;INDEX('Pace of change parameters'!$E$19:$I$19,1,$B$5),0,(K72-INDEX('Pace of change parameters'!$E$19:$I$19,1,$B$5))/(INDEX('Pace of change parameters'!$E$18:$I$18,1,$B$5)-INDEX('Pace of change parameters'!$E$19:$I$19,1,$B$5))))</f>
        <v>0.16570539576488472</v>
      </c>
      <c r="Q72" s="57">
        <v>3.1926611864631749E-2</v>
      </c>
      <c r="R72" s="57">
        <v>2.7173606129883288E-2</v>
      </c>
      <c r="S72" s="9">
        <f>MAX(IF(INDEX('Pace of change parameters'!$E$31:$I$31,1,$B$5)=1,D72*(1+Q72),D72),L72)</f>
        <v>305629</v>
      </c>
      <c r="T72" s="103">
        <f>IF(Q72&lt;INDEX('Pace of change parameters'!$E$24:$I$24,1,$B$5),INDEX('Pace of change parameters'!$E$24:$I$24,1,$B$5),Q72)</f>
        <v>3.2992755077120454E-2</v>
      </c>
      <c r="U72" s="132">
        <v>2.8234838736574508E-2</v>
      </c>
      <c r="V72" s="117">
        <f t="shared" si="9"/>
        <v>305629</v>
      </c>
      <c r="W72" s="131">
        <f>IF(J72&gt;INDEX('Pace of change parameters'!$E$26:$I$26,1,$B$5),0,IF(J72&lt;INDEX('Pace of change parameters'!$E$25:$I$25,1,$B$5),1,(J72-INDEX('Pace of change parameters'!$E$26:$I$26,1,$B$5))/(INDEX('Pace of change parameters'!$E$25:$I$25,1,$B$5)-INDEX('Pace of change parameters'!$E$26:$I$26,1,$B$5))))</f>
        <v>1</v>
      </c>
      <c r="X72" s="132">
        <f>MIN(T72, T72+(INDEX('Pace of change parameters'!$E$27:$I$27,1,$B$5)-T72)*(1-W72))</f>
        <v>3.2992755077120454E-2</v>
      </c>
      <c r="Y72" s="132">
        <v>2.8234838736574508E-2</v>
      </c>
      <c r="Z72" s="108">
        <f t="shared" si="10"/>
        <v>305629</v>
      </c>
      <c r="AA72" s="97">
        <f>MIN(VLOOKUP(A72,'2019-20 disagg'!$A$12:$BB$220,54,FALSE),-2.5%)</f>
        <v>-2.5000000000000001E-2</v>
      </c>
      <c r="AB72" s="99">
        <f t="shared" si="2"/>
        <v>299566.45696102426</v>
      </c>
      <c r="AC72" s="99">
        <f>MAX(IF(INDEX('Pace of change parameters'!$E$29:$I$29,1,$B$5)=1,MAX(AB72,Z72),Z72),L72)</f>
        <v>305629</v>
      </c>
      <c r="AD72" s="97">
        <f t="shared" si="3"/>
        <v>3.8374771518071338E-2</v>
      </c>
      <c r="AE72" s="146">
        <v>3.3592065861391518E-2</v>
      </c>
      <c r="AF72" s="56">
        <f t="shared" si="11"/>
        <v>305629</v>
      </c>
      <c r="AG72" s="56">
        <v>1738.4809743898074</v>
      </c>
      <c r="AH72" s="16">
        <f t="shared" si="4"/>
        <v>3.8374771518071338E-2</v>
      </c>
      <c r="AI72" s="16">
        <f t="shared" si="5"/>
        <v>3.3592065861391296E-2</v>
      </c>
      <c r="AJ72" s="56"/>
      <c r="AK72" s="56">
        <v>307247.64816515311</v>
      </c>
      <c r="AL72" s="56">
        <v>1747.6881799866244</v>
      </c>
      <c r="AM72" s="16">
        <f t="shared" si="12"/>
        <v>-5.2682198702560523E-3</v>
      </c>
      <c r="AN72" s="58">
        <f t="shared" si="12"/>
        <v>-5.2682198702559413E-3</v>
      </c>
      <c r="AP72" s="56">
        <f t="shared" si="6"/>
        <v>1</v>
      </c>
      <c r="AQ72" s="56">
        <f t="shared" si="7"/>
        <v>0</v>
      </c>
    </row>
    <row r="73" spans="1:43" x14ac:dyDescent="0.2">
      <c r="A73" s="156" t="s">
        <v>191</v>
      </c>
      <c r="B73" s="156" t="s">
        <v>192</v>
      </c>
      <c r="D73" s="68">
        <f>VLOOKUP(A73,'2019-20 disagg'!A73:AZ281,43,FALSE)</f>
        <v>477093</v>
      </c>
      <c r="E73" s="73">
        <v>1813.7272788554594</v>
      </c>
      <c r="F73" s="55"/>
      <c r="G73" s="88">
        <v>455761.62509542034</v>
      </c>
      <c r="H73" s="81">
        <v>1726.3143125604249</v>
      </c>
      <c r="I73" s="90"/>
      <c r="J73" s="103">
        <f t="shared" si="8"/>
        <v>4.6803797709194184E-2</v>
      </c>
      <c r="K73" s="126">
        <f t="shared" si="8"/>
        <v>5.0635603064302925E-2</v>
      </c>
      <c r="L73" s="56">
        <v>494216</v>
      </c>
      <c r="M73" s="103">
        <v>2.8257079114101247E-2</v>
      </c>
      <c r="N73" s="97">
        <f>INDEX('Pace of change parameters'!$E$22:$I$22,1,$B$5)</f>
        <v>2.4506891160555818E-2</v>
      </c>
      <c r="O73" s="108">
        <f>MAX(IF(INDEX('Pace of change parameters'!$E$30:$I$30,1,$B$5)=1,(1+M73)*D73,D73),L73)</f>
        <v>494216</v>
      </c>
      <c r="P73" s="94">
        <f>IF(K73&lt;INDEX('Pace of change parameters'!$E$18:$I$18,1,$B$5),1,IF(K73&gt;INDEX('Pace of change parameters'!$E$19:$I$19,1,$B$5),0,(K73-INDEX('Pace of change parameters'!$E$19:$I$19,1,$B$5))/(INDEX('Pace of change parameters'!$E$18:$I$18,1,$B$5)-INDEX('Pace of change parameters'!$E$19:$I$19,1,$B$5))))</f>
        <v>0</v>
      </c>
      <c r="Q73" s="57">
        <v>2.8257079114101247E-2</v>
      </c>
      <c r="R73" s="57">
        <v>2.450689116055571E-2</v>
      </c>
      <c r="S73" s="9">
        <f>MAX(IF(INDEX('Pace of change parameters'!$E$31:$I$31,1,$B$5)=1,D73*(1+Q73),D73),L73)</f>
        <v>494216</v>
      </c>
      <c r="T73" s="103">
        <f>IF(Q73&lt;INDEX('Pace of change parameters'!$E$24:$I$24,1,$B$5),INDEX('Pace of change parameters'!$E$24:$I$24,1,$B$5),Q73)</f>
        <v>3.2992755077120454E-2</v>
      </c>
      <c r="U73" s="132">
        <v>2.9225295494418102E-2</v>
      </c>
      <c r="V73" s="117">
        <f t="shared" si="9"/>
        <v>494216</v>
      </c>
      <c r="W73" s="131">
        <f>IF(J73&gt;INDEX('Pace of change parameters'!$E$26:$I$26,1,$B$5),0,IF(J73&lt;INDEX('Pace of change parameters'!$E$25:$I$25,1,$B$5),1,(J73-INDEX('Pace of change parameters'!$E$26:$I$26,1,$B$5))/(INDEX('Pace of change parameters'!$E$25:$I$25,1,$B$5)-INDEX('Pace of change parameters'!$E$26:$I$26,1,$B$5))))</f>
        <v>1</v>
      </c>
      <c r="X73" s="132">
        <f>MIN(T73, T73+(INDEX('Pace of change parameters'!$E$27:$I$27,1,$B$5)-T73)*(1-W73))</f>
        <v>3.2992755077120454E-2</v>
      </c>
      <c r="Y73" s="132">
        <v>2.9225295494418102E-2</v>
      </c>
      <c r="Z73" s="108">
        <f t="shared" si="10"/>
        <v>494216</v>
      </c>
      <c r="AA73" s="97">
        <f>MIN(VLOOKUP(A73,'2019-20 disagg'!$A$12:$BB$220,54,FALSE),-2.5%)</f>
        <v>-2.5000000000000001E-2</v>
      </c>
      <c r="AB73" s="99">
        <f t="shared" si="2"/>
        <v>462398.8211142004</v>
      </c>
      <c r="AC73" s="99">
        <f>MAX(IF(INDEX('Pace of change parameters'!$E$29:$I$29,1,$B$5)=1,MAX(AB73,Z73),Z73),L73)</f>
        <v>494216</v>
      </c>
      <c r="AD73" s="97">
        <f t="shared" si="3"/>
        <v>3.5890277157702988E-2</v>
      </c>
      <c r="AE73" s="146">
        <v>3.2112249933286874E-2</v>
      </c>
      <c r="AF73" s="56">
        <f t="shared" si="11"/>
        <v>494216</v>
      </c>
      <c r="AG73" s="56">
        <v>1871.9701425448861</v>
      </c>
      <c r="AH73" s="16">
        <f t="shared" si="4"/>
        <v>3.5890277157702988E-2</v>
      </c>
      <c r="AI73" s="16">
        <f t="shared" si="5"/>
        <v>3.2112249933286874E-2</v>
      </c>
      <c r="AJ73" s="56"/>
      <c r="AK73" s="56">
        <v>474255.20114276966</v>
      </c>
      <c r="AL73" s="56">
        <v>1796.3634857752158</v>
      </c>
      <c r="AM73" s="16">
        <f t="shared" si="12"/>
        <v>4.2088729462813834E-2</v>
      </c>
      <c r="AN73" s="58">
        <f t="shared" si="12"/>
        <v>4.2088729462813834E-2</v>
      </c>
      <c r="AP73" s="56">
        <f t="shared" si="6"/>
        <v>1</v>
      </c>
      <c r="AQ73" s="56">
        <f t="shared" si="7"/>
        <v>0</v>
      </c>
    </row>
    <row r="74" spans="1:43" x14ac:dyDescent="0.2">
      <c r="A74" s="156" t="s">
        <v>193</v>
      </c>
      <c r="B74" s="156" t="s">
        <v>194</v>
      </c>
      <c r="D74" s="68">
        <f>VLOOKUP(A74,'2019-20 disagg'!A74:AZ282,43,FALSE)</f>
        <v>211216</v>
      </c>
      <c r="E74" s="73">
        <v>1767.9251981673237</v>
      </c>
      <c r="F74" s="55"/>
      <c r="G74" s="88">
        <v>205497.73948743922</v>
      </c>
      <c r="H74" s="81">
        <v>1718.0301292311885</v>
      </c>
      <c r="I74" s="90"/>
      <c r="J74" s="103">
        <f t="shared" si="8"/>
        <v>2.7826391311279064E-2</v>
      </c>
      <c r="K74" s="126">
        <f t="shared" si="8"/>
        <v>2.9042022073537899E-2</v>
      </c>
      <c r="L74" s="56">
        <v>219136</v>
      </c>
      <c r="M74" s="103">
        <v>2.5718595883813311E-2</v>
      </c>
      <c r="N74" s="97">
        <f>INDEX('Pace of change parameters'!$E$22:$I$22,1,$B$5)</f>
        <v>2.4506891160555818E-2</v>
      </c>
      <c r="O74" s="108">
        <f>MAX(IF(INDEX('Pace of change parameters'!$E$30:$I$30,1,$B$5)=1,(1+M74)*D74,D74),L74)</f>
        <v>219136</v>
      </c>
      <c r="P74" s="94">
        <f>IF(K74&lt;INDEX('Pace of change parameters'!$E$18:$I$18,1,$B$5),1,IF(K74&gt;INDEX('Pace of change parameters'!$E$19:$I$19,1,$B$5),0,(K74-INDEX('Pace of change parameters'!$E$19:$I$19,1,$B$5))/(INDEX('Pace of change parameters'!$E$18:$I$18,1,$B$5)-INDEX('Pace of change parameters'!$E$19:$I$19,1,$B$5))))</f>
        <v>0</v>
      </c>
      <c r="Q74" s="57">
        <v>2.5718595883813311E-2</v>
      </c>
      <c r="R74" s="57">
        <v>2.450689116055571E-2</v>
      </c>
      <c r="S74" s="9">
        <f>MAX(IF(INDEX('Pace of change parameters'!$E$31:$I$31,1,$B$5)=1,D74*(1+Q74),D74),L74)</f>
        <v>219136</v>
      </c>
      <c r="T74" s="103">
        <f>IF(Q74&lt;INDEX('Pace of change parameters'!$E$24:$I$24,1,$B$5),INDEX('Pace of change parameters'!$E$24:$I$24,1,$B$5),Q74)</f>
        <v>3.2992755077120454E-2</v>
      </c>
      <c r="U74" s="132">
        <v>3.1772457224043871E-2</v>
      </c>
      <c r="V74" s="117">
        <f t="shared" si="9"/>
        <v>219136</v>
      </c>
      <c r="W74" s="131">
        <f>IF(J74&gt;INDEX('Pace of change parameters'!$E$26:$I$26,1,$B$5),0,IF(J74&lt;INDEX('Pace of change parameters'!$E$25:$I$25,1,$B$5),1,(J74-INDEX('Pace of change parameters'!$E$26:$I$26,1,$B$5))/(INDEX('Pace of change parameters'!$E$25:$I$25,1,$B$5)-INDEX('Pace of change parameters'!$E$26:$I$26,1,$B$5))))</f>
        <v>1</v>
      </c>
      <c r="X74" s="132">
        <f>MIN(T74, T74+(INDEX('Pace of change parameters'!$E$27:$I$27,1,$B$5)-T74)*(1-W74))</f>
        <v>3.2992755077120454E-2</v>
      </c>
      <c r="Y74" s="132">
        <v>3.1772457224043871E-2</v>
      </c>
      <c r="Z74" s="108">
        <f t="shared" si="10"/>
        <v>219136</v>
      </c>
      <c r="AA74" s="97">
        <f>MIN(VLOOKUP(A74,'2019-20 disagg'!$A$12:$BB$220,54,FALSE),-2.5%)</f>
        <v>-2.5000000000000001E-2</v>
      </c>
      <c r="AB74" s="99">
        <f t="shared" si="2"/>
        <v>208436.38603733771</v>
      </c>
      <c r="AC74" s="99">
        <f>MAX(IF(INDEX('Pace of change parameters'!$E$29:$I$29,1,$B$5)=1,MAX(AB74,Z74),Z74),L74)</f>
        <v>219136</v>
      </c>
      <c r="AD74" s="97">
        <f t="shared" si="3"/>
        <v>3.7497159306113081E-2</v>
      </c>
      <c r="AE74" s="146">
        <v>3.6271540297797999E-2</v>
      </c>
      <c r="AF74" s="56">
        <f t="shared" si="11"/>
        <v>219136</v>
      </c>
      <c r="AG74" s="56">
        <v>1832.0505682361422</v>
      </c>
      <c r="AH74" s="16">
        <f t="shared" si="4"/>
        <v>3.7497159306113081E-2</v>
      </c>
      <c r="AI74" s="16">
        <f t="shared" si="5"/>
        <v>3.6271540297797999E-2</v>
      </c>
      <c r="AJ74" s="56"/>
      <c r="AK74" s="56">
        <v>213780.90875624382</v>
      </c>
      <c r="AL74" s="56">
        <v>1787.2802066521035</v>
      </c>
      <c r="AM74" s="16">
        <f t="shared" si="12"/>
        <v>2.5049436242513767E-2</v>
      </c>
      <c r="AN74" s="58">
        <f t="shared" si="12"/>
        <v>2.5049436242513767E-2</v>
      </c>
      <c r="AP74" s="56">
        <f t="shared" si="6"/>
        <v>1</v>
      </c>
      <c r="AQ74" s="56">
        <f t="shared" si="7"/>
        <v>0</v>
      </c>
    </row>
    <row r="75" spans="1:43" x14ac:dyDescent="0.2">
      <c r="A75" s="156" t="s">
        <v>195</v>
      </c>
      <c r="B75" s="156" t="s">
        <v>196</v>
      </c>
      <c r="D75" s="68">
        <f>VLOOKUP(A75,'2019-20 disagg'!A75:AZ283,43,FALSE)</f>
        <v>1059595</v>
      </c>
      <c r="E75" s="73">
        <v>1772.4216906028694</v>
      </c>
      <c r="F75" s="55"/>
      <c r="G75" s="88">
        <v>998370.06068825442</v>
      </c>
      <c r="H75" s="81">
        <v>1662.3319901321127</v>
      </c>
      <c r="I75" s="90"/>
      <c r="J75" s="103">
        <f t="shared" si="8"/>
        <v>6.1324895169170501E-2</v>
      </c>
      <c r="K75" s="126">
        <f t="shared" si="8"/>
        <v>6.6226061415089132E-2</v>
      </c>
      <c r="L75" s="56">
        <v>1099562</v>
      </c>
      <c r="M75" s="103">
        <v>2.9238032978224027E-2</v>
      </c>
      <c r="N75" s="97">
        <f>INDEX('Pace of change parameters'!$E$22:$I$22,1,$B$5)</f>
        <v>2.4506891160555818E-2</v>
      </c>
      <c r="O75" s="108">
        <f>MAX(IF(INDEX('Pace of change parameters'!$E$30:$I$30,1,$B$5)=1,(1+M75)*D75,D75),L75)</f>
        <v>1099562</v>
      </c>
      <c r="P75" s="94">
        <f>IF(K75&lt;INDEX('Pace of change parameters'!$E$18:$I$18,1,$B$5),1,IF(K75&gt;INDEX('Pace of change parameters'!$E$19:$I$19,1,$B$5),0,(K75-INDEX('Pace of change parameters'!$E$19:$I$19,1,$B$5))/(INDEX('Pace of change parameters'!$E$18:$I$18,1,$B$5)-INDEX('Pace of change parameters'!$E$19:$I$19,1,$B$5))))</f>
        <v>0</v>
      </c>
      <c r="Q75" s="57">
        <v>2.9238032978224027E-2</v>
      </c>
      <c r="R75" s="57">
        <v>2.450689116055571E-2</v>
      </c>
      <c r="S75" s="9">
        <f>MAX(IF(INDEX('Pace of change parameters'!$E$31:$I$31,1,$B$5)=1,D75*(1+Q75),D75),L75)</f>
        <v>1099562</v>
      </c>
      <c r="T75" s="103">
        <f>IF(Q75&lt;INDEX('Pace of change parameters'!$E$24:$I$24,1,$B$5),INDEX('Pace of change parameters'!$E$24:$I$24,1,$B$5),Q75)</f>
        <v>3.2992755077120454E-2</v>
      </c>
      <c r="U75" s="132">
        <v>2.8244353770231267E-2</v>
      </c>
      <c r="V75" s="117">
        <f t="shared" si="9"/>
        <v>1099562</v>
      </c>
      <c r="W75" s="131">
        <f>IF(J75&gt;INDEX('Pace of change parameters'!$E$26:$I$26,1,$B$5),0,IF(J75&lt;INDEX('Pace of change parameters'!$E$25:$I$25,1,$B$5),1,(J75-INDEX('Pace of change parameters'!$E$26:$I$26,1,$B$5))/(INDEX('Pace of change parameters'!$E$25:$I$25,1,$B$5)-INDEX('Pace of change parameters'!$E$26:$I$26,1,$B$5))))</f>
        <v>0.77350209661659008</v>
      </c>
      <c r="X75" s="132">
        <f>MIN(T75, T75+(INDEX('Pace of change parameters'!$E$27:$I$27,1,$B$5)-T75)*(1-W75))</f>
        <v>2.8009801202685439E-2</v>
      </c>
      <c r="Y75" s="132">
        <v>2.328430524975289E-2</v>
      </c>
      <c r="Z75" s="108">
        <f t="shared" si="10"/>
        <v>1099562</v>
      </c>
      <c r="AA75" s="97">
        <f>MIN(VLOOKUP(A75,'2019-20 disagg'!$A$12:$BB$220,54,FALSE),-2.5%)</f>
        <v>-2.5000000000000001E-2</v>
      </c>
      <c r="AB75" s="99">
        <f t="shared" si="2"/>
        <v>1013263.2813828159</v>
      </c>
      <c r="AC75" s="99">
        <f>MAX(IF(INDEX('Pace of change parameters'!$E$29:$I$29,1,$B$5)=1,MAX(AB75,Z75),Z75),L75)</f>
        <v>1099562</v>
      </c>
      <c r="AD75" s="97">
        <f t="shared" si="3"/>
        <v>3.7719128534959179E-2</v>
      </c>
      <c r="AE75" s="146">
        <v>3.2949001308121728E-2</v>
      </c>
      <c r="AF75" s="56">
        <f t="shared" si="11"/>
        <v>1099562</v>
      </c>
      <c r="AG75" s="56">
        <v>1830.8212152050864</v>
      </c>
      <c r="AH75" s="16">
        <f t="shared" si="4"/>
        <v>3.7719128534959179E-2</v>
      </c>
      <c r="AI75" s="16">
        <f t="shared" si="5"/>
        <v>3.2949001308121506E-2</v>
      </c>
      <c r="AJ75" s="56"/>
      <c r="AK75" s="56">
        <v>1039244.3911618625</v>
      </c>
      <c r="AL75" s="56">
        <v>1730.3896270715352</v>
      </c>
      <c r="AM75" s="16">
        <f t="shared" si="12"/>
        <v>5.8039869496628427E-2</v>
      </c>
      <c r="AN75" s="58">
        <f t="shared" si="12"/>
        <v>5.8039869496628427E-2</v>
      </c>
      <c r="AP75" s="56">
        <f t="shared" si="6"/>
        <v>1</v>
      </c>
      <c r="AQ75" s="56">
        <f t="shared" si="7"/>
        <v>0</v>
      </c>
    </row>
    <row r="76" spans="1:43" x14ac:dyDescent="0.2">
      <c r="A76" s="156" t="s">
        <v>197</v>
      </c>
      <c r="B76" s="156" t="s">
        <v>198</v>
      </c>
      <c r="D76" s="68">
        <f>VLOOKUP(A76,'2019-20 disagg'!A76:AZ284,43,FALSE)</f>
        <v>542877</v>
      </c>
      <c r="E76" s="73">
        <v>1503.7224078163918</v>
      </c>
      <c r="F76" s="55"/>
      <c r="G76" s="88">
        <v>532799.11034875771</v>
      </c>
      <c r="H76" s="81">
        <v>1467.5616600889264</v>
      </c>
      <c r="I76" s="90"/>
      <c r="J76" s="103">
        <f t="shared" si="8"/>
        <v>1.891498963773719E-2</v>
      </c>
      <c r="K76" s="126">
        <f t="shared" si="8"/>
        <v>2.464001936741389E-2</v>
      </c>
      <c r="L76" s="56">
        <v>563910</v>
      </c>
      <c r="M76" s="103">
        <v>3.0263340393124505E-2</v>
      </c>
      <c r="N76" s="97">
        <f>INDEX('Pace of change parameters'!$E$22:$I$22,1,$B$5)</f>
        <v>2.4506891160555818E-2</v>
      </c>
      <c r="O76" s="108">
        <f>MAX(IF(INDEX('Pace of change parameters'!$E$30:$I$30,1,$B$5)=1,(1+M76)*D76,D76),L76)</f>
        <v>563910</v>
      </c>
      <c r="P76" s="94">
        <f>IF(K76&lt;INDEX('Pace of change parameters'!$E$18:$I$18,1,$B$5),1,IF(K76&gt;INDEX('Pace of change parameters'!$E$19:$I$19,1,$B$5),0,(K76-INDEX('Pace of change parameters'!$E$19:$I$19,1,$B$5))/(INDEX('Pace of change parameters'!$E$18:$I$18,1,$B$5)-INDEX('Pace of change parameters'!$E$19:$I$19,1,$B$5))))</f>
        <v>0</v>
      </c>
      <c r="Q76" s="57">
        <v>3.0263340393124505E-2</v>
      </c>
      <c r="R76" s="57">
        <v>2.450689116055571E-2</v>
      </c>
      <c r="S76" s="9">
        <f>MAX(IF(INDEX('Pace of change parameters'!$E$31:$I$31,1,$B$5)=1,D76*(1+Q76),D76),L76)</f>
        <v>563910</v>
      </c>
      <c r="T76" s="103">
        <f>IF(Q76&lt;INDEX('Pace of change parameters'!$E$24:$I$24,1,$B$5),INDEX('Pace of change parameters'!$E$24:$I$24,1,$B$5),Q76)</f>
        <v>3.2992755077120454E-2</v>
      </c>
      <c r="U76" s="132">
        <v>2.7221055629925051E-2</v>
      </c>
      <c r="V76" s="117">
        <f t="shared" si="9"/>
        <v>563910</v>
      </c>
      <c r="W76" s="131">
        <f>IF(J76&gt;INDEX('Pace of change parameters'!$E$26:$I$26,1,$B$5),0,IF(J76&lt;INDEX('Pace of change parameters'!$E$25:$I$25,1,$B$5),1,(J76-INDEX('Pace of change parameters'!$E$26:$I$26,1,$B$5))/(INDEX('Pace of change parameters'!$E$25:$I$25,1,$B$5)-INDEX('Pace of change parameters'!$E$26:$I$26,1,$B$5))))</f>
        <v>1</v>
      </c>
      <c r="X76" s="132">
        <f>MIN(T76, T76+(INDEX('Pace of change parameters'!$E$27:$I$27,1,$B$5)-T76)*(1-W76))</f>
        <v>3.2992755077120454E-2</v>
      </c>
      <c r="Y76" s="132">
        <v>2.7221055629925051E-2</v>
      </c>
      <c r="Z76" s="108">
        <f t="shared" si="10"/>
        <v>563910</v>
      </c>
      <c r="AA76" s="97">
        <f>MIN(VLOOKUP(A76,'2019-20 disagg'!$A$12:$BB$220,54,FALSE),-2.5%)</f>
        <v>-2.5000000000000001E-2</v>
      </c>
      <c r="AB76" s="99">
        <f t="shared" ref="AB76:AB139" si="13">(1+AA76)*AK76</f>
        <v>540537.34645656473</v>
      </c>
      <c r="AC76" s="99">
        <f>MAX(IF(INDEX('Pace of change parameters'!$E$29:$I$29,1,$B$5)=1,MAX(AB76,Z76),Z76),L76)</f>
        <v>563910</v>
      </c>
      <c r="AD76" s="97">
        <f t="shared" ref="AD76:AD139" si="14">AC76/D76-1</f>
        <v>3.8743582800523813E-2</v>
      </c>
      <c r="AE76" s="146">
        <v>3.2939751424978514E-2</v>
      </c>
      <c r="AF76" s="56">
        <f t="shared" si="11"/>
        <v>563910</v>
      </c>
      <c r="AG76" s="56">
        <v>1553.2546501420338</v>
      </c>
      <c r="AH76" s="16">
        <f t="shared" ref="AH76:AH139" si="15">AF76/D76 - 1</f>
        <v>3.8743582800523813E-2</v>
      </c>
      <c r="AI76" s="16">
        <f t="shared" ref="AI76:AI139" si="16">AG76/E76 - 1</f>
        <v>3.2939751424978514E-2</v>
      </c>
      <c r="AJ76" s="56"/>
      <c r="AK76" s="56">
        <v>554397.27841698949</v>
      </c>
      <c r="AL76" s="56">
        <v>1527.0524564687212</v>
      </c>
      <c r="AM76" s="16">
        <f t="shared" si="12"/>
        <v>1.7158672946903542E-2</v>
      </c>
      <c r="AN76" s="58">
        <f t="shared" si="12"/>
        <v>1.7158672946903764E-2</v>
      </c>
      <c r="AP76" s="56">
        <f t="shared" ref="AP76:AP139" si="17">IF(AF76=L76,1,0)</f>
        <v>1</v>
      </c>
      <c r="AQ76" s="56">
        <f t="shared" ref="AQ76:AQ139" si="18">IF(AB76=AF76,1,0)</f>
        <v>0</v>
      </c>
    </row>
    <row r="77" spans="1:43" x14ac:dyDescent="0.2">
      <c r="A77" s="156" t="s">
        <v>199</v>
      </c>
      <c r="B77" s="156" t="s">
        <v>200</v>
      </c>
      <c r="D77" s="68">
        <f>VLOOKUP(A77,'2019-20 disagg'!A77:AZ285,43,FALSE)</f>
        <v>667424</v>
      </c>
      <c r="E77" s="73">
        <v>1799.4715406142104</v>
      </c>
      <c r="F77" s="55"/>
      <c r="G77" s="88">
        <v>644509.55228116934</v>
      </c>
      <c r="H77" s="81">
        <v>1728.779375026015</v>
      </c>
      <c r="I77" s="90"/>
      <c r="J77" s="103">
        <f t="shared" ref="J77:K140" si="19">D77/G77-1</f>
        <v>3.5553309703056479E-2</v>
      </c>
      <c r="K77" s="126">
        <f t="shared" si="19"/>
        <v>4.089137492580952E-2</v>
      </c>
      <c r="L77" s="56">
        <v>691404</v>
      </c>
      <c r="M77" s="103">
        <v>2.9788014358107961E-2</v>
      </c>
      <c r="N77" s="97">
        <f>INDEX('Pace of change parameters'!$E$22:$I$22,1,$B$5)</f>
        <v>2.4506891160555818E-2</v>
      </c>
      <c r="O77" s="108">
        <f>MAX(IF(INDEX('Pace of change parameters'!$E$30:$I$30,1,$B$5)=1,(1+M77)*D77,D77),L77)</f>
        <v>691404</v>
      </c>
      <c r="P77" s="94">
        <f>IF(K77&lt;INDEX('Pace of change parameters'!$E$18:$I$18,1,$B$5),1,IF(K77&gt;INDEX('Pace of change parameters'!$E$19:$I$19,1,$B$5),0,(K77-INDEX('Pace of change parameters'!$E$19:$I$19,1,$B$5))/(INDEX('Pace of change parameters'!$E$18:$I$18,1,$B$5)-INDEX('Pace of change parameters'!$E$19:$I$19,1,$B$5))))</f>
        <v>0</v>
      </c>
      <c r="Q77" s="57">
        <v>2.9788014358107961E-2</v>
      </c>
      <c r="R77" s="57">
        <v>2.450689116055571E-2</v>
      </c>
      <c r="S77" s="9">
        <f>MAX(IF(INDEX('Pace of change parameters'!$E$31:$I$31,1,$B$5)=1,D77*(1+Q77),D77),L77)</f>
        <v>691404</v>
      </c>
      <c r="T77" s="103">
        <f>IF(Q77&lt;INDEX('Pace of change parameters'!$E$24:$I$24,1,$B$5),INDEX('Pace of change parameters'!$E$24:$I$24,1,$B$5),Q77)</f>
        <v>3.2992755077120454E-2</v>
      </c>
      <c r="U77" s="132">
        <v>2.7695196816897694E-2</v>
      </c>
      <c r="V77" s="117">
        <f t="shared" ref="V77:V140" si="20">MAX(D77*(1+T77),L77)</f>
        <v>691404</v>
      </c>
      <c r="W77" s="131">
        <f>IF(J77&gt;INDEX('Pace of change parameters'!$E$26:$I$26,1,$B$5),0,IF(J77&lt;INDEX('Pace of change parameters'!$E$25:$I$25,1,$B$5),1,(J77-INDEX('Pace of change parameters'!$E$26:$I$26,1,$B$5))/(INDEX('Pace of change parameters'!$E$25:$I$25,1,$B$5)-INDEX('Pace of change parameters'!$E$26:$I$26,1,$B$5))))</f>
        <v>1</v>
      </c>
      <c r="X77" s="132">
        <f>MIN(T77, T77+(INDEX('Pace of change parameters'!$E$27:$I$27,1,$B$5)-T77)*(1-W77))</f>
        <v>3.2992755077120454E-2</v>
      </c>
      <c r="Y77" s="132">
        <v>2.7695196816897694E-2</v>
      </c>
      <c r="Z77" s="108">
        <f t="shared" ref="Z77:Z140" si="21">MAX(D77*(1+X77),L77)</f>
        <v>691404</v>
      </c>
      <c r="AA77" s="97">
        <f>MIN(VLOOKUP(A77,'2019-20 disagg'!$A$12:$BB$220,54,FALSE),-2.5%)</f>
        <v>-2.5000000000000001E-2</v>
      </c>
      <c r="AB77" s="99">
        <f t="shared" si="13"/>
        <v>653800.82459200965</v>
      </c>
      <c r="AC77" s="99">
        <f>MAX(IF(INDEX('Pace of change parameters'!$E$29:$I$29,1,$B$5)=1,MAX(AB77,Z77),Z77),L77)</f>
        <v>691404</v>
      </c>
      <c r="AD77" s="97">
        <f t="shared" si="14"/>
        <v>3.5929184446468865E-2</v>
      </c>
      <c r="AE77" s="146">
        <v>3.0616567120647753E-2</v>
      </c>
      <c r="AF77" s="56">
        <f t="shared" ref="AF77:AF140" si="22">AC77</f>
        <v>691404</v>
      </c>
      <c r="AG77" s="56">
        <v>1854.5651818191207</v>
      </c>
      <c r="AH77" s="16">
        <f t="shared" si="15"/>
        <v>3.5929184446468865E-2</v>
      </c>
      <c r="AI77" s="16">
        <f t="shared" si="16"/>
        <v>3.0616567120647753E-2</v>
      </c>
      <c r="AJ77" s="56"/>
      <c r="AK77" s="56">
        <v>670564.94829949713</v>
      </c>
      <c r="AL77" s="56">
        <v>1798.6682247493306</v>
      </c>
      <c r="AM77" s="16">
        <f t="shared" ref="AM77:AN140" si="23">AF77/AK77-1</f>
        <v>3.1076858033437516E-2</v>
      </c>
      <c r="AN77" s="58">
        <f t="shared" si="23"/>
        <v>3.1076858033437516E-2</v>
      </c>
      <c r="AP77" s="56">
        <f t="shared" si="17"/>
        <v>1</v>
      </c>
      <c r="AQ77" s="56">
        <f t="shared" si="18"/>
        <v>0</v>
      </c>
    </row>
    <row r="78" spans="1:43" x14ac:dyDescent="0.2">
      <c r="A78" s="156" t="s">
        <v>201</v>
      </c>
      <c r="B78" s="156" t="s">
        <v>202</v>
      </c>
      <c r="D78" s="68">
        <f>VLOOKUP(A78,'2019-20 disagg'!A78:AZ286,43,FALSE)</f>
        <v>1324852</v>
      </c>
      <c r="E78" s="73">
        <v>1793.9821183450908</v>
      </c>
      <c r="F78" s="55"/>
      <c r="G78" s="88">
        <v>1326110.9809774549</v>
      </c>
      <c r="H78" s="81">
        <v>1783.7813323592923</v>
      </c>
      <c r="I78" s="90"/>
      <c r="J78" s="103">
        <f t="shared" si="19"/>
        <v>-9.493782914963278E-4</v>
      </c>
      <c r="K78" s="126">
        <f t="shared" si="19"/>
        <v>5.7186303056029342E-3</v>
      </c>
      <c r="L78" s="56">
        <v>1377478</v>
      </c>
      <c r="M78" s="103">
        <v>3.1344803684310918E-2</v>
      </c>
      <c r="N78" s="97">
        <f>INDEX('Pace of change parameters'!$E$22:$I$22,1,$B$5)</f>
        <v>2.4506891160555818E-2</v>
      </c>
      <c r="O78" s="108">
        <f>MAX(IF(INDEX('Pace of change parameters'!$E$30:$I$30,1,$B$5)=1,(1+M78)*D78,D78),L78)</f>
        <v>1377478</v>
      </c>
      <c r="P78" s="94">
        <f>IF(K78&lt;INDEX('Pace of change parameters'!$E$18:$I$18,1,$B$5),1,IF(K78&gt;INDEX('Pace of change parameters'!$E$19:$I$19,1,$B$5),0,(K78-INDEX('Pace of change parameters'!$E$19:$I$19,1,$B$5))/(INDEX('Pace of change parameters'!$E$18:$I$18,1,$B$5)-INDEX('Pace of change parameters'!$E$19:$I$19,1,$B$5))))</f>
        <v>2.5194171726883496E-2</v>
      </c>
      <c r="Q78" s="57">
        <v>3.1752962362246562E-2</v>
      </c>
      <c r="R78" s="57">
        <v>2.4912343708276108E-2</v>
      </c>
      <c r="S78" s="9">
        <f>MAX(IF(INDEX('Pace of change parameters'!$E$31:$I$31,1,$B$5)=1,D78*(1+Q78),D78),L78)</f>
        <v>1377478</v>
      </c>
      <c r="T78" s="103">
        <f>IF(Q78&lt;INDEX('Pace of change parameters'!$E$24:$I$24,1,$B$5),INDEX('Pace of change parameters'!$E$24:$I$24,1,$B$5),Q78)</f>
        <v>3.2992755077120454E-2</v>
      </c>
      <c r="U78" s="132">
        <v>2.6143916481476293E-2</v>
      </c>
      <c r="V78" s="117">
        <f t="shared" si="20"/>
        <v>1377478</v>
      </c>
      <c r="W78" s="131">
        <f>IF(J78&gt;INDEX('Pace of change parameters'!$E$26:$I$26,1,$B$5),0,IF(J78&lt;INDEX('Pace of change parameters'!$E$25:$I$25,1,$B$5),1,(J78-INDEX('Pace of change parameters'!$E$26:$I$26,1,$B$5))/(INDEX('Pace of change parameters'!$E$25:$I$25,1,$B$5)-INDEX('Pace of change parameters'!$E$26:$I$26,1,$B$5))))</f>
        <v>1</v>
      </c>
      <c r="X78" s="132">
        <f>MIN(T78, T78+(INDEX('Pace of change parameters'!$E$27:$I$27,1,$B$5)-T78)*(1-W78))</f>
        <v>3.2992755077120454E-2</v>
      </c>
      <c r="Y78" s="132">
        <v>2.6143916481476293E-2</v>
      </c>
      <c r="Z78" s="108">
        <f t="shared" si="21"/>
        <v>1377478</v>
      </c>
      <c r="AA78" s="97">
        <f>MIN(VLOOKUP(A78,'2019-20 disagg'!$A$12:$BB$220,54,FALSE),-2.5%)</f>
        <v>-2.5000000000000001E-2</v>
      </c>
      <c r="AB78" s="99">
        <f t="shared" si="13"/>
        <v>1346064.1408863156</v>
      </c>
      <c r="AC78" s="99">
        <f>MAX(IF(INDEX('Pace of change parameters'!$E$29:$I$29,1,$B$5)=1,MAX(AB78,Z78),Z78),L78)</f>
        <v>1377478</v>
      </c>
      <c r="AD78" s="97">
        <f t="shared" si="14"/>
        <v>3.9722172740804362E-2</v>
      </c>
      <c r="AE78" s="146">
        <v>3.2828717476558245E-2</v>
      </c>
      <c r="AF78" s="56">
        <f t="shared" si="22"/>
        <v>1377478</v>
      </c>
      <c r="AG78" s="56">
        <v>1852.8762504662395</v>
      </c>
      <c r="AH78" s="16">
        <f t="shared" si="15"/>
        <v>3.9722172740804362E-2</v>
      </c>
      <c r="AI78" s="16">
        <f t="shared" si="16"/>
        <v>3.2828717476558467E-2</v>
      </c>
      <c r="AJ78" s="56"/>
      <c r="AK78" s="56">
        <v>1380578.6060372468</v>
      </c>
      <c r="AL78" s="56">
        <v>1857.0469445088786</v>
      </c>
      <c r="AM78" s="16">
        <f t="shared" si="23"/>
        <v>-2.245874319425134E-3</v>
      </c>
      <c r="AN78" s="58">
        <f t="shared" si="23"/>
        <v>-2.245874319424912E-3</v>
      </c>
      <c r="AP78" s="56">
        <f t="shared" si="17"/>
        <v>1</v>
      </c>
      <c r="AQ78" s="56">
        <f t="shared" si="18"/>
        <v>0</v>
      </c>
    </row>
    <row r="79" spans="1:43" x14ac:dyDescent="0.2">
      <c r="A79" s="156" t="s">
        <v>203</v>
      </c>
      <c r="B79" s="156" t="s">
        <v>204</v>
      </c>
      <c r="D79" s="68">
        <f>VLOOKUP(A79,'2019-20 disagg'!A79:AZ287,43,FALSE)</f>
        <v>508490</v>
      </c>
      <c r="E79" s="73">
        <v>1687.0786343083048</v>
      </c>
      <c r="F79" s="55"/>
      <c r="G79" s="88">
        <v>519188.01105033519</v>
      </c>
      <c r="H79" s="81">
        <v>1711.9546081450753</v>
      </c>
      <c r="I79" s="90"/>
      <c r="J79" s="103">
        <f t="shared" si="19"/>
        <v>-2.0605273663181767E-2</v>
      </c>
      <c r="K79" s="126">
        <f t="shared" si="19"/>
        <v>-1.4530743816697278E-2</v>
      </c>
      <c r="L79" s="56">
        <v>528622</v>
      </c>
      <c r="M79" s="103">
        <v>3.0861221565785524E-2</v>
      </c>
      <c r="N79" s="97">
        <f>INDEX('Pace of change parameters'!$E$22:$I$22,1,$B$5)</f>
        <v>2.4506891160555818E-2</v>
      </c>
      <c r="O79" s="108">
        <f>MAX(IF(INDEX('Pace of change parameters'!$E$30:$I$30,1,$B$5)=1,(1+M79)*D79,D79),L79)</f>
        <v>528622</v>
      </c>
      <c r="P79" s="94">
        <f>IF(K79&lt;INDEX('Pace of change parameters'!$E$18:$I$18,1,$B$5),1,IF(K79&gt;INDEX('Pace of change parameters'!$E$19:$I$19,1,$B$5),0,(K79-INDEX('Pace of change parameters'!$E$19:$I$19,1,$B$5))/(INDEX('Pace of change parameters'!$E$18:$I$18,1,$B$5)-INDEX('Pace of change parameters'!$E$19:$I$19,1,$B$5))))</f>
        <v>0.68939732343066784</v>
      </c>
      <c r="Q79" s="57">
        <v>4.2024579768128678E-2</v>
      </c>
      <c r="R79" s="57">
        <v>3.5601437320146978E-2</v>
      </c>
      <c r="S79" s="9">
        <f>MAX(IF(INDEX('Pace of change parameters'!$E$31:$I$31,1,$B$5)=1,D79*(1+Q79),D79),L79)</f>
        <v>529859.07856629579</v>
      </c>
      <c r="T79" s="103">
        <f>IF(Q79&lt;INDEX('Pace of change parameters'!$E$24:$I$24,1,$B$5),INDEX('Pace of change parameters'!$E$24:$I$24,1,$B$5),Q79)</f>
        <v>4.2024579768128678E-2</v>
      </c>
      <c r="U79" s="132">
        <v>3.5601437320146978E-2</v>
      </c>
      <c r="V79" s="117">
        <f t="shared" si="20"/>
        <v>529859.07856629579</v>
      </c>
      <c r="W79" s="131">
        <f>IF(J79&gt;INDEX('Pace of change parameters'!$E$26:$I$26,1,$B$5),0,IF(J79&lt;INDEX('Pace of change parameters'!$E$25:$I$25,1,$B$5),1,(J79-INDEX('Pace of change parameters'!$E$26:$I$26,1,$B$5))/(INDEX('Pace of change parameters'!$E$25:$I$25,1,$B$5)-INDEX('Pace of change parameters'!$E$26:$I$26,1,$B$5))))</f>
        <v>1</v>
      </c>
      <c r="X79" s="132">
        <f>MIN(T79, T79+(INDEX('Pace of change parameters'!$E$27:$I$27,1,$B$5)-T79)*(1-W79))</f>
        <v>4.2024579768128678E-2</v>
      </c>
      <c r="Y79" s="132">
        <v>3.5601437320146978E-2</v>
      </c>
      <c r="Z79" s="108">
        <f t="shared" si="21"/>
        <v>529859.07856629579</v>
      </c>
      <c r="AA79" s="97">
        <f>MIN(VLOOKUP(A79,'2019-20 disagg'!$A$12:$BB$220,54,FALSE),-2.5%)</f>
        <v>-2.5000000000000001E-2</v>
      </c>
      <c r="AB79" s="99">
        <f t="shared" si="13"/>
        <v>526997.47972359753</v>
      </c>
      <c r="AC79" s="99">
        <f>MAX(IF(INDEX('Pace of change parameters'!$E$29:$I$29,1,$B$5)=1,MAX(AB79,Z79),Z79),L79)</f>
        <v>529859.07856629579</v>
      </c>
      <c r="AD79" s="97">
        <f t="shared" si="14"/>
        <v>4.2024579768128678E-2</v>
      </c>
      <c r="AE79" s="146">
        <v>3.5601437320146978E-2</v>
      </c>
      <c r="AF79" s="56">
        <f t="shared" si="22"/>
        <v>529859.07856629579</v>
      </c>
      <c r="AG79" s="56">
        <v>1747.1410585617914</v>
      </c>
      <c r="AH79" s="16">
        <f t="shared" si="15"/>
        <v>4.2024579768128678E-2</v>
      </c>
      <c r="AI79" s="16">
        <f t="shared" si="16"/>
        <v>3.56014373201472E-2</v>
      </c>
      <c r="AJ79" s="56"/>
      <c r="AK79" s="56">
        <v>540510.23561394622</v>
      </c>
      <c r="AL79" s="56">
        <v>1782.2618568115688</v>
      </c>
      <c r="AM79" s="16">
        <f t="shared" si="23"/>
        <v>-1.9705745323309487E-2</v>
      </c>
      <c r="AN79" s="58">
        <f t="shared" si="23"/>
        <v>-1.9705745323309487E-2</v>
      </c>
      <c r="AP79" s="56">
        <f t="shared" si="17"/>
        <v>0</v>
      </c>
      <c r="AQ79" s="56">
        <f t="shared" si="18"/>
        <v>0</v>
      </c>
    </row>
    <row r="80" spans="1:43" x14ac:dyDescent="0.2">
      <c r="A80" s="156" t="s">
        <v>205</v>
      </c>
      <c r="B80" s="156" t="s">
        <v>206</v>
      </c>
      <c r="D80" s="68">
        <f>VLOOKUP(A80,'2019-20 disagg'!A80:AZ288,43,FALSE)</f>
        <v>224814</v>
      </c>
      <c r="E80" s="73">
        <v>1684.8935776639821</v>
      </c>
      <c r="F80" s="55"/>
      <c r="G80" s="88">
        <v>225088.25788471792</v>
      </c>
      <c r="H80" s="81">
        <v>1681.8150030246336</v>
      </c>
      <c r="I80" s="90"/>
      <c r="J80" s="103">
        <f t="shared" si="19"/>
        <v>-1.2184459877884191E-3</v>
      </c>
      <c r="K80" s="126">
        <f t="shared" si="19"/>
        <v>1.8305072994424521E-3</v>
      </c>
      <c r="L80" s="56">
        <v>233373</v>
      </c>
      <c r="M80" s="103">
        <v>2.7634375484877127E-2</v>
      </c>
      <c r="N80" s="97">
        <f>INDEX('Pace of change parameters'!$E$22:$I$22,1,$B$5)</f>
        <v>2.4506891160555818E-2</v>
      </c>
      <c r="O80" s="108">
        <f>MAX(IF(INDEX('Pace of change parameters'!$E$30:$I$30,1,$B$5)=1,(1+M80)*D80,D80),L80)</f>
        <v>233373</v>
      </c>
      <c r="P80" s="94">
        <f>IF(K80&lt;INDEX('Pace of change parameters'!$E$18:$I$18,1,$B$5),1,IF(K80&gt;INDEX('Pace of change parameters'!$E$19:$I$19,1,$B$5),0,(K80-INDEX('Pace of change parameters'!$E$19:$I$19,1,$B$5))/(INDEX('Pace of change parameters'!$E$18:$I$18,1,$B$5)-INDEX('Pace of change parameters'!$E$19:$I$19,1,$B$5))))</f>
        <v>0.15272915326785508</v>
      </c>
      <c r="Q80" s="57">
        <v>3.0099765495827269E-2</v>
      </c>
      <c r="R80" s="57">
        <v>2.6964778047051663E-2</v>
      </c>
      <c r="S80" s="9">
        <f>MAX(IF(INDEX('Pace of change parameters'!$E$31:$I$31,1,$B$5)=1,D80*(1+Q80),D80),L80)</f>
        <v>233373</v>
      </c>
      <c r="T80" s="103">
        <f>IF(Q80&lt;INDEX('Pace of change parameters'!$E$24:$I$24,1,$B$5),INDEX('Pace of change parameters'!$E$24:$I$24,1,$B$5),Q80)</f>
        <v>3.2992755077120454E-2</v>
      </c>
      <c r="U80" s="132">
        <v>2.9848963154903929E-2</v>
      </c>
      <c r="V80" s="117">
        <f t="shared" si="20"/>
        <v>233373</v>
      </c>
      <c r="W80" s="131">
        <f>IF(J80&gt;INDEX('Pace of change parameters'!$E$26:$I$26,1,$B$5),0,IF(J80&lt;INDEX('Pace of change parameters'!$E$25:$I$25,1,$B$5),1,(J80-INDEX('Pace of change parameters'!$E$26:$I$26,1,$B$5))/(INDEX('Pace of change parameters'!$E$25:$I$25,1,$B$5)-INDEX('Pace of change parameters'!$E$26:$I$26,1,$B$5))))</f>
        <v>1</v>
      </c>
      <c r="X80" s="132">
        <f>MIN(T80, T80+(INDEX('Pace of change parameters'!$E$27:$I$27,1,$B$5)-T80)*(1-W80))</f>
        <v>3.2992755077120454E-2</v>
      </c>
      <c r="Y80" s="132">
        <v>2.9848963154903929E-2</v>
      </c>
      <c r="Z80" s="108">
        <f t="shared" si="21"/>
        <v>233373</v>
      </c>
      <c r="AA80" s="97">
        <f>MIN(VLOOKUP(A80,'2019-20 disagg'!$A$12:$BB$220,54,FALSE),-2.5%)</f>
        <v>-2.5000000000000001E-2</v>
      </c>
      <c r="AB80" s="99">
        <f t="shared" si="13"/>
        <v>228353.33846858089</v>
      </c>
      <c r="AC80" s="99">
        <f>MAX(IF(INDEX('Pace of change parameters'!$E$29:$I$29,1,$B$5)=1,MAX(AB80,Z80),Z80),L80)</f>
        <v>233373</v>
      </c>
      <c r="AD80" s="97">
        <f t="shared" si="14"/>
        <v>3.8071472417198216E-2</v>
      </c>
      <c r="AE80" s="146">
        <v>3.4912224016249827E-2</v>
      </c>
      <c r="AF80" s="56">
        <f t="shared" si="22"/>
        <v>233373</v>
      </c>
      <c r="AG80" s="56">
        <v>1743.7169596909278</v>
      </c>
      <c r="AH80" s="16">
        <f t="shared" si="15"/>
        <v>3.8071472417198216E-2</v>
      </c>
      <c r="AI80" s="16">
        <f t="shared" si="16"/>
        <v>3.4912224016249827E-2</v>
      </c>
      <c r="AJ80" s="56"/>
      <c r="AK80" s="56">
        <v>234208.55227546758</v>
      </c>
      <c r="AL80" s="56">
        <v>1749.9600412532386</v>
      </c>
      <c r="AM80" s="16">
        <f t="shared" si="23"/>
        <v>-3.5675566385160451E-3</v>
      </c>
      <c r="AN80" s="58">
        <f t="shared" si="23"/>
        <v>-3.5675566385160451E-3</v>
      </c>
      <c r="AP80" s="56">
        <f t="shared" si="17"/>
        <v>1</v>
      </c>
      <c r="AQ80" s="56">
        <f t="shared" si="18"/>
        <v>0</v>
      </c>
    </row>
    <row r="81" spans="1:43" x14ac:dyDescent="0.2">
      <c r="A81" s="156" t="s">
        <v>207</v>
      </c>
      <c r="B81" s="156" t="s">
        <v>208</v>
      </c>
      <c r="D81" s="68">
        <f>VLOOKUP(A81,'2019-20 disagg'!A81:AZ289,43,FALSE)</f>
        <v>838056</v>
      </c>
      <c r="E81" s="73">
        <v>1644.6390664853059</v>
      </c>
      <c r="F81" s="55"/>
      <c r="G81" s="88">
        <v>852532.62288025371</v>
      </c>
      <c r="H81" s="81">
        <v>1655.8872356263078</v>
      </c>
      <c r="I81" s="90"/>
      <c r="J81" s="103">
        <f t="shared" si="19"/>
        <v>-1.6980726005938473E-2</v>
      </c>
      <c r="K81" s="126">
        <f t="shared" si="19"/>
        <v>-6.7928352239199352E-3</v>
      </c>
      <c r="L81" s="56">
        <v>871891</v>
      </c>
      <c r="M81" s="103">
        <v>3.5124754501282052E-2</v>
      </c>
      <c r="N81" s="97">
        <f>INDEX('Pace of change parameters'!$E$22:$I$22,1,$B$5)</f>
        <v>2.4506891160555818E-2</v>
      </c>
      <c r="O81" s="108">
        <f>MAX(IF(INDEX('Pace of change parameters'!$E$30:$I$30,1,$B$5)=1,(1+M81)*D81,D81),L81)</f>
        <v>871891</v>
      </c>
      <c r="P81" s="94">
        <f>IF(K81&lt;INDEX('Pace of change parameters'!$E$18:$I$18,1,$B$5),1,IF(K81&gt;INDEX('Pace of change parameters'!$E$19:$I$19,1,$B$5),0,(K81-INDEX('Pace of change parameters'!$E$19:$I$19,1,$B$5))/(INDEX('Pace of change parameters'!$E$18:$I$18,1,$B$5)-INDEX('Pace of change parameters'!$E$19:$I$19,1,$B$5))))</f>
        <v>0.43558487254318906</v>
      </c>
      <c r="Q81" s="57">
        <v>4.220731915787157E-2</v>
      </c>
      <c r="R81" s="57">
        <v>3.1516805923208713E-2</v>
      </c>
      <c r="S81" s="9">
        <f>MAX(IF(INDEX('Pace of change parameters'!$E$31:$I$31,1,$B$5)=1,D81*(1+Q81),D81),L81)</f>
        <v>873428.09706416924</v>
      </c>
      <c r="T81" s="103">
        <f>IF(Q81&lt;INDEX('Pace of change parameters'!$E$24:$I$24,1,$B$5),INDEX('Pace of change parameters'!$E$24:$I$24,1,$B$5),Q81)</f>
        <v>4.220731915787157E-2</v>
      </c>
      <c r="U81" s="132">
        <v>3.1516805923208713E-2</v>
      </c>
      <c r="V81" s="117">
        <f t="shared" si="20"/>
        <v>873428.09706416924</v>
      </c>
      <c r="W81" s="131">
        <f>IF(J81&gt;INDEX('Pace of change parameters'!$E$26:$I$26,1,$B$5),0,IF(J81&lt;INDEX('Pace of change parameters'!$E$25:$I$25,1,$B$5),1,(J81-INDEX('Pace of change parameters'!$E$26:$I$26,1,$B$5))/(INDEX('Pace of change parameters'!$E$25:$I$25,1,$B$5)-INDEX('Pace of change parameters'!$E$26:$I$26,1,$B$5))))</f>
        <v>1</v>
      </c>
      <c r="X81" s="132">
        <f>MIN(T81, T81+(INDEX('Pace of change parameters'!$E$27:$I$27,1,$B$5)-T81)*(1-W81))</f>
        <v>4.220731915787157E-2</v>
      </c>
      <c r="Y81" s="132">
        <v>3.1516805923208713E-2</v>
      </c>
      <c r="Z81" s="108">
        <f t="shared" si="21"/>
        <v>873428.09706416924</v>
      </c>
      <c r="AA81" s="97">
        <f>MIN(VLOOKUP(A81,'2019-20 disagg'!$A$12:$BB$220,54,FALSE),-2.5%)</f>
        <v>-2.5000000000000001E-2</v>
      </c>
      <c r="AB81" s="99">
        <f t="shared" si="13"/>
        <v>865092.71467129327</v>
      </c>
      <c r="AC81" s="99">
        <f>MAX(IF(INDEX('Pace of change parameters'!$E$29:$I$29,1,$B$5)=1,MAX(AB81,Z81),Z81),L81)</f>
        <v>873428.09706416924</v>
      </c>
      <c r="AD81" s="97">
        <f t="shared" si="14"/>
        <v>4.220731915787157E-2</v>
      </c>
      <c r="AE81" s="146">
        <v>3.1516805923208713E-2</v>
      </c>
      <c r="AF81" s="56">
        <f t="shared" si="22"/>
        <v>873428.09706416924</v>
      </c>
      <c r="AG81" s="56">
        <v>1696.4728367574505</v>
      </c>
      <c r="AH81" s="16">
        <f t="shared" si="15"/>
        <v>4.220731915787157E-2</v>
      </c>
      <c r="AI81" s="16">
        <f t="shared" si="16"/>
        <v>3.1516805923208713E-2</v>
      </c>
      <c r="AJ81" s="56"/>
      <c r="AK81" s="56">
        <v>887274.57915004436</v>
      </c>
      <c r="AL81" s="56">
        <v>1723.3670720382854</v>
      </c>
      <c r="AM81" s="16">
        <f t="shared" si="23"/>
        <v>-1.5605633713905331E-2</v>
      </c>
      <c r="AN81" s="58">
        <f t="shared" si="23"/>
        <v>-1.5605633713905331E-2</v>
      </c>
      <c r="AP81" s="56">
        <f t="shared" si="17"/>
        <v>0</v>
      </c>
      <c r="AQ81" s="56">
        <f t="shared" si="18"/>
        <v>0</v>
      </c>
    </row>
    <row r="82" spans="1:43" x14ac:dyDescent="0.2">
      <c r="A82" s="156" t="s">
        <v>209</v>
      </c>
      <c r="B82" s="156" t="s">
        <v>210</v>
      </c>
      <c r="D82" s="68">
        <f>VLOOKUP(A82,'2019-20 disagg'!A82:AZ290,43,FALSE)</f>
        <v>562265</v>
      </c>
      <c r="E82" s="73">
        <v>1761.599897268411</v>
      </c>
      <c r="F82" s="55"/>
      <c r="G82" s="88">
        <v>570002.62556485576</v>
      </c>
      <c r="H82" s="81">
        <v>1780.4199303471219</v>
      </c>
      <c r="I82" s="90"/>
      <c r="J82" s="103">
        <f t="shared" si="19"/>
        <v>-1.3574719164123117E-2</v>
      </c>
      <c r="K82" s="126">
        <f t="shared" si="19"/>
        <v>-1.05705585283139E-2</v>
      </c>
      <c r="L82" s="56">
        <v>583757</v>
      </c>
      <c r="M82" s="103">
        <v>2.7627029434923456E-2</v>
      </c>
      <c r="N82" s="97">
        <f>INDEX('Pace of change parameters'!$E$22:$I$22,1,$B$5)</f>
        <v>2.4506891160555818E-2</v>
      </c>
      <c r="O82" s="108">
        <f>MAX(IF(INDEX('Pace of change parameters'!$E$30:$I$30,1,$B$5)=1,(1+M82)*D82,D82),L82)</f>
        <v>583757</v>
      </c>
      <c r="P82" s="94">
        <f>IF(K82&lt;INDEX('Pace of change parameters'!$E$18:$I$18,1,$B$5),1,IF(K82&gt;INDEX('Pace of change parameters'!$E$19:$I$19,1,$B$5),0,(K82-INDEX('Pace of change parameters'!$E$19:$I$19,1,$B$5))/(INDEX('Pace of change parameters'!$E$18:$I$18,1,$B$5)-INDEX('Pace of change parameters'!$E$19:$I$19,1,$B$5))))</f>
        <v>0.55949861476004126</v>
      </c>
      <c r="Q82" s="57">
        <v>3.6658523461664094E-2</v>
      </c>
      <c r="R82" s="57">
        <v>3.3510963263407412E-2</v>
      </c>
      <c r="S82" s="9">
        <f>MAX(IF(INDEX('Pace of change parameters'!$E$31:$I$31,1,$B$5)=1,D82*(1+Q82),D82),L82)</f>
        <v>583757</v>
      </c>
      <c r="T82" s="103">
        <f>IF(Q82&lt;INDEX('Pace of change parameters'!$E$24:$I$24,1,$B$5),INDEX('Pace of change parameters'!$E$24:$I$24,1,$B$5),Q82)</f>
        <v>3.6658523461664094E-2</v>
      </c>
      <c r="U82" s="132">
        <v>3.3510963263407412E-2</v>
      </c>
      <c r="V82" s="117">
        <f t="shared" si="20"/>
        <v>583757</v>
      </c>
      <c r="W82" s="131">
        <f>IF(J82&gt;INDEX('Pace of change parameters'!$E$26:$I$26,1,$B$5),0,IF(J82&lt;INDEX('Pace of change parameters'!$E$25:$I$25,1,$B$5),1,(J82-INDEX('Pace of change parameters'!$E$26:$I$26,1,$B$5))/(INDEX('Pace of change parameters'!$E$25:$I$25,1,$B$5)-INDEX('Pace of change parameters'!$E$26:$I$26,1,$B$5))))</f>
        <v>1</v>
      </c>
      <c r="X82" s="132">
        <f>MIN(T82, T82+(INDEX('Pace of change parameters'!$E$27:$I$27,1,$B$5)-T82)*(1-W82))</f>
        <v>3.6658523461664094E-2</v>
      </c>
      <c r="Y82" s="132">
        <v>3.3510963263407412E-2</v>
      </c>
      <c r="Z82" s="108">
        <f t="shared" si="21"/>
        <v>583757</v>
      </c>
      <c r="AA82" s="97">
        <f>MIN(VLOOKUP(A82,'2019-20 disagg'!$A$12:$BB$220,54,FALSE),-2.5%)</f>
        <v>-2.5000000000000001E-2</v>
      </c>
      <c r="AB82" s="99">
        <f t="shared" si="13"/>
        <v>578319.43949828623</v>
      </c>
      <c r="AC82" s="99">
        <f>MAX(IF(INDEX('Pace of change parameters'!$E$29:$I$29,1,$B$5)=1,MAX(AB82,Z82),Z82),L82)</f>
        <v>583757</v>
      </c>
      <c r="AD82" s="97">
        <f t="shared" si="14"/>
        <v>3.8223969124878909E-2</v>
      </c>
      <c r="AE82" s="146">
        <v>3.5071655833534443E-2</v>
      </c>
      <c r="AF82" s="56">
        <f t="shared" si="22"/>
        <v>583757</v>
      </c>
      <c r="AG82" s="56">
        <v>1823.3821225817983</v>
      </c>
      <c r="AH82" s="16">
        <f t="shared" si="15"/>
        <v>3.8223969124878909E-2</v>
      </c>
      <c r="AI82" s="16">
        <f t="shared" si="16"/>
        <v>3.5071655833534443E-2</v>
      </c>
      <c r="AJ82" s="56"/>
      <c r="AK82" s="56">
        <v>593148.14307516534</v>
      </c>
      <c r="AL82" s="56">
        <v>1852.7156336041321</v>
      </c>
      <c r="AM82" s="16">
        <f t="shared" si="23"/>
        <v>-1.5832710908403325E-2</v>
      </c>
      <c r="AN82" s="58">
        <f t="shared" si="23"/>
        <v>-1.5832710908403436E-2</v>
      </c>
      <c r="AP82" s="56">
        <f t="shared" si="17"/>
        <v>1</v>
      </c>
      <c r="AQ82" s="56">
        <f t="shared" si="18"/>
        <v>0</v>
      </c>
    </row>
    <row r="83" spans="1:43" x14ac:dyDescent="0.2">
      <c r="A83" s="156" t="s">
        <v>211</v>
      </c>
      <c r="B83" s="156" t="s">
        <v>212</v>
      </c>
      <c r="D83" s="68">
        <f>VLOOKUP(A83,'2019-20 disagg'!A83:AZ291,43,FALSE)</f>
        <v>217134</v>
      </c>
      <c r="E83" s="73">
        <v>1530.4093641918016</v>
      </c>
      <c r="F83" s="55"/>
      <c r="G83" s="88">
        <v>221823.73320284448</v>
      </c>
      <c r="H83" s="81">
        <v>1553.6077416748087</v>
      </c>
      <c r="I83" s="90"/>
      <c r="J83" s="103">
        <f t="shared" si="19"/>
        <v>-2.1141710740915198E-2</v>
      </c>
      <c r="K83" s="126">
        <f t="shared" si="19"/>
        <v>-1.493193993613795E-2</v>
      </c>
      <c r="L83" s="56">
        <v>225572</v>
      </c>
      <c r="M83" s="103">
        <v>3.1006251744034596E-2</v>
      </c>
      <c r="N83" s="97">
        <f>INDEX('Pace of change parameters'!$E$22:$I$22,1,$B$5)</f>
        <v>2.4506891160555818E-2</v>
      </c>
      <c r="O83" s="108">
        <f>MAX(IF(INDEX('Pace of change parameters'!$E$30:$I$30,1,$B$5)=1,(1+M83)*D83,D83),L83)</f>
        <v>225572</v>
      </c>
      <c r="P83" s="94">
        <f>IF(K83&lt;INDEX('Pace of change parameters'!$E$18:$I$18,1,$B$5),1,IF(K83&gt;INDEX('Pace of change parameters'!$E$19:$I$19,1,$B$5),0,(K83-INDEX('Pace of change parameters'!$E$19:$I$19,1,$B$5))/(INDEX('Pace of change parameters'!$E$18:$I$18,1,$B$5)-INDEX('Pace of change parameters'!$E$19:$I$19,1,$B$5))))</f>
        <v>0.70255702532438502</v>
      </c>
      <c r="Q83" s="57">
        <v>4.2384304528457761E-2</v>
      </c>
      <c r="R83" s="57">
        <v>3.581321783501723E-2</v>
      </c>
      <c r="S83" s="9">
        <f>MAX(IF(INDEX('Pace of change parameters'!$E$31:$I$31,1,$B$5)=1,D83*(1+Q83),D83),L83)</f>
        <v>226337.07357948215</v>
      </c>
      <c r="T83" s="103">
        <f>IF(Q83&lt;INDEX('Pace of change parameters'!$E$24:$I$24,1,$B$5),INDEX('Pace of change parameters'!$E$24:$I$24,1,$B$5),Q83)</f>
        <v>4.2384304528457761E-2</v>
      </c>
      <c r="U83" s="132">
        <v>3.581321783501723E-2</v>
      </c>
      <c r="V83" s="117">
        <f t="shared" si="20"/>
        <v>226337.07357948215</v>
      </c>
      <c r="W83" s="131">
        <f>IF(J83&gt;INDEX('Pace of change parameters'!$E$26:$I$26,1,$B$5),0,IF(J83&lt;INDEX('Pace of change parameters'!$E$25:$I$25,1,$B$5),1,(J83-INDEX('Pace of change parameters'!$E$26:$I$26,1,$B$5))/(INDEX('Pace of change parameters'!$E$25:$I$25,1,$B$5)-INDEX('Pace of change parameters'!$E$26:$I$26,1,$B$5))))</f>
        <v>1</v>
      </c>
      <c r="X83" s="132">
        <f>MIN(T83, T83+(INDEX('Pace of change parameters'!$E$27:$I$27,1,$B$5)-T83)*(1-W83))</f>
        <v>4.2384304528457761E-2</v>
      </c>
      <c r="Y83" s="132">
        <v>3.581321783501723E-2</v>
      </c>
      <c r="Z83" s="108">
        <f t="shared" si="21"/>
        <v>226337.07357948215</v>
      </c>
      <c r="AA83" s="97">
        <f>MIN(VLOOKUP(A83,'2019-20 disagg'!$A$12:$BB$220,54,FALSE),-2.5%)</f>
        <v>-2.5000000000000001E-2</v>
      </c>
      <c r="AB83" s="99">
        <f t="shared" si="13"/>
        <v>225040.6513334387</v>
      </c>
      <c r="AC83" s="99">
        <f>MAX(IF(INDEX('Pace of change parameters'!$E$29:$I$29,1,$B$5)=1,MAX(AB83,Z83),Z83),L83)</f>
        <v>226337.07357948215</v>
      </c>
      <c r="AD83" s="97">
        <f t="shared" si="14"/>
        <v>4.2384304528457761E-2</v>
      </c>
      <c r="AE83" s="146">
        <v>3.581321783501723E-2</v>
      </c>
      <c r="AF83" s="56">
        <f t="shared" si="22"/>
        <v>226337.07357948215</v>
      </c>
      <c r="AG83" s="56">
        <v>1585.2182481283528</v>
      </c>
      <c r="AH83" s="16">
        <f t="shared" si="15"/>
        <v>4.2384304528457761E-2</v>
      </c>
      <c r="AI83" s="16">
        <f t="shared" si="16"/>
        <v>3.581321783501723E-2</v>
      </c>
      <c r="AJ83" s="56"/>
      <c r="AK83" s="56">
        <v>230810.92444455251</v>
      </c>
      <c r="AL83" s="56">
        <v>1616.5521781759369</v>
      </c>
      <c r="AM83" s="16">
        <f t="shared" si="23"/>
        <v>-1.9383185071662923E-2</v>
      </c>
      <c r="AN83" s="58">
        <f t="shared" si="23"/>
        <v>-1.9383185071662923E-2</v>
      </c>
      <c r="AP83" s="56">
        <f t="shared" si="17"/>
        <v>0</v>
      </c>
      <c r="AQ83" s="56">
        <f t="shared" si="18"/>
        <v>0</v>
      </c>
    </row>
    <row r="84" spans="1:43" x14ac:dyDescent="0.2">
      <c r="A84" s="156" t="s">
        <v>213</v>
      </c>
      <c r="B84" s="156" t="s">
        <v>214</v>
      </c>
      <c r="D84" s="68">
        <f>VLOOKUP(A84,'2019-20 disagg'!A84:AZ292,43,FALSE)</f>
        <v>315146</v>
      </c>
      <c r="E84" s="73">
        <v>1672.4102807330312</v>
      </c>
      <c r="F84" s="55"/>
      <c r="G84" s="88">
        <v>314437.04011880921</v>
      </c>
      <c r="H84" s="81">
        <v>1659.4109837265626</v>
      </c>
      <c r="I84" s="90"/>
      <c r="J84" s="103">
        <f t="shared" si="19"/>
        <v>2.2546958237583681E-3</v>
      </c>
      <c r="K84" s="126">
        <f t="shared" si="19"/>
        <v>7.8336814291031232E-3</v>
      </c>
      <c r="L84" s="56">
        <v>327387</v>
      </c>
      <c r="M84" s="103">
        <v>3.020974216457506E-2</v>
      </c>
      <c r="N84" s="97">
        <f>INDEX('Pace of change parameters'!$E$22:$I$22,1,$B$5)</f>
        <v>2.4506891160555818E-2</v>
      </c>
      <c r="O84" s="108">
        <f>MAX(IF(INDEX('Pace of change parameters'!$E$30:$I$30,1,$B$5)=1,(1+M84)*D84,D84),L84)</f>
        <v>327387</v>
      </c>
      <c r="P84" s="94">
        <f>IF(K84&lt;INDEX('Pace of change parameters'!$E$18:$I$18,1,$B$5),1,IF(K84&gt;INDEX('Pace of change parameters'!$E$19:$I$19,1,$B$5),0,(K84-INDEX('Pace of change parameters'!$E$19:$I$19,1,$B$5))/(INDEX('Pace of change parameters'!$E$18:$I$18,1,$B$5)-INDEX('Pace of change parameters'!$E$19:$I$19,1,$B$5))))</f>
        <v>0</v>
      </c>
      <c r="Q84" s="57">
        <v>3.020974216457506E-2</v>
      </c>
      <c r="R84" s="57">
        <v>2.450689116055571E-2</v>
      </c>
      <c r="S84" s="9">
        <f>MAX(IF(INDEX('Pace of change parameters'!$E$31:$I$31,1,$B$5)=1,D84*(1+Q84),D84),L84)</f>
        <v>327387</v>
      </c>
      <c r="T84" s="103">
        <f>IF(Q84&lt;INDEX('Pace of change parameters'!$E$24:$I$24,1,$B$5),INDEX('Pace of change parameters'!$E$24:$I$24,1,$B$5),Q84)</f>
        <v>3.2992755077120454E-2</v>
      </c>
      <c r="U84" s="132">
        <v>2.727449836751239E-2</v>
      </c>
      <c r="V84" s="117">
        <f t="shared" si="20"/>
        <v>327387</v>
      </c>
      <c r="W84" s="131">
        <f>IF(J84&gt;INDEX('Pace of change parameters'!$E$26:$I$26,1,$B$5),0,IF(J84&lt;INDEX('Pace of change parameters'!$E$25:$I$25,1,$B$5),1,(J84-INDEX('Pace of change parameters'!$E$26:$I$26,1,$B$5))/(INDEX('Pace of change parameters'!$E$25:$I$25,1,$B$5)-INDEX('Pace of change parameters'!$E$26:$I$26,1,$B$5))))</f>
        <v>1</v>
      </c>
      <c r="X84" s="132">
        <f>MIN(T84, T84+(INDEX('Pace of change parameters'!$E$27:$I$27,1,$B$5)-T84)*(1-W84))</f>
        <v>3.2992755077120454E-2</v>
      </c>
      <c r="Y84" s="132">
        <v>2.727449836751239E-2</v>
      </c>
      <c r="Z84" s="108">
        <f t="shared" si="21"/>
        <v>327387</v>
      </c>
      <c r="AA84" s="97">
        <f>MIN(VLOOKUP(A84,'2019-20 disagg'!$A$12:$BB$220,54,FALSE),-2.5%)</f>
        <v>-2.5000000000000001E-2</v>
      </c>
      <c r="AB84" s="99">
        <f t="shared" si="13"/>
        <v>319054.44398608356</v>
      </c>
      <c r="AC84" s="99">
        <f>MAX(IF(INDEX('Pace of change parameters'!$E$29:$I$29,1,$B$5)=1,MAX(AB84,Z84),Z84),L84)</f>
        <v>327387</v>
      </c>
      <c r="AD84" s="97">
        <f t="shared" si="14"/>
        <v>3.884231435588581E-2</v>
      </c>
      <c r="AE84" s="146">
        <v>3.3091676701271444E-2</v>
      </c>
      <c r="AF84" s="56">
        <f t="shared" si="22"/>
        <v>327387</v>
      </c>
      <c r="AG84" s="56">
        <v>1727.7531410549313</v>
      </c>
      <c r="AH84" s="16">
        <f t="shared" si="15"/>
        <v>3.884231435588581E-2</v>
      </c>
      <c r="AI84" s="16">
        <f t="shared" si="16"/>
        <v>3.3091676701271444E-2</v>
      </c>
      <c r="AJ84" s="56"/>
      <c r="AK84" s="56">
        <v>327235.32716521394</v>
      </c>
      <c r="AL84" s="56">
        <v>1726.952702379253</v>
      </c>
      <c r="AM84" s="16">
        <f t="shared" si="23"/>
        <v>4.6349774060150395E-4</v>
      </c>
      <c r="AN84" s="58">
        <f t="shared" si="23"/>
        <v>4.6349774060150395E-4</v>
      </c>
      <c r="AP84" s="56">
        <f t="shared" si="17"/>
        <v>1</v>
      </c>
      <c r="AQ84" s="56">
        <f t="shared" si="18"/>
        <v>0</v>
      </c>
    </row>
    <row r="85" spans="1:43" x14ac:dyDescent="0.2">
      <c r="A85" s="156" t="s">
        <v>215</v>
      </c>
      <c r="B85" s="156" t="s">
        <v>216</v>
      </c>
      <c r="D85" s="68">
        <f>VLOOKUP(A85,'2019-20 disagg'!A85:AZ293,43,FALSE)</f>
        <v>386458</v>
      </c>
      <c r="E85" s="73">
        <v>1771.8935152526692</v>
      </c>
      <c r="F85" s="55"/>
      <c r="G85" s="88">
        <v>375178.44848237338</v>
      </c>
      <c r="H85" s="81">
        <v>1716.6950032898719</v>
      </c>
      <c r="I85" s="90"/>
      <c r="J85" s="103">
        <f t="shared" si="19"/>
        <v>3.0064497476476326E-2</v>
      </c>
      <c r="K85" s="126">
        <f t="shared" si="19"/>
        <v>3.2153942230282562E-2</v>
      </c>
      <c r="L85" s="56">
        <v>401170</v>
      </c>
      <c r="M85" s="103">
        <v>2.6585062531589321E-2</v>
      </c>
      <c r="N85" s="97">
        <f>INDEX('Pace of change parameters'!$E$22:$I$22,1,$B$5)</f>
        <v>2.4506891160555818E-2</v>
      </c>
      <c r="O85" s="108">
        <f>MAX(IF(INDEX('Pace of change parameters'!$E$30:$I$30,1,$B$5)=1,(1+M85)*D85,D85),L85)</f>
        <v>401170</v>
      </c>
      <c r="P85" s="94">
        <f>IF(K85&lt;INDEX('Pace of change parameters'!$E$18:$I$18,1,$B$5),1,IF(K85&gt;INDEX('Pace of change parameters'!$E$19:$I$19,1,$B$5),0,(K85-INDEX('Pace of change parameters'!$E$19:$I$19,1,$B$5))/(INDEX('Pace of change parameters'!$E$18:$I$18,1,$B$5)-INDEX('Pace of change parameters'!$E$19:$I$19,1,$B$5))))</f>
        <v>0</v>
      </c>
      <c r="Q85" s="57">
        <v>2.6585062531589321E-2</v>
      </c>
      <c r="R85" s="57">
        <v>2.450689116055571E-2</v>
      </c>
      <c r="S85" s="9">
        <f>MAX(IF(INDEX('Pace of change parameters'!$E$31:$I$31,1,$B$5)=1,D85*(1+Q85),D85),L85)</f>
        <v>401170</v>
      </c>
      <c r="T85" s="103">
        <f>IF(Q85&lt;INDEX('Pace of change parameters'!$E$24:$I$24,1,$B$5),INDEX('Pace of change parameters'!$E$24:$I$24,1,$B$5),Q85)</f>
        <v>3.2992755077120454E-2</v>
      </c>
      <c r="U85" s="132">
        <v>3.0901612269341516E-2</v>
      </c>
      <c r="V85" s="117">
        <f t="shared" si="20"/>
        <v>401170</v>
      </c>
      <c r="W85" s="131">
        <f>IF(J85&gt;INDEX('Pace of change parameters'!$E$26:$I$26,1,$B$5),0,IF(J85&lt;INDEX('Pace of change parameters'!$E$25:$I$25,1,$B$5),1,(J85-INDEX('Pace of change parameters'!$E$26:$I$26,1,$B$5))/(INDEX('Pace of change parameters'!$E$25:$I$25,1,$B$5)-INDEX('Pace of change parameters'!$E$26:$I$26,1,$B$5))))</f>
        <v>1</v>
      </c>
      <c r="X85" s="132">
        <f>MIN(T85, T85+(INDEX('Pace of change parameters'!$E$27:$I$27,1,$B$5)-T85)*(1-W85))</f>
        <v>3.2992755077120454E-2</v>
      </c>
      <c r="Y85" s="132">
        <v>3.0901612269341516E-2</v>
      </c>
      <c r="Z85" s="108">
        <f t="shared" si="21"/>
        <v>401170</v>
      </c>
      <c r="AA85" s="97">
        <f>MIN(VLOOKUP(A85,'2019-20 disagg'!$A$12:$BB$220,54,FALSE),-2.5%)</f>
        <v>-2.5000000000000001E-2</v>
      </c>
      <c r="AB85" s="99">
        <f t="shared" si="13"/>
        <v>380693.52113911416</v>
      </c>
      <c r="AC85" s="99">
        <f>MAX(IF(INDEX('Pace of change parameters'!$E$29:$I$29,1,$B$5)=1,MAX(AB85,Z85),Z85),L85)</f>
        <v>401170</v>
      </c>
      <c r="AD85" s="97">
        <f t="shared" si="14"/>
        <v>3.8068819897634443E-2</v>
      </c>
      <c r="AE85" s="146">
        <v>3.5967401338753424E-2</v>
      </c>
      <c r="AF85" s="56">
        <f t="shared" si="22"/>
        <v>401170</v>
      </c>
      <c r="AG85" s="56">
        <v>1835.6239204452966</v>
      </c>
      <c r="AH85" s="16">
        <f t="shared" si="15"/>
        <v>3.8068819897634443E-2</v>
      </c>
      <c r="AI85" s="16">
        <f t="shared" si="16"/>
        <v>3.5967401338753424E-2</v>
      </c>
      <c r="AJ85" s="56"/>
      <c r="AK85" s="56">
        <v>390454.89347601455</v>
      </c>
      <c r="AL85" s="56">
        <v>1786.5950652329248</v>
      </c>
      <c r="AM85" s="16">
        <f t="shared" si="23"/>
        <v>2.7442623214667616E-2</v>
      </c>
      <c r="AN85" s="58">
        <f t="shared" si="23"/>
        <v>2.7442623214667616E-2</v>
      </c>
      <c r="AP85" s="56">
        <f t="shared" si="17"/>
        <v>1</v>
      </c>
      <c r="AQ85" s="56">
        <f t="shared" si="18"/>
        <v>0</v>
      </c>
    </row>
    <row r="86" spans="1:43" x14ac:dyDescent="0.2">
      <c r="A86" s="156" t="s">
        <v>217</v>
      </c>
      <c r="B86" s="156" t="s">
        <v>218</v>
      </c>
      <c r="D86" s="68">
        <f>VLOOKUP(A86,'2019-20 disagg'!A86:AZ294,43,FALSE)</f>
        <v>277638</v>
      </c>
      <c r="E86" s="73">
        <v>1566.1858935197452</v>
      </c>
      <c r="F86" s="55"/>
      <c r="G86" s="88">
        <v>279857.87394493044</v>
      </c>
      <c r="H86" s="81">
        <v>1571.8633140092479</v>
      </c>
      <c r="I86" s="90"/>
      <c r="J86" s="103">
        <f t="shared" si="19"/>
        <v>-7.9321475348850257E-3</v>
      </c>
      <c r="K86" s="126">
        <f t="shared" si="19"/>
        <v>-3.6119046986482495E-3</v>
      </c>
      <c r="L86" s="56">
        <v>288348</v>
      </c>
      <c r="M86" s="103">
        <v>2.8968399056626959E-2</v>
      </c>
      <c r="N86" s="97">
        <f>INDEX('Pace of change parameters'!$E$22:$I$22,1,$B$5)</f>
        <v>2.4506891160555818E-2</v>
      </c>
      <c r="O86" s="108">
        <f>MAX(IF(INDEX('Pace of change parameters'!$E$30:$I$30,1,$B$5)=1,(1+M86)*D86,D86),L86)</f>
        <v>288348</v>
      </c>
      <c r="P86" s="94">
        <f>IF(K86&lt;INDEX('Pace of change parameters'!$E$18:$I$18,1,$B$5),1,IF(K86&gt;INDEX('Pace of change parameters'!$E$19:$I$19,1,$B$5),0,(K86-INDEX('Pace of change parameters'!$E$19:$I$19,1,$B$5))/(INDEX('Pace of change parameters'!$E$18:$I$18,1,$B$5)-INDEX('Pace of change parameters'!$E$19:$I$19,1,$B$5))))</f>
        <v>0.33124663139678923</v>
      </c>
      <c r="Q86" s="57">
        <v>3.4322401587818296E-2</v>
      </c>
      <c r="R86" s="57">
        <v>2.9837679252323612E-2</v>
      </c>
      <c r="S86" s="9">
        <f>MAX(IF(INDEX('Pace of change parameters'!$E$31:$I$31,1,$B$5)=1,D86*(1+Q86),D86),L86)</f>
        <v>288348</v>
      </c>
      <c r="T86" s="103">
        <f>IF(Q86&lt;INDEX('Pace of change parameters'!$E$24:$I$24,1,$B$5),INDEX('Pace of change parameters'!$E$24:$I$24,1,$B$5),Q86)</f>
        <v>3.4322401587818296E-2</v>
      </c>
      <c r="U86" s="132">
        <v>2.9837679252323612E-2</v>
      </c>
      <c r="V86" s="117">
        <f t="shared" si="20"/>
        <v>288348</v>
      </c>
      <c r="W86" s="131">
        <f>IF(J86&gt;INDEX('Pace of change parameters'!$E$26:$I$26,1,$B$5),0,IF(J86&lt;INDEX('Pace of change parameters'!$E$25:$I$25,1,$B$5),1,(J86-INDEX('Pace of change parameters'!$E$26:$I$26,1,$B$5))/(INDEX('Pace of change parameters'!$E$25:$I$25,1,$B$5)-INDEX('Pace of change parameters'!$E$26:$I$26,1,$B$5))))</f>
        <v>1</v>
      </c>
      <c r="X86" s="132">
        <f>MIN(T86, T86+(INDEX('Pace of change parameters'!$E$27:$I$27,1,$B$5)-T86)*(1-W86))</f>
        <v>3.4322401587818296E-2</v>
      </c>
      <c r="Y86" s="132">
        <v>2.9837679252323612E-2</v>
      </c>
      <c r="Z86" s="108">
        <f t="shared" si="21"/>
        <v>288348</v>
      </c>
      <c r="AA86" s="97">
        <f>MIN(VLOOKUP(A86,'2019-20 disagg'!$A$12:$BB$220,54,FALSE),-2.5%)</f>
        <v>-2.5000000000000001E-2</v>
      </c>
      <c r="AB86" s="99">
        <f t="shared" si="13"/>
        <v>283971.03806102806</v>
      </c>
      <c r="AC86" s="99">
        <f>MAX(IF(INDEX('Pace of change parameters'!$E$29:$I$29,1,$B$5)=1,MAX(AB86,Z86),Z86),L86)</f>
        <v>288348</v>
      </c>
      <c r="AD86" s="97">
        <f t="shared" si="14"/>
        <v>3.8575411146889005E-2</v>
      </c>
      <c r="AE86" s="146">
        <v>3.4072248171480357E-2</v>
      </c>
      <c r="AF86" s="56">
        <f t="shared" si="22"/>
        <v>288348</v>
      </c>
      <c r="AG86" s="56">
        <v>1619.5493679664216</v>
      </c>
      <c r="AH86" s="16">
        <f t="shared" si="15"/>
        <v>3.8575411146889005E-2</v>
      </c>
      <c r="AI86" s="16">
        <f t="shared" si="16"/>
        <v>3.4072248171480357E-2</v>
      </c>
      <c r="AJ86" s="56"/>
      <c r="AK86" s="56">
        <v>291252.34672925953</v>
      </c>
      <c r="AL86" s="56">
        <v>1635.8620627301366</v>
      </c>
      <c r="AM86" s="16">
        <f t="shared" si="23"/>
        <v>-9.9719255891844716E-3</v>
      </c>
      <c r="AN86" s="58">
        <f t="shared" si="23"/>
        <v>-9.9719255891845826E-3</v>
      </c>
      <c r="AP86" s="56">
        <f t="shared" si="17"/>
        <v>1</v>
      </c>
      <c r="AQ86" s="56">
        <f t="shared" si="18"/>
        <v>0</v>
      </c>
    </row>
    <row r="87" spans="1:43" x14ac:dyDescent="0.2">
      <c r="A87" s="156" t="s">
        <v>219</v>
      </c>
      <c r="B87" s="156" t="s">
        <v>220</v>
      </c>
      <c r="D87" s="68">
        <f>VLOOKUP(A87,'2019-20 disagg'!A87:AZ295,43,FALSE)</f>
        <v>983897</v>
      </c>
      <c r="E87" s="73">
        <v>1691.5890120822053</v>
      </c>
      <c r="F87" s="55"/>
      <c r="G87" s="88">
        <v>1005957.0571656016</v>
      </c>
      <c r="H87" s="81">
        <v>1716.2858491977443</v>
      </c>
      <c r="I87" s="90"/>
      <c r="J87" s="103">
        <f t="shared" si="19"/>
        <v>-2.1929422343095251E-2</v>
      </c>
      <c r="K87" s="126">
        <f t="shared" si="19"/>
        <v>-1.4389699202544404E-2</v>
      </c>
      <c r="L87" s="56">
        <v>1023134</v>
      </c>
      <c r="M87" s="103">
        <v>3.240458125715584E-2</v>
      </c>
      <c r="N87" s="97">
        <f>INDEX('Pace of change parameters'!$E$22:$I$22,1,$B$5)</f>
        <v>2.4506891160555818E-2</v>
      </c>
      <c r="O87" s="108">
        <f>MAX(IF(INDEX('Pace of change parameters'!$E$30:$I$30,1,$B$5)=1,(1+M87)*D87,D87),L87)</f>
        <v>1023134</v>
      </c>
      <c r="P87" s="94">
        <f>IF(K87&lt;INDEX('Pace of change parameters'!$E$18:$I$18,1,$B$5),1,IF(K87&gt;INDEX('Pace of change parameters'!$E$19:$I$19,1,$B$5),0,(K87-INDEX('Pace of change parameters'!$E$19:$I$19,1,$B$5))/(INDEX('Pace of change parameters'!$E$18:$I$18,1,$B$5)-INDEX('Pace of change parameters'!$E$19:$I$19,1,$B$5))))</f>
        <v>0.68477089514279244</v>
      </c>
      <c r="Q87" s="57">
        <v>4.3509625184273482E-2</v>
      </c>
      <c r="R87" s="57">
        <v>3.5526983706172466E-2</v>
      </c>
      <c r="S87" s="9">
        <f>MAX(IF(INDEX('Pace of change parameters'!$E$31:$I$31,1,$B$5)=1,D87*(1+Q87),D87),L87)</f>
        <v>1026705.9896899312</v>
      </c>
      <c r="T87" s="103">
        <f>IF(Q87&lt;INDEX('Pace of change parameters'!$E$24:$I$24,1,$B$5),INDEX('Pace of change parameters'!$E$24:$I$24,1,$B$5),Q87)</f>
        <v>4.3509625184273482E-2</v>
      </c>
      <c r="U87" s="132">
        <v>3.5526983706172466E-2</v>
      </c>
      <c r="V87" s="117">
        <f t="shared" si="20"/>
        <v>1026705.9896899312</v>
      </c>
      <c r="W87" s="131">
        <f>IF(J87&gt;INDEX('Pace of change parameters'!$E$26:$I$26,1,$B$5),0,IF(J87&lt;INDEX('Pace of change parameters'!$E$25:$I$25,1,$B$5),1,(J87-INDEX('Pace of change parameters'!$E$26:$I$26,1,$B$5))/(INDEX('Pace of change parameters'!$E$25:$I$25,1,$B$5)-INDEX('Pace of change parameters'!$E$26:$I$26,1,$B$5))))</f>
        <v>1</v>
      </c>
      <c r="X87" s="132">
        <f>MIN(T87, T87+(INDEX('Pace of change parameters'!$E$27:$I$27,1,$B$5)-T87)*(1-W87))</f>
        <v>4.3509625184273482E-2</v>
      </c>
      <c r="Y87" s="132">
        <v>3.5526983706172466E-2</v>
      </c>
      <c r="Z87" s="108">
        <f t="shared" si="21"/>
        <v>1026705.9896899312</v>
      </c>
      <c r="AA87" s="97">
        <f>MIN(VLOOKUP(A87,'2019-20 disagg'!$A$12:$BB$220,54,FALSE),-2.5%)</f>
        <v>-2.5000000000000001E-2</v>
      </c>
      <c r="AB87" s="99">
        <f t="shared" si="13"/>
        <v>1020972.6415578407</v>
      </c>
      <c r="AC87" s="99">
        <f>MAX(IF(INDEX('Pace of change parameters'!$E$29:$I$29,1,$B$5)=1,MAX(AB87,Z87),Z87),L87)</f>
        <v>1026705.9896899312</v>
      </c>
      <c r="AD87" s="97">
        <f t="shared" si="14"/>
        <v>4.3509625184273482E-2</v>
      </c>
      <c r="AE87" s="146">
        <v>3.5526983706172466E-2</v>
      </c>
      <c r="AF87" s="56">
        <f t="shared" si="22"/>
        <v>1026705.9896899312</v>
      </c>
      <c r="AG87" s="56">
        <v>1751.6860673519902</v>
      </c>
      <c r="AH87" s="16">
        <f t="shared" si="15"/>
        <v>4.3509625184273482E-2</v>
      </c>
      <c r="AI87" s="16">
        <f t="shared" si="16"/>
        <v>3.5526983706172466E-2</v>
      </c>
      <c r="AJ87" s="56"/>
      <c r="AK87" s="56">
        <v>1047151.427238811</v>
      </c>
      <c r="AL87" s="56">
        <v>1786.5684859362084</v>
      </c>
      <c r="AM87" s="16">
        <f t="shared" si="23"/>
        <v>-1.952481467058842E-2</v>
      </c>
      <c r="AN87" s="58">
        <f t="shared" si="23"/>
        <v>-1.952481467058842E-2</v>
      </c>
      <c r="AP87" s="56">
        <f t="shared" si="17"/>
        <v>0</v>
      </c>
      <c r="AQ87" s="56">
        <f t="shared" si="18"/>
        <v>0</v>
      </c>
    </row>
    <row r="88" spans="1:43" x14ac:dyDescent="0.2">
      <c r="A88" s="156" t="s">
        <v>221</v>
      </c>
      <c r="B88" s="156" t="s">
        <v>222</v>
      </c>
      <c r="D88" s="68">
        <f>VLOOKUP(A88,'2019-20 disagg'!A88:AZ296,43,FALSE)</f>
        <v>529505</v>
      </c>
      <c r="E88" s="73">
        <v>1713.3283792238904</v>
      </c>
      <c r="F88" s="55"/>
      <c r="G88" s="88">
        <v>536514.18208280287</v>
      </c>
      <c r="H88" s="81">
        <v>1728.203162354986</v>
      </c>
      <c r="I88" s="90"/>
      <c r="J88" s="103">
        <f t="shared" si="19"/>
        <v>-1.3064299727534756E-2</v>
      </c>
      <c r="K88" s="126">
        <f t="shared" si="19"/>
        <v>-8.6070801483930648E-3</v>
      </c>
      <c r="L88" s="56">
        <v>549488</v>
      </c>
      <c r="M88" s="103">
        <v>2.9133790535039505E-2</v>
      </c>
      <c r="N88" s="97">
        <f>INDEX('Pace of change parameters'!$E$22:$I$22,1,$B$5)</f>
        <v>2.4506891160555818E-2</v>
      </c>
      <c r="O88" s="108">
        <f>MAX(IF(INDEX('Pace of change parameters'!$E$30:$I$30,1,$B$5)=1,(1+M88)*D88,D88),L88)</f>
        <v>549488</v>
      </c>
      <c r="P88" s="94">
        <f>IF(K88&lt;INDEX('Pace of change parameters'!$E$18:$I$18,1,$B$5),1,IF(K88&gt;INDEX('Pace of change parameters'!$E$19:$I$19,1,$B$5),0,(K88-INDEX('Pace of change parameters'!$E$19:$I$19,1,$B$5))/(INDEX('Pace of change parameters'!$E$18:$I$18,1,$B$5)-INDEX('Pace of change parameters'!$E$19:$I$19,1,$B$5))))</f>
        <v>0.49509422772224992</v>
      </c>
      <c r="Q88" s="57">
        <v>3.7137379292636163E-2</v>
      </c>
      <c r="R88" s="57">
        <v>3.2474496453070545E-2</v>
      </c>
      <c r="S88" s="9">
        <f>MAX(IF(INDEX('Pace of change parameters'!$E$31:$I$31,1,$B$5)=1,D88*(1+Q88),D88),L88)</f>
        <v>549488</v>
      </c>
      <c r="T88" s="103">
        <f>IF(Q88&lt;INDEX('Pace of change parameters'!$E$24:$I$24,1,$B$5),INDEX('Pace of change parameters'!$E$24:$I$24,1,$B$5),Q88)</f>
        <v>3.7137379292636163E-2</v>
      </c>
      <c r="U88" s="132">
        <v>3.2474496453070545E-2</v>
      </c>
      <c r="V88" s="117">
        <f t="shared" si="20"/>
        <v>549488</v>
      </c>
      <c r="W88" s="131">
        <f>IF(J88&gt;INDEX('Pace of change parameters'!$E$26:$I$26,1,$B$5),0,IF(J88&lt;INDEX('Pace of change parameters'!$E$25:$I$25,1,$B$5),1,(J88-INDEX('Pace of change parameters'!$E$26:$I$26,1,$B$5))/(INDEX('Pace of change parameters'!$E$25:$I$25,1,$B$5)-INDEX('Pace of change parameters'!$E$26:$I$26,1,$B$5))))</f>
        <v>1</v>
      </c>
      <c r="X88" s="132">
        <f>MIN(T88, T88+(INDEX('Pace of change parameters'!$E$27:$I$27,1,$B$5)-T88)*(1-W88))</f>
        <v>3.7137379292636163E-2</v>
      </c>
      <c r="Y88" s="132">
        <v>3.2474496453070545E-2</v>
      </c>
      <c r="Z88" s="108">
        <f t="shared" si="21"/>
        <v>549488</v>
      </c>
      <c r="AA88" s="97">
        <f>MIN(VLOOKUP(A88,'2019-20 disagg'!$A$12:$BB$220,54,FALSE),-2.5%)</f>
        <v>-2.5000000000000001E-2</v>
      </c>
      <c r="AB88" s="99">
        <f t="shared" si="13"/>
        <v>544416.73585485062</v>
      </c>
      <c r="AC88" s="99">
        <f>MAX(IF(INDEX('Pace of change parameters'!$E$29:$I$29,1,$B$5)=1,MAX(AB88,Z88),Z88),L88)</f>
        <v>549488</v>
      </c>
      <c r="AD88" s="97">
        <f t="shared" si="14"/>
        <v>3.7739020405850754E-2</v>
      </c>
      <c r="AE88" s="146">
        <v>3.3073432638202949E-2</v>
      </c>
      <c r="AF88" s="56">
        <f t="shared" si="22"/>
        <v>549488</v>
      </c>
      <c r="AG88" s="56">
        <v>1769.9940299612731</v>
      </c>
      <c r="AH88" s="16">
        <f t="shared" si="15"/>
        <v>3.7739020405850754E-2</v>
      </c>
      <c r="AI88" s="16">
        <f t="shared" si="16"/>
        <v>3.3073432638202949E-2</v>
      </c>
      <c r="AJ88" s="56"/>
      <c r="AK88" s="56">
        <v>558376.13933830836</v>
      </c>
      <c r="AL88" s="56">
        <v>1798.6242340171757</v>
      </c>
      <c r="AM88" s="16">
        <f t="shared" si="23"/>
        <v>-1.5917835151124216E-2</v>
      </c>
      <c r="AN88" s="58">
        <f t="shared" si="23"/>
        <v>-1.5917835151124327E-2</v>
      </c>
      <c r="AP88" s="56">
        <f t="shared" si="17"/>
        <v>1</v>
      </c>
      <c r="AQ88" s="56">
        <f t="shared" si="18"/>
        <v>0</v>
      </c>
    </row>
    <row r="89" spans="1:43" x14ac:dyDescent="0.2">
      <c r="A89" s="156" t="s">
        <v>223</v>
      </c>
      <c r="B89" s="156" t="s">
        <v>224</v>
      </c>
      <c r="D89" s="68">
        <f>VLOOKUP(A89,'2019-20 disagg'!A89:AZ297,43,FALSE)</f>
        <v>411455</v>
      </c>
      <c r="E89" s="73">
        <v>1655.8709474237594</v>
      </c>
      <c r="F89" s="55"/>
      <c r="G89" s="88">
        <v>420234.99488385255</v>
      </c>
      <c r="H89" s="81">
        <v>1681.4254194431014</v>
      </c>
      <c r="I89" s="90"/>
      <c r="J89" s="103">
        <f t="shared" si="19"/>
        <v>-2.0893059813543613E-2</v>
      </c>
      <c r="K89" s="126">
        <f t="shared" si="19"/>
        <v>-1.5198100209407928E-2</v>
      </c>
      <c r="L89" s="56">
        <v>427504</v>
      </c>
      <c r="M89" s="103">
        <v>3.0465918841645179E-2</v>
      </c>
      <c r="N89" s="97">
        <f>INDEX('Pace of change parameters'!$E$22:$I$22,1,$B$5)</f>
        <v>2.4506891160555818E-2</v>
      </c>
      <c r="O89" s="108">
        <f>MAX(IF(INDEX('Pace of change parameters'!$E$30:$I$30,1,$B$5)=1,(1+M89)*D89,D89),L89)</f>
        <v>427504</v>
      </c>
      <c r="P89" s="94">
        <f>IF(K89&lt;INDEX('Pace of change parameters'!$E$18:$I$18,1,$B$5),1,IF(K89&gt;INDEX('Pace of change parameters'!$E$19:$I$19,1,$B$5),0,(K89-INDEX('Pace of change parameters'!$E$19:$I$19,1,$B$5))/(INDEX('Pace of change parameters'!$E$18:$I$18,1,$B$5)-INDEX('Pace of change parameters'!$E$19:$I$19,1,$B$5))))</f>
        <v>0.71128739354695503</v>
      </c>
      <c r="Q89" s="57">
        <v>4.1979324556249864E-2</v>
      </c>
      <c r="R89" s="57">
        <v>3.5953716601031527E-2</v>
      </c>
      <c r="S89" s="9">
        <f>MAX(IF(INDEX('Pace of change parameters'!$E$31:$I$31,1,$B$5)=1,D89*(1+Q89),D89),L89)</f>
        <v>428727.6029852918</v>
      </c>
      <c r="T89" s="103">
        <f>IF(Q89&lt;INDEX('Pace of change parameters'!$E$24:$I$24,1,$B$5),INDEX('Pace of change parameters'!$E$24:$I$24,1,$B$5),Q89)</f>
        <v>4.1979324556249864E-2</v>
      </c>
      <c r="U89" s="132">
        <v>3.5953716601031527E-2</v>
      </c>
      <c r="V89" s="117">
        <f t="shared" si="20"/>
        <v>428727.6029852918</v>
      </c>
      <c r="W89" s="131">
        <f>IF(J89&gt;INDEX('Pace of change parameters'!$E$26:$I$26,1,$B$5),0,IF(J89&lt;INDEX('Pace of change parameters'!$E$25:$I$25,1,$B$5),1,(J89-INDEX('Pace of change parameters'!$E$26:$I$26,1,$B$5))/(INDEX('Pace of change parameters'!$E$25:$I$25,1,$B$5)-INDEX('Pace of change parameters'!$E$26:$I$26,1,$B$5))))</f>
        <v>1</v>
      </c>
      <c r="X89" s="132">
        <f>MIN(T89, T89+(INDEX('Pace of change parameters'!$E$27:$I$27,1,$B$5)-T89)*(1-W89))</f>
        <v>4.1979324556249864E-2</v>
      </c>
      <c r="Y89" s="132">
        <v>3.5953716601031527E-2</v>
      </c>
      <c r="Z89" s="108">
        <f t="shared" si="21"/>
        <v>428727.6029852918</v>
      </c>
      <c r="AA89" s="97">
        <f>MIN(VLOOKUP(A89,'2019-20 disagg'!$A$12:$BB$220,54,FALSE),-2.5%)</f>
        <v>-2.5000000000000001E-2</v>
      </c>
      <c r="AB89" s="99">
        <f t="shared" si="13"/>
        <v>426389.37161604763</v>
      </c>
      <c r="AC89" s="99">
        <f>MAX(IF(INDEX('Pace of change parameters'!$E$29:$I$29,1,$B$5)=1,MAX(AB89,Z89),Z89),L89)</f>
        <v>428727.6029852918</v>
      </c>
      <c r="AD89" s="97">
        <f t="shared" si="14"/>
        <v>4.1979324556249864E-2</v>
      </c>
      <c r="AE89" s="146">
        <v>3.5953716601031527E-2</v>
      </c>
      <c r="AF89" s="56">
        <f t="shared" si="22"/>
        <v>428727.6029852918</v>
      </c>
      <c r="AG89" s="56">
        <v>1715.4056621953146</v>
      </c>
      <c r="AH89" s="16">
        <f t="shared" si="15"/>
        <v>4.1979324556249864E-2</v>
      </c>
      <c r="AI89" s="16">
        <f t="shared" si="16"/>
        <v>3.5953716601031305E-2</v>
      </c>
      <c r="AJ89" s="56"/>
      <c r="AK89" s="56">
        <v>437322.4324267155</v>
      </c>
      <c r="AL89" s="56">
        <v>1749.7949083897731</v>
      </c>
      <c r="AM89" s="16">
        <f t="shared" si="23"/>
        <v>-1.9653301098072506E-2</v>
      </c>
      <c r="AN89" s="58">
        <f t="shared" si="23"/>
        <v>-1.9653301098072617E-2</v>
      </c>
      <c r="AP89" s="56">
        <f t="shared" si="17"/>
        <v>0</v>
      </c>
      <c r="AQ89" s="56">
        <f t="shared" si="18"/>
        <v>0</v>
      </c>
    </row>
    <row r="90" spans="1:43" x14ac:dyDescent="0.2">
      <c r="A90" s="156" t="s">
        <v>225</v>
      </c>
      <c r="B90" s="156" t="s">
        <v>226</v>
      </c>
      <c r="D90" s="68">
        <f>VLOOKUP(A90,'2019-20 disagg'!A90:AZ298,43,FALSE)</f>
        <v>349398</v>
      </c>
      <c r="E90" s="73">
        <v>1586.2474495823087</v>
      </c>
      <c r="F90" s="55"/>
      <c r="G90" s="88">
        <v>357235.42183102557</v>
      </c>
      <c r="H90" s="81">
        <v>1614.8706556042976</v>
      </c>
      <c r="I90" s="90"/>
      <c r="J90" s="103">
        <f t="shared" si="19"/>
        <v>-2.1939094927525771E-2</v>
      </c>
      <c r="K90" s="126">
        <f t="shared" si="19"/>
        <v>-1.7724766948147841E-2</v>
      </c>
      <c r="L90" s="56">
        <v>362885</v>
      </c>
      <c r="M90" s="103">
        <v>2.8921348413770698E-2</v>
      </c>
      <c r="N90" s="97">
        <f>INDEX('Pace of change parameters'!$E$22:$I$22,1,$B$5)</f>
        <v>2.4506891160555818E-2</v>
      </c>
      <c r="O90" s="108">
        <f>MAX(IF(INDEX('Pace of change parameters'!$E$30:$I$30,1,$B$5)=1,(1+M90)*D90,D90),L90)</f>
        <v>362885</v>
      </c>
      <c r="P90" s="94">
        <f>IF(K90&lt;INDEX('Pace of change parameters'!$E$18:$I$18,1,$B$5),1,IF(K90&gt;INDEX('Pace of change parameters'!$E$19:$I$19,1,$B$5),0,(K90-INDEX('Pace of change parameters'!$E$19:$I$19,1,$B$5))/(INDEX('Pace of change parameters'!$E$18:$I$18,1,$B$5)-INDEX('Pace of change parameters'!$E$19:$I$19,1,$B$5))))</f>
        <v>0.79416501737079381</v>
      </c>
      <c r="Q90" s="57">
        <v>4.1757002228349993E-2</v>
      </c>
      <c r="R90" s="57">
        <v>3.7287475221583044E-2</v>
      </c>
      <c r="S90" s="9">
        <f>MAX(IF(INDEX('Pace of change parameters'!$E$31:$I$31,1,$B$5)=1,D90*(1+Q90),D90),L90)</f>
        <v>363987.81306458102</v>
      </c>
      <c r="T90" s="103">
        <f>IF(Q90&lt;INDEX('Pace of change parameters'!$E$24:$I$24,1,$B$5),INDEX('Pace of change parameters'!$E$24:$I$24,1,$B$5),Q90)</f>
        <v>4.1757002228349993E-2</v>
      </c>
      <c r="U90" s="132">
        <v>3.7287475221583044E-2</v>
      </c>
      <c r="V90" s="117">
        <f t="shared" si="20"/>
        <v>363987.81306458102</v>
      </c>
      <c r="W90" s="131">
        <f>IF(J90&gt;INDEX('Pace of change parameters'!$E$26:$I$26,1,$B$5),0,IF(J90&lt;INDEX('Pace of change parameters'!$E$25:$I$25,1,$B$5),1,(J90-INDEX('Pace of change parameters'!$E$26:$I$26,1,$B$5))/(INDEX('Pace of change parameters'!$E$25:$I$25,1,$B$5)-INDEX('Pace of change parameters'!$E$26:$I$26,1,$B$5))))</f>
        <v>1</v>
      </c>
      <c r="X90" s="132">
        <f>MIN(T90, T90+(INDEX('Pace of change parameters'!$E$27:$I$27,1,$B$5)-T90)*(1-W90))</f>
        <v>4.1757002228349993E-2</v>
      </c>
      <c r="Y90" s="132">
        <v>3.7287475221583044E-2</v>
      </c>
      <c r="Z90" s="108">
        <f t="shared" si="21"/>
        <v>363987.81306458102</v>
      </c>
      <c r="AA90" s="97">
        <f>MIN(VLOOKUP(A90,'2019-20 disagg'!$A$12:$BB$220,54,FALSE),-2.5%)</f>
        <v>-2.5000000000000001E-2</v>
      </c>
      <c r="AB90" s="99">
        <f t="shared" si="13"/>
        <v>362494.57868697337</v>
      </c>
      <c r="AC90" s="99">
        <f>MAX(IF(INDEX('Pace of change parameters'!$E$29:$I$29,1,$B$5)=1,MAX(AB90,Z90),Z90),L90)</f>
        <v>363987.81306458102</v>
      </c>
      <c r="AD90" s="97">
        <f t="shared" si="14"/>
        <v>4.1757002228349993E-2</v>
      </c>
      <c r="AE90" s="146">
        <v>3.7287475221583044E-2</v>
      </c>
      <c r="AF90" s="56">
        <f t="shared" si="22"/>
        <v>363987.81306458102</v>
      </c>
      <c r="AG90" s="56">
        <v>1645.3946120539081</v>
      </c>
      <c r="AH90" s="16">
        <f t="shared" si="15"/>
        <v>4.1757002228349993E-2</v>
      </c>
      <c r="AI90" s="16">
        <f t="shared" si="16"/>
        <v>3.7287475221582822E-2</v>
      </c>
      <c r="AJ90" s="56"/>
      <c r="AK90" s="56">
        <v>371789.31147381885</v>
      </c>
      <c r="AL90" s="56">
        <v>1680.661022048326</v>
      </c>
      <c r="AM90" s="16">
        <f t="shared" si="23"/>
        <v>-2.0983654366801829E-2</v>
      </c>
      <c r="AN90" s="58">
        <f t="shared" si="23"/>
        <v>-2.0983654366801829E-2</v>
      </c>
      <c r="AP90" s="56">
        <f t="shared" si="17"/>
        <v>0</v>
      </c>
      <c r="AQ90" s="56">
        <f t="shared" si="18"/>
        <v>0</v>
      </c>
    </row>
    <row r="91" spans="1:43" x14ac:dyDescent="0.2">
      <c r="A91" s="156" t="s">
        <v>227</v>
      </c>
      <c r="B91" s="156" t="s">
        <v>228</v>
      </c>
      <c r="D91" s="68">
        <f>VLOOKUP(A91,'2019-20 disagg'!A91:AZ299,43,FALSE)</f>
        <v>451207</v>
      </c>
      <c r="E91" s="73">
        <v>1591.1742721758421</v>
      </c>
      <c r="F91" s="55"/>
      <c r="G91" s="88">
        <v>452093.0531596964</v>
      </c>
      <c r="H91" s="81">
        <v>1585.1479597826456</v>
      </c>
      <c r="I91" s="90"/>
      <c r="J91" s="103">
        <f t="shared" si="19"/>
        <v>-1.959891118661794E-3</v>
      </c>
      <c r="K91" s="126">
        <f t="shared" si="19"/>
        <v>3.8017349459433802E-3</v>
      </c>
      <c r="L91" s="56">
        <v>468792</v>
      </c>
      <c r="M91" s="103">
        <v>3.0421308381817891E-2</v>
      </c>
      <c r="N91" s="97">
        <f>INDEX('Pace of change parameters'!$E$22:$I$22,1,$B$5)</f>
        <v>2.4506891160555818E-2</v>
      </c>
      <c r="O91" s="108">
        <f>MAX(IF(INDEX('Pace of change parameters'!$E$30:$I$30,1,$B$5)=1,(1+M91)*D91,D91),L91)</f>
        <v>468792</v>
      </c>
      <c r="P91" s="94">
        <f>IF(K91&lt;INDEX('Pace of change parameters'!$E$18:$I$18,1,$B$5),1,IF(K91&gt;INDEX('Pace of change parameters'!$E$19:$I$19,1,$B$5),0,(K91-INDEX('Pace of change parameters'!$E$19:$I$19,1,$B$5))/(INDEX('Pace of change parameters'!$E$18:$I$18,1,$B$5)-INDEX('Pace of change parameters'!$E$19:$I$19,1,$B$5))))</f>
        <v>8.8070581223909761E-2</v>
      </c>
      <c r="Q91" s="57">
        <v>3.1846819989443942E-2</v>
      </c>
      <c r="R91" s="57">
        <v>2.5924220609745419E-2</v>
      </c>
      <c r="S91" s="9">
        <f>MAX(IF(INDEX('Pace of change parameters'!$E$31:$I$31,1,$B$5)=1,D91*(1+Q91),D91),L91)</f>
        <v>468792</v>
      </c>
      <c r="T91" s="103">
        <f>IF(Q91&lt;INDEX('Pace of change parameters'!$E$24:$I$24,1,$B$5),INDEX('Pace of change parameters'!$E$24:$I$24,1,$B$5),Q91)</f>
        <v>3.2992755077120454E-2</v>
      </c>
      <c r="U91" s="132">
        <v>2.7063578253650356E-2</v>
      </c>
      <c r="V91" s="117">
        <f t="shared" si="20"/>
        <v>468792</v>
      </c>
      <c r="W91" s="131">
        <f>IF(J91&gt;INDEX('Pace of change parameters'!$E$26:$I$26,1,$B$5),0,IF(J91&lt;INDEX('Pace of change parameters'!$E$25:$I$25,1,$B$5),1,(J91-INDEX('Pace of change parameters'!$E$26:$I$26,1,$B$5))/(INDEX('Pace of change parameters'!$E$25:$I$25,1,$B$5)-INDEX('Pace of change parameters'!$E$26:$I$26,1,$B$5))))</f>
        <v>1</v>
      </c>
      <c r="X91" s="132">
        <f>MIN(T91, T91+(INDEX('Pace of change parameters'!$E$27:$I$27,1,$B$5)-T91)*(1-W91))</f>
        <v>3.2992755077120454E-2</v>
      </c>
      <c r="Y91" s="132">
        <v>2.7063578253650356E-2</v>
      </c>
      <c r="Z91" s="108">
        <f t="shared" si="21"/>
        <v>468792</v>
      </c>
      <c r="AA91" s="97">
        <f>MIN(VLOOKUP(A91,'2019-20 disagg'!$A$12:$BB$220,54,FALSE),-2.5%)</f>
        <v>-2.5000000000000001E-2</v>
      </c>
      <c r="AB91" s="99">
        <f t="shared" si="13"/>
        <v>458669.28281469533</v>
      </c>
      <c r="AC91" s="99">
        <f>MAX(IF(INDEX('Pace of change parameters'!$E$29:$I$29,1,$B$5)=1,MAX(AB91,Z91),Z91),L91)</f>
        <v>468792</v>
      </c>
      <c r="AD91" s="97">
        <f t="shared" si="14"/>
        <v>3.8973242879653869E-2</v>
      </c>
      <c r="AE91" s="146">
        <v>3.3009739223301748E-2</v>
      </c>
      <c r="AF91" s="56">
        <f t="shared" si="22"/>
        <v>468792</v>
      </c>
      <c r="AG91" s="56">
        <v>1643.6985199591936</v>
      </c>
      <c r="AH91" s="16">
        <f t="shared" si="15"/>
        <v>3.8973242879653869E-2</v>
      </c>
      <c r="AI91" s="16">
        <f t="shared" si="16"/>
        <v>3.3009739223301748E-2</v>
      </c>
      <c r="AJ91" s="56"/>
      <c r="AK91" s="56">
        <v>470430.03365609777</v>
      </c>
      <c r="AL91" s="56">
        <v>1649.4418634807794</v>
      </c>
      <c r="AM91" s="16">
        <f t="shared" si="23"/>
        <v>-3.4819920900187595E-3</v>
      </c>
      <c r="AN91" s="58">
        <f t="shared" si="23"/>
        <v>-3.4819920900186485E-3</v>
      </c>
      <c r="AP91" s="56">
        <f t="shared" si="17"/>
        <v>1</v>
      </c>
      <c r="AQ91" s="56">
        <f t="shared" si="18"/>
        <v>0</v>
      </c>
    </row>
    <row r="92" spans="1:43" x14ac:dyDescent="0.2">
      <c r="A92" s="156" t="s">
        <v>229</v>
      </c>
      <c r="B92" s="156" t="s">
        <v>230</v>
      </c>
      <c r="D92" s="68">
        <f>VLOOKUP(A92,'2019-20 disagg'!A92:AZ300,43,FALSE)</f>
        <v>480311</v>
      </c>
      <c r="E92" s="73">
        <v>1568.2798513397572</v>
      </c>
      <c r="F92" s="55"/>
      <c r="G92" s="88">
        <v>488930.63134827407</v>
      </c>
      <c r="H92" s="81">
        <v>1589.3812289680902</v>
      </c>
      <c r="I92" s="90"/>
      <c r="J92" s="103">
        <f t="shared" si="19"/>
        <v>-1.7629558869127537E-2</v>
      </c>
      <c r="K92" s="126">
        <f t="shared" si="19"/>
        <v>-1.3276473412255574E-2</v>
      </c>
      <c r="L92" s="56">
        <v>497506</v>
      </c>
      <c r="M92" s="103">
        <v>2.904669189320197E-2</v>
      </c>
      <c r="N92" s="97">
        <f>INDEX('Pace of change parameters'!$E$22:$I$22,1,$B$5)</f>
        <v>2.4506891160555818E-2</v>
      </c>
      <c r="O92" s="108">
        <f>MAX(IF(INDEX('Pace of change parameters'!$E$30:$I$30,1,$B$5)=1,(1+M92)*D92,D92),L92)</f>
        <v>497506</v>
      </c>
      <c r="P92" s="94">
        <f>IF(K92&lt;INDEX('Pace of change parameters'!$E$18:$I$18,1,$B$5),1,IF(K92&gt;INDEX('Pace of change parameters'!$E$19:$I$19,1,$B$5),0,(K92-INDEX('Pace of change parameters'!$E$19:$I$19,1,$B$5))/(INDEX('Pace of change parameters'!$E$18:$I$18,1,$B$5)-INDEX('Pace of change parameters'!$E$19:$I$19,1,$B$5))))</f>
        <v>0.64825578736701761</v>
      </c>
      <c r="Q92" s="57">
        <v>3.9525371170738399E-2</v>
      </c>
      <c r="R92" s="57">
        <v>3.4939342102452864E-2</v>
      </c>
      <c r="S92" s="9">
        <f>MAX(IF(INDEX('Pace of change parameters'!$E$31:$I$31,1,$B$5)=1,D92*(1+Q92),D92),L92)</f>
        <v>499295.47055238852</v>
      </c>
      <c r="T92" s="103">
        <f>IF(Q92&lt;INDEX('Pace of change parameters'!$E$24:$I$24,1,$B$5),INDEX('Pace of change parameters'!$E$24:$I$24,1,$B$5),Q92)</f>
        <v>3.9525371170738399E-2</v>
      </c>
      <c r="U92" s="132">
        <v>3.4939342102452864E-2</v>
      </c>
      <c r="V92" s="117">
        <f t="shared" si="20"/>
        <v>499295.47055238852</v>
      </c>
      <c r="W92" s="131">
        <f>IF(J92&gt;INDEX('Pace of change parameters'!$E$26:$I$26,1,$B$5),0,IF(J92&lt;INDEX('Pace of change parameters'!$E$25:$I$25,1,$B$5),1,(J92-INDEX('Pace of change parameters'!$E$26:$I$26,1,$B$5))/(INDEX('Pace of change parameters'!$E$25:$I$25,1,$B$5)-INDEX('Pace of change parameters'!$E$26:$I$26,1,$B$5))))</f>
        <v>1</v>
      </c>
      <c r="X92" s="132">
        <f>MIN(T92, T92+(INDEX('Pace of change parameters'!$E$27:$I$27,1,$B$5)-T92)*(1-W92))</f>
        <v>3.9525371170738399E-2</v>
      </c>
      <c r="Y92" s="132">
        <v>3.4939342102452864E-2</v>
      </c>
      <c r="Z92" s="108">
        <f t="shared" si="21"/>
        <v>499295.47055238852</v>
      </c>
      <c r="AA92" s="97">
        <f>MIN(VLOOKUP(A92,'2019-20 disagg'!$A$12:$BB$220,54,FALSE),-2.5%)</f>
        <v>-2.5000000000000001E-2</v>
      </c>
      <c r="AB92" s="99">
        <f t="shared" si="13"/>
        <v>496142.65435008472</v>
      </c>
      <c r="AC92" s="99">
        <f>MAX(IF(INDEX('Pace of change parameters'!$E$29:$I$29,1,$B$5)=1,MAX(AB92,Z92),Z92),L92)</f>
        <v>499295.47055238852</v>
      </c>
      <c r="AD92" s="97">
        <f t="shared" si="14"/>
        <v>3.9525371170738399E-2</v>
      </c>
      <c r="AE92" s="146">
        <v>3.4939342102452864E-2</v>
      </c>
      <c r="AF92" s="56">
        <f t="shared" si="22"/>
        <v>499295.47055238852</v>
      </c>
      <c r="AG92" s="56">
        <v>1623.074517578101</v>
      </c>
      <c r="AH92" s="16">
        <f t="shared" si="15"/>
        <v>3.9525371170738399E-2</v>
      </c>
      <c r="AI92" s="16">
        <f t="shared" si="16"/>
        <v>3.4939342102452864E-2</v>
      </c>
      <c r="AJ92" s="56"/>
      <c r="AK92" s="56">
        <v>508864.26087188179</v>
      </c>
      <c r="AL92" s="56">
        <v>1654.1800665918645</v>
      </c>
      <c r="AM92" s="16">
        <f t="shared" si="23"/>
        <v>-1.880420979673092E-2</v>
      </c>
      <c r="AN92" s="58">
        <f t="shared" si="23"/>
        <v>-1.8804209796730809E-2</v>
      </c>
      <c r="AP92" s="56">
        <f t="shared" si="17"/>
        <v>0</v>
      </c>
      <c r="AQ92" s="56">
        <f t="shared" si="18"/>
        <v>0</v>
      </c>
    </row>
    <row r="93" spans="1:43" x14ac:dyDescent="0.2">
      <c r="A93" s="156" t="s">
        <v>231</v>
      </c>
      <c r="B93" s="156" t="s">
        <v>232</v>
      </c>
      <c r="D93" s="68">
        <f>VLOOKUP(A93,'2019-20 disagg'!A93:AZ301,43,FALSE)</f>
        <v>240277</v>
      </c>
      <c r="E93" s="73">
        <v>1615.2639160416634</v>
      </c>
      <c r="F93" s="55"/>
      <c r="G93" s="88">
        <v>240551.97951098171</v>
      </c>
      <c r="H93" s="81">
        <v>1611.4196941516298</v>
      </c>
      <c r="I93" s="90"/>
      <c r="J93" s="103">
        <f t="shared" si="19"/>
        <v>-1.1431188865737019E-3</v>
      </c>
      <c r="K93" s="126">
        <f t="shared" si="19"/>
        <v>2.3856118328362541E-3</v>
      </c>
      <c r="L93" s="56">
        <v>249529</v>
      </c>
      <c r="M93" s="103">
        <v>2.812623744273357E-2</v>
      </c>
      <c r="N93" s="97">
        <f>INDEX('Pace of change parameters'!$E$22:$I$22,1,$B$5)</f>
        <v>2.4506891160555818E-2</v>
      </c>
      <c r="O93" s="108">
        <f>MAX(IF(INDEX('Pace of change parameters'!$E$30:$I$30,1,$B$5)=1,(1+M93)*D93,D93),L93)</f>
        <v>249529</v>
      </c>
      <c r="P93" s="94">
        <f>IF(K93&lt;INDEX('Pace of change parameters'!$E$18:$I$18,1,$B$5),1,IF(K93&gt;INDEX('Pace of change parameters'!$E$19:$I$19,1,$B$5),0,(K93-INDEX('Pace of change parameters'!$E$19:$I$19,1,$B$5))/(INDEX('Pace of change parameters'!$E$18:$I$18,1,$B$5)-INDEX('Pace of change parameters'!$E$19:$I$19,1,$B$5))))</f>
        <v>0.13452107540933114</v>
      </c>
      <c r="Q93" s="57">
        <v>3.0298747709149643E-2</v>
      </c>
      <c r="R93" s="57">
        <v>2.6671753468317183E-2</v>
      </c>
      <c r="S93" s="9">
        <f>MAX(IF(INDEX('Pace of change parameters'!$E$31:$I$31,1,$B$5)=1,D93*(1+Q93),D93),L93)</f>
        <v>249529</v>
      </c>
      <c r="T93" s="103">
        <f>IF(Q93&lt;INDEX('Pace of change parameters'!$E$24:$I$24,1,$B$5),INDEX('Pace of change parameters'!$E$24:$I$24,1,$B$5),Q93)</f>
        <v>3.2992755077120454E-2</v>
      </c>
      <c r="U93" s="132">
        <v>2.9356277034400247E-2</v>
      </c>
      <c r="V93" s="117">
        <f t="shared" si="20"/>
        <v>249529</v>
      </c>
      <c r="W93" s="131">
        <f>IF(J93&gt;INDEX('Pace of change parameters'!$E$26:$I$26,1,$B$5),0,IF(J93&lt;INDEX('Pace of change parameters'!$E$25:$I$25,1,$B$5),1,(J93-INDEX('Pace of change parameters'!$E$26:$I$26,1,$B$5))/(INDEX('Pace of change parameters'!$E$25:$I$25,1,$B$5)-INDEX('Pace of change parameters'!$E$26:$I$26,1,$B$5))))</f>
        <v>1</v>
      </c>
      <c r="X93" s="132">
        <f>MIN(T93, T93+(INDEX('Pace of change parameters'!$E$27:$I$27,1,$B$5)-T93)*(1-W93))</f>
        <v>3.2992755077120454E-2</v>
      </c>
      <c r="Y93" s="132">
        <v>2.9356277034400247E-2</v>
      </c>
      <c r="Z93" s="108">
        <f t="shared" si="21"/>
        <v>249529</v>
      </c>
      <c r="AA93" s="97">
        <f>MIN(VLOOKUP(A93,'2019-20 disagg'!$A$12:$BB$220,54,FALSE),-2.5%)</f>
        <v>-2.5000000000000001E-2</v>
      </c>
      <c r="AB93" s="99">
        <f t="shared" si="13"/>
        <v>244092.62908152331</v>
      </c>
      <c r="AC93" s="99">
        <f>MAX(IF(INDEX('Pace of change parameters'!$E$29:$I$29,1,$B$5)=1,MAX(AB93,Z93),Z93),L93)</f>
        <v>249529</v>
      </c>
      <c r="AD93" s="97">
        <f t="shared" si="14"/>
        <v>3.8505558168280718E-2</v>
      </c>
      <c r="AE93" s="146">
        <v>3.4849673225273659E-2</v>
      </c>
      <c r="AF93" s="56">
        <f t="shared" si="22"/>
        <v>249529</v>
      </c>
      <c r="AG93" s="56">
        <v>1671.5553356882913</v>
      </c>
      <c r="AH93" s="16">
        <f t="shared" si="15"/>
        <v>3.8505558168280718E-2</v>
      </c>
      <c r="AI93" s="16">
        <f t="shared" si="16"/>
        <v>3.4849673225273659E-2</v>
      </c>
      <c r="AJ93" s="56"/>
      <c r="AK93" s="56">
        <v>250351.41444258802</v>
      </c>
      <c r="AL93" s="56">
        <v>1677.0645600656387</v>
      </c>
      <c r="AM93" s="16">
        <f t="shared" si="23"/>
        <v>-3.2850401281699915E-3</v>
      </c>
      <c r="AN93" s="58">
        <f t="shared" si="23"/>
        <v>-3.2850401281699915E-3</v>
      </c>
      <c r="AP93" s="56">
        <f t="shared" si="17"/>
        <v>1</v>
      </c>
      <c r="AQ93" s="56">
        <f t="shared" si="18"/>
        <v>0</v>
      </c>
    </row>
    <row r="94" spans="1:43" x14ac:dyDescent="0.2">
      <c r="A94" s="156" t="s">
        <v>233</v>
      </c>
      <c r="B94" s="156" t="s">
        <v>234</v>
      </c>
      <c r="D94" s="68">
        <f>VLOOKUP(A94,'2019-20 disagg'!A94:AZ302,43,FALSE)</f>
        <v>534365</v>
      </c>
      <c r="E94" s="73">
        <v>1851.9168688527354</v>
      </c>
      <c r="F94" s="55"/>
      <c r="G94" s="88">
        <v>525192.73066546535</v>
      </c>
      <c r="H94" s="81">
        <v>1814.9593756310346</v>
      </c>
      <c r="I94" s="90"/>
      <c r="J94" s="103">
        <f t="shared" si="19"/>
        <v>1.7464577856804331E-2</v>
      </c>
      <c r="K94" s="126">
        <f t="shared" si="19"/>
        <v>2.0362710988421462E-2</v>
      </c>
      <c r="L94" s="56">
        <v>554825</v>
      </c>
      <c r="M94" s="103">
        <v>2.7425083527603089E-2</v>
      </c>
      <c r="N94" s="97">
        <f>INDEX('Pace of change parameters'!$E$22:$I$22,1,$B$5)</f>
        <v>2.4506891160555818E-2</v>
      </c>
      <c r="O94" s="108">
        <f>MAX(IF(INDEX('Pace of change parameters'!$E$30:$I$30,1,$B$5)=1,(1+M94)*D94,D94),L94)</f>
        <v>554825</v>
      </c>
      <c r="P94" s="94">
        <f>IF(K94&lt;INDEX('Pace of change parameters'!$E$18:$I$18,1,$B$5),1,IF(K94&gt;INDEX('Pace of change parameters'!$E$19:$I$19,1,$B$5),0,(K94-INDEX('Pace of change parameters'!$E$19:$I$19,1,$B$5))/(INDEX('Pace of change parameters'!$E$18:$I$18,1,$B$5)-INDEX('Pace of change parameters'!$E$19:$I$19,1,$B$5))))</f>
        <v>0</v>
      </c>
      <c r="Q94" s="57">
        <v>2.7425083527603089E-2</v>
      </c>
      <c r="R94" s="57">
        <v>2.450689116055571E-2</v>
      </c>
      <c r="S94" s="9">
        <f>MAX(IF(INDEX('Pace of change parameters'!$E$31:$I$31,1,$B$5)=1,D94*(1+Q94),D94),L94)</f>
        <v>554825</v>
      </c>
      <c r="T94" s="103">
        <f>IF(Q94&lt;INDEX('Pace of change parameters'!$E$24:$I$24,1,$B$5),INDEX('Pace of change parameters'!$E$24:$I$24,1,$B$5),Q94)</f>
        <v>3.2992755077120454E-2</v>
      </c>
      <c r="U94" s="132">
        <v>3.0058748869357776E-2</v>
      </c>
      <c r="V94" s="117">
        <f t="shared" si="20"/>
        <v>554825</v>
      </c>
      <c r="W94" s="131">
        <f>IF(J94&gt;INDEX('Pace of change parameters'!$E$26:$I$26,1,$B$5),0,IF(J94&lt;INDEX('Pace of change parameters'!$E$25:$I$25,1,$B$5),1,(J94-INDEX('Pace of change parameters'!$E$26:$I$26,1,$B$5))/(INDEX('Pace of change parameters'!$E$25:$I$25,1,$B$5)-INDEX('Pace of change parameters'!$E$26:$I$26,1,$B$5))))</f>
        <v>1</v>
      </c>
      <c r="X94" s="132">
        <f>MIN(T94, T94+(INDEX('Pace of change parameters'!$E$27:$I$27,1,$B$5)-T94)*(1-W94))</f>
        <v>3.2992755077120454E-2</v>
      </c>
      <c r="Y94" s="132">
        <v>3.0058748869357776E-2</v>
      </c>
      <c r="Z94" s="108">
        <f t="shared" si="21"/>
        <v>554825</v>
      </c>
      <c r="AA94" s="97">
        <f>MIN(VLOOKUP(A94,'2019-20 disagg'!$A$12:$BB$220,54,FALSE),-2.5%)</f>
        <v>-2.5000000000000001E-2</v>
      </c>
      <c r="AB94" s="99">
        <f t="shared" si="13"/>
        <v>532895.55290324904</v>
      </c>
      <c r="AC94" s="99">
        <f>MAX(IF(INDEX('Pace of change parameters'!$E$29:$I$29,1,$B$5)=1,MAX(AB94,Z94),Z94),L94)</f>
        <v>554825</v>
      </c>
      <c r="AD94" s="97">
        <f t="shared" si="14"/>
        <v>3.8288435806985932E-2</v>
      </c>
      <c r="AE94" s="146">
        <v>3.5339388293212703E-2</v>
      </c>
      <c r="AF94" s="56">
        <f t="shared" si="22"/>
        <v>554825</v>
      </c>
      <c r="AG94" s="56">
        <v>1917.3624781678727</v>
      </c>
      <c r="AH94" s="16">
        <f t="shared" si="15"/>
        <v>3.8288435806985932E-2</v>
      </c>
      <c r="AI94" s="16">
        <f t="shared" si="16"/>
        <v>3.5339388293212703E-2</v>
      </c>
      <c r="AJ94" s="56"/>
      <c r="AK94" s="56">
        <v>546559.54143922986</v>
      </c>
      <c r="AL94" s="56">
        <v>1888.7987326458215</v>
      </c>
      <c r="AM94" s="16">
        <f t="shared" si="23"/>
        <v>1.5122704726744152E-2</v>
      </c>
      <c r="AN94" s="58">
        <f t="shared" si="23"/>
        <v>1.5122704726744152E-2</v>
      </c>
      <c r="AP94" s="56">
        <f t="shared" si="17"/>
        <v>1</v>
      </c>
      <c r="AQ94" s="56">
        <f t="shared" si="18"/>
        <v>0</v>
      </c>
    </row>
    <row r="95" spans="1:43" x14ac:dyDescent="0.2">
      <c r="A95" s="156" t="s">
        <v>235</v>
      </c>
      <c r="B95" s="156" t="s">
        <v>236</v>
      </c>
      <c r="D95" s="68">
        <f>VLOOKUP(A95,'2019-20 disagg'!A95:AZ303,43,FALSE)</f>
        <v>290480</v>
      </c>
      <c r="E95" s="73">
        <v>1598.4660944620823</v>
      </c>
      <c r="F95" s="55"/>
      <c r="G95" s="88">
        <v>295966.6073854632</v>
      </c>
      <c r="H95" s="81">
        <v>1622.715468256225</v>
      </c>
      <c r="I95" s="90"/>
      <c r="J95" s="103">
        <f t="shared" si="19"/>
        <v>-1.8537927078771776E-2</v>
      </c>
      <c r="K95" s="126">
        <f t="shared" si="19"/>
        <v>-1.4943700401279347E-2</v>
      </c>
      <c r="L95" s="56">
        <v>301649</v>
      </c>
      <c r="M95" s="103">
        <v>2.8258752899363415E-2</v>
      </c>
      <c r="N95" s="97">
        <f>INDEX('Pace of change parameters'!$E$22:$I$22,1,$B$5)</f>
        <v>2.4506891160555818E-2</v>
      </c>
      <c r="O95" s="108">
        <f>MAX(IF(INDEX('Pace of change parameters'!$E$30:$I$30,1,$B$5)=1,(1+M95)*D95,D95),L95)</f>
        <v>301649</v>
      </c>
      <c r="P95" s="94">
        <f>IF(K95&lt;INDEX('Pace of change parameters'!$E$18:$I$18,1,$B$5),1,IF(K95&gt;INDEX('Pace of change parameters'!$E$19:$I$19,1,$B$5),0,(K95-INDEX('Pace of change parameters'!$E$19:$I$19,1,$B$5))/(INDEX('Pace of change parameters'!$E$18:$I$18,1,$B$5)-INDEX('Pace of change parameters'!$E$19:$I$19,1,$B$5))))</f>
        <v>0.70294278233421859</v>
      </c>
      <c r="Q95" s="57">
        <v>3.9612715402920218E-2</v>
      </c>
      <c r="R95" s="57">
        <v>3.5819425864562104E-2</v>
      </c>
      <c r="S95" s="9">
        <f>MAX(IF(INDEX('Pace of change parameters'!$E$31:$I$31,1,$B$5)=1,D95*(1+Q95),D95),L95)</f>
        <v>301986.70157024026</v>
      </c>
      <c r="T95" s="103">
        <f>IF(Q95&lt;INDEX('Pace of change parameters'!$E$24:$I$24,1,$B$5),INDEX('Pace of change parameters'!$E$24:$I$24,1,$B$5),Q95)</f>
        <v>3.9612715402920218E-2</v>
      </c>
      <c r="U95" s="132">
        <v>3.5819425864562104E-2</v>
      </c>
      <c r="V95" s="117">
        <f t="shared" si="20"/>
        <v>301986.70157024026</v>
      </c>
      <c r="W95" s="131">
        <f>IF(J95&gt;INDEX('Pace of change parameters'!$E$26:$I$26,1,$B$5),0,IF(J95&lt;INDEX('Pace of change parameters'!$E$25:$I$25,1,$B$5),1,(J95-INDEX('Pace of change parameters'!$E$26:$I$26,1,$B$5))/(INDEX('Pace of change parameters'!$E$25:$I$25,1,$B$5)-INDEX('Pace of change parameters'!$E$26:$I$26,1,$B$5))))</f>
        <v>1</v>
      </c>
      <c r="X95" s="132">
        <f>MIN(T95, T95+(INDEX('Pace of change parameters'!$E$27:$I$27,1,$B$5)-T95)*(1-W95))</f>
        <v>3.9612715402920218E-2</v>
      </c>
      <c r="Y95" s="132">
        <v>3.5819425864562104E-2</v>
      </c>
      <c r="Z95" s="108">
        <f t="shared" si="21"/>
        <v>301986.70157024026</v>
      </c>
      <c r="AA95" s="97">
        <f>MIN(VLOOKUP(A95,'2019-20 disagg'!$A$12:$BB$220,54,FALSE),-2.5%)</f>
        <v>-2.5000000000000001E-2</v>
      </c>
      <c r="AB95" s="99">
        <f t="shared" si="13"/>
        <v>300320.12996779016</v>
      </c>
      <c r="AC95" s="99">
        <f>MAX(IF(INDEX('Pace of change parameters'!$E$29:$I$29,1,$B$5)=1,MAX(AB95,Z95),Z95),L95)</f>
        <v>301986.70157024026</v>
      </c>
      <c r="AD95" s="97">
        <f t="shared" si="14"/>
        <v>3.9612715402920218E-2</v>
      </c>
      <c r="AE95" s="146">
        <v>3.5819425864562104E-2</v>
      </c>
      <c r="AF95" s="56">
        <f t="shared" si="22"/>
        <v>301986.70157024026</v>
      </c>
      <c r="AG95" s="56">
        <v>1655.722232229683</v>
      </c>
      <c r="AH95" s="16">
        <f t="shared" si="15"/>
        <v>3.9612715402920218E-2</v>
      </c>
      <c r="AI95" s="16">
        <f t="shared" si="16"/>
        <v>3.5819425864562104E-2</v>
      </c>
      <c r="AJ95" s="56"/>
      <c r="AK95" s="56">
        <v>308020.64612081042</v>
      </c>
      <c r="AL95" s="56">
        <v>1688.8049345091949</v>
      </c>
      <c r="AM95" s="16">
        <f t="shared" si="23"/>
        <v>-1.9589415925721942E-2</v>
      </c>
      <c r="AN95" s="58">
        <f t="shared" si="23"/>
        <v>-1.9589415925721831E-2</v>
      </c>
      <c r="AP95" s="56">
        <f t="shared" si="17"/>
        <v>0</v>
      </c>
      <c r="AQ95" s="56">
        <f t="shared" si="18"/>
        <v>0</v>
      </c>
    </row>
    <row r="96" spans="1:43" x14ac:dyDescent="0.2">
      <c r="A96" s="156" t="s">
        <v>237</v>
      </c>
      <c r="B96" s="156" t="s">
        <v>238</v>
      </c>
      <c r="D96" s="68">
        <f>VLOOKUP(A96,'2019-20 disagg'!A96:AZ304,43,FALSE)</f>
        <v>514351</v>
      </c>
      <c r="E96" s="73">
        <v>1811.4724778325367</v>
      </c>
      <c r="F96" s="55"/>
      <c r="G96" s="88">
        <v>494260.1290815064</v>
      </c>
      <c r="H96" s="81">
        <v>1731.9863692404329</v>
      </c>
      <c r="I96" s="90"/>
      <c r="J96" s="103">
        <f t="shared" si="19"/>
        <v>4.0648374684457922E-2</v>
      </c>
      <c r="K96" s="126">
        <f t="shared" si="19"/>
        <v>4.5893033573331632E-2</v>
      </c>
      <c r="L96" s="56">
        <v>533507</v>
      </c>
      <c r="M96" s="103">
        <v>2.9670200213017139E-2</v>
      </c>
      <c r="N96" s="97">
        <f>INDEX('Pace of change parameters'!$E$22:$I$22,1,$B$5)</f>
        <v>2.4506891160555818E-2</v>
      </c>
      <c r="O96" s="108">
        <f>MAX(IF(INDEX('Pace of change parameters'!$E$30:$I$30,1,$B$5)=1,(1+M96)*D96,D96),L96)</f>
        <v>533507</v>
      </c>
      <c r="P96" s="94">
        <f>IF(K96&lt;INDEX('Pace of change parameters'!$E$18:$I$18,1,$B$5),1,IF(K96&gt;INDEX('Pace of change parameters'!$E$19:$I$19,1,$B$5),0,(K96-INDEX('Pace of change parameters'!$E$19:$I$19,1,$B$5))/(INDEX('Pace of change parameters'!$E$18:$I$18,1,$B$5)-INDEX('Pace of change parameters'!$E$19:$I$19,1,$B$5))))</f>
        <v>0</v>
      </c>
      <c r="Q96" s="57">
        <v>2.9670200213017139E-2</v>
      </c>
      <c r="R96" s="57">
        <v>2.450689116055571E-2</v>
      </c>
      <c r="S96" s="9">
        <f>MAX(IF(INDEX('Pace of change parameters'!$E$31:$I$31,1,$B$5)=1,D96*(1+Q96),D96),L96)</f>
        <v>533507</v>
      </c>
      <c r="T96" s="103">
        <f>IF(Q96&lt;INDEX('Pace of change parameters'!$E$24:$I$24,1,$B$5),INDEX('Pace of change parameters'!$E$24:$I$24,1,$B$5),Q96)</f>
        <v>3.2992755077120454E-2</v>
      </c>
      <c r="U96" s="132">
        <v>2.7812784983479499E-2</v>
      </c>
      <c r="V96" s="117">
        <f t="shared" si="20"/>
        <v>533507</v>
      </c>
      <c r="W96" s="131">
        <f>IF(J96&gt;INDEX('Pace of change parameters'!$E$26:$I$26,1,$B$5),0,IF(J96&lt;INDEX('Pace of change parameters'!$E$25:$I$25,1,$B$5),1,(J96-INDEX('Pace of change parameters'!$E$26:$I$26,1,$B$5))/(INDEX('Pace of change parameters'!$E$25:$I$25,1,$B$5)-INDEX('Pace of change parameters'!$E$26:$I$26,1,$B$5))))</f>
        <v>1</v>
      </c>
      <c r="X96" s="132">
        <f>MIN(T96, T96+(INDEX('Pace of change parameters'!$E$27:$I$27,1,$B$5)-T96)*(1-W96))</f>
        <v>3.2992755077120454E-2</v>
      </c>
      <c r="Y96" s="132">
        <v>2.7812784983479499E-2</v>
      </c>
      <c r="Z96" s="108">
        <f t="shared" si="21"/>
        <v>533507</v>
      </c>
      <c r="AA96" s="97">
        <f>MIN(VLOOKUP(A96,'2019-20 disagg'!$A$12:$BB$220,54,FALSE),-2.5%)</f>
        <v>-2.5000000000000001E-2</v>
      </c>
      <c r="AB96" s="99">
        <f t="shared" si="13"/>
        <v>501559.79157217854</v>
      </c>
      <c r="AC96" s="99">
        <f>MAX(IF(INDEX('Pace of change parameters'!$E$29:$I$29,1,$B$5)=1,MAX(AB96,Z96),Z96),L96)</f>
        <v>533507</v>
      </c>
      <c r="AD96" s="97">
        <f t="shared" si="14"/>
        <v>3.7243049979488685E-2</v>
      </c>
      <c r="AE96" s="146">
        <v>3.2041766667167959E-2</v>
      </c>
      <c r="AF96" s="56">
        <f t="shared" si="22"/>
        <v>533507</v>
      </c>
      <c r="AG96" s="56">
        <v>1869.5152562912438</v>
      </c>
      <c r="AH96" s="16">
        <f t="shared" si="15"/>
        <v>3.7243049979488685E-2</v>
      </c>
      <c r="AI96" s="16">
        <f t="shared" si="16"/>
        <v>3.2041766667168181E-2</v>
      </c>
      <c r="AJ96" s="56"/>
      <c r="AK96" s="56">
        <v>514420.29904838826</v>
      </c>
      <c r="AL96" s="56">
        <v>1802.6316378545471</v>
      </c>
      <c r="AM96" s="16">
        <f t="shared" si="23"/>
        <v>3.7103319964083337E-2</v>
      </c>
      <c r="AN96" s="58">
        <f t="shared" si="23"/>
        <v>3.7103319964083337E-2</v>
      </c>
      <c r="AP96" s="56">
        <f t="shared" si="17"/>
        <v>1</v>
      </c>
      <c r="AQ96" s="56">
        <f t="shared" si="18"/>
        <v>0</v>
      </c>
    </row>
    <row r="97" spans="1:43" x14ac:dyDescent="0.2">
      <c r="A97" s="156" t="s">
        <v>239</v>
      </c>
      <c r="B97" s="156" t="s">
        <v>240</v>
      </c>
      <c r="D97" s="68">
        <f>VLOOKUP(A97,'2019-20 disagg'!A97:AZ305,43,FALSE)</f>
        <v>316378</v>
      </c>
      <c r="E97" s="73">
        <v>1664.2227966718924</v>
      </c>
      <c r="F97" s="55"/>
      <c r="G97" s="88">
        <v>322482.81197410473</v>
      </c>
      <c r="H97" s="81">
        <v>1687.5107449915859</v>
      </c>
      <c r="I97" s="90"/>
      <c r="J97" s="103">
        <f t="shared" si="19"/>
        <v>-1.893065846434927E-2</v>
      </c>
      <c r="K97" s="126">
        <f t="shared" si="19"/>
        <v>-1.3800177799643931E-2</v>
      </c>
      <c r="L97" s="56">
        <v>328618</v>
      </c>
      <c r="M97" s="103">
        <v>2.9864527541006547E-2</v>
      </c>
      <c r="N97" s="97">
        <f>INDEX('Pace of change parameters'!$E$22:$I$22,1,$B$5)</f>
        <v>2.4506891160555818E-2</v>
      </c>
      <c r="O97" s="108">
        <f>MAX(IF(INDEX('Pace of change parameters'!$E$30:$I$30,1,$B$5)=1,(1+M97)*D97,D97),L97)</f>
        <v>328618</v>
      </c>
      <c r="P97" s="94">
        <f>IF(K97&lt;INDEX('Pace of change parameters'!$E$18:$I$18,1,$B$5),1,IF(K97&gt;INDEX('Pace of change parameters'!$E$19:$I$19,1,$B$5),0,(K97-INDEX('Pace of change parameters'!$E$19:$I$19,1,$B$5))/(INDEX('Pace of change parameters'!$E$18:$I$18,1,$B$5)-INDEX('Pace of change parameters'!$E$19:$I$19,1,$B$5))))</f>
        <v>0.66543390371587652</v>
      </c>
      <c r="Q97" s="57">
        <v>4.0629429738543887E-2</v>
      </c>
      <c r="R97" s="57">
        <v>3.5215791398511609E-2</v>
      </c>
      <c r="S97" s="9">
        <f>MAX(IF(INDEX('Pace of change parameters'!$E$31:$I$31,1,$B$5)=1,D97*(1+Q97),D97),L97)</f>
        <v>329232.25772182102</v>
      </c>
      <c r="T97" s="103">
        <f>IF(Q97&lt;INDEX('Pace of change parameters'!$E$24:$I$24,1,$B$5),INDEX('Pace of change parameters'!$E$24:$I$24,1,$B$5),Q97)</f>
        <v>4.0629429738543887E-2</v>
      </c>
      <c r="U97" s="132">
        <v>3.5215791398511609E-2</v>
      </c>
      <c r="V97" s="117">
        <f t="shared" si="20"/>
        <v>329232.25772182102</v>
      </c>
      <c r="W97" s="131">
        <f>IF(J97&gt;INDEX('Pace of change parameters'!$E$26:$I$26,1,$B$5),0,IF(J97&lt;INDEX('Pace of change parameters'!$E$25:$I$25,1,$B$5),1,(J97-INDEX('Pace of change parameters'!$E$26:$I$26,1,$B$5))/(INDEX('Pace of change parameters'!$E$25:$I$25,1,$B$5)-INDEX('Pace of change parameters'!$E$26:$I$26,1,$B$5))))</f>
        <v>1</v>
      </c>
      <c r="X97" s="132">
        <f>MIN(T97, T97+(INDEX('Pace of change parameters'!$E$27:$I$27,1,$B$5)-T97)*(1-W97))</f>
        <v>4.0629429738543887E-2</v>
      </c>
      <c r="Y97" s="132">
        <v>3.5215791398511609E-2</v>
      </c>
      <c r="Z97" s="108">
        <f t="shared" si="21"/>
        <v>329232.25772182102</v>
      </c>
      <c r="AA97" s="97">
        <f>MIN(VLOOKUP(A97,'2019-20 disagg'!$A$12:$BB$220,54,FALSE),-2.5%)</f>
        <v>-2.5000000000000001E-2</v>
      </c>
      <c r="AB97" s="99">
        <f t="shared" si="13"/>
        <v>327182.0411403976</v>
      </c>
      <c r="AC97" s="99">
        <f>MAX(IF(INDEX('Pace of change parameters'!$E$29:$I$29,1,$B$5)=1,MAX(AB97,Z97),Z97),L97)</f>
        <v>329232.25772182102</v>
      </c>
      <c r="AD97" s="97">
        <f t="shared" si="14"/>
        <v>4.0629429738543887E-2</v>
      </c>
      <c r="AE97" s="146">
        <v>3.5215791398511609E-2</v>
      </c>
      <c r="AF97" s="56">
        <f t="shared" si="22"/>
        <v>329232.25772182102</v>
      </c>
      <c r="AG97" s="56">
        <v>1722.8297195201374</v>
      </c>
      <c r="AH97" s="16">
        <f t="shared" si="15"/>
        <v>4.0629429738543887E-2</v>
      </c>
      <c r="AI97" s="16">
        <f t="shared" si="16"/>
        <v>3.5215791398511609E-2</v>
      </c>
      <c r="AJ97" s="56"/>
      <c r="AK97" s="56">
        <v>335571.32424656168</v>
      </c>
      <c r="AL97" s="56">
        <v>1756.0012327807428</v>
      </c>
      <c r="AM97" s="16">
        <f t="shared" si="23"/>
        <v>-1.8890370144032387E-2</v>
      </c>
      <c r="AN97" s="58">
        <f t="shared" si="23"/>
        <v>-1.8890370144032387E-2</v>
      </c>
      <c r="AP97" s="56">
        <f t="shared" si="17"/>
        <v>0</v>
      </c>
      <c r="AQ97" s="56">
        <f t="shared" si="18"/>
        <v>0</v>
      </c>
    </row>
    <row r="98" spans="1:43" x14ac:dyDescent="0.2">
      <c r="A98" s="156" t="s">
        <v>241</v>
      </c>
      <c r="B98" s="156" t="s">
        <v>242</v>
      </c>
      <c r="D98" s="68">
        <f>VLOOKUP(A98,'2019-20 disagg'!A98:AZ306,43,FALSE)</f>
        <v>479643</v>
      </c>
      <c r="E98" s="73">
        <v>1764.7002954452321</v>
      </c>
      <c r="F98" s="55"/>
      <c r="G98" s="88">
        <v>485942.92462266178</v>
      </c>
      <c r="H98" s="81">
        <v>1781.2360188604944</v>
      </c>
      <c r="I98" s="90"/>
      <c r="J98" s="103">
        <f t="shared" si="19"/>
        <v>-1.2964330384177769E-2</v>
      </c>
      <c r="K98" s="126">
        <f t="shared" si="19"/>
        <v>-9.2832860104864467E-3</v>
      </c>
      <c r="L98" s="56">
        <v>498132</v>
      </c>
      <c r="M98" s="103">
        <v>2.8327680462914229E-2</v>
      </c>
      <c r="N98" s="97">
        <f>INDEX('Pace of change parameters'!$E$22:$I$22,1,$B$5)</f>
        <v>2.4506891160555818E-2</v>
      </c>
      <c r="O98" s="108">
        <f>MAX(IF(INDEX('Pace of change parameters'!$E$30:$I$30,1,$B$5)=1,(1+M98)*D98,D98),L98)</f>
        <v>498132</v>
      </c>
      <c r="P98" s="94">
        <f>IF(K98&lt;INDEX('Pace of change parameters'!$E$18:$I$18,1,$B$5),1,IF(K98&gt;INDEX('Pace of change parameters'!$E$19:$I$19,1,$B$5),0,(K98-INDEX('Pace of change parameters'!$E$19:$I$19,1,$B$5))/(INDEX('Pace of change parameters'!$E$18:$I$18,1,$B$5)-INDEX('Pace of change parameters'!$E$19:$I$19,1,$B$5))))</f>
        <v>0.51727457078324224</v>
      </c>
      <c r="Q98" s="57">
        <v>3.6683281975010695E-2</v>
      </c>
      <c r="R98" s="57">
        <v>3.2831447128047309E-2</v>
      </c>
      <c r="S98" s="9">
        <f>MAX(IF(INDEX('Pace of change parameters'!$E$31:$I$31,1,$B$5)=1,D98*(1+Q98),D98),L98)</f>
        <v>498132</v>
      </c>
      <c r="T98" s="103">
        <f>IF(Q98&lt;INDEX('Pace of change parameters'!$E$24:$I$24,1,$B$5),INDEX('Pace of change parameters'!$E$24:$I$24,1,$B$5),Q98)</f>
        <v>3.6683281975010695E-2</v>
      </c>
      <c r="U98" s="132">
        <v>3.2831447128047309E-2</v>
      </c>
      <c r="V98" s="117">
        <f t="shared" si="20"/>
        <v>498132</v>
      </c>
      <c r="W98" s="131">
        <f>IF(J98&gt;INDEX('Pace of change parameters'!$E$26:$I$26,1,$B$5),0,IF(J98&lt;INDEX('Pace of change parameters'!$E$25:$I$25,1,$B$5),1,(J98-INDEX('Pace of change parameters'!$E$26:$I$26,1,$B$5))/(INDEX('Pace of change parameters'!$E$25:$I$25,1,$B$5)-INDEX('Pace of change parameters'!$E$26:$I$26,1,$B$5))))</f>
        <v>1</v>
      </c>
      <c r="X98" s="132">
        <f>MIN(T98, T98+(INDEX('Pace of change parameters'!$E$27:$I$27,1,$B$5)-T98)*(1-W98))</f>
        <v>3.6683281975010695E-2</v>
      </c>
      <c r="Y98" s="132">
        <v>3.2831447128047309E-2</v>
      </c>
      <c r="Z98" s="108">
        <f t="shared" si="21"/>
        <v>498132</v>
      </c>
      <c r="AA98" s="97">
        <f>MIN(VLOOKUP(A98,'2019-20 disagg'!$A$12:$BB$220,54,FALSE),-2.5%)</f>
        <v>-2.5000000000000001E-2</v>
      </c>
      <c r="AB98" s="99">
        <f t="shared" si="13"/>
        <v>493137.80351367121</v>
      </c>
      <c r="AC98" s="99">
        <f>MAX(IF(INDEX('Pace of change parameters'!$E$29:$I$29,1,$B$5)=1,MAX(AB98,Z98),Z98),L98)</f>
        <v>498132</v>
      </c>
      <c r="AD98" s="97">
        <f t="shared" si="14"/>
        <v>3.8547419643359726E-2</v>
      </c>
      <c r="AE98" s="146">
        <v>3.4688658524356208E-2</v>
      </c>
      <c r="AF98" s="56">
        <f t="shared" si="22"/>
        <v>498132</v>
      </c>
      <c r="AG98" s="56">
        <v>1825.9153813917621</v>
      </c>
      <c r="AH98" s="16">
        <f t="shared" si="15"/>
        <v>3.8547419643359726E-2</v>
      </c>
      <c r="AI98" s="16">
        <f t="shared" si="16"/>
        <v>3.4688658524356208E-2</v>
      </c>
      <c r="AJ98" s="56"/>
      <c r="AK98" s="56">
        <v>505782.36257812433</v>
      </c>
      <c r="AL98" s="56">
        <v>1853.9579779417152</v>
      </c>
      <c r="AM98" s="16">
        <f t="shared" si="23"/>
        <v>-1.5125799442922694E-2</v>
      </c>
      <c r="AN98" s="58">
        <f t="shared" si="23"/>
        <v>-1.5125799442922805E-2</v>
      </c>
      <c r="AP98" s="56">
        <f t="shared" si="17"/>
        <v>1</v>
      </c>
      <c r="AQ98" s="56">
        <f t="shared" si="18"/>
        <v>0</v>
      </c>
    </row>
    <row r="99" spans="1:43" x14ac:dyDescent="0.2">
      <c r="A99" s="156" t="s">
        <v>243</v>
      </c>
      <c r="B99" s="156" t="s">
        <v>244</v>
      </c>
      <c r="D99" s="68">
        <f>VLOOKUP(A99,'2019-20 disagg'!A99:AZ307,43,FALSE)</f>
        <v>188675</v>
      </c>
      <c r="E99" s="73">
        <v>1640.0758533399132</v>
      </c>
      <c r="F99" s="55"/>
      <c r="G99" s="88">
        <v>191180.40485226954</v>
      </c>
      <c r="H99" s="81">
        <v>1658.2909988091596</v>
      </c>
      <c r="I99" s="90"/>
      <c r="J99" s="103">
        <f t="shared" si="19"/>
        <v>-1.3104924922643257E-2</v>
      </c>
      <c r="K99" s="126">
        <f t="shared" si="19"/>
        <v>-1.0984287728949216E-2</v>
      </c>
      <c r="L99" s="56">
        <v>195826</v>
      </c>
      <c r="M99" s="103">
        <v>2.6708348512463731E-2</v>
      </c>
      <c r="N99" s="97">
        <f>INDEX('Pace of change parameters'!$E$22:$I$22,1,$B$5)</f>
        <v>2.4506891160555818E-2</v>
      </c>
      <c r="O99" s="108">
        <f>MAX(IF(INDEX('Pace of change parameters'!$E$30:$I$30,1,$B$5)=1,(1+M99)*D99,D99),L99)</f>
        <v>195826</v>
      </c>
      <c r="P99" s="94">
        <f>IF(K99&lt;INDEX('Pace of change parameters'!$E$18:$I$18,1,$B$5),1,IF(K99&gt;INDEX('Pace of change parameters'!$E$19:$I$19,1,$B$5),0,(K99-INDEX('Pace of change parameters'!$E$19:$I$19,1,$B$5))/(INDEX('Pace of change parameters'!$E$18:$I$18,1,$B$5)-INDEX('Pace of change parameters'!$E$19:$I$19,1,$B$5))))</f>
        <v>0.57306941637366904</v>
      </c>
      <c r="Q99" s="57">
        <v>3.5950634215505817E-2</v>
      </c>
      <c r="R99" s="57">
        <v>3.3729359650814139E-2</v>
      </c>
      <c r="S99" s="9">
        <f>MAX(IF(INDEX('Pace of change parameters'!$E$31:$I$31,1,$B$5)=1,D99*(1+Q99),D99),L99)</f>
        <v>195826</v>
      </c>
      <c r="T99" s="103">
        <f>IF(Q99&lt;INDEX('Pace of change parameters'!$E$24:$I$24,1,$B$5),INDEX('Pace of change parameters'!$E$24:$I$24,1,$B$5),Q99)</f>
        <v>3.5950634215505817E-2</v>
      </c>
      <c r="U99" s="132">
        <v>3.3729359650814139E-2</v>
      </c>
      <c r="V99" s="117">
        <f t="shared" si="20"/>
        <v>195826</v>
      </c>
      <c r="W99" s="131">
        <f>IF(J99&gt;INDEX('Pace of change parameters'!$E$26:$I$26,1,$B$5),0,IF(J99&lt;INDEX('Pace of change parameters'!$E$25:$I$25,1,$B$5),1,(J99-INDEX('Pace of change parameters'!$E$26:$I$26,1,$B$5))/(INDEX('Pace of change parameters'!$E$25:$I$25,1,$B$5)-INDEX('Pace of change parameters'!$E$26:$I$26,1,$B$5))))</f>
        <v>1</v>
      </c>
      <c r="X99" s="132">
        <f>MIN(T99, T99+(INDEX('Pace of change parameters'!$E$27:$I$27,1,$B$5)-T99)*(1-W99))</f>
        <v>3.5950634215505817E-2</v>
      </c>
      <c r="Y99" s="132">
        <v>3.3729359650814139E-2</v>
      </c>
      <c r="Z99" s="108">
        <f t="shared" si="21"/>
        <v>195826</v>
      </c>
      <c r="AA99" s="97">
        <f>MIN(VLOOKUP(A99,'2019-20 disagg'!$A$12:$BB$220,54,FALSE),-2.5%)</f>
        <v>-2.5000000000000001E-2</v>
      </c>
      <c r="AB99" s="99">
        <f t="shared" si="13"/>
        <v>193976.03108933801</v>
      </c>
      <c r="AC99" s="99">
        <f>MAX(IF(INDEX('Pace of change parameters'!$E$29:$I$29,1,$B$5)=1,MAX(AB99,Z99),Z99),L99)</f>
        <v>195826</v>
      </c>
      <c r="AD99" s="97">
        <f t="shared" si="14"/>
        <v>3.7901152775937419E-2</v>
      </c>
      <c r="AE99" s="146">
        <v>3.5675695929655138E-2</v>
      </c>
      <c r="AF99" s="56">
        <f t="shared" si="22"/>
        <v>195826</v>
      </c>
      <c r="AG99" s="56">
        <v>1698.5867007852373</v>
      </c>
      <c r="AH99" s="16">
        <f t="shared" si="15"/>
        <v>3.7901152775937419E-2</v>
      </c>
      <c r="AI99" s="16">
        <f t="shared" si="16"/>
        <v>3.5675695929654916E-2</v>
      </c>
      <c r="AJ99" s="56"/>
      <c r="AK99" s="56">
        <v>198949.7754762441</v>
      </c>
      <c r="AL99" s="56">
        <v>1725.6822012815314</v>
      </c>
      <c r="AM99" s="16">
        <f t="shared" si="23"/>
        <v>-1.5701326974440821E-2</v>
      </c>
      <c r="AN99" s="58">
        <f t="shared" si="23"/>
        <v>-1.5701326974440821E-2</v>
      </c>
      <c r="AP99" s="56">
        <f t="shared" si="17"/>
        <v>1</v>
      </c>
      <c r="AQ99" s="56">
        <f t="shared" si="18"/>
        <v>0</v>
      </c>
    </row>
    <row r="100" spans="1:43" x14ac:dyDescent="0.2">
      <c r="A100" s="156" t="s">
        <v>245</v>
      </c>
      <c r="B100" s="156" t="s">
        <v>246</v>
      </c>
      <c r="D100" s="68">
        <f>VLOOKUP(A100,'2019-20 disagg'!A100:AZ308,43,FALSE)</f>
        <v>128960</v>
      </c>
      <c r="E100" s="73">
        <v>1630.1646174424047</v>
      </c>
      <c r="F100" s="55"/>
      <c r="G100" s="88">
        <v>133641.47221269188</v>
      </c>
      <c r="H100" s="81">
        <v>1666.7146200512675</v>
      </c>
      <c r="I100" s="90"/>
      <c r="J100" s="103">
        <f t="shared" si="19"/>
        <v>-3.5030085610260775E-2</v>
      </c>
      <c r="K100" s="126">
        <f t="shared" si="19"/>
        <v>-2.1929370612791876E-2</v>
      </c>
      <c r="L100" s="56">
        <v>134112</v>
      </c>
      <c r="M100" s="103">
        <v>3.8415897642405605E-2</v>
      </c>
      <c r="N100" s="97">
        <f>INDEX('Pace of change parameters'!$E$22:$I$22,1,$B$5)</f>
        <v>2.4506891160555818E-2</v>
      </c>
      <c r="O100" s="108">
        <f>MAX(IF(INDEX('Pace of change parameters'!$E$30:$I$30,1,$B$5)=1,(1+M100)*D100,D100),L100)</f>
        <v>134112</v>
      </c>
      <c r="P100" s="94">
        <f>IF(K100&lt;INDEX('Pace of change parameters'!$E$18:$I$18,1,$B$5),1,IF(K100&gt;INDEX('Pace of change parameters'!$E$19:$I$19,1,$B$5),0,(K100-INDEX('Pace of change parameters'!$E$19:$I$19,1,$B$5))/(INDEX('Pace of change parameters'!$E$18:$I$18,1,$B$5)-INDEX('Pace of change parameters'!$E$19:$I$19,1,$B$5))))</f>
        <v>0.93208093461617159</v>
      </c>
      <c r="Q100" s="57">
        <v>5.36196230614161E-2</v>
      </c>
      <c r="R100" s="57">
        <v>3.9506971088504761E-2</v>
      </c>
      <c r="S100" s="9">
        <f>MAX(IF(INDEX('Pace of change parameters'!$E$31:$I$31,1,$B$5)=1,D100*(1+Q100),D100),L100)</f>
        <v>135874.78659000021</v>
      </c>
      <c r="T100" s="103">
        <f>IF(Q100&lt;INDEX('Pace of change parameters'!$E$24:$I$24,1,$B$5),INDEX('Pace of change parameters'!$E$24:$I$24,1,$B$5),Q100)</f>
        <v>5.36196230614161E-2</v>
      </c>
      <c r="U100" s="132">
        <v>3.9506971088504761E-2</v>
      </c>
      <c r="V100" s="117">
        <f t="shared" si="20"/>
        <v>135874.78659000021</v>
      </c>
      <c r="W100" s="131">
        <f>IF(J100&gt;INDEX('Pace of change parameters'!$E$26:$I$26,1,$B$5),0,IF(J100&lt;INDEX('Pace of change parameters'!$E$25:$I$25,1,$B$5),1,(J100-INDEX('Pace of change parameters'!$E$26:$I$26,1,$B$5))/(INDEX('Pace of change parameters'!$E$25:$I$25,1,$B$5)-INDEX('Pace of change parameters'!$E$26:$I$26,1,$B$5))))</f>
        <v>1</v>
      </c>
      <c r="X100" s="132">
        <f>MIN(T100, T100+(INDEX('Pace of change parameters'!$E$27:$I$27,1,$B$5)-T100)*(1-W100))</f>
        <v>5.36196230614161E-2</v>
      </c>
      <c r="Y100" s="132">
        <v>3.9506971088504761E-2</v>
      </c>
      <c r="Z100" s="108">
        <f t="shared" si="21"/>
        <v>135874.78659000021</v>
      </c>
      <c r="AA100" s="97">
        <f>MIN(VLOOKUP(A100,'2019-20 disagg'!$A$12:$BB$220,54,FALSE),-2.5%)</f>
        <v>-2.8483150503225585E-2</v>
      </c>
      <c r="AB100" s="99">
        <f t="shared" si="13"/>
        <v>135055.49066105165</v>
      </c>
      <c r="AC100" s="99">
        <f>MAX(IF(INDEX('Pace of change parameters'!$E$29:$I$29,1,$B$5)=1,MAX(AB100,Z100),Z100),L100)</f>
        <v>135874.78659000021</v>
      </c>
      <c r="AD100" s="97">
        <f t="shared" si="14"/>
        <v>5.36196230614161E-2</v>
      </c>
      <c r="AE100" s="146">
        <v>3.9506971088504761E-2</v>
      </c>
      <c r="AF100" s="56">
        <f t="shared" si="22"/>
        <v>135874.78659000021</v>
      </c>
      <c r="AG100" s="56">
        <v>1694.567483853205</v>
      </c>
      <c r="AH100" s="16">
        <f t="shared" si="15"/>
        <v>5.36196230614161E-2</v>
      </c>
      <c r="AI100" s="16">
        <f t="shared" si="16"/>
        <v>3.9506971088504539E-2</v>
      </c>
      <c r="AJ100" s="56"/>
      <c r="AK100" s="56">
        <v>139015.07805140753</v>
      </c>
      <c r="AL100" s="56">
        <v>1733.7317462882954</v>
      </c>
      <c r="AM100" s="16">
        <f t="shared" si="23"/>
        <v>-2.2589574493826148E-2</v>
      </c>
      <c r="AN100" s="58">
        <f t="shared" si="23"/>
        <v>-2.2589574493825926E-2</v>
      </c>
      <c r="AP100" s="56">
        <f t="shared" si="17"/>
        <v>0</v>
      </c>
      <c r="AQ100" s="56">
        <f t="shared" si="18"/>
        <v>0</v>
      </c>
    </row>
    <row r="101" spans="1:43" x14ac:dyDescent="0.2">
      <c r="A101" s="156" t="s">
        <v>247</v>
      </c>
      <c r="B101" s="156" t="s">
        <v>248</v>
      </c>
      <c r="D101" s="68">
        <f>VLOOKUP(A101,'2019-20 disagg'!A101:AZ309,43,FALSE)</f>
        <v>500929</v>
      </c>
      <c r="E101" s="73">
        <v>1512.2818088195388</v>
      </c>
      <c r="F101" s="55"/>
      <c r="G101" s="88">
        <v>509009.04336592887</v>
      </c>
      <c r="H101" s="81">
        <v>1527.9585529974609</v>
      </c>
      <c r="I101" s="90"/>
      <c r="J101" s="103">
        <f t="shared" si="19"/>
        <v>-1.5874066426203148E-2</v>
      </c>
      <c r="K101" s="126">
        <f t="shared" si="19"/>
        <v>-1.0259927631654842E-2</v>
      </c>
      <c r="L101" s="56">
        <v>520370</v>
      </c>
      <c r="M101" s="103">
        <v>3.0351391022539254E-2</v>
      </c>
      <c r="N101" s="97">
        <f>INDEX('Pace of change parameters'!$E$22:$I$22,1,$B$5)</f>
        <v>2.4506891160555818E-2</v>
      </c>
      <c r="O101" s="108">
        <f>MAX(IF(INDEX('Pace of change parameters'!$E$30:$I$30,1,$B$5)=1,(1+M101)*D101,D101),L101)</f>
        <v>520370</v>
      </c>
      <c r="P101" s="94">
        <f>IF(K101&lt;INDEX('Pace of change parameters'!$E$18:$I$18,1,$B$5),1,IF(K101&gt;INDEX('Pace of change parameters'!$E$19:$I$19,1,$B$5),0,(K101-INDEX('Pace of change parameters'!$E$19:$I$19,1,$B$5))/(INDEX('Pace of change parameters'!$E$18:$I$18,1,$B$5)-INDEX('Pace of change parameters'!$E$19:$I$19,1,$B$5))))</f>
        <v>0.5493095580844426</v>
      </c>
      <c r="Q101" s="57">
        <v>3.9241919597587716E-2</v>
      </c>
      <c r="R101" s="57">
        <v>3.3346989665355764E-2</v>
      </c>
      <c r="S101" s="9">
        <f>MAX(IF(INDEX('Pace of change parameters'!$E$31:$I$31,1,$B$5)=1,D101*(1+Q101),D101),L101)</f>
        <v>520586.41554210003</v>
      </c>
      <c r="T101" s="103">
        <f>IF(Q101&lt;INDEX('Pace of change parameters'!$E$24:$I$24,1,$B$5),INDEX('Pace of change parameters'!$E$24:$I$24,1,$B$5),Q101)</f>
        <v>3.9241919597587716E-2</v>
      </c>
      <c r="U101" s="132">
        <v>3.3346989665355764E-2</v>
      </c>
      <c r="V101" s="117">
        <f t="shared" si="20"/>
        <v>520586.41554210003</v>
      </c>
      <c r="W101" s="131">
        <f>IF(J101&gt;INDEX('Pace of change parameters'!$E$26:$I$26,1,$B$5),0,IF(J101&lt;INDEX('Pace of change parameters'!$E$25:$I$25,1,$B$5),1,(J101-INDEX('Pace of change parameters'!$E$26:$I$26,1,$B$5))/(INDEX('Pace of change parameters'!$E$25:$I$25,1,$B$5)-INDEX('Pace of change parameters'!$E$26:$I$26,1,$B$5))))</f>
        <v>1</v>
      </c>
      <c r="X101" s="132">
        <f>MIN(T101, T101+(INDEX('Pace of change parameters'!$E$27:$I$27,1,$B$5)-T101)*(1-W101))</f>
        <v>3.9241919597587716E-2</v>
      </c>
      <c r="Y101" s="132">
        <v>3.3346989665355764E-2</v>
      </c>
      <c r="Z101" s="108">
        <f t="shared" si="21"/>
        <v>520586.41554210003</v>
      </c>
      <c r="AA101" s="97">
        <f>MIN(VLOOKUP(A101,'2019-20 disagg'!$A$12:$BB$220,54,FALSE),-2.5%)</f>
        <v>-2.5000000000000001E-2</v>
      </c>
      <c r="AB101" s="99">
        <f t="shared" si="13"/>
        <v>516479.89938891708</v>
      </c>
      <c r="AC101" s="99">
        <f>MAX(IF(INDEX('Pace of change parameters'!$E$29:$I$29,1,$B$5)=1,MAX(AB101,Z101),Z101),L101)</f>
        <v>520586.41554210003</v>
      </c>
      <c r="AD101" s="97">
        <f t="shared" si="14"/>
        <v>3.9241919597587716E-2</v>
      </c>
      <c r="AE101" s="146">
        <v>3.3346989665355764E-2</v>
      </c>
      <c r="AF101" s="56">
        <f t="shared" si="22"/>
        <v>520586.41554210003</v>
      </c>
      <c r="AG101" s="56">
        <v>1562.7118546693493</v>
      </c>
      <c r="AH101" s="16">
        <f t="shared" si="15"/>
        <v>3.9241919597587716E-2</v>
      </c>
      <c r="AI101" s="16">
        <f t="shared" si="16"/>
        <v>3.3346989665355764E-2</v>
      </c>
      <c r="AJ101" s="56"/>
      <c r="AK101" s="56">
        <v>529722.97373222269</v>
      </c>
      <c r="AL101" s="56">
        <v>1590.1382479987126</v>
      </c>
      <c r="AM101" s="16">
        <f t="shared" si="23"/>
        <v>-1.7247804311279924E-2</v>
      </c>
      <c r="AN101" s="58">
        <f t="shared" si="23"/>
        <v>-1.7247804311279924E-2</v>
      </c>
      <c r="AP101" s="56">
        <f t="shared" si="17"/>
        <v>0</v>
      </c>
      <c r="AQ101" s="56">
        <f t="shared" si="18"/>
        <v>0</v>
      </c>
    </row>
    <row r="102" spans="1:43" x14ac:dyDescent="0.2">
      <c r="A102" s="156" t="s">
        <v>249</v>
      </c>
      <c r="B102" s="156" t="s">
        <v>250</v>
      </c>
      <c r="D102" s="68">
        <f>VLOOKUP(A102,'2019-20 disagg'!A102:AZ310,43,FALSE)</f>
        <v>169478</v>
      </c>
      <c r="E102" s="73">
        <v>1702.6733222404241</v>
      </c>
      <c r="F102" s="55"/>
      <c r="G102" s="88">
        <v>168913.38122681377</v>
      </c>
      <c r="H102" s="81">
        <v>1687.7665882997944</v>
      </c>
      <c r="I102" s="90"/>
      <c r="J102" s="103">
        <f t="shared" si="19"/>
        <v>3.3426527199054146E-3</v>
      </c>
      <c r="K102" s="126">
        <f t="shared" si="19"/>
        <v>8.8322248135308534E-3</v>
      </c>
      <c r="L102" s="56">
        <v>176006</v>
      </c>
      <c r="M102" s="103">
        <v>3.011225880260282E-2</v>
      </c>
      <c r="N102" s="97">
        <f>INDEX('Pace of change parameters'!$E$22:$I$22,1,$B$5)</f>
        <v>2.4506891160555818E-2</v>
      </c>
      <c r="O102" s="108">
        <f>MAX(IF(INDEX('Pace of change parameters'!$E$30:$I$30,1,$B$5)=1,(1+M102)*D102,D102),L102)</f>
        <v>176006</v>
      </c>
      <c r="P102" s="94">
        <f>IF(K102&lt;INDEX('Pace of change parameters'!$E$18:$I$18,1,$B$5),1,IF(K102&gt;INDEX('Pace of change parameters'!$E$19:$I$19,1,$B$5),0,(K102-INDEX('Pace of change parameters'!$E$19:$I$19,1,$B$5))/(INDEX('Pace of change parameters'!$E$18:$I$18,1,$B$5)-INDEX('Pace of change parameters'!$E$19:$I$19,1,$B$5))))</f>
        <v>0</v>
      </c>
      <c r="Q102" s="57">
        <v>3.011225880260282E-2</v>
      </c>
      <c r="R102" s="57">
        <v>2.450689116055571E-2</v>
      </c>
      <c r="S102" s="9">
        <f>MAX(IF(INDEX('Pace of change parameters'!$E$31:$I$31,1,$B$5)=1,D102*(1+Q102),D102),L102)</f>
        <v>176006</v>
      </c>
      <c r="T102" s="103">
        <f>IF(Q102&lt;INDEX('Pace of change parameters'!$E$24:$I$24,1,$B$5),INDEX('Pace of change parameters'!$E$24:$I$24,1,$B$5),Q102)</f>
        <v>3.2992755077120454E-2</v>
      </c>
      <c r="U102" s="132">
        <v>2.7371713181639112E-2</v>
      </c>
      <c r="V102" s="117">
        <f t="shared" si="20"/>
        <v>176006</v>
      </c>
      <c r="W102" s="131">
        <f>IF(J102&gt;INDEX('Pace of change parameters'!$E$26:$I$26,1,$B$5),0,IF(J102&lt;INDEX('Pace of change parameters'!$E$25:$I$25,1,$B$5),1,(J102-INDEX('Pace of change parameters'!$E$26:$I$26,1,$B$5))/(INDEX('Pace of change parameters'!$E$25:$I$25,1,$B$5)-INDEX('Pace of change parameters'!$E$26:$I$26,1,$B$5))))</f>
        <v>1</v>
      </c>
      <c r="X102" s="132">
        <f>MIN(T102, T102+(INDEX('Pace of change parameters'!$E$27:$I$27,1,$B$5)-T102)*(1-W102))</f>
        <v>3.2992755077120454E-2</v>
      </c>
      <c r="Y102" s="132">
        <v>2.7371713181639112E-2</v>
      </c>
      <c r="Z102" s="108">
        <f t="shared" si="21"/>
        <v>176006</v>
      </c>
      <c r="AA102" s="97">
        <f>MIN(VLOOKUP(A102,'2019-20 disagg'!$A$12:$BB$220,54,FALSE),-2.5%)</f>
        <v>-2.5000000000000001E-2</v>
      </c>
      <c r="AB102" s="99">
        <f t="shared" si="13"/>
        <v>171362.53219144759</v>
      </c>
      <c r="AC102" s="99">
        <f>MAX(IF(INDEX('Pace of change parameters'!$E$29:$I$29,1,$B$5)=1,MAX(AB102,Z102),Z102),L102)</f>
        <v>176006</v>
      </c>
      <c r="AD102" s="97">
        <f t="shared" si="14"/>
        <v>3.8518273758245902E-2</v>
      </c>
      <c r="AE102" s="146">
        <v>3.2867164689642347E-2</v>
      </c>
      <c r="AF102" s="56">
        <f t="shared" si="22"/>
        <v>176006</v>
      </c>
      <c r="AG102" s="56">
        <v>1758.6353667351605</v>
      </c>
      <c r="AH102" s="16">
        <f t="shared" si="15"/>
        <v>3.8518273758245902E-2</v>
      </c>
      <c r="AI102" s="16">
        <f t="shared" si="16"/>
        <v>3.2867164689642347E-2</v>
      </c>
      <c r="AJ102" s="56"/>
      <c r="AK102" s="56">
        <v>175756.44327327958</v>
      </c>
      <c r="AL102" s="56">
        <v>1756.1418194378116</v>
      </c>
      <c r="AM102" s="16">
        <f t="shared" si="23"/>
        <v>1.4199008700488402E-3</v>
      </c>
      <c r="AN102" s="58">
        <f t="shared" si="23"/>
        <v>1.4199008700488402E-3</v>
      </c>
      <c r="AP102" s="56">
        <f t="shared" si="17"/>
        <v>1</v>
      </c>
      <c r="AQ102" s="56">
        <f t="shared" si="18"/>
        <v>0</v>
      </c>
    </row>
    <row r="103" spans="1:43" x14ac:dyDescent="0.2">
      <c r="A103" s="156" t="s">
        <v>251</v>
      </c>
      <c r="B103" s="156" t="s">
        <v>252</v>
      </c>
      <c r="D103" s="68">
        <f>VLOOKUP(A103,'2019-20 disagg'!A103:AZ311,43,FALSE)</f>
        <v>189390</v>
      </c>
      <c r="E103" s="73">
        <v>1817.2645756201932</v>
      </c>
      <c r="F103" s="55"/>
      <c r="G103" s="88">
        <v>186967.13751810114</v>
      </c>
      <c r="H103" s="81">
        <v>1786.1195590315324</v>
      </c>
      <c r="I103" s="90"/>
      <c r="J103" s="103">
        <f t="shared" si="19"/>
        <v>1.2958761170873023E-2</v>
      </c>
      <c r="K103" s="126">
        <f t="shared" si="19"/>
        <v>1.743725185202516E-2</v>
      </c>
      <c r="L103" s="56">
        <v>196613</v>
      </c>
      <c r="M103" s="103">
        <v>2.9036438404448361E-2</v>
      </c>
      <c r="N103" s="97">
        <f>INDEX('Pace of change parameters'!$E$22:$I$22,1,$B$5)</f>
        <v>2.4506891160555818E-2</v>
      </c>
      <c r="O103" s="108">
        <f>MAX(IF(INDEX('Pace of change parameters'!$E$30:$I$30,1,$B$5)=1,(1+M103)*D103,D103),L103)</f>
        <v>196613</v>
      </c>
      <c r="P103" s="94">
        <f>IF(K103&lt;INDEX('Pace of change parameters'!$E$18:$I$18,1,$B$5),1,IF(K103&gt;INDEX('Pace of change parameters'!$E$19:$I$19,1,$B$5),0,(K103-INDEX('Pace of change parameters'!$E$19:$I$19,1,$B$5))/(INDEX('Pace of change parameters'!$E$18:$I$18,1,$B$5)-INDEX('Pace of change parameters'!$E$19:$I$19,1,$B$5))))</f>
        <v>0</v>
      </c>
      <c r="Q103" s="57">
        <v>2.9036438404448361E-2</v>
      </c>
      <c r="R103" s="57">
        <v>2.450689116055571E-2</v>
      </c>
      <c r="S103" s="9">
        <f>MAX(IF(INDEX('Pace of change parameters'!$E$31:$I$31,1,$B$5)=1,D103*(1+Q103),D103),L103)</f>
        <v>196613</v>
      </c>
      <c r="T103" s="103">
        <f>IF(Q103&lt;INDEX('Pace of change parameters'!$E$24:$I$24,1,$B$5),INDEX('Pace of change parameters'!$E$24:$I$24,1,$B$5),Q103)</f>
        <v>3.2992755077120454E-2</v>
      </c>
      <c r="U103" s="132">
        <v>2.8445793169750599E-2</v>
      </c>
      <c r="V103" s="117">
        <f t="shared" si="20"/>
        <v>196613</v>
      </c>
      <c r="W103" s="131">
        <f>IF(J103&gt;INDEX('Pace of change parameters'!$E$26:$I$26,1,$B$5),0,IF(J103&lt;INDEX('Pace of change parameters'!$E$25:$I$25,1,$B$5),1,(J103-INDEX('Pace of change parameters'!$E$26:$I$26,1,$B$5))/(INDEX('Pace of change parameters'!$E$25:$I$25,1,$B$5)-INDEX('Pace of change parameters'!$E$26:$I$26,1,$B$5))))</f>
        <v>1</v>
      </c>
      <c r="X103" s="132">
        <f>MIN(T103, T103+(INDEX('Pace of change parameters'!$E$27:$I$27,1,$B$5)-T103)*(1-W103))</f>
        <v>3.2992755077120454E-2</v>
      </c>
      <c r="Y103" s="132">
        <v>2.8445793169750599E-2</v>
      </c>
      <c r="Z103" s="108">
        <f t="shared" si="21"/>
        <v>196613</v>
      </c>
      <c r="AA103" s="97">
        <f>MIN(VLOOKUP(A103,'2019-20 disagg'!$A$12:$BB$220,54,FALSE),-2.5%)</f>
        <v>-2.5000000000000001E-2</v>
      </c>
      <c r="AB103" s="99">
        <f t="shared" si="13"/>
        <v>189647.00042194084</v>
      </c>
      <c r="AC103" s="99">
        <f>MAX(IF(INDEX('Pace of change parameters'!$E$29:$I$29,1,$B$5)=1,MAX(AB103,Z103),Z103),L103)</f>
        <v>196613</v>
      </c>
      <c r="AD103" s="97">
        <f t="shared" si="14"/>
        <v>3.8138233275252231E-2</v>
      </c>
      <c r="AE103" s="146">
        <v>3.3568622328721931E-2</v>
      </c>
      <c r="AF103" s="56">
        <f t="shared" si="22"/>
        <v>196613</v>
      </c>
      <c r="AG103" s="56">
        <v>1878.2676438305525</v>
      </c>
      <c r="AH103" s="16">
        <f t="shared" si="15"/>
        <v>3.8138233275252231E-2</v>
      </c>
      <c r="AI103" s="16">
        <f t="shared" si="16"/>
        <v>3.3568622328721931E-2</v>
      </c>
      <c r="AJ103" s="56"/>
      <c r="AK103" s="56">
        <v>194509.74402250344</v>
      </c>
      <c r="AL103" s="56">
        <v>1858.1749864313724</v>
      </c>
      <c r="AM103" s="16">
        <f t="shared" si="23"/>
        <v>1.0813113698063592E-2</v>
      </c>
      <c r="AN103" s="58">
        <f t="shared" si="23"/>
        <v>1.0813113698063592E-2</v>
      </c>
      <c r="AP103" s="56">
        <f t="shared" si="17"/>
        <v>1</v>
      </c>
      <c r="AQ103" s="56">
        <f t="shared" si="18"/>
        <v>0</v>
      </c>
    </row>
    <row r="104" spans="1:43" x14ac:dyDescent="0.2">
      <c r="A104" s="156" t="s">
        <v>253</v>
      </c>
      <c r="B104" s="156" t="s">
        <v>254</v>
      </c>
      <c r="D104" s="68">
        <f>VLOOKUP(A104,'2019-20 disagg'!A104:AZ312,43,FALSE)</f>
        <v>611704</v>
      </c>
      <c r="E104" s="73">
        <v>1548.7850825621983</v>
      </c>
      <c r="F104" s="55"/>
      <c r="G104" s="88">
        <v>623684.04924169567</v>
      </c>
      <c r="H104" s="81">
        <v>1571.3944079314113</v>
      </c>
      <c r="I104" s="90"/>
      <c r="J104" s="103">
        <f t="shared" si="19"/>
        <v>-1.920852273881557E-2</v>
      </c>
      <c r="K104" s="126">
        <f t="shared" si="19"/>
        <v>-1.4388065310080855E-2</v>
      </c>
      <c r="L104" s="56">
        <v>635461</v>
      </c>
      <c r="M104" s="103">
        <v>2.9542203934760813E-2</v>
      </c>
      <c r="N104" s="97">
        <f>INDEX('Pace of change parameters'!$E$22:$I$22,1,$B$5)</f>
        <v>2.4506891160555818E-2</v>
      </c>
      <c r="O104" s="108">
        <f>MAX(IF(INDEX('Pace of change parameters'!$E$30:$I$30,1,$B$5)=1,(1+M104)*D104,D104),L104)</f>
        <v>635461</v>
      </c>
      <c r="P104" s="94">
        <f>IF(K104&lt;INDEX('Pace of change parameters'!$E$18:$I$18,1,$B$5),1,IF(K104&gt;INDEX('Pace of change parameters'!$E$19:$I$19,1,$B$5),0,(K104-INDEX('Pace of change parameters'!$E$19:$I$19,1,$B$5))/(INDEX('Pace of change parameters'!$E$18:$I$18,1,$B$5)-INDEX('Pace of change parameters'!$E$19:$I$19,1,$B$5))))</f>
        <v>0.6847173015592436</v>
      </c>
      <c r="Q104" s="57">
        <v>4.0615592018053093E-2</v>
      </c>
      <c r="R104" s="57">
        <v>3.5526121218799167E-2</v>
      </c>
      <c r="S104" s="9">
        <f>MAX(IF(INDEX('Pace of change parameters'!$E$31:$I$31,1,$B$5)=1,D104*(1+Q104),D104),L104)</f>
        <v>636548.72009981109</v>
      </c>
      <c r="T104" s="103">
        <f>IF(Q104&lt;INDEX('Pace of change parameters'!$E$24:$I$24,1,$B$5),INDEX('Pace of change parameters'!$E$24:$I$24,1,$B$5),Q104)</f>
        <v>4.0615592018053093E-2</v>
      </c>
      <c r="U104" s="132">
        <v>3.5526121218799167E-2</v>
      </c>
      <c r="V104" s="117">
        <f t="shared" si="20"/>
        <v>636548.72009981109</v>
      </c>
      <c r="W104" s="131">
        <f>IF(J104&gt;INDEX('Pace of change parameters'!$E$26:$I$26,1,$B$5),0,IF(J104&lt;INDEX('Pace of change parameters'!$E$25:$I$25,1,$B$5),1,(J104-INDEX('Pace of change parameters'!$E$26:$I$26,1,$B$5))/(INDEX('Pace of change parameters'!$E$25:$I$25,1,$B$5)-INDEX('Pace of change parameters'!$E$26:$I$26,1,$B$5))))</f>
        <v>1</v>
      </c>
      <c r="X104" s="132">
        <f>MIN(T104, T104+(INDEX('Pace of change parameters'!$E$27:$I$27,1,$B$5)-T104)*(1-W104))</f>
        <v>4.0615592018053093E-2</v>
      </c>
      <c r="Y104" s="132">
        <v>3.5526121218799167E-2</v>
      </c>
      <c r="Z104" s="108">
        <f t="shared" si="21"/>
        <v>636548.72009981109</v>
      </c>
      <c r="AA104" s="97">
        <f>MIN(VLOOKUP(A104,'2019-20 disagg'!$A$12:$BB$220,54,FALSE),-2.5%)</f>
        <v>-2.5000000000000001E-2</v>
      </c>
      <c r="AB104" s="99">
        <f t="shared" si="13"/>
        <v>632957.03425045987</v>
      </c>
      <c r="AC104" s="99">
        <f>MAX(IF(INDEX('Pace of change parameters'!$E$29:$I$29,1,$B$5)=1,MAX(AB104,Z104),Z104),L104)</f>
        <v>636548.72009981109</v>
      </c>
      <c r="AD104" s="97">
        <f t="shared" si="14"/>
        <v>4.0615592018053093E-2</v>
      </c>
      <c r="AE104" s="146">
        <v>3.5526121218799167E-2</v>
      </c>
      <c r="AF104" s="56">
        <f t="shared" si="22"/>
        <v>636548.72009981109</v>
      </c>
      <c r="AG104" s="56">
        <v>1603.8074091471706</v>
      </c>
      <c r="AH104" s="16">
        <f t="shared" si="15"/>
        <v>4.0615592018053093E-2</v>
      </c>
      <c r="AI104" s="16">
        <f t="shared" si="16"/>
        <v>3.5526121218798945E-2</v>
      </c>
      <c r="AJ104" s="56"/>
      <c r="AK104" s="56">
        <v>649186.70179534343</v>
      </c>
      <c r="AL104" s="56">
        <v>1635.6492588594485</v>
      </c>
      <c r="AM104" s="16">
        <f t="shared" si="23"/>
        <v>-1.9467406927131559E-2</v>
      </c>
      <c r="AN104" s="58">
        <f t="shared" si="23"/>
        <v>-1.9467406927131559E-2</v>
      </c>
      <c r="AP104" s="56">
        <f t="shared" si="17"/>
        <v>0</v>
      </c>
      <c r="AQ104" s="56">
        <f t="shared" si="18"/>
        <v>0</v>
      </c>
    </row>
    <row r="105" spans="1:43" x14ac:dyDescent="0.2">
      <c r="A105" s="156" t="s">
        <v>255</v>
      </c>
      <c r="B105" s="156" t="s">
        <v>256</v>
      </c>
      <c r="D105" s="68">
        <f>VLOOKUP(A105,'2019-20 disagg'!A105:AZ313,43,FALSE)</f>
        <v>460481</v>
      </c>
      <c r="E105" s="73">
        <v>1823.9205376066257</v>
      </c>
      <c r="F105" s="55"/>
      <c r="G105" s="88">
        <v>469666.3627622507</v>
      </c>
      <c r="H105" s="81">
        <v>1847.9146111458219</v>
      </c>
      <c r="I105" s="90"/>
      <c r="J105" s="103">
        <f t="shared" si="19"/>
        <v>-1.9557208032163098E-2</v>
      </c>
      <c r="K105" s="126">
        <f t="shared" si="19"/>
        <v>-1.2984405986334213E-2</v>
      </c>
      <c r="L105" s="56">
        <v>478386</v>
      </c>
      <c r="M105" s="103">
        <v>3.1375095042875278E-2</v>
      </c>
      <c r="N105" s="97">
        <f>INDEX('Pace of change parameters'!$E$22:$I$22,1,$B$5)</f>
        <v>2.4506891160555818E-2</v>
      </c>
      <c r="O105" s="108">
        <f>MAX(IF(INDEX('Pace of change parameters'!$E$30:$I$30,1,$B$5)=1,(1+M105)*D105,D105),L105)</f>
        <v>478386</v>
      </c>
      <c r="P105" s="94">
        <f>IF(K105&lt;INDEX('Pace of change parameters'!$E$18:$I$18,1,$B$5),1,IF(K105&gt;INDEX('Pace of change parameters'!$E$19:$I$19,1,$B$5),0,(K105-INDEX('Pace of change parameters'!$E$19:$I$19,1,$B$5))/(INDEX('Pace of change parameters'!$E$18:$I$18,1,$B$5)-INDEX('Pace of change parameters'!$E$19:$I$19,1,$B$5))))</f>
        <v>0.63867563424053952</v>
      </c>
      <c r="Q105" s="57">
        <v>4.1722276197343922E-2</v>
      </c>
      <c r="R105" s="57">
        <v>3.4785167655489779E-2</v>
      </c>
      <c r="S105" s="9">
        <f>MAX(IF(INDEX('Pace of change parameters'!$E$31:$I$31,1,$B$5)=1,D105*(1+Q105),D105),L105)</f>
        <v>479693.3154656291</v>
      </c>
      <c r="T105" s="103">
        <f>IF(Q105&lt;INDEX('Pace of change parameters'!$E$24:$I$24,1,$B$5),INDEX('Pace of change parameters'!$E$24:$I$24,1,$B$5),Q105)</f>
        <v>4.1722276197343922E-2</v>
      </c>
      <c r="U105" s="132">
        <v>3.4785167655489779E-2</v>
      </c>
      <c r="V105" s="117">
        <f t="shared" si="20"/>
        <v>479693.3154656291</v>
      </c>
      <c r="W105" s="131">
        <f>IF(J105&gt;INDEX('Pace of change parameters'!$E$26:$I$26,1,$B$5),0,IF(J105&lt;INDEX('Pace of change parameters'!$E$25:$I$25,1,$B$5),1,(J105-INDEX('Pace of change parameters'!$E$26:$I$26,1,$B$5))/(INDEX('Pace of change parameters'!$E$25:$I$25,1,$B$5)-INDEX('Pace of change parameters'!$E$26:$I$26,1,$B$5))))</f>
        <v>1</v>
      </c>
      <c r="X105" s="132">
        <f>MIN(T105, T105+(INDEX('Pace of change parameters'!$E$27:$I$27,1,$B$5)-T105)*(1-W105))</f>
        <v>4.1722276197343922E-2</v>
      </c>
      <c r="Y105" s="132">
        <v>3.4785167655489779E-2</v>
      </c>
      <c r="Z105" s="108">
        <f t="shared" si="21"/>
        <v>479693.3154656291</v>
      </c>
      <c r="AA105" s="97">
        <f>MIN(VLOOKUP(A105,'2019-20 disagg'!$A$12:$BB$220,54,FALSE),-2.5%)</f>
        <v>-2.5000000000000001E-2</v>
      </c>
      <c r="AB105" s="99">
        <f t="shared" si="13"/>
        <v>476556.73219630268</v>
      </c>
      <c r="AC105" s="99">
        <f>MAX(IF(INDEX('Pace of change parameters'!$E$29:$I$29,1,$B$5)=1,MAX(AB105,Z105),Z105),L105)</f>
        <v>479693.3154656291</v>
      </c>
      <c r="AD105" s="97">
        <f t="shared" si="14"/>
        <v>4.1722276197343922E-2</v>
      </c>
      <c r="AE105" s="146">
        <v>3.4785167655489779E-2</v>
      </c>
      <c r="AF105" s="56">
        <f t="shared" si="22"/>
        <v>479693.3154656291</v>
      </c>
      <c r="AG105" s="56">
        <v>1887.3659192975631</v>
      </c>
      <c r="AH105" s="16">
        <f t="shared" si="15"/>
        <v>4.1722276197343922E-2</v>
      </c>
      <c r="AI105" s="16">
        <f t="shared" si="16"/>
        <v>3.4785167655489779E-2</v>
      </c>
      <c r="AJ105" s="56"/>
      <c r="AK105" s="56">
        <v>488776.1355859515</v>
      </c>
      <c r="AL105" s="56">
        <v>1923.1025130617825</v>
      </c>
      <c r="AM105" s="16">
        <f t="shared" si="23"/>
        <v>-1.8582781480183774E-2</v>
      </c>
      <c r="AN105" s="58">
        <f t="shared" si="23"/>
        <v>-1.8582781480183774E-2</v>
      </c>
      <c r="AP105" s="56">
        <f t="shared" si="17"/>
        <v>0</v>
      </c>
      <c r="AQ105" s="56">
        <f t="shared" si="18"/>
        <v>0</v>
      </c>
    </row>
    <row r="106" spans="1:43" x14ac:dyDescent="0.2">
      <c r="A106" s="156" t="s">
        <v>257</v>
      </c>
      <c r="B106" s="156" t="s">
        <v>258</v>
      </c>
      <c r="D106" s="68">
        <f>VLOOKUP(A106,'2019-20 disagg'!A106:AZ314,43,FALSE)</f>
        <v>391357</v>
      </c>
      <c r="E106" s="73">
        <v>1635.0598612802598</v>
      </c>
      <c r="F106" s="55"/>
      <c r="G106" s="88">
        <v>394089.9126741967</v>
      </c>
      <c r="H106" s="81">
        <v>1637.9786226580391</v>
      </c>
      <c r="I106" s="90"/>
      <c r="J106" s="103">
        <f t="shared" si="19"/>
        <v>-6.9347440426775764E-3</v>
      </c>
      <c r="K106" s="126">
        <f t="shared" si="19"/>
        <v>-1.7819288587800353E-3</v>
      </c>
      <c r="L106" s="56">
        <v>406538</v>
      </c>
      <c r="M106" s="103">
        <v>2.9822850643692389E-2</v>
      </c>
      <c r="N106" s="97">
        <f>INDEX('Pace of change parameters'!$E$22:$I$22,1,$B$5)</f>
        <v>2.4506891160555818E-2</v>
      </c>
      <c r="O106" s="108">
        <f>MAX(IF(INDEX('Pace of change parameters'!$E$30:$I$30,1,$B$5)=1,(1+M106)*D106,D106),L106)</f>
        <v>406538</v>
      </c>
      <c r="P106" s="94">
        <f>IF(K106&lt;INDEX('Pace of change parameters'!$E$18:$I$18,1,$B$5),1,IF(K106&gt;INDEX('Pace of change parameters'!$E$19:$I$19,1,$B$5),0,(K106-INDEX('Pace of change parameters'!$E$19:$I$19,1,$B$5))/(INDEX('Pace of change parameters'!$E$18:$I$18,1,$B$5)-INDEX('Pace of change parameters'!$E$19:$I$19,1,$B$5))))</f>
        <v>0.27122128379635801</v>
      </c>
      <c r="Q106" s="57">
        <v>3.4210292316656066E-2</v>
      </c>
      <c r="R106" s="57">
        <v>2.8871684800264363E-2</v>
      </c>
      <c r="S106" s="9">
        <f>MAX(IF(INDEX('Pace of change parameters'!$E$31:$I$31,1,$B$5)=1,D106*(1+Q106),D106),L106)</f>
        <v>406538</v>
      </c>
      <c r="T106" s="103">
        <f>IF(Q106&lt;INDEX('Pace of change parameters'!$E$24:$I$24,1,$B$5),INDEX('Pace of change parameters'!$E$24:$I$24,1,$B$5),Q106)</f>
        <v>3.4210292316656066E-2</v>
      </c>
      <c r="U106" s="132">
        <v>2.8871684800264363E-2</v>
      </c>
      <c r="V106" s="117">
        <f t="shared" si="20"/>
        <v>406538</v>
      </c>
      <c r="W106" s="131">
        <f>IF(J106&gt;INDEX('Pace of change parameters'!$E$26:$I$26,1,$B$5),0,IF(J106&lt;INDEX('Pace of change parameters'!$E$25:$I$25,1,$B$5),1,(J106-INDEX('Pace of change parameters'!$E$26:$I$26,1,$B$5))/(INDEX('Pace of change parameters'!$E$25:$I$25,1,$B$5)-INDEX('Pace of change parameters'!$E$26:$I$26,1,$B$5))))</f>
        <v>1</v>
      </c>
      <c r="X106" s="132">
        <f>MIN(T106, T106+(INDEX('Pace of change parameters'!$E$27:$I$27,1,$B$5)-T106)*(1-W106))</f>
        <v>3.4210292316656066E-2</v>
      </c>
      <c r="Y106" s="132">
        <v>2.8871684800264363E-2</v>
      </c>
      <c r="Z106" s="108">
        <f t="shared" si="21"/>
        <v>406538</v>
      </c>
      <c r="AA106" s="97">
        <f>MIN(VLOOKUP(A106,'2019-20 disagg'!$A$12:$BB$220,54,FALSE),-2.5%)</f>
        <v>-2.5000000000000001E-2</v>
      </c>
      <c r="AB106" s="99">
        <f t="shared" si="13"/>
        <v>399949.46466749063</v>
      </c>
      <c r="AC106" s="99">
        <f>MAX(IF(INDEX('Pace of change parameters'!$E$29:$I$29,1,$B$5)=1,MAX(AB106,Z106),Z106),L106)</f>
        <v>406538</v>
      </c>
      <c r="AD106" s="97">
        <f t="shared" si="14"/>
        <v>3.8790669388818921E-2</v>
      </c>
      <c r="AE106" s="146">
        <v>3.3428417904032282E-2</v>
      </c>
      <c r="AF106" s="56">
        <f t="shared" si="22"/>
        <v>406538</v>
      </c>
      <c r="AG106" s="56">
        <v>1689.7173256212454</v>
      </c>
      <c r="AH106" s="16">
        <f t="shared" si="15"/>
        <v>3.8790669388818921E-2</v>
      </c>
      <c r="AI106" s="16">
        <f t="shared" si="16"/>
        <v>3.3428417904032282E-2</v>
      </c>
      <c r="AJ106" s="56"/>
      <c r="AK106" s="56">
        <v>410204.57914614421</v>
      </c>
      <c r="AL106" s="56">
        <v>1704.956939898389</v>
      </c>
      <c r="AM106" s="16">
        <f t="shared" si="23"/>
        <v>-8.9384159332797086E-3</v>
      </c>
      <c r="AN106" s="58">
        <f t="shared" si="23"/>
        <v>-8.9384159332797086E-3</v>
      </c>
      <c r="AP106" s="56">
        <f t="shared" si="17"/>
        <v>1</v>
      </c>
      <c r="AQ106" s="56">
        <f t="shared" si="18"/>
        <v>0</v>
      </c>
    </row>
    <row r="107" spans="1:43" x14ac:dyDescent="0.2">
      <c r="A107" s="156" t="s">
        <v>259</v>
      </c>
      <c r="B107" s="156" t="s">
        <v>260</v>
      </c>
      <c r="D107" s="68">
        <f>VLOOKUP(A107,'2019-20 disagg'!A107:AZ315,43,FALSE)</f>
        <v>347494</v>
      </c>
      <c r="E107" s="73">
        <v>1800.0344271298727</v>
      </c>
      <c r="F107" s="55"/>
      <c r="G107" s="88">
        <v>353748.77483719809</v>
      </c>
      <c r="H107" s="81">
        <v>1823.6010967039763</v>
      </c>
      <c r="I107" s="90"/>
      <c r="J107" s="103">
        <f t="shared" si="19"/>
        <v>-1.768140353299219E-2</v>
      </c>
      <c r="K107" s="126">
        <f t="shared" si="19"/>
        <v>-1.2923149485212893E-2</v>
      </c>
      <c r="L107" s="56">
        <v>360892</v>
      </c>
      <c r="M107" s="103">
        <v>2.9469501131877962E-2</v>
      </c>
      <c r="N107" s="97">
        <f>INDEX('Pace of change parameters'!$E$22:$I$22,1,$B$5)</f>
        <v>2.4506891160555818E-2</v>
      </c>
      <c r="O107" s="108">
        <f>MAX(IF(INDEX('Pace of change parameters'!$E$30:$I$30,1,$B$5)=1,(1+M107)*D107,D107),L107)</f>
        <v>360892</v>
      </c>
      <c r="P107" s="94">
        <f>IF(K107&lt;INDEX('Pace of change parameters'!$E$18:$I$18,1,$B$5),1,IF(K107&gt;INDEX('Pace of change parameters'!$E$19:$I$19,1,$B$5),0,(K107-INDEX('Pace of change parameters'!$E$19:$I$19,1,$B$5))/(INDEX('Pace of change parameters'!$E$18:$I$18,1,$B$5)-INDEX('Pace of change parameters'!$E$19:$I$19,1,$B$5))))</f>
        <v>0.63666634936776312</v>
      </c>
      <c r="Q107" s="57">
        <v>3.9765072309984717E-2</v>
      </c>
      <c r="R107" s="57">
        <v>3.4752832015342738E-2</v>
      </c>
      <c r="S107" s="9">
        <f>MAX(IF(INDEX('Pace of change parameters'!$E$31:$I$31,1,$B$5)=1,D107*(1+Q107),D107),L107)</f>
        <v>361312.1240372858</v>
      </c>
      <c r="T107" s="103">
        <f>IF(Q107&lt;INDEX('Pace of change parameters'!$E$24:$I$24,1,$B$5),INDEX('Pace of change parameters'!$E$24:$I$24,1,$B$5),Q107)</f>
        <v>3.9765072309984717E-2</v>
      </c>
      <c r="U107" s="132">
        <v>3.4752832015342738E-2</v>
      </c>
      <c r="V107" s="117">
        <f t="shared" si="20"/>
        <v>361312.1240372858</v>
      </c>
      <c r="W107" s="131">
        <f>IF(J107&gt;INDEX('Pace of change parameters'!$E$26:$I$26,1,$B$5),0,IF(J107&lt;INDEX('Pace of change parameters'!$E$25:$I$25,1,$B$5),1,(J107-INDEX('Pace of change parameters'!$E$26:$I$26,1,$B$5))/(INDEX('Pace of change parameters'!$E$25:$I$25,1,$B$5)-INDEX('Pace of change parameters'!$E$26:$I$26,1,$B$5))))</f>
        <v>1</v>
      </c>
      <c r="X107" s="132">
        <f>MIN(T107, T107+(INDEX('Pace of change parameters'!$E$27:$I$27,1,$B$5)-T107)*(1-W107))</f>
        <v>3.9765072309984717E-2</v>
      </c>
      <c r="Y107" s="132">
        <v>3.4752832015342738E-2</v>
      </c>
      <c r="Z107" s="108">
        <f t="shared" si="21"/>
        <v>361312.1240372858</v>
      </c>
      <c r="AA107" s="97">
        <f>MIN(VLOOKUP(A107,'2019-20 disagg'!$A$12:$BB$220,54,FALSE),-2.5%)</f>
        <v>-2.5000000000000001E-2</v>
      </c>
      <c r="AB107" s="99">
        <f t="shared" si="13"/>
        <v>358932.50968110043</v>
      </c>
      <c r="AC107" s="99">
        <f>MAX(IF(INDEX('Pace of change parameters'!$E$29:$I$29,1,$B$5)=1,MAX(AB107,Z107),Z107),L107)</f>
        <v>361312.1240372858</v>
      </c>
      <c r="AD107" s="97">
        <f t="shared" si="14"/>
        <v>3.9765072309984717E-2</v>
      </c>
      <c r="AE107" s="146">
        <v>3.4752832015342738E-2</v>
      </c>
      <c r="AF107" s="56">
        <f t="shared" si="22"/>
        <v>361312.1240372858</v>
      </c>
      <c r="AG107" s="56">
        <v>1862.5907211977508</v>
      </c>
      <c r="AH107" s="16">
        <f t="shared" si="15"/>
        <v>3.9765072309984717E-2</v>
      </c>
      <c r="AI107" s="16">
        <f t="shared" si="16"/>
        <v>3.4752832015342738E-2</v>
      </c>
      <c r="AJ107" s="56"/>
      <c r="AK107" s="56">
        <v>368135.90736523119</v>
      </c>
      <c r="AL107" s="56">
        <v>1897.7678289240982</v>
      </c>
      <c r="AM107" s="16">
        <f t="shared" si="23"/>
        <v>-1.8536043867015239E-2</v>
      </c>
      <c r="AN107" s="58">
        <f t="shared" si="23"/>
        <v>-1.8536043867015239E-2</v>
      </c>
      <c r="AP107" s="56">
        <f t="shared" si="17"/>
        <v>0</v>
      </c>
      <c r="AQ107" s="56">
        <f t="shared" si="18"/>
        <v>0</v>
      </c>
    </row>
    <row r="108" spans="1:43" x14ac:dyDescent="0.2">
      <c r="A108" s="156" t="s">
        <v>261</v>
      </c>
      <c r="B108" s="156" t="s">
        <v>262</v>
      </c>
      <c r="D108" s="68">
        <f>VLOOKUP(A108,'2019-20 disagg'!A108:AZ316,43,FALSE)</f>
        <v>444139</v>
      </c>
      <c r="E108" s="73">
        <v>1490.5194099101693</v>
      </c>
      <c r="F108" s="55"/>
      <c r="G108" s="88">
        <v>457738.60393752978</v>
      </c>
      <c r="H108" s="81">
        <v>1517.4419998948811</v>
      </c>
      <c r="I108" s="90"/>
      <c r="J108" s="103">
        <f t="shared" si="19"/>
        <v>-2.9710415115841493E-2</v>
      </c>
      <c r="K108" s="126">
        <f t="shared" si="19"/>
        <v>-1.7742088321383465E-2</v>
      </c>
      <c r="L108" s="56">
        <v>462474</v>
      </c>
      <c r="M108" s="103">
        <v>3.7143977518694582E-2</v>
      </c>
      <c r="N108" s="97">
        <f>INDEX('Pace of change parameters'!$E$22:$I$22,1,$B$5)</f>
        <v>2.4506891160555818E-2</v>
      </c>
      <c r="O108" s="108">
        <f>MAX(IF(INDEX('Pace of change parameters'!$E$30:$I$30,1,$B$5)=1,(1+M108)*D108,D108),L108)</f>
        <v>462474</v>
      </c>
      <c r="P108" s="94">
        <f>IF(K108&lt;INDEX('Pace of change parameters'!$E$18:$I$18,1,$B$5),1,IF(K108&gt;INDEX('Pace of change parameters'!$E$19:$I$19,1,$B$5),0,(K108-INDEX('Pace of change parameters'!$E$19:$I$19,1,$B$5))/(INDEX('Pace of change parameters'!$E$18:$I$18,1,$B$5)-INDEX('Pace of change parameters'!$E$19:$I$19,1,$B$5))))</f>
        <v>0.79473317866928395</v>
      </c>
      <c r="Q108" s="57">
        <v>5.0091463777113265E-2</v>
      </c>
      <c r="R108" s="57">
        <v>3.7296618703198003E-2</v>
      </c>
      <c r="S108" s="9">
        <f>MAX(IF(INDEX('Pace of change parameters'!$E$31:$I$31,1,$B$5)=1,D108*(1+Q108),D108),L108)</f>
        <v>466386.57263050333</v>
      </c>
      <c r="T108" s="103">
        <f>IF(Q108&lt;INDEX('Pace of change parameters'!$E$24:$I$24,1,$B$5),INDEX('Pace of change parameters'!$E$24:$I$24,1,$B$5),Q108)</f>
        <v>5.0091463777113265E-2</v>
      </c>
      <c r="U108" s="132">
        <v>3.7296618703198003E-2</v>
      </c>
      <c r="V108" s="117">
        <f t="shared" si="20"/>
        <v>466386.57263050333</v>
      </c>
      <c r="W108" s="131">
        <f>IF(J108&gt;INDEX('Pace of change parameters'!$E$26:$I$26,1,$B$5),0,IF(J108&lt;INDEX('Pace of change parameters'!$E$25:$I$25,1,$B$5),1,(J108-INDEX('Pace of change parameters'!$E$26:$I$26,1,$B$5))/(INDEX('Pace of change parameters'!$E$25:$I$25,1,$B$5)-INDEX('Pace of change parameters'!$E$26:$I$26,1,$B$5))))</f>
        <v>1</v>
      </c>
      <c r="X108" s="132">
        <f>MIN(T108, T108+(INDEX('Pace of change parameters'!$E$27:$I$27,1,$B$5)-T108)*(1-W108))</f>
        <v>5.0091463777113265E-2</v>
      </c>
      <c r="Y108" s="132">
        <v>3.7296618703198003E-2</v>
      </c>
      <c r="Z108" s="108">
        <f t="shared" si="21"/>
        <v>466386.57263050333</v>
      </c>
      <c r="AA108" s="97">
        <f>MIN(VLOOKUP(A108,'2019-20 disagg'!$A$12:$BB$220,54,FALSE),-2.5%)</f>
        <v>-2.5000000000000001E-2</v>
      </c>
      <c r="AB108" s="99">
        <f t="shared" si="13"/>
        <v>464587.96124943433</v>
      </c>
      <c r="AC108" s="99">
        <f>MAX(IF(INDEX('Pace of change parameters'!$E$29:$I$29,1,$B$5)=1,MAX(AB108,Z108),Z108),L108)</f>
        <v>466386.57263050333</v>
      </c>
      <c r="AD108" s="97">
        <f t="shared" si="14"/>
        <v>5.0091463777113265E-2</v>
      </c>
      <c r="AE108" s="146">
        <v>3.7296618703198003E-2</v>
      </c>
      <c r="AF108" s="56">
        <f t="shared" si="22"/>
        <v>466386.57263050333</v>
      </c>
      <c r="AG108" s="56">
        <v>1546.1107440113049</v>
      </c>
      <c r="AH108" s="16">
        <f t="shared" si="15"/>
        <v>5.0091463777113265E-2</v>
      </c>
      <c r="AI108" s="16">
        <f t="shared" si="16"/>
        <v>3.7296618703198225E-2</v>
      </c>
      <c r="AJ108" s="56"/>
      <c r="AK108" s="56">
        <v>476500.4730763429</v>
      </c>
      <c r="AL108" s="56">
        <v>1579.6391752759027</v>
      </c>
      <c r="AM108" s="16">
        <f t="shared" si="23"/>
        <v>-2.1225373357014798E-2</v>
      </c>
      <c r="AN108" s="58">
        <f t="shared" si="23"/>
        <v>-2.1225373357014687E-2</v>
      </c>
      <c r="AP108" s="56">
        <f t="shared" si="17"/>
        <v>0</v>
      </c>
      <c r="AQ108" s="56">
        <f t="shared" si="18"/>
        <v>0</v>
      </c>
    </row>
    <row r="109" spans="1:43" x14ac:dyDescent="0.2">
      <c r="A109" s="156" t="s">
        <v>263</v>
      </c>
      <c r="B109" s="156" t="s">
        <v>264</v>
      </c>
      <c r="D109" s="68">
        <f>VLOOKUP(A109,'2019-20 disagg'!A109:AZ317,43,FALSE)</f>
        <v>1075966</v>
      </c>
      <c r="E109" s="73">
        <v>1579.0311110108967</v>
      </c>
      <c r="F109" s="55"/>
      <c r="G109" s="88">
        <v>1101827.6752701011</v>
      </c>
      <c r="H109" s="81">
        <v>1604.859412654451</v>
      </c>
      <c r="I109" s="90"/>
      <c r="J109" s="103">
        <f t="shared" si="19"/>
        <v>-2.3471615253956468E-2</v>
      </c>
      <c r="K109" s="126">
        <f t="shared" si="19"/>
        <v>-1.6093809488791355E-2</v>
      </c>
      <c r="L109" s="56">
        <v>1118317</v>
      </c>
      <c r="M109" s="103">
        <v>3.224718111640934E-2</v>
      </c>
      <c r="N109" s="97">
        <f>INDEX('Pace of change parameters'!$E$22:$I$22,1,$B$5)</f>
        <v>2.4506891160555818E-2</v>
      </c>
      <c r="O109" s="108">
        <f>MAX(IF(INDEX('Pace of change parameters'!$E$30:$I$30,1,$B$5)=1,(1+M109)*D109,D109),L109)</f>
        <v>1118317</v>
      </c>
      <c r="P109" s="94">
        <f>IF(K109&lt;INDEX('Pace of change parameters'!$E$18:$I$18,1,$B$5),1,IF(K109&gt;INDEX('Pace of change parameters'!$E$19:$I$19,1,$B$5),0,(K109-INDEX('Pace of change parameters'!$E$19:$I$19,1,$B$5))/(INDEX('Pace of change parameters'!$E$18:$I$18,1,$B$5)-INDEX('Pace of change parameters'!$E$19:$I$19,1,$B$5))))</f>
        <v>0.7406677053918338</v>
      </c>
      <c r="Q109" s="57">
        <v>4.4256881672053661E-2</v>
      </c>
      <c r="R109" s="57">
        <v>3.6426537157288053E-2</v>
      </c>
      <c r="S109" s="9">
        <f>MAX(IF(INDEX('Pace of change parameters'!$E$31:$I$31,1,$B$5)=1,D109*(1+Q109),D109),L109)</f>
        <v>1123584.8999451529</v>
      </c>
      <c r="T109" s="103">
        <f>IF(Q109&lt;INDEX('Pace of change parameters'!$E$24:$I$24,1,$B$5),INDEX('Pace of change parameters'!$E$24:$I$24,1,$B$5),Q109)</f>
        <v>4.4256881672053661E-2</v>
      </c>
      <c r="U109" s="132">
        <v>3.6426537157288053E-2</v>
      </c>
      <c r="V109" s="117">
        <f t="shared" si="20"/>
        <v>1123584.8999451529</v>
      </c>
      <c r="W109" s="131">
        <f>IF(J109&gt;INDEX('Pace of change parameters'!$E$26:$I$26,1,$B$5),0,IF(J109&lt;INDEX('Pace of change parameters'!$E$25:$I$25,1,$B$5),1,(J109-INDEX('Pace of change parameters'!$E$26:$I$26,1,$B$5))/(INDEX('Pace of change parameters'!$E$25:$I$25,1,$B$5)-INDEX('Pace of change parameters'!$E$26:$I$26,1,$B$5))))</f>
        <v>1</v>
      </c>
      <c r="X109" s="132">
        <f>MIN(T109, T109+(INDEX('Pace of change parameters'!$E$27:$I$27,1,$B$5)-T109)*(1-W109))</f>
        <v>4.4256881672053661E-2</v>
      </c>
      <c r="Y109" s="132">
        <v>3.6426537157288053E-2</v>
      </c>
      <c r="Z109" s="108">
        <f t="shared" si="21"/>
        <v>1123584.8999451529</v>
      </c>
      <c r="AA109" s="97">
        <f>MIN(VLOOKUP(A109,'2019-20 disagg'!$A$12:$BB$220,54,FALSE),-2.5%)</f>
        <v>-2.5000000000000001E-2</v>
      </c>
      <c r="AB109" s="99">
        <f t="shared" si="13"/>
        <v>1118006.0381671225</v>
      </c>
      <c r="AC109" s="99">
        <f>MAX(IF(INDEX('Pace of change parameters'!$E$29:$I$29,1,$B$5)=1,MAX(AB109,Z109),Z109),L109)</f>
        <v>1123584.8999451529</v>
      </c>
      <c r="AD109" s="97">
        <f t="shared" si="14"/>
        <v>4.4256881672053661E-2</v>
      </c>
      <c r="AE109" s="146">
        <v>3.6426537157288053E-2</v>
      </c>
      <c r="AF109" s="56">
        <f t="shared" si="22"/>
        <v>1123584.8999451529</v>
      </c>
      <c r="AG109" s="56">
        <v>1636.5497464486491</v>
      </c>
      <c r="AH109" s="16">
        <f t="shared" si="15"/>
        <v>4.4256881672053661E-2</v>
      </c>
      <c r="AI109" s="16">
        <f t="shared" si="16"/>
        <v>3.6426537157288053E-2</v>
      </c>
      <c r="AJ109" s="56"/>
      <c r="AK109" s="56">
        <v>1146672.8596585873</v>
      </c>
      <c r="AL109" s="56">
        <v>1670.1783530780917</v>
      </c>
      <c r="AM109" s="16">
        <f t="shared" si="23"/>
        <v>-2.0134739842284755E-2</v>
      </c>
      <c r="AN109" s="58">
        <f t="shared" si="23"/>
        <v>-2.0134739842284533E-2</v>
      </c>
      <c r="AP109" s="56">
        <f t="shared" si="17"/>
        <v>0</v>
      </c>
      <c r="AQ109" s="56">
        <f t="shared" si="18"/>
        <v>0</v>
      </c>
    </row>
    <row r="110" spans="1:43" x14ac:dyDescent="0.2">
      <c r="A110" s="156" t="s">
        <v>265</v>
      </c>
      <c r="B110" s="156" t="s">
        <v>266</v>
      </c>
      <c r="D110" s="68">
        <f>VLOOKUP(A110,'2019-20 disagg'!A110:AZ318,43,FALSE)</f>
        <v>223266</v>
      </c>
      <c r="E110" s="73">
        <v>1663.3020748830161</v>
      </c>
      <c r="F110" s="55"/>
      <c r="G110" s="88">
        <v>227529.77287241252</v>
      </c>
      <c r="H110" s="81">
        <v>1685.0382345000548</v>
      </c>
      <c r="I110" s="90"/>
      <c r="J110" s="103">
        <f t="shared" si="19"/>
        <v>-1.873940635805682E-2</v>
      </c>
      <c r="K110" s="126">
        <f t="shared" si="19"/>
        <v>-1.2899505288369806E-2</v>
      </c>
      <c r="L110" s="56">
        <v>231895</v>
      </c>
      <c r="M110" s="103">
        <v>3.0604169425225702E-2</v>
      </c>
      <c r="N110" s="97">
        <f>INDEX('Pace of change parameters'!$E$22:$I$22,1,$B$5)</f>
        <v>2.4506891160555818E-2</v>
      </c>
      <c r="O110" s="108">
        <f>MAX(IF(INDEX('Pace of change parameters'!$E$30:$I$30,1,$B$5)=1,(1+M110)*D110,D110),L110)</f>
        <v>231895</v>
      </c>
      <c r="P110" s="94">
        <f>IF(K110&lt;INDEX('Pace of change parameters'!$E$18:$I$18,1,$B$5),1,IF(K110&gt;INDEX('Pace of change parameters'!$E$19:$I$19,1,$B$5),0,(K110-INDEX('Pace of change parameters'!$E$19:$I$19,1,$B$5))/(INDEX('Pace of change parameters'!$E$18:$I$18,1,$B$5)-INDEX('Pace of change parameters'!$E$19:$I$19,1,$B$5))))</f>
        <v>0.63589079206076526</v>
      </c>
      <c r="Q110" s="57">
        <v>4.0898532843286706E-2</v>
      </c>
      <c r="R110" s="57">
        <v>3.4740350887190186E-2</v>
      </c>
      <c r="S110" s="9">
        <f>MAX(IF(INDEX('Pace of change parameters'!$E$31:$I$31,1,$B$5)=1,D110*(1+Q110),D110),L110)</f>
        <v>232397.25183378925</v>
      </c>
      <c r="T110" s="103">
        <f>IF(Q110&lt;INDEX('Pace of change parameters'!$E$24:$I$24,1,$B$5),INDEX('Pace of change parameters'!$E$24:$I$24,1,$B$5),Q110)</f>
        <v>4.0898532843286706E-2</v>
      </c>
      <c r="U110" s="132">
        <v>3.4740350887190186E-2</v>
      </c>
      <c r="V110" s="117">
        <f t="shared" si="20"/>
        <v>232397.25183378925</v>
      </c>
      <c r="W110" s="131">
        <f>IF(J110&gt;INDEX('Pace of change parameters'!$E$26:$I$26,1,$B$5),0,IF(J110&lt;INDEX('Pace of change parameters'!$E$25:$I$25,1,$B$5),1,(J110-INDEX('Pace of change parameters'!$E$26:$I$26,1,$B$5))/(INDEX('Pace of change parameters'!$E$25:$I$25,1,$B$5)-INDEX('Pace of change parameters'!$E$26:$I$26,1,$B$5))))</f>
        <v>1</v>
      </c>
      <c r="X110" s="132">
        <f>MIN(T110, T110+(INDEX('Pace of change parameters'!$E$27:$I$27,1,$B$5)-T110)*(1-W110))</f>
        <v>4.0898532843286706E-2</v>
      </c>
      <c r="Y110" s="132">
        <v>3.4740350887190186E-2</v>
      </c>
      <c r="Z110" s="108">
        <f t="shared" si="21"/>
        <v>232397.25183378925</v>
      </c>
      <c r="AA110" s="97">
        <f>MIN(VLOOKUP(A110,'2019-20 disagg'!$A$12:$BB$220,54,FALSE),-2.5%)</f>
        <v>-2.5000000000000001E-2</v>
      </c>
      <c r="AB110" s="99">
        <f t="shared" si="13"/>
        <v>230832.38234759509</v>
      </c>
      <c r="AC110" s="99">
        <f>MAX(IF(INDEX('Pace of change parameters'!$E$29:$I$29,1,$B$5)=1,MAX(AB110,Z110),Z110),L110)</f>
        <v>232397.25183378925</v>
      </c>
      <c r="AD110" s="97">
        <f t="shared" si="14"/>
        <v>4.0898532843286706E-2</v>
      </c>
      <c r="AE110" s="146">
        <v>3.4740350887190186E-2</v>
      </c>
      <c r="AF110" s="56">
        <f t="shared" si="22"/>
        <v>232397.25183378925</v>
      </c>
      <c r="AG110" s="56">
        <v>1721.0857725958433</v>
      </c>
      <c r="AH110" s="16">
        <f t="shared" si="15"/>
        <v>4.0898532843286706E-2</v>
      </c>
      <c r="AI110" s="16">
        <f t="shared" si="16"/>
        <v>3.4740350887189964E-2</v>
      </c>
      <c r="AJ110" s="56"/>
      <c r="AK110" s="56">
        <v>236751.16138214883</v>
      </c>
      <c r="AL110" s="56">
        <v>1753.3299222995161</v>
      </c>
      <c r="AM110" s="16">
        <f t="shared" si="23"/>
        <v>-1.8390235228167517E-2</v>
      </c>
      <c r="AN110" s="58">
        <f t="shared" si="23"/>
        <v>-1.8390235228167517E-2</v>
      </c>
      <c r="AP110" s="56">
        <f t="shared" si="17"/>
        <v>0</v>
      </c>
      <c r="AQ110" s="56">
        <f t="shared" si="18"/>
        <v>0</v>
      </c>
    </row>
    <row r="111" spans="1:43" x14ac:dyDescent="0.2">
      <c r="A111" s="156" t="s">
        <v>267</v>
      </c>
      <c r="B111" s="156" t="s">
        <v>268</v>
      </c>
      <c r="D111" s="68">
        <f>VLOOKUP(A111,'2019-20 disagg'!A111:AZ319,43,FALSE)</f>
        <v>526612</v>
      </c>
      <c r="E111" s="73">
        <v>1782.1195412728046</v>
      </c>
      <c r="F111" s="55"/>
      <c r="G111" s="88">
        <v>497723.06722076854</v>
      </c>
      <c r="H111" s="81">
        <v>1677.5626638449403</v>
      </c>
      <c r="I111" s="90"/>
      <c r="J111" s="103">
        <f t="shared" si="19"/>
        <v>5.8042181851333696E-2</v>
      </c>
      <c r="K111" s="126">
        <f t="shared" si="19"/>
        <v>6.2326659791188899E-2</v>
      </c>
      <c r="L111" s="56">
        <v>545401</v>
      </c>
      <c r="M111" s="103">
        <v>2.8655569965333028E-2</v>
      </c>
      <c r="N111" s="97">
        <f>INDEX('Pace of change parameters'!$E$22:$I$22,1,$B$5)</f>
        <v>2.4506891160555818E-2</v>
      </c>
      <c r="O111" s="108">
        <f>MAX(IF(INDEX('Pace of change parameters'!$E$30:$I$30,1,$B$5)=1,(1+M111)*D111,D111),L111)</f>
        <v>545401</v>
      </c>
      <c r="P111" s="94">
        <f>IF(K111&lt;INDEX('Pace of change parameters'!$E$18:$I$18,1,$B$5),1,IF(K111&gt;INDEX('Pace of change parameters'!$E$19:$I$19,1,$B$5),0,(K111-INDEX('Pace of change parameters'!$E$19:$I$19,1,$B$5))/(INDEX('Pace of change parameters'!$E$18:$I$18,1,$B$5)-INDEX('Pace of change parameters'!$E$19:$I$19,1,$B$5))))</f>
        <v>0</v>
      </c>
      <c r="Q111" s="57">
        <v>2.8655569965333028E-2</v>
      </c>
      <c r="R111" s="57">
        <v>2.450689116055571E-2</v>
      </c>
      <c r="S111" s="9">
        <f>MAX(IF(INDEX('Pace of change parameters'!$E$31:$I$31,1,$B$5)=1,D111*(1+Q111),D111),L111)</f>
        <v>545401</v>
      </c>
      <c r="T111" s="103">
        <f>IF(Q111&lt;INDEX('Pace of change parameters'!$E$24:$I$24,1,$B$5),INDEX('Pace of change parameters'!$E$24:$I$24,1,$B$5),Q111)</f>
        <v>3.2992755077120454E-2</v>
      </c>
      <c r="U111" s="132">
        <v>2.8826583937230144E-2</v>
      </c>
      <c r="V111" s="117">
        <f t="shared" si="20"/>
        <v>545401</v>
      </c>
      <c r="W111" s="131">
        <f>IF(J111&gt;INDEX('Pace of change parameters'!$E$26:$I$26,1,$B$5),0,IF(J111&lt;INDEX('Pace of change parameters'!$E$25:$I$25,1,$B$5),1,(J111-INDEX('Pace of change parameters'!$E$26:$I$26,1,$B$5))/(INDEX('Pace of change parameters'!$E$25:$I$25,1,$B$5)-INDEX('Pace of change parameters'!$E$26:$I$26,1,$B$5))))</f>
        <v>0.83915636297332619</v>
      </c>
      <c r="X111" s="132">
        <f>MIN(T111, T111+(INDEX('Pace of change parameters'!$E$27:$I$27,1,$B$5)-T111)*(1-W111))</f>
        <v>2.945419506253363E-2</v>
      </c>
      <c r="Y111" s="132">
        <v>2.530229531664574E-2</v>
      </c>
      <c r="Z111" s="108">
        <f t="shared" si="21"/>
        <v>545401</v>
      </c>
      <c r="AA111" s="97">
        <f>MIN(VLOOKUP(A111,'2019-20 disagg'!$A$12:$BB$220,54,FALSE),-2.5%)</f>
        <v>-2.5000000000000001E-2</v>
      </c>
      <c r="AB111" s="99">
        <f t="shared" si="13"/>
        <v>504960.82931255084</v>
      </c>
      <c r="AC111" s="99">
        <f>MAX(IF(INDEX('Pace of change parameters'!$E$29:$I$29,1,$B$5)=1,MAX(AB111,Z111),Z111),L111)</f>
        <v>545401</v>
      </c>
      <c r="AD111" s="97">
        <f t="shared" si="14"/>
        <v>3.5679019847629778E-2</v>
      </c>
      <c r="AE111" s="146">
        <v>3.1502014712335269E-2</v>
      </c>
      <c r="AF111" s="56">
        <f t="shared" si="22"/>
        <v>545401</v>
      </c>
      <c r="AG111" s="56">
        <v>1838.2598972811206</v>
      </c>
      <c r="AH111" s="16">
        <f t="shared" si="15"/>
        <v>3.5679019847629778E-2</v>
      </c>
      <c r="AI111" s="16">
        <f t="shared" si="16"/>
        <v>3.1502014712335269E-2</v>
      </c>
      <c r="AJ111" s="56"/>
      <c r="AK111" s="56">
        <v>517908.54288466752</v>
      </c>
      <c r="AL111" s="56">
        <v>1745.5972850144824</v>
      </c>
      <c r="AM111" s="16">
        <f t="shared" si="23"/>
        <v>5.3083613879400193E-2</v>
      </c>
      <c r="AN111" s="58">
        <f t="shared" si="23"/>
        <v>5.3083613879400193E-2</v>
      </c>
      <c r="AP111" s="56">
        <f t="shared" si="17"/>
        <v>1</v>
      </c>
      <c r="AQ111" s="56">
        <f t="shared" si="18"/>
        <v>0</v>
      </c>
    </row>
    <row r="112" spans="1:43" x14ac:dyDescent="0.2">
      <c r="A112" s="156" t="s">
        <v>269</v>
      </c>
      <c r="B112" s="156" t="s">
        <v>270</v>
      </c>
      <c r="D112" s="68">
        <f>VLOOKUP(A112,'2019-20 disagg'!A112:AZ320,43,FALSE)</f>
        <v>617101</v>
      </c>
      <c r="E112" s="73">
        <v>1702.8863067502068</v>
      </c>
      <c r="F112" s="55"/>
      <c r="G112" s="88">
        <v>616318.2517924998</v>
      </c>
      <c r="H112" s="81">
        <v>1694.7200373325836</v>
      </c>
      <c r="I112" s="90"/>
      <c r="J112" s="103">
        <f t="shared" si="19"/>
        <v>1.2700389859032768E-3</v>
      </c>
      <c r="K112" s="126">
        <f t="shared" si="19"/>
        <v>4.8186539591970057E-3</v>
      </c>
      <c r="L112" s="56">
        <v>640998</v>
      </c>
      <c r="M112" s="103">
        <v>2.8137860182556151E-2</v>
      </c>
      <c r="N112" s="97">
        <f>INDEX('Pace of change parameters'!$E$22:$I$22,1,$B$5)</f>
        <v>2.4506891160555818E-2</v>
      </c>
      <c r="O112" s="108">
        <f>MAX(IF(INDEX('Pace of change parameters'!$E$30:$I$30,1,$B$5)=1,(1+M112)*D112,D112),L112)</f>
        <v>640998</v>
      </c>
      <c r="P112" s="94">
        <f>IF(K112&lt;INDEX('Pace of change parameters'!$E$18:$I$18,1,$B$5),1,IF(K112&gt;INDEX('Pace of change parameters'!$E$19:$I$19,1,$B$5),0,(K112-INDEX('Pace of change parameters'!$E$19:$I$19,1,$B$5))/(INDEX('Pace of change parameters'!$E$18:$I$18,1,$B$5)-INDEX('Pace of change parameters'!$E$19:$I$19,1,$B$5))))</f>
        <v>5.4714448360192673E-2</v>
      </c>
      <c r="Q112" s="57">
        <v>2.9021506437949096E-2</v>
      </c>
      <c r="R112" s="57">
        <v>2.5387416733106516E-2</v>
      </c>
      <c r="S112" s="9">
        <f>MAX(IF(INDEX('Pace of change parameters'!$E$31:$I$31,1,$B$5)=1,D112*(1+Q112),D112),L112)</f>
        <v>640998</v>
      </c>
      <c r="T112" s="103">
        <f>IF(Q112&lt;INDEX('Pace of change parameters'!$E$24:$I$24,1,$B$5),INDEX('Pace of change parameters'!$E$24:$I$24,1,$B$5),Q112)</f>
        <v>3.2992755077120454E-2</v>
      </c>
      <c r="U112" s="132">
        <v>2.9344640520800214E-2</v>
      </c>
      <c r="V112" s="117">
        <f t="shared" si="20"/>
        <v>640998</v>
      </c>
      <c r="W112" s="131">
        <f>IF(J112&gt;INDEX('Pace of change parameters'!$E$26:$I$26,1,$B$5),0,IF(J112&lt;INDEX('Pace of change parameters'!$E$25:$I$25,1,$B$5),1,(J112-INDEX('Pace of change parameters'!$E$26:$I$26,1,$B$5))/(INDEX('Pace of change parameters'!$E$25:$I$25,1,$B$5)-INDEX('Pace of change parameters'!$E$26:$I$26,1,$B$5))))</f>
        <v>1</v>
      </c>
      <c r="X112" s="132">
        <f>MIN(T112, T112+(INDEX('Pace of change parameters'!$E$27:$I$27,1,$B$5)-T112)*(1-W112))</f>
        <v>3.2992755077120454E-2</v>
      </c>
      <c r="Y112" s="132">
        <v>2.9344640520800214E-2</v>
      </c>
      <c r="Z112" s="108">
        <f t="shared" si="21"/>
        <v>640998</v>
      </c>
      <c r="AA112" s="97">
        <f>MIN(VLOOKUP(A112,'2019-20 disagg'!$A$12:$BB$220,54,FALSE),-2.5%)</f>
        <v>-2.5000000000000001E-2</v>
      </c>
      <c r="AB112" s="99">
        <f t="shared" si="13"/>
        <v>625621.47857532406</v>
      </c>
      <c r="AC112" s="99">
        <f>MAX(IF(INDEX('Pace of change parameters'!$E$29:$I$29,1,$B$5)=1,MAX(AB112,Z112),Z112),L112)</f>
        <v>640998</v>
      </c>
      <c r="AD112" s="97">
        <f t="shared" si="14"/>
        <v>3.8724617202046341E-2</v>
      </c>
      <c r="AE112" s="146">
        <v>3.5056260016191665E-2</v>
      </c>
      <c r="AF112" s="56">
        <f t="shared" si="22"/>
        <v>640998</v>
      </c>
      <c r="AG112" s="56">
        <v>1762.5831318976545</v>
      </c>
      <c r="AH112" s="16">
        <f t="shared" si="15"/>
        <v>3.8724617202046341E-2</v>
      </c>
      <c r="AI112" s="16">
        <f t="shared" si="16"/>
        <v>3.5056260016191665E-2</v>
      </c>
      <c r="AJ112" s="56"/>
      <c r="AK112" s="56">
        <v>641663.0549490503</v>
      </c>
      <c r="AL112" s="56">
        <v>1764.4118655832217</v>
      </c>
      <c r="AM112" s="16">
        <f t="shared" si="23"/>
        <v>-1.0364551050910942E-3</v>
      </c>
      <c r="AN112" s="58">
        <f t="shared" si="23"/>
        <v>-1.0364551050912052E-3</v>
      </c>
      <c r="AP112" s="56">
        <f t="shared" si="17"/>
        <v>1</v>
      </c>
      <c r="AQ112" s="56">
        <f t="shared" si="18"/>
        <v>0</v>
      </c>
    </row>
    <row r="113" spans="1:43" x14ac:dyDescent="0.2">
      <c r="A113" s="156" t="s">
        <v>271</v>
      </c>
      <c r="B113" s="156" t="s">
        <v>272</v>
      </c>
      <c r="D113" s="68">
        <f>VLOOKUP(A113,'2019-20 disagg'!A113:AZ321,43,FALSE)</f>
        <v>253586</v>
      </c>
      <c r="E113" s="73">
        <v>1649.0743805685895</v>
      </c>
      <c r="F113" s="55"/>
      <c r="G113" s="88">
        <v>258865.52538387006</v>
      </c>
      <c r="H113" s="81">
        <v>1673.4351488209811</v>
      </c>
      <c r="I113" s="90"/>
      <c r="J113" s="103">
        <f t="shared" si="19"/>
        <v>-2.0394857044177983E-2</v>
      </c>
      <c r="K113" s="126">
        <f t="shared" si="19"/>
        <v>-1.4557342284554631E-2</v>
      </c>
      <c r="L113" s="56">
        <v>263440</v>
      </c>
      <c r="M113" s="103">
        <v>3.0611977624720232E-2</v>
      </c>
      <c r="N113" s="97">
        <f>INDEX('Pace of change parameters'!$E$22:$I$22,1,$B$5)</f>
        <v>2.4506891160555818E-2</v>
      </c>
      <c r="O113" s="108">
        <f>MAX(IF(INDEX('Pace of change parameters'!$E$30:$I$30,1,$B$5)=1,(1+M113)*D113,D113),L113)</f>
        <v>263440</v>
      </c>
      <c r="P113" s="94">
        <f>IF(K113&lt;INDEX('Pace of change parameters'!$E$18:$I$18,1,$B$5),1,IF(K113&gt;INDEX('Pace of change parameters'!$E$19:$I$19,1,$B$5),0,(K113-INDEX('Pace of change parameters'!$E$19:$I$19,1,$B$5))/(INDEX('Pace of change parameters'!$E$18:$I$18,1,$B$5)-INDEX('Pace of change parameters'!$E$19:$I$19,1,$B$5))))</f>
        <v>0.69026978428178565</v>
      </c>
      <c r="Q113" s="57">
        <v>4.1786761001347594E-2</v>
      </c>
      <c r="R113" s="57">
        <v>3.5615477927582351E-2</v>
      </c>
      <c r="S113" s="9">
        <f>MAX(IF(INDEX('Pace of change parameters'!$E$31:$I$31,1,$B$5)=1,D113*(1+Q113),D113),L113)</f>
        <v>264182.53757528774</v>
      </c>
      <c r="T113" s="103">
        <f>IF(Q113&lt;INDEX('Pace of change parameters'!$E$24:$I$24,1,$B$5),INDEX('Pace of change parameters'!$E$24:$I$24,1,$B$5),Q113)</f>
        <v>4.1786761001347594E-2</v>
      </c>
      <c r="U113" s="132">
        <v>3.5615477927582351E-2</v>
      </c>
      <c r="V113" s="117">
        <f t="shared" si="20"/>
        <v>264182.53757528774</v>
      </c>
      <c r="W113" s="131">
        <f>IF(J113&gt;INDEX('Pace of change parameters'!$E$26:$I$26,1,$B$5),0,IF(J113&lt;INDEX('Pace of change parameters'!$E$25:$I$25,1,$B$5),1,(J113-INDEX('Pace of change parameters'!$E$26:$I$26,1,$B$5))/(INDEX('Pace of change parameters'!$E$25:$I$25,1,$B$5)-INDEX('Pace of change parameters'!$E$26:$I$26,1,$B$5))))</f>
        <v>1</v>
      </c>
      <c r="X113" s="132">
        <f>MIN(T113, T113+(INDEX('Pace of change parameters'!$E$27:$I$27,1,$B$5)-T113)*(1-W113))</f>
        <v>4.1786761001347594E-2</v>
      </c>
      <c r="Y113" s="132">
        <v>3.5615477927582351E-2</v>
      </c>
      <c r="Z113" s="108">
        <f t="shared" si="21"/>
        <v>264182.53757528774</v>
      </c>
      <c r="AA113" s="97">
        <f>MIN(VLOOKUP(A113,'2019-20 disagg'!$A$12:$BB$220,54,FALSE),-2.5%)</f>
        <v>-2.5000000000000001E-2</v>
      </c>
      <c r="AB113" s="99">
        <f t="shared" si="13"/>
        <v>262657.38042360864</v>
      </c>
      <c r="AC113" s="99">
        <f>MAX(IF(INDEX('Pace of change parameters'!$E$29:$I$29,1,$B$5)=1,MAX(AB113,Z113),Z113),L113)</f>
        <v>264182.53757528774</v>
      </c>
      <c r="AD113" s="97">
        <f t="shared" si="14"/>
        <v>4.1786761001347594E-2</v>
      </c>
      <c r="AE113" s="146">
        <v>3.5615477927582351E-2</v>
      </c>
      <c r="AF113" s="56">
        <f t="shared" si="22"/>
        <v>264182.53757528774</v>
      </c>
      <c r="AG113" s="56">
        <v>1707.8069527706716</v>
      </c>
      <c r="AH113" s="16">
        <f t="shared" si="15"/>
        <v>4.1786761001347594E-2</v>
      </c>
      <c r="AI113" s="16">
        <f t="shared" si="16"/>
        <v>3.5615477927582351E-2</v>
      </c>
      <c r="AJ113" s="56"/>
      <c r="AK113" s="56">
        <v>269392.18504985503</v>
      </c>
      <c r="AL113" s="56">
        <v>1741.4846979396334</v>
      </c>
      <c r="AM113" s="16">
        <f t="shared" si="23"/>
        <v>-1.9338524885579633E-2</v>
      </c>
      <c r="AN113" s="58">
        <f t="shared" si="23"/>
        <v>-1.9338524885579633E-2</v>
      </c>
      <c r="AP113" s="56">
        <f t="shared" si="17"/>
        <v>0</v>
      </c>
      <c r="AQ113" s="56">
        <f t="shared" si="18"/>
        <v>0</v>
      </c>
    </row>
    <row r="114" spans="1:43" x14ac:dyDescent="0.2">
      <c r="A114" s="156" t="s">
        <v>273</v>
      </c>
      <c r="B114" s="156" t="s">
        <v>274</v>
      </c>
      <c r="D114" s="68">
        <f>VLOOKUP(A114,'2019-20 disagg'!A114:AZ322,43,FALSE)</f>
        <v>161489</v>
      </c>
      <c r="E114" s="73">
        <v>1660.8837087915224</v>
      </c>
      <c r="F114" s="55"/>
      <c r="G114" s="88">
        <v>161714.384683685</v>
      </c>
      <c r="H114" s="81">
        <v>1652.3892262612619</v>
      </c>
      <c r="I114" s="90"/>
      <c r="J114" s="103">
        <f t="shared" si="19"/>
        <v>-1.3937206892624676E-3</v>
      </c>
      <c r="K114" s="126">
        <f t="shared" si="19"/>
        <v>5.1407273754018323E-3</v>
      </c>
      <c r="L114" s="56">
        <v>167781</v>
      </c>
      <c r="M114" s="103">
        <v>3.1210821639342967E-2</v>
      </c>
      <c r="N114" s="97">
        <f>INDEX('Pace of change parameters'!$E$22:$I$22,1,$B$5)</f>
        <v>2.4506891160555818E-2</v>
      </c>
      <c r="O114" s="108">
        <f>MAX(IF(INDEX('Pace of change parameters'!$E$30:$I$30,1,$B$5)=1,(1+M114)*D114,D114),L114)</f>
        <v>167781</v>
      </c>
      <c r="P114" s="94">
        <f>IF(K114&lt;INDEX('Pace of change parameters'!$E$18:$I$18,1,$B$5),1,IF(K114&gt;INDEX('Pace of change parameters'!$E$19:$I$19,1,$B$5),0,(K114-INDEX('Pace of change parameters'!$E$19:$I$19,1,$B$5))/(INDEX('Pace of change parameters'!$E$18:$I$18,1,$B$5)-INDEX('Pace of change parameters'!$E$19:$I$19,1,$B$5))))</f>
        <v>4.4150063662116372E-2</v>
      </c>
      <c r="Q114" s="57">
        <v>3.1925982701250799E-2</v>
      </c>
      <c r="R114" s="57">
        <v>2.5217402940338696E-2</v>
      </c>
      <c r="S114" s="9">
        <f>MAX(IF(INDEX('Pace of change parameters'!$E$31:$I$31,1,$B$5)=1,D114*(1+Q114),D114),L114)</f>
        <v>167781</v>
      </c>
      <c r="T114" s="103">
        <f>IF(Q114&lt;INDEX('Pace of change parameters'!$E$24:$I$24,1,$B$5),INDEX('Pace of change parameters'!$E$24:$I$24,1,$B$5),Q114)</f>
        <v>3.2992755077120454E-2</v>
      </c>
      <c r="U114" s="132">
        <v>2.6277240199067853E-2</v>
      </c>
      <c r="V114" s="117">
        <f t="shared" si="20"/>
        <v>167781</v>
      </c>
      <c r="W114" s="131">
        <f>IF(J114&gt;INDEX('Pace of change parameters'!$E$26:$I$26,1,$B$5),0,IF(J114&lt;INDEX('Pace of change parameters'!$E$25:$I$25,1,$B$5),1,(J114-INDEX('Pace of change parameters'!$E$26:$I$26,1,$B$5))/(INDEX('Pace of change parameters'!$E$25:$I$25,1,$B$5)-INDEX('Pace of change parameters'!$E$26:$I$26,1,$B$5))))</f>
        <v>1</v>
      </c>
      <c r="X114" s="132">
        <f>MIN(T114, T114+(INDEX('Pace of change parameters'!$E$27:$I$27,1,$B$5)-T114)*(1-W114))</f>
        <v>3.2992755077120454E-2</v>
      </c>
      <c r="Y114" s="132">
        <v>2.6277240199067853E-2</v>
      </c>
      <c r="Z114" s="108">
        <f t="shared" si="21"/>
        <v>167781</v>
      </c>
      <c r="AA114" s="97">
        <f>MIN(VLOOKUP(A114,'2019-20 disagg'!$A$12:$BB$220,54,FALSE),-2.5%)</f>
        <v>-2.5000000000000001E-2</v>
      </c>
      <c r="AB114" s="99">
        <f t="shared" si="13"/>
        <v>164082.28341448979</v>
      </c>
      <c r="AC114" s="99">
        <f>MAX(IF(INDEX('Pace of change parameters'!$E$29:$I$29,1,$B$5)=1,MAX(AB114,Z114),Z114),L114)</f>
        <v>167781</v>
      </c>
      <c r="AD114" s="97">
        <f t="shared" si="14"/>
        <v>3.8962406108155934E-2</v>
      </c>
      <c r="AE114" s="146">
        <v>3.2208082361291135E-2</v>
      </c>
      <c r="AF114" s="56">
        <f t="shared" si="22"/>
        <v>167781</v>
      </c>
      <c r="AG114" s="56">
        <v>1714.3775880768067</v>
      </c>
      <c r="AH114" s="16">
        <f t="shared" si="15"/>
        <v>3.8962406108155934E-2</v>
      </c>
      <c r="AI114" s="16">
        <f t="shared" si="16"/>
        <v>3.2208082361291357E-2</v>
      </c>
      <c r="AJ114" s="56"/>
      <c r="AK114" s="56">
        <v>168289.52145075877</v>
      </c>
      <c r="AL114" s="56">
        <v>1719.5736339832986</v>
      </c>
      <c r="AM114" s="16">
        <f t="shared" si="23"/>
        <v>-3.0217059646673317E-3</v>
      </c>
      <c r="AN114" s="58">
        <f t="shared" si="23"/>
        <v>-3.0217059646673317E-3</v>
      </c>
      <c r="AP114" s="56">
        <f t="shared" si="17"/>
        <v>1</v>
      </c>
      <c r="AQ114" s="56">
        <f t="shared" si="18"/>
        <v>0</v>
      </c>
    </row>
    <row r="115" spans="1:43" x14ac:dyDescent="0.2">
      <c r="A115" s="156" t="s">
        <v>275</v>
      </c>
      <c r="B115" s="156" t="s">
        <v>276</v>
      </c>
      <c r="D115" s="68">
        <f>VLOOKUP(A115,'2019-20 disagg'!A115:AZ323,43,FALSE)</f>
        <v>190453</v>
      </c>
      <c r="E115" s="73">
        <v>1492.7204919229064</v>
      </c>
      <c r="F115" s="55"/>
      <c r="G115" s="88">
        <v>194098.82139893217</v>
      </c>
      <c r="H115" s="81">
        <v>1510.9213954338722</v>
      </c>
      <c r="I115" s="90"/>
      <c r="J115" s="103">
        <f t="shared" si="19"/>
        <v>-1.8783325795878492E-2</v>
      </c>
      <c r="K115" s="126">
        <f t="shared" si="19"/>
        <v>-1.2046227928183773E-2</v>
      </c>
      <c r="L115" s="56">
        <v>197887</v>
      </c>
      <c r="M115" s="103">
        <v>3.1541222489540388E-2</v>
      </c>
      <c r="N115" s="97">
        <f>INDEX('Pace of change parameters'!$E$22:$I$22,1,$B$5)</f>
        <v>2.4506891160555818E-2</v>
      </c>
      <c r="O115" s="108">
        <f>MAX(IF(INDEX('Pace of change parameters'!$E$30:$I$30,1,$B$5)=1,(1+M115)*D115,D115),L115)</f>
        <v>197887</v>
      </c>
      <c r="P115" s="94">
        <f>IF(K115&lt;INDEX('Pace of change parameters'!$E$18:$I$18,1,$B$5),1,IF(K115&gt;INDEX('Pace of change parameters'!$E$19:$I$19,1,$B$5),0,(K115-INDEX('Pace of change parameters'!$E$19:$I$19,1,$B$5))/(INDEX('Pace of change parameters'!$E$18:$I$18,1,$B$5)-INDEX('Pace of change parameters'!$E$19:$I$19,1,$B$5))))</f>
        <v>0.60790229678727936</v>
      </c>
      <c r="Q115" s="57">
        <v>4.1391431293120062E-2</v>
      </c>
      <c r="R115" s="57">
        <v>3.4289928986501517E-2</v>
      </c>
      <c r="S115" s="9">
        <f>MAX(IF(INDEX('Pace of change parameters'!$E$31:$I$31,1,$B$5)=1,D115*(1+Q115),D115),L115)</f>
        <v>198336.1222640686</v>
      </c>
      <c r="T115" s="103">
        <f>IF(Q115&lt;INDEX('Pace of change parameters'!$E$24:$I$24,1,$B$5),INDEX('Pace of change parameters'!$E$24:$I$24,1,$B$5),Q115)</f>
        <v>4.1391431293120062E-2</v>
      </c>
      <c r="U115" s="132">
        <v>3.4289928986501517E-2</v>
      </c>
      <c r="V115" s="117">
        <f t="shared" si="20"/>
        <v>198336.1222640686</v>
      </c>
      <c r="W115" s="131">
        <f>IF(J115&gt;INDEX('Pace of change parameters'!$E$26:$I$26,1,$B$5),0,IF(J115&lt;INDEX('Pace of change parameters'!$E$25:$I$25,1,$B$5),1,(J115-INDEX('Pace of change parameters'!$E$26:$I$26,1,$B$5))/(INDEX('Pace of change parameters'!$E$25:$I$25,1,$B$5)-INDEX('Pace of change parameters'!$E$26:$I$26,1,$B$5))))</f>
        <v>1</v>
      </c>
      <c r="X115" s="132">
        <f>MIN(T115, T115+(INDEX('Pace of change parameters'!$E$27:$I$27,1,$B$5)-T115)*(1-W115))</f>
        <v>4.1391431293120062E-2</v>
      </c>
      <c r="Y115" s="132">
        <v>3.4289928986501517E-2</v>
      </c>
      <c r="Z115" s="108">
        <f t="shared" si="21"/>
        <v>198336.1222640686</v>
      </c>
      <c r="AA115" s="97">
        <f>MIN(VLOOKUP(A115,'2019-20 disagg'!$A$12:$BB$220,54,FALSE),-2.5%)</f>
        <v>-2.5000000000000001E-2</v>
      </c>
      <c r="AB115" s="99">
        <f t="shared" si="13"/>
        <v>196929.27100710434</v>
      </c>
      <c r="AC115" s="99">
        <f>MAX(IF(INDEX('Pace of change parameters'!$E$29:$I$29,1,$B$5)=1,MAX(AB115,Z115),Z115),L115)</f>
        <v>198336.1222640686</v>
      </c>
      <c r="AD115" s="97">
        <f t="shared" si="14"/>
        <v>4.1391431293120062E-2</v>
      </c>
      <c r="AE115" s="146">
        <v>3.4289928986501517E-2</v>
      </c>
      <c r="AF115" s="56">
        <f t="shared" si="22"/>
        <v>198336.1222640686</v>
      </c>
      <c r="AG115" s="56">
        <v>1543.9057715876386</v>
      </c>
      <c r="AH115" s="16">
        <f t="shared" si="15"/>
        <v>4.1391431293120062E-2</v>
      </c>
      <c r="AI115" s="16">
        <f t="shared" si="16"/>
        <v>3.4289928986501517E-2</v>
      </c>
      <c r="AJ115" s="56"/>
      <c r="AK115" s="56">
        <v>201978.73949446599</v>
      </c>
      <c r="AL115" s="56">
        <v>1572.2609582349171</v>
      </c>
      <c r="AM115" s="16">
        <f t="shared" si="23"/>
        <v>-1.8034656714436936E-2</v>
      </c>
      <c r="AN115" s="58">
        <f t="shared" si="23"/>
        <v>-1.8034656714437047E-2</v>
      </c>
      <c r="AP115" s="56">
        <f t="shared" si="17"/>
        <v>0</v>
      </c>
      <c r="AQ115" s="56">
        <f t="shared" si="18"/>
        <v>0</v>
      </c>
    </row>
    <row r="116" spans="1:43" x14ac:dyDescent="0.2">
      <c r="A116" s="156" t="s">
        <v>277</v>
      </c>
      <c r="B116" s="156" t="s">
        <v>278</v>
      </c>
      <c r="D116" s="68">
        <f>VLOOKUP(A116,'2019-20 disagg'!A116:AZ324,43,FALSE)</f>
        <v>268795</v>
      </c>
      <c r="E116" s="73">
        <v>1591.0803601535974</v>
      </c>
      <c r="F116" s="55"/>
      <c r="G116" s="88">
        <v>274302.00245415349</v>
      </c>
      <c r="H116" s="81">
        <v>1609.9020174031264</v>
      </c>
      <c r="I116" s="90"/>
      <c r="J116" s="103">
        <f t="shared" si="19"/>
        <v>-2.0076420896978031E-2</v>
      </c>
      <c r="K116" s="126">
        <f t="shared" si="19"/>
        <v>-1.1691181852103938E-2</v>
      </c>
      <c r="L116" s="56">
        <v>278858</v>
      </c>
      <c r="M116" s="103">
        <v>3.3273631107119339E-2</v>
      </c>
      <c r="N116" s="97">
        <f>INDEX('Pace of change parameters'!$E$22:$I$22,1,$B$5)</f>
        <v>2.4506891160555818E-2</v>
      </c>
      <c r="O116" s="108">
        <f>MAX(IF(INDEX('Pace of change parameters'!$E$30:$I$30,1,$B$5)=1,(1+M116)*D116,D116),L116)</f>
        <v>278858</v>
      </c>
      <c r="P116" s="94">
        <f>IF(K116&lt;INDEX('Pace of change parameters'!$E$18:$I$18,1,$B$5),1,IF(K116&gt;INDEX('Pace of change parameters'!$E$19:$I$19,1,$B$5),0,(K116-INDEX('Pace of change parameters'!$E$19:$I$19,1,$B$5))/(INDEX('Pace of change parameters'!$E$18:$I$18,1,$B$5)-INDEX('Pace of change parameters'!$E$19:$I$19,1,$B$5))))</f>
        <v>0.59625637028565071</v>
      </c>
      <c r="Q116" s="57">
        <v>4.2951359802172018E-2</v>
      </c>
      <c r="R116" s="57">
        <v>3.4102509823774829E-2</v>
      </c>
      <c r="S116" s="9">
        <f>MAX(IF(INDEX('Pace of change parameters'!$E$31:$I$31,1,$B$5)=1,D116*(1+Q116),D116),L116)</f>
        <v>280340.11075802485</v>
      </c>
      <c r="T116" s="103">
        <f>IF(Q116&lt;INDEX('Pace of change parameters'!$E$24:$I$24,1,$B$5),INDEX('Pace of change parameters'!$E$24:$I$24,1,$B$5),Q116)</f>
        <v>4.2951359802172018E-2</v>
      </c>
      <c r="U116" s="132">
        <v>3.4102509823774829E-2</v>
      </c>
      <c r="V116" s="117">
        <f t="shared" si="20"/>
        <v>280340.11075802485</v>
      </c>
      <c r="W116" s="131">
        <f>IF(J116&gt;INDEX('Pace of change parameters'!$E$26:$I$26,1,$B$5),0,IF(J116&lt;INDEX('Pace of change parameters'!$E$25:$I$25,1,$B$5),1,(J116-INDEX('Pace of change parameters'!$E$26:$I$26,1,$B$5))/(INDEX('Pace of change parameters'!$E$25:$I$25,1,$B$5)-INDEX('Pace of change parameters'!$E$26:$I$26,1,$B$5))))</f>
        <v>1</v>
      </c>
      <c r="X116" s="132">
        <f>MIN(T116, T116+(INDEX('Pace of change parameters'!$E$27:$I$27,1,$B$5)-T116)*(1-W116))</f>
        <v>4.2951359802172018E-2</v>
      </c>
      <c r="Y116" s="132">
        <v>3.4102509823774829E-2</v>
      </c>
      <c r="Z116" s="108">
        <f t="shared" si="21"/>
        <v>280340.11075802485</v>
      </c>
      <c r="AA116" s="97">
        <f>MIN(VLOOKUP(A116,'2019-20 disagg'!$A$12:$BB$220,54,FALSE),-2.5%)</f>
        <v>-2.5000000000000001E-2</v>
      </c>
      <c r="AB116" s="99">
        <f t="shared" si="13"/>
        <v>278269.64664101275</v>
      </c>
      <c r="AC116" s="99">
        <f>MAX(IF(INDEX('Pace of change parameters'!$E$29:$I$29,1,$B$5)=1,MAX(AB116,Z116),Z116),L116)</f>
        <v>280340.11075802485</v>
      </c>
      <c r="AD116" s="97">
        <f t="shared" si="14"/>
        <v>4.2951359802172018E-2</v>
      </c>
      <c r="AE116" s="146">
        <v>3.4102509823774829E-2</v>
      </c>
      <c r="AF116" s="56">
        <f t="shared" si="22"/>
        <v>280340.11075802485</v>
      </c>
      <c r="AG116" s="56">
        <v>1645.3401937661511</v>
      </c>
      <c r="AH116" s="16">
        <f t="shared" si="15"/>
        <v>4.2951359802172018E-2</v>
      </c>
      <c r="AI116" s="16">
        <f t="shared" si="16"/>
        <v>3.4102509823775051E-2</v>
      </c>
      <c r="AJ116" s="56"/>
      <c r="AK116" s="56">
        <v>285404.76578565413</v>
      </c>
      <c r="AL116" s="56">
        <v>1675.0650892225524</v>
      </c>
      <c r="AM116" s="16">
        <f t="shared" si="23"/>
        <v>-1.774551666538382E-2</v>
      </c>
      <c r="AN116" s="58">
        <f t="shared" si="23"/>
        <v>-1.7745516665383709E-2</v>
      </c>
      <c r="AP116" s="56">
        <f t="shared" si="17"/>
        <v>0</v>
      </c>
      <c r="AQ116" s="56">
        <f t="shared" si="18"/>
        <v>0</v>
      </c>
    </row>
    <row r="117" spans="1:43" x14ac:dyDescent="0.2">
      <c r="A117" s="156" t="s">
        <v>279</v>
      </c>
      <c r="B117" s="156" t="s">
        <v>280</v>
      </c>
      <c r="D117" s="68">
        <f>VLOOKUP(A117,'2019-20 disagg'!A117:AZ325,43,FALSE)</f>
        <v>216923</v>
      </c>
      <c r="E117" s="73">
        <v>1591.7984106059419</v>
      </c>
      <c r="F117" s="55"/>
      <c r="G117" s="88">
        <v>218061.40446450451</v>
      </c>
      <c r="H117" s="81">
        <v>1587.9745556686216</v>
      </c>
      <c r="I117" s="90"/>
      <c r="J117" s="103">
        <f t="shared" si="19"/>
        <v>-5.2205683408308445E-3</v>
      </c>
      <c r="K117" s="126">
        <f t="shared" si="19"/>
        <v>2.4080076873209677E-3</v>
      </c>
      <c r="L117" s="56">
        <v>225094</v>
      </c>
      <c r="M117" s="103">
        <v>3.2363435497774651E-2</v>
      </c>
      <c r="N117" s="97">
        <f>INDEX('Pace of change parameters'!$E$22:$I$22,1,$B$5)</f>
        <v>2.4506891160555818E-2</v>
      </c>
      <c r="O117" s="108">
        <f>MAX(IF(INDEX('Pace of change parameters'!$E$30:$I$30,1,$B$5)=1,(1+M117)*D117,D117),L117)</f>
        <v>225094</v>
      </c>
      <c r="P117" s="94">
        <f>IF(K117&lt;INDEX('Pace of change parameters'!$E$18:$I$18,1,$B$5),1,IF(K117&gt;INDEX('Pace of change parameters'!$E$19:$I$19,1,$B$5),0,(K117-INDEX('Pace of change parameters'!$E$19:$I$19,1,$B$5))/(INDEX('Pace of change parameters'!$E$18:$I$18,1,$B$5)-INDEX('Pace of change parameters'!$E$19:$I$19,1,$B$5))))</f>
        <v>0.13378646519155338</v>
      </c>
      <c r="Q117" s="57">
        <v>3.4532986469686389E-2</v>
      </c>
      <c r="R117" s="57">
        <v>2.6659931306127982E-2</v>
      </c>
      <c r="S117" s="9">
        <f>MAX(IF(INDEX('Pace of change parameters'!$E$31:$I$31,1,$B$5)=1,D117*(1+Q117),D117),L117)</f>
        <v>225094</v>
      </c>
      <c r="T117" s="103">
        <f>IF(Q117&lt;INDEX('Pace of change parameters'!$E$24:$I$24,1,$B$5),INDEX('Pace of change parameters'!$E$24:$I$24,1,$B$5),Q117)</f>
        <v>3.4532986469686389E-2</v>
      </c>
      <c r="U117" s="132">
        <v>2.6659931306127982E-2</v>
      </c>
      <c r="V117" s="117">
        <f t="shared" si="20"/>
        <v>225094</v>
      </c>
      <c r="W117" s="131">
        <f>IF(J117&gt;INDEX('Pace of change parameters'!$E$26:$I$26,1,$B$5),0,IF(J117&lt;INDEX('Pace of change parameters'!$E$25:$I$25,1,$B$5),1,(J117-INDEX('Pace of change parameters'!$E$26:$I$26,1,$B$5))/(INDEX('Pace of change parameters'!$E$25:$I$25,1,$B$5)-INDEX('Pace of change parameters'!$E$26:$I$26,1,$B$5))))</f>
        <v>1</v>
      </c>
      <c r="X117" s="132">
        <f>MIN(T117, T117+(INDEX('Pace of change parameters'!$E$27:$I$27,1,$B$5)-T117)*(1-W117))</f>
        <v>3.4532986469686389E-2</v>
      </c>
      <c r="Y117" s="132">
        <v>2.6659931306127982E-2</v>
      </c>
      <c r="Z117" s="108">
        <f t="shared" si="21"/>
        <v>225094</v>
      </c>
      <c r="AA117" s="97">
        <f>MIN(VLOOKUP(A117,'2019-20 disagg'!$A$12:$BB$220,54,FALSE),-2.5%)</f>
        <v>-2.5000000000000001E-2</v>
      </c>
      <c r="AB117" s="99">
        <f t="shared" si="13"/>
        <v>221262.62284279487</v>
      </c>
      <c r="AC117" s="99">
        <f>MAX(IF(INDEX('Pace of change parameters'!$E$29:$I$29,1,$B$5)=1,MAX(AB117,Z117),Z117),L117)</f>
        <v>225094</v>
      </c>
      <c r="AD117" s="97">
        <f t="shared" si="14"/>
        <v>3.7667743853809776E-2</v>
      </c>
      <c r="AE117" s="146">
        <v>2.9770832401343927E-2</v>
      </c>
      <c r="AF117" s="56">
        <f t="shared" si="22"/>
        <v>225094</v>
      </c>
      <c r="AG117" s="56">
        <v>1639.187574304817</v>
      </c>
      <c r="AH117" s="16">
        <f t="shared" si="15"/>
        <v>3.7667743853809776E-2</v>
      </c>
      <c r="AI117" s="16">
        <f t="shared" si="16"/>
        <v>2.9770832401343927E-2</v>
      </c>
      <c r="AJ117" s="56"/>
      <c r="AK117" s="56">
        <v>226936.02342850756</v>
      </c>
      <c r="AL117" s="56">
        <v>1652.6016231714591</v>
      </c>
      <c r="AM117" s="16">
        <f t="shared" si="23"/>
        <v>-8.1169282896501604E-3</v>
      </c>
      <c r="AN117" s="58">
        <f t="shared" si="23"/>
        <v>-8.1169282896501604E-3</v>
      </c>
      <c r="AP117" s="56">
        <f t="shared" si="17"/>
        <v>1</v>
      </c>
      <c r="AQ117" s="56">
        <f t="shared" si="18"/>
        <v>0</v>
      </c>
    </row>
    <row r="118" spans="1:43" x14ac:dyDescent="0.2">
      <c r="A118" s="156" t="s">
        <v>281</v>
      </c>
      <c r="B118" s="156" t="s">
        <v>282</v>
      </c>
      <c r="D118" s="68">
        <f>VLOOKUP(A118,'2019-20 disagg'!A118:AZ326,43,FALSE)</f>
        <v>903762</v>
      </c>
      <c r="E118" s="73">
        <v>1616.3617245404153</v>
      </c>
      <c r="F118" s="55"/>
      <c r="G118" s="88">
        <v>915440.18051857781</v>
      </c>
      <c r="H118" s="81">
        <v>1626.2015104146178</v>
      </c>
      <c r="I118" s="90"/>
      <c r="J118" s="103">
        <f t="shared" si="19"/>
        <v>-1.275690183487721E-2</v>
      </c>
      <c r="K118" s="126">
        <f t="shared" si="19"/>
        <v>-6.0507789540139578E-3</v>
      </c>
      <c r="L118" s="56">
        <v>938901</v>
      </c>
      <c r="M118" s="103">
        <v>3.1466138702709312E-2</v>
      </c>
      <c r="N118" s="97">
        <f>INDEX('Pace of change parameters'!$E$22:$I$22,1,$B$5)</f>
        <v>2.4506891160555818E-2</v>
      </c>
      <c r="O118" s="108">
        <f>MAX(IF(INDEX('Pace of change parameters'!$E$30:$I$30,1,$B$5)=1,(1+M118)*D118,D118),L118)</f>
        <v>938901</v>
      </c>
      <c r="P118" s="94">
        <f>IF(K118&lt;INDEX('Pace of change parameters'!$E$18:$I$18,1,$B$5),1,IF(K118&gt;INDEX('Pace of change parameters'!$E$19:$I$19,1,$B$5),0,(K118-INDEX('Pace of change parameters'!$E$19:$I$19,1,$B$5))/(INDEX('Pace of change parameters'!$E$18:$I$18,1,$B$5)-INDEX('Pace of change parameters'!$E$19:$I$19,1,$B$5))))</f>
        <v>0.41124455909763374</v>
      </c>
      <c r="Q118" s="57">
        <v>3.8129298136560852E-2</v>
      </c>
      <c r="R118" s="57">
        <v>3.112509460974322E-2</v>
      </c>
      <c r="S118" s="9">
        <f>MAX(IF(INDEX('Pace of change parameters'!$E$31:$I$31,1,$B$5)=1,D118*(1+Q118),D118),L118)</f>
        <v>938901</v>
      </c>
      <c r="T118" s="103">
        <f>IF(Q118&lt;INDEX('Pace of change parameters'!$E$24:$I$24,1,$B$5),INDEX('Pace of change parameters'!$E$24:$I$24,1,$B$5),Q118)</f>
        <v>3.8129298136560852E-2</v>
      </c>
      <c r="U118" s="132">
        <v>3.112509460974322E-2</v>
      </c>
      <c r="V118" s="117">
        <f t="shared" si="20"/>
        <v>938901</v>
      </c>
      <c r="W118" s="131">
        <f>IF(J118&gt;INDEX('Pace of change parameters'!$E$26:$I$26,1,$B$5),0,IF(J118&lt;INDEX('Pace of change parameters'!$E$25:$I$25,1,$B$5),1,(J118-INDEX('Pace of change parameters'!$E$26:$I$26,1,$B$5))/(INDEX('Pace of change parameters'!$E$25:$I$25,1,$B$5)-INDEX('Pace of change parameters'!$E$26:$I$26,1,$B$5))))</f>
        <v>1</v>
      </c>
      <c r="X118" s="132">
        <f>MIN(T118, T118+(INDEX('Pace of change parameters'!$E$27:$I$27,1,$B$5)-T118)*(1-W118))</f>
        <v>3.8129298136560852E-2</v>
      </c>
      <c r="Y118" s="132">
        <v>3.112509460974322E-2</v>
      </c>
      <c r="Z118" s="108">
        <f t="shared" si="21"/>
        <v>938901</v>
      </c>
      <c r="AA118" s="97">
        <f>MIN(VLOOKUP(A118,'2019-20 disagg'!$A$12:$BB$220,54,FALSE),-2.5%)</f>
        <v>-2.5000000000000001E-2</v>
      </c>
      <c r="AB118" s="99">
        <f t="shared" si="13"/>
        <v>928710.81915946794</v>
      </c>
      <c r="AC118" s="99">
        <f>MAX(IF(INDEX('Pace of change parameters'!$E$29:$I$29,1,$B$5)=1,MAX(AB118,Z118),Z118),L118)</f>
        <v>938901</v>
      </c>
      <c r="AD118" s="97">
        <f t="shared" si="14"/>
        <v>3.8880811541091465E-2</v>
      </c>
      <c r="AE118" s="146">
        <v>3.187153759303829E-2</v>
      </c>
      <c r="AF118" s="56">
        <f t="shared" si="22"/>
        <v>938901</v>
      </c>
      <c r="AG118" s="56">
        <v>1667.8776580080532</v>
      </c>
      <c r="AH118" s="16">
        <f t="shared" si="15"/>
        <v>3.8880811541091465E-2</v>
      </c>
      <c r="AI118" s="16">
        <f t="shared" si="16"/>
        <v>3.187153759303829E-2</v>
      </c>
      <c r="AJ118" s="56"/>
      <c r="AK118" s="56">
        <v>952523.91708663385</v>
      </c>
      <c r="AL118" s="56">
        <v>1692.0776099153286</v>
      </c>
      <c r="AM118" s="16">
        <f t="shared" si="23"/>
        <v>-1.4301916038287565E-2</v>
      </c>
      <c r="AN118" s="58">
        <f t="shared" si="23"/>
        <v>-1.4301916038287565E-2</v>
      </c>
      <c r="AP118" s="56">
        <f t="shared" si="17"/>
        <v>1</v>
      </c>
      <c r="AQ118" s="56">
        <f t="shared" si="18"/>
        <v>0</v>
      </c>
    </row>
    <row r="119" spans="1:43" x14ac:dyDescent="0.2">
      <c r="A119" s="156" t="s">
        <v>283</v>
      </c>
      <c r="B119" s="156" t="s">
        <v>284</v>
      </c>
      <c r="D119" s="68">
        <f>VLOOKUP(A119,'2019-20 disagg'!A119:AZ327,43,FALSE)</f>
        <v>572646</v>
      </c>
      <c r="E119" s="73">
        <v>1472.5989747316353</v>
      </c>
      <c r="F119" s="55"/>
      <c r="G119" s="88">
        <v>582923.64818861056</v>
      </c>
      <c r="H119" s="81">
        <v>1489.5840975950741</v>
      </c>
      <c r="I119" s="90"/>
      <c r="J119" s="103">
        <f t="shared" si="19"/>
        <v>-1.7631208170311052E-2</v>
      </c>
      <c r="K119" s="126">
        <f t="shared" si="19"/>
        <v>-1.1402594113928299E-2</v>
      </c>
      <c r="L119" s="56">
        <v>594934</v>
      </c>
      <c r="M119" s="103">
        <v>3.1002677749274898E-2</v>
      </c>
      <c r="N119" s="97">
        <f>INDEX('Pace of change parameters'!$E$22:$I$22,1,$B$5)</f>
        <v>2.4506891160555818E-2</v>
      </c>
      <c r="O119" s="108">
        <f>MAX(IF(INDEX('Pace of change parameters'!$E$30:$I$30,1,$B$5)=1,(1+M119)*D119,D119),L119)</f>
        <v>594934</v>
      </c>
      <c r="P119" s="94">
        <f>IF(K119&lt;INDEX('Pace of change parameters'!$E$18:$I$18,1,$B$5),1,IF(K119&gt;INDEX('Pace of change parameters'!$E$19:$I$19,1,$B$5),0,(K119-INDEX('Pace of change parameters'!$E$19:$I$19,1,$B$5))/(INDEX('Pace of change parameters'!$E$18:$I$18,1,$B$5)-INDEX('Pace of change parameters'!$E$19:$I$19,1,$B$5))))</f>
        <v>0.58679035498652943</v>
      </c>
      <c r="Q119" s="57">
        <v>4.0505833005707759E-2</v>
      </c>
      <c r="R119" s="57">
        <v>3.3950172209290086E-2</v>
      </c>
      <c r="S119" s="9">
        <f>MAX(IF(INDEX('Pace of change parameters'!$E$31:$I$31,1,$B$5)=1,D119*(1+Q119),D119),L119)</f>
        <v>595841.50324738654</v>
      </c>
      <c r="T119" s="103">
        <f>IF(Q119&lt;INDEX('Pace of change parameters'!$E$24:$I$24,1,$B$5),INDEX('Pace of change parameters'!$E$24:$I$24,1,$B$5),Q119)</f>
        <v>4.0505833005707759E-2</v>
      </c>
      <c r="U119" s="132">
        <v>3.3950172209290086E-2</v>
      </c>
      <c r="V119" s="117">
        <f t="shared" si="20"/>
        <v>595841.50324738654</v>
      </c>
      <c r="W119" s="131">
        <f>IF(J119&gt;INDEX('Pace of change parameters'!$E$26:$I$26,1,$B$5),0,IF(J119&lt;INDEX('Pace of change parameters'!$E$25:$I$25,1,$B$5),1,(J119-INDEX('Pace of change parameters'!$E$26:$I$26,1,$B$5))/(INDEX('Pace of change parameters'!$E$25:$I$25,1,$B$5)-INDEX('Pace of change parameters'!$E$26:$I$26,1,$B$5))))</f>
        <v>1</v>
      </c>
      <c r="X119" s="132">
        <f>MIN(T119, T119+(INDEX('Pace of change parameters'!$E$27:$I$27,1,$B$5)-T119)*(1-W119))</f>
        <v>4.0505833005707759E-2</v>
      </c>
      <c r="Y119" s="132">
        <v>3.3950172209290086E-2</v>
      </c>
      <c r="Z119" s="108">
        <f t="shared" si="21"/>
        <v>595841.50324738654</v>
      </c>
      <c r="AA119" s="97">
        <f>MIN(VLOOKUP(A119,'2019-20 disagg'!$A$12:$BB$220,54,FALSE),-2.5%)</f>
        <v>-2.5000000000000001E-2</v>
      </c>
      <c r="AB119" s="99">
        <f t="shared" si="13"/>
        <v>591437.98327691853</v>
      </c>
      <c r="AC119" s="99">
        <f>MAX(IF(INDEX('Pace of change parameters'!$E$29:$I$29,1,$B$5)=1,MAX(AB119,Z119),Z119),L119)</f>
        <v>595841.50324738654</v>
      </c>
      <c r="AD119" s="97">
        <f t="shared" si="14"/>
        <v>4.0505833005707759E-2</v>
      </c>
      <c r="AE119" s="146">
        <v>3.3950172209290086E-2</v>
      </c>
      <c r="AF119" s="56">
        <f t="shared" si="22"/>
        <v>595841.50324738654</v>
      </c>
      <c r="AG119" s="56">
        <v>1522.5939635189984</v>
      </c>
      <c r="AH119" s="16">
        <f t="shared" si="15"/>
        <v>4.0505833005707759E-2</v>
      </c>
      <c r="AI119" s="16">
        <f t="shared" si="16"/>
        <v>3.3950172209290086E-2</v>
      </c>
      <c r="AJ119" s="56"/>
      <c r="AK119" s="56">
        <v>606603.05977119855</v>
      </c>
      <c r="AL119" s="56">
        <v>1550.0936944238149</v>
      </c>
      <c r="AM119" s="16">
        <f t="shared" si="23"/>
        <v>-1.7740689484604832E-2</v>
      </c>
      <c r="AN119" s="58">
        <f t="shared" si="23"/>
        <v>-1.774068948460461E-2</v>
      </c>
      <c r="AP119" s="56">
        <f t="shared" si="17"/>
        <v>0</v>
      </c>
      <c r="AQ119" s="56">
        <f t="shared" si="18"/>
        <v>0</v>
      </c>
    </row>
    <row r="120" spans="1:43" x14ac:dyDescent="0.2">
      <c r="A120" s="156" t="s">
        <v>285</v>
      </c>
      <c r="B120" s="156" t="s">
        <v>286</v>
      </c>
      <c r="D120" s="68">
        <f>VLOOKUP(A120,'2019-20 disagg'!A120:AZ328,43,FALSE)</f>
        <v>459803</v>
      </c>
      <c r="E120" s="73">
        <v>1636.2627161905871</v>
      </c>
      <c r="F120" s="55"/>
      <c r="G120" s="88">
        <v>470942.8076657643</v>
      </c>
      <c r="H120" s="81">
        <v>1663.8462189103129</v>
      </c>
      <c r="I120" s="90"/>
      <c r="J120" s="103">
        <f t="shared" si="19"/>
        <v>-2.3654268595753591E-2</v>
      </c>
      <c r="K120" s="126">
        <f t="shared" si="19"/>
        <v>-1.6578156326124249E-2</v>
      </c>
      <c r="L120" s="56">
        <v>477779</v>
      </c>
      <c r="M120" s="103">
        <v>3.1932053733278787E-2</v>
      </c>
      <c r="N120" s="97">
        <f>INDEX('Pace of change parameters'!$E$22:$I$22,1,$B$5)</f>
        <v>2.4506891160555818E-2</v>
      </c>
      <c r="O120" s="108">
        <f>MAX(IF(INDEX('Pace of change parameters'!$E$30:$I$30,1,$B$5)=1,(1+M120)*D120,D120),L120)</f>
        <v>477779</v>
      </c>
      <c r="P120" s="94">
        <f>IF(K120&lt;INDEX('Pace of change parameters'!$E$18:$I$18,1,$B$5),1,IF(K120&gt;INDEX('Pace of change parameters'!$E$19:$I$19,1,$B$5),0,(K120-INDEX('Pace of change parameters'!$E$19:$I$19,1,$B$5))/(INDEX('Pace of change parameters'!$E$18:$I$18,1,$B$5)-INDEX('Pace of change parameters'!$E$19:$I$19,1,$B$5))))</f>
        <v>0.75655484807245521</v>
      </c>
      <c r="Q120" s="57">
        <v>4.4195614455371013E-2</v>
      </c>
      <c r="R120" s="57">
        <v>3.6682210673594895E-2</v>
      </c>
      <c r="S120" s="9">
        <f>MAX(IF(INDEX('Pace of change parameters'!$E$31:$I$31,1,$B$5)=1,D120*(1+Q120),D120),L120)</f>
        <v>480124.27611342294</v>
      </c>
      <c r="T120" s="103">
        <f>IF(Q120&lt;INDEX('Pace of change parameters'!$E$24:$I$24,1,$B$5),INDEX('Pace of change parameters'!$E$24:$I$24,1,$B$5),Q120)</f>
        <v>4.4195614455371013E-2</v>
      </c>
      <c r="U120" s="132">
        <v>3.6682210673594895E-2</v>
      </c>
      <c r="V120" s="117">
        <f t="shared" si="20"/>
        <v>480124.27611342294</v>
      </c>
      <c r="W120" s="131">
        <f>IF(J120&gt;INDEX('Pace of change parameters'!$E$26:$I$26,1,$B$5),0,IF(J120&lt;INDEX('Pace of change parameters'!$E$25:$I$25,1,$B$5),1,(J120-INDEX('Pace of change parameters'!$E$26:$I$26,1,$B$5))/(INDEX('Pace of change parameters'!$E$25:$I$25,1,$B$5)-INDEX('Pace of change parameters'!$E$26:$I$26,1,$B$5))))</f>
        <v>1</v>
      </c>
      <c r="X120" s="132">
        <f>MIN(T120, T120+(INDEX('Pace of change parameters'!$E$27:$I$27,1,$B$5)-T120)*(1-W120))</f>
        <v>4.4195614455371013E-2</v>
      </c>
      <c r="Y120" s="132">
        <v>3.6682210673594895E-2</v>
      </c>
      <c r="Z120" s="108">
        <f t="shared" si="21"/>
        <v>480124.27611342294</v>
      </c>
      <c r="AA120" s="97">
        <f>MIN(VLOOKUP(A120,'2019-20 disagg'!$A$12:$BB$220,54,FALSE),-2.5%)</f>
        <v>-2.5000000000000001E-2</v>
      </c>
      <c r="AB120" s="99">
        <f t="shared" si="13"/>
        <v>477883.48169572704</v>
      </c>
      <c r="AC120" s="99">
        <f>MAX(IF(INDEX('Pace of change parameters'!$E$29:$I$29,1,$B$5)=1,MAX(AB120,Z120),Z120),L120)</f>
        <v>480124.27611342294</v>
      </c>
      <c r="AD120" s="97">
        <f t="shared" si="14"/>
        <v>4.4195614455371013E-2</v>
      </c>
      <c r="AE120" s="146">
        <v>3.6682210673594895E-2</v>
      </c>
      <c r="AF120" s="56">
        <f t="shared" si="22"/>
        <v>480124.27611342294</v>
      </c>
      <c r="AG120" s="56">
        <v>1696.2844498632385</v>
      </c>
      <c r="AH120" s="16">
        <f t="shared" si="15"/>
        <v>4.4195614455371013E-2</v>
      </c>
      <c r="AI120" s="16">
        <f t="shared" si="16"/>
        <v>3.6682210673594673E-2</v>
      </c>
      <c r="AJ120" s="56"/>
      <c r="AK120" s="56">
        <v>490136.9043033098</v>
      </c>
      <c r="AL120" s="56">
        <v>1731.6591775030363</v>
      </c>
      <c r="AM120" s="16">
        <f t="shared" si="23"/>
        <v>-2.042822750537221E-2</v>
      </c>
      <c r="AN120" s="58">
        <f t="shared" si="23"/>
        <v>-2.042822750537221E-2</v>
      </c>
      <c r="AP120" s="56">
        <f t="shared" si="17"/>
        <v>0</v>
      </c>
      <c r="AQ120" s="56">
        <f t="shared" si="18"/>
        <v>0</v>
      </c>
    </row>
    <row r="121" spans="1:43" x14ac:dyDescent="0.2">
      <c r="A121" s="156" t="s">
        <v>287</v>
      </c>
      <c r="B121" s="156" t="s">
        <v>288</v>
      </c>
      <c r="D121" s="68">
        <f>VLOOKUP(A121,'2019-20 disagg'!A121:AZ329,43,FALSE)</f>
        <v>761841</v>
      </c>
      <c r="E121" s="73">
        <v>1571.1839923919788</v>
      </c>
      <c r="F121" s="55"/>
      <c r="G121" s="88">
        <v>789839.64499233884</v>
      </c>
      <c r="H121" s="81">
        <v>1611.0814898723611</v>
      </c>
      <c r="I121" s="90"/>
      <c r="J121" s="103">
        <f t="shared" si="19"/>
        <v>-3.5448518151567909E-2</v>
      </c>
      <c r="K121" s="126">
        <f t="shared" si="19"/>
        <v>-2.4764419261959936E-2</v>
      </c>
      <c r="L121" s="56">
        <v>792331</v>
      </c>
      <c r="M121" s="103">
        <v>3.5855101333088557E-2</v>
      </c>
      <c r="N121" s="97">
        <f>INDEX('Pace of change parameters'!$E$22:$I$22,1,$B$5)</f>
        <v>2.4506891160555818E-2</v>
      </c>
      <c r="O121" s="108">
        <f>MAX(IF(INDEX('Pace of change parameters'!$E$30:$I$30,1,$B$5)=1,(1+M121)*D121,D121),L121)</f>
        <v>792331</v>
      </c>
      <c r="P121" s="94">
        <f>IF(K121&lt;INDEX('Pace of change parameters'!$E$18:$I$18,1,$B$5),1,IF(K121&gt;INDEX('Pace of change parameters'!$E$19:$I$19,1,$B$5),0,(K121-INDEX('Pace of change parameters'!$E$19:$I$19,1,$B$5))/(INDEX('Pace of change parameters'!$E$18:$I$18,1,$B$5)-INDEX('Pace of change parameters'!$E$19:$I$19,1,$B$5))))</f>
        <v>1</v>
      </c>
      <c r="Q121" s="57">
        <v>5.212646957031275E-2</v>
      </c>
      <c r="R121" s="57">
        <v>4.0599999999999969E-2</v>
      </c>
      <c r="S121" s="9">
        <f>MAX(IF(INDEX('Pace of change parameters'!$E$31:$I$31,1,$B$5)=1,D121*(1+Q121),D121),L121)</f>
        <v>801553.08170391666</v>
      </c>
      <c r="T121" s="103">
        <f>IF(Q121&lt;INDEX('Pace of change parameters'!$E$24:$I$24,1,$B$5),INDEX('Pace of change parameters'!$E$24:$I$24,1,$B$5),Q121)</f>
        <v>5.212646957031275E-2</v>
      </c>
      <c r="U121" s="132">
        <v>4.0599999999999969E-2</v>
      </c>
      <c r="V121" s="117">
        <f t="shared" si="20"/>
        <v>801553.08170391666</v>
      </c>
      <c r="W121" s="131">
        <f>IF(J121&gt;INDEX('Pace of change parameters'!$E$26:$I$26,1,$B$5),0,IF(J121&lt;INDEX('Pace of change parameters'!$E$25:$I$25,1,$B$5),1,(J121-INDEX('Pace of change parameters'!$E$26:$I$26,1,$B$5))/(INDEX('Pace of change parameters'!$E$25:$I$25,1,$B$5)-INDEX('Pace of change parameters'!$E$26:$I$26,1,$B$5))))</f>
        <v>1</v>
      </c>
      <c r="X121" s="132">
        <f>MIN(T121, T121+(INDEX('Pace of change parameters'!$E$27:$I$27,1,$B$5)-T121)*(1-W121))</f>
        <v>5.212646957031275E-2</v>
      </c>
      <c r="Y121" s="132">
        <v>4.0599999999999969E-2</v>
      </c>
      <c r="Z121" s="108">
        <f t="shared" si="21"/>
        <v>801553.08170391666</v>
      </c>
      <c r="AA121" s="97">
        <f>MIN(VLOOKUP(A121,'2019-20 disagg'!$A$12:$BB$220,54,FALSE),-2.5%)</f>
        <v>-3.1311512727777768E-2</v>
      </c>
      <c r="AB121" s="99">
        <f t="shared" si="13"/>
        <v>796307.63440744882</v>
      </c>
      <c r="AC121" s="99">
        <f>MAX(IF(INDEX('Pace of change parameters'!$E$29:$I$29,1,$B$5)=1,MAX(AB121,Z121),Z121),L121)</f>
        <v>801553.08170391666</v>
      </c>
      <c r="AD121" s="97">
        <f t="shared" si="14"/>
        <v>5.212646957031275E-2</v>
      </c>
      <c r="AE121" s="146">
        <v>4.0599999999999969E-2</v>
      </c>
      <c r="AF121" s="56">
        <f t="shared" si="22"/>
        <v>801553.08170391666</v>
      </c>
      <c r="AG121" s="56">
        <v>1634.9740624830933</v>
      </c>
      <c r="AH121" s="16">
        <f t="shared" si="15"/>
        <v>5.212646957031275E-2</v>
      </c>
      <c r="AI121" s="16">
        <f t="shared" si="16"/>
        <v>4.0600000000000191E-2</v>
      </c>
      <c r="AJ121" s="56"/>
      <c r="AK121" s="56">
        <v>822047.17498998134</v>
      </c>
      <c r="AL121" s="56">
        <v>1676.7770468663555</v>
      </c>
      <c r="AM121" s="16">
        <f t="shared" si="23"/>
        <v>-2.4930556188961339E-2</v>
      </c>
      <c r="AN121" s="58">
        <f t="shared" si="23"/>
        <v>-2.4930556188961228E-2</v>
      </c>
      <c r="AP121" s="56">
        <f t="shared" si="17"/>
        <v>0</v>
      </c>
      <c r="AQ121" s="56">
        <f t="shared" si="18"/>
        <v>0</v>
      </c>
    </row>
    <row r="122" spans="1:43" x14ac:dyDescent="0.2">
      <c r="A122" s="156" t="s">
        <v>289</v>
      </c>
      <c r="B122" s="156" t="s">
        <v>290</v>
      </c>
      <c r="D122" s="68">
        <f>VLOOKUP(A122,'2019-20 disagg'!A122:AZ330,43,FALSE)</f>
        <v>1406578</v>
      </c>
      <c r="E122" s="73">
        <v>1469.3493603997122</v>
      </c>
      <c r="F122" s="55"/>
      <c r="G122" s="88">
        <v>1439784.180934621</v>
      </c>
      <c r="H122" s="81">
        <v>1491.1855482107942</v>
      </c>
      <c r="I122" s="90"/>
      <c r="J122" s="103">
        <f t="shared" si="19"/>
        <v>-2.3063304469052803E-2</v>
      </c>
      <c r="K122" s="126">
        <f t="shared" si="19"/>
        <v>-1.4643508205455902E-2</v>
      </c>
      <c r="L122" s="56">
        <v>1462204</v>
      </c>
      <c r="M122" s="103">
        <v>3.3336674434829128E-2</v>
      </c>
      <c r="N122" s="97">
        <f>INDEX('Pace of change parameters'!$E$22:$I$22,1,$B$5)</f>
        <v>2.4506891160555818E-2</v>
      </c>
      <c r="O122" s="108">
        <f>MAX(IF(INDEX('Pace of change parameters'!$E$30:$I$30,1,$B$5)=1,(1+M122)*D122,D122),L122)</f>
        <v>1462204</v>
      </c>
      <c r="P122" s="94">
        <f>IF(K122&lt;INDEX('Pace of change parameters'!$E$18:$I$18,1,$B$5),1,IF(K122&gt;INDEX('Pace of change parameters'!$E$19:$I$19,1,$B$5),0,(K122-INDEX('Pace of change parameters'!$E$19:$I$19,1,$B$5))/(INDEX('Pace of change parameters'!$E$18:$I$18,1,$B$5)-INDEX('Pace of change parameters'!$E$19:$I$19,1,$B$5))))</f>
        <v>0.69309612725349534</v>
      </c>
      <c r="Q122" s="57">
        <v>4.4586877980379747E-2</v>
      </c>
      <c r="R122" s="57">
        <v>3.5660962572643617E-2</v>
      </c>
      <c r="S122" s="9">
        <f>MAX(IF(INDEX('Pace of change parameters'!$E$31:$I$31,1,$B$5)=1,D122*(1+Q122),D122),L122)</f>
        <v>1469292.9216558866</v>
      </c>
      <c r="T122" s="103">
        <f>IF(Q122&lt;INDEX('Pace of change parameters'!$E$24:$I$24,1,$B$5),INDEX('Pace of change parameters'!$E$24:$I$24,1,$B$5),Q122)</f>
        <v>4.4586877980379747E-2</v>
      </c>
      <c r="U122" s="132">
        <v>3.5660962572643617E-2</v>
      </c>
      <c r="V122" s="117">
        <f t="shared" si="20"/>
        <v>1469292.9216558866</v>
      </c>
      <c r="W122" s="131">
        <f>IF(J122&gt;INDEX('Pace of change parameters'!$E$26:$I$26,1,$B$5),0,IF(J122&lt;INDEX('Pace of change parameters'!$E$25:$I$25,1,$B$5),1,(J122-INDEX('Pace of change parameters'!$E$26:$I$26,1,$B$5))/(INDEX('Pace of change parameters'!$E$25:$I$25,1,$B$5)-INDEX('Pace of change parameters'!$E$26:$I$26,1,$B$5))))</f>
        <v>1</v>
      </c>
      <c r="X122" s="132">
        <f>MIN(T122, T122+(INDEX('Pace of change parameters'!$E$27:$I$27,1,$B$5)-T122)*(1-W122))</f>
        <v>4.4586877980379747E-2</v>
      </c>
      <c r="Y122" s="132">
        <v>3.5660962572643617E-2</v>
      </c>
      <c r="Z122" s="108">
        <f t="shared" si="21"/>
        <v>1469292.9216558866</v>
      </c>
      <c r="AA122" s="97">
        <f>MIN(VLOOKUP(A122,'2019-20 disagg'!$A$12:$BB$220,54,FALSE),-2.5%)</f>
        <v>-2.5000000000000001E-2</v>
      </c>
      <c r="AB122" s="99">
        <f t="shared" si="13"/>
        <v>1461023.0258698093</v>
      </c>
      <c r="AC122" s="99">
        <f>MAX(IF(INDEX('Pace of change parameters'!$E$29:$I$29,1,$B$5)=1,MAX(AB122,Z122),Z122),L122)</f>
        <v>1469292.9216558866</v>
      </c>
      <c r="AD122" s="97">
        <f t="shared" si="14"/>
        <v>4.4586877980379747E-2</v>
      </c>
      <c r="AE122" s="146">
        <v>3.5660962572643617E-2</v>
      </c>
      <c r="AF122" s="56">
        <f t="shared" si="22"/>
        <v>1469292.9216558866</v>
      </c>
      <c r="AG122" s="56">
        <v>1521.7477729470643</v>
      </c>
      <c r="AH122" s="16">
        <f t="shared" si="15"/>
        <v>4.4586877980379747E-2</v>
      </c>
      <c r="AI122" s="16">
        <f t="shared" si="16"/>
        <v>3.5660962572643617E-2</v>
      </c>
      <c r="AJ122" s="56"/>
      <c r="AK122" s="56">
        <v>1498485.154738266</v>
      </c>
      <c r="AL122" s="56">
        <v>1551.9821904860787</v>
      </c>
      <c r="AM122" s="16">
        <f t="shared" si="23"/>
        <v>-1.9481162686245224E-2</v>
      </c>
      <c r="AN122" s="58">
        <f t="shared" si="23"/>
        <v>-1.9481162686245113E-2</v>
      </c>
      <c r="AP122" s="56">
        <f t="shared" si="17"/>
        <v>0</v>
      </c>
      <c r="AQ122" s="56">
        <f t="shared" si="18"/>
        <v>0</v>
      </c>
    </row>
    <row r="123" spans="1:43" x14ac:dyDescent="0.2">
      <c r="A123" s="156" t="s">
        <v>291</v>
      </c>
      <c r="B123" s="156" t="s">
        <v>292</v>
      </c>
      <c r="D123" s="68">
        <f>VLOOKUP(A123,'2019-20 disagg'!A123:AZ331,43,FALSE)</f>
        <v>305697</v>
      </c>
      <c r="E123" s="73">
        <v>1639.5087333368183</v>
      </c>
      <c r="F123" s="55"/>
      <c r="G123" s="88">
        <v>312651.88152478996</v>
      </c>
      <c r="H123" s="81">
        <v>1668.2049786803846</v>
      </c>
      <c r="I123" s="90"/>
      <c r="J123" s="103">
        <f t="shared" si="19"/>
        <v>-2.2244809437484636E-2</v>
      </c>
      <c r="K123" s="126">
        <f t="shared" si="19"/>
        <v>-1.7201870100079786E-2</v>
      </c>
      <c r="L123" s="56">
        <v>317416</v>
      </c>
      <c r="M123" s="103">
        <v>2.9790960376188114E-2</v>
      </c>
      <c r="N123" s="97">
        <f>INDEX('Pace of change parameters'!$E$22:$I$22,1,$B$5)</f>
        <v>2.4506891160555818E-2</v>
      </c>
      <c r="O123" s="108">
        <f>MAX(IF(INDEX('Pace of change parameters'!$E$30:$I$30,1,$B$5)=1,(1+M123)*D123,D123),L123)</f>
        <v>317416</v>
      </c>
      <c r="P123" s="94">
        <f>IF(K123&lt;INDEX('Pace of change parameters'!$E$18:$I$18,1,$B$5),1,IF(K123&gt;INDEX('Pace of change parameters'!$E$19:$I$19,1,$B$5),0,(K123-INDEX('Pace of change parameters'!$E$19:$I$19,1,$B$5))/(INDEX('Pace of change parameters'!$E$18:$I$18,1,$B$5)-INDEX('Pace of change parameters'!$E$19:$I$19,1,$B$5))))</f>
        <v>0.77701338925601215</v>
      </c>
      <c r="Q123" s="57">
        <v>4.2360015827800801E-2</v>
      </c>
      <c r="R123" s="57">
        <v>3.7011452203558282E-2</v>
      </c>
      <c r="S123" s="9">
        <f>MAX(IF(INDEX('Pace of change parameters'!$E$31:$I$31,1,$B$5)=1,D123*(1+Q123),D123),L123)</f>
        <v>318646.32975851122</v>
      </c>
      <c r="T123" s="103">
        <f>IF(Q123&lt;INDEX('Pace of change parameters'!$E$24:$I$24,1,$B$5),INDEX('Pace of change parameters'!$E$24:$I$24,1,$B$5),Q123)</f>
        <v>4.2360015827800801E-2</v>
      </c>
      <c r="U123" s="132">
        <v>3.7011452203558282E-2</v>
      </c>
      <c r="V123" s="117">
        <f t="shared" si="20"/>
        <v>318646.32975851122</v>
      </c>
      <c r="W123" s="131">
        <f>IF(J123&gt;INDEX('Pace of change parameters'!$E$26:$I$26,1,$B$5),0,IF(J123&lt;INDEX('Pace of change parameters'!$E$25:$I$25,1,$B$5),1,(J123-INDEX('Pace of change parameters'!$E$26:$I$26,1,$B$5))/(INDEX('Pace of change parameters'!$E$25:$I$25,1,$B$5)-INDEX('Pace of change parameters'!$E$26:$I$26,1,$B$5))))</f>
        <v>1</v>
      </c>
      <c r="X123" s="132">
        <f>MIN(T123, T123+(INDEX('Pace of change parameters'!$E$27:$I$27,1,$B$5)-T123)*(1-W123))</f>
        <v>4.2360015827800801E-2</v>
      </c>
      <c r="Y123" s="132">
        <v>3.7011452203558282E-2</v>
      </c>
      <c r="Z123" s="108">
        <f t="shared" si="21"/>
        <v>318646.32975851122</v>
      </c>
      <c r="AA123" s="97">
        <f>MIN(VLOOKUP(A123,'2019-20 disagg'!$A$12:$BB$220,54,FALSE),-2.5%)</f>
        <v>-2.5000000000000001E-2</v>
      </c>
      <c r="AB123" s="99">
        <f t="shared" si="13"/>
        <v>317243.87855750148</v>
      </c>
      <c r="AC123" s="99">
        <f>MAX(IF(INDEX('Pace of change parameters'!$E$29:$I$29,1,$B$5)=1,MAX(AB123,Z123),Z123),L123)</f>
        <v>318646.32975851122</v>
      </c>
      <c r="AD123" s="97">
        <f t="shared" si="14"/>
        <v>4.2360015827800801E-2</v>
      </c>
      <c r="AE123" s="146">
        <v>3.7011452203558282E-2</v>
      </c>
      <c r="AF123" s="56">
        <f t="shared" si="22"/>
        <v>318646.32975851122</v>
      </c>
      <c r="AG123" s="56">
        <v>1700.1893324580308</v>
      </c>
      <c r="AH123" s="16">
        <f t="shared" si="15"/>
        <v>4.2360015827800801E-2</v>
      </c>
      <c r="AI123" s="16">
        <f t="shared" si="16"/>
        <v>3.7011452203558504E-2</v>
      </c>
      <c r="AJ123" s="56"/>
      <c r="AK123" s="56">
        <v>325378.33698205283</v>
      </c>
      <c r="AL123" s="56">
        <v>1736.1090522180857</v>
      </c>
      <c r="AM123" s="16">
        <f t="shared" si="23"/>
        <v>-2.0689783118268634E-2</v>
      </c>
      <c r="AN123" s="58">
        <f t="shared" si="23"/>
        <v>-2.0689783118268523E-2</v>
      </c>
      <c r="AP123" s="56">
        <f t="shared" si="17"/>
        <v>0</v>
      </c>
      <c r="AQ123" s="56">
        <f t="shared" si="18"/>
        <v>0</v>
      </c>
    </row>
    <row r="124" spans="1:43" x14ac:dyDescent="0.2">
      <c r="A124" s="156" t="s">
        <v>293</v>
      </c>
      <c r="B124" s="156" t="s">
        <v>294</v>
      </c>
      <c r="D124" s="68">
        <f>VLOOKUP(A124,'2019-20 disagg'!A124:AZ332,43,FALSE)</f>
        <v>972798</v>
      </c>
      <c r="E124" s="73">
        <v>1597.7709658114857</v>
      </c>
      <c r="F124" s="55"/>
      <c r="G124" s="88">
        <v>1000570.3463179379</v>
      </c>
      <c r="H124" s="81">
        <v>1628.0547981986297</v>
      </c>
      <c r="I124" s="90"/>
      <c r="J124" s="103">
        <f t="shared" si="19"/>
        <v>-2.7756515491528577E-2</v>
      </c>
      <c r="K124" s="126">
        <f t="shared" si="19"/>
        <v>-1.8601236531259113E-2</v>
      </c>
      <c r="L124" s="56">
        <v>1011297</v>
      </c>
      <c r="M124" s="103">
        <v>3.4154316455501599E-2</v>
      </c>
      <c r="N124" s="97">
        <f>INDEX('Pace of change parameters'!$E$22:$I$22,1,$B$5)</f>
        <v>2.4506891160555818E-2</v>
      </c>
      <c r="O124" s="108">
        <f>MAX(IF(INDEX('Pace of change parameters'!$E$30:$I$30,1,$B$5)=1,(1+M124)*D124,D124),L124)</f>
        <v>1011297</v>
      </c>
      <c r="P124" s="94">
        <f>IF(K124&lt;INDEX('Pace of change parameters'!$E$18:$I$18,1,$B$5),1,IF(K124&gt;INDEX('Pace of change parameters'!$E$19:$I$19,1,$B$5),0,(K124-INDEX('Pace of change parameters'!$E$19:$I$19,1,$B$5))/(INDEX('Pace of change parameters'!$E$18:$I$18,1,$B$5)-INDEX('Pace of change parameters'!$E$19:$I$19,1,$B$5))))</f>
        <v>0.82291424467821439</v>
      </c>
      <c r="Q124" s="57">
        <v>4.7522272028708734E-2</v>
      </c>
      <c r="R124" s="57">
        <v>3.7750139665691407E-2</v>
      </c>
      <c r="S124" s="9">
        <f>MAX(IF(INDEX('Pace of change parameters'!$E$31:$I$31,1,$B$5)=1,D124*(1+Q124),D124),L124)</f>
        <v>1019027.5711849838</v>
      </c>
      <c r="T124" s="103">
        <f>IF(Q124&lt;INDEX('Pace of change parameters'!$E$24:$I$24,1,$B$5),INDEX('Pace of change parameters'!$E$24:$I$24,1,$B$5),Q124)</f>
        <v>4.7522272028708734E-2</v>
      </c>
      <c r="U124" s="132">
        <v>3.7750139665691407E-2</v>
      </c>
      <c r="V124" s="117">
        <f t="shared" si="20"/>
        <v>1019027.5711849838</v>
      </c>
      <c r="W124" s="131">
        <f>IF(J124&gt;INDEX('Pace of change parameters'!$E$26:$I$26,1,$B$5),0,IF(J124&lt;INDEX('Pace of change parameters'!$E$25:$I$25,1,$B$5),1,(J124-INDEX('Pace of change parameters'!$E$26:$I$26,1,$B$5))/(INDEX('Pace of change parameters'!$E$25:$I$25,1,$B$5)-INDEX('Pace of change parameters'!$E$26:$I$26,1,$B$5))))</f>
        <v>1</v>
      </c>
      <c r="X124" s="132">
        <f>MIN(T124, T124+(INDEX('Pace of change parameters'!$E$27:$I$27,1,$B$5)-T124)*(1-W124))</f>
        <v>4.7522272028708734E-2</v>
      </c>
      <c r="Y124" s="132">
        <v>3.7750139665691407E-2</v>
      </c>
      <c r="Z124" s="108">
        <f t="shared" si="21"/>
        <v>1019027.5711849838</v>
      </c>
      <c r="AA124" s="97">
        <f>MIN(VLOOKUP(A124,'2019-20 disagg'!$A$12:$BB$220,54,FALSE),-2.5%)</f>
        <v>-2.5187366176399051E-2</v>
      </c>
      <c r="AB124" s="99">
        <f t="shared" si="13"/>
        <v>1015042.8064457629</v>
      </c>
      <c r="AC124" s="99">
        <f>MAX(IF(INDEX('Pace of change parameters'!$E$29:$I$29,1,$B$5)=1,MAX(AB124,Z124),Z124),L124)</f>
        <v>1019027.5711849838</v>
      </c>
      <c r="AD124" s="97">
        <f t="shared" si="14"/>
        <v>4.7522272028708734E-2</v>
      </c>
      <c r="AE124" s="146">
        <v>3.7750139665691407E-2</v>
      </c>
      <c r="AF124" s="56">
        <f t="shared" si="22"/>
        <v>1019027.5711849838</v>
      </c>
      <c r="AG124" s="56">
        <v>1658.0870429246559</v>
      </c>
      <c r="AH124" s="16">
        <f t="shared" si="15"/>
        <v>4.7522272028708734E-2</v>
      </c>
      <c r="AI124" s="16">
        <f t="shared" si="16"/>
        <v>3.7750139665691407E-2</v>
      </c>
      <c r="AJ124" s="56"/>
      <c r="AK124" s="56">
        <v>1041269.6463158907</v>
      </c>
      <c r="AL124" s="56">
        <v>1694.2777188446685</v>
      </c>
      <c r="AM124" s="16">
        <f t="shared" si="23"/>
        <v>-2.1360533469501841E-2</v>
      </c>
      <c r="AN124" s="58">
        <f t="shared" si="23"/>
        <v>-2.136053346950173E-2</v>
      </c>
      <c r="AP124" s="56">
        <f t="shared" si="17"/>
        <v>0</v>
      </c>
      <c r="AQ124" s="56">
        <f t="shared" si="18"/>
        <v>0</v>
      </c>
    </row>
    <row r="125" spans="1:43" x14ac:dyDescent="0.2">
      <c r="A125" s="156" t="s">
        <v>295</v>
      </c>
      <c r="B125" s="156" t="s">
        <v>296</v>
      </c>
      <c r="D125" s="68">
        <f>VLOOKUP(A125,'2019-20 disagg'!A125:AZ333,43,FALSE)</f>
        <v>426596</v>
      </c>
      <c r="E125" s="73">
        <v>1776.3469838968686</v>
      </c>
      <c r="F125" s="55"/>
      <c r="G125" s="88">
        <v>433911.99832339468</v>
      </c>
      <c r="H125" s="81">
        <v>1799.3518158659876</v>
      </c>
      <c r="I125" s="90"/>
      <c r="J125" s="103">
        <f t="shared" si="19"/>
        <v>-1.6860557789743491E-2</v>
      </c>
      <c r="K125" s="126">
        <f t="shared" si="19"/>
        <v>-1.2785066136745127E-2</v>
      </c>
      <c r="L125" s="56">
        <v>442854</v>
      </c>
      <c r="M125" s="103">
        <v>2.8753866822499363E-2</v>
      </c>
      <c r="N125" s="97">
        <f>INDEX('Pace of change parameters'!$E$22:$I$22,1,$B$5)</f>
        <v>2.4506891160555818E-2</v>
      </c>
      <c r="O125" s="108">
        <f>MAX(IF(INDEX('Pace of change parameters'!$E$30:$I$30,1,$B$5)=1,(1+M125)*D125,D125),L125)</f>
        <v>442854</v>
      </c>
      <c r="P125" s="94">
        <f>IF(K125&lt;INDEX('Pace of change parameters'!$E$18:$I$18,1,$B$5),1,IF(K125&gt;INDEX('Pace of change parameters'!$E$19:$I$19,1,$B$5),0,(K125-INDEX('Pace of change parameters'!$E$19:$I$19,1,$B$5))/(INDEX('Pace of change parameters'!$E$18:$I$18,1,$B$5)-INDEX('Pace of change parameters'!$E$19:$I$19,1,$B$5))))</f>
        <v>0.63213705405739118</v>
      </c>
      <c r="Q125" s="57">
        <v>3.8969088447092348E-2</v>
      </c>
      <c r="R125" s="57">
        <v>3.4679941572947071E-2</v>
      </c>
      <c r="S125" s="9">
        <f>MAX(IF(INDEX('Pace of change parameters'!$E$31:$I$31,1,$B$5)=1,D125*(1+Q125),D125),L125)</f>
        <v>443220.05725517578</v>
      </c>
      <c r="T125" s="103">
        <f>IF(Q125&lt;INDEX('Pace of change parameters'!$E$24:$I$24,1,$B$5),INDEX('Pace of change parameters'!$E$24:$I$24,1,$B$5),Q125)</f>
        <v>3.8969088447092348E-2</v>
      </c>
      <c r="U125" s="132">
        <v>3.4679941572947071E-2</v>
      </c>
      <c r="V125" s="117">
        <f t="shared" si="20"/>
        <v>443220.05725517578</v>
      </c>
      <c r="W125" s="131">
        <f>IF(J125&gt;INDEX('Pace of change parameters'!$E$26:$I$26,1,$B$5),0,IF(J125&lt;INDEX('Pace of change parameters'!$E$25:$I$25,1,$B$5),1,(J125-INDEX('Pace of change parameters'!$E$26:$I$26,1,$B$5))/(INDEX('Pace of change parameters'!$E$25:$I$25,1,$B$5)-INDEX('Pace of change parameters'!$E$26:$I$26,1,$B$5))))</f>
        <v>1</v>
      </c>
      <c r="X125" s="132">
        <f>MIN(T125, T125+(INDEX('Pace of change parameters'!$E$27:$I$27,1,$B$5)-T125)*(1-W125))</f>
        <v>3.8969088447092348E-2</v>
      </c>
      <c r="Y125" s="132">
        <v>3.4679941572947071E-2</v>
      </c>
      <c r="Z125" s="108">
        <f t="shared" si="21"/>
        <v>443220.05725517578</v>
      </c>
      <c r="AA125" s="97">
        <f>MIN(VLOOKUP(A125,'2019-20 disagg'!$A$12:$BB$220,54,FALSE),-2.5%)</f>
        <v>-2.5000000000000001E-2</v>
      </c>
      <c r="AB125" s="99">
        <f t="shared" si="13"/>
        <v>440230.80584999354</v>
      </c>
      <c r="AC125" s="99">
        <f>MAX(IF(INDEX('Pace of change parameters'!$E$29:$I$29,1,$B$5)=1,MAX(AB125,Z125),Z125),L125)</f>
        <v>443220.05725517578</v>
      </c>
      <c r="AD125" s="97">
        <f t="shared" si="14"/>
        <v>3.8969088447092348E-2</v>
      </c>
      <c r="AE125" s="146">
        <v>3.4679941572947071E-2</v>
      </c>
      <c r="AF125" s="56">
        <f t="shared" si="22"/>
        <v>443220.05725517578</v>
      </c>
      <c r="AG125" s="56">
        <v>1837.9505935116922</v>
      </c>
      <c r="AH125" s="16">
        <f t="shared" si="15"/>
        <v>3.8969088447092348E-2</v>
      </c>
      <c r="AI125" s="16">
        <f t="shared" si="16"/>
        <v>3.4679941572946849E-2</v>
      </c>
      <c r="AJ125" s="56"/>
      <c r="AK125" s="56">
        <v>451518.77523076261</v>
      </c>
      <c r="AL125" s="56">
        <v>1872.3638231905886</v>
      </c>
      <c r="AM125" s="16">
        <f t="shared" si="23"/>
        <v>-1.8379563444168023E-2</v>
      </c>
      <c r="AN125" s="58">
        <f t="shared" si="23"/>
        <v>-1.8379563444168023E-2</v>
      </c>
      <c r="AP125" s="56">
        <f t="shared" si="17"/>
        <v>0</v>
      </c>
      <c r="AQ125" s="56">
        <f t="shared" si="18"/>
        <v>0</v>
      </c>
    </row>
    <row r="126" spans="1:43" x14ac:dyDescent="0.2">
      <c r="A126" s="156" t="s">
        <v>297</v>
      </c>
      <c r="B126" s="156" t="s">
        <v>298</v>
      </c>
      <c r="D126" s="68">
        <f>VLOOKUP(A126,'2019-20 disagg'!A126:AZ334,43,FALSE)</f>
        <v>1047180</v>
      </c>
      <c r="E126" s="73">
        <v>1588.6973400999261</v>
      </c>
      <c r="F126" s="55"/>
      <c r="G126" s="88">
        <v>1078388.3705800152</v>
      </c>
      <c r="H126" s="81">
        <v>1618.8755188943967</v>
      </c>
      <c r="I126" s="90"/>
      <c r="J126" s="103">
        <f t="shared" si="19"/>
        <v>-2.8939824864051222E-2</v>
      </c>
      <c r="K126" s="126">
        <f t="shared" si="19"/>
        <v>-1.8641444905585169E-2</v>
      </c>
      <c r="L126" s="56">
        <v>1089169</v>
      </c>
      <c r="M126" s="103">
        <v>3.5372089327869283E-2</v>
      </c>
      <c r="N126" s="97">
        <f>INDEX('Pace of change parameters'!$E$22:$I$22,1,$B$5)</f>
        <v>2.4506891160555818E-2</v>
      </c>
      <c r="O126" s="108">
        <f>MAX(IF(INDEX('Pace of change parameters'!$E$30:$I$30,1,$B$5)=1,(1+M126)*D126,D126),L126)</f>
        <v>1089169</v>
      </c>
      <c r="P126" s="94">
        <f>IF(K126&lt;INDEX('Pace of change parameters'!$E$18:$I$18,1,$B$5),1,IF(K126&gt;INDEX('Pace of change parameters'!$E$19:$I$19,1,$B$5),0,(K126-INDEX('Pace of change parameters'!$E$19:$I$19,1,$B$5))/(INDEX('Pace of change parameters'!$E$18:$I$18,1,$B$5)-INDEX('Pace of change parameters'!$E$19:$I$19,1,$B$5))))</f>
        <v>0.82423312637751789</v>
      </c>
      <c r="Q126" s="57">
        <v>4.8777236397913093E-2</v>
      </c>
      <c r="R126" s="57">
        <v>3.7771364572424471E-2</v>
      </c>
      <c r="S126" s="9">
        <f>MAX(IF(INDEX('Pace of change parameters'!$E$31:$I$31,1,$B$5)=1,D126*(1+Q126),D126),L126)</f>
        <v>1098258.5464111667</v>
      </c>
      <c r="T126" s="103">
        <f>IF(Q126&lt;INDEX('Pace of change parameters'!$E$24:$I$24,1,$B$5),INDEX('Pace of change parameters'!$E$24:$I$24,1,$B$5),Q126)</f>
        <v>4.8777236397913093E-2</v>
      </c>
      <c r="U126" s="132">
        <v>3.7771364572424471E-2</v>
      </c>
      <c r="V126" s="117">
        <f t="shared" si="20"/>
        <v>1098258.5464111667</v>
      </c>
      <c r="W126" s="131">
        <f>IF(J126&gt;INDEX('Pace of change parameters'!$E$26:$I$26,1,$B$5),0,IF(J126&lt;INDEX('Pace of change parameters'!$E$25:$I$25,1,$B$5),1,(J126-INDEX('Pace of change parameters'!$E$26:$I$26,1,$B$5))/(INDEX('Pace of change parameters'!$E$25:$I$25,1,$B$5)-INDEX('Pace of change parameters'!$E$26:$I$26,1,$B$5))))</f>
        <v>1</v>
      </c>
      <c r="X126" s="132">
        <f>MIN(T126, T126+(INDEX('Pace of change parameters'!$E$27:$I$27,1,$B$5)-T126)*(1-W126))</f>
        <v>4.8777236397913093E-2</v>
      </c>
      <c r="Y126" s="132">
        <v>3.7771364572424471E-2</v>
      </c>
      <c r="Z126" s="108">
        <f t="shared" si="21"/>
        <v>1098258.5464111667</v>
      </c>
      <c r="AA126" s="97">
        <f>MIN(VLOOKUP(A126,'2019-20 disagg'!$A$12:$BB$220,54,FALSE),-2.5%)</f>
        <v>-2.5229214873270678E-2</v>
      </c>
      <c r="AB126" s="99">
        <f t="shared" si="13"/>
        <v>1094029.0554428229</v>
      </c>
      <c r="AC126" s="99">
        <f>MAX(IF(INDEX('Pace of change parameters'!$E$29:$I$29,1,$B$5)=1,MAX(AB126,Z126),Z126),L126)</f>
        <v>1098258.5464111667</v>
      </c>
      <c r="AD126" s="97">
        <f t="shared" si="14"/>
        <v>4.8777236397913093E-2</v>
      </c>
      <c r="AE126" s="146">
        <v>3.7771364572424471E-2</v>
      </c>
      <c r="AF126" s="56">
        <f t="shared" si="22"/>
        <v>1098258.5464111667</v>
      </c>
      <c r="AG126" s="56">
        <v>1648.7046065280817</v>
      </c>
      <c r="AH126" s="16">
        <f t="shared" si="15"/>
        <v>4.8777236397913093E-2</v>
      </c>
      <c r="AI126" s="16">
        <f t="shared" si="16"/>
        <v>3.7771364572424693E-2</v>
      </c>
      <c r="AJ126" s="56"/>
      <c r="AK126" s="56">
        <v>1122344.9370208494</v>
      </c>
      <c r="AL126" s="56">
        <v>1684.863071474779</v>
      </c>
      <c r="AM126" s="16">
        <f t="shared" si="23"/>
        <v>-2.1460773613518169E-2</v>
      </c>
      <c r="AN126" s="58">
        <f t="shared" si="23"/>
        <v>-2.146077361351828E-2</v>
      </c>
      <c r="AP126" s="56">
        <f t="shared" si="17"/>
        <v>0</v>
      </c>
      <c r="AQ126" s="56">
        <f t="shared" si="18"/>
        <v>0</v>
      </c>
    </row>
    <row r="127" spans="1:43" x14ac:dyDescent="0.2">
      <c r="A127" s="156" t="s">
        <v>299</v>
      </c>
      <c r="B127" s="156" t="s">
        <v>300</v>
      </c>
      <c r="D127" s="68">
        <f>VLOOKUP(A127,'2019-20 disagg'!A127:AZ335,43,FALSE)</f>
        <v>641441</v>
      </c>
      <c r="E127" s="73">
        <v>1571.1945166368982</v>
      </c>
      <c r="F127" s="55"/>
      <c r="G127" s="88">
        <v>656022.99396630947</v>
      </c>
      <c r="H127" s="81">
        <v>1597.8258418473226</v>
      </c>
      <c r="I127" s="90"/>
      <c r="J127" s="103">
        <f t="shared" si="19"/>
        <v>-2.2227870212516265E-2</v>
      </c>
      <c r="K127" s="126">
        <f t="shared" si="19"/>
        <v>-1.6667226497998455E-2</v>
      </c>
      <c r="L127" s="56">
        <v>666184</v>
      </c>
      <c r="M127" s="103">
        <v>3.0333318025524969E-2</v>
      </c>
      <c r="N127" s="97">
        <f>INDEX('Pace of change parameters'!$E$22:$I$22,1,$B$5)</f>
        <v>2.4506891160555818E-2</v>
      </c>
      <c r="O127" s="108">
        <f>MAX(IF(INDEX('Pace of change parameters'!$E$30:$I$30,1,$B$5)=1,(1+M127)*D127,D127),L127)</f>
        <v>666184</v>
      </c>
      <c r="P127" s="94">
        <f>IF(K127&lt;INDEX('Pace of change parameters'!$E$18:$I$18,1,$B$5),1,IF(K127&gt;INDEX('Pace of change parameters'!$E$19:$I$19,1,$B$5),0,(K127-INDEX('Pace of change parameters'!$E$19:$I$19,1,$B$5))/(INDEX('Pace of change parameters'!$E$18:$I$18,1,$B$5)-INDEX('Pace of change parameters'!$E$19:$I$19,1,$B$5))))</f>
        <v>0.75947645387243368</v>
      </c>
      <c r="Q127" s="57">
        <v>4.2625164360699408E-2</v>
      </c>
      <c r="R127" s="57">
        <v>3.6729228393719948E-2</v>
      </c>
      <c r="S127" s="9">
        <f>MAX(IF(INDEX('Pace of change parameters'!$E$31:$I$31,1,$B$5)=1,D127*(1+Q127),D127),L127)</f>
        <v>668782.52805269137</v>
      </c>
      <c r="T127" s="103">
        <f>IF(Q127&lt;INDEX('Pace of change parameters'!$E$24:$I$24,1,$B$5),INDEX('Pace of change parameters'!$E$24:$I$24,1,$B$5),Q127)</f>
        <v>4.2625164360699408E-2</v>
      </c>
      <c r="U127" s="132">
        <v>3.6729228393719948E-2</v>
      </c>
      <c r="V127" s="117">
        <f t="shared" si="20"/>
        <v>668782.52805269137</v>
      </c>
      <c r="W127" s="131">
        <f>IF(J127&gt;INDEX('Pace of change parameters'!$E$26:$I$26,1,$B$5),0,IF(J127&lt;INDEX('Pace of change parameters'!$E$25:$I$25,1,$B$5),1,(J127-INDEX('Pace of change parameters'!$E$26:$I$26,1,$B$5))/(INDEX('Pace of change parameters'!$E$25:$I$25,1,$B$5)-INDEX('Pace of change parameters'!$E$26:$I$26,1,$B$5))))</f>
        <v>1</v>
      </c>
      <c r="X127" s="132">
        <f>MIN(T127, T127+(INDEX('Pace of change parameters'!$E$27:$I$27,1,$B$5)-T127)*(1-W127))</f>
        <v>4.2625164360699408E-2</v>
      </c>
      <c r="Y127" s="132">
        <v>3.6729228393719948E-2</v>
      </c>
      <c r="Z127" s="108">
        <f t="shared" si="21"/>
        <v>668782.52805269137</v>
      </c>
      <c r="AA127" s="97">
        <f>MIN(VLOOKUP(A127,'2019-20 disagg'!$A$12:$BB$220,54,FALSE),-2.5%)</f>
        <v>-2.5000000000000001E-2</v>
      </c>
      <c r="AB127" s="99">
        <f t="shared" si="13"/>
        <v>665603.85714939248</v>
      </c>
      <c r="AC127" s="99">
        <f>MAX(IF(INDEX('Pace of change parameters'!$E$29:$I$29,1,$B$5)=1,MAX(AB127,Z127),Z127),L127)</f>
        <v>668782.52805269137</v>
      </c>
      <c r="AD127" s="97">
        <f t="shared" si="14"/>
        <v>4.2625164360699408E-2</v>
      </c>
      <c r="AE127" s="146">
        <v>3.6729228393719948E-2</v>
      </c>
      <c r="AF127" s="56">
        <f t="shared" si="22"/>
        <v>668782.52805269137</v>
      </c>
      <c r="AG127" s="56">
        <v>1628.9032788894149</v>
      </c>
      <c r="AH127" s="16">
        <f t="shared" si="15"/>
        <v>4.2625164360699408E-2</v>
      </c>
      <c r="AI127" s="16">
        <f t="shared" si="16"/>
        <v>3.6729228393719726E-2</v>
      </c>
      <c r="AJ127" s="56"/>
      <c r="AK127" s="56">
        <v>682670.62271732569</v>
      </c>
      <c r="AL127" s="56">
        <v>1662.7294660097925</v>
      </c>
      <c r="AM127" s="16">
        <f t="shared" si="23"/>
        <v>-2.0343770776826031E-2</v>
      </c>
      <c r="AN127" s="58">
        <f t="shared" si="23"/>
        <v>-2.0343770776826031E-2</v>
      </c>
      <c r="AP127" s="56">
        <f t="shared" si="17"/>
        <v>0</v>
      </c>
      <c r="AQ127" s="56">
        <f t="shared" si="18"/>
        <v>0</v>
      </c>
    </row>
    <row r="128" spans="1:43" x14ac:dyDescent="0.2">
      <c r="A128" s="156" t="s">
        <v>301</v>
      </c>
      <c r="B128" s="156" t="s">
        <v>302</v>
      </c>
      <c r="D128" s="68">
        <f>VLOOKUP(A128,'2019-20 disagg'!A128:AZ336,43,FALSE)</f>
        <v>385662</v>
      </c>
      <c r="E128" s="73">
        <v>1621.8504775076403</v>
      </c>
      <c r="F128" s="55"/>
      <c r="G128" s="88">
        <v>397852.14466479403</v>
      </c>
      <c r="H128" s="81">
        <v>1655.644564935275</v>
      </c>
      <c r="I128" s="90"/>
      <c r="J128" s="103">
        <f t="shared" si="19"/>
        <v>-3.0639886772672043E-2</v>
      </c>
      <c r="K128" s="126">
        <f t="shared" si="19"/>
        <v>-2.0411438628408551E-2</v>
      </c>
      <c r="L128" s="56">
        <v>401244</v>
      </c>
      <c r="M128" s="103">
        <v>3.5317234465055636E-2</v>
      </c>
      <c r="N128" s="97">
        <f>INDEX('Pace of change parameters'!$E$22:$I$22,1,$B$5)</f>
        <v>2.4506891160555818E-2</v>
      </c>
      <c r="O128" s="108">
        <f>MAX(IF(INDEX('Pace of change parameters'!$E$30:$I$30,1,$B$5)=1,(1+M128)*D128,D128),L128)</f>
        <v>401244</v>
      </c>
      <c r="P128" s="94">
        <f>IF(K128&lt;INDEX('Pace of change parameters'!$E$18:$I$18,1,$B$5),1,IF(K128&gt;INDEX('Pace of change parameters'!$E$19:$I$19,1,$B$5),0,(K128-INDEX('Pace of change parameters'!$E$19:$I$19,1,$B$5))/(INDEX('Pace of change parameters'!$E$18:$I$18,1,$B$5)-INDEX('Pace of change parameters'!$E$19:$I$19,1,$B$5))))</f>
        <v>0.88229099039320136</v>
      </c>
      <c r="Q128" s="57">
        <v>4.9665861679140111E-2</v>
      </c>
      <c r="R128" s="57">
        <v>3.8705696097014686E-2</v>
      </c>
      <c r="S128" s="9">
        <f>MAX(IF(INDEX('Pace of change parameters'!$E$31:$I$31,1,$B$5)=1,D128*(1+Q128),D128),L128)</f>
        <v>404816.23554690054</v>
      </c>
      <c r="T128" s="103">
        <f>IF(Q128&lt;INDEX('Pace of change parameters'!$E$24:$I$24,1,$B$5),INDEX('Pace of change parameters'!$E$24:$I$24,1,$B$5),Q128)</f>
        <v>4.9665861679140111E-2</v>
      </c>
      <c r="U128" s="132">
        <v>3.8705696097014686E-2</v>
      </c>
      <c r="V128" s="117">
        <f t="shared" si="20"/>
        <v>404816.23554690054</v>
      </c>
      <c r="W128" s="131">
        <f>IF(J128&gt;INDEX('Pace of change parameters'!$E$26:$I$26,1,$B$5),0,IF(J128&lt;INDEX('Pace of change parameters'!$E$25:$I$25,1,$B$5),1,(J128-INDEX('Pace of change parameters'!$E$26:$I$26,1,$B$5))/(INDEX('Pace of change parameters'!$E$25:$I$25,1,$B$5)-INDEX('Pace of change parameters'!$E$26:$I$26,1,$B$5))))</f>
        <v>1</v>
      </c>
      <c r="X128" s="132">
        <f>MIN(T128, T128+(INDEX('Pace of change parameters'!$E$27:$I$27,1,$B$5)-T128)*(1-W128))</f>
        <v>4.9665861679140111E-2</v>
      </c>
      <c r="Y128" s="132">
        <v>3.8705696097014686E-2</v>
      </c>
      <c r="Z128" s="108">
        <f t="shared" si="21"/>
        <v>404816.23554690054</v>
      </c>
      <c r="AA128" s="97">
        <f>MIN(VLOOKUP(A128,'2019-20 disagg'!$A$12:$BB$220,54,FALSE),-2.5%)</f>
        <v>-2.6989883703302575E-2</v>
      </c>
      <c r="AB128" s="99">
        <f t="shared" si="13"/>
        <v>402935.206030445</v>
      </c>
      <c r="AC128" s="99">
        <f>MAX(IF(INDEX('Pace of change parameters'!$E$29:$I$29,1,$B$5)=1,MAX(AB128,Z128),Z128),L128)</f>
        <v>404816.23554690054</v>
      </c>
      <c r="AD128" s="97">
        <f t="shared" si="14"/>
        <v>4.9665861679140111E-2</v>
      </c>
      <c r="AE128" s="146">
        <v>3.8705696097014686E-2</v>
      </c>
      <c r="AF128" s="56">
        <f t="shared" si="22"/>
        <v>404816.23554690054</v>
      </c>
      <c r="AG128" s="56">
        <v>1684.6253292048493</v>
      </c>
      <c r="AH128" s="16">
        <f t="shared" si="15"/>
        <v>4.9665861679140111E-2</v>
      </c>
      <c r="AI128" s="16">
        <f t="shared" si="16"/>
        <v>3.8705696097014686E-2</v>
      </c>
      <c r="AJ128" s="56"/>
      <c r="AK128" s="56">
        <v>414112.04188094899</v>
      </c>
      <c r="AL128" s="56">
        <v>1723.3094269030669</v>
      </c>
      <c r="AM128" s="16">
        <f t="shared" si="23"/>
        <v>-2.2447563446418295E-2</v>
      </c>
      <c r="AN128" s="58">
        <f t="shared" si="23"/>
        <v>-2.2447563446418406E-2</v>
      </c>
      <c r="AP128" s="56">
        <f t="shared" si="17"/>
        <v>0</v>
      </c>
      <c r="AQ128" s="56">
        <f t="shared" si="18"/>
        <v>0</v>
      </c>
    </row>
    <row r="129" spans="1:43" x14ac:dyDescent="0.2">
      <c r="A129" s="156" t="s">
        <v>303</v>
      </c>
      <c r="B129" s="156" t="s">
        <v>304</v>
      </c>
      <c r="D129" s="68">
        <f>VLOOKUP(A129,'2019-20 disagg'!A129:AZ337,43,FALSE)</f>
        <v>608814</v>
      </c>
      <c r="E129" s="73">
        <v>1544.9890096950332</v>
      </c>
      <c r="F129" s="55"/>
      <c r="G129" s="88">
        <v>622500.28844518028</v>
      </c>
      <c r="H129" s="81">
        <v>1568.3844428014056</v>
      </c>
      <c r="I129" s="90"/>
      <c r="J129" s="103">
        <f t="shared" si="19"/>
        <v>-2.1985995346868847E-2</v>
      </c>
      <c r="K129" s="126">
        <f t="shared" si="19"/>
        <v>-1.4916899497284031E-2</v>
      </c>
      <c r="L129" s="56">
        <v>632552</v>
      </c>
      <c r="M129" s="103">
        <v>3.1912038098858231E-2</v>
      </c>
      <c r="N129" s="97">
        <f>INDEX('Pace of change parameters'!$E$22:$I$22,1,$B$5)</f>
        <v>2.4506891160555818E-2</v>
      </c>
      <c r="O129" s="108">
        <f>MAX(IF(INDEX('Pace of change parameters'!$E$30:$I$30,1,$B$5)=1,(1+M129)*D129,D129),L129)</f>
        <v>632552</v>
      </c>
      <c r="P129" s="94">
        <f>IF(K129&lt;INDEX('Pace of change parameters'!$E$18:$I$18,1,$B$5),1,IF(K129&gt;INDEX('Pace of change parameters'!$E$19:$I$19,1,$B$5),0,(K129-INDEX('Pace of change parameters'!$E$19:$I$19,1,$B$5))/(INDEX('Pace of change parameters'!$E$18:$I$18,1,$B$5)-INDEX('Pace of change parameters'!$E$19:$I$19,1,$B$5))))</f>
        <v>0.70206368134103792</v>
      </c>
      <c r="Q129" s="57">
        <v>4.3292090200574673E-2</v>
      </c>
      <c r="R129" s="57">
        <v>3.5805278396598084E-2</v>
      </c>
      <c r="S129" s="9">
        <f>MAX(IF(INDEX('Pace of change parameters'!$E$31:$I$31,1,$B$5)=1,D129*(1+Q129),D129),L129)</f>
        <v>635170.83060337265</v>
      </c>
      <c r="T129" s="103">
        <f>IF(Q129&lt;INDEX('Pace of change parameters'!$E$24:$I$24,1,$B$5),INDEX('Pace of change parameters'!$E$24:$I$24,1,$B$5),Q129)</f>
        <v>4.3292090200574673E-2</v>
      </c>
      <c r="U129" s="132">
        <v>3.5805278396598084E-2</v>
      </c>
      <c r="V129" s="117">
        <f t="shared" si="20"/>
        <v>635170.83060337265</v>
      </c>
      <c r="W129" s="131">
        <f>IF(J129&gt;INDEX('Pace of change parameters'!$E$26:$I$26,1,$B$5),0,IF(J129&lt;INDEX('Pace of change parameters'!$E$25:$I$25,1,$B$5),1,(J129-INDEX('Pace of change parameters'!$E$26:$I$26,1,$B$5))/(INDEX('Pace of change parameters'!$E$25:$I$25,1,$B$5)-INDEX('Pace of change parameters'!$E$26:$I$26,1,$B$5))))</f>
        <v>1</v>
      </c>
      <c r="X129" s="132">
        <f>MIN(T129, T129+(INDEX('Pace of change parameters'!$E$27:$I$27,1,$B$5)-T129)*(1-W129))</f>
        <v>4.3292090200574673E-2</v>
      </c>
      <c r="Y129" s="132">
        <v>3.5805278396598084E-2</v>
      </c>
      <c r="Z129" s="108">
        <f t="shared" si="21"/>
        <v>635170.83060337265</v>
      </c>
      <c r="AA129" s="97">
        <f>MIN(VLOOKUP(A129,'2019-20 disagg'!$A$12:$BB$220,54,FALSE),-2.5%)</f>
        <v>-2.5000000000000001E-2</v>
      </c>
      <c r="AB129" s="99">
        <f t="shared" si="13"/>
        <v>631590.54977080575</v>
      </c>
      <c r="AC129" s="99">
        <f>MAX(IF(INDEX('Pace of change parameters'!$E$29:$I$29,1,$B$5)=1,MAX(AB129,Z129),Z129),L129)</f>
        <v>635170.83060337265</v>
      </c>
      <c r="AD129" s="97">
        <f t="shared" si="14"/>
        <v>4.3292090200574673E-2</v>
      </c>
      <c r="AE129" s="146">
        <v>3.5805278396598084E-2</v>
      </c>
      <c r="AF129" s="56">
        <f t="shared" si="22"/>
        <v>635170.83060337265</v>
      </c>
      <c r="AG129" s="56">
        <v>1600.3077713068481</v>
      </c>
      <c r="AH129" s="16">
        <f t="shared" si="15"/>
        <v>4.3292090200574673E-2</v>
      </c>
      <c r="AI129" s="16">
        <f t="shared" si="16"/>
        <v>3.5805278396597862E-2</v>
      </c>
      <c r="AJ129" s="56"/>
      <c r="AK129" s="56">
        <v>647785.17925210844</v>
      </c>
      <c r="AL129" s="56">
        <v>1632.0895207196315</v>
      </c>
      <c r="AM129" s="16">
        <f t="shared" si="23"/>
        <v>-1.9473042997525059E-2</v>
      </c>
      <c r="AN129" s="58">
        <f t="shared" si="23"/>
        <v>-1.9473042997525059E-2</v>
      </c>
      <c r="AP129" s="56">
        <f t="shared" si="17"/>
        <v>0</v>
      </c>
      <c r="AQ129" s="56">
        <f t="shared" si="18"/>
        <v>0</v>
      </c>
    </row>
    <row r="130" spans="1:43" x14ac:dyDescent="0.2">
      <c r="A130" s="156" t="s">
        <v>305</v>
      </c>
      <c r="B130" s="156" t="s">
        <v>306</v>
      </c>
      <c r="D130" s="68">
        <f>VLOOKUP(A130,'2019-20 disagg'!A130:AZ338,43,FALSE)</f>
        <v>611311</v>
      </c>
      <c r="E130" s="73">
        <v>1743.6457697505418</v>
      </c>
      <c r="F130" s="55"/>
      <c r="G130" s="88">
        <v>625770.84464498784</v>
      </c>
      <c r="H130" s="81">
        <v>1769.8976474254139</v>
      </c>
      <c r="I130" s="90"/>
      <c r="J130" s="103">
        <f t="shared" si="19"/>
        <v>-2.3107252069551443E-2</v>
      </c>
      <c r="K130" s="126">
        <f t="shared" si="19"/>
        <v>-1.4832427012409166E-2</v>
      </c>
      <c r="L130" s="56">
        <v>635272</v>
      </c>
      <c r="M130" s="103">
        <v>3.3185034500395449E-2</v>
      </c>
      <c r="N130" s="97">
        <f>INDEX('Pace of change parameters'!$E$22:$I$22,1,$B$5)</f>
        <v>2.4506891160555818E-2</v>
      </c>
      <c r="O130" s="108">
        <f>MAX(IF(INDEX('Pace of change parameters'!$E$30:$I$30,1,$B$5)=1,(1+M130)*D130,D130),L130)</f>
        <v>635272</v>
      </c>
      <c r="P130" s="94">
        <f>IF(K130&lt;INDEX('Pace of change parameters'!$E$18:$I$18,1,$B$5),1,IF(K130&gt;INDEX('Pace of change parameters'!$E$19:$I$19,1,$B$5),0,(K130-INDEX('Pace of change parameters'!$E$19:$I$19,1,$B$5))/(INDEX('Pace of change parameters'!$E$18:$I$18,1,$B$5)-INDEX('Pace of change parameters'!$E$19:$I$19,1,$B$5))))</f>
        <v>0.69929288505137166</v>
      </c>
      <c r="Q130" s="57">
        <v>4.453415692752416E-2</v>
      </c>
      <c r="R130" s="57">
        <v>3.5760687670336466E-2</v>
      </c>
      <c r="S130" s="9">
        <f>MAX(IF(INDEX('Pace of change parameters'!$E$31:$I$31,1,$B$5)=1,D130*(1+Q130),D130),L130)</f>
        <v>638535.22000552167</v>
      </c>
      <c r="T130" s="103">
        <f>IF(Q130&lt;INDEX('Pace of change parameters'!$E$24:$I$24,1,$B$5),INDEX('Pace of change parameters'!$E$24:$I$24,1,$B$5),Q130)</f>
        <v>4.453415692752416E-2</v>
      </c>
      <c r="U130" s="132">
        <v>3.5760687670336466E-2</v>
      </c>
      <c r="V130" s="117">
        <f t="shared" si="20"/>
        <v>638535.22000552167</v>
      </c>
      <c r="W130" s="131">
        <f>IF(J130&gt;INDEX('Pace of change parameters'!$E$26:$I$26,1,$B$5),0,IF(J130&lt;INDEX('Pace of change parameters'!$E$25:$I$25,1,$B$5),1,(J130-INDEX('Pace of change parameters'!$E$26:$I$26,1,$B$5))/(INDEX('Pace of change parameters'!$E$25:$I$25,1,$B$5)-INDEX('Pace of change parameters'!$E$26:$I$26,1,$B$5))))</f>
        <v>1</v>
      </c>
      <c r="X130" s="132">
        <f>MIN(T130, T130+(INDEX('Pace of change parameters'!$E$27:$I$27,1,$B$5)-T130)*(1-W130))</f>
        <v>4.453415692752416E-2</v>
      </c>
      <c r="Y130" s="132">
        <v>3.5760687670336466E-2</v>
      </c>
      <c r="Z130" s="108">
        <f t="shared" si="21"/>
        <v>638535.22000552167</v>
      </c>
      <c r="AA130" s="97">
        <f>MIN(VLOOKUP(A130,'2019-20 disagg'!$A$12:$BB$220,54,FALSE),-2.5%)</f>
        <v>-2.5000000000000001E-2</v>
      </c>
      <c r="AB130" s="99">
        <f t="shared" si="13"/>
        <v>634841.32844848989</v>
      </c>
      <c r="AC130" s="99">
        <f>MAX(IF(INDEX('Pace of change parameters'!$E$29:$I$29,1,$B$5)=1,MAX(AB130,Z130),Z130),L130)</f>
        <v>638535.22000552167</v>
      </c>
      <c r="AD130" s="97">
        <f t="shared" si="14"/>
        <v>4.453415692752416E-2</v>
      </c>
      <c r="AE130" s="146">
        <v>3.5760687670336466E-2</v>
      </c>
      <c r="AF130" s="56">
        <f t="shared" si="22"/>
        <v>638535.22000552167</v>
      </c>
      <c r="AG130" s="56">
        <v>1805.9997415302942</v>
      </c>
      <c r="AH130" s="16">
        <f t="shared" si="15"/>
        <v>4.453415692752416E-2</v>
      </c>
      <c r="AI130" s="16">
        <f t="shared" si="16"/>
        <v>3.5760687670336244E-2</v>
      </c>
      <c r="AJ130" s="56"/>
      <c r="AK130" s="56">
        <v>651119.31122922036</v>
      </c>
      <c r="AL130" s="56">
        <v>1841.5919293773434</v>
      </c>
      <c r="AM130" s="16">
        <f t="shared" si="23"/>
        <v>-1.9326859158794951E-2</v>
      </c>
      <c r="AN130" s="58">
        <f t="shared" si="23"/>
        <v>-1.932685915879484E-2</v>
      </c>
      <c r="AP130" s="56">
        <f t="shared" si="17"/>
        <v>0</v>
      </c>
      <c r="AQ130" s="56">
        <f t="shared" si="18"/>
        <v>0</v>
      </c>
    </row>
    <row r="131" spans="1:43" x14ac:dyDescent="0.2">
      <c r="A131" s="156" t="s">
        <v>307</v>
      </c>
      <c r="B131" s="156" t="s">
        <v>308</v>
      </c>
      <c r="D131" s="68">
        <f>VLOOKUP(A131,'2019-20 disagg'!A131:AZ339,43,FALSE)</f>
        <v>315704</v>
      </c>
      <c r="E131" s="73">
        <v>1807.0686201450833</v>
      </c>
      <c r="F131" s="55"/>
      <c r="G131" s="88">
        <v>312411.86254197737</v>
      </c>
      <c r="H131" s="81">
        <v>1778.3407778032984</v>
      </c>
      <c r="I131" s="90"/>
      <c r="J131" s="103">
        <f t="shared" si="19"/>
        <v>1.0537811948738929E-2</v>
      </c>
      <c r="K131" s="126">
        <f t="shared" si="19"/>
        <v>1.6154295453580714E-2</v>
      </c>
      <c r="L131" s="56">
        <v>327080</v>
      </c>
      <c r="M131" s="103">
        <v>3.0201013623626816E-2</v>
      </c>
      <c r="N131" s="97">
        <f>INDEX('Pace of change parameters'!$E$22:$I$22,1,$B$5)</f>
        <v>2.4506891160555818E-2</v>
      </c>
      <c r="O131" s="108">
        <f>MAX(IF(INDEX('Pace of change parameters'!$E$30:$I$30,1,$B$5)=1,(1+M131)*D131,D131),L131)</f>
        <v>327080</v>
      </c>
      <c r="P131" s="94">
        <f>IF(K131&lt;INDEX('Pace of change parameters'!$E$18:$I$18,1,$B$5),1,IF(K131&gt;INDEX('Pace of change parameters'!$E$19:$I$19,1,$B$5),0,(K131-INDEX('Pace of change parameters'!$E$19:$I$19,1,$B$5))/(INDEX('Pace of change parameters'!$E$18:$I$18,1,$B$5)-INDEX('Pace of change parameters'!$E$19:$I$19,1,$B$5))))</f>
        <v>0</v>
      </c>
      <c r="Q131" s="57">
        <v>3.0201013623626816E-2</v>
      </c>
      <c r="R131" s="57">
        <v>2.450689116055571E-2</v>
      </c>
      <c r="S131" s="9">
        <f>MAX(IF(INDEX('Pace of change parameters'!$E$31:$I$31,1,$B$5)=1,D131*(1+Q131),D131),L131)</f>
        <v>327080</v>
      </c>
      <c r="T131" s="103">
        <f>IF(Q131&lt;INDEX('Pace of change parameters'!$E$24:$I$24,1,$B$5),INDEX('Pace of change parameters'!$E$24:$I$24,1,$B$5),Q131)</f>
        <v>3.2992755077120454E-2</v>
      </c>
      <c r="U131" s="132">
        <v>2.7283202113097538E-2</v>
      </c>
      <c r="V131" s="117">
        <f t="shared" si="20"/>
        <v>327080</v>
      </c>
      <c r="W131" s="131">
        <f>IF(J131&gt;INDEX('Pace of change parameters'!$E$26:$I$26,1,$B$5),0,IF(J131&lt;INDEX('Pace of change parameters'!$E$25:$I$25,1,$B$5),1,(J131-INDEX('Pace of change parameters'!$E$26:$I$26,1,$B$5))/(INDEX('Pace of change parameters'!$E$25:$I$25,1,$B$5)-INDEX('Pace of change parameters'!$E$26:$I$26,1,$B$5))))</f>
        <v>1</v>
      </c>
      <c r="X131" s="132">
        <f>MIN(T131, T131+(INDEX('Pace of change parameters'!$E$27:$I$27,1,$B$5)-T131)*(1-W131))</f>
        <v>3.2992755077120454E-2</v>
      </c>
      <c r="Y131" s="132">
        <v>2.7283202113097538E-2</v>
      </c>
      <c r="Z131" s="108">
        <f t="shared" si="21"/>
        <v>327080</v>
      </c>
      <c r="AA131" s="97">
        <f>MIN(VLOOKUP(A131,'2019-20 disagg'!$A$12:$BB$220,54,FALSE),-2.5%)</f>
        <v>-2.5000000000000001E-2</v>
      </c>
      <c r="AB131" s="99">
        <f t="shared" si="13"/>
        <v>317040.02032913594</v>
      </c>
      <c r="AC131" s="99">
        <f>MAX(IF(INDEX('Pace of change parameters'!$E$29:$I$29,1,$B$5)=1,MAX(AB131,Z131),Z131),L131)</f>
        <v>327080</v>
      </c>
      <c r="AD131" s="97">
        <f t="shared" si="14"/>
        <v>3.6033753135848778E-2</v>
      </c>
      <c r="AE131" s="146">
        <v>3.0307391980873399E-2</v>
      </c>
      <c r="AF131" s="56">
        <f t="shared" si="22"/>
        <v>327080</v>
      </c>
      <c r="AG131" s="56">
        <v>1861.8361571521564</v>
      </c>
      <c r="AH131" s="16">
        <f t="shared" si="15"/>
        <v>3.6033753135848778E-2</v>
      </c>
      <c r="AI131" s="16">
        <f t="shared" si="16"/>
        <v>3.0307391980873399E-2</v>
      </c>
      <c r="AJ131" s="56"/>
      <c r="AK131" s="56">
        <v>325169.25161962659</v>
      </c>
      <c r="AL131" s="56">
        <v>1850.959611897787</v>
      </c>
      <c r="AM131" s="16">
        <f t="shared" si="23"/>
        <v>5.8761656302255272E-3</v>
      </c>
      <c r="AN131" s="58">
        <f t="shared" si="23"/>
        <v>5.8761656302255272E-3</v>
      </c>
      <c r="AP131" s="56">
        <f t="shared" si="17"/>
        <v>1</v>
      </c>
      <c r="AQ131" s="56">
        <f t="shared" si="18"/>
        <v>0</v>
      </c>
    </row>
    <row r="132" spans="1:43" x14ac:dyDescent="0.2">
      <c r="A132" s="156" t="s">
        <v>309</v>
      </c>
      <c r="B132" s="156" t="s">
        <v>310</v>
      </c>
      <c r="D132" s="68">
        <f>VLOOKUP(A132,'2019-20 disagg'!A132:AZ340,43,FALSE)</f>
        <v>336454</v>
      </c>
      <c r="E132" s="73">
        <v>1516.6615154016285</v>
      </c>
      <c r="F132" s="55"/>
      <c r="G132" s="88">
        <v>342715.29703080253</v>
      </c>
      <c r="H132" s="81">
        <v>1535.7696356150636</v>
      </c>
      <c r="I132" s="90"/>
      <c r="J132" s="103">
        <f t="shared" si="19"/>
        <v>-1.8269674814777148E-2</v>
      </c>
      <c r="K132" s="126">
        <f t="shared" si="19"/>
        <v>-1.2442048449396781E-2</v>
      </c>
      <c r="L132" s="56">
        <v>349165</v>
      </c>
      <c r="M132" s="103">
        <v>3.0588442496269685E-2</v>
      </c>
      <c r="N132" s="97">
        <f>INDEX('Pace of change parameters'!$E$22:$I$22,1,$B$5)</f>
        <v>2.4506891160555818E-2</v>
      </c>
      <c r="O132" s="108">
        <f>MAX(IF(INDEX('Pace of change parameters'!$E$30:$I$30,1,$B$5)=1,(1+M132)*D132,D132),L132)</f>
        <v>349165</v>
      </c>
      <c r="P132" s="94">
        <f>IF(K132&lt;INDEX('Pace of change parameters'!$E$18:$I$18,1,$B$5),1,IF(K132&gt;INDEX('Pace of change parameters'!$E$19:$I$19,1,$B$5),0,(K132-INDEX('Pace of change parameters'!$E$19:$I$19,1,$B$5))/(INDEX('Pace of change parameters'!$E$18:$I$18,1,$B$5)-INDEX('Pace of change parameters'!$E$19:$I$19,1,$B$5))))</f>
        <v>0.62088567277267248</v>
      </c>
      <c r="Q132" s="57">
        <v>4.0639736367462431E-2</v>
      </c>
      <c r="R132" s="57">
        <v>3.4498871869337977E-2</v>
      </c>
      <c r="S132" s="9">
        <f>MAX(IF(INDEX('Pace of change parameters'!$E$31:$I$31,1,$B$5)=1,D132*(1+Q132),D132),L132)</f>
        <v>350127.40185977821</v>
      </c>
      <c r="T132" s="103">
        <f>IF(Q132&lt;INDEX('Pace of change parameters'!$E$24:$I$24,1,$B$5),INDEX('Pace of change parameters'!$E$24:$I$24,1,$B$5),Q132)</f>
        <v>4.0639736367462431E-2</v>
      </c>
      <c r="U132" s="132">
        <v>3.4498871869337977E-2</v>
      </c>
      <c r="V132" s="117">
        <f t="shared" si="20"/>
        <v>350127.40185977821</v>
      </c>
      <c r="W132" s="131">
        <f>IF(J132&gt;INDEX('Pace of change parameters'!$E$26:$I$26,1,$B$5),0,IF(J132&lt;INDEX('Pace of change parameters'!$E$25:$I$25,1,$B$5),1,(J132-INDEX('Pace of change parameters'!$E$26:$I$26,1,$B$5))/(INDEX('Pace of change parameters'!$E$25:$I$25,1,$B$5)-INDEX('Pace of change parameters'!$E$26:$I$26,1,$B$5))))</f>
        <v>1</v>
      </c>
      <c r="X132" s="132">
        <f>MIN(T132, T132+(INDEX('Pace of change parameters'!$E$27:$I$27,1,$B$5)-T132)*(1-W132))</f>
        <v>4.0639736367462431E-2</v>
      </c>
      <c r="Y132" s="132">
        <v>3.4498871869337977E-2</v>
      </c>
      <c r="Z132" s="108">
        <f t="shared" si="21"/>
        <v>350127.40185977821</v>
      </c>
      <c r="AA132" s="97">
        <f>MIN(VLOOKUP(A132,'2019-20 disagg'!$A$12:$BB$220,54,FALSE),-2.5%)</f>
        <v>-2.5000000000000001E-2</v>
      </c>
      <c r="AB132" s="99">
        <f t="shared" si="13"/>
        <v>347791.83142374328</v>
      </c>
      <c r="AC132" s="99">
        <f>MAX(IF(INDEX('Pace of change parameters'!$E$29:$I$29,1,$B$5)=1,MAX(AB132,Z132),Z132),L132)</f>
        <v>350127.40185977821</v>
      </c>
      <c r="AD132" s="97">
        <f t="shared" si="14"/>
        <v>4.0639736367462431E-2</v>
      </c>
      <c r="AE132" s="146">
        <v>3.4498871869337977E-2</v>
      </c>
      <c r="AF132" s="56">
        <f t="shared" si="22"/>
        <v>350127.40185977821</v>
      </c>
      <c r="AG132" s="56">
        <v>1568.9846266906256</v>
      </c>
      <c r="AH132" s="16">
        <f t="shared" si="15"/>
        <v>4.0639736367462431E-2</v>
      </c>
      <c r="AI132" s="16">
        <f t="shared" si="16"/>
        <v>3.4498871869338199E-2</v>
      </c>
      <c r="AJ132" s="56"/>
      <c r="AK132" s="56">
        <v>356709.57069101877</v>
      </c>
      <c r="AL132" s="56">
        <v>1598.4805234746041</v>
      </c>
      <c r="AM132" s="16">
        <f t="shared" si="23"/>
        <v>-1.8452459289190259E-2</v>
      </c>
      <c r="AN132" s="58">
        <f t="shared" si="23"/>
        <v>-1.8452459289190148E-2</v>
      </c>
      <c r="AP132" s="56">
        <f t="shared" si="17"/>
        <v>0</v>
      </c>
      <c r="AQ132" s="56">
        <f t="shared" si="18"/>
        <v>0</v>
      </c>
    </row>
    <row r="133" spans="1:43" x14ac:dyDescent="0.2">
      <c r="A133" s="156" t="s">
        <v>311</v>
      </c>
      <c r="B133" s="156" t="s">
        <v>312</v>
      </c>
      <c r="D133" s="68">
        <f>VLOOKUP(A133,'2019-20 disagg'!A133:AZ341,43,FALSE)</f>
        <v>376687</v>
      </c>
      <c r="E133" s="73">
        <v>1552.7929277964888</v>
      </c>
      <c r="F133" s="55"/>
      <c r="G133" s="88">
        <v>385120.7582214963</v>
      </c>
      <c r="H133" s="81">
        <v>1572.9040568376588</v>
      </c>
      <c r="I133" s="90"/>
      <c r="J133" s="103">
        <f t="shared" si="19"/>
        <v>-2.1898996721038233E-2</v>
      </c>
      <c r="K133" s="126">
        <f t="shared" si="19"/>
        <v>-1.2785985867188598E-2</v>
      </c>
      <c r="L133" s="56">
        <v>390456</v>
      </c>
      <c r="M133" s="103">
        <v>3.4052267750182885E-2</v>
      </c>
      <c r="N133" s="97">
        <f>INDEX('Pace of change parameters'!$E$22:$I$22,1,$B$5)</f>
        <v>2.4506891160555818E-2</v>
      </c>
      <c r="O133" s="108">
        <f>MAX(IF(INDEX('Pace of change parameters'!$E$30:$I$30,1,$B$5)=1,(1+M133)*D133,D133),L133)</f>
        <v>390456</v>
      </c>
      <c r="P133" s="94">
        <f>IF(K133&lt;INDEX('Pace of change parameters'!$E$18:$I$18,1,$B$5),1,IF(K133&gt;INDEX('Pace of change parameters'!$E$19:$I$19,1,$B$5),0,(K133-INDEX('Pace of change parameters'!$E$19:$I$19,1,$B$5))/(INDEX('Pace of change parameters'!$E$18:$I$18,1,$B$5)-INDEX('Pace of change parameters'!$E$19:$I$19,1,$B$5))))</f>
        <v>0.63216722229150946</v>
      </c>
      <c r="Q133" s="57">
        <v>4.4320590952994454E-2</v>
      </c>
      <c r="R133" s="57">
        <v>3.4680427073622289E-2</v>
      </c>
      <c r="S133" s="9">
        <f>MAX(IF(INDEX('Pace of change parameters'!$E$31:$I$31,1,$B$5)=1,D133*(1+Q133),D133),L133)</f>
        <v>393381.99044431065</v>
      </c>
      <c r="T133" s="103">
        <f>IF(Q133&lt;INDEX('Pace of change parameters'!$E$24:$I$24,1,$B$5),INDEX('Pace of change parameters'!$E$24:$I$24,1,$B$5),Q133)</f>
        <v>4.4320590952994454E-2</v>
      </c>
      <c r="U133" s="132">
        <v>3.4680427073622289E-2</v>
      </c>
      <c r="V133" s="117">
        <f t="shared" si="20"/>
        <v>393381.99044431065</v>
      </c>
      <c r="W133" s="131">
        <f>IF(J133&gt;INDEX('Pace of change parameters'!$E$26:$I$26,1,$B$5),0,IF(J133&lt;INDEX('Pace of change parameters'!$E$25:$I$25,1,$B$5),1,(J133-INDEX('Pace of change parameters'!$E$26:$I$26,1,$B$5))/(INDEX('Pace of change parameters'!$E$25:$I$25,1,$B$5)-INDEX('Pace of change parameters'!$E$26:$I$26,1,$B$5))))</f>
        <v>1</v>
      </c>
      <c r="X133" s="132">
        <f>MIN(T133, T133+(INDEX('Pace of change parameters'!$E$27:$I$27,1,$B$5)-T133)*(1-W133))</f>
        <v>4.4320590952994454E-2</v>
      </c>
      <c r="Y133" s="132">
        <v>3.4680427073622289E-2</v>
      </c>
      <c r="Z133" s="108">
        <f t="shared" si="21"/>
        <v>393381.99044431065</v>
      </c>
      <c r="AA133" s="97">
        <f>MIN(VLOOKUP(A133,'2019-20 disagg'!$A$12:$BB$220,54,FALSE),-2.5%)</f>
        <v>-2.5000000000000001E-2</v>
      </c>
      <c r="AB133" s="99">
        <f t="shared" si="13"/>
        <v>390827.08851727407</v>
      </c>
      <c r="AC133" s="99">
        <f>MAX(IF(INDEX('Pace of change parameters'!$E$29:$I$29,1,$B$5)=1,MAX(AB133,Z133),Z133),L133)</f>
        <v>393381.99044431065</v>
      </c>
      <c r="AD133" s="97">
        <f t="shared" si="14"/>
        <v>4.4320590952994454E-2</v>
      </c>
      <c r="AE133" s="146">
        <v>3.4680427073622289E-2</v>
      </c>
      <c r="AF133" s="56">
        <f t="shared" si="22"/>
        <v>393381.99044431065</v>
      </c>
      <c r="AG133" s="56">
        <v>1606.6444496893714</v>
      </c>
      <c r="AH133" s="16">
        <f t="shared" si="15"/>
        <v>4.4320590952994454E-2</v>
      </c>
      <c r="AI133" s="16">
        <f t="shared" si="16"/>
        <v>3.4680427073622289E-2</v>
      </c>
      <c r="AJ133" s="56"/>
      <c r="AK133" s="56">
        <v>400848.29591515288</v>
      </c>
      <c r="AL133" s="56">
        <v>1637.1382153822681</v>
      </c>
      <c r="AM133" s="16">
        <f t="shared" si="23"/>
        <v>-1.8626262221712486E-2</v>
      </c>
      <c r="AN133" s="58">
        <f t="shared" si="23"/>
        <v>-1.8626262221712597E-2</v>
      </c>
      <c r="AP133" s="56">
        <f t="shared" si="17"/>
        <v>0</v>
      </c>
      <c r="AQ133" s="56">
        <f t="shared" si="18"/>
        <v>0</v>
      </c>
    </row>
    <row r="134" spans="1:43" x14ac:dyDescent="0.2">
      <c r="A134" s="156" t="s">
        <v>313</v>
      </c>
      <c r="B134" s="156" t="s">
        <v>314</v>
      </c>
      <c r="D134" s="68">
        <f>VLOOKUP(A134,'2019-20 disagg'!A134:AZ342,43,FALSE)</f>
        <v>326725</v>
      </c>
      <c r="E134" s="73">
        <v>1711.3107031056386</v>
      </c>
      <c r="F134" s="55"/>
      <c r="G134" s="88">
        <v>333650.25764271419</v>
      </c>
      <c r="H134" s="81">
        <v>1734.2743224275005</v>
      </c>
      <c r="I134" s="90"/>
      <c r="J134" s="103">
        <f t="shared" si="19"/>
        <v>-2.0756038648500064E-2</v>
      </c>
      <c r="K134" s="126">
        <f t="shared" si="19"/>
        <v>-1.3241053635459021E-2</v>
      </c>
      <c r="L134" s="56">
        <v>339498</v>
      </c>
      <c r="M134" s="103">
        <v>3.2369236231545973E-2</v>
      </c>
      <c r="N134" s="97">
        <f>INDEX('Pace of change parameters'!$E$22:$I$22,1,$B$5)</f>
        <v>2.4506891160555818E-2</v>
      </c>
      <c r="O134" s="108">
        <f>MAX(IF(INDEX('Pace of change parameters'!$E$30:$I$30,1,$B$5)=1,(1+M134)*D134,D134),L134)</f>
        <v>339498</v>
      </c>
      <c r="P134" s="94">
        <f>IF(K134&lt;INDEX('Pace of change parameters'!$E$18:$I$18,1,$B$5),1,IF(K134&gt;INDEX('Pace of change parameters'!$E$19:$I$19,1,$B$5),0,(K134-INDEX('Pace of change parameters'!$E$19:$I$19,1,$B$5))/(INDEX('Pace of change parameters'!$E$18:$I$18,1,$B$5)-INDEX('Pace of change parameters'!$E$19:$I$19,1,$B$5))))</f>
        <v>0.6470939772666745</v>
      </c>
      <c r="Q134" s="57">
        <v>4.2862908021601642E-2</v>
      </c>
      <c r="R134" s="57">
        <v>3.492064496605729E-2</v>
      </c>
      <c r="S134" s="9">
        <f>MAX(IF(INDEX('Pace of change parameters'!$E$31:$I$31,1,$B$5)=1,D134*(1+Q134),D134),L134)</f>
        <v>340729.3836233578</v>
      </c>
      <c r="T134" s="103">
        <f>IF(Q134&lt;INDEX('Pace of change parameters'!$E$24:$I$24,1,$B$5),INDEX('Pace of change parameters'!$E$24:$I$24,1,$B$5),Q134)</f>
        <v>4.2862908021601642E-2</v>
      </c>
      <c r="U134" s="132">
        <v>3.492064496605729E-2</v>
      </c>
      <c r="V134" s="117">
        <f t="shared" si="20"/>
        <v>340729.3836233578</v>
      </c>
      <c r="W134" s="131">
        <f>IF(J134&gt;INDEX('Pace of change parameters'!$E$26:$I$26,1,$B$5),0,IF(J134&lt;INDEX('Pace of change parameters'!$E$25:$I$25,1,$B$5),1,(J134-INDEX('Pace of change parameters'!$E$26:$I$26,1,$B$5))/(INDEX('Pace of change parameters'!$E$25:$I$25,1,$B$5)-INDEX('Pace of change parameters'!$E$26:$I$26,1,$B$5))))</f>
        <v>1</v>
      </c>
      <c r="X134" s="132">
        <f>MIN(T134, T134+(INDEX('Pace of change parameters'!$E$27:$I$27,1,$B$5)-T134)*(1-W134))</f>
        <v>4.2862908021601642E-2</v>
      </c>
      <c r="Y134" s="132">
        <v>3.492064496605729E-2</v>
      </c>
      <c r="Z134" s="108">
        <f t="shared" si="21"/>
        <v>340729.3836233578</v>
      </c>
      <c r="AA134" s="97">
        <f>MIN(VLOOKUP(A134,'2019-20 disagg'!$A$12:$BB$220,54,FALSE),-2.5%)</f>
        <v>-2.5000000000000001E-2</v>
      </c>
      <c r="AB134" s="99">
        <f t="shared" si="13"/>
        <v>338519.83784006449</v>
      </c>
      <c r="AC134" s="99">
        <f>MAX(IF(INDEX('Pace of change parameters'!$E$29:$I$29,1,$B$5)=1,MAX(AB134,Z134),Z134),L134)</f>
        <v>340729.3836233578</v>
      </c>
      <c r="AD134" s="97">
        <f t="shared" si="14"/>
        <v>4.2862908021601642E-2</v>
      </c>
      <c r="AE134" s="146">
        <v>3.492064496605729E-2</v>
      </c>
      <c r="AF134" s="56">
        <f t="shared" si="22"/>
        <v>340729.3836233578</v>
      </c>
      <c r="AG134" s="56">
        <v>1771.0707765954051</v>
      </c>
      <c r="AH134" s="16">
        <f t="shared" si="15"/>
        <v>4.2862908021601642E-2</v>
      </c>
      <c r="AI134" s="16">
        <f t="shared" si="16"/>
        <v>3.4920644966057734E-2</v>
      </c>
      <c r="AJ134" s="56"/>
      <c r="AK134" s="56">
        <v>347199.83368211746</v>
      </c>
      <c r="AL134" s="56">
        <v>1804.7034057764465</v>
      </c>
      <c r="AM134" s="16">
        <f t="shared" si="23"/>
        <v>-1.8636097806094432E-2</v>
      </c>
      <c r="AN134" s="58">
        <f t="shared" si="23"/>
        <v>-1.8636097806094321E-2</v>
      </c>
      <c r="AP134" s="56">
        <f t="shared" si="17"/>
        <v>0</v>
      </c>
      <c r="AQ134" s="56">
        <f t="shared" si="18"/>
        <v>0</v>
      </c>
    </row>
    <row r="135" spans="1:43" x14ac:dyDescent="0.2">
      <c r="A135" s="156" t="s">
        <v>315</v>
      </c>
      <c r="B135" s="156" t="s">
        <v>316</v>
      </c>
      <c r="D135" s="68">
        <f>VLOOKUP(A135,'2019-20 disagg'!A135:AZ343,43,FALSE)</f>
        <v>280586</v>
      </c>
      <c r="E135" s="73">
        <v>1578.4486210032831</v>
      </c>
      <c r="F135" s="55"/>
      <c r="G135" s="88">
        <v>287449.61494770029</v>
      </c>
      <c r="H135" s="81">
        <v>1600.4569937903912</v>
      </c>
      <c r="I135" s="90"/>
      <c r="J135" s="103">
        <f t="shared" si="19"/>
        <v>-2.3877627906891075E-2</v>
      </c>
      <c r="K135" s="126">
        <f t="shared" si="19"/>
        <v>-1.3751305328726926E-2</v>
      </c>
      <c r="L135" s="56">
        <v>291771</v>
      </c>
      <c r="M135" s="103">
        <v>3.5135156181464566E-2</v>
      </c>
      <c r="N135" s="97">
        <f>INDEX('Pace of change parameters'!$E$22:$I$22,1,$B$5)</f>
        <v>2.4506891160555818E-2</v>
      </c>
      <c r="O135" s="108">
        <f>MAX(IF(INDEX('Pace of change parameters'!$E$30:$I$30,1,$B$5)=1,(1+M135)*D135,D135),L135)</f>
        <v>291771</v>
      </c>
      <c r="P135" s="94">
        <f>IF(K135&lt;INDEX('Pace of change parameters'!$E$18:$I$18,1,$B$5),1,IF(K135&gt;INDEX('Pace of change parameters'!$E$19:$I$19,1,$B$5),0,(K135-INDEX('Pace of change parameters'!$E$19:$I$19,1,$B$5))/(INDEX('Pace of change parameters'!$E$18:$I$18,1,$B$5)-INDEX('Pace of change parameters'!$E$19:$I$19,1,$B$5))))</f>
        <v>0.6638308295162213</v>
      </c>
      <c r="Q135" s="57">
        <v>4.5929084788195462E-2</v>
      </c>
      <c r="R135" s="57">
        <v>3.5189992950938942E-2</v>
      </c>
      <c r="S135" s="9">
        <f>MAX(IF(INDEX('Pace of change parameters'!$E$31:$I$31,1,$B$5)=1,D135*(1+Q135),D135),L135)</f>
        <v>293473.05818438058</v>
      </c>
      <c r="T135" s="103">
        <f>IF(Q135&lt;INDEX('Pace of change parameters'!$E$24:$I$24,1,$B$5),INDEX('Pace of change parameters'!$E$24:$I$24,1,$B$5),Q135)</f>
        <v>4.5929084788195462E-2</v>
      </c>
      <c r="U135" s="132">
        <v>3.5189992950938942E-2</v>
      </c>
      <c r="V135" s="117">
        <f t="shared" si="20"/>
        <v>293473.05818438058</v>
      </c>
      <c r="W135" s="131">
        <f>IF(J135&gt;INDEX('Pace of change parameters'!$E$26:$I$26,1,$B$5),0,IF(J135&lt;INDEX('Pace of change parameters'!$E$25:$I$25,1,$B$5),1,(J135-INDEX('Pace of change parameters'!$E$26:$I$26,1,$B$5))/(INDEX('Pace of change parameters'!$E$25:$I$25,1,$B$5)-INDEX('Pace of change parameters'!$E$26:$I$26,1,$B$5))))</f>
        <v>1</v>
      </c>
      <c r="X135" s="132">
        <f>MIN(T135, T135+(INDEX('Pace of change parameters'!$E$27:$I$27,1,$B$5)-T135)*(1-W135))</f>
        <v>4.5929084788195462E-2</v>
      </c>
      <c r="Y135" s="132">
        <v>3.5189992950938942E-2</v>
      </c>
      <c r="Z135" s="108">
        <f t="shared" si="21"/>
        <v>293473.05818438058</v>
      </c>
      <c r="AA135" s="97">
        <f>MIN(VLOOKUP(A135,'2019-20 disagg'!$A$12:$BB$220,54,FALSE),-2.5%)</f>
        <v>-2.5000000000000001E-2</v>
      </c>
      <c r="AB135" s="99">
        <f t="shared" si="13"/>
        <v>291676.71278091299</v>
      </c>
      <c r="AC135" s="99">
        <f>MAX(IF(INDEX('Pace of change parameters'!$E$29:$I$29,1,$B$5)=1,MAX(AB135,Z135),Z135),L135)</f>
        <v>293473.05818438058</v>
      </c>
      <c r="AD135" s="97">
        <f t="shared" si="14"/>
        <v>4.5929084788195462E-2</v>
      </c>
      <c r="AE135" s="146">
        <v>3.5189992950938942E-2</v>
      </c>
      <c r="AF135" s="56">
        <f t="shared" si="22"/>
        <v>293473.05818438058</v>
      </c>
      <c r="AG135" s="56">
        <v>1633.9942168498078</v>
      </c>
      <c r="AH135" s="16">
        <f t="shared" si="15"/>
        <v>4.5929084788195462E-2</v>
      </c>
      <c r="AI135" s="16">
        <f t="shared" si="16"/>
        <v>3.5189992950938942E-2</v>
      </c>
      <c r="AJ135" s="56"/>
      <c r="AK135" s="56">
        <v>299155.60285221844</v>
      </c>
      <c r="AL135" s="56">
        <v>1665.6333907545011</v>
      </c>
      <c r="AM135" s="16">
        <f t="shared" si="23"/>
        <v>-1.899528076244994E-2</v>
      </c>
      <c r="AN135" s="58">
        <f t="shared" si="23"/>
        <v>-1.899528076244994E-2</v>
      </c>
      <c r="AP135" s="56">
        <f t="shared" si="17"/>
        <v>0</v>
      </c>
      <c r="AQ135" s="56">
        <f t="shared" si="18"/>
        <v>0</v>
      </c>
    </row>
    <row r="136" spans="1:43" x14ac:dyDescent="0.2">
      <c r="A136" s="156" t="s">
        <v>317</v>
      </c>
      <c r="B136" s="156" t="s">
        <v>318</v>
      </c>
      <c r="D136" s="68">
        <f>VLOOKUP(A136,'2019-20 disagg'!A136:AZ344,43,FALSE)</f>
        <v>523709</v>
      </c>
      <c r="E136" s="73">
        <v>1657.1933728975732</v>
      </c>
      <c r="F136" s="55"/>
      <c r="G136" s="88">
        <v>539216.16784233321</v>
      </c>
      <c r="H136" s="81">
        <v>1688.330417307802</v>
      </c>
      <c r="I136" s="90"/>
      <c r="J136" s="103">
        <f t="shared" si="19"/>
        <v>-2.8758721950762234E-2</v>
      </c>
      <c r="K136" s="126">
        <f t="shared" si="19"/>
        <v>-1.8442506331124209E-2</v>
      </c>
      <c r="L136" s="56">
        <v>544583</v>
      </c>
      <c r="M136" s="103">
        <v>3.5388877163297972E-2</v>
      </c>
      <c r="N136" s="97">
        <f>INDEX('Pace of change parameters'!$E$22:$I$22,1,$B$5)</f>
        <v>2.4506891160555818E-2</v>
      </c>
      <c r="O136" s="108">
        <f>MAX(IF(INDEX('Pace of change parameters'!$E$30:$I$30,1,$B$5)=1,(1+M136)*D136,D136),L136)</f>
        <v>544583</v>
      </c>
      <c r="P136" s="94">
        <f>IF(K136&lt;INDEX('Pace of change parameters'!$E$18:$I$18,1,$B$5),1,IF(K136&gt;INDEX('Pace of change parameters'!$E$19:$I$19,1,$B$5),0,(K136-INDEX('Pace of change parameters'!$E$19:$I$19,1,$B$5))/(INDEX('Pace of change parameters'!$E$18:$I$18,1,$B$5)-INDEX('Pace of change parameters'!$E$19:$I$19,1,$B$5))))</f>
        <v>0.81770770848784047</v>
      </c>
      <c r="Q136" s="57">
        <v>4.868811190008171E-2</v>
      </c>
      <c r="R136" s="57">
        <v>3.7666350312103081E-2</v>
      </c>
      <c r="S136" s="9">
        <f>MAX(IF(INDEX('Pace of change parameters'!$E$31:$I$31,1,$B$5)=1,D136*(1+Q136),D136),L136)</f>
        <v>549207.40239507984</v>
      </c>
      <c r="T136" s="103">
        <f>IF(Q136&lt;INDEX('Pace of change parameters'!$E$24:$I$24,1,$B$5),INDEX('Pace of change parameters'!$E$24:$I$24,1,$B$5),Q136)</f>
        <v>4.868811190008171E-2</v>
      </c>
      <c r="U136" s="132">
        <v>3.7666350312103081E-2</v>
      </c>
      <c r="V136" s="117">
        <f t="shared" si="20"/>
        <v>549207.40239507984</v>
      </c>
      <c r="W136" s="131">
        <f>IF(J136&gt;INDEX('Pace of change parameters'!$E$26:$I$26,1,$B$5),0,IF(J136&lt;INDEX('Pace of change parameters'!$E$25:$I$25,1,$B$5),1,(J136-INDEX('Pace of change parameters'!$E$26:$I$26,1,$B$5))/(INDEX('Pace of change parameters'!$E$25:$I$25,1,$B$5)-INDEX('Pace of change parameters'!$E$26:$I$26,1,$B$5))))</f>
        <v>1</v>
      </c>
      <c r="X136" s="132">
        <f>MIN(T136, T136+(INDEX('Pace of change parameters'!$E$27:$I$27,1,$B$5)-T136)*(1-W136))</f>
        <v>4.868811190008171E-2</v>
      </c>
      <c r="Y136" s="132">
        <v>3.7666350312103081E-2</v>
      </c>
      <c r="Z136" s="108">
        <f t="shared" si="21"/>
        <v>549207.40239507984</v>
      </c>
      <c r="AA136" s="97">
        <f>MIN(VLOOKUP(A136,'2019-20 disagg'!$A$12:$BB$220,54,FALSE),-2.5%)</f>
        <v>-2.5032293967598318E-2</v>
      </c>
      <c r="AB136" s="99">
        <f t="shared" si="13"/>
        <v>547163.26919549983</v>
      </c>
      <c r="AC136" s="99">
        <f>MAX(IF(INDEX('Pace of change parameters'!$E$29:$I$29,1,$B$5)=1,MAX(AB136,Z136),Z136),L136)</f>
        <v>549207.40239507984</v>
      </c>
      <c r="AD136" s="97">
        <f t="shared" si="14"/>
        <v>4.868811190008171E-2</v>
      </c>
      <c r="AE136" s="146">
        <v>3.7666350312103081E-2</v>
      </c>
      <c r="AF136" s="56">
        <f t="shared" si="22"/>
        <v>549207.40239507984</v>
      </c>
      <c r="AG136" s="56">
        <v>1719.6137990160285</v>
      </c>
      <c r="AH136" s="16">
        <f t="shared" si="15"/>
        <v>4.868811190008171E-2</v>
      </c>
      <c r="AI136" s="16">
        <f t="shared" si="16"/>
        <v>3.7666350312102859E-2</v>
      </c>
      <c r="AJ136" s="56"/>
      <c r="AK136" s="56">
        <v>561211.6850743317</v>
      </c>
      <c r="AL136" s="56">
        <v>1757.2002008971908</v>
      </c>
      <c r="AM136" s="16">
        <f t="shared" si="23"/>
        <v>-2.1389937163660333E-2</v>
      </c>
      <c r="AN136" s="58">
        <f t="shared" si="23"/>
        <v>-2.1389937163660444E-2</v>
      </c>
      <c r="AP136" s="56">
        <f t="shared" si="17"/>
        <v>0</v>
      </c>
      <c r="AQ136" s="56">
        <f t="shared" si="18"/>
        <v>0</v>
      </c>
    </row>
    <row r="137" spans="1:43" x14ac:dyDescent="0.2">
      <c r="A137" s="156" t="s">
        <v>319</v>
      </c>
      <c r="B137" s="156" t="s">
        <v>320</v>
      </c>
      <c r="D137" s="68">
        <f>VLOOKUP(A137,'2019-20 disagg'!A137:AZ345,43,FALSE)</f>
        <v>319791</v>
      </c>
      <c r="E137" s="73">
        <v>1814.3888949505358</v>
      </c>
      <c r="F137" s="55"/>
      <c r="G137" s="88">
        <v>326477.75337489689</v>
      </c>
      <c r="H137" s="81">
        <v>1840.4461460748028</v>
      </c>
      <c r="I137" s="90"/>
      <c r="J137" s="103">
        <f t="shared" si="19"/>
        <v>-2.0481497761406176E-2</v>
      </c>
      <c r="K137" s="126">
        <f t="shared" si="19"/>
        <v>-1.4158116595717973E-2</v>
      </c>
      <c r="L137" s="56">
        <v>331240</v>
      </c>
      <c r="M137" s="103">
        <v>3.1120699439701971E-2</v>
      </c>
      <c r="N137" s="97">
        <f>INDEX('Pace of change parameters'!$E$22:$I$22,1,$B$5)</f>
        <v>2.4506891160555818E-2</v>
      </c>
      <c r="O137" s="108">
        <f>MAX(IF(INDEX('Pace of change parameters'!$E$30:$I$30,1,$B$5)=1,(1+M137)*D137,D137),L137)</f>
        <v>331240</v>
      </c>
      <c r="P137" s="94">
        <f>IF(K137&lt;INDEX('Pace of change parameters'!$E$18:$I$18,1,$B$5),1,IF(K137&gt;INDEX('Pace of change parameters'!$E$19:$I$19,1,$B$5),0,(K137-INDEX('Pace of change parameters'!$E$19:$I$19,1,$B$5))/(INDEX('Pace of change parameters'!$E$18:$I$18,1,$B$5)-INDEX('Pace of change parameters'!$E$19:$I$19,1,$B$5))))</f>
        <v>0.67717471481618674</v>
      </c>
      <c r="Q137" s="57">
        <v>4.2088897982646811E-2</v>
      </c>
      <c r="R137" s="57">
        <v>3.5404737549412202E-2</v>
      </c>
      <c r="S137" s="9">
        <f>MAX(IF(INDEX('Pace of change parameters'!$E$31:$I$31,1,$B$5)=1,D137*(1+Q137),D137),L137)</f>
        <v>333250.65077476861</v>
      </c>
      <c r="T137" s="103">
        <f>IF(Q137&lt;INDEX('Pace of change parameters'!$E$24:$I$24,1,$B$5),INDEX('Pace of change parameters'!$E$24:$I$24,1,$B$5),Q137)</f>
        <v>4.2088897982646811E-2</v>
      </c>
      <c r="U137" s="132">
        <v>3.5404737549412202E-2</v>
      </c>
      <c r="V137" s="117">
        <f t="shared" si="20"/>
        <v>333250.65077476861</v>
      </c>
      <c r="W137" s="131">
        <f>IF(J137&gt;INDEX('Pace of change parameters'!$E$26:$I$26,1,$B$5),0,IF(J137&lt;INDEX('Pace of change parameters'!$E$25:$I$25,1,$B$5),1,(J137-INDEX('Pace of change parameters'!$E$26:$I$26,1,$B$5))/(INDEX('Pace of change parameters'!$E$25:$I$25,1,$B$5)-INDEX('Pace of change parameters'!$E$26:$I$26,1,$B$5))))</f>
        <v>1</v>
      </c>
      <c r="X137" s="132">
        <f>MIN(T137, T137+(INDEX('Pace of change parameters'!$E$27:$I$27,1,$B$5)-T137)*(1-W137))</f>
        <v>4.2088897982646811E-2</v>
      </c>
      <c r="Y137" s="132">
        <v>3.5404737549412202E-2</v>
      </c>
      <c r="Z137" s="108">
        <f t="shared" si="21"/>
        <v>333250.65077476861</v>
      </c>
      <c r="AA137" s="97">
        <f>MIN(VLOOKUP(A137,'2019-20 disagg'!$A$12:$BB$220,54,FALSE),-2.5%)</f>
        <v>-2.5000000000000001E-2</v>
      </c>
      <c r="AB137" s="99">
        <f t="shared" si="13"/>
        <v>331245.2419334001</v>
      </c>
      <c r="AC137" s="99">
        <f>MAX(IF(INDEX('Pace of change parameters'!$E$29:$I$29,1,$B$5)=1,MAX(AB137,Z137),Z137),L137)</f>
        <v>333250.65077476861</v>
      </c>
      <c r="AD137" s="97">
        <f t="shared" si="14"/>
        <v>4.2088897982646811E-2</v>
      </c>
      <c r="AE137" s="146">
        <v>3.5404737549412202E-2</v>
      </c>
      <c r="AF137" s="56">
        <f t="shared" si="22"/>
        <v>333250.65077476861</v>
      </c>
      <c r="AG137" s="56">
        <v>1878.6268575888275</v>
      </c>
      <c r="AH137" s="16">
        <f t="shared" si="15"/>
        <v>4.2088897982646811E-2</v>
      </c>
      <c r="AI137" s="16">
        <f t="shared" si="16"/>
        <v>3.5404737549412202E-2</v>
      </c>
      <c r="AJ137" s="56"/>
      <c r="AK137" s="56">
        <v>339738.70967528218</v>
      </c>
      <c r="AL137" s="56">
        <v>1915.2018550443042</v>
      </c>
      <c r="AM137" s="16">
        <f t="shared" si="23"/>
        <v>-1.9097202396261448E-2</v>
      </c>
      <c r="AN137" s="58">
        <f t="shared" si="23"/>
        <v>-1.9097202396261559E-2</v>
      </c>
      <c r="AP137" s="56">
        <f t="shared" si="17"/>
        <v>0</v>
      </c>
      <c r="AQ137" s="56">
        <f t="shared" si="18"/>
        <v>0</v>
      </c>
    </row>
    <row r="138" spans="1:43" x14ac:dyDescent="0.2">
      <c r="A138" s="156" t="s">
        <v>321</v>
      </c>
      <c r="B138" s="156" t="s">
        <v>322</v>
      </c>
      <c r="D138" s="68">
        <f>VLOOKUP(A138,'2019-20 disagg'!A138:AZ346,43,FALSE)</f>
        <v>422091</v>
      </c>
      <c r="E138" s="73">
        <v>1671.1629247531666</v>
      </c>
      <c r="F138" s="55"/>
      <c r="G138" s="88">
        <v>432455.95722915261</v>
      </c>
      <c r="H138" s="81">
        <v>1699.9018269065753</v>
      </c>
      <c r="I138" s="90"/>
      <c r="J138" s="103">
        <f t="shared" si="19"/>
        <v>-2.3967659725543711E-2</v>
      </c>
      <c r="K138" s="126">
        <f t="shared" si="19"/>
        <v>-1.690621287566163E-2</v>
      </c>
      <c r="L138" s="56">
        <v>438729</v>
      </c>
      <c r="M138" s="103">
        <v>3.1919044078802195E-2</v>
      </c>
      <c r="N138" s="97">
        <f>INDEX('Pace of change parameters'!$E$22:$I$22,1,$B$5)</f>
        <v>2.4506891160555818E-2</v>
      </c>
      <c r="O138" s="108">
        <f>MAX(IF(INDEX('Pace of change parameters'!$E$30:$I$30,1,$B$5)=1,(1+M138)*D138,D138),L138)</f>
        <v>438729</v>
      </c>
      <c r="P138" s="94">
        <f>IF(K138&lt;INDEX('Pace of change parameters'!$E$18:$I$18,1,$B$5),1,IF(K138&gt;INDEX('Pace of change parameters'!$E$19:$I$19,1,$B$5),0,(K138-INDEX('Pace of change parameters'!$E$19:$I$19,1,$B$5))/(INDEX('Pace of change parameters'!$E$18:$I$18,1,$B$5)-INDEX('Pace of change parameters'!$E$19:$I$19,1,$B$5))))</f>
        <v>0.76731548654077375</v>
      </c>
      <c r="Q138" s="57">
        <v>4.4356875193429568E-2</v>
      </c>
      <c r="R138" s="57">
        <v>3.6855382799647618E-2</v>
      </c>
      <c r="S138" s="9">
        <f>MAX(IF(INDEX('Pace of change parameters'!$E$31:$I$31,1,$B$5)=1,D138*(1+Q138),D138),L138)</f>
        <v>440813.63780726987</v>
      </c>
      <c r="T138" s="103">
        <f>IF(Q138&lt;INDEX('Pace of change parameters'!$E$24:$I$24,1,$B$5),INDEX('Pace of change parameters'!$E$24:$I$24,1,$B$5),Q138)</f>
        <v>4.4356875193429568E-2</v>
      </c>
      <c r="U138" s="132">
        <v>3.6855382799647618E-2</v>
      </c>
      <c r="V138" s="117">
        <f t="shared" si="20"/>
        <v>440813.63780726987</v>
      </c>
      <c r="W138" s="131">
        <f>IF(J138&gt;INDEX('Pace of change parameters'!$E$26:$I$26,1,$B$5),0,IF(J138&lt;INDEX('Pace of change parameters'!$E$25:$I$25,1,$B$5),1,(J138-INDEX('Pace of change parameters'!$E$26:$I$26,1,$B$5))/(INDEX('Pace of change parameters'!$E$25:$I$25,1,$B$5)-INDEX('Pace of change parameters'!$E$26:$I$26,1,$B$5))))</f>
        <v>1</v>
      </c>
      <c r="X138" s="132">
        <f>MIN(T138, T138+(INDEX('Pace of change parameters'!$E$27:$I$27,1,$B$5)-T138)*(1-W138))</f>
        <v>4.4356875193429568E-2</v>
      </c>
      <c r="Y138" s="132">
        <v>3.6855382799647618E-2</v>
      </c>
      <c r="Z138" s="108">
        <f t="shared" si="21"/>
        <v>440813.63780726987</v>
      </c>
      <c r="AA138" s="97">
        <f>MIN(VLOOKUP(A138,'2019-20 disagg'!$A$12:$BB$220,54,FALSE),-2.5%)</f>
        <v>-2.5000000000000001E-2</v>
      </c>
      <c r="AB138" s="99">
        <f t="shared" si="13"/>
        <v>438939.03038890602</v>
      </c>
      <c r="AC138" s="99">
        <f>MAX(IF(INDEX('Pace of change parameters'!$E$29:$I$29,1,$B$5)=1,MAX(AB138,Z138),Z138),L138)</f>
        <v>440813.63780726987</v>
      </c>
      <c r="AD138" s="97">
        <f t="shared" si="14"/>
        <v>4.4356875193429568E-2</v>
      </c>
      <c r="AE138" s="146">
        <v>3.6855382799647618E-2</v>
      </c>
      <c r="AF138" s="56">
        <f t="shared" si="22"/>
        <v>440813.63780726987</v>
      </c>
      <c r="AG138" s="56">
        <v>1732.7542740655235</v>
      </c>
      <c r="AH138" s="16">
        <f t="shared" si="15"/>
        <v>4.4356875193429568E-2</v>
      </c>
      <c r="AI138" s="16">
        <f t="shared" si="16"/>
        <v>3.685538279964784E-2</v>
      </c>
      <c r="AJ138" s="56"/>
      <c r="AK138" s="56">
        <v>450193.87732195487</v>
      </c>
      <c r="AL138" s="56">
        <v>1769.6262052328052</v>
      </c>
      <c r="AM138" s="16">
        <f t="shared" si="23"/>
        <v>-2.0835999748563316E-2</v>
      </c>
      <c r="AN138" s="58">
        <f t="shared" si="23"/>
        <v>-2.0835999748563205E-2</v>
      </c>
      <c r="AP138" s="56">
        <f t="shared" si="17"/>
        <v>0</v>
      </c>
      <c r="AQ138" s="56">
        <f t="shared" si="18"/>
        <v>0</v>
      </c>
    </row>
    <row r="139" spans="1:43" x14ac:dyDescent="0.2">
      <c r="A139" s="156" t="s">
        <v>323</v>
      </c>
      <c r="B139" s="156" t="s">
        <v>324</v>
      </c>
      <c r="D139" s="68">
        <f>VLOOKUP(A139,'2019-20 disagg'!A139:AZ347,43,FALSE)</f>
        <v>380358</v>
      </c>
      <c r="E139" s="73">
        <v>1649.2320067927444</v>
      </c>
      <c r="F139" s="55"/>
      <c r="G139" s="88">
        <v>389946.53453192255</v>
      </c>
      <c r="H139" s="81">
        <v>1662.0253142501795</v>
      </c>
      <c r="I139" s="90"/>
      <c r="J139" s="103">
        <f t="shared" si="19"/>
        <v>-2.4589356957441022E-2</v>
      </c>
      <c r="K139" s="126">
        <f t="shared" si="19"/>
        <v>-7.6974203387549789E-3</v>
      </c>
      <c r="L139" s="56">
        <v>396277</v>
      </c>
      <c r="M139" s="103">
        <v>4.2249065284173382E-2</v>
      </c>
      <c r="N139" s="97">
        <f>INDEX('Pace of change parameters'!$E$22:$I$22,1,$B$5)</f>
        <v>2.4506891160555818E-2</v>
      </c>
      <c r="O139" s="108">
        <f>MAX(IF(INDEX('Pace of change parameters'!$E$30:$I$30,1,$B$5)=1,(1+M139)*D139,D139),L139)</f>
        <v>396427.76997335762</v>
      </c>
      <c r="P139" s="94">
        <f>IF(K139&lt;INDEX('Pace of change parameters'!$E$18:$I$18,1,$B$5),1,IF(K139&gt;INDEX('Pace of change parameters'!$E$19:$I$19,1,$B$5),0,(K139-INDEX('Pace of change parameters'!$E$19:$I$19,1,$B$5))/(INDEX('Pace of change parameters'!$E$18:$I$18,1,$B$5)-INDEX('Pace of change parameters'!$E$19:$I$19,1,$B$5))))</f>
        <v>0.46525632217066604</v>
      </c>
      <c r="Q139" s="57">
        <v>4.9866151339239773E-2</v>
      </c>
      <c r="R139" s="57">
        <v>3.1994311791487817E-2</v>
      </c>
      <c r="S139" s="9">
        <f>MAX(IF(INDEX('Pace of change parameters'!$E$31:$I$31,1,$B$5)=1,D139*(1+Q139),D139),L139)</f>
        <v>399324.98959109053</v>
      </c>
      <c r="T139" s="103">
        <f>IF(Q139&lt;INDEX('Pace of change parameters'!$E$24:$I$24,1,$B$5),INDEX('Pace of change parameters'!$E$24:$I$24,1,$B$5),Q139)</f>
        <v>4.9866151339239773E-2</v>
      </c>
      <c r="U139" s="132">
        <v>3.1994311791487817E-2</v>
      </c>
      <c r="V139" s="117">
        <f t="shared" si="20"/>
        <v>399324.98959109053</v>
      </c>
      <c r="W139" s="131">
        <f>IF(J139&gt;INDEX('Pace of change parameters'!$E$26:$I$26,1,$B$5),0,IF(J139&lt;INDEX('Pace of change parameters'!$E$25:$I$25,1,$B$5),1,(J139-INDEX('Pace of change parameters'!$E$26:$I$26,1,$B$5))/(INDEX('Pace of change parameters'!$E$25:$I$25,1,$B$5)-INDEX('Pace of change parameters'!$E$26:$I$26,1,$B$5))))</f>
        <v>1</v>
      </c>
      <c r="X139" s="132">
        <f>MIN(T139, T139+(INDEX('Pace of change parameters'!$E$27:$I$27,1,$B$5)-T139)*(1-W139))</f>
        <v>4.9866151339239773E-2</v>
      </c>
      <c r="Y139" s="132">
        <v>3.1994311791487817E-2</v>
      </c>
      <c r="Z139" s="108">
        <f t="shared" si="21"/>
        <v>399324.98959109053</v>
      </c>
      <c r="AA139" s="97">
        <f>MIN(VLOOKUP(A139,'2019-20 disagg'!$A$12:$BB$220,54,FALSE),-2.5%)</f>
        <v>-2.5000000000000001E-2</v>
      </c>
      <c r="AB139" s="99">
        <f t="shared" si="13"/>
        <v>395752.51406560227</v>
      </c>
      <c r="AC139" s="99">
        <f>MAX(IF(INDEX('Pace of change parameters'!$E$29:$I$29,1,$B$5)=1,MAX(AB139,Z139),Z139),L139)</f>
        <v>399324.98959109053</v>
      </c>
      <c r="AD139" s="97">
        <f t="shared" si="14"/>
        <v>4.9866151339239773E-2</v>
      </c>
      <c r="AE139" s="146">
        <v>3.1994311791487817E-2</v>
      </c>
      <c r="AF139" s="56">
        <f t="shared" si="22"/>
        <v>399324.98959109053</v>
      </c>
      <c r="AG139" s="56">
        <v>1701.9980498345726</v>
      </c>
      <c r="AH139" s="16">
        <f t="shared" si="15"/>
        <v>4.9866151339239773E-2</v>
      </c>
      <c r="AI139" s="16">
        <f t="shared" si="16"/>
        <v>3.1994311791487817E-2</v>
      </c>
      <c r="AJ139" s="56"/>
      <c r="AK139" s="56">
        <v>405900.01442625874</v>
      </c>
      <c r="AL139" s="56">
        <v>1730.0220396643335</v>
      </c>
      <c r="AM139" s="16">
        <f t="shared" si="23"/>
        <v>-1.6198631686332954E-2</v>
      </c>
      <c r="AN139" s="58">
        <f t="shared" si="23"/>
        <v>-1.6198631686332843E-2</v>
      </c>
      <c r="AP139" s="56">
        <f t="shared" si="17"/>
        <v>0</v>
      </c>
      <c r="AQ139" s="56">
        <f t="shared" si="18"/>
        <v>0</v>
      </c>
    </row>
    <row r="140" spans="1:43" x14ac:dyDescent="0.2">
      <c r="A140" s="156" t="s">
        <v>325</v>
      </c>
      <c r="B140" s="156" t="s">
        <v>326</v>
      </c>
      <c r="D140" s="68">
        <f>VLOOKUP(A140,'2019-20 disagg'!A140:AZ348,43,FALSE)</f>
        <v>688357</v>
      </c>
      <c r="E140" s="73">
        <v>1615.1044552907028</v>
      </c>
      <c r="F140" s="55"/>
      <c r="G140" s="88">
        <v>708548.67122755642</v>
      </c>
      <c r="H140" s="81">
        <v>1639.5447446576011</v>
      </c>
      <c r="I140" s="90"/>
      <c r="J140" s="103">
        <f t="shared" si="19"/>
        <v>-2.8497225451816099E-2</v>
      </c>
      <c r="K140" s="126">
        <f t="shared" si="19"/>
        <v>-1.490675350370041E-2</v>
      </c>
      <c r="L140" s="56">
        <v>717120</v>
      </c>
      <c r="M140" s="103">
        <v>3.8838844223113123E-2</v>
      </c>
      <c r="N140" s="97">
        <f>INDEX('Pace of change parameters'!$E$22:$I$22,1,$B$5)</f>
        <v>2.4506891160555818E-2</v>
      </c>
      <c r="O140" s="108">
        <f>MAX(IF(INDEX('Pace of change parameters'!$E$30:$I$30,1,$B$5)=1,(1+M140)*D140,D140),L140)</f>
        <v>717120</v>
      </c>
      <c r="P140" s="94">
        <f>IF(K140&lt;INDEX('Pace of change parameters'!$E$18:$I$18,1,$B$5),1,IF(K140&gt;INDEX('Pace of change parameters'!$E$19:$I$19,1,$B$5),0,(K140-INDEX('Pace of change parameters'!$E$19:$I$19,1,$B$5))/(INDEX('Pace of change parameters'!$E$18:$I$18,1,$B$5)-INDEX('Pace of change parameters'!$E$19:$I$19,1,$B$5))))</f>
        <v>0.70173088088633229</v>
      </c>
      <c r="Q140" s="57">
        <v>5.0289855272731332E-2</v>
      </c>
      <c r="R140" s="57">
        <v>3.5799922602658629E-2</v>
      </c>
      <c r="S140" s="9">
        <f>MAX(IF(INDEX('Pace of change parameters'!$E$31:$I$31,1,$B$5)=1,D140*(1+Q140),D140),L140)</f>
        <v>722974.37390597153</v>
      </c>
      <c r="T140" s="103">
        <f>IF(Q140&lt;INDEX('Pace of change parameters'!$E$24:$I$24,1,$B$5),INDEX('Pace of change parameters'!$E$24:$I$24,1,$B$5),Q140)</f>
        <v>5.0289855272731332E-2</v>
      </c>
      <c r="U140" s="132">
        <v>3.5799922602658629E-2</v>
      </c>
      <c r="V140" s="117">
        <f t="shared" si="20"/>
        <v>722974.37390597153</v>
      </c>
      <c r="W140" s="131">
        <f>IF(J140&gt;INDEX('Pace of change parameters'!$E$26:$I$26,1,$B$5),0,IF(J140&lt;INDEX('Pace of change parameters'!$E$25:$I$25,1,$B$5),1,(J140-INDEX('Pace of change parameters'!$E$26:$I$26,1,$B$5))/(INDEX('Pace of change parameters'!$E$25:$I$25,1,$B$5)-INDEX('Pace of change parameters'!$E$26:$I$26,1,$B$5))))</f>
        <v>1</v>
      </c>
      <c r="X140" s="132">
        <f>MIN(T140, T140+(INDEX('Pace of change parameters'!$E$27:$I$27,1,$B$5)-T140)*(1-W140))</f>
        <v>5.0289855272731332E-2</v>
      </c>
      <c r="Y140" s="132">
        <v>3.5799922602658629E-2</v>
      </c>
      <c r="Z140" s="108">
        <f t="shared" si="21"/>
        <v>722974.37390597153</v>
      </c>
      <c r="AA140" s="97">
        <f>MIN(VLOOKUP(A140,'2019-20 disagg'!$A$12:$BB$220,54,FALSE),-2.5%)</f>
        <v>-2.5000000000000001E-2</v>
      </c>
      <c r="AB140" s="99">
        <f t="shared" ref="AB140:AB203" si="24">(1+AA140)*AK140</f>
        <v>719318.99909340288</v>
      </c>
      <c r="AC140" s="99">
        <f>MAX(IF(INDEX('Pace of change parameters'!$E$29:$I$29,1,$B$5)=1,MAX(AB140,Z140),Z140),L140)</f>
        <v>722974.37390597153</v>
      </c>
      <c r="AD140" s="97">
        <f t="shared" ref="AD140:AD203" si="25">AC140/D140-1</f>
        <v>5.0289855272731332E-2</v>
      </c>
      <c r="AE140" s="146">
        <v>3.5799922602658629E-2</v>
      </c>
      <c r="AF140" s="56">
        <f t="shared" si="22"/>
        <v>722974.37390597153</v>
      </c>
      <c r="AG140" s="56">
        <v>1672.925069785319</v>
      </c>
      <c r="AH140" s="16">
        <f t="shared" ref="AH140:AH203" si="26">AF140/D140 - 1</f>
        <v>5.0289855272731332E-2</v>
      </c>
      <c r="AI140" s="16">
        <f t="shared" ref="AI140:AI203" si="27">AG140/E140 - 1</f>
        <v>3.5799922602658629E-2</v>
      </c>
      <c r="AJ140" s="56"/>
      <c r="AK140" s="56">
        <v>737763.07599323371</v>
      </c>
      <c r="AL140" s="56">
        <v>1707.1453566506805</v>
      </c>
      <c r="AM140" s="16">
        <f t="shared" si="23"/>
        <v>-2.0045326973503585E-2</v>
      </c>
      <c r="AN140" s="58">
        <f t="shared" si="23"/>
        <v>-2.0045326973503697E-2</v>
      </c>
      <c r="AP140" s="56">
        <f t="shared" ref="AP140:AP203" si="28">IF(AF140=L140,1,0)</f>
        <v>0</v>
      </c>
      <c r="AQ140" s="56">
        <f t="shared" ref="AQ140:AQ203" si="29">IF(AB140=AF140,1,0)</f>
        <v>0</v>
      </c>
    </row>
    <row r="141" spans="1:43" x14ac:dyDescent="0.2">
      <c r="A141" s="156" t="s">
        <v>327</v>
      </c>
      <c r="B141" s="156" t="s">
        <v>328</v>
      </c>
      <c r="D141" s="68">
        <f>VLOOKUP(A141,'2019-20 disagg'!A141:AZ349,43,FALSE)</f>
        <v>424740</v>
      </c>
      <c r="E141" s="73">
        <v>1743.3431632590912</v>
      </c>
      <c r="F141" s="55"/>
      <c r="G141" s="88">
        <v>436344.98216937215</v>
      </c>
      <c r="H141" s="81">
        <v>1773.6049835301717</v>
      </c>
      <c r="I141" s="90"/>
      <c r="J141" s="103">
        <f t="shared" ref="J141:K204" si="30">D141/G141-1</f>
        <v>-2.6595887757608128E-2</v>
      </c>
      <c r="K141" s="126">
        <f t="shared" si="30"/>
        <v>-1.7062322530717933E-2</v>
      </c>
      <c r="L141" s="56">
        <v>441813</v>
      </c>
      <c r="M141" s="103">
        <v>3.4540959385085168E-2</v>
      </c>
      <c r="N141" s="97">
        <f>INDEX('Pace of change parameters'!$E$22:$I$22,1,$B$5)</f>
        <v>2.4506891160555818E-2</v>
      </c>
      <c r="O141" s="108">
        <f>MAX(IF(INDEX('Pace of change parameters'!$E$30:$I$30,1,$B$5)=1,(1+M141)*D141,D141),L141)</f>
        <v>441813</v>
      </c>
      <c r="P141" s="94">
        <f>IF(K141&lt;INDEX('Pace of change parameters'!$E$18:$I$18,1,$B$5),1,IF(K141&gt;INDEX('Pace of change parameters'!$E$19:$I$19,1,$B$5),0,(K141-INDEX('Pace of change parameters'!$E$19:$I$19,1,$B$5))/(INDEX('Pace of change parameters'!$E$18:$I$18,1,$B$5)-INDEX('Pace of change parameters'!$E$19:$I$19,1,$B$5))))</f>
        <v>0.77243606578799096</v>
      </c>
      <c r="Q141" s="57">
        <v>4.7093605854348519E-2</v>
      </c>
      <c r="R141" s="57">
        <v>3.6937788838794061E-2</v>
      </c>
      <c r="S141" s="9">
        <f>MAX(IF(INDEX('Pace of change parameters'!$E$31:$I$31,1,$B$5)=1,D141*(1+Q141),D141),L141)</f>
        <v>444742.538150576</v>
      </c>
      <c r="T141" s="103">
        <f>IF(Q141&lt;INDEX('Pace of change parameters'!$E$24:$I$24,1,$B$5),INDEX('Pace of change parameters'!$E$24:$I$24,1,$B$5),Q141)</f>
        <v>4.7093605854348519E-2</v>
      </c>
      <c r="U141" s="132">
        <v>3.6937788838794061E-2</v>
      </c>
      <c r="V141" s="117">
        <f t="shared" ref="V141:V204" si="31">MAX(D141*(1+T141),L141)</f>
        <v>444742.538150576</v>
      </c>
      <c r="W141" s="131">
        <f>IF(J141&gt;INDEX('Pace of change parameters'!$E$26:$I$26,1,$B$5),0,IF(J141&lt;INDEX('Pace of change parameters'!$E$25:$I$25,1,$B$5),1,(J141-INDEX('Pace of change parameters'!$E$26:$I$26,1,$B$5))/(INDEX('Pace of change parameters'!$E$25:$I$25,1,$B$5)-INDEX('Pace of change parameters'!$E$26:$I$26,1,$B$5))))</f>
        <v>1</v>
      </c>
      <c r="X141" s="132">
        <f>MIN(T141, T141+(INDEX('Pace of change parameters'!$E$27:$I$27,1,$B$5)-T141)*(1-W141))</f>
        <v>4.7093605854348519E-2</v>
      </c>
      <c r="Y141" s="132">
        <v>3.6937788838794061E-2</v>
      </c>
      <c r="Z141" s="108">
        <f t="shared" ref="Z141:Z204" si="32">MAX(D141*(1+X141),L141)</f>
        <v>444742.538150576</v>
      </c>
      <c r="AA141" s="97">
        <f>MIN(VLOOKUP(A141,'2019-20 disagg'!$A$12:$BB$220,54,FALSE),-2.5%)</f>
        <v>-2.5000000000000001E-2</v>
      </c>
      <c r="AB141" s="99">
        <f t="shared" si="24"/>
        <v>442841.79753452382</v>
      </c>
      <c r="AC141" s="99">
        <f>MAX(IF(INDEX('Pace of change parameters'!$E$29:$I$29,1,$B$5)=1,MAX(AB141,Z141),Z141),L141)</f>
        <v>444742.538150576</v>
      </c>
      <c r="AD141" s="97">
        <f t="shared" si="25"/>
        <v>4.7093605854348519E-2</v>
      </c>
      <c r="AE141" s="146">
        <v>3.6937788838794061E-2</v>
      </c>
      <c r="AF141" s="56">
        <f t="shared" ref="AF141:AF204" si="33">AC141</f>
        <v>444742.538150576</v>
      </c>
      <c r="AG141" s="56">
        <v>1807.738404897111</v>
      </c>
      <c r="AH141" s="16">
        <f t="shared" si="26"/>
        <v>4.7093605854348519E-2</v>
      </c>
      <c r="AI141" s="16">
        <f t="shared" si="27"/>
        <v>3.6937788838794283E-2</v>
      </c>
      <c r="AJ141" s="56"/>
      <c r="AK141" s="56">
        <v>454196.71542002447</v>
      </c>
      <c r="AL141" s="56">
        <v>1846.1666591580085</v>
      </c>
      <c r="AM141" s="16">
        <f t="shared" ref="AM141:AN163" si="34">AF141/AK141-1</f>
        <v>-2.0815159926257043E-2</v>
      </c>
      <c r="AN141" s="58">
        <f t="shared" si="34"/>
        <v>-2.0815159926257043E-2</v>
      </c>
      <c r="AP141" s="56">
        <f t="shared" si="28"/>
        <v>0</v>
      </c>
      <c r="AQ141" s="56">
        <f t="shared" si="29"/>
        <v>0</v>
      </c>
    </row>
    <row r="142" spans="1:43" x14ac:dyDescent="0.2">
      <c r="A142" s="156" t="s">
        <v>329</v>
      </c>
      <c r="B142" s="156" t="s">
        <v>330</v>
      </c>
      <c r="D142" s="68">
        <f>VLOOKUP(A142,'2019-20 disagg'!A142:AZ350,43,FALSE)</f>
        <v>599088</v>
      </c>
      <c r="E142" s="73">
        <v>1565.4583235651533</v>
      </c>
      <c r="F142" s="55"/>
      <c r="G142" s="88">
        <v>603280.50497144251</v>
      </c>
      <c r="H142" s="81">
        <v>1564.1977590544673</v>
      </c>
      <c r="I142" s="90"/>
      <c r="J142" s="103">
        <f t="shared" si="30"/>
        <v>-6.9495117725393296E-3</v>
      </c>
      <c r="K142" s="126">
        <f t="shared" si="30"/>
        <v>8.0588563906913713E-4</v>
      </c>
      <c r="L142" s="56">
        <v>623019</v>
      </c>
      <c r="M142" s="103">
        <v>3.2507952723964895E-2</v>
      </c>
      <c r="N142" s="97">
        <f>INDEX('Pace of change parameters'!$E$22:$I$22,1,$B$5)</f>
        <v>2.4506891160555818E-2</v>
      </c>
      <c r="O142" s="108">
        <f>MAX(IF(INDEX('Pace of change parameters'!$E$30:$I$30,1,$B$5)=1,(1+M142)*D142,D142),L142)</f>
        <v>623019</v>
      </c>
      <c r="P142" s="94">
        <f>IF(K142&lt;INDEX('Pace of change parameters'!$E$18:$I$18,1,$B$5),1,IF(K142&gt;INDEX('Pace of change parameters'!$E$19:$I$19,1,$B$5),0,(K142-INDEX('Pace of change parameters'!$E$19:$I$19,1,$B$5))/(INDEX('Pace of change parameters'!$E$18:$I$18,1,$B$5)-INDEX('Pace of change parameters'!$E$19:$I$19,1,$B$5))))</f>
        <v>0.18633794196490605</v>
      </c>
      <c r="Q142" s="57">
        <v>3.5530128808225259E-2</v>
      </c>
      <c r="R142" s="57">
        <v>2.7505647941514999E-2</v>
      </c>
      <c r="S142" s="9">
        <f>MAX(IF(INDEX('Pace of change parameters'!$E$31:$I$31,1,$B$5)=1,D142*(1+Q142),D142),L142)</f>
        <v>623019</v>
      </c>
      <c r="T142" s="103">
        <f>IF(Q142&lt;INDEX('Pace of change parameters'!$E$24:$I$24,1,$B$5),INDEX('Pace of change parameters'!$E$24:$I$24,1,$B$5),Q142)</f>
        <v>3.5530128808225259E-2</v>
      </c>
      <c r="U142" s="132">
        <v>2.7505647941514999E-2</v>
      </c>
      <c r="V142" s="117">
        <f t="shared" si="31"/>
        <v>623019</v>
      </c>
      <c r="W142" s="131">
        <f>IF(J142&gt;INDEX('Pace of change parameters'!$E$26:$I$26,1,$B$5),0,IF(J142&lt;INDEX('Pace of change parameters'!$E$25:$I$25,1,$B$5),1,(J142-INDEX('Pace of change parameters'!$E$26:$I$26,1,$B$5))/(INDEX('Pace of change parameters'!$E$25:$I$25,1,$B$5)-INDEX('Pace of change parameters'!$E$26:$I$26,1,$B$5))))</f>
        <v>1</v>
      </c>
      <c r="X142" s="132">
        <f>MIN(T142, T142+(INDEX('Pace of change parameters'!$E$27:$I$27,1,$B$5)-T142)*(1-W142))</f>
        <v>3.5530128808225259E-2</v>
      </c>
      <c r="Y142" s="132">
        <v>2.7505647941514999E-2</v>
      </c>
      <c r="Z142" s="108">
        <f t="shared" si="32"/>
        <v>623019</v>
      </c>
      <c r="AA142" s="97">
        <f>MIN(VLOOKUP(A142,'2019-20 disagg'!$A$12:$BB$220,54,FALSE),-2.5%)</f>
        <v>-2.5000000000000001E-2</v>
      </c>
      <c r="AB142" s="99">
        <f t="shared" si="24"/>
        <v>612446.07168037479</v>
      </c>
      <c r="AC142" s="99">
        <f>MAX(IF(INDEX('Pace of change parameters'!$E$29:$I$29,1,$B$5)=1,MAX(AB142,Z142),Z142),L142)</f>
        <v>623019</v>
      </c>
      <c r="AD142" s="97">
        <f t="shared" si="25"/>
        <v>3.994571749058573E-2</v>
      </c>
      <c r="AE142" s="146">
        <v>3.1887019553882956E-2</v>
      </c>
      <c r="AF142" s="56">
        <f t="shared" si="33"/>
        <v>623019</v>
      </c>
      <c r="AG142" s="56">
        <v>1615.376123739464</v>
      </c>
      <c r="AH142" s="16">
        <f t="shared" si="26"/>
        <v>3.994571749058573E-2</v>
      </c>
      <c r="AI142" s="16">
        <f t="shared" si="27"/>
        <v>3.1887019553882956E-2</v>
      </c>
      <c r="AJ142" s="56"/>
      <c r="AK142" s="56">
        <v>628149.81710807676</v>
      </c>
      <c r="AL142" s="56">
        <v>1628.679408954941</v>
      </c>
      <c r="AM142" s="16">
        <f t="shared" si="34"/>
        <v>-8.1681423258203045E-3</v>
      </c>
      <c r="AN142" s="58">
        <f t="shared" si="34"/>
        <v>-8.1681423258204156E-3</v>
      </c>
      <c r="AP142" s="56">
        <f t="shared" si="28"/>
        <v>1</v>
      </c>
      <c r="AQ142" s="56">
        <f t="shared" si="29"/>
        <v>0</v>
      </c>
    </row>
    <row r="143" spans="1:43" x14ac:dyDescent="0.2">
      <c r="A143" s="156" t="s">
        <v>331</v>
      </c>
      <c r="B143" s="156" t="s">
        <v>332</v>
      </c>
      <c r="D143" s="68">
        <f>VLOOKUP(A143,'2019-20 disagg'!A143:AZ351,43,FALSE)</f>
        <v>607401</v>
      </c>
      <c r="E143" s="73">
        <v>1708.615323146352</v>
      </c>
      <c r="F143" s="55"/>
      <c r="G143" s="88">
        <v>623347.79895352689</v>
      </c>
      <c r="H143" s="81">
        <v>1734.0937854054262</v>
      </c>
      <c r="I143" s="90"/>
      <c r="J143" s="103">
        <f t="shared" si="30"/>
        <v>-2.5582506235360514E-2</v>
      </c>
      <c r="K143" s="126">
        <f t="shared" si="30"/>
        <v>-1.469266684046E-2</v>
      </c>
      <c r="L143" s="56">
        <v>632030</v>
      </c>
      <c r="M143" s="103">
        <v>3.5956516783145265E-2</v>
      </c>
      <c r="N143" s="97">
        <f>INDEX('Pace of change parameters'!$E$22:$I$22,1,$B$5)</f>
        <v>2.4506891160555818E-2</v>
      </c>
      <c r="O143" s="108">
        <f>MAX(IF(INDEX('Pace of change parameters'!$E$30:$I$30,1,$B$5)=1,(1+M143)*D143,D143),L143)</f>
        <v>632030</v>
      </c>
      <c r="P143" s="94">
        <f>IF(K143&lt;INDEX('Pace of change parameters'!$E$18:$I$18,1,$B$5),1,IF(K143&gt;INDEX('Pace of change parameters'!$E$19:$I$19,1,$B$5),0,(K143-INDEX('Pace of change parameters'!$E$19:$I$19,1,$B$5))/(INDEX('Pace of change parameters'!$E$18:$I$18,1,$B$5)-INDEX('Pace of change parameters'!$E$19:$I$19,1,$B$5))))</f>
        <v>0.6947085879698599</v>
      </c>
      <c r="Q143" s="57">
        <v>4.726148274052E-2</v>
      </c>
      <c r="R143" s="57">
        <v>3.5686912078451316E-2</v>
      </c>
      <c r="S143" s="9">
        <f>MAX(IF(INDEX('Pace of change parameters'!$E$31:$I$31,1,$B$5)=1,D143*(1+Q143),D143),L143)</f>
        <v>636107.67187807465</v>
      </c>
      <c r="T143" s="103">
        <f>IF(Q143&lt;INDEX('Pace of change parameters'!$E$24:$I$24,1,$B$5),INDEX('Pace of change parameters'!$E$24:$I$24,1,$B$5),Q143)</f>
        <v>4.726148274052E-2</v>
      </c>
      <c r="U143" s="132">
        <v>3.5686912078451316E-2</v>
      </c>
      <c r="V143" s="117">
        <f t="shared" si="31"/>
        <v>636107.67187807465</v>
      </c>
      <c r="W143" s="131">
        <f>IF(J143&gt;INDEX('Pace of change parameters'!$E$26:$I$26,1,$B$5),0,IF(J143&lt;INDEX('Pace of change parameters'!$E$25:$I$25,1,$B$5),1,(J143-INDEX('Pace of change parameters'!$E$26:$I$26,1,$B$5))/(INDEX('Pace of change parameters'!$E$25:$I$25,1,$B$5)-INDEX('Pace of change parameters'!$E$26:$I$26,1,$B$5))))</f>
        <v>1</v>
      </c>
      <c r="X143" s="132">
        <f>MIN(T143, T143+(INDEX('Pace of change parameters'!$E$27:$I$27,1,$B$5)-T143)*(1-W143))</f>
        <v>4.726148274052E-2</v>
      </c>
      <c r="Y143" s="132">
        <v>3.5686912078451316E-2</v>
      </c>
      <c r="Z143" s="108">
        <f t="shared" si="32"/>
        <v>636107.67187807465</v>
      </c>
      <c r="AA143" s="97">
        <f>MIN(VLOOKUP(A143,'2019-20 disagg'!$A$12:$BB$220,54,FALSE),-2.5%)</f>
        <v>-2.5000000000000001E-2</v>
      </c>
      <c r="AB143" s="99">
        <f t="shared" si="24"/>
        <v>632617.83114096406</v>
      </c>
      <c r="AC143" s="99">
        <f>MAX(IF(INDEX('Pace of change parameters'!$E$29:$I$29,1,$B$5)=1,MAX(AB143,Z143),Z143),L143)</f>
        <v>636107.67187807465</v>
      </c>
      <c r="AD143" s="97">
        <f t="shared" si="25"/>
        <v>4.726148274052E-2</v>
      </c>
      <c r="AE143" s="146">
        <v>3.5686912078451316E-2</v>
      </c>
      <c r="AF143" s="56">
        <f t="shared" si="33"/>
        <v>636107.67187807465</v>
      </c>
      <c r="AG143" s="56">
        <v>1769.5905279593705</v>
      </c>
      <c r="AH143" s="16">
        <f t="shared" si="26"/>
        <v>4.726148274052E-2</v>
      </c>
      <c r="AI143" s="16">
        <f t="shared" si="27"/>
        <v>3.5686912078451316E-2</v>
      </c>
      <c r="AJ143" s="56"/>
      <c r="AK143" s="56">
        <v>648838.80117021955</v>
      </c>
      <c r="AL143" s="56">
        <v>1805.0073084850485</v>
      </c>
      <c r="AM143" s="16">
        <f t="shared" si="34"/>
        <v>-1.9621405608270526E-2</v>
      </c>
      <c r="AN143" s="58">
        <f t="shared" si="34"/>
        <v>-1.9621405608270637E-2</v>
      </c>
      <c r="AP143" s="56">
        <f t="shared" si="28"/>
        <v>0</v>
      </c>
      <c r="AQ143" s="56">
        <f t="shared" si="29"/>
        <v>0</v>
      </c>
    </row>
    <row r="144" spans="1:43" x14ac:dyDescent="0.2">
      <c r="A144" s="156" t="s">
        <v>333</v>
      </c>
      <c r="B144" s="156" t="s">
        <v>334</v>
      </c>
      <c r="D144" s="68">
        <f>VLOOKUP(A144,'2019-20 disagg'!A144:AZ352,43,FALSE)</f>
        <v>506434</v>
      </c>
      <c r="E144" s="73">
        <v>1853.1463628842539</v>
      </c>
      <c r="F144" s="55"/>
      <c r="G144" s="88">
        <v>477359.84120544174</v>
      </c>
      <c r="H144" s="81">
        <v>1730.1387910996527</v>
      </c>
      <c r="I144" s="90"/>
      <c r="J144" s="103">
        <f t="shared" si="30"/>
        <v>6.0906168229693192E-2</v>
      </c>
      <c r="K144" s="126">
        <f t="shared" si="30"/>
        <v>7.1096938822127198E-2</v>
      </c>
      <c r="L144" s="56">
        <v>519302</v>
      </c>
      <c r="M144" s="103">
        <v>3.4348020386533173E-2</v>
      </c>
      <c r="N144" s="97">
        <f>INDEX('Pace of change parameters'!$E$22:$I$22,1,$B$5)</f>
        <v>2.4506891160555818E-2</v>
      </c>
      <c r="O144" s="108">
        <f>MAX(IF(INDEX('Pace of change parameters'!$E$30:$I$30,1,$B$5)=1,(1+M144)*D144,D144),L144)</f>
        <v>523829.00535643357</v>
      </c>
      <c r="P144" s="94">
        <f>IF(K144&lt;INDEX('Pace of change parameters'!$E$18:$I$18,1,$B$5),1,IF(K144&gt;INDEX('Pace of change parameters'!$E$19:$I$19,1,$B$5),0,(K144-INDEX('Pace of change parameters'!$E$19:$I$19,1,$B$5))/(INDEX('Pace of change parameters'!$E$18:$I$18,1,$B$5)-INDEX('Pace of change parameters'!$E$19:$I$19,1,$B$5))))</f>
        <v>0</v>
      </c>
      <c r="Q144" s="57">
        <v>3.4348020386533173E-2</v>
      </c>
      <c r="R144" s="57">
        <v>2.450689116055571E-2</v>
      </c>
      <c r="S144" s="9">
        <f>MAX(IF(INDEX('Pace of change parameters'!$E$31:$I$31,1,$B$5)=1,D144*(1+Q144),D144),L144)</f>
        <v>523829.00535643357</v>
      </c>
      <c r="T144" s="103">
        <f>IF(Q144&lt;INDEX('Pace of change parameters'!$E$24:$I$24,1,$B$5),INDEX('Pace of change parameters'!$E$24:$I$24,1,$B$5),Q144)</f>
        <v>3.4348020386533173E-2</v>
      </c>
      <c r="U144" s="132">
        <v>2.450689116055571E-2</v>
      </c>
      <c r="V144" s="117">
        <f t="shared" si="31"/>
        <v>523829.00535643357</v>
      </c>
      <c r="W144" s="131">
        <f>IF(J144&gt;INDEX('Pace of change parameters'!$E$26:$I$26,1,$B$5),0,IF(J144&lt;INDEX('Pace of change parameters'!$E$25:$I$25,1,$B$5),1,(J144-INDEX('Pace of change parameters'!$E$26:$I$26,1,$B$5))/(INDEX('Pace of change parameters'!$E$25:$I$25,1,$B$5)-INDEX('Pace of change parameters'!$E$26:$I$26,1,$B$5))))</f>
        <v>0.78187663540613628</v>
      </c>
      <c r="X144" s="132">
        <f>MIN(T144, T144+(INDEX('Pace of change parameters'!$E$27:$I$27,1,$B$5)-T144)*(1-W144))</f>
        <v>2.9253691336261725E-2</v>
      </c>
      <c r="Y144" s="132">
        <v>1.9461031242061333E-2</v>
      </c>
      <c r="Z144" s="108">
        <f t="shared" si="32"/>
        <v>521249.06391818839</v>
      </c>
      <c r="AA144" s="97">
        <f>MIN(VLOOKUP(A144,'2019-20 disagg'!$A$12:$BB$220,54,FALSE),-2.5%)</f>
        <v>-2.5000000000000001E-2</v>
      </c>
      <c r="AB144" s="99">
        <f t="shared" si="24"/>
        <v>484810.43578506587</v>
      </c>
      <c r="AC144" s="99">
        <f>MAX(IF(INDEX('Pace of change parameters'!$E$29:$I$29,1,$B$5)=1,MAX(AB144,Z144),Z144),L144)</f>
        <v>521249.06391818839</v>
      </c>
      <c r="AD144" s="97">
        <f t="shared" si="25"/>
        <v>2.9253691336261767E-2</v>
      </c>
      <c r="AE144" s="146">
        <v>1.9461031242061333E-2</v>
      </c>
      <c r="AF144" s="56">
        <f t="shared" si="33"/>
        <v>521249.06391818839</v>
      </c>
      <c r="AG144" s="56">
        <v>1889.2105021484567</v>
      </c>
      <c r="AH144" s="16">
        <f t="shared" si="26"/>
        <v>2.9253691336261767E-2</v>
      </c>
      <c r="AI144" s="16">
        <f t="shared" si="27"/>
        <v>1.9461031242061333E-2</v>
      </c>
      <c r="AJ144" s="56"/>
      <c r="AK144" s="56">
        <v>497241.47260006756</v>
      </c>
      <c r="AL144" s="56">
        <v>1802.1976002766548</v>
      </c>
      <c r="AM144" s="16">
        <f t="shared" si="34"/>
        <v>4.8281554618896827E-2</v>
      </c>
      <c r="AN144" s="58">
        <f t="shared" si="34"/>
        <v>4.8281554618896605E-2</v>
      </c>
      <c r="AP144" s="56">
        <f t="shared" si="28"/>
        <v>0</v>
      </c>
      <c r="AQ144" s="56">
        <f t="shared" si="29"/>
        <v>0</v>
      </c>
    </row>
    <row r="145" spans="1:43" x14ac:dyDescent="0.2">
      <c r="A145" s="156" t="s">
        <v>335</v>
      </c>
      <c r="B145" s="156" t="s">
        <v>336</v>
      </c>
      <c r="D145" s="68">
        <f>VLOOKUP(A145,'2019-20 disagg'!A145:AZ353,43,FALSE)</f>
        <v>368629</v>
      </c>
      <c r="E145" s="73">
        <v>1671.3131626687309</v>
      </c>
      <c r="F145" s="55"/>
      <c r="G145" s="88">
        <v>341329.75439515163</v>
      </c>
      <c r="H145" s="81">
        <v>1533.4827611438425</v>
      </c>
      <c r="I145" s="90"/>
      <c r="J145" s="103">
        <f t="shared" si="30"/>
        <v>7.9979097202421245E-2</v>
      </c>
      <c r="K145" s="126">
        <f t="shared" si="30"/>
        <v>8.9880633168695878E-2</v>
      </c>
      <c r="L145" s="56">
        <v>377589</v>
      </c>
      <c r="M145" s="103">
        <v>3.3899843169349131E-2</v>
      </c>
      <c r="N145" s="97">
        <f>INDEX('Pace of change parameters'!$E$22:$I$22,1,$B$5)</f>
        <v>2.4506891160555818E-2</v>
      </c>
      <c r="O145" s="108">
        <f>MAX(IF(INDEX('Pace of change parameters'!$E$30:$I$30,1,$B$5)=1,(1+M145)*D145,D145),L145)</f>
        <v>381125.46528767399</v>
      </c>
      <c r="P145" s="94">
        <f>IF(K145&lt;INDEX('Pace of change parameters'!$E$18:$I$18,1,$B$5),1,IF(K145&gt;INDEX('Pace of change parameters'!$E$19:$I$19,1,$B$5),0,(K145-INDEX('Pace of change parameters'!$E$19:$I$19,1,$B$5))/(INDEX('Pace of change parameters'!$E$18:$I$18,1,$B$5)-INDEX('Pace of change parameters'!$E$19:$I$19,1,$B$5))))</f>
        <v>0</v>
      </c>
      <c r="Q145" s="57">
        <v>3.3899843169349131E-2</v>
      </c>
      <c r="R145" s="57">
        <v>2.450689116055571E-2</v>
      </c>
      <c r="S145" s="9">
        <f>MAX(IF(INDEX('Pace of change parameters'!$E$31:$I$31,1,$B$5)=1,D145*(1+Q145),D145),L145)</f>
        <v>381125.46528767399</v>
      </c>
      <c r="T145" s="103">
        <f>IF(Q145&lt;INDEX('Pace of change parameters'!$E$24:$I$24,1,$B$5),INDEX('Pace of change parameters'!$E$24:$I$24,1,$B$5),Q145)</f>
        <v>3.3899843169349131E-2</v>
      </c>
      <c r="U145" s="132">
        <v>2.450689116055571E-2</v>
      </c>
      <c r="V145" s="117">
        <f t="shared" si="31"/>
        <v>381125.46528767399</v>
      </c>
      <c r="W145" s="131">
        <f>IF(J145&gt;INDEX('Pace of change parameters'!$E$26:$I$26,1,$B$5),0,IF(J145&lt;INDEX('Pace of change parameters'!$E$25:$I$25,1,$B$5),1,(J145-INDEX('Pace of change parameters'!$E$26:$I$26,1,$B$5))/(INDEX('Pace of change parameters'!$E$25:$I$25,1,$B$5)-INDEX('Pace of change parameters'!$E$26:$I$26,1,$B$5))))</f>
        <v>0.4004180559515752</v>
      </c>
      <c r="X145" s="132">
        <f>MIN(T145, T145+(INDEX('Pace of change parameters'!$E$27:$I$27,1,$B$5)-T145)*(1-W145))</f>
        <v>2.0165166758522139E-2</v>
      </c>
      <c r="Y145" s="132">
        <v>1.0896993912077324E-2</v>
      </c>
      <c r="Z145" s="108">
        <f t="shared" si="32"/>
        <v>377589</v>
      </c>
      <c r="AA145" s="97">
        <f>MIN(VLOOKUP(A145,'2019-20 disagg'!$A$12:$BB$220,54,FALSE),-2.5%)</f>
        <v>-2.5000000000000001E-2</v>
      </c>
      <c r="AB145" s="99">
        <f t="shared" si="24"/>
        <v>346527.06272967416</v>
      </c>
      <c r="AC145" s="99">
        <f>MAX(IF(INDEX('Pace of change parameters'!$E$29:$I$29,1,$B$5)=1,MAX(AB145,Z145),Z145),L145)</f>
        <v>377589</v>
      </c>
      <c r="AD145" s="97">
        <f t="shared" si="25"/>
        <v>2.4306280840628469E-2</v>
      </c>
      <c r="AE145" s="146">
        <v>1.5000486085163134E-2</v>
      </c>
      <c r="AF145" s="56">
        <f t="shared" si="33"/>
        <v>377589</v>
      </c>
      <c r="AG145" s="56">
        <v>1696.3836725092931</v>
      </c>
      <c r="AH145" s="16">
        <f t="shared" si="26"/>
        <v>2.4306280840628469E-2</v>
      </c>
      <c r="AI145" s="16">
        <f t="shared" si="27"/>
        <v>1.5000486085163134E-2</v>
      </c>
      <c r="AJ145" s="56"/>
      <c r="AK145" s="56">
        <v>355412.37203043507</v>
      </c>
      <c r="AL145" s="56">
        <v>1596.7513484773885</v>
      </c>
      <c r="AM145" s="16">
        <f t="shared" si="34"/>
        <v>6.2396893622110206E-2</v>
      </c>
      <c r="AN145" s="58">
        <f t="shared" si="34"/>
        <v>6.2396893622110206E-2</v>
      </c>
      <c r="AP145" s="56">
        <f t="shared" si="28"/>
        <v>1</v>
      </c>
      <c r="AQ145" s="56">
        <f t="shared" si="29"/>
        <v>0</v>
      </c>
    </row>
    <row r="146" spans="1:43" x14ac:dyDescent="0.2">
      <c r="A146" s="156" t="s">
        <v>337</v>
      </c>
      <c r="B146" s="156" t="s">
        <v>338</v>
      </c>
      <c r="D146" s="68">
        <f>VLOOKUP(A146,'2019-20 disagg'!A146:AZ354,43,FALSE)</f>
        <v>559113</v>
      </c>
      <c r="E146" s="73">
        <v>1780.3579802312563</v>
      </c>
      <c r="F146" s="55"/>
      <c r="G146" s="88">
        <v>548482.41781237558</v>
      </c>
      <c r="H146" s="81">
        <v>1725.8797759814256</v>
      </c>
      <c r="I146" s="90"/>
      <c r="J146" s="103">
        <f t="shared" si="30"/>
        <v>1.9381810323154003E-2</v>
      </c>
      <c r="K146" s="126">
        <f t="shared" si="30"/>
        <v>3.1565468816535436E-2</v>
      </c>
      <c r="L146" s="56">
        <v>582208</v>
      </c>
      <c r="M146" s="103">
        <v>3.6751804655783538E-2</v>
      </c>
      <c r="N146" s="97">
        <f>INDEX('Pace of change parameters'!$E$22:$I$22,1,$B$5)</f>
        <v>2.4506891160555818E-2</v>
      </c>
      <c r="O146" s="108">
        <f>MAX(IF(INDEX('Pace of change parameters'!$E$30:$I$30,1,$B$5)=1,(1+M146)*D146,D146),L146)</f>
        <v>582208</v>
      </c>
      <c r="P146" s="94">
        <f>IF(K146&lt;INDEX('Pace of change parameters'!$E$18:$I$18,1,$B$5),1,IF(K146&gt;INDEX('Pace of change parameters'!$E$19:$I$19,1,$B$5),0,(K146-INDEX('Pace of change parameters'!$E$19:$I$19,1,$B$5))/(INDEX('Pace of change parameters'!$E$18:$I$18,1,$B$5)-INDEX('Pace of change parameters'!$E$19:$I$19,1,$B$5))))</f>
        <v>0</v>
      </c>
      <c r="Q146" s="57">
        <v>3.6751804655783538E-2</v>
      </c>
      <c r="R146" s="57">
        <v>2.450689116055571E-2</v>
      </c>
      <c r="S146" s="9">
        <f>MAX(IF(INDEX('Pace of change parameters'!$E$31:$I$31,1,$B$5)=1,D146*(1+Q146),D146),L146)</f>
        <v>582208</v>
      </c>
      <c r="T146" s="103">
        <f>IF(Q146&lt;INDEX('Pace of change parameters'!$E$24:$I$24,1,$B$5),INDEX('Pace of change parameters'!$E$24:$I$24,1,$B$5),Q146)</f>
        <v>3.6751804655783538E-2</v>
      </c>
      <c r="U146" s="132">
        <v>2.450689116055571E-2</v>
      </c>
      <c r="V146" s="117">
        <f t="shared" si="31"/>
        <v>582208</v>
      </c>
      <c r="W146" s="131">
        <f>IF(J146&gt;INDEX('Pace of change parameters'!$E$26:$I$26,1,$B$5),0,IF(J146&lt;INDEX('Pace of change parameters'!$E$25:$I$25,1,$B$5),1,(J146-INDEX('Pace of change parameters'!$E$26:$I$26,1,$B$5))/(INDEX('Pace of change parameters'!$E$25:$I$25,1,$B$5)-INDEX('Pace of change parameters'!$E$26:$I$26,1,$B$5))))</f>
        <v>1</v>
      </c>
      <c r="X146" s="132">
        <f>MIN(T146, T146+(INDEX('Pace of change parameters'!$E$27:$I$27,1,$B$5)-T146)*(1-W146))</f>
        <v>3.6751804655783538E-2</v>
      </c>
      <c r="Y146" s="132">
        <v>2.450689116055571E-2</v>
      </c>
      <c r="Z146" s="108">
        <f t="shared" si="32"/>
        <v>582208</v>
      </c>
      <c r="AA146" s="97">
        <f>MIN(VLOOKUP(A146,'2019-20 disagg'!$A$12:$BB$220,54,FALSE),-2.5%)</f>
        <v>-2.5000000000000001E-2</v>
      </c>
      <c r="AB146" s="99">
        <f t="shared" si="24"/>
        <v>556873.33270027023</v>
      </c>
      <c r="AC146" s="99">
        <f>MAX(IF(INDEX('Pace of change parameters'!$E$29:$I$29,1,$B$5)=1,MAX(AB146,Z146),Z146),L146)</f>
        <v>582208</v>
      </c>
      <c r="AD146" s="97">
        <f t="shared" si="25"/>
        <v>4.1306497970893252E-2</v>
      </c>
      <c r="AE146" s="146">
        <v>2.900778970493012E-2</v>
      </c>
      <c r="AF146" s="56">
        <f t="shared" si="33"/>
        <v>582208</v>
      </c>
      <c r="AG146" s="56">
        <v>1832.0022301212987</v>
      </c>
      <c r="AH146" s="16">
        <f t="shared" si="26"/>
        <v>4.1306497970893252E-2</v>
      </c>
      <c r="AI146" s="16">
        <f t="shared" si="27"/>
        <v>2.900778970493012E-2</v>
      </c>
      <c r="AJ146" s="56"/>
      <c r="AK146" s="56">
        <v>571152.13610284124</v>
      </c>
      <c r="AL146" s="56">
        <v>1797.213344850893</v>
      </c>
      <c r="AM146" s="16">
        <f t="shared" si="34"/>
        <v>1.9357126058560326E-2</v>
      </c>
      <c r="AN146" s="58">
        <f t="shared" si="34"/>
        <v>1.9357126058560326E-2</v>
      </c>
      <c r="AP146" s="56">
        <f t="shared" si="28"/>
        <v>1</v>
      </c>
      <c r="AQ146" s="56">
        <f t="shared" si="29"/>
        <v>0</v>
      </c>
    </row>
    <row r="147" spans="1:43" x14ac:dyDescent="0.2">
      <c r="A147" s="156" t="s">
        <v>339</v>
      </c>
      <c r="B147" s="156" t="s">
        <v>340</v>
      </c>
      <c r="D147" s="68">
        <f>VLOOKUP(A147,'2019-20 disagg'!A147:AZ355,43,FALSE)</f>
        <v>697747</v>
      </c>
      <c r="E147" s="73">
        <v>1668.826074436837</v>
      </c>
      <c r="F147" s="55"/>
      <c r="G147" s="88">
        <v>718414.44947038987</v>
      </c>
      <c r="H147" s="81">
        <v>1700.0026125489771</v>
      </c>
      <c r="I147" s="90"/>
      <c r="J147" s="103">
        <f t="shared" si="30"/>
        <v>-2.8768142797831797E-2</v>
      </c>
      <c r="K147" s="126">
        <f t="shared" si="30"/>
        <v>-1.8339111882536563E-2</v>
      </c>
      <c r="L147" s="56">
        <v>726202</v>
      </c>
      <c r="M147" s="103">
        <v>3.5507986276634096E-2</v>
      </c>
      <c r="N147" s="97">
        <f>INDEX('Pace of change parameters'!$E$22:$I$22,1,$B$5)</f>
        <v>2.4506891160555818E-2</v>
      </c>
      <c r="O147" s="108">
        <f>MAX(IF(INDEX('Pace of change parameters'!$E$30:$I$30,1,$B$5)=1,(1+M147)*D147,D147),L147)</f>
        <v>726202</v>
      </c>
      <c r="P147" s="94">
        <f>IF(K147&lt;INDEX('Pace of change parameters'!$E$18:$I$18,1,$B$5),1,IF(K147&gt;INDEX('Pace of change parameters'!$E$19:$I$19,1,$B$5),0,(K147-INDEX('Pace of change parameters'!$E$19:$I$19,1,$B$5))/(INDEX('Pace of change parameters'!$E$18:$I$18,1,$B$5)-INDEX('Pace of change parameters'!$E$19:$I$19,1,$B$5))))</f>
        <v>0.81431624966023364</v>
      </c>
      <c r="Q147" s="57">
        <v>4.8753585748001038E-2</v>
      </c>
      <c r="R147" s="57">
        <v>3.7611771196065957E-2</v>
      </c>
      <c r="S147" s="9">
        <f>MAX(IF(INDEX('Pace of change parameters'!$E$31:$I$31,1,$B$5)=1,D147*(1+Q147),D147),L147)</f>
        <v>731764.66819491051</v>
      </c>
      <c r="T147" s="103">
        <f>IF(Q147&lt;INDEX('Pace of change parameters'!$E$24:$I$24,1,$B$5),INDEX('Pace of change parameters'!$E$24:$I$24,1,$B$5),Q147)</f>
        <v>4.8753585748001038E-2</v>
      </c>
      <c r="U147" s="132">
        <v>3.7611771196065957E-2</v>
      </c>
      <c r="V147" s="117">
        <f t="shared" si="31"/>
        <v>731764.66819491051</v>
      </c>
      <c r="W147" s="131">
        <f>IF(J147&gt;INDEX('Pace of change parameters'!$E$26:$I$26,1,$B$5),0,IF(J147&lt;INDEX('Pace of change parameters'!$E$25:$I$25,1,$B$5),1,(J147-INDEX('Pace of change parameters'!$E$26:$I$26,1,$B$5))/(INDEX('Pace of change parameters'!$E$25:$I$25,1,$B$5)-INDEX('Pace of change parameters'!$E$26:$I$26,1,$B$5))))</f>
        <v>1</v>
      </c>
      <c r="X147" s="132">
        <f>MIN(T147, T147+(INDEX('Pace of change parameters'!$E$27:$I$27,1,$B$5)-T147)*(1-W147))</f>
        <v>4.8753585748001038E-2</v>
      </c>
      <c r="Y147" s="132">
        <v>3.7611771196065957E-2</v>
      </c>
      <c r="Z147" s="108">
        <f t="shared" si="32"/>
        <v>731764.66819491051</v>
      </c>
      <c r="AA147" s="97">
        <f>MIN(VLOOKUP(A147,'2019-20 disagg'!$A$12:$BB$220,54,FALSE),-2.5%)</f>
        <v>-2.5000000000000001E-2</v>
      </c>
      <c r="AB147" s="99">
        <f t="shared" si="24"/>
        <v>729200.24198977975</v>
      </c>
      <c r="AC147" s="99">
        <f>MAX(IF(INDEX('Pace of change parameters'!$E$29:$I$29,1,$B$5)=1,MAX(AB147,Z147),Z147),L147)</f>
        <v>731764.66819491051</v>
      </c>
      <c r="AD147" s="97">
        <f t="shared" si="25"/>
        <v>4.8753585748001038E-2</v>
      </c>
      <c r="AE147" s="146">
        <v>3.7611771196065957E-2</v>
      </c>
      <c r="AF147" s="56">
        <f t="shared" si="33"/>
        <v>731764.66819491051</v>
      </c>
      <c r="AG147" s="56">
        <v>1731.5935789145844</v>
      </c>
      <c r="AH147" s="16">
        <f t="shared" si="26"/>
        <v>4.8753585748001038E-2</v>
      </c>
      <c r="AI147" s="16">
        <f t="shared" si="27"/>
        <v>3.7611771196066179E-2</v>
      </c>
      <c r="AJ147" s="56"/>
      <c r="AK147" s="56">
        <v>747897.68409208185</v>
      </c>
      <c r="AL147" s="56">
        <v>1769.7695498930411</v>
      </c>
      <c r="AM147" s="16">
        <f t="shared" si="34"/>
        <v>-2.1571153702335866E-2</v>
      </c>
      <c r="AN147" s="58">
        <f t="shared" si="34"/>
        <v>-2.1571153702335977E-2</v>
      </c>
      <c r="AP147" s="56">
        <f t="shared" si="28"/>
        <v>0</v>
      </c>
      <c r="AQ147" s="56">
        <f t="shared" si="29"/>
        <v>0</v>
      </c>
    </row>
    <row r="148" spans="1:43" x14ac:dyDescent="0.2">
      <c r="A148" s="156" t="s">
        <v>341</v>
      </c>
      <c r="B148" s="156" t="s">
        <v>342</v>
      </c>
      <c r="D148" s="68">
        <f>VLOOKUP(A148,'2019-20 disagg'!A148:AZ356,43,FALSE)</f>
        <v>702262</v>
      </c>
      <c r="E148" s="73">
        <v>1582.6675745988875</v>
      </c>
      <c r="F148" s="55"/>
      <c r="G148" s="88">
        <v>716165.0915639106</v>
      </c>
      <c r="H148" s="81">
        <v>1599.3213934859496</v>
      </c>
      <c r="I148" s="90"/>
      <c r="J148" s="103">
        <f t="shared" si="30"/>
        <v>-1.9413249441619707E-2</v>
      </c>
      <c r="K148" s="126">
        <f t="shared" si="30"/>
        <v>-1.0413053283031881E-2</v>
      </c>
      <c r="L148" s="56">
        <v>730592</v>
      </c>
      <c r="M148" s="103">
        <v>3.3910202984848148E-2</v>
      </c>
      <c r="N148" s="97">
        <f>INDEX('Pace of change parameters'!$E$22:$I$22,1,$B$5)</f>
        <v>2.4506891160555818E-2</v>
      </c>
      <c r="O148" s="108">
        <f>MAX(IF(INDEX('Pace of change parameters'!$E$30:$I$30,1,$B$5)=1,(1+M148)*D148,D148),L148)</f>
        <v>730592</v>
      </c>
      <c r="P148" s="94">
        <f>IF(K148&lt;INDEX('Pace of change parameters'!$E$18:$I$18,1,$B$5),1,IF(K148&gt;INDEX('Pace of change parameters'!$E$19:$I$19,1,$B$5),0,(K148-INDEX('Pace of change parameters'!$E$19:$I$19,1,$B$5))/(INDEX('Pace of change parameters'!$E$18:$I$18,1,$B$5)-INDEX('Pace of change parameters'!$E$19:$I$19,1,$B$5))))</f>
        <v>0.55433225852135715</v>
      </c>
      <c r="Q148" s="57">
        <v>4.2913012019043739E-2</v>
      </c>
      <c r="R148" s="57">
        <v>3.3427820530155028E-2</v>
      </c>
      <c r="S148" s="9">
        <f>MAX(IF(INDEX('Pace of change parameters'!$E$31:$I$31,1,$B$5)=1,D148*(1+Q148),D148),L148)</f>
        <v>732398.17764651764</v>
      </c>
      <c r="T148" s="103">
        <f>IF(Q148&lt;INDEX('Pace of change parameters'!$E$24:$I$24,1,$B$5),INDEX('Pace of change parameters'!$E$24:$I$24,1,$B$5),Q148)</f>
        <v>4.2913012019043739E-2</v>
      </c>
      <c r="U148" s="132">
        <v>3.3427820530155028E-2</v>
      </c>
      <c r="V148" s="117">
        <f t="shared" si="31"/>
        <v>732398.17764651764</v>
      </c>
      <c r="W148" s="131">
        <f>IF(J148&gt;INDEX('Pace of change parameters'!$E$26:$I$26,1,$B$5),0,IF(J148&lt;INDEX('Pace of change parameters'!$E$25:$I$25,1,$B$5),1,(J148-INDEX('Pace of change parameters'!$E$26:$I$26,1,$B$5))/(INDEX('Pace of change parameters'!$E$25:$I$25,1,$B$5)-INDEX('Pace of change parameters'!$E$26:$I$26,1,$B$5))))</f>
        <v>1</v>
      </c>
      <c r="X148" s="132">
        <f>MIN(T148, T148+(INDEX('Pace of change parameters'!$E$27:$I$27,1,$B$5)-T148)*(1-W148))</f>
        <v>4.2913012019043739E-2</v>
      </c>
      <c r="Y148" s="132">
        <v>3.3427820530155028E-2</v>
      </c>
      <c r="Z148" s="108">
        <f t="shared" si="32"/>
        <v>732398.17764651764</v>
      </c>
      <c r="AA148" s="97">
        <f>MIN(VLOOKUP(A148,'2019-20 disagg'!$A$12:$BB$220,54,FALSE),-2.5%)</f>
        <v>-2.5000000000000001E-2</v>
      </c>
      <c r="AB148" s="99">
        <f t="shared" si="24"/>
        <v>726892.01308127539</v>
      </c>
      <c r="AC148" s="99">
        <f>MAX(IF(INDEX('Pace of change parameters'!$E$29:$I$29,1,$B$5)=1,MAX(AB148,Z148),Z148),L148)</f>
        <v>732398.17764651764</v>
      </c>
      <c r="AD148" s="97">
        <f t="shared" si="25"/>
        <v>4.2913012019043739E-2</v>
      </c>
      <c r="AE148" s="146">
        <v>3.3427820530155028E-2</v>
      </c>
      <c r="AF148" s="56">
        <f t="shared" si="33"/>
        <v>732398.17764651764</v>
      </c>
      <c r="AG148" s="56">
        <v>1635.5727022414749</v>
      </c>
      <c r="AH148" s="16">
        <f t="shared" si="26"/>
        <v>4.2913012019043739E-2</v>
      </c>
      <c r="AI148" s="16">
        <f t="shared" si="27"/>
        <v>3.3427820530155028E-2</v>
      </c>
      <c r="AJ148" s="56"/>
      <c r="AK148" s="56">
        <v>745530.26982694911</v>
      </c>
      <c r="AL148" s="56">
        <v>1664.898951471984</v>
      </c>
      <c r="AM148" s="16">
        <f t="shared" si="34"/>
        <v>-1.7614431917673423E-2</v>
      </c>
      <c r="AN148" s="58">
        <f t="shared" si="34"/>
        <v>-1.7614431917673423E-2</v>
      </c>
      <c r="AP148" s="56">
        <f t="shared" si="28"/>
        <v>0</v>
      </c>
      <c r="AQ148" s="56">
        <f t="shared" si="29"/>
        <v>0</v>
      </c>
    </row>
    <row r="149" spans="1:43" x14ac:dyDescent="0.2">
      <c r="A149" s="156" t="s">
        <v>343</v>
      </c>
      <c r="B149" s="156" t="s">
        <v>344</v>
      </c>
      <c r="D149" s="68">
        <f>VLOOKUP(A149,'2019-20 disagg'!A149:AZ357,43,FALSE)</f>
        <v>586525</v>
      </c>
      <c r="E149" s="73">
        <v>1710.2076918098855</v>
      </c>
      <c r="F149" s="55"/>
      <c r="G149" s="88">
        <v>604919.06305571471</v>
      </c>
      <c r="H149" s="81">
        <v>1740.9688157000337</v>
      </c>
      <c r="I149" s="90"/>
      <c r="J149" s="103">
        <f t="shared" si="30"/>
        <v>-3.0407477924068282E-2</v>
      </c>
      <c r="K149" s="126">
        <f t="shared" si="30"/>
        <v>-1.7668968917044725E-2</v>
      </c>
      <c r="L149" s="56">
        <v>610957</v>
      </c>
      <c r="M149" s="103">
        <v>3.7966865287485163E-2</v>
      </c>
      <c r="N149" s="97">
        <f>INDEX('Pace of change parameters'!$E$22:$I$22,1,$B$5)</f>
        <v>2.4506891160555818E-2</v>
      </c>
      <c r="O149" s="108">
        <f>MAX(IF(INDEX('Pace of change parameters'!$E$30:$I$30,1,$B$5)=1,(1+M149)*D149,D149),L149)</f>
        <v>610957</v>
      </c>
      <c r="P149" s="94">
        <f>IF(K149&lt;INDEX('Pace of change parameters'!$E$18:$I$18,1,$B$5),1,IF(K149&gt;INDEX('Pace of change parameters'!$E$19:$I$19,1,$B$5),0,(K149-INDEX('Pace of change parameters'!$E$19:$I$19,1,$B$5))/(INDEX('Pace of change parameters'!$E$18:$I$18,1,$B$5)-INDEX('Pace of change parameters'!$E$19:$I$19,1,$B$5))))</f>
        <v>0.79233477669798502</v>
      </c>
      <c r="Q149" s="57">
        <v>5.0885519461703943E-2</v>
      </c>
      <c r="R149" s="57">
        <v>3.7258020959233251E-2</v>
      </c>
      <c r="S149" s="9">
        <f>MAX(IF(INDEX('Pace of change parameters'!$E$31:$I$31,1,$B$5)=1,D149*(1+Q149),D149),L149)</f>
        <v>616370.62930227595</v>
      </c>
      <c r="T149" s="103">
        <f>IF(Q149&lt;INDEX('Pace of change parameters'!$E$24:$I$24,1,$B$5),INDEX('Pace of change parameters'!$E$24:$I$24,1,$B$5),Q149)</f>
        <v>5.0885519461703943E-2</v>
      </c>
      <c r="U149" s="132">
        <v>3.7258020959233251E-2</v>
      </c>
      <c r="V149" s="117">
        <f t="shared" si="31"/>
        <v>616370.62930227595</v>
      </c>
      <c r="W149" s="131">
        <f>IF(J149&gt;INDEX('Pace of change parameters'!$E$26:$I$26,1,$B$5),0,IF(J149&lt;INDEX('Pace of change parameters'!$E$25:$I$25,1,$B$5),1,(J149-INDEX('Pace of change parameters'!$E$26:$I$26,1,$B$5))/(INDEX('Pace of change parameters'!$E$25:$I$25,1,$B$5)-INDEX('Pace of change parameters'!$E$26:$I$26,1,$B$5))))</f>
        <v>1</v>
      </c>
      <c r="X149" s="132">
        <f>MIN(T149, T149+(INDEX('Pace of change parameters'!$E$27:$I$27,1,$B$5)-T149)*(1-W149))</f>
        <v>5.0885519461703943E-2</v>
      </c>
      <c r="Y149" s="132">
        <v>3.7258020959233251E-2</v>
      </c>
      <c r="Z149" s="108">
        <f t="shared" si="32"/>
        <v>616370.62930227595</v>
      </c>
      <c r="AA149" s="97">
        <f>MIN(VLOOKUP(A149,'2019-20 disagg'!$A$12:$BB$220,54,FALSE),-2.5%)</f>
        <v>-2.5000000000000001E-2</v>
      </c>
      <c r="AB149" s="99">
        <f t="shared" si="24"/>
        <v>614130.63387958764</v>
      </c>
      <c r="AC149" s="99">
        <f>MAX(IF(INDEX('Pace of change parameters'!$E$29:$I$29,1,$B$5)=1,MAX(AB149,Z149),Z149),L149)</f>
        <v>616370.62930227595</v>
      </c>
      <c r="AD149" s="97">
        <f t="shared" si="25"/>
        <v>5.0885519461703943E-2</v>
      </c>
      <c r="AE149" s="146">
        <v>3.7258020959233251E-2</v>
      </c>
      <c r="AF149" s="56">
        <f t="shared" si="33"/>
        <v>616370.62930227595</v>
      </c>
      <c r="AG149" s="56">
        <v>1773.92664583598</v>
      </c>
      <c r="AH149" s="16">
        <f t="shared" si="26"/>
        <v>5.0885519461703943E-2</v>
      </c>
      <c r="AI149" s="16">
        <f t="shared" si="27"/>
        <v>3.7258020959233251E-2</v>
      </c>
      <c r="AJ149" s="56"/>
      <c r="AK149" s="56">
        <v>629877.57320983347</v>
      </c>
      <c r="AL149" s="56">
        <v>1812.7998928116692</v>
      </c>
      <c r="AM149" s="16">
        <f t="shared" si="34"/>
        <v>-2.1443760632287034E-2</v>
      </c>
      <c r="AN149" s="58">
        <f t="shared" si="34"/>
        <v>-2.1443760632287145E-2</v>
      </c>
      <c r="AP149" s="56">
        <f t="shared" si="28"/>
        <v>0</v>
      </c>
      <c r="AQ149" s="56">
        <f t="shared" si="29"/>
        <v>0</v>
      </c>
    </row>
    <row r="150" spans="1:43" x14ac:dyDescent="0.2">
      <c r="A150" s="156" t="s">
        <v>345</v>
      </c>
      <c r="B150" s="156" t="s">
        <v>346</v>
      </c>
      <c r="D150" s="68">
        <f>VLOOKUP(A150,'2019-20 disagg'!A150:AZ358,43,FALSE)</f>
        <v>536755</v>
      </c>
      <c r="E150" s="73">
        <v>1794.6548889346873</v>
      </c>
      <c r="F150" s="55"/>
      <c r="G150" s="88">
        <v>551053.19112911308</v>
      </c>
      <c r="H150" s="81">
        <v>1823.2065220340303</v>
      </c>
      <c r="I150" s="90"/>
      <c r="J150" s="103">
        <f t="shared" si="30"/>
        <v>-2.594702536758009E-2</v>
      </c>
      <c r="K150" s="126">
        <f t="shared" si="30"/>
        <v>-1.5660120098456964E-2</v>
      </c>
      <c r="L150" s="56">
        <v>558677</v>
      </c>
      <c r="M150" s="103">
        <v>3.5326636709723136E-2</v>
      </c>
      <c r="N150" s="97">
        <f>INDEX('Pace of change parameters'!$E$22:$I$22,1,$B$5)</f>
        <v>2.4506891160555818E-2</v>
      </c>
      <c r="O150" s="108">
        <f>MAX(IF(INDEX('Pace of change parameters'!$E$30:$I$30,1,$B$5)=1,(1+M150)*D150,D150),L150)</f>
        <v>558677</v>
      </c>
      <c r="P150" s="94">
        <f>IF(K150&lt;INDEX('Pace of change parameters'!$E$18:$I$18,1,$B$5),1,IF(K150&gt;INDEX('Pace of change parameters'!$E$19:$I$19,1,$B$5),0,(K150-INDEX('Pace of change parameters'!$E$19:$I$19,1,$B$5))/(INDEX('Pace of change parameters'!$E$18:$I$18,1,$B$5)-INDEX('Pace of change parameters'!$E$19:$I$19,1,$B$5))))</f>
        <v>0.72644218621376877</v>
      </c>
      <c r="Q150" s="57">
        <v>4.7140814681298604E-2</v>
      </c>
      <c r="R150" s="57">
        <v>3.619760432885788E-2</v>
      </c>
      <c r="S150" s="9">
        <f>MAX(IF(INDEX('Pace of change parameters'!$E$31:$I$31,1,$B$5)=1,D150*(1+Q150),D150),L150)</f>
        <v>562058.06798426039</v>
      </c>
      <c r="T150" s="103">
        <f>IF(Q150&lt;INDEX('Pace of change parameters'!$E$24:$I$24,1,$B$5),INDEX('Pace of change parameters'!$E$24:$I$24,1,$B$5),Q150)</f>
        <v>4.7140814681298604E-2</v>
      </c>
      <c r="U150" s="132">
        <v>3.619760432885788E-2</v>
      </c>
      <c r="V150" s="117">
        <f t="shared" si="31"/>
        <v>562058.06798426039</v>
      </c>
      <c r="W150" s="131">
        <f>IF(J150&gt;INDEX('Pace of change parameters'!$E$26:$I$26,1,$B$5),0,IF(J150&lt;INDEX('Pace of change parameters'!$E$25:$I$25,1,$B$5),1,(J150-INDEX('Pace of change parameters'!$E$26:$I$26,1,$B$5))/(INDEX('Pace of change parameters'!$E$25:$I$25,1,$B$5)-INDEX('Pace of change parameters'!$E$26:$I$26,1,$B$5))))</f>
        <v>1</v>
      </c>
      <c r="X150" s="132">
        <f>MIN(T150, T150+(INDEX('Pace of change parameters'!$E$27:$I$27,1,$B$5)-T150)*(1-W150))</f>
        <v>4.7140814681298604E-2</v>
      </c>
      <c r="Y150" s="132">
        <v>3.619760432885788E-2</v>
      </c>
      <c r="Z150" s="108">
        <f t="shared" si="32"/>
        <v>562058.06798426039</v>
      </c>
      <c r="AA150" s="97">
        <f>MIN(VLOOKUP(A150,'2019-20 disagg'!$A$12:$BB$220,54,FALSE),-2.5%)</f>
        <v>-2.5000000000000001E-2</v>
      </c>
      <c r="AB150" s="99">
        <f t="shared" si="24"/>
        <v>559405.82593939849</v>
      </c>
      <c r="AC150" s="99">
        <f>MAX(IF(INDEX('Pace of change parameters'!$E$29:$I$29,1,$B$5)=1,MAX(AB150,Z150),Z150),L150)</f>
        <v>562058.06798426039</v>
      </c>
      <c r="AD150" s="97">
        <f t="shared" si="25"/>
        <v>4.7140814681298604E-2</v>
      </c>
      <c r="AE150" s="146">
        <v>3.619760432885788E-2</v>
      </c>
      <c r="AF150" s="56">
        <f t="shared" si="33"/>
        <v>562058.06798426039</v>
      </c>
      <c r="AG150" s="56">
        <v>1859.6170965111953</v>
      </c>
      <c r="AH150" s="16">
        <f t="shared" si="26"/>
        <v>4.7140814681298604E-2</v>
      </c>
      <c r="AI150" s="16">
        <f t="shared" si="27"/>
        <v>3.619760432885788E-2</v>
      </c>
      <c r="AJ150" s="56"/>
      <c r="AK150" s="56">
        <v>573749.56506604969</v>
      </c>
      <c r="AL150" s="56">
        <v>1898.2994126197063</v>
      </c>
      <c r="AM150" s="16">
        <f t="shared" si="34"/>
        <v>-2.0377352408874394E-2</v>
      </c>
      <c r="AN150" s="58">
        <f t="shared" si="34"/>
        <v>-2.0377352408874394E-2</v>
      </c>
      <c r="AP150" s="56">
        <f t="shared" si="28"/>
        <v>0</v>
      </c>
      <c r="AQ150" s="56">
        <f t="shared" si="29"/>
        <v>0</v>
      </c>
    </row>
    <row r="151" spans="1:43" x14ac:dyDescent="0.2">
      <c r="A151" s="156" t="s">
        <v>347</v>
      </c>
      <c r="B151" s="156" t="s">
        <v>348</v>
      </c>
      <c r="D151" s="68">
        <f>VLOOKUP(A151,'2019-20 disagg'!A151:AZ359,43,FALSE)</f>
        <v>365087</v>
      </c>
      <c r="E151" s="73">
        <v>1716.8170127606993</v>
      </c>
      <c r="F151" s="55"/>
      <c r="G151" s="88">
        <v>349595.04609323852</v>
      </c>
      <c r="H151" s="81">
        <v>1638.6954464493926</v>
      </c>
      <c r="I151" s="90"/>
      <c r="J151" s="103">
        <f t="shared" si="30"/>
        <v>4.4313997237334091E-2</v>
      </c>
      <c r="K151" s="126">
        <f t="shared" si="30"/>
        <v>4.7673023367810652E-2</v>
      </c>
      <c r="L151" s="56">
        <v>377713</v>
      </c>
      <c r="M151" s="103">
        <v>2.7802207920998745E-2</v>
      </c>
      <c r="N151" s="97">
        <f>INDEX('Pace of change parameters'!$E$22:$I$22,1,$B$5)</f>
        <v>2.4506891160555818E-2</v>
      </c>
      <c r="O151" s="108">
        <f>MAX(IF(INDEX('Pace of change parameters'!$E$30:$I$30,1,$B$5)=1,(1+M151)*D151,D151),L151)</f>
        <v>377713</v>
      </c>
      <c r="P151" s="94">
        <f>IF(K151&lt;INDEX('Pace of change parameters'!$E$18:$I$18,1,$B$5),1,IF(K151&gt;INDEX('Pace of change parameters'!$E$19:$I$19,1,$B$5),0,(K151-INDEX('Pace of change parameters'!$E$19:$I$19,1,$B$5))/(INDEX('Pace of change parameters'!$E$18:$I$18,1,$B$5)-INDEX('Pace of change parameters'!$E$19:$I$19,1,$B$5))))</f>
        <v>0</v>
      </c>
      <c r="Q151" s="57">
        <v>2.7802207920998745E-2</v>
      </c>
      <c r="R151" s="57">
        <v>2.450689116055571E-2</v>
      </c>
      <c r="S151" s="9">
        <f>MAX(IF(INDEX('Pace of change parameters'!$E$31:$I$31,1,$B$5)=1,D151*(1+Q151),D151),L151)</f>
        <v>377713</v>
      </c>
      <c r="T151" s="103">
        <f>IF(Q151&lt;INDEX('Pace of change parameters'!$E$24:$I$24,1,$B$5),INDEX('Pace of change parameters'!$E$24:$I$24,1,$B$5),Q151)</f>
        <v>3.2992755077120454E-2</v>
      </c>
      <c r="U151" s="132">
        <v>2.968079649891564E-2</v>
      </c>
      <c r="V151" s="117">
        <f t="shared" si="31"/>
        <v>377713</v>
      </c>
      <c r="W151" s="131">
        <f>IF(J151&gt;INDEX('Pace of change parameters'!$E$26:$I$26,1,$B$5),0,IF(J151&lt;INDEX('Pace of change parameters'!$E$25:$I$25,1,$B$5),1,(J151-INDEX('Pace of change parameters'!$E$26:$I$26,1,$B$5))/(INDEX('Pace of change parameters'!$E$25:$I$25,1,$B$5)-INDEX('Pace of change parameters'!$E$26:$I$26,1,$B$5))))</f>
        <v>1</v>
      </c>
      <c r="X151" s="132">
        <f>MIN(T151, T151+(INDEX('Pace of change parameters'!$E$27:$I$27,1,$B$5)-T151)*(1-W151))</f>
        <v>3.2992755077120454E-2</v>
      </c>
      <c r="Y151" s="132">
        <v>2.968079649891564E-2</v>
      </c>
      <c r="Z151" s="108">
        <f t="shared" si="32"/>
        <v>377713</v>
      </c>
      <c r="AA151" s="97">
        <f>MIN(VLOOKUP(A151,'2019-20 disagg'!$A$12:$BB$220,54,FALSE),-2.5%)</f>
        <v>-2.5000000000000001E-2</v>
      </c>
      <c r="AB151" s="99">
        <f t="shared" si="24"/>
        <v>354863.87834810122</v>
      </c>
      <c r="AC151" s="99">
        <f>MAX(IF(INDEX('Pace of change parameters'!$E$29:$I$29,1,$B$5)=1,MAX(AB151,Z151),Z151),L151)</f>
        <v>377713</v>
      </c>
      <c r="AD151" s="97">
        <f t="shared" si="25"/>
        <v>3.4583537622539184E-2</v>
      </c>
      <c r="AE151" s="146">
        <v>3.1266478712437928E-2</v>
      </c>
      <c r="AF151" s="56">
        <f t="shared" si="33"/>
        <v>377713</v>
      </c>
      <c r="AG151" s="56">
        <v>1770.4958353433333</v>
      </c>
      <c r="AH151" s="16">
        <f t="shared" si="26"/>
        <v>3.4583537622539184E-2</v>
      </c>
      <c r="AI151" s="16">
        <f t="shared" si="27"/>
        <v>3.126647871243815E-2</v>
      </c>
      <c r="AJ151" s="56"/>
      <c r="AK151" s="56">
        <v>363962.9521518987</v>
      </c>
      <c r="AL151" s="56">
        <v>1706.0437183898925</v>
      </c>
      <c r="AM151" s="16">
        <f t="shared" si="34"/>
        <v>3.7778701834363604E-2</v>
      </c>
      <c r="AN151" s="58">
        <f t="shared" si="34"/>
        <v>3.7778701834363604E-2</v>
      </c>
      <c r="AP151" s="56">
        <f t="shared" si="28"/>
        <v>1</v>
      </c>
      <c r="AQ151" s="56">
        <f t="shared" si="29"/>
        <v>0</v>
      </c>
    </row>
    <row r="152" spans="1:43" x14ac:dyDescent="0.2">
      <c r="A152" s="156" t="s">
        <v>349</v>
      </c>
      <c r="B152" s="156" t="s">
        <v>350</v>
      </c>
      <c r="D152" s="68">
        <f>VLOOKUP(A152,'2019-20 disagg'!A152:AZ360,43,FALSE)</f>
        <v>531873</v>
      </c>
      <c r="E152" s="73">
        <v>1676.277175819941</v>
      </c>
      <c r="F152" s="55"/>
      <c r="G152" s="88">
        <v>546238.80742305215</v>
      </c>
      <c r="H152" s="81">
        <v>1702.5731475238954</v>
      </c>
      <c r="I152" s="90"/>
      <c r="J152" s="103">
        <f t="shared" si="30"/>
        <v>-2.6299499830165107E-2</v>
      </c>
      <c r="K152" s="126">
        <f t="shared" si="30"/>
        <v>-1.5444841087854266E-2</v>
      </c>
      <c r="L152" s="56">
        <v>553881</v>
      </c>
      <c r="M152" s="103">
        <v>3.5927931491493315E-2</v>
      </c>
      <c r="N152" s="97">
        <f>INDEX('Pace of change parameters'!$E$22:$I$22,1,$B$5)</f>
        <v>2.4506891160555818E-2</v>
      </c>
      <c r="O152" s="108">
        <f>MAX(IF(INDEX('Pace of change parameters'!$E$30:$I$30,1,$B$5)=1,(1+M152)*D152,D152),L152)</f>
        <v>553881</v>
      </c>
      <c r="P152" s="94">
        <f>IF(K152&lt;INDEX('Pace of change parameters'!$E$18:$I$18,1,$B$5),1,IF(K152&gt;INDEX('Pace of change parameters'!$E$19:$I$19,1,$B$5),0,(K152-INDEX('Pace of change parameters'!$E$19:$I$19,1,$B$5))/(INDEX('Pace of change parameters'!$E$18:$I$18,1,$B$5)-INDEX('Pace of change parameters'!$E$19:$I$19,1,$B$5))))</f>
        <v>0.71938078290943086</v>
      </c>
      <c r="Q152" s="57">
        <v>4.7634064104119078E-2</v>
      </c>
      <c r="R152" s="57">
        <v>3.6083964396921964E-2</v>
      </c>
      <c r="S152" s="9">
        <f>MAX(IF(INDEX('Pace of change parameters'!$E$31:$I$31,1,$B$5)=1,D152*(1+Q152),D152),L152)</f>
        <v>557208.27257725014</v>
      </c>
      <c r="T152" s="103">
        <f>IF(Q152&lt;INDEX('Pace of change parameters'!$E$24:$I$24,1,$B$5),INDEX('Pace of change parameters'!$E$24:$I$24,1,$B$5),Q152)</f>
        <v>4.7634064104119078E-2</v>
      </c>
      <c r="U152" s="132">
        <v>3.6083964396921964E-2</v>
      </c>
      <c r="V152" s="117">
        <f t="shared" si="31"/>
        <v>557208.27257725014</v>
      </c>
      <c r="W152" s="131">
        <f>IF(J152&gt;INDEX('Pace of change parameters'!$E$26:$I$26,1,$B$5),0,IF(J152&lt;INDEX('Pace of change parameters'!$E$25:$I$25,1,$B$5),1,(J152-INDEX('Pace of change parameters'!$E$26:$I$26,1,$B$5))/(INDEX('Pace of change parameters'!$E$25:$I$25,1,$B$5)-INDEX('Pace of change parameters'!$E$26:$I$26,1,$B$5))))</f>
        <v>1</v>
      </c>
      <c r="X152" s="132">
        <f>MIN(T152, T152+(INDEX('Pace of change parameters'!$E$27:$I$27,1,$B$5)-T152)*(1-W152))</f>
        <v>4.7634064104119078E-2</v>
      </c>
      <c r="Y152" s="132">
        <v>3.6083964396921964E-2</v>
      </c>
      <c r="Z152" s="108">
        <f t="shared" si="32"/>
        <v>557208.27257725014</v>
      </c>
      <c r="AA152" s="97">
        <f>MIN(VLOOKUP(A152,'2019-20 disagg'!$A$12:$BB$220,54,FALSE),-2.5%)</f>
        <v>-2.5000000000000001E-2</v>
      </c>
      <c r="AB152" s="99">
        <f t="shared" si="24"/>
        <v>554632.83762104821</v>
      </c>
      <c r="AC152" s="99">
        <f>MAX(IF(INDEX('Pace of change parameters'!$E$29:$I$29,1,$B$5)=1,MAX(AB152,Z152),Z152),L152)</f>
        <v>557208.27257725014</v>
      </c>
      <c r="AD152" s="97">
        <f t="shared" si="25"/>
        <v>4.7634064104119078E-2</v>
      </c>
      <c r="AE152" s="146">
        <v>3.6083964396921964E-2</v>
      </c>
      <c r="AF152" s="56">
        <f t="shared" si="33"/>
        <v>557208.27257725014</v>
      </c>
      <c r="AG152" s="56">
        <v>1736.7639017516005</v>
      </c>
      <c r="AH152" s="16">
        <f t="shared" si="26"/>
        <v>4.7634064104119078E-2</v>
      </c>
      <c r="AI152" s="16">
        <f t="shared" si="27"/>
        <v>3.6083964396921964E-2</v>
      </c>
      <c r="AJ152" s="56"/>
      <c r="AK152" s="56">
        <v>568854.19243184431</v>
      </c>
      <c r="AL152" s="56">
        <v>1773.0630993794452</v>
      </c>
      <c r="AM152" s="16">
        <f t="shared" si="34"/>
        <v>-2.047259211505148E-2</v>
      </c>
      <c r="AN152" s="58">
        <f t="shared" si="34"/>
        <v>-2.0472592115051702E-2</v>
      </c>
      <c r="AP152" s="56">
        <f t="shared" si="28"/>
        <v>0</v>
      </c>
      <c r="AQ152" s="56">
        <f t="shared" si="29"/>
        <v>0</v>
      </c>
    </row>
    <row r="153" spans="1:43" x14ac:dyDescent="0.2">
      <c r="A153" s="156" t="s">
        <v>351</v>
      </c>
      <c r="B153" s="156" t="s">
        <v>352</v>
      </c>
      <c r="D153" s="68">
        <f>VLOOKUP(A153,'2019-20 disagg'!A153:AZ361,43,FALSE)</f>
        <v>421902</v>
      </c>
      <c r="E153" s="73">
        <v>1553.490606838571</v>
      </c>
      <c r="F153" s="55"/>
      <c r="G153" s="88">
        <v>434933.06894033018</v>
      </c>
      <c r="H153" s="81">
        <v>1584.107503683068</v>
      </c>
      <c r="I153" s="90"/>
      <c r="J153" s="103">
        <f t="shared" si="30"/>
        <v>-2.9961090270921531E-2</v>
      </c>
      <c r="K153" s="126">
        <f t="shared" si="30"/>
        <v>-1.9327537287281538E-2</v>
      </c>
      <c r="L153" s="56">
        <v>439137</v>
      </c>
      <c r="M153" s="103">
        <v>3.5737521396102423E-2</v>
      </c>
      <c r="N153" s="97">
        <f>INDEX('Pace of change parameters'!$E$22:$I$22,1,$B$5)</f>
        <v>2.4506891160555818E-2</v>
      </c>
      <c r="O153" s="108">
        <f>MAX(IF(INDEX('Pace of change parameters'!$E$30:$I$30,1,$B$5)=1,(1+M153)*D153,D153),L153)</f>
        <v>439137</v>
      </c>
      <c r="P153" s="94">
        <f>IF(K153&lt;INDEX('Pace of change parameters'!$E$18:$I$18,1,$B$5),1,IF(K153&gt;INDEX('Pace of change parameters'!$E$19:$I$19,1,$B$5),0,(K153-INDEX('Pace of change parameters'!$E$19:$I$19,1,$B$5))/(INDEX('Pace of change parameters'!$E$18:$I$18,1,$B$5)-INDEX('Pace of change parameters'!$E$19:$I$19,1,$B$5))))</f>
        <v>0.84673775884321101</v>
      </c>
      <c r="Q153" s="57">
        <v>4.9513539376958571E-2</v>
      </c>
      <c r="R153" s="57">
        <v>3.813353407208675E-2</v>
      </c>
      <c r="S153" s="9">
        <f>MAX(IF(INDEX('Pace of change parameters'!$E$31:$I$31,1,$B$5)=1,D153*(1+Q153),D153),L153)</f>
        <v>442791.86129021755</v>
      </c>
      <c r="T153" s="103">
        <f>IF(Q153&lt;INDEX('Pace of change parameters'!$E$24:$I$24,1,$B$5),INDEX('Pace of change parameters'!$E$24:$I$24,1,$B$5),Q153)</f>
        <v>4.9513539376958571E-2</v>
      </c>
      <c r="U153" s="132">
        <v>3.813353407208675E-2</v>
      </c>
      <c r="V153" s="117">
        <f t="shared" si="31"/>
        <v>442791.86129021755</v>
      </c>
      <c r="W153" s="131">
        <f>IF(J153&gt;INDEX('Pace of change parameters'!$E$26:$I$26,1,$B$5),0,IF(J153&lt;INDEX('Pace of change parameters'!$E$25:$I$25,1,$B$5),1,(J153-INDEX('Pace of change parameters'!$E$26:$I$26,1,$B$5))/(INDEX('Pace of change parameters'!$E$25:$I$25,1,$B$5)-INDEX('Pace of change parameters'!$E$26:$I$26,1,$B$5))))</f>
        <v>1</v>
      </c>
      <c r="X153" s="132">
        <f>MIN(T153, T153+(INDEX('Pace of change parameters'!$E$27:$I$27,1,$B$5)-T153)*(1-W153))</f>
        <v>4.9513539376958571E-2</v>
      </c>
      <c r="Y153" s="132">
        <v>3.813353407208675E-2</v>
      </c>
      <c r="Z153" s="108">
        <f t="shared" si="32"/>
        <v>442791.86129021755</v>
      </c>
      <c r="AA153" s="97">
        <f>MIN(VLOOKUP(A153,'2019-20 disagg'!$A$12:$BB$220,54,FALSE),-2.5%)</f>
        <v>-2.5919811908105439E-2</v>
      </c>
      <c r="AB153" s="99">
        <f t="shared" si="24"/>
        <v>441100.66113799985</v>
      </c>
      <c r="AC153" s="99">
        <f>MAX(IF(INDEX('Pace of change parameters'!$E$29:$I$29,1,$B$5)=1,MAX(AB153,Z153),Z153),L153)</f>
        <v>442791.86129021755</v>
      </c>
      <c r="AD153" s="97">
        <f t="shared" si="25"/>
        <v>4.9513539376958571E-2</v>
      </c>
      <c r="AE153" s="146">
        <v>3.813353407208675E-2</v>
      </c>
      <c r="AF153" s="56">
        <f t="shared" si="33"/>
        <v>442791.86129021755</v>
      </c>
      <c r="AG153" s="56">
        <v>1612.7306938251163</v>
      </c>
      <c r="AH153" s="16">
        <f t="shared" si="26"/>
        <v>4.9513539376958571E-2</v>
      </c>
      <c r="AI153" s="16">
        <f t="shared" si="27"/>
        <v>3.813353407208675E-2</v>
      </c>
      <c r="AJ153" s="56"/>
      <c r="AK153" s="56">
        <v>452838.14056629443</v>
      </c>
      <c r="AL153" s="56">
        <v>1649.3211200810522</v>
      </c>
      <c r="AM153" s="16">
        <f t="shared" si="34"/>
        <v>-2.21851438209546E-2</v>
      </c>
      <c r="AN153" s="58">
        <f t="shared" si="34"/>
        <v>-2.2185143820954489E-2</v>
      </c>
      <c r="AP153" s="56">
        <f t="shared" si="28"/>
        <v>0</v>
      </c>
      <c r="AQ153" s="56">
        <f t="shared" si="29"/>
        <v>0</v>
      </c>
    </row>
    <row r="154" spans="1:43" x14ac:dyDescent="0.2">
      <c r="A154" s="156" t="s">
        <v>353</v>
      </c>
      <c r="B154" s="156" t="s">
        <v>354</v>
      </c>
      <c r="D154" s="68">
        <f>VLOOKUP(A154,'2019-20 disagg'!A154:AZ362,43,FALSE)</f>
        <v>489662</v>
      </c>
      <c r="E154" s="73">
        <v>1756.9666295448067</v>
      </c>
      <c r="F154" s="55"/>
      <c r="G154" s="88">
        <v>505140.57716690056</v>
      </c>
      <c r="H154" s="81">
        <v>1791.9289068465243</v>
      </c>
      <c r="I154" s="90"/>
      <c r="J154" s="103">
        <f t="shared" si="30"/>
        <v>-3.064211798963512E-2</v>
      </c>
      <c r="K154" s="126">
        <f t="shared" si="30"/>
        <v>-1.9510973436577372E-2</v>
      </c>
      <c r="L154" s="56">
        <v>509396</v>
      </c>
      <c r="M154" s="103">
        <v>3.6271312240478304E-2</v>
      </c>
      <c r="N154" s="97">
        <f>INDEX('Pace of change parameters'!$E$22:$I$22,1,$B$5)</f>
        <v>2.4506891160555818E-2</v>
      </c>
      <c r="O154" s="108">
        <f>MAX(IF(INDEX('Pace of change parameters'!$E$30:$I$30,1,$B$5)=1,(1+M154)*D154,D154),L154)</f>
        <v>509396</v>
      </c>
      <c r="P154" s="94">
        <f>IF(K154&lt;INDEX('Pace of change parameters'!$E$18:$I$18,1,$B$5),1,IF(K154&gt;INDEX('Pace of change parameters'!$E$19:$I$19,1,$B$5),0,(K154-INDEX('Pace of change parameters'!$E$19:$I$19,1,$B$5))/(INDEX('Pace of change parameters'!$E$18:$I$18,1,$B$5)-INDEX('Pace of change parameters'!$E$19:$I$19,1,$B$5))))</f>
        <v>0.85275467905826696</v>
      </c>
      <c r="Q154" s="57">
        <v>5.0152372867454442E-2</v>
      </c>
      <c r="R154" s="57">
        <v>3.8230365023985691E-2</v>
      </c>
      <c r="S154" s="9">
        <f>MAX(IF(INDEX('Pace of change parameters'!$E$31:$I$31,1,$B$5)=1,D154*(1+Q154),D154),L154)</f>
        <v>514219.7112030235</v>
      </c>
      <c r="T154" s="103">
        <f>IF(Q154&lt;INDEX('Pace of change parameters'!$E$24:$I$24,1,$B$5),INDEX('Pace of change parameters'!$E$24:$I$24,1,$B$5),Q154)</f>
        <v>5.0152372867454442E-2</v>
      </c>
      <c r="U154" s="132">
        <v>3.8230365023985691E-2</v>
      </c>
      <c r="V154" s="117">
        <f t="shared" si="31"/>
        <v>514219.7112030235</v>
      </c>
      <c r="W154" s="131">
        <f>IF(J154&gt;INDEX('Pace of change parameters'!$E$26:$I$26,1,$B$5),0,IF(J154&lt;INDEX('Pace of change parameters'!$E$25:$I$25,1,$B$5),1,(J154-INDEX('Pace of change parameters'!$E$26:$I$26,1,$B$5))/(INDEX('Pace of change parameters'!$E$25:$I$25,1,$B$5)-INDEX('Pace of change parameters'!$E$26:$I$26,1,$B$5))))</f>
        <v>1</v>
      </c>
      <c r="X154" s="132">
        <f>MIN(T154, T154+(INDEX('Pace of change parameters'!$E$27:$I$27,1,$B$5)-T154)*(1-W154))</f>
        <v>5.0152372867454442E-2</v>
      </c>
      <c r="Y154" s="132">
        <v>3.8230365023985691E-2</v>
      </c>
      <c r="Z154" s="108">
        <f t="shared" si="32"/>
        <v>514219.7112030235</v>
      </c>
      <c r="AA154" s="97">
        <f>MIN(VLOOKUP(A154,'2019-20 disagg'!$A$12:$BB$220,54,FALSE),-2.5%)</f>
        <v>-2.6095021820486064E-2</v>
      </c>
      <c r="AB154" s="99">
        <f t="shared" si="24"/>
        <v>512062.42429315241</v>
      </c>
      <c r="AC154" s="99">
        <f>MAX(IF(INDEX('Pace of change parameters'!$E$29:$I$29,1,$B$5)=1,MAX(AB154,Z154),Z154),L154)</f>
        <v>514219.7112030235</v>
      </c>
      <c r="AD154" s="97">
        <f t="shared" si="25"/>
        <v>5.0152372867454442E-2</v>
      </c>
      <c r="AE154" s="146">
        <v>3.8230365023985691E-2</v>
      </c>
      <c r="AF154" s="56">
        <f t="shared" si="33"/>
        <v>514219.7112030235</v>
      </c>
      <c r="AG154" s="56">
        <v>1824.1361051272663</v>
      </c>
      <c r="AH154" s="16">
        <f t="shared" si="26"/>
        <v>5.0152372867454442E-2</v>
      </c>
      <c r="AI154" s="16">
        <f t="shared" si="27"/>
        <v>3.8230365023985691E-2</v>
      </c>
      <c r="AJ154" s="56"/>
      <c r="AK154" s="56">
        <v>525782.7362689249</v>
      </c>
      <c r="AL154" s="56">
        <v>1865.1546251249849</v>
      </c>
      <c r="AM154" s="16">
        <f t="shared" si="34"/>
        <v>-2.1992021168202092E-2</v>
      </c>
      <c r="AN154" s="58">
        <f t="shared" si="34"/>
        <v>-2.1992021168202092E-2</v>
      </c>
      <c r="AP154" s="56">
        <f t="shared" si="28"/>
        <v>0</v>
      </c>
      <c r="AQ154" s="56">
        <f t="shared" si="29"/>
        <v>0</v>
      </c>
    </row>
    <row r="155" spans="1:43" x14ac:dyDescent="0.2">
      <c r="A155" s="156" t="s">
        <v>355</v>
      </c>
      <c r="B155" s="156" t="s">
        <v>356</v>
      </c>
      <c r="D155" s="68">
        <f>VLOOKUP(A155,'2019-20 disagg'!A155:AZ363,43,FALSE)</f>
        <v>512330</v>
      </c>
      <c r="E155" s="73">
        <v>1586.7771527245059</v>
      </c>
      <c r="F155" s="55"/>
      <c r="G155" s="88">
        <v>528109.28782048542</v>
      </c>
      <c r="H155" s="81">
        <v>1614.4157222192869</v>
      </c>
      <c r="I155" s="90"/>
      <c r="J155" s="103">
        <f t="shared" si="30"/>
        <v>-2.9878830356509622E-2</v>
      </c>
      <c r="K155" s="126">
        <f t="shared" si="30"/>
        <v>-1.7119858977083791E-2</v>
      </c>
      <c r="L155" s="56">
        <v>533514</v>
      </c>
      <c r="M155" s="103">
        <v>3.798114005994413E-2</v>
      </c>
      <c r="N155" s="97">
        <f>INDEX('Pace of change parameters'!$E$22:$I$22,1,$B$5)</f>
        <v>2.4506891160555818E-2</v>
      </c>
      <c r="O155" s="108">
        <f>MAX(IF(INDEX('Pace of change parameters'!$E$30:$I$30,1,$B$5)=1,(1+M155)*D155,D155),L155)</f>
        <v>533514</v>
      </c>
      <c r="P155" s="94">
        <f>IF(K155&lt;INDEX('Pace of change parameters'!$E$18:$I$18,1,$B$5),1,IF(K155&gt;INDEX('Pace of change parameters'!$E$19:$I$19,1,$B$5),0,(K155-INDEX('Pace of change parameters'!$E$19:$I$19,1,$B$5))/(INDEX('Pace of change parameters'!$E$18:$I$18,1,$B$5)-INDEX('Pace of change parameters'!$E$19:$I$19,1,$B$5))))</f>
        <v>0.77432332851439556</v>
      </c>
      <c r="Q155" s="57">
        <v>5.0606299480936867E-2</v>
      </c>
      <c r="R155" s="57">
        <v>3.6968160763258595E-2</v>
      </c>
      <c r="S155" s="9">
        <f>MAX(IF(INDEX('Pace of change parameters'!$E$31:$I$31,1,$B$5)=1,D155*(1+Q155),D155),L155)</f>
        <v>538257.12541306834</v>
      </c>
      <c r="T155" s="103">
        <f>IF(Q155&lt;INDEX('Pace of change parameters'!$E$24:$I$24,1,$B$5),INDEX('Pace of change parameters'!$E$24:$I$24,1,$B$5),Q155)</f>
        <v>5.0606299480936867E-2</v>
      </c>
      <c r="U155" s="132">
        <v>3.6968160763258595E-2</v>
      </c>
      <c r="V155" s="117">
        <f t="shared" si="31"/>
        <v>538257.12541306834</v>
      </c>
      <c r="W155" s="131">
        <f>IF(J155&gt;INDEX('Pace of change parameters'!$E$26:$I$26,1,$B$5),0,IF(J155&lt;INDEX('Pace of change parameters'!$E$25:$I$25,1,$B$5),1,(J155-INDEX('Pace of change parameters'!$E$26:$I$26,1,$B$5))/(INDEX('Pace of change parameters'!$E$25:$I$25,1,$B$5)-INDEX('Pace of change parameters'!$E$26:$I$26,1,$B$5))))</f>
        <v>1</v>
      </c>
      <c r="X155" s="132">
        <f>MIN(T155, T155+(INDEX('Pace of change parameters'!$E$27:$I$27,1,$B$5)-T155)*(1-W155))</f>
        <v>5.0606299480936867E-2</v>
      </c>
      <c r="Y155" s="132">
        <v>3.6968160763258595E-2</v>
      </c>
      <c r="Z155" s="108">
        <f t="shared" si="32"/>
        <v>538257.12541306834</v>
      </c>
      <c r="AA155" s="97">
        <f>MIN(VLOOKUP(A155,'2019-20 disagg'!$A$12:$BB$220,54,FALSE),-2.5%)</f>
        <v>-2.5000000000000001E-2</v>
      </c>
      <c r="AB155" s="99">
        <f t="shared" si="24"/>
        <v>535986.37790203991</v>
      </c>
      <c r="AC155" s="99">
        <f>MAX(IF(INDEX('Pace of change parameters'!$E$29:$I$29,1,$B$5)=1,MAX(AB155,Z155),Z155),L155)</f>
        <v>538257.12541306834</v>
      </c>
      <c r="AD155" s="97">
        <f t="shared" si="25"/>
        <v>5.0606299480936867E-2</v>
      </c>
      <c r="AE155" s="146">
        <v>3.6968160763258595E-2</v>
      </c>
      <c r="AF155" s="56">
        <f t="shared" si="33"/>
        <v>538257.12541306834</v>
      </c>
      <c r="AG155" s="56">
        <v>1645.4373856018906</v>
      </c>
      <c r="AH155" s="16">
        <f t="shared" si="26"/>
        <v>5.0606299480936867E-2</v>
      </c>
      <c r="AI155" s="16">
        <f t="shared" si="27"/>
        <v>3.6968160763258151E-2</v>
      </c>
      <c r="AJ155" s="56"/>
      <c r="AK155" s="56">
        <v>549729.61836106656</v>
      </c>
      <c r="AL155" s="56">
        <v>1680.5084843601348</v>
      </c>
      <c r="AM155" s="16">
        <f t="shared" si="34"/>
        <v>-2.0869337515780351E-2</v>
      </c>
      <c r="AN155" s="58">
        <f t="shared" si="34"/>
        <v>-2.0869337515780462E-2</v>
      </c>
      <c r="AP155" s="56">
        <f t="shared" si="28"/>
        <v>0</v>
      </c>
      <c r="AQ155" s="56">
        <f t="shared" si="29"/>
        <v>0</v>
      </c>
    </row>
    <row r="156" spans="1:43" x14ac:dyDescent="0.2">
      <c r="A156" s="156" t="s">
        <v>357</v>
      </c>
      <c r="B156" s="156" t="s">
        <v>358</v>
      </c>
      <c r="D156" s="68">
        <f>VLOOKUP(A156,'2019-20 disagg'!A156:AZ364,43,FALSE)</f>
        <v>488870</v>
      </c>
      <c r="E156" s="73">
        <v>1508.6471791376844</v>
      </c>
      <c r="F156" s="55"/>
      <c r="G156" s="88">
        <v>502975.08440823376</v>
      </c>
      <c r="H156" s="81">
        <v>1532.6648986559553</v>
      </c>
      <c r="I156" s="90"/>
      <c r="J156" s="103">
        <f t="shared" si="30"/>
        <v>-2.8043306409161084E-2</v>
      </c>
      <c r="K156" s="126">
        <f t="shared" si="30"/>
        <v>-1.5670561477158396E-2</v>
      </c>
      <c r="L156" s="56">
        <v>508976</v>
      </c>
      <c r="M156" s="103">
        <v>3.7548585846126636E-2</v>
      </c>
      <c r="N156" s="97">
        <f>INDEX('Pace of change parameters'!$E$22:$I$22,1,$B$5)</f>
        <v>2.4506891160555818E-2</v>
      </c>
      <c r="O156" s="108">
        <f>MAX(IF(INDEX('Pace of change parameters'!$E$30:$I$30,1,$B$5)=1,(1+M156)*D156,D156),L156)</f>
        <v>508976</v>
      </c>
      <c r="P156" s="94">
        <f>IF(K156&lt;INDEX('Pace of change parameters'!$E$18:$I$18,1,$B$5),1,IF(K156&gt;INDEX('Pace of change parameters'!$E$19:$I$19,1,$B$5),0,(K156-INDEX('Pace of change parameters'!$E$19:$I$19,1,$B$5))/(INDEX('Pace of change parameters'!$E$18:$I$18,1,$B$5)-INDEX('Pace of change parameters'!$E$19:$I$19,1,$B$5))))</f>
        <v>0.72678467564577476</v>
      </c>
      <c r="Q156" s="57">
        <v>4.9393700502743165E-2</v>
      </c>
      <c r="R156" s="57">
        <v>3.6203116048563411E-2</v>
      </c>
      <c r="S156" s="9">
        <f>MAX(IF(INDEX('Pace of change parameters'!$E$31:$I$31,1,$B$5)=1,D156*(1+Q156),D156),L156)</f>
        <v>513017.09836477606</v>
      </c>
      <c r="T156" s="103">
        <f>IF(Q156&lt;INDEX('Pace of change parameters'!$E$24:$I$24,1,$B$5),INDEX('Pace of change parameters'!$E$24:$I$24,1,$B$5),Q156)</f>
        <v>4.9393700502743165E-2</v>
      </c>
      <c r="U156" s="132">
        <v>3.6203116048563411E-2</v>
      </c>
      <c r="V156" s="117">
        <f t="shared" si="31"/>
        <v>513017.09836477606</v>
      </c>
      <c r="W156" s="131">
        <f>IF(J156&gt;INDEX('Pace of change parameters'!$E$26:$I$26,1,$B$5),0,IF(J156&lt;INDEX('Pace of change parameters'!$E$25:$I$25,1,$B$5),1,(J156-INDEX('Pace of change parameters'!$E$26:$I$26,1,$B$5))/(INDEX('Pace of change parameters'!$E$25:$I$25,1,$B$5)-INDEX('Pace of change parameters'!$E$26:$I$26,1,$B$5))))</f>
        <v>1</v>
      </c>
      <c r="X156" s="132">
        <f>MIN(T156, T156+(INDEX('Pace of change parameters'!$E$27:$I$27,1,$B$5)-T156)*(1-W156))</f>
        <v>4.9393700502743165E-2</v>
      </c>
      <c r="Y156" s="132">
        <v>3.6203116048563411E-2</v>
      </c>
      <c r="Z156" s="108">
        <f t="shared" si="32"/>
        <v>513017.09836477606</v>
      </c>
      <c r="AA156" s="97">
        <f>MIN(VLOOKUP(A156,'2019-20 disagg'!$A$12:$BB$220,54,FALSE),-2.5%)</f>
        <v>-2.5000000000000001E-2</v>
      </c>
      <c r="AB156" s="99">
        <f t="shared" si="24"/>
        <v>510442.25896902563</v>
      </c>
      <c r="AC156" s="99">
        <f>MAX(IF(INDEX('Pace of change parameters'!$E$29:$I$29,1,$B$5)=1,MAX(AB156,Z156),Z156),L156)</f>
        <v>513017.09836477606</v>
      </c>
      <c r="AD156" s="97">
        <f t="shared" si="25"/>
        <v>4.9393700502743165E-2</v>
      </c>
      <c r="AE156" s="146">
        <v>3.6203116048563411E-2</v>
      </c>
      <c r="AF156" s="56">
        <f t="shared" si="33"/>
        <v>513017.09836477606</v>
      </c>
      <c r="AG156" s="56">
        <v>1563.2649080403439</v>
      </c>
      <c r="AH156" s="16">
        <f t="shared" si="26"/>
        <v>4.9393700502743165E-2</v>
      </c>
      <c r="AI156" s="16">
        <f t="shared" si="27"/>
        <v>3.6203116048563411E-2</v>
      </c>
      <c r="AJ156" s="56"/>
      <c r="AK156" s="56">
        <v>523530.52201951348</v>
      </c>
      <c r="AL156" s="56">
        <v>1595.3013963273797</v>
      </c>
      <c r="AM156" s="16">
        <f t="shared" si="34"/>
        <v>-2.0081777876449269E-2</v>
      </c>
      <c r="AN156" s="58">
        <f t="shared" si="34"/>
        <v>-2.0081777876449269E-2</v>
      </c>
      <c r="AP156" s="56">
        <f t="shared" si="28"/>
        <v>0</v>
      </c>
      <c r="AQ156" s="56">
        <f t="shared" si="29"/>
        <v>0</v>
      </c>
    </row>
    <row r="157" spans="1:43" x14ac:dyDescent="0.2">
      <c r="A157" s="156" t="s">
        <v>359</v>
      </c>
      <c r="B157" s="156" t="s">
        <v>360</v>
      </c>
      <c r="D157" s="68">
        <f>VLOOKUP(A157,'2019-20 disagg'!A157:AZ365,43,FALSE)</f>
        <v>496478</v>
      </c>
      <c r="E157" s="73">
        <v>1991.5019495182053</v>
      </c>
      <c r="F157" s="55"/>
      <c r="G157" s="88">
        <v>482933.47844873613</v>
      </c>
      <c r="H157" s="81">
        <v>1913.2952625311179</v>
      </c>
      <c r="I157" s="90"/>
      <c r="J157" s="103">
        <f t="shared" si="30"/>
        <v>2.8046350389232089E-2</v>
      </c>
      <c r="K157" s="126">
        <f t="shared" si="30"/>
        <v>4.0875388403788238E-2</v>
      </c>
      <c r="L157" s="56">
        <v>517088</v>
      </c>
      <c r="M157" s="103">
        <v>3.7291760099487536E-2</v>
      </c>
      <c r="N157" s="97">
        <f>INDEX('Pace of change parameters'!$E$22:$I$22,1,$B$5)</f>
        <v>2.4506891160555818E-2</v>
      </c>
      <c r="O157" s="108">
        <f>MAX(IF(INDEX('Pace of change parameters'!$E$30:$I$30,1,$B$5)=1,(1+M157)*D157,D157),L157)</f>
        <v>517088</v>
      </c>
      <c r="P157" s="94">
        <f>IF(K157&lt;INDEX('Pace of change parameters'!$E$18:$I$18,1,$B$5),1,IF(K157&gt;INDEX('Pace of change parameters'!$E$19:$I$19,1,$B$5),0,(K157-INDEX('Pace of change parameters'!$E$19:$I$19,1,$B$5))/(INDEX('Pace of change parameters'!$E$18:$I$18,1,$B$5)-INDEX('Pace of change parameters'!$E$19:$I$19,1,$B$5))))</f>
        <v>0</v>
      </c>
      <c r="Q157" s="57">
        <v>3.7291760099487536E-2</v>
      </c>
      <c r="R157" s="57">
        <v>2.450689116055571E-2</v>
      </c>
      <c r="S157" s="9">
        <f>MAX(IF(INDEX('Pace of change parameters'!$E$31:$I$31,1,$B$5)=1,D157*(1+Q157),D157),L157)</f>
        <v>517088</v>
      </c>
      <c r="T157" s="103">
        <f>IF(Q157&lt;INDEX('Pace of change parameters'!$E$24:$I$24,1,$B$5),INDEX('Pace of change parameters'!$E$24:$I$24,1,$B$5),Q157)</f>
        <v>3.7291760099487536E-2</v>
      </c>
      <c r="U157" s="132">
        <v>2.450689116055571E-2</v>
      </c>
      <c r="V157" s="117">
        <f t="shared" si="31"/>
        <v>517088</v>
      </c>
      <c r="W157" s="131">
        <f>IF(J157&gt;INDEX('Pace of change parameters'!$E$26:$I$26,1,$B$5),0,IF(J157&lt;INDEX('Pace of change parameters'!$E$25:$I$25,1,$B$5),1,(J157-INDEX('Pace of change parameters'!$E$26:$I$26,1,$B$5))/(INDEX('Pace of change parameters'!$E$25:$I$25,1,$B$5)-INDEX('Pace of change parameters'!$E$26:$I$26,1,$B$5))))</f>
        <v>1</v>
      </c>
      <c r="X157" s="132">
        <f>MIN(T157, T157+(INDEX('Pace of change parameters'!$E$27:$I$27,1,$B$5)-T157)*(1-W157))</f>
        <v>3.7291760099487536E-2</v>
      </c>
      <c r="Y157" s="132">
        <v>2.450689116055571E-2</v>
      </c>
      <c r="Z157" s="108">
        <f t="shared" si="32"/>
        <v>517088</v>
      </c>
      <c r="AA157" s="97">
        <f>MIN(VLOOKUP(A157,'2019-20 disagg'!$A$12:$BB$220,54,FALSE),-2.5%)</f>
        <v>-2.5000000000000001E-2</v>
      </c>
      <c r="AB157" s="99">
        <f t="shared" si="24"/>
        <v>490328.10408498498</v>
      </c>
      <c r="AC157" s="99">
        <f>MAX(IF(INDEX('Pace of change parameters'!$E$29:$I$29,1,$B$5)=1,MAX(AB157,Z157),Z157),L157)</f>
        <v>517088</v>
      </c>
      <c r="AD157" s="97">
        <f t="shared" si="25"/>
        <v>4.1512413440273344E-2</v>
      </c>
      <c r="AE157" s="146">
        <v>2.8675523939842629E-2</v>
      </c>
      <c r="AF157" s="56">
        <f t="shared" si="33"/>
        <v>517088</v>
      </c>
      <c r="AG157" s="56">
        <v>2048.6093113478573</v>
      </c>
      <c r="AH157" s="16">
        <f t="shared" si="26"/>
        <v>4.1512413440273344E-2</v>
      </c>
      <c r="AI157" s="16">
        <f t="shared" si="27"/>
        <v>2.8675523939842407E-2</v>
      </c>
      <c r="AJ157" s="56"/>
      <c r="AK157" s="56">
        <v>502900.61957434355</v>
      </c>
      <c r="AL157" s="56">
        <v>1992.4014712053013</v>
      </c>
      <c r="AM157" s="16">
        <f t="shared" si="34"/>
        <v>2.8211101504835412E-2</v>
      </c>
      <c r="AN157" s="58">
        <f t="shared" si="34"/>
        <v>2.8211101504835412E-2</v>
      </c>
      <c r="AP157" s="56">
        <f t="shared" si="28"/>
        <v>1</v>
      </c>
      <c r="AQ157" s="56">
        <f t="shared" si="29"/>
        <v>0</v>
      </c>
    </row>
    <row r="158" spans="1:43" x14ac:dyDescent="0.2">
      <c r="A158" s="156" t="s">
        <v>361</v>
      </c>
      <c r="B158" s="156" t="s">
        <v>362</v>
      </c>
      <c r="D158" s="68">
        <f>VLOOKUP(A158,'2019-20 disagg'!A158:AZ366,43,FALSE)</f>
        <v>319946</v>
      </c>
      <c r="E158" s="73">
        <v>1486.8733649287597</v>
      </c>
      <c r="F158" s="55"/>
      <c r="G158" s="88">
        <v>325042.15796612529</v>
      </c>
      <c r="H158" s="81">
        <v>1491.0289252082348</v>
      </c>
      <c r="I158" s="90"/>
      <c r="J158" s="103">
        <f t="shared" si="30"/>
        <v>-1.5678452290660672E-2</v>
      </c>
      <c r="K158" s="126">
        <f t="shared" si="30"/>
        <v>-2.7870420279705321E-3</v>
      </c>
      <c r="L158" s="56">
        <v>333124</v>
      </c>
      <c r="M158" s="103">
        <v>3.7924598698950485E-2</v>
      </c>
      <c r="N158" s="97">
        <f>INDEX('Pace of change parameters'!$E$22:$I$22,1,$B$5)</f>
        <v>2.4506891160555818E-2</v>
      </c>
      <c r="O158" s="108">
        <f>MAX(IF(INDEX('Pace of change parameters'!$E$30:$I$30,1,$B$5)=1,(1+M158)*D158,D158),L158)</f>
        <v>333124</v>
      </c>
      <c r="P158" s="94">
        <f>IF(K158&lt;INDEX('Pace of change parameters'!$E$18:$I$18,1,$B$5),1,IF(K158&gt;INDEX('Pace of change parameters'!$E$19:$I$19,1,$B$5),0,(K158-INDEX('Pace of change parameters'!$E$19:$I$19,1,$B$5))/(INDEX('Pace of change parameters'!$E$18:$I$18,1,$B$5)-INDEX('Pace of change parameters'!$E$19:$I$19,1,$B$5))))</f>
        <v>0.30419017116854075</v>
      </c>
      <c r="Q158" s="57">
        <v>4.2884077595235492E-2</v>
      </c>
      <c r="R158" s="57">
        <v>2.9402256693060291E-2</v>
      </c>
      <c r="S158" s="9">
        <f>MAX(IF(INDEX('Pace of change parameters'!$E$31:$I$31,1,$B$5)=1,D158*(1+Q158),D158),L158)</f>
        <v>333666.58909028524</v>
      </c>
      <c r="T158" s="103">
        <f>IF(Q158&lt;INDEX('Pace of change parameters'!$E$24:$I$24,1,$B$5),INDEX('Pace of change parameters'!$E$24:$I$24,1,$B$5),Q158)</f>
        <v>4.2884077595235492E-2</v>
      </c>
      <c r="U158" s="132">
        <v>2.9402256693060291E-2</v>
      </c>
      <c r="V158" s="117">
        <f t="shared" si="31"/>
        <v>333666.58909028524</v>
      </c>
      <c r="W158" s="131">
        <f>IF(J158&gt;INDEX('Pace of change parameters'!$E$26:$I$26,1,$B$5),0,IF(J158&lt;INDEX('Pace of change parameters'!$E$25:$I$25,1,$B$5),1,(J158-INDEX('Pace of change parameters'!$E$26:$I$26,1,$B$5))/(INDEX('Pace of change parameters'!$E$25:$I$25,1,$B$5)-INDEX('Pace of change parameters'!$E$26:$I$26,1,$B$5))))</f>
        <v>1</v>
      </c>
      <c r="X158" s="132">
        <f>MIN(T158, T158+(INDEX('Pace of change parameters'!$E$27:$I$27,1,$B$5)-T158)*(1-W158))</f>
        <v>4.2884077595235492E-2</v>
      </c>
      <c r="Y158" s="132">
        <v>2.9402256693060291E-2</v>
      </c>
      <c r="Z158" s="108">
        <f t="shared" si="32"/>
        <v>333666.58909028524</v>
      </c>
      <c r="AA158" s="97">
        <f>MIN(VLOOKUP(A158,'2019-20 disagg'!$A$12:$BB$220,54,FALSE),-2.5%)</f>
        <v>-2.5000000000000001E-2</v>
      </c>
      <c r="AB158" s="99">
        <f t="shared" si="24"/>
        <v>329893.58390684973</v>
      </c>
      <c r="AC158" s="99">
        <f>MAX(IF(INDEX('Pace of change parameters'!$E$29:$I$29,1,$B$5)=1,MAX(AB158,Z158),Z158),L158)</f>
        <v>333666.58909028524</v>
      </c>
      <c r="AD158" s="97">
        <f t="shared" si="25"/>
        <v>4.2884077595235492E-2</v>
      </c>
      <c r="AE158" s="146">
        <v>2.9402256693060291E-2</v>
      </c>
      <c r="AF158" s="56">
        <f t="shared" si="33"/>
        <v>333666.58909028524</v>
      </c>
      <c r="AG158" s="56">
        <v>1530.5907972744694</v>
      </c>
      <c r="AH158" s="16">
        <f t="shared" si="26"/>
        <v>4.2884077595235492E-2</v>
      </c>
      <c r="AI158" s="16">
        <f t="shared" si="27"/>
        <v>2.9402256693060291E-2</v>
      </c>
      <c r="AJ158" s="56"/>
      <c r="AK158" s="56">
        <v>338352.39375061513</v>
      </c>
      <c r="AL158" s="56">
        <v>1552.0854560908667</v>
      </c>
      <c r="AM158" s="16">
        <f t="shared" si="34"/>
        <v>-1.3848888752900579E-2</v>
      </c>
      <c r="AN158" s="58">
        <f t="shared" si="34"/>
        <v>-1.3848888752900579E-2</v>
      </c>
      <c r="AP158" s="56">
        <f t="shared" si="28"/>
        <v>0</v>
      </c>
      <c r="AQ158" s="56">
        <f t="shared" si="29"/>
        <v>0</v>
      </c>
    </row>
    <row r="159" spans="1:43" x14ac:dyDescent="0.2">
      <c r="A159" s="156" t="s">
        <v>363</v>
      </c>
      <c r="B159" s="156" t="s">
        <v>364</v>
      </c>
      <c r="D159" s="68">
        <f>VLOOKUP(A159,'2019-20 disagg'!A159:AZ367,43,FALSE)</f>
        <v>719694</v>
      </c>
      <c r="E159" s="73">
        <v>1796.1895465399791</v>
      </c>
      <c r="F159" s="55"/>
      <c r="G159" s="88">
        <v>729282.83792472107</v>
      </c>
      <c r="H159" s="81">
        <v>1803.2935735076105</v>
      </c>
      <c r="I159" s="90"/>
      <c r="J159" s="103">
        <f t="shared" si="30"/>
        <v>-1.314831150011353E-2</v>
      </c>
      <c r="K159" s="126">
        <f t="shared" si="30"/>
        <v>-3.9394733458808506E-3</v>
      </c>
      <c r="L159" s="56">
        <v>749382</v>
      </c>
      <c r="M159" s="103">
        <v>3.4067110045052251E-2</v>
      </c>
      <c r="N159" s="97">
        <f>INDEX('Pace of change parameters'!$E$22:$I$22,1,$B$5)</f>
        <v>2.4506891160555818E-2</v>
      </c>
      <c r="O159" s="108">
        <f>MAX(IF(INDEX('Pace of change parameters'!$E$30:$I$30,1,$B$5)=1,(1+M159)*D159,D159),L159)</f>
        <v>749382</v>
      </c>
      <c r="P159" s="94">
        <f>IF(K159&lt;INDEX('Pace of change parameters'!$E$18:$I$18,1,$B$5),1,IF(K159&gt;INDEX('Pace of change parameters'!$E$19:$I$19,1,$B$5),0,(K159-INDEX('Pace of change parameters'!$E$19:$I$19,1,$B$5))/(INDEX('Pace of change parameters'!$E$18:$I$18,1,$B$5)-INDEX('Pace of change parameters'!$E$19:$I$19,1,$B$5))))</f>
        <v>0.34199126609893699</v>
      </c>
      <c r="Q159" s="57">
        <v>3.9622170690325698E-2</v>
      </c>
      <c r="R159" s="57">
        <v>3.0010593828025289E-2</v>
      </c>
      <c r="S159" s="9">
        <f>MAX(IF(INDEX('Pace of change parameters'!$E$31:$I$31,1,$B$5)=1,D159*(1+Q159),D159),L159)</f>
        <v>749382</v>
      </c>
      <c r="T159" s="103">
        <f>IF(Q159&lt;INDEX('Pace of change parameters'!$E$24:$I$24,1,$B$5),INDEX('Pace of change parameters'!$E$24:$I$24,1,$B$5),Q159)</f>
        <v>3.9622170690325698E-2</v>
      </c>
      <c r="U159" s="132">
        <v>3.0010593828025289E-2</v>
      </c>
      <c r="V159" s="117">
        <f t="shared" si="31"/>
        <v>749382</v>
      </c>
      <c r="W159" s="131">
        <f>IF(J159&gt;INDEX('Pace of change parameters'!$E$26:$I$26,1,$B$5),0,IF(J159&lt;INDEX('Pace of change parameters'!$E$25:$I$25,1,$B$5),1,(J159-INDEX('Pace of change parameters'!$E$26:$I$26,1,$B$5))/(INDEX('Pace of change parameters'!$E$25:$I$25,1,$B$5)-INDEX('Pace of change parameters'!$E$26:$I$26,1,$B$5))))</f>
        <v>1</v>
      </c>
      <c r="X159" s="132">
        <f>MIN(T159, T159+(INDEX('Pace of change parameters'!$E$27:$I$27,1,$B$5)-T159)*(1-W159))</f>
        <v>3.9622170690325698E-2</v>
      </c>
      <c r="Y159" s="132">
        <v>3.0010593828025289E-2</v>
      </c>
      <c r="Z159" s="108">
        <f t="shared" si="32"/>
        <v>749382</v>
      </c>
      <c r="AA159" s="97">
        <f>MIN(VLOOKUP(A159,'2019-20 disagg'!$A$12:$BB$220,54,FALSE),-2.5%)</f>
        <v>-2.5000000000000001E-2</v>
      </c>
      <c r="AB159" s="99">
        <f t="shared" si="24"/>
        <v>740655.53966928495</v>
      </c>
      <c r="AC159" s="99">
        <f>MAX(IF(INDEX('Pace of change parameters'!$E$29:$I$29,1,$B$5)=1,MAX(AB159,Z159),Z159),L159)</f>
        <v>749382</v>
      </c>
      <c r="AD159" s="97">
        <f t="shared" si="25"/>
        <v>4.1250864950937549E-2</v>
      </c>
      <c r="AE159" s="146">
        <v>3.1624230387375718E-2</v>
      </c>
      <c r="AF159" s="56">
        <f t="shared" si="33"/>
        <v>749382</v>
      </c>
      <c r="AG159" s="56">
        <v>1852.9926585791552</v>
      </c>
      <c r="AH159" s="16">
        <f t="shared" si="26"/>
        <v>4.1250864950937549E-2</v>
      </c>
      <c r="AI159" s="16">
        <f t="shared" si="27"/>
        <v>3.1624230387375718E-2</v>
      </c>
      <c r="AJ159" s="56"/>
      <c r="AK159" s="56">
        <v>759646.70735311275</v>
      </c>
      <c r="AL159" s="56">
        <v>1878.3741427458169</v>
      </c>
      <c r="AM159" s="16">
        <f t="shared" si="34"/>
        <v>-1.3512475277986491E-2</v>
      </c>
      <c r="AN159" s="58">
        <f t="shared" si="34"/>
        <v>-1.351247527798638E-2</v>
      </c>
      <c r="AP159" s="56">
        <f t="shared" si="28"/>
        <v>1</v>
      </c>
      <c r="AQ159" s="56">
        <f t="shared" si="29"/>
        <v>0</v>
      </c>
    </row>
    <row r="160" spans="1:43" x14ac:dyDescent="0.2">
      <c r="A160" s="156" t="s">
        <v>365</v>
      </c>
      <c r="B160" s="156" t="s">
        <v>366</v>
      </c>
      <c r="D160" s="68">
        <f>VLOOKUP(A160,'2019-20 disagg'!A160:AZ368,43,FALSE)</f>
        <v>611429</v>
      </c>
      <c r="E160" s="73">
        <v>1850.1070536138734</v>
      </c>
      <c r="F160" s="55"/>
      <c r="G160" s="88">
        <v>609501.23592888936</v>
      </c>
      <c r="H160" s="81">
        <v>1821.2309887051722</v>
      </c>
      <c r="I160" s="90"/>
      <c r="J160" s="103">
        <f t="shared" si="30"/>
        <v>3.162855064883896E-3</v>
      </c>
      <c r="K160" s="126">
        <f t="shared" si="30"/>
        <v>1.585524575838182E-2</v>
      </c>
      <c r="L160" s="56">
        <v>636826</v>
      </c>
      <c r="M160" s="103">
        <v>3.7469334561582412E-2</v>
      </c>
      <c r="N160" s="97">
        <f>INDEX('Pace of change parameters'!$E$22:$I$22,1,$B$5)</f>
        <v>2.4506891160555818E-2</v>
      </c>
      <c r="O160" s="108">
        <f>MAX(IF(INDEX('Pace of change parameters'!$E$30:$I$30,1,$B$5)=1,(1+M160)*D160,D160),L160)</f>
        <v>636826</v>
      </c>
      <c r="P160" s="94">
        <f>IF(K160&lt;INDEX('Pace of change parameters'!$E$18:$I$18,1,$B$5),1,IF(K160&gt;INDEX('Pace of change parameters'!$E$19:$I$19,1,$B$5),0,(K160-INDEX('Pace of change parameters'!$E$19:$I$19,1,$B$5))/(INDEX('Pace of change parameters'!$E$18:$I$18,1,$B$5)-INDEX('Pace of change parameters'!$E$19:$I$19,1,$B$5))))</f>
        <v>0</v>
      </c>
      <c r="Q160" s="57">
        <v>3.7469334561582412E-2</v>
      </c>
      <c r="R160" s="57">
        <v>2.450689116055571E-2</v>
      </c>
      <c r="S160" s="9">
        <f>MAX(IF(INDEX('Pace of change parameters'!$E$31:$I$31,1,$B$5)=1,D160*(1+Q160),D160),L160)</f>
        <v>636826</v>
      </c>
      <c r="T160" s="103">
        <f>IF(Q160&lt;INDEX('Pace of change parameters'!$E$24:$I$24,1,$B$5),INDEX('Pace of change parameters'!$E$24:$I$24,1,$B$5),Q160)</f>
        <v>3.7469334561582412E-2</v>
      </c>
      <c r="U160" s="132">
        <v>2.450689116055571E-2</v>
      </c>
      <c r="V160" s="117">
        <f t="shared" si="31"/>
        <v>636826</v>
      </c>
      <c r="W160" s="131">
        <f>IF(J160&gt;INDEX('Pace of change parameters'!$E$26:$I$26,1,$B$5),0,IF(J160&lt;INDEX('Pace of change parameters'!$E$25:$I$25,1,$B$5),1,(J160-INDEX('Pace of change parameters'!$E$26:$I$26,1,$B$5))/(INDEX('Pace of change parameters'!$E$25:$I$25,1,$B$5)-INDEX('Pace of change parameters'!$E$26:$I$26,1,$B$5))))</f>
        <v>1</v>
      </c>
      <c r="X160" s="132">
        <f>MIN(T160, T160+(INDEX('Pace of change parameters'!$E$27:$I$27,1,$B$5)-T160)*(1-W160))</f>
        <v>3.7469334561582412E-2</v>
      </c>
      <c r="Y160" s="132">
        <v>2.450689116055571E-2</v>
      </c>
      <c r="Z160" s="108">
        <f t="shared" si="32"/>
        <v>636826</v>
      </c>
      <c r="AA160" s="97">
        <f>MIN(VLOOKUP(A160,'2019-20 disagg'!$A$12:$BB$220,54,FALSE),-2.5%)</f>
        <v>-2.5000000000000001E-2</v>
      </c>
      <c r="AB160" s="99">
        <f t="shared" si="24"/>
        <v>618798.30268858455</v>
      </c>
      <c r="AC160" s="99">
        <f>MAX(IF(INDEX('Pace of change parameters'!$E$29:$I$29,1,$B$5)=1,MAX(AB160,Z160),Z160),L160)</f>
        <v>636826</v>
      </c>
      <c r="AD160" s="97">
        <f t="shared" si="25"/>
        <v>4.1537120417906248E-2</v>
      </c>
      <c r="AE160" s="146">
        <v>2.8523852918109993E-2</v>
      </c>
      <c r="AF160" s="56">
        <f t="shared" si="33"/>
        <v>636826</v>
      </c>
      <c r="AG160" s="56">
        <v>1902.8792350939134</v>
      </c>
      <c r="AH160" s="16">
        <f t="shared" si="26"/>
        <v>4.1537120417906248E-2</v>
      </c>
      <c r="AI160" s="16">
        <f t="shared" si="27"/>
        <v>2.8523852918109993E-2</v>
      </c>
      <c r="AJ160" s="56"/>
      <c r="AK160" s="56">
        <v>634664.92583444575</v>
      </c>
      <c r="AL160" s="56">
        <v>1896.4217990672262</v>
      </c>
      <c r="AM160" s="16">
        <f t="shared" si="34"/>
        <v>3.4050631720554669E-3</v>
      </c>
      <c r="AN160" s="58">
        <f t="shared" si="34"/>
        <v>3.405063172055689E-3</v>
      </c>
      <c r="AP160" s="56">
        <f t="shared" si="28"/>
        <v>1</v>
      </c>
      <c r="AQ160" s="56">
        <f t="shared" si="29"/>
        <v>0</v>
      </c>
    </row>
    <row r="161" spans="1:43" x14ac:dyDescent="0.2">
      <c r="A161" s="156" t="s">
        <v>367</v>
      </c>
      <c r="B161" s="156" t="s">
        <v>368</v>
      </c>
      <c r="D161" s="68">
        <f>VLOOKUP(A161,'2019-20 disagg'!A161:AZ369,43,FALSE)</f>
        <v>351403</v>
      </c>
      <c r="E161" s="73">
        <v>1513.3805936885242</v>
      </c>
      <c r="F161" s="55"/>
      <c r="G161" s="88">
        <v>354910.57087043818</v>
      </c>
      <c r="H161" s="81">
        <v>1510.8511781752909</v>
      </c>
      <c r="I161" s="90"/>
      <c r="J161" s="103">
        <f t="shared" si="30"/>
        <v>-9.8829709744504557E-3</v>
      </c>
      <c r="K161" s="126">
        <f t="shared" si="30"/>
        <v>1.6741658938825843E-3</v>
      </c>
      <c r="L161" s="56">
        <v>365787</v>
      </c>
      <c r="M161" s="103">
        <v>3.6465443550413923E-2</v>
      </c>
      <c r="N161" s="97">
        <f>INDEX('Pace of change parameters'!$E$22:$I$22,1,$B$5)</f>
        <v>2.4506891160555818E-2</v>
      </c>
      <c r="O161" s="108">
        <f>MAX(IF(INDEX('Pace of change parameters'!$E$30:$I$30,1,$B$5)=1,(1+M161)*D161,D161),L161)</f>
        <v>365787</v>
      </c>
      <c r="P161" s="94">
        <f>IF(K161&lt;INDEX('Pace of change parameters'!$E$18:$I$18,1,$B$5),1,IF(K161&gt;INDEX('Pace of change parameters'!$E$19:$I$19,1,$B$5),0,(K161-INDEX('Pace of change parameters'!$E$19:$I$19,1,$B$5))/(INDEX('Pace of change parameters'!$E$18:$I$18,1,$B$5)-INDEX('Pace of change parameters'!$E$19:$I$19,1,$B$5))))</f>
        <v>0.15785733420260822</v>
      </c>
      <c r="Q161" s="57">
        <v>3.9035511797312905E-2</v>
      </c>
      <c r="R161" s="57">
        <v>2.7047306420982853E-2</v>
      </c>
      <c r="S161" s="9">
        <f>MAX(IF(INDEX('Pace of change parameters'!$E$31:$I$31,1,$B$5)=1,D161*(1+Q161),D161),L161)</f>
        <v>365787</v>
      </c>
      <c r="T161" s="103">
        <f>IF(Q161&lt;INDEX('Pace of change parameters'!$E$24:$I$24,1,$B$5),INDEX('Pace of change parameters'!$E$24:$I$24,1,$B$5),Q161)</f>
        <v>3.9035511797312905E-2</v>
      </c>
      <c r="U161" s="132">
        <v>2.7047306420982853E-2</v>
      </c>
      <c r="V161" s="117">
        <f t="shared" si="31"/>
        <v>365787</v>
      </c>
      <c r="W161" s="131">
        <f>IF(J161&gt;INDEX('Pace of change parameters'!$E$26:$I$26,1,$B$5),0,IF(J161&lt;INDEX('Pace of change parameters'!$E$25:$I$25,1,$B$5),1,(J161-INDEX('Pace of change parameters'!$E$26:$I$26,1,$B$5))/(INDEX('Pace of change parameters'!$E$25:$I$25,1,$B$5)-INDEX('Pace of change parameters'!$E$26:$I$26,1,$B$5))))</f>
        <v>1</v>
      </c>
      <c r="X161" s="132">
        <f>MIN(T161, T161+(INDEX('Pace of change parameters'!$E$27:$I$27,1,$B$5)-T161)*(1-W161))</f>
        <v>3.9035511797312905E-2</v>
      </c>
      <c r="Y161" s="132">
        <v>2.7047306420982853E-2</v>
      </c>
      <c r="Z161" s="108">
        <f t="shared" si="32"/>
        <v>365787</v>
      </c>
      <c r="AA161" s="97">
        <f>MIN(VLOOKUP(A161,'2019-20 disagg'!$A$12:$BB$220,54,FALSE),-2.5%)</f>
        <v>-2.5000000000000001E-2</v>
      </c>
      <c r="AB161" s="99">
        <f t="shared" si="24"/>
        <v>360238.55305780773</v>
      </c>
      <c r="AC161" s="99">
        <f>MAX(IF(INDEX('Pace of change parameters'!$E$29:$I$29,1,$B$5)=1,MAX(AB161,Z161),Z161),L161)</f>
        <v>365787</v>
      </c>
      <c r="AD161" s="97">
        <f t="shared" si="25"/>
        <v>4.0933059763291757E-2</v>
      </c>
      <c r="AE161" s="146">
        <v>2.8922960818869692E-2</v>
      </c>
      <c r="AF161" s="56">
        <f t="shared" si="33"/>
        <v>365787</v>
      </c>
      <c r="AG161" s="56">
        <v>1557.1520413038152</v>
      </c>
      <c r="AH161" s="16">
        <f t="shared" si="26"/>
        <v>4.0933059763291757E-2</v>
      </c>
      <c r="AI161" s="16">
        <f t="shared" si="27"/>
        <v>2.8922960818869692E-2</v>
      </c>
      <c r="AJ161" s="56"/>
      <c r="AK161" s="56">
        <v>369475.43903364899</v>
      </c>
      <c r="AL161" s="56">
        <v>1572.8536938241921</v>
      </c>
      <c r="AM161" s="16">
        <f t="shared" si="34"/>
        <v>-9.9829072354470361E-3</v>
      </c>
      <c r="AN161" s="58">
        <f t="shared" si="34"/>
        <v>-9.982907235446925E-3</v>
      </c>
      <c r="AP161" s="56">
        <f t="shared" si="28"/>
        <v>1</v>
      </c>
      <c r="AQ161" s="56">
        <f t="shared" si="29"/>
        <v>0</v>
      </c>
    </row>
    <row r="162" spans="1:43" x14ac:dyDescent="0.2">
      <c r="A162" s="156" t="s">
        <v>369</v>
      </c>
      <c r="B162" s="156" t="s">
        <v>370</v>
      </c>
      <c r="D162" s="68">
        <f>VLOOKUP(A162,'2019-20 disagg'!A162:AZ370,43,FALSE)</f>
        <v>617812</v>
      </c>
      <c r="E162" s="73">
        <v>1566.5367032995307</v>
      </c>
      <c r="F162" s="55"/>
      <c r="G162" s="88">
        <v>608502.1636511992</v>
      </c>
      <c r="H162" s="81">
        <v>1523.4453018392876</v>
      </c>
      <c r="I162" s="90"/>
      <c r="J162" s="103">
        <f t="shared" si="30"/>
        <v>1.5299594487781176E-2</v>
      </c>
      <c r="K162" s="126">
        <f t="shared" si="30"/>
        <v>2.8285493025721253E-2</v>
      </c>
      <c r="L162" s="56">
        <v>643214</v>
      </c>
      <c r="M162" s="103">
        <v>3.7610552988317503E-2</v>
      </c>
      <c r="N162" s="97">
        <f>INDEX('Pace of change parameters'!$E$22:$I$22,1,$B$5)</f>
        <v>2.4506891160555818E-2</v>
      </c>
      <c r="O162" s="108">
        <f>MAX(IF(INDEX('Pace of change parameters'!$E$30:$I$30,1,$B$5)=1,(1+M162)*D162,D162),L162)</f>
        <v>643214</v>
      </c>
      <c r="P162" s="94">
        <f>IF(K162&lt;INDEX('Pace of change parameters'!$E$18:$I$18,1,$B$5),1,IF(K162&gt;INDEX('Pace of change parameters'!$E$19:$I$19,1,$B$5),0,(K162-INDEX('Pace of change parameters'!$E$19:$I$19,1,$B$5))/(INDEX('Pace of change parameters'!$E$18:$I$18,1,$B$5)-INDEX('Pace of change parameters'!$E$19:$I$19,1,$B$5))))</f>
        <v>0</v>
      </c>
      <c r="Q162" s="57">
        <v>3.7610552988317503E-2</v>
      </c>
      <c r="R162" s="57">
        <v>2.450689116055571E-2</v>
      </c>
      <c r="S162" s="9">
        <f>MAX(IF(INDEX('Pace of change parameters'!$E$31:$I$31,1,$B$5)=1,D162*(1+Q162),D162),L162)</f>
        <v>643214</v>
      </c>
      <c r="T162" s="103">
        <f>IF(Q162&lt;INDEX('Pace of change parameters'!$E$24:$I$24,1,$B$5),INDEX('Pace of change parameters'!$E$24:$I$24,1,$B$5),Q162)</f>
        <v>3.7610552988317503E-2</v>
      </c>
      <c r="U162" s="132">
        <v>2.450689116055571E-2</v>
      </c>
      <c r="V162" s="117">
        <f t="shared" si="31"/>
        <v>643214</v>
      </c>
      <c r="W162" s="131">
        <f>IF(J162&gt;INDEX('Pace of change parameters'!$E$26:$I$26,1,$B$5),0,IF(J162&lt;INDEX('Pace of change parameters'!$E$25:$I$25,1,$B$5),1,(J162-INDEX('Pace of change parameters'!$E$26:$I$26,1,$B$5))/(INDEX('Pace of change parameters'!$E$25:$I$25,1,$B$5)-INDEX('Pace of change parameters'!$E$26:$I$26,1,$B$5))))</f>
        <v>1</v>
      </c>
      <c r="X162" s="132">
        <f>MIN(T162, T162+(INDEX('Pace of change parameters'!$E$27:$I$27,1,$B$5)-T162)*(1-W162))</f>
        <v>3.7610552988317503E-2</v>
      </c>
      <c r="Y162" s="132">
        <v>2.450689116055571E-2</v>
      </c>
      <c r="Z162" s="108">
        <f t="shared" si="32"/>
        <v>643214</v>
      </c>
      <c r="AA162" s="97">
        <f>MIN(VLOOKUP(A162,'2019-20 disagg'!$A$12:$BB$220,54,FALSE),-2.5%)</f>
        <v>-2.5000000000000001E-2</v>
      </c>
      <c r="AB162" s="99">
        <f t="shared" si="24"/>
        <v>617620.03620117262</v>
      </c>
      <c r="AC162" s="99">
        <f>MAX(IF(INDEX('Pace of change parameters'!$E$29:$I$29,1,$B$5)=1,MAX(AB162,Z162),Z162),L162)</f>
        <v>643214</v>
      </c>
      <c r="AD162" s="97">
        <f t="shared" si="25"/>
        <v>4.1116067671071566E-2</v>
      </c>
      <c r="AE162" s="146">
        <v>2.7968135785721548E-2</v>
      </c>
      <c r="AF162" s="56">
        <f t="shared" si="33"/>
        <v>643214</v>
      </c>
      <c r="AG162" s="56">
        <v>1610.3498145307283</v>
      </c>
      <c r="AH162" s="16">
        <f t="shared" si="26"/>
        <v>4.1116067671071566E-2</v>
      </c>
      <c r="AI162" s="16">
        <f t="shared" si="27"/>
        <v>2.7968135785721326E-2</v>
      </c>
      <c r="AJ162" s="56"/>
      <c r="AK162" s="56">
        <v>633456.44738581812</v>
      </c>
      <c r="AL162" s="56">
        <v>1585.920817272395</v>
      </c>
      <c r="AM162" s="16">
        <f t="shared" si="34"/>
        <v>1.5403667694045664E-2</v>
      </c>
      <c r="AN162" s="58">
        <f t="shared" si="34"/>
        <v>1.5403667694045664E-2</v>
      </c>
      <c r="AP162" s="56">
        <f t="shared" si="28"/>
        <v>1</v>
      </c>
      <c r="AQ162" s="56">
        <f t="shared" si="29"/>
        <v>0</v>
      </c>
    </row>
    <row r="163" spans="1:43" x14ac:dyDescent="0.2">
      <c r="A163" s="156" t="s">
        <v>371</v>
      </c>
      <c r="B163" s="156" t="s">
        <v>372</v>
      </c>
      <c r="D163" s="68">
        <f>VLOOKUP(A163,'2019-20 disagg'!A163:AZ371,43,FALSE)</f>
        <v>494193</v>
      </c>
      <c r="E163" s="73">
        <v>1532.2914899087439</v>
      </c>
      <c r="F163" s="55"/>
      <c r="G163" s="88">
        <v>510175.1212832281</v>
      </c>
      <c r="H163" s="81">
        <v>1556.4904208992584</v>
      </c>
      <c r="I163" s="90"/>
      <c r="J163" s="103">
        <f t="shared" si="30"/>
        <v>-3.1326735892233892E-2</v>
      </c>
      <c r="K163" s="126">
        <f t="shared" si="30"/>
        <v>-1.5547112057736734E-2</v>
      </c>
      <c r="L163" s="56">
        <v>514891</v>
      </c>
      <c r="M163" s="103">
        <v>4.119604111170494E-2</v>
      </c>
      <c r="N163" s="97">
        <f>INDEX('Pace of change parameters'!$E$22:$I$22,1,$B$5)</f>
        <v>2.4506891160555818E-2</v>
      </c>
      <c r="O163" s="108">
        <f>MAX(IF(INDEX('Pace of change parameters'!$E$30:$I$30,1,$B$5)=1,(1+M163)*D163,D163),L163)</f>
        <v>514891</v>
      </c>
      <c r="P163" s="94">
        <f>IF(K163&lt;INDEX('Pace of change parameters'!$E$18:$I$18,1,$B$5),1,IF(K163&gt;INDEX('Pace of change parameters'!$E$19:$I$19,1,$B$5),0,(K163-INDEX('Pace of change parameters'!$E$19:$I$19,1,$B$5))/(INDEX('Pace of change parameters'!$E$18:$I$18,1,$B$5)-INDEX('Pace of change parameters'!$E$19:$I$19,1,$B$5))))</f>
        <v>0.72273539032166334</v>
      </c>
      <c r="Q163" s="57">
        <v>5.301656960213097E-2</v>
      </c>
      <c r="R163" s="57">
        <v>3.6137950459120605E-2</v>
      </c>
      <c r="S163" s="9">
        <f>MAX(IF(INDEX('Pace of change parameters'!$E$31:$I$31,1,$B$5)=1,D163*(1+Q163),D163),L163)</f>
        <v>520393.41758138593</v>
      </c>
      <c r="T163" s="103">
        <f>IF(Q163&lt;INDEX('Pace of change parameters'!$E$24:$I$24,1,$B$5),INDEX('Pace of change parameters'!$E$24:$I$24,1,$B$5),Q163)</f>
        <v>5.301656960213097E-2</v>
      </c>
      <c r="U163" s="132">
        <v>3.6137950459120605E-2</v>
      </c>
      <c r="V163" s="117">
        <f t="shared" si="31"/>
        <v>520393.41758138593</v>
      </c>
      <c r="W163" s="131">
        <f>IF(J163&gt;INDEX('Pace of change parameters'!$E$26:$I$26,1,$B$5),0,IF(J163&lt;INDEX('Pace of change parameters'!$E$25:$I$25,1,$B$5),1,(J163-INDEX('Pace of change parameters'!$E$26:$I$26,1,$B$5))/(INDEX('Pace of change parameters'!$E$25:$I$25,1,$B$5)-INDEX('Pace of change parameters'!$E$26:$I$26,1,$B$5))))</f>
        <v>1</v>
      </c>
      <c r="X163" s="132">
        <f>MIN(T163, T163+(INDEX('Pace of change parameters'!$E$27:$I$27,1,$B$5)-T163)*(1-W163))</f>
        <v>5.301656960213097E-2</v>
      </c>
      <c r="Y163" s="132">
        <v>3.6137950459120605E-2</v>
      </c>
      <c r="Z163" s="108">
        <f t="shared" si="32"/>
        <v>520393.41758138593</v>
      </c>
      <c r="AA163" s="97">
        <f>MIN(VLOOKUP(A163,'2019-20 disagg'!$A$12:$BB$220,54,FALSE),-2.5%)</f>
        <v>-2.5000000000000001E-2</v>
      </c>
      <c r="AB163" s="99">
        <f t="shared" si="24"/>
        <v>517774.39831507497</v>
      </c>
      <c r="AC163" s="99">
        <f>MAX(IF(INDEX('Pace of change parameters'!$E$29:$I$29,1,$B$5)=1,MAX(AB163,Z163),Z163),L163)</f>
        <v>520393.41758138593</v>
      </c>
      <c r="AD163" s="97">
        <f t="shared" si="25"/>
        <v>5.301656960213097E-2</v>
      </c>
      <c r="AE163" s="146">
        <v>3.6137950459120605E-2</v>
      </c>
      <c r="AF163" s="56">
        <f t="shared" si="33"/>
        <v>520393.41758138593</v>
      </c>
      <c r="AG163" s="56">
        <v>1587.665363859998</v>
      </c>
      <c r="AH163" s="16">
        <f t="shared" si="26"/>
        <v>5.301656960213097E-2</v>
      </c>
      <c r="AI163" s="16">
        <f t="shared" si="27"/>
        <v>3.6137950459120605E-2</v>
      </c>
      <c r="AJ163" s="56"/>
      <c r="AK163" s="56">
        <v>531050.66493853845</v>
      </c>
      <c r="AL163" s="56">
        <v>1620.1795001488056</v>
      </c>
      <c r="AM163" s="16">
        <f t="shared" si="34"/>
        <v>-2.0068230887887006E-2</v>
      </c>
      <c r="AN163" s="58">
        <f t="shared" si="34"/>
        <v>-2.0068230887887006E-2</v>
      </c>
      <c r="AP163" s="56">
        <f t="shared" si="28"/>
        <v>0</v>
      </c>
      <c r="AQ163" s="56">
        <f t="shared" si="29"/>
        <v>0</v>
      </c>
    </row>
    <row r="164" spans="1:43" x14ac:dyDescent="0.2">
      <c r="A164" s="156" t="s">
        <v>373</v>
      </c>
      <c r="B164" s="156" t="s">
        <v>374</v>
      </c>
      <c r="D164" s="68">
        <f>VLOOKUP(A164,'2019-20 disagg'!A164:AZ372,43,FALSE)</f>
        <v>326915</v>
      </c>
      <c r="E164" s="73">
        <v>1482.6081727431545</v>
      </c>
      <c r="F164" s="55"/>
      <c r="G164" s="88">
        <v>322917.79945813137</v>
      </c>
      <c r="H164" s="81">
        <v>1447.725155493187</v>
      </c>
      <c r="I164" s="90"/>
      <c r="J164" s="103">
        <f t="shared" si="30"/>
        <v>1.2378384061132897E-2</v>
      </c>
      <c r="K164" s="126">
        <f t="shared" si="30"/>
        <v>2.4095055002400612E-2</v>
      </c>
      <c r="L164" s="56">
        <v>340206</v>
      </c>
      <c r="M164" s="103">
        <v>3.636393029708529E-2</v>
      </c>
      <c r="N164" s="97">
        <f>INDEX('Pace of change parameters'!$E$22:$I$22,1,$B$5)</f>
        <v>2.4506891160555818E-2</v>
      </c>
      <c r="O164" s="108">
        <f>MAX(IF(INDEX('Pace of change parameters'!$E$30:$I$30,1,$B$5)=1,(1+M164)*D164,D164),L164)</f>
        <v>340206</v>
      </c>
      <c r="P164" s="94">
        <f>IF(K164&lt;INDEX('Pace of change parameters'!$E$18:$I$18,1,$B$5),1,IF(K164&gt;INDEX('Pace of change parameters'!$E$19:$I$19,1,$B$5),0,(K164-INDEX('Pace of change parameters'!$E$19:$I$19,1,$B$5))/(INDEX('Pace of change parameters'!$E$18:$I$18,1,$B$5)-INDEX('Pace of change parameters'!$E$19:$I$19,1,$B$5))))</f>
        <v>0</v>
      </c>
      <c r="Q164" s="57">
        <v>3.636393029708529E-2</v>
      </c>
      <c r="R164" s="57">
        <v>2.450689116055571E-2</v>
      </c>
      <c r="S164" s="9">
        <f>MAX(IF(INDEX('Pace of change parameters'!$E$31:$I$31,1,$B$5)=1,D164*(1+Q164),D164),L164)</f>
        <v>340206</v>
      </c>
      <c r="T164" s="103">
        <f>IF(Q164&lt;INDEX('Pace of change parameters'!$E$24:$I$24,1,$B$5),INDEX('Pace of change parameters'!$E$24:$I$24,1,$B$5),Q164)</f>
        <v>3.636393029708529E-2</v>
      </c>
      <c r="U164" s="132">
        <v>2.450689116055571E-2</v>
      </c>
      <c r="V164" s="117">
        <f t="shared" si="31"/>
        <v>340206</v>
      </c>
      <c r="W164" s="131">
        <f>IF(J164&gt;INDEX('Pace of change parameters'!$E$26:$I$26,1,$B$5),0,IF(J164&lt;INDEX('Pace of change parameters'!$E$25:$I$25,1,$B$5),1,(J164-INDEX('Pace of change parameters'!$E$26:$I$26,1,$B$5))/(INDEX('Pace of change parameters'!$E$25:$I$25,1,$B$5)-INDEX('Pace of change parameters'!$E$26:$I$26,1,$B$5))))</f>
        <v>1</v>
      </c>
      <c r="X164" s="132">
        <f>MIN(T164, T164+(INDEX('Pace of change parameters'!$E$27:$I$27,1,$B$5)-T164)*(1-W164))</f>
        <v>3.636393029708529E-2</v>
      </c>
      <c r="Y164" s="132">
        <v>2.450689116055571E-2</v>
      </c>
      <c r="Z164" s="108">
        <f t="shared" si="32"/>
        <v>340206</v>
      </c>
      <c r="AA164" s="97">
        <f>MIN(VLOOKUP(A164,'2019-20 disagg'!$A$12:$BB$220,54,FALSE),-2.5%)</f>
        <v>-2.5000000000000001E-2</v>
      </c>
      <c r="AB164" s="99">
        <f t="shared" si="24"/>
        <v>327717.99841795792</v>
      </c>
      <c r="AC164" s="99">
        <f>MAX(IF(INDEX('Pace of change parameters'!$E$29:$I$29,1,$B$5)=1,MAX(AB164,Z164),Z164),L164)</f>
        <v>340206</v>
      </c>
      <c r="AD164" s="97">
        <f t="shared" si="25"/>
        <v>4.0655827967514435E-2</v>
      </c>
      <c r="AE164" s="146">
        <v>2.874968523218091E-2</v>
      </c>
      <c r="AF164" s="56">
        <f t="shared" si="33"/>
        <v>340206</v>
      </c>
      <c r="AG164" s="56">
        <v>1525.2326910321788</v>
      </c>
      <c r="AH164" s="16">
        <f t="shared" si="26"/>
        <v>4.0655827967514435E-2</v>
      </c>
      <c r="AI164" s="16">
        <f t="shared" si="27"/>
        <v>2.8749685232180688E-2</v>
      </c>
      <c r="AJ164" s="56"/>
      <c r="AK164" s="56">
        <v>336121.02401841839</v>
      </c>
      <c r="AL164" s="56">
        <v>1506.9186727338843</v>
      </c>
      <c r="AM164" s="16">
        <f t="shared" ref="AM164:AN220" si="35">AF164/AK164-1</f>
        <v>1.2153289112191157E-2</v>
      </c>
      <c r="AN164" s="58">
        <f t="shared" si="35"/>
        <v>1.2153289112191379E-2</v>
      </c>
      <c r="AP164" s="56">
        <f t="shared" si="28"/>
        <v>1</v>
      </c>
      <c r="AQ164" s="56">
        <f t="shared" si="29"/>
        <v>0</v>
      </c>
    </row>
    <row r="165" spans="1:43" x14ac:dyDescent="0.2">
      <c r="A165" s="156" t="s">
        <v>375</v>
      </c>
      <c r="B165" s="156" t="s">
        <v>376</v>
      </c>
      <c r="D165" s="68">
        <f>VLOOKUP(A165,'2019-20 disagg'!A165:AZ373,43,FALSE)</f>
        <v>603802</v>
      </c>
      <c r="E165" s="73">
        <v>1835.4476380136464</v>
      </c>
      <c r="F165" s="55"/>
      <c r="G165" s="88">
        <v>598633.40329701011</v>
      </c>
      <c r="H165" s="81">
        <v>1799.4915180905489</v>
      </c>
      <c r="I165" s="90"/>
      <c r="J165" s="103">
        <f t="shared" si="30"/>
        <v>8.633993149268937E-3</v>
      </c>
      <c r="K165" s="126">
        <f t="shared" si="30"/>
        <v>1.9981266686519783E-2</v>
      </c>
      <c r="L165" s="56">
        <v>628776</v>
      </c>
      <c r="M165" s="103">
        <v>3.6032737021153061E-2</v>
      </c>
      <c r="N165" s="97">
        <f>INDEX('Pace of change parameters'!$E$22:$I$22,1,$B$5)</f>
        <v>2.4506891160555818E-2</v>
      </c>
      <c r="O165" s="108">
        <f>MAX(IF(INDEX('Pace of change parameters'!$E$30:$I$30,1,$B$5)=1,(1+M165)*D165,D165),L165)</f>
        <v>628776</v>
      </c>
      <c r="P165" s="94">
        <f>IF(K165&lt;INDEX('Pace of change parameters'!$E$18:$I$18,1,$B$5),1,IF(K165&gt;INDEX('Pace of change parameters'!$E$19:$I$19,1,$B$5),0,(K165-INDEX('Pace of change parameters'!$E$19:$I$19,1,$B$5))/(INDEX('Pace of change parameters'!$E$18:$I$18,1,$B$5)-INDEX('Pace of change parameters'!$E$19:$I$19,1,$B$5))))</f>
        <v>0</v>
      </c>
      <c r="Q165" s="57">
        <v>3.6032737021153061E-2</v>
      </c>
      <c r="R165" s="57">
        <v>2.450689116055571E-2</v>
      </c>
      <c r="S165" s="9">
        <f>MAX(IF(INDEX('Pace of change parameters'!$E$31:$I$31,1,$B$5)=1,D165*(1+Q165),D165),L165)</f>
        <v>628776</v>
      </c>
      <c r="T165" s="103">
        <f>IF(Q165&lt;INDEX('Pace of change parameters'!$E$24:$I$24,1,$B$5),INDEX('Pace of change parameters'!$E$24:$I$24,1,$B$5),Q165)</f>
        <v>3.6032737021153061E-2</v>
      </c>
      <c r="U165" s="132">
        <v>2.450689116055571E-2</v>
      </c>
      <c r="V165" s="117">
        <f t="shared" si="31"/>
        <v>628776</v>
      </c>
      <c r="W165" s="131">
        <f>IF(J165&gt;INDEX('Pace of change parameters'!$E$26:$I$26,1,$B$5),0,IF(J165&lt;INDEX('Pace of change parameters'!$E$25:$I$25,1,$B$5),1,(J165-INDEX('Pace of change parameters'!$E$26:$I$26,1,$B$5))/(INDEX('Pace of change parameters'!$E$25:$I$25,1,$B$5)-INDEX('Pace of change parameters'!$E$26:$I$26,1,$B$5))))</f>
        <v>1</v>
      </c>
      <c r="X165" s="132">
        <f>MIN(T165, T165+(INDEX('Pace of change parameters'!$E$27:$I$27,1,$B$5)-T165)*(1-W165))</f>
        <v>3.6032737021153061E-2</v>
      </c>
      <c r="Y165" s="132">
        <v>2.450689116055571E-2</v>
      </c>
      <c r="Z165" s="108">
        <f t="shared" si="32"/>
        <v>628776</v>
      </c>
      <c r="AA165" s="97">
        <f>MIN(VLOOKUP(A165,'2019-20 disagg'!$A$12:$BB$220,54,FALSE),-2.5%)</f>
        <v>-2.5000000000000001E-2</v>
      </c>
      <c r="AB165" s="99">
        <f t="shared" si="24"/>
        <v>607841.76586815261</v>
      </c>
      <c r="AC165" s="99">
        <f>MAX(IF(INDEX('Pace of change parameters'!$E$29:$I$29,1,$B$5)=1,MAX(AB165,Z165),Z165),L165)</f>
        <v>628776</v>
      </c>
      <c r="AD165" s="97">
        <f t="shared" si="25"/>
        <v>4.1361240936598431E-2</v>
      </c>
      <c r="AE165" s="146">
        <v>2.9776115564261296E-2</v>
      </c>
      <c r="AF165" s="56">
        <f t="shared" si="33"/>
        <v>628776</v>
      </c>
      <c r="AG165" s="56">
        <v>1890.1001389952912</v>
      </c>
      <c r="AH165" s="16">
        <f t="shared" si="26"/>
        <v>4.1361240936598431E-2</v>
      </c>
      <c r="AI165" s="16">
        <f t="shared" si="27"/>
        <v>2.9776115564261296E-2</v>
      </c>
      <c r="AJ165" s="56"/>
      <c r="AK165" s="56">
        <v>623427.45217246423</v>
      </c>
      <c r="AL165" s="56">
        <v>1874.0224086235082</v>
      </c>
      <c r="AM165" s="16">
        <f t="shared" si="35"/>
        <v>8.5792626052920706E-3</v>
      </c>
      <c r="AN165" s="58">
        <f t="shared" si="35"/>
        <v>8.5792626052920706E-3</v>
      </c>
      <c r="AP165" s="56">
        <f t="shared" si="28"/>
        <v>1</v>
      </c>
      <c r="AQ165" s="56">
        <f t="shared" si="29"/>
        <v>0</v>
      </c>
    </row>
    <row r="166" spans="1:43" x14ac:dyDescent="0.2">
      <c r="A166" s="156" t="s">
        <v>377</v>
      </c>
      <c r="B166" s="156" t="s">
        <v>378</v>
      </c>
      <c r="D166" s="68">
        <f>VLOOKUP(A166,'2019-20 disagg'!A166:AZ374,43,FALSE)</f>
        <v>341293</v>
      </c>
      <c r="E166" s="73">
        <v>1697.4441630656024</v>
      </c>
      <c r="F166" s="55"/>
      <c r="G166" s="88">
        <v>347685.65319934359</v>
      </c>
      <c r="H166" s="81">
        <v>1706.7179990776363</v>
      </c>
      <c r="I166" s="90"/>
      <c r="J166" s="103">
        <f t="shared" si="30"/>
        <v>-1.8386301363083279E-2</v>
      </c>
      <c r="K166" s="126">
        <f t="shared" si="30"/>
        <v>-5.4337248549822803E-3</v>
      </c>
      <c r="L166" s="56">
        <v>355347</v>
      </c>
      <c r="M166" s="103">
        <v>3.8025451373459029E-2</v>
      </c>
      <c r="N166" s="97">
        <f>INDEX('Pace of change parameters'!$E$22:$I$22,1,$B$5)</f>
        <v>2.4506891160555818E-2</v>
      </c>
      <c r="O166" s="108">
        <f>MAX(IF(INDEX('Pace of change parameters'!$E$30:$I$30,1,$B$5)=1,(1+M166)*D166,D166),L166)</f>
        <v>355347</v>
      </c>
      <c r="P166" s="94">
        <f>IF(K166&lt;INDEX('Pace of change parameters'!$E$18:$I$18,1,$B$5),1,IF(K166&gt;INDEX('Pace of change parameters'!$E$19:$I$19,1,$B$5),0,(K166-INDEX('Pace of change parameters'!$E$19:$I$19,1,$B$5))/(INDEX('Pace of change parameters'!$E$18:$I$18,1,$B$5)-INDEX('Pace of change parameters'!$E$19:$I$19,1,$B$5))))</f>
        <v>0.39100446303969083</v>
      </c>
      <c r="Q166" s="57">
        <v>4.4400959170829202E-2</v>
      </c>
      <c r="R166" s="57">
        <v>3.0799368540961991E-2</v>
      </c>
      <c r="S166" s="9">
        <f>MAX(IF(INDEX('Pace of change parameters'!$E$31:$I$31,1,$B$5)=1,D166*(1+Q166),D166),L166)</f>
        <v>356446.73655828979</v>
      </c>
      <c r="T166" s="103">
        <f>IF(Q166&lt;INDEX('Pace of change parameters'!$E$24:$I$24,1,$B$5),INDEX('Pace of change parameters'!$E$24:$I$24,1,$B$5),Q166)</f>
        <v>4.4400959170829202E-2</v>
      </c>
      <c r="U166" s="132">
        <v>3.0799368540961991E-2</v>
      </c>
      <c r="V166" s="117">
        <f t="shared" si="31"/>
        <v>356446.73655828979</v>
      </c>
      <c r="W166" s="131">
        <f>IF(J166&gt;INDEX('Pace of change parameters'!$E$26:$I$26,1,$B$5),0,IF(J166&lt;INDEX('Pace of change parameters'!$E$25:$I$25,1,$B$5),1,(J166-INDEX('Pace of change parameters'!$E$26:$I$26,1,$B$5))/(INDEX('Pace of change parameters'!$E$25:$I$25,1,$B$5)-INDEX('Pace of change parameters'!$E$26:$I$26,1,$B$5))))</f>
        <v>1</v>
      </c>
      <c r="X166" s="132">
        <f>MIN(T166, T166+(INDEX('Pace of change parameters'!$E$27:$I$27,1,$B$5)-T166)*(1-W166))</f>
        <v>4.4400959170829202E-2</v>
      </c>
      <c r="Y166" s="132">
        <v>3.0799368540961991E-2</v>
      </c>
      <c r="Z166" s="108">
        <f t="shared" si="32"/>
        <v>356446.73655828979</v>
      </c>
      <c r="AA166" s="97">
        <f>MIN(VLOOKUP(A166,'2019-20 disagg'!$A$12:$BB$220,54,FALSE),-2.5%)</f>
        <v>-2.5000000000000001E-2</v>
      </c>
      <c r="AB166" s="99">
        <f t="shared" si="24"/>
        <v>352841.57504546881</v>
      </c>
      <c r="AC166" s="99">
        <f>MAX(IF(INDEX('Pace of change parameters'!$E$29:$I$29,1,$B$5)=1,MAX(AB166,Z166),Z166),L166)</f>
        <v>356446.73655828979</v>
      </c>
      <c r="AD166" s="97">
        <f t="shared" si="25"/>
        <v>4.4400959170829202E-2</v>
      </c>
      <c r="AE166" s="146">
        <v>3.0799368540961991E-2</v>
      </c>
      <c r="AF166" s="56">
        <f t="shared" si="33"/>
        <v>356446.73655828979</v>
      </c>
      <c r="AG166" s="56">
        <v>1749.7243714215647</v>
      </c>
      <c r="AH166" s="16">
        <f t="shared" si="26"/>
        <v>4.4400959170829202E-2</v>
      </c>
      <c r="AI166" s="16">
        <f t="shared" si="27"/>
        <v>3.0799368540961991E-2</v>
      </c>
      <c r="AJ166" s="56"/>
      <c r="AK166" s="56">
        <v>361888.79491842957</v>
      </c>
      <c r="AL166" s="56">
        <v>1776.438326598646</v>
      </c>
      <c r="AM166" s="16">
        <f t="shared" si="35"/>
        <v>-1.5037929984448528E-2</v>
      </c>
      <c r="AN166" s="58">
        <f t="shared" si="35"/>
        <v>-1.5037929984448528E-2</v>
      </c>
      <c r="AP166" s="56">
        <f t="shared" si="28"/>
        <v>0</v>
      </c>
      <c r="AQ166" s="56">
        <f t="shared" si="29"/>
        <v>0</v>
      </c>
    </row>
    <row r="167" spans="1:43" x14ac:dyDescent="0.2">
      <c r="A167" s="156" t="s">
        <v>379</v>
      </c>
      <c r="B167" s="156" t="s">
        <v>380</v>
      </c>
      <c r="D167" s="68">
        <f>VLOOKUP(A167,'2019-20 disagg'!A167:AZ375,43,FALSE)</f>
        <v>580936</v>
      </c>
      <c r="E167" s="73">
        <v>1818.6405927184667</v>
      </c>
      <c r="F167" s="55"/>
      <c r="G167" s="88">
        <v>545195.50977463438</v>
      </c>
      <c r="H167" s="81">
        <v>1678.6089703598852</v>
      </c>
      <c r="I167" s="90"/>
      <c r="J167" s="103">
        <f t="shared" si="30"/>
        <v>6.555536424014119E-2</v>
      </c>
      <c r="K167" s="126">
        <f t="shared" si="30"/>
        <v>8.3421228428535832E-2</v>
      </c>
      <c r="L167" s="56">
        <v>606410</v>
      </c>
      <c r="M167" s="103">
        <v>4.1684507258055614E-2</v>
      </c>
      <c r="N167" s="97">
        <f>INDEX('Pace of change parameters'!$E$22:$I$22,1,$B$5)</f>
        <v>2.4506891160555818E-2</v>
      </c>
      <c r="O167" s="108">
        <f>MAX(IF(INDEX('Pace of change parameters'!$E$30:$I$30,1,$B$5)=1,(1+M167)*D167,D167),L167)</f>
        <v>606410</v>
      </c>
      <c r="P167" s="94">
        <f>IF(K167&lt;INDEX('Pace of change parameters'!$E$18:$I$18,1,$B$5),1,IF(K167&gt;INDEX('Pace of change parameters'!$E$19:$I$19,1,$B$5),0,(K167-INDEX('Pace of change parameters'!$E$19:$I$19,1,$B$5))/(INDEX('Pace of change parameters'!$E$18:$I$18,1,$B$5)-INDEX('Pace of change parameters'!$E$19:$I$19,1,$B$5))))</f>
        <v>0</v>
      </c>
      <c r="Q167" s="57">
        <v>4.1684507258055614E-2</v>
      </c>
      <c r="R167" s="57">
        <v>2.450689116055571E-2</v>
      </c>
      <c r="S167" s="9">
        <f>MAX(IF(INDEX('Pace of change parameters'!$E$31:$I$31,1,$B$5)=1,D167*(1+Q167),D167),L167)</f>
        <v>606410</v>
      </c>
      <c r="T167" s="103">
        <f>IF(Q167&lt;INDEX('Pace of change parameters'!$E$24:$I$24,1,$B$5),INDEX('Pace of change parameters'!$E$24:$I$24,1,$B$5),Q167)</f>
        <v>4.1684507258055614E-2</v>
      </c>
      <c r="U167" s="132">
        <v>2.450689116055571E-2</v>
      </c>
      <c r="V167" s="117">
        <f t="shared" si="31"/>
        <v>606410</v>
      </c>
      <c r="W167" s="131">
        <f>IF(J167&gt;INDEX('Pace of change parameters'!$E$26:$I$26,1,$B$5),0,IF(J167&lt;INDEX('Pace of change parameters'!$E$25:$I$25,1,$B$5),1,(J167-INDEX('Pace of change parameters'!$E$26:$I$26,1,$B$5))/(INDEX('Pace of change parameters'!$E$25:$I$25,1,$B$5)-INDEX('Pace of change parameters'!$E$26:$I$26,1,$B$5))))</f>
        <v>0.68889271519717632</v>
      </c>
      <c r="X167" s="132">
        <f>MIN(T167, T167+(INDEX('Pace of change parameters'!$E$27:$I$27,1,$B$5)-T167)*(1-W167))</f>
        <v>3.2136079571203735E-2</v>
      </c>
      <c r="Y167" s="132">
        <v>1.5115919233098074E-2</v>
      </c>
      <c r="Z167" s="108">
        <f t="shared" si="32"/>
        <v>606410</v>
      </c>
      <c r="AA167" s="97">
        <f>MIN(VLOOKUP(A167,'2019-20 disagg'!$A$12:$BB$220,54,FALSE),-2.5%)</f>
        <v>-2.5000000000000001E-2</v>
      </c>
      <c r="AB167" s="99">
        <f t="shared" si="24"/>
        <v>553577.66061590647</v>
      </c>
      <c r="AC167" s="99">
        <f>MAX(IF(INDEX('Pace of change parameters'!$E$29:$I$29,1,$B$5)=1,MAX(AB167,Z167),Z167),L167)</f>
        <v>606410</v>
      </c>
      <c r="AD167" s="97">
        <f t="shared" si="25"/>
        <v>4.3849924948703434E-2</v>
      </c>
      <c r="AE167" s="146">
        <v>2.6636600617547801E-2</v>
      </c>
      <c r="AF167" s="56">
        <f t="shared" si="33"/>
        <v>606410</v>
      </c>
      <c r="AG167" s="56">
        <v>1867.0829958535689</v>
      </c>
      <c r="AH167" s="16">
        <f t="shared" si="26"/>
        <v>4.3849924948703434E-2</v>
      </c>
      <c r="AI167" s="16">
        <f t="shared" si="27"/>
        <v>2.6636600617547801E-2</v>
      </c>
      <c r="AJ167" s="56"/>
      <c r="AK167" s="56">
        <v>567771.95960605796</v>
      </c>
      <c r="AL167" s="56">
        <v>1748.11987154389</v>
      </c>
      <c r="AM167" s="16">
        <f t="shared" si="35"/>
        <v>6.8052040507161626E-2</v>
      </c>
      <c r="AN167" s="58">
        <f t="shared" si="35"/>
        <v>6.8052040507161626E-2</v>
      </c>
      <c r="AP167" s="56">
        <f t="shared" si="28"/>
        <v>1</v>
      </c>
      <c r="AQ167" s="56">
        <f t="shared" si="29"/>
        <v>0</v>
      </c>
    </row>
    <row r="168" spans="1:43" x14ac:dyDescent="0.2">
      <c r="A168" s="156" t="s">
        <v>381</v>
      </c>
      <c r="B168" s="156" t="s">
        <v>382</v>
      </c>
      <c r="D168" s="68">
        <f>VLOOKUP(A168,'2019-20 disagg'!A168:AZ376,43,FALSE)</f>
        <v>511032</v>
      </c>
      <c r="E168" s="73">
        <v>1635.0835862951833</v>
      </c>
      <c r="F168" s="55"/>
      <c r="G168" s="88">
        <v>524668.09994737175</v>
      </c>
      <c r="H168" s="81">
        <v>1659.9729802873858</v>
      </c>
      <c r="I168" s="90"/>
      <c r="J168" s="103">
        <f t="shared" si="30"/>
        <v>-2.5989954313478503E-2</v>
      </c>
      <c r="K168" s="126">
        <f t="shared" si="30"/>
        <v>-1.4993854892682346E-2</v>
      </c>
      <c r="L168" s="56">
        <v>532050</v>
      </c>
      <c r="M168" s="103">
        <v>3.6073075392826004E-2</v>
      </c>
      <c r="N168" s="97">
        <f>INDEX('Pace of change parameters'!$E$22:$I$22,1,$B$5)</f>
        <v>2.4506891160555818E-2</v>
      </c>
      <c r="O168" s="108">
        <f>MAX(IF(INDEX('Pace of change parameters'!$E$30:$I$30,1,$B$5)=1,(1+M168)*D168,D168),L168)</f>
        <v>532050</v>
      </c>
      <c r="P168" s="94">
        <f>IF(K168&lt;INDEX('Pace of change parameters'!$E$18:$I$18,1,$B$5),1,IF(K168&gt;INDEX('Pace of change parameters'!$E$19:$I$19,1,$B$5),0,(K168-INDEX('Pace of change parameters'!$E$19:$I$19,1,$B$5))/(INDEX('Pace of change parameters'!$E$18:$I$18,1,$B$5)-INDEX('Pace of change parameters'!$E$19:$I$19,1,$B$5))))</f>
        <v>0.70458790830506457</v>
      </c>
      <c r="Q168" s="57">
        <v>4.7540097191806074E-2</v>
      </c>
      <c r="R168" s="57">
        <v>3.5845901055865603E-2</v>
      </c>
      <c r="S168" s="9">
        <f>MAX(IF(INDEX('Pace of change parameters'!$E$31:$I$31,1,$B$5)=1,D168*(1+Q168),D168),L168)</f>
        <v>535326.51094812306</v>
      </c>
      <c r="T168" s="103">
        <f>IF(Q168&lt;INDEX('Pace of change parameters'!$E$24:$I$24,1,$B$5),INDEX('Pace of change parameters'!$E$24:$I$24,1,$B$5),Q168)</f>
        <v>4.7540097191806074E-2</v>
      </c>
      <c r="U168" s="132">
        <v>3.5845901055865603E-2</v>
      </c>
      <c r="V168" s="117">
        <f t="shared" si="31"/>
        <v>535326.51094812306</v>
      </c>
      <c r="W168" s="131">
        <f>IF(J168&gt;INDEX('Pace of change parameters'!$E$26:$I$26,1,$B$5),0,IF(J168&lt;INDEX('Pace of change parameters'!$E$25:$I$25,1,$B$5),1,(J168-INDEX('Pace of change parameters'!$E$26:$I$26,1,$B$5))/(INDEX('Pace of change parameters'!$E$25:$I$25,1,$B$5)-INDEX('Pace of change parameters'!$E$26:$I$26,1,$B$5))))</f>
        <v>1</v>
      </c>
      <c r="X168" s="132">
        <f>MIN(T168, T168+(INDEX('Pace of change parameters'!$E$27:$I$27,1,$B$5)-T168)*(1-W168))</f>
        <v>4.7540097191806074E-2</v>
      </c>
      <c r="Y168" s="132">
        <v>3.5845901055865603E-2</v>
      </c>
      <c r="Z168" s="108">
        <f t="shared" si="32"/>
        <v>535326.51094812306</v>
      </c>
      <c r="AA168" s="97">
        <f>MIN(VLOOKUP(A168,'2019-20 disagg'!$A$12:$BB$220,54,FALSE),-2.5%)</f>
        <v>-2.5000000000000001E-2</v>
      </c>
      <c r="AB168" s="99">
        <f t="shared" si="24"/>
        <v>532613.275390303</v>
      </c>
      <c r="AC168" s="99">
        <f>MAX(IF(INDEX('Pace of change parameters'!$E$29:$I$29,1,$B$5)=1,MAX(AB168,Z168),Z168),L168)</f>
        <v>535326.51094812306</v>
      </c>
      <c r="AD168" s="97">
        <f t="shared" si="25"/>
        <v>4.7540097191806074E-2</v>
      </c>
      <c r="AE168" s="146">
        <v>3.5845901055865603E-2</v>
      </c>
      <c r="AF168" s="56">
        <f t="shared" si="33"/>
        <v>535326.51094812306</v>
      </c>
      <c r="AG168" s="56">
        <v>1693.6946307475903</v>
      </c>
      <c r="AH168" s="16">
        <f t="shared" si="26"/>
        <v>4.7540097191806074E-2</v>
      </c>
      <c r="AI168" s="16">
        <f t="shared" si="27"/>
        <v>3.5845901055865603E-2</v>
      </c>
      <c r="AJ168" s="56"/>
      <c r="AK168" s="56">
        <v>546270.02604133647</v>
      </c>
      <c r="AL168" s="56">
        <v>1728.3183087755162</v>
      </c>
      <c r="AM168" s="16">
        <f t="shared" si="35"/>
        <v>-2.0033160472885503E-2</v>
      </c>
      <c r="AN168" s="58">
        <f t="shared" si="35"/>
        <v>-2.0033160472885503E-2</v>
      </c>
      <c r="AP168" s="56">
        <f t="shared" si="28"/>
        <v>0</v>
      </c>
      <c r="AQ168" s="56">
        <f t="shared" si="29"/>
        <v>0</v>
      </c>
    </row>
    <row r="169" spans="1:43" x14ac:dyDescent="0.2">
      <c r="A169" s="156" t="s">
        <v>383</v>
      </c>
      <c r="B169" s="156" t="s">
        <v>384</v>
      </c>
      <c r="D169" s="68">
        <f>VLOOKUP(A169,'2019-20 disagg'!A169:AZ377,43,FALSE)</f>
        <v>607976</v>
      </c>
      <c r="E169" s="73">
        <v>1527.5537543459097</v>
      </c>
      <c r="F169" s="55"/>
      <c r="G169" s="88">
        <v>592599.40923036693</v>
      </c>
      <c r="H169" s="81">
        <v>1476.4571769331653</v>
      </c>
      <c r="I169" s="90"/>
      <c r="J169" s="103">
        <f t="shared" si="30"/>
        <v>2.5947698445402123E-2</v>
      </c>
      <c r="K169" s="126">
        <f t="shared" si="30"/>
        <v>3.460755801863491E-2</v>
      </c>
      <c r="L169" s="56">
        <v>632416</v>
      </c>
      <c r="M169" s="103">
        <v>3.3154589111146437E-2</v>
      </c>
      <c r="N169" s="97">
        <f>INDEX('Pace of change parameters'!$E$22:$I$22,1,$B$5)</f>
        <v>2.4506891160555818E-2</v>
      </c>
      <c r="O169" s="108">
        <f>MAX(IF(INDEX('Pace of change parameters'!$E$30:$I$30,1,$B$5)=1,(1+M169)*D169,D169),L169)</f>
        <v>632416</v>
      </c>
      <c r="P169" s="94">
        <f>IF(K169&lt;INDEX('Pace of change parameters'!$E$18:$I$18,1,$B$5),1,IF(K169&gt;INDEX('Pace of change parameters'!$E$19:$I$19,1,$B$5),0,(K169-INDEX('Pace of change parameters'!$E$19:$I$19,1,$B$5))/(INDEX('Pace of change parameters'!$E$18:$I$18,1,$B$5)-INDEX('Pace of change parameters'!$E$19:$I$19,1,$B$5))))</f>
        <v>0</v>
      </c>
      <c r="Q169" s="57">
        <v>3.3154589111146437E-2</v>
      </c>
      <c r="R169" s="57">
        <v>2.450689116055571E-2</v>
      </c>
      <c r="S169" s="9">
        <f>MAX(IF(INDEX('Pace of change parameters'!$E$31:$I$31,1,$B$5)=1,D169*(1+Q169),D169),L169)</f>
        <v>632416</v>
      </c>
      <c r="T169" s="103">
        <f>IF(Q169&lt;INDEX('Pace of change parameters'!$E$24:$I$24,1,$B$5),INDEX('Pace of change parameters'!$E$24:$I$24,1,$B$5),Q169)</f>
        <v>3.3154589111146437E-2</v>
      </c>
      <c r="U169" s="132">
        <v>2.450689116055571E-2</v>
      </c>
      <c r="V169" s="117">
        <f t="shared" si="31"/>
        <v>632416</v>
      </c>
      <c r="W169" s="131">
        <f>IF(J169&gt;INDEX('Pace of change parameters'!$E$26:$I$26,1,$B$5),0,IF(J169&lt;INDEX('Pace of change parameters'!$E$25:$I$25,1,$B$5),1,(J169-INDEX('Pace of change parameters'!$E$26:$I$26,1,$B$5))/(INDEX('Pace of change parameters'!$E$25:$I$25,1,$B$5)-INDEX('Pace of change parameters'!$E$26:$I$26,1,$B$5))))</f>
        <v>1</v>
      </c>
      <c r="X169" s="132">
        <f>MIN(T169, T169+(INDEX('Pace of change parameters'!$E$27:$I$27,1,$B$5)-T169)*(1-W169))</f>
        <v>3.3154589111146437E-2</v>
      </c>
      <c r="Y169" s="132">
        <v>2.450689116055571E-2</v>
      </c>
      <c r="Z169" s="108">
        <f t="shared" si="32"/>
        <v>632416</v>
      </c>
      <c r="AA169" s="97">
        <f>MIN(VLOOKUP(A169,'2019-20 disagg'!$A$12:$BB$220,54,FALSE),-2.5%)</f>
        <v>-2.5000000000000001E-2</v>
      </c>
      <c r="AB169" s="99">
        <f t="shared" si="24"/>
        <v>601610.36752318835</v>
      </c>
      <c r="AC169" s="99">
        <f>MAX(IF(INDEX('Pace of change parameters'!$E$29:$I$29,1,$B$5)=1,MAX(AB169,Z169),Z169),L169)</f>
        <v>632416</v>
      </c>
      <c r="AD169" s="97">
        <f t="shared" si="25"/>
        <v>4.0198955221916632E-2</v>
      </c>
      <c r="AE169" s="146">
        <v>3.1492294603955973E-2</v>
      </c>
      <c r="AF169" s="56">
        <f t="shared" si="33"/>
        <v>632416</v>
      </c>
      <c r="AG169" s="56">
        <v>1575.6599272011504</v>
      </c>
      <c r="AH169" s="16">
        <f t="shared" si="26"/>
        <v>4.0198955221916632E-2</v>
      </c>
      <c r="AI169" s="16">
        <f t="shared" si="27"/>
        <v>3.1492294603956195E-2</v>
      </c>
      <c r="AJ169" s="56"/>
      <c r="AK169" s="56">
        <v>617036.27438275726</v>
      </c>
      <c r="AL169" s="56">
        <v>1537.341451156208</v>
      </c>
      <c r="AM169" s="16">
        <f t="shared" si="35"/>
        <v>2.4925156357505251E-2</v>
      </c>
      <c r="AN169" s="58">
        <f t="shared" si="35"/>
        <v>2.4925156357505251E-2</v>
      </c>
      <c r="AP169" s="56">
        <f t="shared" si="28"/>
        <v>1</v>
      </c>
      <c r="AQ169" s="56">
        <f t="shared" si="29"/>
        <v>0</v>
      </c>
    </row>
    <row r="170" spans="1:43" x14ac:dyDescent="0.2">
      <c r="A170" s="156" t="s">
        <v>385</v>
      </c>
      <c r="B170" s="156" t="s">
        <v>386</v>
      </c>
      <c r="D170" s="68">
        <f>VLOOKUP(A170,'2019-20 disagg'!A170:AZ378,43,FALSE)</f>
        <v>477745</v>
      </c>
      <c r="E170" s="73">
        <v>1922.3214026044295</v>
      </c>
      <c r="F170" s="55"/>
      <c r="G170" s="88">
        <v>404936.35315469903</v>
      </c>
      <c r="H170" s="81">
        <v>1623.3023909005763</v>
      </c>
      <c r="I170" s="90"/>
      <c r="J170" s="103">
        <f t="shared" si="30"/>
        <v>0.1798026931345571</v>
      </c>
      <c r="K170" s="126">
        <f t="shared" si="30"/>
        <v>0.18420413434983196</v>
      </c>
      <c r="L170" s="56">
        <v>488389</v>
      </c>
      <c r="M170" s="103">
        <v>2.8328976736667455E-2</v>
      </c>
      <c r="N170" s="97">
        <f>INDEX('Pace of change parameters'!$E$22:$I$22,1,$B$5)</f>
        <v>2.4506891160555818E-2</v>
      </c>
      <c r="O170" s="108">
        <f>MAX(IF(INDEX('Pace of change parameters'!$E$30:$I$30,1,$B$5)=1,(1+M170)*D170,D170),L170)</f>
        <v>491279.02699105919</v>
      </c>
      <c r="P170" s="94">
        <f>IF(K170&lt;INDEX('Pace of change parameters'!$E$18:$I$18,1,$B$5),1,IF(K170&gt;INDEX('Pace of change parameters'!$E$19:$I$19,1,$B$5),0,(K170-INDEX('Pace of change parameters'!$E$19:$I$19,1,$B$5))/(INDEX('Pace of change parameters'!$E$18:$I$18,1,$B$5)-INDEX('Pace of change parameters'!$E$19:$I$19,1,$B$5))))</f>
        <v>0</v>
      </c>
      <c r="Q170" s="57">
        <v>2.8328976736667455E-2</v>
      </c>
      <c r="R170" s="57">
        <v>2.450689116055571E-2</v>
      </c>
      <c r="S170" s="9">
        <f>MAX(IF(INDEX('Pace of change parameters'!$E$31:$I$31,1,$B$5)=1,D170*(1+Q170),D170),L170)</f>
        <v>491279.02699105919</v>
      </c>
      <c r="T170" s="103">
        <f>IF(Q170&lt;INDEX('Pace of change parameters'!$E$24:$I$24,1,$B$5),INDEX('Pace of change parameters'!$E$24:$I$24,1,$B$5),Q170)</f>
        <v>3.2992755077120454E-2</v>
      </c>
      <c r="U170" s="132">
        <v>2.9153335203980779E-2</v>
      </c>
      <c r="V170" s="117">
        <f t="shared" si="31"/>
        <v>493507.12377431896</v>
      </c>
      <c r="W170" s="131">
        <f>IF(J170&gt;INDEX('Pace of change parameters'!$E$26:$I$26,1,$B$5),0,IF(J170&lt;INDEX('Pace of change parameters'!$E$25:$I$25,1,$B$5),1,(J170-INDEX('Pace of change parameters'!$E$26:$I$26,1,$B$5))/(INDEX('Pace of change parameters'!$E$25:$I$25,1,$B$5)-INDEX('Pace of change parameters'!$E$26:$I$26,1,$B$5))))</f>
        <v>0</v>
      </c>
      <c r="X170" s="132">
        <f>MIN(T170, T170+(INDEX('Pace of change parameters'!$E$27:$I$27,1,$B$5)-T170)*(1-W170))</f>
        <v>1.0992755077120456E-2</v>
      </c>
      <c r="Y170" s="132">
        <v>7.2351046421437193E-3</v>
      </c>
      <c r="Z170" s="108">
        <f t="shared" si="32"/>
        <v>488389</v>
      </c>
      <c r="AA170" s="97">
        <f>MIN(VLOOKUP(A170,'2019-20 disagg'!$A$12:$BB$220,54,FALSE),-2.5%)</f>
        <v>-2.5000000000000001E-2</v>
      </c>
      <c r="AB170" s="99">
        <f t="shared" si="24"/>
        <v>411099.92856099643</v>
      </c>
      <c r="AC170" s="99">
        <f>MAX(IF(INDEX('Pace of change parameters'!$E$29:$I$29,1,$B$5)=1,MAX(AB170,Z170),Z170),L170)</f>
        <v>488389</v>
      </c>
      <c r="AD170" s="97">
        <f t="shared" si="25"/>
        <v>2.2279668023736487E-2</v>
      </c>
      <c r="AE170" s="146">
        <v>1.8480066473749002E-2</v>
      </c>
      <c r="AF170" s="56">
        <f t="shared" si="33"/>
        <v>488389</v>
      </c>
      <c r="AG170" s="56">
        <v>1957.8460299084697</v>
      </c>
      <c r="AH170" s="16">
        <f t="shared" si="26"/>
        <v>2.2279668023736487E-2</v>
      </c>
      <c r="AI170" s="16">
        <f t="shared" si="27"/>
        <v>1.8480066473749002E-2</v>
      </c>
      <c r="AJ170" s="56"/>
      <c r="AK170" s="56">
        <v>421640.95237025275</v>
      </c>
      <c r="AL170" s="56">
        <v>1690.2675216782636</v>
      </c>
      <c r="AM170" s="16">
        <f t="shared" si="35"/>
        <v>0.15830541899339567</v>
      </c>
      <c r="AN170" s="58">
        <f t="shared" si="35"/>
        <v>0.15830541899339567</v>
      </c>
      <c r="AP170" s="56">
        <f t="shared" si="28"/>
        <v>1</v>
      </c>
      <c r="AQ170" s="56">
        <f t="shared" si="29"/>
        <v>0</v>
      </c>
    </row>
    <row r="171" spans="1:43" x14ac:dyDescent="0.2">
      <c r="A171" s="156" t="s">
        <v>387</v>
      </c>
      <c r="B171" s="156" t="s">
        <v>388</v>
      </c>
      <c r="D171" s="68">
        <f>VLOOKUP(A171,'2019-20 disagg'!A171:AZ379,43,FALSE)</f>
        <v>204487</v>
      </c>
      <c r="E171" s="73">
        <v>1534.948992570125</v>
      </c>
      <c r="F171" s="55"/>
      <c r="G171" s="88">
        <v>204888.38414271583</v>
      </c>
      <c r="H171" s="81">
        <v>1522.5516452174941</v>
      </c>
      <c r="I171" s="90"/>
      <c r="J171" s="103">
        <f t="shared" si="30"/>
        <v>-1.9590380606264723E-3</v>
      </c>
      <c r="K171" s="126">
        <f t="shared" si="30"/>
        <v>8.1424806781249526E-3</v>
      </c>
      <c r="L171" s="56">
        <v>212705</v>
      </c>
      <c r="M171" s="103">
        <v>3.4876280748462163E-2</v>
      </c>
      <c r="N171" s="97">
        <f>INDEX('Pace of change parameters'!$E$22:$I$22,1,$B$5)</f>
        <v>2.4506891160555818E-2</v>
      </c>
      <c r="O171" s="108">
        <f>MAX(IF(INDEX('Pace of change parameters'!$E$30:$I$30,1,$B$5)=1,(1+M171)*D171,D171),L171)</f>
        <v>212705</v>
      </c>
      <c r="P171" s="94">
        <f>IF(K171&lt;INDEX('Pace of change parameters'!$E$18:$I$18,1,$B$5),1,IF(K171&gt;INDEX('Pace of change parameters'!$E$19:$I$19,1,$B$5),0,(K171-INDEX('Pace of change parameters'!$E$19:$I$19,1,$B$5))/(INDEX('Pace of change parameters'!$E$18:$I$18,1,$B$5)-INDEX('Pace of change parameters'!$E$19:$I$19,1,$B$5))))</f>
        <v>0</v>
      </c>
      <c r="Q171" s="57">
        <v>3.4876280748462163E-2</v>
      </c>
      <c r="R171" s="57">
        <v>2.450689116055571E-2</v>
      </c>
      <c r="S171" s="9">
        <f>MAX(IF(INDEX('Pace of change parameters'!$E$31:$I$31,1,$B$5)=1,D171*(1+Q171),D171),L171)</f>
        <v>212705</v>
      </c>
      <c r="T171" s="103">
        <f>IF(Q171&lt;INDEX('Pace of change parameters'!$E$24:$I$24,1,$B$5),INDEX('Pace of change parameters'!$E$24:$I$24,1,$B$5),Q171)</f>
        <v>3.4876280748462163E-2</v>
      </c>
      <c r="U171" s="132">
        <v>2.450689116055571E-2</v>
      </c>
      <c r="V171" s="117">
        <f t="shared" si="31"/>
        <v>212705</v>
      </c>
      <c r="W171" s="131">
        <f>IF(J171&gt;INDEX('Pace of change parameters'!$E$26:$I$26,1,$B$5),0,IF(J171&lt;INDEX('Pace of change parameters'!$E$25:$I$25,1,$B$5),1,(J171-INDEX('Pace of change parameters'!$E$26:$I$26,1,$B$5))/(INDEX('Pace of change parameters'!$E$25:$I$25,1,$B$5)-INDEX('Pace of change parameters'!$E$26:$I$26,1,$B$5))))</f>
        <v>1</v>
      </c>
      <c r="X171" s="132">
        <f>MIN(T171, T171+(INDEX('Pace of change parameters'!$E$27:$I$27,1,$B$5)-T171)*(1-W171))</f>
        <v>3.4876280748462163E-2</v>
      </c>
      <c r="Y171" s="132">
        <v>2.450689116055571E-2</v>
      </c>
      <c r="Z171" s="108">
        <f t="shared" si="32"/>
        <v>212705</v>
      </c>
      <c r="AA171" s="97">
        <f>MIN(VLOOKUP(A171,'2019-20 disagg'!$A$12:$BB$220,54,FALSE),-2.5%)</f>
        <v>-2.5000000000000001E-2</v>
      </c>
      <c r="AB171" s="99">
        <f t="shared" si="24"/>
        <v>207951.96865237714</v>
      </c>
      <c r="AC171" s="99">
        <f>MAX(IF(INDEX('Pace of change parameters'!$E$29:$I$29,1,$B$5)=1,MAX(AB171,Z171),Z171),L171)</f>
        <v>212705</v>
      </c>
      <c r="AD171" s="97">
        <f t="shared" si="25"/>
        <v>4.0188373833055513E-2</v>
      </c>
      <c r="AE171" s="146">
        <v>2.9765757435581408E-2</v>
      </c>
      <c r="AF171" s="56">
        <f t="shared" si="33"/>
        <v>212705</v>
      </c>
      <c r="AG171" s="56">
        <v>1580.6379119589571</v>
      </c>
      <c r="AH171" s="16">
        <f t="shared" si="26"/>
        <v>4.0188373833055513E-2</v>
      </c>
      <c r="AI171" s="16">
        <f t="shared" si="27"/>
        <v>2.9765757435581186E-2</v>
      </c>
      <c r="AJ171" s="56"/>
      <c r="AK171" s="56">
        <v>213284.07041269451</v>
      </c>
      <c r="AL171" s="56">
        <v>1584.9410578558502</v>
      </c>
      <c r="AM171" s="16">
        <f t="shared" si="35"/>
        <v>-2.7150195116495413E-3</v>
      </c>
      <c r="AN171" s="58">
        <f t="shared" si="35"/>
        <v>-2.7150195116495413E-3</v>
      </c>
      <c r="AP171" s="56">
        <f t="shared" si="28"/>
        <v>1</v>
      </c>
      <c r="AQ171" s="56">
        <f t="shared" si="29"/>
        <v>0</v>
      </c>
    </row>
    <row r="172" spans="1:43" x14ac:dyDescent="0.2">
      <c r="A172" s="156" t="s">
        <v>389</v>
      </c>
      <c r="B172" s="156" t="s">
        <v>390</v>
      </c>
      <c r="D172" s="68">
        <f>VLOOKUP(A172,'2019-20 disagg'!A172:AZ380,43,FALSE)</f>
        <v>328350</v>
      </c>
      <c r="E172" s="73">
        <v>1519.0775321148869</v>
      </c>
      <c r="F172" s="55"/>
      <c r="G172" s="88">
        <v>334751.5104741556</v>
      </c>
      <c r="H172" s="81">
        <v>1533.4830863009388</v>
      </c>
      <c r="I172" s="90"/>
      <c r="J172" s="103">
        <f t="shared" si="30"/>
        <v>-1.9123171289319174E-2</v>
      </c>
      <c r="K172" s="126">
        <f t="shared" si="30"/>
        <v>-9.3940091773694334E-3</v>
      </c>
      <c r="L172" s="56">
        <v>342902</v>
      </c>
      <c r="M172" s="103">
        <v>3.4668812960678919E-2</v>
      </c>
      <c r="N172" s="97">
        <f>INDEX('Pace of change parameters'!$E$22:$I$22,1,$B$5)</f>
        <v>2.4506891160555818E-2</v>
      </c>
      <c r="O172" s="108">
        <f>MAX(IF(INDEX('Pace of change parameters'!$E$30:$I$30,1,$B$5)=1,(1+M172)*D172,D172),L172)</f>
        <v>342902</v>
      </c>
      <c r="P172" s="94">
        <f>IF(K172&lt;INDEX('Pace of change parameters'!$E$18:$I$18,1,$B$5),1,IF(K172&gt;INDEX('Pace of change parameters'!$E$19:$I$19,1,$B$5),0,(K172-INDEX('Pace of change parameters'!$E$19:$I$19,1,$B$5))/(INDEX('Pace of change parameters'!$E$18:$I$18,1,$B$5)-INDEX('Pace of change parameters'!$E$19:$I$19,1,$B$5))))</f>
        <v>0.52090642014145594</v>
      </c>
      <c r="Q172" s="57">
        <v>4.3134966363027605E-2</v>
      </c>
      <c r="R172" s="57">
        <v>3.2889894875057557E-2</v>
      </c>
      <c r="S172" s="9">
        <f>MAX(IF(INDEX('Pace of change parameters'!$E$31:$I$31,1,$B$5)=1,D172*(1+Q172),D172),L172)</f>
        <v>342902</v>
      </c>
      <c r="T172" s="103">
        <f>IF(Q172&lt;INDEX('Pace of change parameters'!$E$24:$I$24,1,$B$5),INDEX('Pace of change parameters'!$E$24:$I$24,1,$B$5),Q172)</f>
        <v>4.3134966363027605E-2</v>
      </c>
      <c r="U172" s="132">
        <v>3.2889894875057557E-2</v>
      </c>
      <c r="V172" s="117">
        <f t="shared" si="31"/>
        <v>342902</v>
      </c>
      <c r="W172" s="131">
        <f>IF(J172&gt;INDEX('Pace of change parameters'!$E$26:$I$26,1,$B$5),0,IF(J172&lt;INDEX('Pace of change parameters'!$E$25:$I$25,1,$B$5),1,(J172-INDEX('Pace of change parameters'!$E$26:$I$26,1,$B$5))/(INDEX('Pace of change parameters'!$E$25:$I$25,1,$B$5)-INDEX('Pace of change parameters'!$E$26:$I$26,1,$B$5))))</f>
        <v>1</v>
      </c>
      <c r="X172" s="132">
        <f>MIN(T172, T172+(INDEX('Pace of change parameters'!$E$27:$I$27,1,$B$5)-T172)*(1-W172))</f>
        <v>4.3134966363027605E-2</v>
      </c>
      <c r="Y172" s="132">
        <v>3.2889894875057557E-2</v>
      </c>
      <c r="Z172" s="108">
        <f t="shared" si="32"/>
        <v>342902</v>
      </c>
      <c r="AA172" s="97">
        <f>MIN(VLOOKUP(A172,'2019-20 disagg'!$A$12:$BB$220,54,FALSE),-2.5%)</f>
        <v>-2.5000000000000001E-2</v>
      </c>
      <c r="AB172" s="99">
        <f t="shared" si="24"/>
        <v>339655.1422349647</v>
      </c>
      <c r="AC172" s="99">
        <f>MAX(IF(INDEX('Pace of change parameters'!$E$29:$I$29,1,$B$5)=1,MAX(AB172,Z172),Z172),L172)</f>
        <v>342902</v>
      </c>
      <c r="AD172" s="97">
        <f t="shared" si="25"/>
        <v>4.4318562509517268E-2</v>
      </c>
      <c r="AE172" s="146">
        <v>3.406186642116027E-2</v>
      </c>
      <c r="AF172" s="56">
        <f t="shared" si="33"/>
        <v>342902</v>
      </c>
      <c r="AG172" s="56">
        <v>1570.8201480971702</v>
      </c>
      <c r="AH172" s="16">
        <f t="shared" si="26"/>
        <v>4.4318562509517268E-2</v>
      </c>
      <c r="AI172" s="16">
        <f t="shared" si="27"/>
        <v>3.4061866421160492E-2</v>
      </c>
      <c r="AJ172" s="56"/>
      <c r="AK172" s="56">
        <v>348364.24844611768</v>
      </c>
      <c r="AL172" s="56">
        <v>1595.8424865876839</v>
      </c>
      <c r="AM172" s="16">
        <f t="shared" si="35"/>
        <v>-1.5679704419963025E-2</v>
      </c>
      <c r="AN172" s="58">
        <f t="shared" si="35"/>
        <v>-1.5679704419963025E-2</v>
      </c>
      <c r="AP172" s="56">
        <f t="shared" si="28"/>
        <v>1</v>
      </c>
      <c r="AQ172" s="56">
        <f t="shared" si="29"/>
        <v>0</v>
      </c>
    </row>
    <row r="173" spans="1:43" x14ac:dyDescent="0.2">
      <c r="A173" s="156" t="s">
        <v>391</v>
      </c>
      <c r="B173" s="156" t="s">
        <v>392</v>
      </c>
      <c r="D173" s="68">
        <f>VLOOKUP(A173,'2019-20 disagg'!A173:AZ381,43,FALSE)</f>
        <v>216521</v>
      </c>
      <c r="E173" s="73">
        <v>1488.5080170390586</v>
      </c>
      <c r="F173" s="55"/>
      <c r="G173" s="88">
        <v>221744.89492911537</v>
      </c>
      <c r="H173" s="81">
        <v>1510.2127363541751</v>
      </c>
      <c r="I173" s="90"/>
      <c r="J173" s="103">
        <f t="shared" si="30"/>
        <v>-2.3558129402642125E-2</v>
      </c>
      <c r="K173" s="126">
        <f t="shared" si="30"/>
        <v>-1.4371961507564923E-2</v>
      </c>
      <c r="L173" s="56">
        <v>225128</v>
      </c>
      <c r="M173" s="103">
        <v>3.4145245060831275E-2</v>
      </c>
      <c r="N173" s="97">
        <f>INDEX('Pace of change parameters'!$E$22:$I$22,1,$B$5)</f>
        <v>2.4506891160555818E-2</v>
      </c>
      <c r="O173" s="108">
        <f>MAX(IF(INDEX('Pace of change parameters'!$E$30:$I$30,1,$B$5)=1,(1+M173)*D173,D173),L173)</f>
        <v>225128</v>
      </c>
      <c r="P173" s="94">
        <f>IF(K173&lt;INDEX('Pace of change parameters'!$E$18:$I$18,1,$B$5),1,IF(K173&gt;INDEX('Pace of change parameters'!$E$19:$I$19,1,$B$5),0,(K173-INDEX('Pace of change parameters'!$E$19:$I$19,1,$B$5))/(INDEX('Pace of change parameters'!$E$18:$I$18,1,$B$5)-INDEX('Pace of change parameters'!$E$19:$I$19,1,$B$5))))</f>
        <v>0.68418907800423912</v>
      </c>
      <c r="Q173" s="57">
        <v>4.5259561077191313E-2</v>
      </c>
      <c r="R173" s="57">
        <v>3.5517620459637023E-2</v>
      </c>
      <c r="S173" s="9">
        <f>MAX(IF(INDEX('Pace of change parameters'!$E$31:$I$31,1,$B$5)=1,D173*(1+Q173),D173),L173)</f>
        <v>226320.64542399455</v>
      </c>
      <c r="T173" s="103">
        <f>IF(Q173&lt;INDEX('Pace of change parameters'!$E$24:$I$24,1,$B$5),INDEX('Pace of change parameters'!$E$24:$I$24,1,$B$5),Q173)</f>
        <v>4.5259561077191313E-2</v>
      </c>
      <c r="U173" s="132">
        <v>3.5517620459637023E-2</v>
      </c>
      <c r="V173" s="117">
        <f t="shared" si="31"/>
        <v>226320.64542399455</v>
      </c>
      <c r="W173" s="131">
        <f>IF(J173&gt;INDEX('Pace of change parameters'!$E$26:$I$26,1,$B$5),0,IF(J173&lt;INDEX('Pace of change parameters'!$E$25:$I$25,1,$B$5),1,(J173-INDEX('Pace of change parameters'!$E$26:$I$26,1,$B$5))/(INDEX('Pace of change parameters'!$E$25:$I$25,1,$B$5)-INDEX('Pace of change parameters'!$E$26:$I$26,1,$B$5))))</f>
        <v>1</v>
      </c>
      <c r="X173" s="132">
        <f>MIN(T173, T173+(INDEX('Pace of change parameters'!$E$27:$I$27,1,$B$5)-T173)*(1-W173))</f>
        <v>4.5259561077191313E-2</v>
      </c>
      <c r="Y173" s="132">
        <v>3.5517620459637023E-2</v>
      </c>
      <c r="Z173" s="108">
        <f t="shared" si="32"/>
        <v>226320.64542399455</v>
      </c>
      <c r="AA173" s="97">
        <f>MIN(VLOOKUP(A173,'2019-20 disagg'!$A$12:$BB$220,54,FALSE),-2.5%)</f>
        <v>-2.5000000000000001E-2</v>
      </c>
      <c r="AB173" s="99">
        <f t="shared" si="24"/>
        <v>225001.70229588385</v>
      </c>
      <c r="AC173" s="99">
        <f>MAX(IF(INDEX('Pace of change parameters'!$E$29:$I$29,1,$B$5)=1,MAX(AB173,Z173),Z173),L173)</f>
        <v>226320.64542399455</v>
      </c>
      <c r="AD173" s="97">
        <f t="shared" si="25"/>
        <v>4.5259561077191313E-2</v>
      </c>
      <c r="AE173" s="146">
        <v>3.5517620459637023E-2</v>
      </c>
      <c r="AF173" s="56">
        <f t="shared" si="33"/>
        <v>226320.64542399455</v>
      </c>
      <c r="AG173" s="56">
        <v>1541.3762798393791</v>
      </c>
      <c r="AH173" s="16">
        <f t="shared" si="26"/>
        <v>4.5259561077191313E-2</v>
      </c>
      <c r="AI173" s="16">
        <f t="shared" si="27"/>
        <v>3.5517620459637245E-2</v>
      </c>
      <c r="AJ173" s="56"/>
      <c r="AK173" s="56">
        <v>230770.97671372702</v>
      </c>
      <c r="AL173" s="56">
        <v>1571.6856450082951</v>
      </c>
      <c r="AM173" s="16">
        <f t="shared" si="35"/>
        <v>-1.928462301935463E-2</v>
      </c>
      <c r="AN173" s="58">
        <f t="shared" si="35"/>
        <v>-1.9284623019354519E-2</v>
      </c>
      <c r="AP173" s="56">
        <f t="shared" si="28"/>
        <v>0</v>
      </c>
      <c r="AQ173" s="56">
        <f t="shared" si="29"/>
        <v>0</v>
      </c>
    </row>
    <row r="174" spans="1:43" x14ac:dyDescent="0.2">
      <c r="A174" s="156" t="s">
        <v>393</v>
      </c>
      <c r="B174" s="156" t="s">
        <v>394</v>
      </c>
      <c r="D174" s="68">
        <f>VLOOKUP(A174,'2019-20 disagg'!A174:AZ382,43,FALSE)</f>
        <v>528403</v>
      </c>
      <c r="E174" s="73">
        <v>1655.4485044740179</v>
      </c>
      <c r="F174" s="55"/>
      <c r="G174" s="88">
        <v>513326.04575761367</v>
      </c>
      <c r="H174" s="81">
        <v>1598.5689284564207</v>
      </c>
      <c r="I174" s="90"/>
      <c r="J174" s="103">
        <f t="shared" si="30"/>
        <v>2.9371107051726408E-2</v>
      </c>
      <c r="K174" s="126">
        <f t="shared" si="30"/>
        <v>3.5581559859617862E-2</v>
      </c>
      <c r="L174" s="56">
        <v>549244</v>
      </c>
      <c r="M174" s="103">
        <v>3.0687996939923856E-2</v>
      </c>
      <c r="N174" s="97">
        <f>INDEX('Pace of change parameters'!$E$22:$I$22,1,$B$5)</f>
        <v>2.4506891160555818E-2</v>
      </c>
      <c r="O174" s="108">
        <f>MAX(IF(INDEX('Pace of change parameters'!$E$30:$I$30,1,$B$5)=1,(1+M174)*D174,D174),L174)</f>
        <v>549244</v>
      </c>
      <c r="P174" s="94">
        <f>IF(K174&lt;INDEX('Pace of change parameters'!$E$18:$I$18,1,$B$5),1,IF(K174&gt;INDEX('Pace of change parameters'!$E$19:$I$19,1,$B$5),0,(K174-INDEX('Pace of change parameters'!$E$19:$I$19,1,$B$5))/(INDEX('Pace of change parameters'!$E$18:$I$18,1,$B$5)-INDEX('Pace of change parameters'!$E$19:$I$19,1,$B$5))))</f>
        <v>0</v>
      </c>
      <c r="Q174" s="57">
        <v>3.0687996939923856E-2</v>
      </c>
      <c r="R174" s="57">
        <v>2.450689116055571E-2</v>
      </c>
      <c r="S174" s="9">
        <f>MAX(IF(INDEX('Pace of change parameters'!$E$31:$I$31,1,$B$5)=1,D174*(1+Q174),D174),L174)</f>
        <v>549244</v>
      </c>
      <c r="T174" s="103">
        <f>IF(Q174&lt;INDEX('Pace of change parameters'!$E$24:$I$24,1,$B$5),INDEX('Pace of change parameters'!$E$24:$I$24,1,$B$5),Q174)</f>
        <v>3.2992755077120454E-2</v>
      </c>
      <c r="U174" s="132">
        <v>2.679782750698334E-2</v>
      </c>
      <c r="V174" s="117">
        <f t="shared" si="31"/>
        <v>549244</v>
      </c>
      <c r="W174" s="131">
        <f>IF(J174&gt;INDEX('Pace of change parameters'!$E$26:$I$26,1,$B$5),0,IF(J174&lt;INDEX('Pace of change parameters'!$E$25:$I$25,1,$B$5),1,(J174-INDEX('Pace of change parameters'!$E$26:$I$26,1,$B$5))/(INDEX('Pace of change parameters'!$E$25:$I$25,1,$B$5)-INDEX('Pace of change parameters'!$E$26:$I$26,1,$B$5))))</f>
        <v>1</v>
      </c>
      <c r="X174" s="132">
        <f>MIN(T174, T174+(INDEX('Pace of change parameters'!$E$27:$I$27,1,$B$5)-T174)*(1-W174))</f>
        <v>3.2992755077120454E-2</v>
      </c>
      <c r="Y174" s="132">
        <v>2.679782750698334E-2</v>
      </c>
      <c r="Z174" s="108">
        <f t="shared" si="32"/>
        <v>549244</v>
      </c>
      <c r="AA174" s="97">
        <f>MIN(VLOOKUP(A174,'2019-20 disagg'!$A$12:$BB$220,54,FALSE),-2.5%)</f>
        <v>-2.5000000000000001E-2</v>
      </c>
      <c r="AB174" s="99">
        <f t="shared" si="24"/>
        <v>521110.92963675928</v>
      </c>
      <c r="AC174" s="99">
        <f>MAX(IF(INDEX('Pace of change parameters'!$E$29:$I$29,1,$B$5)=1,MAX(AB174,Z174),Z174),L174)</f>
        <v>549244</v>
      </c>
      <c r="AD174" s="97">
        <f t="shared" si="25"/>
        <v>3.9441486895418931E-2</v>
      </c>
      <c r="AE174" s="146">
        <v>3.3207885843461682E-2</v>
      </c>
      <c r="AF174" s="56">
        <f t="shared" si="33"/>
        <v>549244</v>
      </c>
      <c r="AG174" s="56">
        <v>1710.4224494303205</v>
      </c>
      <c r="AH174" s="16">
        <f t="shared" si="26"/>
        <v>3.9441486895418931E-2</v>
      </c>
      <c r="AI174" s="16">
        <f t="shared" si="27"/>
        <v>3.3207885843461682E-2</v>
      </c>
      <c r="AJ174" s="56"/>
      <c r="AK174" s="56">
        <v>534472.74834539415</v>
      </c>
      <c r="AL174" s="56">
        <v>1664.4227108146549</v>
      </c>
      <c r="AM174" s="16">
        <f t="shared" si="35"/>
        <v>2.7637052965439723E-2</v>
      </c>
      <c r="AN174" s="58">
        <f t="shared" si="35"/>
        <v>2.7637052965439945E-2</v>
      </c>
      <c r="AP174" s="56">
        <f t="shared" si="28"/>
        <v>1</v>
      </c>
      <c r="AQ174" s="56">
        <f t="shared" si="29"/>
        <v>0</v>
      </c>
    </row>
    <row r="175" spans="1:43" x14ac:dyDescent="0.2">
      <c r="A175" s="156" t="s">
        <v>395</v>
      </c>
      <c r="B175" s="156" t="s">
        <v>396</v>
      </c>
      <c r="D175" s="68">
        <f>VLOOKUP(A175,'2019-20 disagg'!A175:AZ383,43,FALSE)</f>
        <v>356485</v>
      </c>
      <c r="E175" s="73">
        <v>1603.5363833092872</v>
      </c>
      <c r="F175" s="55"/>
      <c r="G175" s="88">
        <v>356209.87014197843</v>
      </c>
      <c r="H175" s="81">
        <v>1594.0168602224965</v>
      </c>
      <c r="I175" s="90"/>
      <c r="J175" s="103">
        <f t="shared" si="30"/>
        <v>7.7238134336909958E-4</v>
      </c>
      <c r="K175" s="126">
        <f t="shared" si="30"/>
        <v>5.9720341260769416E-3</v>
      </c>
      <c r="L175" s="56">
        <v>370291</v>
      </c>
      <c r="M175" s="103">
        <v>2.9829859906331579E-2</v>
      </c>
      <c r="N175" s="97">
        <f>INDEX('Pace of change parameters'!$E$22:$I$22,1,$B$5)</f>
        <v>2.4506891160555818E-2</v>
      </c>
      <c r="O175" s="108">
        <f>MAX(IF(INDEX('Pace of change parameters'!$E$30:$I$30,1,$B$5)=1,(1+M175)*D175,D175),L175)</f>
        <v>370291</v>
      </c>
      <c r="P175" s="94">
        <f>IF(K175&lt;INDEX('Pace of change parameters'!$E$18:$I$18,1,$B$5),1,IF(K175&gt;INDEX('Pace of change parameters'!$E$19:$I$19,1,$B$5),0,(K175-INDEX('Pace of change parameters'!$E$19:$I$19,1,$B$5))/(INDEX('Pace of change parameters'!$E$18:$I$18,1,$B$5)-INDEX('Pace of change parameters'!$E$19:$I$19,1,$B$5))))</f>
        <v>1.6882230073968028E-2</v>
      </c>
      <c r="Q175" s="57">
        <v>3.0102959063086798E-2</v>
      </c>
      <c r="R175" s="57">
        <v>2.4778578726588618E-2</v>
      </c>
      <c r="S175" s="9">
        <f>MAX(IF(INDEX('Pace of change parameters'!$E$31:$I$31,1,$B$5)=1,D175*(1+Q175),D175),L175)</f>
        <v>370291</v>
      </c>
      <c r="T175" s="103">
        <f>IF(Q175&lt;INDEX('Pace of change parameters'!$E$24:$I$24,1,$B$5),INDEX('Pace of change parameters'!$E$24:$I$24,1,$B$5),Q175)</f>
        <v>3.2992755077120454E-2</v>
      </c>
      <c r="U175" s="132">
        <v>2.7653438007416931E-2</v>
      </c>
      <c r="V175" s="117">
        <f t="shared" si="31"/>
        <v>370291</v>
      </c>
      <c r="W175" s="131">
        <f>IF(J175&gt;INDEX('Pace of change parameters'!$E$26:$I$26,1,$B$5),0,IF(J175&lt;INDEX('Pace of change parameters'!$E$25:$I$25,1,$B$5),1,(J175-INDEX('Pace of change parameters'!$E$26:$I$26,1,$B$5))/(INDEX('Pace of change parameters'!$E$25:$I$25,1,$B$5)-INDEX('Pace of change parameters'!$E$26:$I$26,1,$B$5))))</f>
        <v>1</v>
      </c>
      <c r="X175" s="132">
        <f>MIN(T175, T175+(INDEX('Pace of change parameters'!$E$27:$I$27,1,$B$5)-T175)*(1-W175))</f>
        <v>3.2992755077120454E-2</v>
      </c>
      <c r="Y175" s="132">
        <v>2.7653438007416931E-2</v>
      </c>
      <c r="Z175" s="108">
        <f t="shared" si="32"/>
        <v>370291</v>
      </c>
      <c r="AA175" s="97">
        <f>MIN(VLOOKUP(A175,'2019-20 disagg'!$A$12:$BB$220,54,FALSE),-2.5%)</f>
        <v>-2.5000000000000001E-2</v>
      </c>
      <c r="AB175" s="99">
        <f t="shared" si="24"/>
        <v>361473.13976251066</v>
      </c>
      <c r="AC175" s="99">
        <f>MAX(IF(INDEX('Pace of change parameters'!$E$29:$I$29,1,$B$5)=1,MAX(AB175,Z175),Z175),L175)</f>
        <v>370291</v>
      </c>
      <c r="AD175" s="97">
        <f t="shared" si="25"/>
        <v>3.8728137228775328E-2</v>
      </c>
      <c r="AE175" s="146">
        <v>3.3359175203990343E-2</v>
      </c>
      <c r="AF175" s="56">
        <f t="shared" si="33"/>
        <v>370291</v>
      </c>
      <c r="AG175" s="56">
        <v>1657.0290344660748</v>
      </c>
      <c r="AH175" s="16">
        <f t="shared" si="26"/>
        <v>3.8728137228775328E-2</v>
      </c>
      <c r="AI175" s="16">
        <f t="shared" si="27"/>
        <v>3.3359175203990343E-2</v>
      </c>
      <c r="AJ175" s="56"/>
      <c r="AK175" s="56">
        <v>370741.68180770328</v>
      </c>
      <c r="AL175" s="56">
        <v>1659.0458073303084</v>
      </c>
      <c r="AM175" s="16">
        <f t="shared" si="35"/>
        <v>-1.2156221698779168E-3</v>
      </c>
      <c r="AN175" s="58">
        <f t="shared" si="35"/>
        <v>-1.2156221698779168E-3</v>
      </c>
      <c r="AP175" s="56">
        <f t="shared" si="28"/>
        <v>1</v>
      </c>
      <c r="AQ175" s="56">
        <f t="shared" si="29"/>
        <v>0</v>
      </c>
    </row>
    <row r="176" spans="1:43" x14ac:dyDescent="0.2">
      <c r="A176" s="156" t="s">
        <v>397</v>
      </c>
      <c r="B176" s="156" t="s">
        <v>398</v>
      </c>
      <c r="D176" s="68">
        <f>VLOOKUP(A176,'2019-20 disagg'!A176:AZ384,43,FALSE)</f>
        <v>510110</v>
      </c>
      <c r="E176" s="73">
        <v>1475.1967196598196</v>
      </c>
      <c r="F176" s="55"/>
      <c r="G176" s="88">
        <v>521435.91487555322</v>
      </c>
      <c r="H176" s="81">
        <v>1498.7441443024895</v>
      </c>
      <c r="I176" s="90"/>
      <c r="J176" s="103">
        <f t="shared" si="30"/>
        <v>-2.1720626739445636E-2</v>
      </c>
      <c r="K176" s="126">
        <f t="shared" si="30"/>
        <v>-1.571143729380764E-2</v>
      </c>
      <c r="L176" s="56">
        <v>530114</v>
      </c>
      <c r="M176" s="103">
        <v>3.0800038256999507E-2</v>
      </c>
      <c r="N176" s="97">
        <f>INDEX('Pace of change parameters'!$E$22:$I$22,1,$B$5)</f>
        <v>2.4506891160555818E-2</v>
      </c>
      <c r="O176" s="108">
        <f>MAX(IF(INDEX('Pace of change parameters'!$E$30:$I$30,1,$B$5)=1,(1+M176)*D176,D176),L176)</f>
        <v>530114</v>
      </c>
      <c r="P176" s="94">
        <f>IF(K176&lt;INDEX('Pace of change parameters'!$E$18:$I$18,1,$B$5),1,IF(K176&gt;INDEX('Pace of change parameters'!$E$19:$I$19,1,$B$5),0,(K176-INDEX('Pace of change parameters'!$E$19:$I$19,1,$B$5))/(INDEX('Pace of change parameters'!$E$18:$I$18,1,$B$5)-INDEX('Pace of change parameters'!$E$19:$I$19,1,$B$5))))</f>
        <v>0.7281254502338147</v>
      </c>
      <c r="Q176" s="57">
        <v>4.2589818274256785E-2</v>
      </c>
      <c r="R176" s="57">
        <v>3.6224693279937936E-2</v>
      </c>
      <c r="S176" s="9">
        <f>MAX(IF(INDEX('Pace of change parameters'!$E$31:$I$31,1,$B$5)=1,D176*(1+Q176),D176),L176)</f>
        <v>531835.49219988112</v>
      </c>
      <c r="T176" s="103">
        <f>IF(Q176&lt;INDEX('Pace of change parameters'!$E$24:$I$24,1,$B$5),INDEX('Pace of change parameters'!$E$24:$I$24,1,$B$5),Q176)</f>
        <v>4.2589818274256785E-2</v>
      </c>
      <c r="U176" s="132">
        <v>3.6224693279937936E-2</v>
      </c>
      <c r="V176" s="117">
        <f t="shared" si="31"/>
        <v>531835.49219988112</v>
      </c>
      <c r="W176" s="131">
        <f>IF(J176&gt;INDEX('Pace of change parameters'!$E$26:$I$26,1,$B$5),0,IF(J176&lt;INDEX('Pace of change parameters'!$E$25:$I$25,1,$B$5),1,(J176-INDEX('Pace of change parameters'!$E$26:$I$26,1,$B$5))/(INDEX('Pace of change parameters'!$E$25:$I$25,1,$B$5)-INDEX('Pace of change parameters'!$E$26:$I$26,1,$B$5))))</f>
        <v>1</v>
      </c>
      <c r="X176" s="132">
        <f>MIN(T176, T176+(INDEX('Pace of change parameters'!$E$27:$I$27,1,$B$5)-T176)*(1-W176))</f>
        <v>4.2589818274256785E-2</v>
      </c>
      <c r="Y176" s="132">
        <v>3.6224693279937936E-2</v>
      </c>
      <c r="Z176" s="108">
        <f t="shared" si="32"/>
        <v>531835.49219988112</v>
      </c>
      <c r="AA176" s="97">
        <f>MIN(VLOOKUP(A176,'2019-20 disagg'!$A$12:$BB$220,54,FALSE),-2.5%)</f>
        <v>-2.5000000000000001E-2</v>
      </c>
      <c r="AB176" s="99">
        <f t="shared" si="24"/>
        <v>529091.75930283125</v>
      </c>
      <c r="AC176" s="99">
        <f>MAX(IF(INDEX('Pace of change parameters'!$E$29:$I$29,1,$B$5)=1,MAX(AB176,Z176),Z176),L176)</f>
        <v>531835.49219988112</v>
      </c>
      <c r="AD176" s="97">
        <f t="shared" si="25"/>
        <v>4.2589818274256785E-2</v>
      </c>
      <c r="AE176" s="146">
        <v>3.6224693279937936E-2</v>
      </c>
      <c r="AF176" s="56">
        <f t="shared" si="33"/>
        <v>531835.49219988112</v>
      </c>
      <c r="AG176" s="56">
        <v>1528.6352683570672</v>
      </c>
      <c r="AH176" s="16">
        <f t="shared" si="26"/>
        <v>4.2589818274256785E-2</v>
      </c>
      <c r="AI176" s="16">
        <f t="shared" si="27"/>
        <v>3.6224693279937936E-2</v>
      </c>
      <c r="AJ176" s="56"/>
      <c r="AK176" s="56">
        <v>542658.21466957056</v>
      </c>
      <c r="AL176" s="56">
        <v>1559.7426229985847</v>
      </c>
      <c r="AM176" s="16">
        <f t="shared" si="35"/>
        <v>-1.9943902399560121E-2</v>
      </c>
      <c r="AN176" s="58">
        <f t="shared" si="35"/>
        <v>-1.994390239956001E-2</v>
      </c>
      <c r="AP176" s="56">
        <f t="shared" si="28"/>
        <v>0</v>
      </c>
      <c r="AQ176" s="56">
        <f t="shared" si="29"/>
        <v>0</v>
      </c>
    </row>
    <row r="177" spans="1:43" x14ac:dyDescent="0.2">
      <c r="A177" s="156" t="s">
        <v>399</v>
      </c>
      <c r="B177" s="156" t="s">
        <v>400</v>
      </c>
      <c r="D177" s="68">
        <f>VLOOKUP(A177,'2019-20 disagg'!A177:AZ385,43,FALSE)</f>
        <v>931345</v>
      </c>
      <c r="E177" s="73">
        <v>1789.7272903214289</v>
      </c>
      <c r="F177" s="55"/>
      <c r="G177" s="88">
        <v>951420.94349730061</v>
      </c>
      <c r="H177" s="81">
        <v>1813.5762459890125</v>
      </c>
      <c r="I177" s="90"/>
      <c r="J177" s="103">
        <f t="shared" si="30"/>
        <v>-2.1101010687765598E-2</v>
      </c>
      <c r="K177" s="126">
        <f t="shared" si="30"/>
        <v>-1.3150236015899042E-2</v>
      </c>
      <c r="L177" s="56">
        <v>967984</v>
      </c>
      <c r="M177" s="103">
        <v>3.2828100529783244E-2</v>
      </c>
      <c r="N177" s="97">
        <f>INDEX('Pace of change parameters'!$E$22:$I$22,1,$B$5)</f>
        <v>2.4506891160555818E-2</v>
      </c>
      <c r="O177" s="108">
        <f>MAX(IF(INDEX('Pace of change parameters'!$E$30:$I$30,1,$B$5)=1,(1+M177)*D177,D177),L177)</f>
        <v>967984</v>
      </c>
      <c r="P177" s="94">
        <f>IF(K177&lt;INDEX('Pace of change parameters'!$E$18:$I$18,1,$B$5),1,IF(K177&gt;INDEX('Pace of change parameters'!$E$19:$I$19,1,$B$5),0,(K177-INDEX('Pace of change parameters'!$E$19:$I$19,1,$B$5))/(INDEX('Pace of change parameters'!$E$18:$I$18,1,$B$5)-INDEX('Pace of change parameters'!$E$19:$I$19,1,$B$5))))</f>
        <v>0.64411505313906192</v>
      </c>
      <c r="Q177" s="57">
        <v>4.327810698695056E-2</v>
      </c>
      <c r="R177" s="57">
        <v>3.4872704815847033E-2</v>
      </c>
      <c r="S177" s="9">
        <f>MAX(IF(INDEX('Pace of change parameters'!$E$31:$I$31,1,$B$5)=1,D177*(1+Q177),D177),L177)</f>
        <v>971651.84855176148</v>
      </c>
      <c r="T177" s="103">
        <f>IF(Q177&lt;INDEX('Pace of change parameters'!$E$24:$I$24,1,$B$5),INDEX('Pace of change parameters'!$E$24:$I$24,1,$B$5),Q177)</f>
        <v>4.327810698695056E-2</v>
      </c>
      <c r="U177" s="132">
        <v>3.4872704815847033E-2</v>
      </c>
      <c r="V177" s="117">
        <f t="shared" si="31"/>
        <v>971651.84855176148</v>
      </c>
      <c r="W177" s="131">
        <f>IF(J177&gt;INDEX('Pace of change parameters'!$E$26:$I$26,1,$B$5),0,IF(J177&lt;INDEX('Pace of change parameters'!$E$25:$I$25,1,$B$5),1,(J177-INDEX('Pace of change parameters'!$E$26:$I$26,1,$B$5))/(INDEX('Pace of change parameters'!$E$25:$I$25,1,$B$5)-INDEX('Pace of change parameters'!$E$26:$I$26,1,$B$5))))</f>
        <v>1</v>
      </c>
      <c r="X177" s="132">
        <f>MIN(T177, T177+(INDEX('Pace of change parameters'!$E$27:$I$27,1,$B$5)-T177)*(1-W177))</f>
        <v>4.327810698695056E-2</v>
      </c>
      <c r="Y177" s="132">
        <v>3.4872704815847033E-2</v>
      </c>
      <c r="Z177" s="108">
        <f t="shared" si="32"/>
        <v>971651.84855176148</v>
      </c>
      <c r="AA177" s="97">
        <f>MIN(VLOOKUP(A177,'2019-20 disagg'!$A$12:$BB$220,54,FALSE),-2.5%)</f>
        <v>-2.5000000000000001E-2</v>
      </c>
      <c r="AB177" s="99">
        <f t="shared" si="24"/>
        <v>965248.54360361618</v>
      </c>
      <c r="AC177" s="99">
        <f>MAX(IF(INDEX('Pace of change parameters'!$E$29:$I$29,1,$B$5)=1,MAX(AB177,Z177),Z177),L177)</f>
        <v>971651.84855176148</v>
      </c>
      <c r="AD177" s="97">
        <f t="shared" si="25"/>
        <v>4.327810698695056E-2</v>
      </c>
      <c r="AE177" s="146">
        <v>3.4872704815847033E-2</v>
      </c>
      <c r="AF177" s="56">
        <f t="shared" si="33"/>
        <v>971651.84855176148</v>
      </c>
      <c r="AG177" s="56">
        <v>1852.1399218176741</v>
      </c>
      <c r="AH177" s="16">
        <f t="shared" si="26"/>
        <v>4.327810698695056E-2</v>
      </c>
      <c r="AI177" s="16">
        <f t="shared" si="27"/>
        <v>3.4872704815847255E-2</v>
      </c>
      <c r="AJ177" s="56"/>
      <c r="AK177" s="56">
        <v>989998.50626011915</v>
      </c>
      <c r="AL177" s="56">
        <v>1887.1118896312701</v>
      </c>
      <c r="AM177" s="16">
        <f t="shared" si="35"/>
        <v>-1.8532005444801269E-2</v>
      </c>
      <c r="AN177" s="58">
        <f t="shared" si="35"/>
        <v>-1.8532005444801269E-2</v>
      </c>
      <c r="AP177" s="56">
        <f t="shared" si="28"/>
        <v>0</v>
      </c>
      <c r="AQ177" s="56">
        <f t="shared" si="29"/>
        <v>0</v>
      </c>
    </row>
    <row r="178" spans="1:43" x14ac:dyDescent="0.2">
      <c r="A178" s="156" t="s">
        <v>401</v>
      </c>
      <c r="B178" s="156" t="s">
        <v>402</v>
      </c>
      <c r="D178" s="68">
        <f>VLOOKUP(A178,'2019-20 disagg'!A178:AZ386,43,FALSE)</f>
        <v>217987</v>
      </c>
      <c r="E178" s="73">
        <v>1618.6342760379889</v>
      </c>
      <c r="F178" s="55"/>
      <c r="G178" s="88">
        <v>221555.12857951922</v>
      </c>
      <c r="H178" s="81">
        <v>1629.1039027790641</v>
      </c>
      <c r="I178" s="90"/>
      <c r="J178" s="103">
        <f t="shared" si="30"/>
        <v>-1.610492432468591E-2</v>
      </c>
      <c r="K178" s="126">
        <f t="shared" si="30"/>
        <v>-6.4266169415070351E-3</v>
      </c>
      <c r="L178" s="56">
        <v>226705</v>
      </c>
      <c r="M178" s="103">
        <v>3.4584685890884037E-2</v>
      </c>
      <c r="N178" s="97">
        <f>INDEX('Pace of change parameters'!$E$22:$I$22,1,$B$5)</f>
        <v>2.4506891160555818E-2</v>
      </c>
      <c r="O178" s="108">
        <f>MAX(IF(INDEX('Pace of change parameters'!$E$30:$I$30,1,$B$5)=1,(1+M178)*D178,D178),L178)</f>
        <v>226705</v>
      </c>
      <c r="P178" s="94">
        <f>IF(K178&lt;INDEX('Pace of change parameters'!$E$18:$I$18,1,$B$5),1,IF(K178&gt;INDEX('Pace of change parameters'!$E$19:$I$19,1,$B$5),0,(K178-INDEX('Pace of change parameters'!$E$19:$I$19,1,$B$5))/(INDEX('Pace of change parameters'!$E$18:$I$18,1,$B$5)-INDEX('Pace of change parameters'!$E$19:$I$19,1,$B$5))))</f>
        <v>0.42357248460857555</v>
      </c>
      <c r="Q178" s="57">
        <v>4.1468337002505296E-2</v>
      </c>
      <c r="R178" s="57">
        <v>3.1323489256755321E-2</v>
      </c>
      <c r="S178" s="9">
        <f>MAX(IF(INDEX('Pace of change parameters'!$E$31:$I$31,1,$B$5)=1,D178*(1+Q178),D178),L178)</f>
        <v>227026.55837816512</v>
      </c>
      <c r="T178" s="103">
        <f>IF(Q178&lt;INDEX('Pace of change parameters'!$E$24:$I$24,1,$B$5),INDEX('Pace of change parameters'!$E$24:$I$24,1,$B$5),Q178)</f>
        <v>4.1468337002505296E-2</v>
      </c>
      <c r="U178" s="132">
        <v>3.1323489256755321E-2</v>
      </c>
      <c r="V178" s="117">
        <f t="shared" si="31"/>
        <v>227026.55837816512</v>
      </c>
      <c r="W178" s="131">
        <f>IF(J178&gt;INDEX('Pace of change parameters'!$E$26:$I$26,1,$B$5),0,IF(J178&lt;INDEX('Pace of change parameters'!$E$25:$I$25,1,$B$5),1,(J178-INDEX('Pace of change parameters'!$E$26:$I$26,1,$B$5))/(INDEX('Pace of change parameters'!$E$25:$I$25,1,$B$5)-INDEX('Pace of change parameters'!$E$26:$I$26,1,$B$5))))</f>
        <v>1</v>
      </c>
      <c r="X178" s="132">
        <f>MIN(T178, T178+(INDEX('Pace of change parameters'!$E$27:$I$27,1,$B$5)-T178)*(1-W178))</f>
        <v>4.1468337002505296E-2</v>
      </c>
      <c r="Y178" s="132">
        <v>3.1323489256755321E-2</v>
      </c>
      <c r="Z178" s="108">
        <f t="shared" si="32"/>
        <v>227026.55837816512</v>
      </c>
      <c r="AA178" s="97">
        <f>MIN(VLOOKUP(A178,'2019-20 disagg'!$A$12:$BB$220,54,FALSE),-2.5%)</f>
        <v>-2.5000000000000001E-2</v>
      </c>
      <c r="AB178" s="99">
        <f t="shared" si="24"/>
        <v>224835.21928118181</v>
      </c>
      <c r="AC178" s="99">
        <f>MAX(IF(INDEX('Pace of change parameters'!$E$29:$I$29,1,$B$5)=1,MAX(AB178,Z178),Z178),L178)</f>
        <v>227026.55837816512</v>
      </c>
      <c r="AD178" s="97">
        <f t="shared" si="25"/>
        <v>4.1468337002505296E-2</v>
      </c>
      <c r="AE178" s="146">
        <v>3.1323489256755321E-2</v>
      </c>
      <c r="AF178" s="56">
        <f t="shared" si="33"/>
        <v>227026.55837816512</v>
      </c>
      <c r="AG178" s="56">
        <v>1669.3355493940805</v>
      </c>
      <c r="AH178" s="16">
        <f t="shared" si="26"/>
        <v>4.1468337002505296E-2</v>
      </c>
      <c r="AI178" s="16">
        <f t="shared" si="27"/>
        <v>3.1323489256755099E-2</v>
      </c>
      <c r="AJ178" s="56"/>
      <c r="AK178" s="56">
        <v>230600.22490377622</v>
      </c>
      <c r="AL178" s="56">
        <v>1695.6128652090217</v>
      </c>
      <c r="AM178" s="16">
        <f t="shared" si="35"/>
        <v>-1.5497237815367715E-2</v>
      </c>
      <c r="AN178" s="58">
        <f t="shared" si="35"/>
        <v>-1.5497237815367715E-2</v>
      </c>
      <c r="AP178" s="56">
        <f t="shared" si="28"/>
        <v>0</v>
      </c>
      <c r="AQ178" s="56">
        <f t="shared" si="29"/>
        <v>0</v>
      </c>
    </row>
    <row r="179" spans="1:43" x14ac:dyDescent="0.2">
      <c r="A179" s="156" t="s">
        <v>403</v>
      </c>
      <c r="B179" s="156" t="s">
        <v>404</v>
      </c>
      <c r="D179" s="68">
        <f>VLOOKUP(A179,'2019-20 disagg'!A179:AZ387,43,FALSE)</f>
        <v>443771</v>
      </c>
      <c r="E179" s="73">
        <v>1647.5561540699528</v>
      </c>
      <c r="F179" s="55"/>
      <c r="G179" s="88">
        <v>454741.93808052322</v>
      </c>
      <c r="H179" s="81">
        <v>1672.0555471661539</v>
      </c>
      <c r="I179" s="90"/>
      <c r="J179" s="103">
        <f t="shared" si="30"/>
        <v>-2.4125635138979695E-2</v>
      </c>
      <c r="K179" s="126">
        <f t="shared" si="30"/>
        <v>-1.4652260289870989E-2</v>
      </c>
      <c r="L179" s="56">
        <v>461592</v>
      </c>
      <c r="M179" s="103">
        <v>3.4452369969030228E-2</v>
      </c>
      <c r="N179" s="97">
        <f>INDEX('Pace of change parameters'!$E$22:$I$22,1,$B$5)</f>
        <v>2.4506891160555818E-2</v>
      </c>
      <c r="O179" s="108">
        <f>MAX(IF(INDEX('Pace of change parameters'!$E$30:$I$30,1,$B$5)=1,(1+M179)*D179,D179),L179)</f>
        <v>461592</v>
      </c>
      <c r="P179" s="94">
        <f>IF(K179&lt;INDEX('Pace of change parameters'!$E$18:$I$18,1,$B$5),1,IF(K179&gt;INDEX('Pace of change parameters'!$E$19:$I$19,1,$B$5),0,(K179-INDEX('Pace of change parameters'!$E$19:$I$19,1,$B$5))/(INDEX('Pace of change parameters'!$E$18:$I$18,1,$B$5)-INDEX('Pace of change parameters'!$E$19:$I$19,1,$B$5))))</f>
        <v>0.69338320585737556</v>
      </c>
      <c r="Q179" s="57">
        <v>4.5719385216422825E-2</v>
      </c>
      <c r="R179" s="57">
        <v>3.5665582559861297E-2</v>
      </c>
      <c r="S179" s="9">
        <f>MAX(IF(INDEX('Pace of change parameters'!$E$31:$I$31,1,$B$5)=1,D179*(1+Q179),D179),L179)</f>
        <v>464059.93729687715</v>
      </c>
      <c r="T179" s="103">
        <f>IF(Q179&lt;INDEX('Pace of change parameters'!$E$24:$I$24,1,$B$5),INDEX('Pace of change parameters'!$E$24:$I$24,1,$B$5),Q179)</f>
        <v>4.5719385216422825E-2</v>
      </c>
      <c r="U179" s="132">
        <v>3.5665582559861297E-2</v>
      </c>
      <c r="V179" s="117">
        <f t="shared" si="31"/>
        <v>464059.93729687715</v>
      </c>
      <c r="W179" s="131">
        <f>IF(J179&gt;INDEX('Pace of change parameters'!$E$26:$I$26,1,$B$5),0,IF(J179&lt;INDEX('Pace of change parameters'!$E$25:$I$25,1,$B$5),1,(J179-INDEX('Pace of change parameters'!$E$26:$I$26,1,$B$5))/(INDEX('Pace of change parameters'!$E$25:$I$25,1,$B$5)-INDEX('Pace of change parameters'!$E$26:$I$26,1,$B$5))))</f>
        <v>1</v>
      </c>
      <c r="X179" s="132">
        <f>MIN(T179, T179+(INDEX('Pace of change parameters'!$E$27:$I$27,1,$B$5)-T179)*(1-W179))</f>
        <v>4.5719385216422825E-2</v>
      </c>
      <c r="Y179" s="132">
        <v>3.5665582559861297E-2</v>
      </c>
      <c r="Z179" s="108">
        <f t="shared" si="32"/>
        <v>464059.93729687715</v>
      </c>
      <c r="AA179" s="97">
        <f>MIN(VLOOKUP(A179,'2019-20 disagg'!$A$12:$BB$220,54,FALSE),-2.5%)</f>
        <v>-2.5000000000000001E-2</v>
      </c>
      <c r="AB179" s="99">
        <f t="shared" si="24"/>
        <v>461471.42823392345</v>
      </c>
      <c r="AC179" s="99">
        <f>MAX(IF(INDEX('Pace of change parameters'!$E$29:$I$29,1,$B$5)=1,MAX(AB179,Z179),Z179),L179)</f>
        <v>464059.93729687715</v>
      </c>
      <c r="AD179" s="97">
        <f t="shared" si="25"/>
        <v>4.5719385216422825E-2</v>
      </c>
      <c r="AE179" s="146">
        <v>3.5665582559861297E-2</v>
      </c>
      <c r="AF179" s="56">
        <f t="shared" si="33"/>
        <v>464059.93729687715</v>
      </c>
      <c r="AG179" s="56">
        <v>1706.317204104942</v>
      </c>
      <c r="AH179" s="16">
        <f t="shared" si="26"/>
        <v>4.5719385216422825E-2</v>
      </c>
      <c r="AI179" s="16">
        <f t="shared" si="27"/>
        <v>3.5665582559861075E-2</v>
      </c>
      <c r="AJ179" s="56"/>
      <c r="AK179" s="56">
        <v>473304.02895787021</v>
      </c>
      <c r="AL179" s="56">
        <v>1740.3071079293366</v>
      </c>
      <c r="AM179" s="16">
        <f t="shared" si="35"/>
        <v>-1.9530980290505595E-2</v>
      </c>
      <c r="AN179" s="58">
        <f t="shared" si="35"/>
        <v>-1.9530980290505484E-2</v>
      </c>
      <c r="AP179" s="56">
        <f t="shared" si="28"/>
        <v>0</v>
      </c>
      <c r="AQ179" s="56">
        <f t="shared" si="29"/>
        <v>0</v>
      </c>
    </row>
    <row r="180" spans="1:43" x14ac:dyDescent="0.2">
      <c r="A180" s="156" t="s">
        <v>405</v>
      </c>
      <c r="B180" s="156" t="s">
        <v>406</v>
      </c>
      <c r="D180" s="68">
        <f>VLOOKUP(A180,'2019-20 disagg'!A180:AZ388,43,FALSE)</f>
        <v>301729</v>
      </c>
      <c r="E180" s="73">
        <v>1612.3039992833294</v>
      </c>
      <c r="F180" s="55"/>
      <c r="G180" s="88">
        <v>310621.90918474755</v>
      </c>
      <c r="H180" s="81">
        <v>1642.0757957706905</v>
      </c>
      <c r="I180" s="90"/>
      <c r="J180" s="103">
        <f t="shared" si="30"/>
        <v>-2.8629368765673124E-2</v>
      </c>
      <c r="K180" s="126">
        <f t="shared" si="30"/>
        <v>-1.813058603265516E-2</v>
      </c>
      <c r="L180" s="56">
        <v>313878</v>
      </c>
      <c r="M180" s="103">
        <v>3.5579982020948142E-2</v>
      </c>
      <c r="N180" s="97">
        <f>INDEX('Pace of change parameters'!$E$22:$I$22,1,$B$5)</f>
        <v>2.4506891160555818E-2</v>
      </c>
      <c r="O180" s="108">
        <f>MAX(IF(INDEX('Pace of change parameters'!$E$30:$I$30,1,$B$5)=1,(1+M180)*D180,D180),L180)</f>
        <v>313878</v>
      </c>
      <c r="P180" s="94">
        <f>IF(K180&lt;INDEX('Pace of change parameters'!$E$18:$I$18,1,$B$5),1,IF(K180&gt;INDEX('Pace of change parameters'!$E$19:$I$19,1,$B$5),0,(K180-INDEX('Pace of change parameters'!$E$19:$I$19,1,$B$5))/(INDEX('Pace of change parameters'!$E$18:$I$18,1,$B$5)-INDEX('Pace of change parameters'!$E$19:$I$19,1,$B$5))))</f>
        <v>0.80747635792499195</v>
      </c>
      <c r="Q180" s="57">
        <v>4.8715237581117288E-2</v>
      </c>
      <c r="R180" s="57">
        <v>3.7501696073920732E-2</v>
      </c>
      <c r="S180" s="9">
        <f>MAX(IF(INDEX('Pace of change parameters'!$E$31:$I$31,1,$B$5)=1,D180*(1+Q180),D180),L180)</f>
        <v>316427.79992011294</v>
      </c>
      <c r="T180" s="103">
        <f>IF(Q180&lt;INDEX('Pace of change parameters'!$E$24:$I$24,1,$B$5),INDEX('Pace of change parameters'!$E$24:$I$24,1,$B$5),Q180)</f>
        <v>4.8715237581117288E-2</v>
      </c>
      <c r="U180" s="132">
        <v>3.7501696073920732E-2</v>
      </c>
      <c r="V180" s="117">
        <f t="shared" si="31"/>
        <v>316427.79992011294</v>
      </c>
      <c r="W180" s="131">
        <f>IF(J180&gt;INDEX('Pace of change parameters'!$E$26:$I$26,1,$B$5),0,IF(J180&lt;INDEX('Pace of change parameters'!$E$25:$I$25,1,$B$5),1,(J180-INDEX('Pace of change parameters'!$E$26:$I$26,1,$B$5))/(INDEX('Pace of change parameters'!$E$25:$I$25,1,$B$5)-INDEX('Pace of change parameters'!$E$26:$I$26,1,$B$5))))</f>
        <v>1</v>
      </c>
      <c r="X180" s="132">
        <f>MIN(T180, T180+(INDEX('Pace of change parameters'!$E$27:$I$27,1,$B$5)-T180)*(1-W180))</f>
        <v>4.8715237581117288E-2</v>
      </c>
      <c r="Y180" s="132">
        <v>3.7501696073920732E-2</v>
      </c>
      <c r="Z180" s="108">
        <f t="shared" si="32"/>
        <v>316427.79992011294</v>
      </c>
      <c r="AA180" s="97">
        <f>MIN(VLOOKUP(A180,'2019-20 disagg'!$A$12:$BB$220,54,FALSE),-2.5%)</f>
        <v>-2.5000000000000001E-2</v>
      </c>
      <c r="AB180" s="99">
        <f t="shared" si="24"/>
        <v>315209.32795508095</v>
      </c>
      <c r="AC180" s="99">
        <f>MAX(IF(INDEX('Pace of change parameters'!$E$29:$I$29,1,$B$5)=1,MAX(AB180,Z180),Z180),L180)</f>
        <v>316427.79992011294</v>
      </c>
      <c r="AD180" s="97">
        <f t="shared" si="25"/>
        <v>4.8715237581117288E-2</v>
      </c>
      <c r="AE180" s="146">
        <v>3.7501696073920732E-2</v>
      </c>
      <c r="AF180" s="56">
        <f t="shared" si="33"/>
        <v>316427.79992011294</v>
      </c>
      <c r="AG180" s="56">
        <v>1672.7681338432199</v>
      </c>
      <c r="AH180" s="16">
        <f t="shared" si="26"/>
        <v>4.8715237581117288E-2</v>
      </c>
      <c r="AI180" s="16">
        <f t="shared" si="27"/>
        <v>3.7501696073920732E-2</v>
      </c>
      <c r="AJ180" s="56"/>
      <c r="AK180" s="56">
        <v>323291.61841546767</v>
      </c>
      <c r="AL180" s="56">
        <v>1709.0531153094873</v>
      </c>
      <c r="AM180" s="16">
        <f t="shared" si="35"/>
        <v>-2.123104375237439E-2</v>
      </c>
      <c r="AN180" s="58">
        <f t="shared" si="35"/>
        <v>-2.123104375237439E-2</v>
      </c>
      <c r="AP180" s="56">
        <f t="shared" si="28"/>
        <v>0</v>
      </c>
      <c r="AQ180" s="56">
        <f t="shared" si="29"/>
        <v>0</v>
      </c>
    </row>
    <row r="181" spans="1:43" x14ac:dyDescent="0.2">
      <c r="A181" s="156" t="s">
        <v>407</v>
      </c>
      <c r="B181" s="156" t="s">
        <v>408</v>
      </c>
      <c r="D181" s="68">
        <f>VLOOKUP(A181,'2019-20 disagg'!A181:AZ389,43,FALSE)</f>
        <v>358864</v>
      </c>
      <c r="E181" s="73">
        <v>1812.0739060653275</v>
      </c>
      <c r="F181" s="55"/>
      <c r="G181" s="88">
        <v>364974.50071726175</v>
      </c>
      <c r="H181" s="81">
        <v>1829.0115126023779</v>
      </c>
      <c r="I181" s="90"/>
      <c r="J181" s="103">
        <f t="shared" si="30"/>
        <v>-1.6742267487874218E-2</v>
      </c>
      <c r="K181" s="126">
        <f t="shared" si="30"/>
        <v>-9.2605248355988046E-3</v>
      </c>
      <c r="L181" s="56">
        <v>372971</v>
      </c>
      <c r="M181" s="103">
        <v>3.2302504306218616E-2</v>
      </c>
      <c r="N181" s="97">
        <f>INDEX('Pace of change parameters'!$E$22:$I$22,1,$B$5)</f>
        <v>2.4506891160555818E-2</v>
      </c>
      <c r="O181" s="108">
        <f>MAX(IF(INDEX('Pace of change parameters'!$E$30:$I$30,1,$B$5)=1,(1+M181)*D181,D181),L181)</f>
        <v>372971</v>
      </c>
      <c r="P181" s="94">
        <f>IF(K181&lt;INDEX('Pace of change parameters'!$E$18:$I$18,1,$B$5),1,IF(K181&gt;INDEX('Pace of change parameters'!$E$19:$I$19,1,$B$5),0,(K181-INDEX('Pace of change parameters'!$E$19:$I$19,1,$B$5))/(INDEX('Pace of change parameters'!$E$18:$I$18,1,$B$5)-INDEX('Pace of change parameters'!$E$19:$I$19,1,$B$5))))</f>
        <v>0.51652797762902702</v>
      </c>
      <c r="Q181" s="57">
        <v>4.0678296530633373E-2</v>
      </c>
      <c r="R181" s="57">
        <v>3.2819432123157632E-2</v>
      </c>
      <c r="S181" s="9">
        <f>MAX(IF(INDEX('Pace of change parameters'!$E$31:$I$31,1,$B$5)=1,D181*(1+Q181),D181),L181)</f>
        <v>373461.97620616923</v>
      </c>
      <c r="T181" s="103">
        <f>IF(Q181&lt;INDEX('Pace of change parameters'!$E$24:$I$24,1,$B$5),INDEX('Pace of change parameters'!$E$24:$I$24,1,$B$5),Q181)</f>
        <v>4.0678296530633373E-2</v>
      </c>
      <c r="U181" s="132">
        <v>3.2819432123157632E-2</v>
      </c>
      <c r="V181" s="117">
        <f t="shared" si="31"/>
        <v>373461.97620616923</v>
      </c>
      <c r="W181" s="131">
        <f>IF(J181&gt;INDEX('Pace of change parameters'!$E$26:$I$26,1,$B$5),0,IF(J181&lt;INDEX('Pace of change parameters'!$E$25:$I$25,1,$B$5),1,(J181-INDEX('Pace of change parameters'!$E$26:$I$26,1,$B$5))/(INDEX('Pace of change parameters'!$E$25:$I$25,1,$B$5)-INDEX('Pace of change parameters'!$E$26:$I$26,1,$B$5))))</f>
        <v>1</v>
      </c>
      <c r="X181" s="132">
        <f>MIN(T181, T181+(INDEX('Pace of change parameters'!$E$27:$I$27,1,$B$5)-T181)*(1-W181))</f>
        <v>4.0678296530633373E-2</v>
      </c>
      <c r="Y181" s="132">
        <v>3.2819432123157632E-2</v>
      </c>
      <c r="Z181" s="108">
        <f t="shared" si="32"/>
        <v>373461.97620616923</v>
      </c>
      <c r="AA181" s="97">
        <f>MIN(VLOOKUP(A181,'2019-20 disagg'!$A$12:$BB$220,54,FALSE),-2.5%)</f>
        <v>-2.5000000000000001E-2</v>
      </c>
      <c r="AB181" s="99">
        <f t="shared" si="24"/>
        <v>370308.3599871659</v>
      </c>
      <c r="AC181" s="99">
        <f>MAX(IF(INDEX('Pace of change parameters'!$E$29:$I$29,1,$B$5)=1,MAX(AB181,Z181),Z181),L181)</f>
        <v>373461.97620616923</v>
      </c>
      <c r="AD181" s="97">
        <f t="shared" si="25"/>
        <v>4.0678296530633373E-2</v>
      </c>
      <c r="AE181" s="146">
        <v>3.2819432123157632E-2</v>
      </c>
      <c r="AF181" s="56">
        <f t="shared" si="33"/>
        <v>373461.97620616923</v>
      </c>
      <c r="AG181" s="56">
        <v>1871.545142627584</v>
      </c>
      <c r="AH181" s="16">
        <f t="shared" si="26"/>
        <v>4.0678296530633373E-2</v>
      </c>
      <c r="AI181" s="16">
        <f t="shared" si="27"/>
        <v>3.2819432123157855E-2</v>
      </c>
      <c r="AJ181" s="56"/>
      <c r="AK181" s="56">
        <v>379803.44614068297</v>
      </c>
      <c r="AL181" s="56">
        <v>1903.3244080125721</v>
      </c>
      <c r="AM181" s="16">
        <f t="shared" si="35"/>
        <v>-1.669671510080184E-2</v>
      </c>
      <c r="AN181" s="58">
        <f t="shared" si="35"/>
        <v>-1.6696715100801729E-2</v>
      </c>
      <c r="AP181" s="56">
        <f t="shared" si="28"/>
        <v>0</v>
      </c>
      <c r="AQ181" s="56">
        <f t="shared" si="29"/>
        <v>0</v>
      </c>
    </row>
    <row r="182" spans="1:43" x14ac:dyDescent="0.2">
      <c r="A182" s="156" t="s">
        <v>409</v>
      </c>
      <c r="B182" s="156" t="s">
        <v>410</v>
      </c>
      <c r="D182" s="68">
        <f>VLOOKUP(A182,'2019-20 disagg'!A182:AZ390,43,FALSE)</f>
        <v>324495</v>
      </c>
      <c r="E182" s="73">
        <v>1564.0067412974417</v>
      </c>
      <c r="F182" s="55"/>
      <c r="G182" s="88">
        <v>331038.39027099655</v>
      </c>
      <c r="H182" s="81">
        <v>1586.6803757884022</v>
      </c>
      <c r="I182" s="90"/>
      <c r="J182" s="103">
        <f t="shared" si="30"/>
        <v>-1.9766258123838587E-2</v>
      </c>
      <c r="K182" s="126">
        <f t="shared" si="30"/>
        <v>-1.4289982303268944E-2</v>
      </c>
      <c r="L182" s="56">
        <v>337065</v>
      </c>
      <c r="M182" s="103">
        <v>3.0230507963759257E-2</v>
      </c>
      <c r="N182" s="97">
        <f>INDEX('Pace of change parameters'!$E$22:$I$22,1,$B$5)</f>
        <v>2.4506891160555818E-2</v>
      </c>
      <c r="O182" s="108">
        <f>MAX(IF(INDEX('Pace of change parameters'!$E$30:$I$30,1,$B$5)=1,(1+M182)*D182,D182),L182)</f>
        <v>337065</v>
      </c>
      <c r="P182" s="94">
        <f>IF(K182&lt;INDEX('Pace of change parameters'!$E$18:$I$18,1,$B$5),1,IF(K182&gt;INDEX('Pace of change parameters'!$E$19:$I$19,1,$B$5),0,(K182-INDEX('Pace of change parameters'!$E$19:$I$19,1,$B$5))/(INDEX('Pace of change parameters'!$E$18:$I$18,1,$B$5)-INDEX('Pace of change parameters'!$E$19:$I$19,1,$B$5))))</f>
        <v>0.68150006423331022</v>
      </c>
      <c r="Q182" s="57">
        <v>4.1259234595243166E-2</v>
      </c>
      <c r="R182" s="57">
        <v>3.5474345868350632E-2</v>
      </c>
      <c r="S182" s="9">
        <f>MAX(IF(INDEX('Pace of change parameters'!$E$31:$I$31,1,$B$5)=1,D182*(1+Q182),D182),L182)</f>
        <v>337883.41532998346</v>
      </c>
      <c r="T182" s="103">
        <f>IF(Q182&lt;INDEX('Pace of change parameters'!$E$24:$I$24,1,$B$5),INDEX('Pace of change parameters'!$E$24:$I$24,1,$B$5),Q182)</f>
        <v>4.1259234595243166E-2</v>
      </c>
      <c r="U182" s="132">
        <v>3.5474345868350632E-2</v>
      </c>
      <c r="V182" s="117">
        <f t="shared" si="31"/>
        <v>337883.41532998346</v>
      </c>
      <c r="W182" s="131">
        <f>IF(J182&gt;INDEX('Pace of change parameters'!$E$26:$I$26,1,$B$5),0,IF(J182&lt;INDEX('Pace of change parameters'!$E$25:$I$25,1,$B$5),1,(J182-INDEX('Pace of change parameters'!$E$26:$I$26,1,$B$5))/(INDEX('Pace of change parameters'!$E$25:$I$25,1,$B$5)-INDEX('Pace of change parameters'!$E$26:$I$26,1,$B$5))))</f>
        <v>1</v>
      </c>
      <c r="X182" s="132">
        <f>MIN(T182, T182+(INDEX('Pace of change parameters'!$E$27:$I$27,1,$B$5)-T182)*(1-W182))</f>
        <v>4.1259234595243166E-2</v>
      </c>
      <c r="Y182" s="132">
        <v>3.5474345868350632E-2</v>
      </c>
      <c r="Z182" s="108">
        <f t="shared" si="32"/>
        <v>337883.41532998346</v>
      </c>
      <c r="AA182" s="97">
        <f>MIN(VLOOKUP(A182,'2019-20 disagg'!$A$12:$BB$220,54,FALSE),-2.5%)</f>
        <v>-2.5000000000000001E-2</v>
      </c>
      <c r="AB182" s="99">
        <f t="shared" si="24"/>
        <v>335815.70914056932</v>
      </c>
      <c r="AC182" s="99">
        <f>MAX(IF(INDEX('Pace of change parameters'!$E$29:$I$29,1,$B$5)=1,MAX(AB182,Z182),Z182),L182)</f>
        <v>337883.41532998346</v>
      </c>
      <c r="AD182" s="97">
        <f t="shared" si="25"/>
        <v>4.1259234595243166E-2</v>
      </c>
      <c r="AE182" s="146">
        <v>3.5474345868350632E-2</v>
      </c>
      <c r="AF182" s="56">
        <f t="shared" si="33"/>
        <v>337883.41532998346</v>
      </c>
      <c r="AG182" s="56">
        <v>1619.4888573786593</v>
      </c>
      <c r="AH182" s="16">
        <f t="shared" si="26"/>
        <v>4.1259234595243166E-2</v>
      </c>
      <c r="AI182" s="16">
        <f t="shared" si="27"/>
        <v>3.5474345868350632E-2</v>
      </c>
      <c r="AJ182" s="56"/>
      <c r="AK182" s="56">
        <v>344426.36834930186</v>
      </c>
      <c r="AL182" s="56">
        <v>1650.8494954815676</v>
      </c>
      <c r="AM182" s="16">
        <f t="shared" si="35"/>
        <v>-1.8996666981904387E-2</v>
      </c>
      <c r="AN182" s="58">
        <f t="shared" si="35"/>
        <v>-1.8996666981904387E-2</v>
      </c>
      <c r="AP182" s="56">
        <f t="shared" si="28"/>
        <v>0</v>
      </c>
      <c r="AQ182" s="56">
        <f t="shared" si="29"/>
        <v>0</v>
      </c>
    </row>
    <row r="183" spans="1:43" x14ac:dyDescent="0.2">
      <c r="A183" s="156" t="s">
        <v>411</v>
      </c>
      <c r="B183" s="156" t="s">
        <v>412</v>
      </c>
      <c r="D183" s="68">
        <f>VLOOKUP(A183,'2019-20 disagg'!A183:AZ391,43,FALSE)</f>
        <v>341785</v>
      </c>
      <c r="E183" s="73">
        <v>1500.02966322507</v>
      </c>
      <c r="F183" s="55"/>
      <c r="G183" s="88">
        <v>343168.49775223772</v>
      </c>
      <c r="H183" s="81">
        <v>1495.3287833465101</v>
      </c>
      <c r="I183" s="90"/>
      <c r="J183" s="103">
        <f t="shared" si="30"/>
        <v>-4.0315406609279236E-3</v>
      </c>
      <c r="K183" s="126">
        <f t="shared" si="30"/>
        <v>3.1437098856876844E-3</v>
      </c>
      <c r="L183" s="56">
        <v>355248</v>
      </c>
      <c r="M183" s="103">
        <v>3.1887740987556867E-2</v>
      </c>
      <c r="N183" s="97">
        <f>INDEX('Pace of change parameters'!$E$22:$I$22,1,$B$5)</f>
        <v>2.4506891160555818E-2</v>
      </c>
      <c r="O183" s="108">
        <f>MAX(IF(INDEX('Pace of change parameters'!$E$30:$I$30,1,$B$5)=1,(1+M183)*D183,D183),L183)</f>
        <v>355248</v>
      </c>
      <c r="P183" s="94">
        <f>IF(K183&lt;INDEX('Pace of change parameters'!$E$18:$I$18,1,$B$5),1,IF(K183&gt;INDEX('Pace of change parameters'!$E$19:$I$19,1,$B$5),0,(K183-INDEX('Pace of change parameters'!$E$19:$I$19,1,$B$5))/(INDEX('Pace of change parameters'!$E$18:$I$18,1,$B$5)-INDEX('Pace of change parameters'!$E$19:$I$19,1,$B$5))))</f>
        <v>0.10965457272321137</v>
      </c>
      <c r="Q183" s="57">
        <v>3.3665137257777422E-2</v>
      </c>
      <c r="R183" s="57">
        <v>2.627157413413328E-2</v>
      </c>
      <c r="S183" s="9">
        <f>MAX(IF(INDEX('Pace of change parameters'!$E$31:$I$31,1,$B$5)=1,D183*(1+Q183),D183),L183)</f>
        <v>355248</v>
      </c>
      <c r="T183" s="103">
        <f>IF(Q183&lt;INDEX('Pace of change parameters'!$E$24:$I$24,1,$B$5),INDEX('Pace of change parameters'!$E$24:$I$24,1,$B$5),Q183)</f>
        <v>3.3665137257777422E-2</v>
      </c>
      <c r="U183" s="132">
        <v>2.627157413413328E-2</v>
      </c>
      <c r="V183" s="117">
        <f t="shared" si="31"/>
        <v>355248</v>
      </c>
      <c r="W183" s="131">
        <f>IF(J183&gt;INDEX('Pace of change parameters'!$E$26:$I$26,1,$B$5),0,IF(J183&lt;INDEX('Pace of change parameters'!$E$25:$I$25,1,$B$5),1,(J183-INDEX('Pace of change parameters'!$E$26:$I$26,1,$B$5))/(INDEX('Pace of change parameters'!$E$25:$I$25,1,$B$5)-INDEX('Pace of change parameters'!$E$26:$I$26,1,$B$5))))</f>
        <v>1</v>
      </c>
      <c r="X183" s="132">
        <f>MIN(T183, T183+(INDEX('Pace of change parameters'!$E$27:$I$27,1,$B$5)-T183)*(1-W183))</f>
        <v>3.3665137257777422E-2</v>
      </c>
      <c r="Y183" s="132">
        <v>2.627157413413328E-2</v>
      </c>
      <c r="Z183" s="108">
        <f t="shared" si="32"/>
        <v>355248</v>
      </c>
      <c r="AA183" s="97">
        <f>MIN(VLOOKUP(A183,'2019-20 disagg'!$A$12:$BB$220,54,FALSE),-2.5%)</f>
        <v>-2.5000000000000001E-2</v>
      </c>
      <c r="AB183" s="99">
        <f t="shared" si="24"/>
        <v>348167.95125647337</v>
      </c>
      <c r="AC183" s="99">
        <f>MAX(IF(INDEX('Pace of change parameters'!$E$29:$I$29,1,$B$5)=1,MAX(AB183,Z183),Z183),L183)</f>
        <v>355248</v>
      </c>
      <c r="AD183" s="97">
        <f t="shared" si="25"/>
        <v>3.9390259958745899E-2</v>
      </c>
      <c r="AE183" s="146">
        <v>3.1955746381657546E-2</v>
      </c>
      <c r="AF183" s="56">
        <f t="shared" si="33"/>
        <v>355248</v>
      </c>
      <c r="AG183" s="56">
        <v>1547.9642307080535</v>
      </c>
      <c r="AH183" s="16">
        <f t="shared" si="26"/>
        <v>3.9390259958745899E-2</v>
      </c>
      <c r="AI183" s="16">
        <f t="shared" si="27"/>
        <v>3.1955746381657546E-2</v>
      </c>
      <c r="AJ183" s="56"/>
      <c r="AK183" s="56">
        <v>357095.33462202398</v>
      </c>
      <c r="AL183" s="56">
        <v>1556.0138408875387</v>
      </c>
      <c r="AM183" s="16">
        <f t="shared" si="35"/>
        <v>-5.1732253068479395E-3</v>
      </c>
      <c r="AN183" s="58">
        <f t="shared" si="35"/>
        <v>-5.1732253068480505E-3</v>
      </c>
      <c r="AP183" s="56">
        <f t="shared" si="28"/>
        <v>1</v>
      </c>
      <c r="AQ183" s="56">
        <f t="shared" si="29"/>
        <v>0</v>
      </c>
    </row>
    <row r="184" spans="1:43" x14ac:dyDescent="0.2">
      <c r="A184" s="156" t="s">
        <v>413</v>
      </c>
      <c r="B184" s="156" t="s">
        <v>414</v>
      </c>
      <c r="D184" s="68">
        <f>VLOOKUP(A184,'2019-20 disagg'!A184:AZ392,43,FALSE)</f>
        <v>361243</v>
      </c>
      <c r="E184" s="73">
        <v>1891.5063169841496</v>
      </c>
      <c r="F184" s="55"/>
      <c r="G184" s="88">
        <v>351644.69879609102</v>
      </c>
      <c r="H184" s="81">
        <v>1828.2287014358951</v>
      </c>
      <c r="I184" s="90"/>
      <c r="J184" s="103">
        <f t="shared" si="30"/>
        <v>2.72954525882807E-2</v>
      </c>
      <c r="K184" s="126">
        <f t="shared" si="30"/>
        <v>3.4611433185878893E-2</v>
      </c>
      <c r="L184" s="56">
        <v>375301</v>
      </c>
      <c r="M184" s="103">
        <v>3.1803012757270377E-2</v>
      </c>
      <c r="N184" s="97">
        <f>INDEX('Pace of change parameters'!$E$22:$I$22,1,$B$5)</f>
        <v>2.4506891160555818E-2</v>
      </c>
      <c r="O184" s="108">
        <f>MAX(IF(INDEX('Pace of change parameters'!$E$30:$I$30,1,$B$5)=1,(1+M184)*D184,D184),L184)</f>
        <v>375301</v>
      </c>
      <c r="P184" s="94">
        <f>IF(K184&lt;INDEX('Pace of change parameters'!$E$18:$I$18,1,$B$5),1,IF(K184&gt;INDEX('Pace of change parameters'!$E$19:$I$19,1,$B$5),0,(K184-INDEX('Pace of change parameters'!$E$19:$I$19,1,$B$5))/(INDEX('Pace of change parameters'!$E$18:$I$18,1,$B$5)-INDEX('Pace of change parameters'!$E$19:$I$19,1,$B$5))))</f>
        <v>0</v>
      </c>
      <c r="Q184" s="57">
        <v>3.1803012757270377E-2</v>
      </c>
      <c r="R184" s="57">
        <v>2.450689116055571E-2</v>
      </c>
      <c r="S184" s="9">
        <f>MAX(IF(INDEX('Pace of change parameters'!$E$31:$I$31,1,$B$5)=1,D184*(1+Q184),D184),L184)</f>
        <v>375301</v>
      </c>
      <c r="T184" s="103">
        <f>IF(Q184&lt;INDEX('Pace of change parameters'!$E$24:$I$24,1,$B$5),INDEX('Pace of change parameters'!$E$24:$I$24,1,$B$5),Q184)</f>
        <v>3.2992755077120454E-2</v>
      </c>
      <c r="U184" s="132">
        <v>2.5688220532849915E-2</v>
      </c>
      <c r="V184" s="117">
        <f t="shared" si="31"/>
        <v>375301</v>
      </c>
      <c r="W184" s="131">
        <f>IF(J184&gt;INDEX('Pace of change parameters'!$E$26:$I$26,1,$B$5),0,IF(J184&lt;INDEX('Pace of change parameters'!$E$25:$I$25,1,$B$5),1,(J184-INDEX('Pace of change parameters'!$E$26:$I$26,1,$B$5))/(INDEX('Pace of change parameters'!$E$25:$I$25,1,$B$5)-INDEX('Pace of change parameters'!$E$26:$I$26,1,$B$5))))</f>
        <v>1</v>
      </c>
      <c r="X184" s="132">
        <f>MIN(T184, T184+(INDEX('Pace of change parameters'!$E$27:$I$27,1,$B$5)-T184)*(1-W184))</f>
        <v>3.2992755077120454E-2</v>
      </c>
      <c r="Y184" s="132">
        <v>2.5688220532849915E-2</v>
      </c>
      <c r="Z184" s="108">
        <f t="shared" si="32"/>
        <v>375301</v>
      </c>
      <c r="AA184" s="97">
        <f>MIN(VLOOKUP(A184,'2019-20 disagg'!$A$12:$BB$220,54,FALSE),-2.5%)</f>
        <v>-2.5000000000000001E-2</v>
      </c>
      <c r="AB184" s="99">
        <f t="shared" si="24"/>
        <v>356765.61343686114</v>
      </c>
      <c r="AC184" s="99">
        <f>MAX(IF(INDEX('Pace of change parameters'!$E$29:$I$29,1,$B$5)=1,MAX(AB184,Z184),Z184),L184)</f>
        <v>375301</v>
      </c>
      <c r="AD184" s="97">
        <f t="shared" si="25"/>
        <v>3.8915632967282399E-2</v>
      </c>
      <c r="AE184" s="146">
        <v>3.1569216361460484E-2</v>
      </c>
      <c r="AF184" s="56">
        <f t="shared" si="33"/>
        <v>375301</v>
      </c>
      <c r="AG184" s="56">
        <v>1951.2196891540916</v>
      </c>
      <c r="AH184" s="16">
        <f t="shared" si="26"/>
        <v>3.8915632967282399E-2</v>
      </c>
      <c r="AI184" s="16">
        <f t="shared" si="27"/>
        <v>3.1569216361460484E-2</v>
      </c>
      <c r="AJ184" s="56"/>
      <c r="AK184" s="56">
        <v>365913.44967883197</v>
      </c>
      <c r="AL184" s="56">
        <v>1902.4130698815934</v>
      </c>
      <c r="AM184" s="16">
        <f t="shared" si="35"/>
        <v>2.5655111418855014E-2</v>
      </c>
      <c r="AN184" s="58">
        <f t="shared" si="35"/>
        <v>2.5655111418855014E-2</v>
      </c>
      <c r="AP184" s="56">
        <f t="shared" si="28"/>
        <v>1</v>
      </c>
      <c r="AQ184" s="56">
        <f t="shared" si="29"/>
        <v>0</v>
      </c>
    </row>
    <row r="185" spans="1:43" x14ac:dyDescent="0.2">
      <c r="A185" s="156" t="s">
        <v>415</v>
      </c>
      <c r="B185" s="156" t="s">
        <v>416</v>
      </c>
      <c r="D185" s="68">
        <f>VLOOKUP(A185,'2019-20 disagg'!A185:AZ393,43,FALSE)</f>
        <v>277768</v>
      </c>
      <c r="E185" s="73">
        <v>1599.6654364471462</v>
      </c>
      <c r="F185" s="55"/>
      <c r="G185" s="88">
        <v>282226.64066116046</v>
      </c>
      <c r="H185" s="81">
        <v>1613.6064120614308</v>
      </c>
      <c r="I185" s="90"/>
      <c r="J185" s="103">
        <f t="shared" si="30"/>
        <v>-1.5798085718326971E-2</v>
      </c>
      <c r="K185" s="126">
        <f t="shared" si="30"/>
        <v>-8.6396382104571012E-3</v>
      </c>
      <c r="L185" s="56">
        <v>288664</v>
      </c>
      <c r="M185" s="103">
        <v>3.1958490974986598E-2</v>
      </c>
      <c r="N185" s="97">
        <f>INDEX('Pace of change parameters'!$E$22:$I$22,1,$B$5)</f>
        <v>2.4506891160555818E-2</v>
      </c>
      <c r="O185" s="108">
        <f>MAX(IF(INDEX('Pace of change parameters'!$E$30:$I$30,1,$B$5)=1,(1+M185)*D185,D185),L185)</f>
        <v>288664</v>
      </c>
      <c r="P185" s="94">
        <f>IF(K185&lt;INDEX('Pace of change parameters'!$E$18:$I$18,1,$B$5),1,IF(K185&gt;INDEX('Pace of change parameters'!$E$19:$I$19,1,$B$5),0,(K185-INDEX('Pace of change parameters'!$E$19:$I$19,1,$B$5))/(INDEX('Pace of change parameters'!$E$18:$I$18,1,$B$5)-INDEX('Pace of change parameters'!$E$19:$I$19,1,$B$5))))</f>
        <v>0.49616217023275377</v>
      </c>
      <c r="Q185" s="57">
        <v>4.0001358988451807E-2</v>
      </c>
      <c r="R185" s="57">
        <v>3.2491682968126323E-2</v>
      </c>
      <c r="S185" s="9">
        <f>MAX(IF(INDEX('Pace of change parameters'!$E$31:$I$31,1,$B$5)=1,D185*(1+Q185),D185),L185)</f>
        <v>288879.09748350427</v>
      </c>
      <c r="T185" s="103">
        <f>IF(Q185&lt;INDEX('Pace of change parameters'!$E$24:$I$24,1,$B$5),INDEX('Pace of change parameters'!$E$24:$I$24,1,$B$5),Q185)</f>
        <v>4.0001358988451807E-2</v>
      </c>
      <c r="U185" s="132">
        <v>3.2491682968126323E-2</v>
      </c>
      <c r="V185" s="117">
        <f t="shared" si="31"/>
        <v>288879.09748350427</v>
      </c>
      <c r="W185" s="131">
        <f>IF(J185&gt;INDEX('Pace of change parameters'!$E$26:$I$26,1,$B$5),0,IF(J185&lt;INDEX('Pace of change parameters'!$E$25:$I$25,1,$B$5),1,(J185-INDEX('Pace of change parameters'!$E$26:$I$26,1,$B$5))/(INDEX('Pace of change parameters'!$E$25:$I$25,1,$B$5)-INDEX('Pace of change parameters'!$E$26:$I$26,1,$B$5))))</f>
        <v>1</v>
      </c>
      <c r="X185" s="132">
        <f>MIN(T185, T185+(INDEX('Pace of change parameters'!$E$27:$I$27,1,$B$5)-T185)*(1-W185))</f>
        <v>4.0001358988451807E-2</v>
      </c>
      <c r="Y185" s="132">
        <v>3.2491682968126323E-2</v>
      </c>
      <c r="Z185" s="108">
        <f t="shared" si="32"/>
        <v>288879.09748350427</v>
      </c>
      <c r="AA185" s="97">
        <f>MIN(VLOOKUP(A185,'2019-20 disagg'!$A$12:$BB$220,54,FALSE),-2.5%)</f>
        <v>-2.5000000000000001E-2</v>
      </c>
      <c r="AB185" s="99">
        <f t="shared" si="24"/>
        <v>286370.43453074631</v>
      </c>
      <c r="AC185" s="99">
        <f>MAX(IF(INDEX('Pace of change parameters'!$E$29:$I$29,1,$B$5)=1,MAX(AB185,Z185),Z185),L185)</f>
        <v>288879.09748350427</v>
      </c>
      <c r="AD185" s="97">
        <f t="shared" si="25"/>
        <v>4.0001358988451807E-2</v>
      </c>
      <c r="AE185" s="146">
        <v>3.2491682968126323E-2</v>
      </c>
      <c r="AF185" s="56">
        <f t="shared" si="33"/>
        <v>288879.09748350427</v>
      </c>
      <c r="AG185" s="56">
        <v>1651.6412586632564</v>
      </c>
      <c r="AH185" s="16">
        <f t="shared" si="26"/>
        <v>4.0001358988451807E-2</v>
      </c>
      <c r="AI185" s="16">
        <f t="shared" si="27"/>
        <v>3.2491682968126323E-2</v>
      </c>
      <c r="AJ185" s="56"/>
      <c r="AK185" s="56">
        <v>293713.26618538081</v>
      </c>
      <c r="AL185" s="56">
        <v>1679.2802001751593</v>
      </c>
      <c r="AM185" s="16">
        <f t="shared" si="35"/>
        <v>-1.6458802711435516E-2</v>
      </c>
      <c r="AN185" s="58">
        <f t="shared" si="35"/>
        <v>-1.6458802711435516E-2</v>
      </c>
      <c r="AP185" s="56">
        <f t="shared" si="28"/>
        <v>0</v>
      </c>
      <c r="AQ185" s="56">
        <f t="shared" si="29"/>
        <v>0</v>
      </c>
    </row>
    <row r="186" spans="1:43" x14ac:dyDescent="0.2">
      <c r="A186" s="156" t="s">
        <v>417</v>
      </c>
      <c r="B186" s="156" t="s">
        <v>418</v>
      </c>
      <c r="D186" s="68">
        <f>VLOOKUP(A186,'2019-20 disagg'!A186:AZ394,43,FALSE)</f>
        <v>368747</v>
      </c>
      <c r="E186" s="73">
        <v>1533.7866458458586</v>
      </c>
      <c r="F186" s="55"/>
      <c r="G186" s="88">
        <v>376267.33683777775</v>
      </c>
      <c r="H186" s="81">
        <v>1554.4012442068604</v>
      </c>
      <c r="I186" s="90"/>
      <c r="J186" s="103">
        <f t="shared" si="30"/>
        <v>-1.9986685267395443E-2</v>
      </c>
      <c r="K186" s="126">
        <f t="shared" si="30"/>
        <v>-1.3262083028967475E-2</v>
      </c>
      <c r="L186" s="56">
        <v>383271</v>
      </c>
      <c r="M186" s="103">
        <v>3.1536797009807271E-2</v>
      </c>
      <c r="N186" s="97">
        <f>INDEX('Pace of change parameters'!$E$22:$I$22,1,$B$5)</f>
        <v>2.4506891160555818E-2</v>
      </c>
      <c r="O186" s="108">
        <f>MAX(IF(INDEX('Pace of change parameters'!$E$30:$I$30,1,$B$5)=1,(1+M186)*D186,D186),L186)</f>
        <v>383271</v>
      </c>
      <c r="P186" s="94">
        <f>IF(K186&lt;INDEX('Pace of change parameters'!$E$18:$I$18,1,$B$5),1,IF(K186&gt;INDEX('Pace of change parameters'!$E$19:$I$19,1,$B$5),0,(K186-INDEX('Pace of change parameters'!$E$19:$I$19,1,$B$5))/(INDEX('Pace of change parameters'!$E$18:$I$18,1,$B$5)-INDEX('Pace of change parameters'!$E$19:$I$19,1,$B$5))))</f>
        <v>0.6477837659664325</v>
      </c>
      <c r="Q186" s="57">
        <v>4.2033184362457288E-2</v>
      </c>
      <c r="R186" s="57">
        <v>3.4931745810678594E-2</v>
      </c>
      <c r="S186" s="9">
        <f>MAX(IF(INDEX('Pace of change parameters'!$E$31:$I$31,1,$B$5)=1,D186*(1+Q186),D186),L186)</f>
        <v>384246.61063410301</v>
      </c>
      <c r="T186" s="103">
        <f>IF(Q186&lt;INDEX('Pace of change parameters'!$E$24:$I$24,1,$B$5),INDEX('Pace of change parameters'!$E$24:$I$24,1,$B$5),Q186)</f>
        <v>4.2033184362457288E-2</v>
      </c>
      <c r="U186" s="132">
        <v>3.4931745810678594E-2</v>
      </c>
      <c r="V186" s="117">
        <f t="shared" si="31"/>
        <v>384246.61063410301</v>
      </c>
      <c r="W186" s="131">
        <f>IF(J186&gt;INDEX('Pace of change parameters'!$E$26:$I$26,1,$B$5),0,IF(J186&lt;INDEX('Pace of change parameters'!$E$25:$I$25,1,$B$5),1,(J186-INDEX('Pace of change parameters'!$E$26:$I$26,1,$B$5))/(INDEX('Pace of change parameters'!$E$25:$I$25,1,$B$5)-INDEX('Pace of change parameters'!$E$26:$I$26,1,$B$5))))</f>
        <v>1</v>
      </c>
      <c r="X186" s="132">
        <f>MIN(T186, T186+(INDEX('Pace of change parameters'!$E$27:$I$27,1,$B$5)-T186)*(1-W186))</f>
        <v>4.2033184362457288E-2</v>
      </c>
      <c r="Y186" s="132">
        <v>3.4931745810678594E-2</v>
      </c>
      <c r="Z186" s="108">
        <f t="shared" si="32"/>
        <v>384246.61063410301</v>
      </c>
      <c r="AA186" s="97">
        <f>MIN(VLOOKUP(A186,'2019-20 disagg'!$A$12:$BB$220,54,FALSE),-2.5%)</f>
        <v>-2.5000000000000001E-2</v>
      </c>
      <c r="AB186" s="99">
        <f t="shared" si="24"/>
        <v>381836.25147785951</v>
      </c>
      <c r="AC186" s="99">
        <f>MAX(IF(INDEX('Pace of change parameters'!$E$29:$I$29,1,$B$5)=1,MAX(AB186,Z186),Z186),L186)</f>
        <v>384246.61063410301</v>
      </c>
      <c r="AD186" s="97">
        <f t="shared" si="25"/>
        <v>4.2033184362457288E-2</v>
      </c>
      <c r="AE186" s="146">
        <v>3.4931745810678594E-2</v>
      </c>
      <c r="AF186" s="56">
        <f t="shared" si="33"/>
        <v>384246.61063410301</v>
      </c>
      <c r="AG186" s="56">
        <v>1587.3644910863591</v>
      </c>
      <c r="AH186" s="16">
        <f t="shared" si="26"/>
        <v>4.2033184362457288E-2</v>
      </c>
      <c r="AI186" s="16">
        <f t="shared" si="27"/>
        <v>3.4931745810678372E-2</v>
      </c>
      <c r="AJ186" s="56"/>
      <c r="AK186" s="56">
        <v>391626.9245926764</v>
      </c>
      <c r="AL186" s="56">
        <v>1617.8533698082178</v>
      </c>
      <c r="AM186" s="16">
        <f t="shared" si="35"/>
        <v>-1.8845267000601407E-2</v>
      </c>
      <c r="AN186" s="58">
        <f t="shared" si="35"/>
        <v>-1.8845267000601518E-2</v>
      </c>
      <c r="AP186" s="56">
        <f t="shared" si="28"/>
        <v>0</v>
      </c>
      <c r="AQ186" s="56">
        <f t="shared" si="29"/>
        <v>0</v>
      </c>
    </row>
    <row r="187" spans="1:43" x14ac:dyDescent="0.2">
      <c r="A187" s="156" t="s">
        <v>419</v>
      </c>
      <c r="B187" s="156" t="s">
        <v>420</v>
      </c>
      <c r="D187" s="68">
        <f>VLOOKUP(A187,'2019-20 disagg'!A187:AZ395,43,FALSE)</f>
        <v>268803</v>
      </c>
      <c r="E187" s="73">
        <v>1854.455630822682</v>
      </c>
      <c r="F187" s="55"/>
      <c r="G187" s="88">
        <v>252368.50173699923</v>
      </c>
      <c r="H187" s="81">
        <v>1733.0467219462626</v>
      </c>
      <c r="I187" s="90"/>
      <c r="J187" s="103">
        <f t="shared" si="30"/>
        <v>6.512103590537488E-2</v>
      </c>
      <c r="K187" s="126">
        <f t="shared" si="30"/>
        <v>7.0055185090494021E-2</v>
      </c>
      <c r="L187" s="56">
        <v>277279</v>
      </c>
      <c r="M187" s="103">
        <v>2.9252896235811843E-2</v>
      </c>
      <c r="N187" s="97">
        <f>INDEX('Pace of change parameters'!$E$22:$I$22,1,$B$5)</f>
        <v>2.4506891160555818E-2</v>
      </c>
      <c r="O187" s="108">
        <f>MAX(IF(INDEX('Pace of change parameters'!$E$30:$I$30,1,$B$5)=1,(1+M187)*D187,D187),L187)</f>
        <v>277279</v>
      </c>
      <c r="P187" s="94">
        <f>IF(K187&lt;INDEX('Pace of change parameters'!$E$18:$I$18,1,$B$5),1,IF(K187&gt;INDEX('Pace of change parameters'!$E$19:$I$19,1,$B$5),0,(K187-INDEX('Pace of change parameters'!$E$19:$I$19,1,$B$5))/(INDEX('Pace of change parameters'!$E$18:$I$18,1,$B$5)-INDEX('Pace of change parameters'!$E$19:$I$19,1,$B$5))))</f>
        <v>0</v>
      </c>
      <c r="Q187" s="57">
        <v>2.9252896235811843E-2</v>
      </c>
      <c r="R187" s="57">
        <v>2.450689116055571E-2</v>
      </c>
      <c r="S187" s="9">
        <f>MAX(IF(INDEX('Pace of change parameters'!$E$31:$I$31,1,$B$5)=1,D187*(1+Q187),D187),L187)</f>
        <v>277279</v>
      </c>
      <c r="T187" s="103">
        <f>IF(Q187&lt;INDEX('Pace of change parameters'!$E$24:$I$24,1,$B$5),INDEX('Pace of change parameters'!$E$24:$I$24,1,$B$5),Q187)</f>
        <v>3.2992755077120454E-2</v>
      </c>
      <c r="U187" s="132">
        <v>2.8229505076825534E-2</v>
      </c>
      <c r="V187" s="117">
        <f t="shared" si="31"/>
        <v>277671.55154299521</v>
      </c>
      <c r="W187" s="131">
        <f>IF(J187&gt;INDEX('Pace of change parameters'!$E$26:$I$26,1,$B$5),0,IF(J187&lt;INDEX('Pace of change parameters'!$E$25:$I$25,1,$B$5),1,(J187-INDEX('Pace of change parameters'!$E$26:$I$26,1,$B$5))/(INDEX('Pace of change parameters'!$E$25:$I$25,1,$B$5)-INDEX('Pace of change parameters'!$E$26:$I$26,1,$B$5))))</f>
        <v>0.69757928189250251</v>
      </c>
      <c r="X187" s="132">
        <f>MIN(T187, T187+(INDEX('Pace of change parameters'!$E$27:$I$27,1,$B$5)-T187)*(1-W187))</f>
        <v>2.6339499278755511E-2</v>
      </c>
      <c r="Y187" s="132">
        <v>2.1606928216456822E-2</v>
      </c>
      <c r="Z187" s="108">
        <f t="shared" si="32"/>
        <v>277279</v>
      </c>
      <c r="AA187" s="97">
        <f>MIN(VLOOKUP(A187,'2019-20 disagg'!$A$12:$BB$220,54,FALSE),-2.5%)</f>
        <v>-2.5000000000000001E-2</v>
      </c>
      <c r="AB187" s="99">
        <f t="shared" si="24"/>
        <v>256030.19584908994</v>
      </c>
      <c r="AC187" s="99">
        <f>MAX(IF(INDEX('Pace of change parameters'!$E$29:$I$29,1,$B$5)=1,MAX(AB187,Z187),Z187),L187)</f>
        <v>277279</v>
      </c>
      <c r="AD187" s="97">
        <f t="shared" si="25"/>
        <v>3.1532386171285287E-2</v>
      </c>
      <c r="AE187" s="146">
        <v>2.6775870102237143E-2</v>
      </c>
      <c r="AF187" s="56">
        <f t="shared" si="33"/>
        <v>277279</v>
      </c>
      <c r="AG187" s="56">
        <v>1904.1102939039524</v>
      </c>
      <c r="AH187" s="16">
        <f t="shared" si="26"/>
        <v>3.1532386171285287E-2</v>
      </c>
      <c r="AI187" s="16">
        <f t="shared" si="27"/>
        <v>2.6775870102237143E-2</v>
      </c>
      <c r="AJ187" s="56"/>
      <c r="AK187" s="56">
        <v>262595.07266573329</v>
      </c>
      <c r="AL187" s="56">
        <v>1803.2738901657867</v>
      </c>
      <c r="AM187" s="16">
        <f t="shared" si="35"/>
        <v>5.591851813974591E-2</v>
      </c>
      <c r="AN187" s="58">
        <f t="shared" si="35"/>
        <v>5.591851813974591E-2</v>
      </c>
      <c r="AP187" s="56">
        <f t="shared" si="28"/>
        <v>1</v>
      </c>
      <c r="AQ187" s="56">
        <f t="shared" si="29"/>
        <v>0</v>
      </c>
    </row>
    <row r="188" spans="1:43" x14ac:dyDescent="0.2">
      <c r="A188" s="156" t="s">
        <v>421</v>
      </c>
      <c r="B188" s="156" t="s">
        <v>422</v>
      </c>
      <c r="D188" s="68">
        <f>VLOOKUP(A188,'2019-20 disagg'!A188:AZ396,43,FALSE)</f>
        <v>499257</v>
      </c>
      <c r="E188" s="73">
        <v>1637.2003819169167</v>
      </c>
      <c r="F188" s="55"/>
      <c r="G188" s="88">
        <v>512368.30288161396</v>
      </c>
      <c r="H188" s="81">
        <v>1665.3975317265224</v>
      </c>
      <c r="I188" s="90"/>
      <c r="J188" s="103">
        <f t="shared" si="30"/>
        <v>-2.5589605773570723E-2</v>
      </c>
      <c r="K188" s="126">
        <f t="shared" si="30"/>
        <v>-1.6931182659057797E-2</v>
      </c>
      <c r="L188" s="56">
        <v>519089</v>
      </c>
      <c r="M188" s="103">
        <v>3.3610462099415095E-2</v>
      </c>
      <c r="N188" s="97">
        <f>INDEX('Pace of change parameters'!$E$22:$I$22,1,$B$5)</f>
        <v>2.4506891160555818E-2</v>
      </c>
      <c r="O188" s="108">
        <f>MAX(IF(INDEX('Pace of change parameters'!$E$30:$I$30,1,$B$5)=1,(1+M188)*D188,D188),L188)</f>
        <v>519089</v>
      </c>
      <c r="P188" s="94">
        <f>IF(K188&lt;INDEX('Pace of change parameters'!$E$18:$I$18,1,$B$5),1,IF(K188&gt;INDEX('Pace of change parameters'!$E$19:$I$19,1,$B$5),0,(K188-INDEX('Pace of change parameters'!$E$19:$I$19,1,$B$5))/(INDEX('Pace of change parameters'!$E$18:$I$18,1,$B$5)-INDEX('Pace of change parameters'!$E$19:$I$19,1,$B$5))))</f>
        <v>0.76813452463691079</v>
      </c>
      <c r="Q188" s="57">
        <v>4.6081978049072436E-2</v>
      </c>
      <c r="R188" s="57">
        <v>3.6868563668872367E-2</v>
      </c>
      <c r="S188" s="9">
        <f>MAX(IF(INDEX('Pace of change parameters'!$E$31:$I$31,1,$B$5)=1,D188*(1+Q188),D188),L188)</f>
        <v>522263.75011484575</v>
      </c>
      <c r="T188" s="103">
        <f>IF(Q188&lt;INDEX('Pace of change parameters'!$E$24:$I$24,1,$B$5),INDEX('Pace of change parameters'!$E$24:$I$24,1,$B$5),Q188)</f>
        <v>4.6081978049072436E-2</v>
      </c>
      <c r="U188" s="132">
        <v>3.6868563668872367E-2</v>
      </c>
      <c r="V188" s="117">
        <f t="shared" si="31"/>
        <v>522263.75011484575</v>
      </c>
      <c r="W188" s="131">
        <f>IF(J188&gt;INDEX('Pace of change parameters'!$E$26:$I$26,1,$B$5),0,IF(J188&lt;INDEX('Pace of change parameters'!$E$25:$I$25,1,$B$5),1,(J188-INDEX('Pace of change parameters'!$E$26:$I$26,1,$B$5))/(INDEX('Pace of change parameters'!$E$25:$I$25,1,$B$5)-INDEX('Pace of change parameters'!$E$26:$I$26,1,$B$5))))</f>
        <v>1</v>
      </c>
      <c r="X188" s="132">
        <f>MIN(T188, T188+(INDEX('Pace of change parameters'!$E$27:$I$27,1,$B$5)-T188)*(1-W188))</f>
        <v>4.6081978049072436E-2</v>
      </c>
      <c r="Y188" s="132">
        <v>3.6868563668872367E-2</v>
      </c>
      <c r="Z188" s="108">
        <f t="shared" si="32"/>
        <v>522263.75011484575</v>
      </c>
      <c r="AA188" s="97">
        <f>MIN(VLOOKUP(A188,'2019-20 disagg'!$A$12:$BB$220,54,FALSE),-2.5%)</f>
        <v>-2.5000000000000001E-2</v>
      </c>
      <c r="AB188" s="99">
        <f t="shared" si="24"/>
        <v>519982.87061992887</v>
      </c>
      <c r="AC188" s="99">
        <f>MAX(IF(INDEX('Pace of change parameters'!$E$29:$I$29,1,$B$5)=1,MAX(AB188,Z188),Z188),L188)</f>
        <v>522263.75011484575</v>
      </c>
      <c r="AD188" s="97">
        <f t="shared" si="25"/>
        <v>4.6081978049072436E-2</v>
      </c>
      <c r="AE188" s="146">
        <v>3.6868563668872367E-2</v>
      </c>
      <c r="AF188" s="56">
        <f t="shared" si="33"/>
        <v>522263.75011484575</v>
      </c>
      <c r="AG188" s="56">
        <v>1697.5616084363223</v>
      </c>
      <c r="AH188" s="16">
        <f t="shared" si="26"/>
        <v>4.6081978049072436E-2</v>
      </c>
      <c r="AI188" s="16">
        <f t="shared" si="27"/>
        <v>3.6868563668872145E-2</v>
      </c>
      <c r="AJ188" s="56"/>
      <c r="AK188" s="56">
        <v>533315.76473838859</v>
      </c>
      <c r="AL188" s="56">
        <v>1733.4849818595735</v>
      </c>
      <c r="AM188" s="16">
        <f t="shared" si="35"/>
        <v>-2.0723210064799491E-2</v>
      </c>
      <c r="AN188" s="58">
        <f t="shared" si="35"/>
        <v>-2.0723210064799602E-2</v>
      </c>
      <c r="AP188" s="56">
        <f t="shared" si="28"/>
        <v>0</v>
      </c>
      <c r="AQ188" s="56">
        <f t="shared" si="29"/>
        <v>0</v>
      </c>
    </row>
    <row r="189" spans="1:43" x14ac:dyDescent="0.2">
      <c r="A189" s="156" t="s">
        <v>423</v>
      </c>
      <c r="B189" s="156" t="s">
        <v>424</v>
      </c>
      <c r="D189" s="68">
        <f>VLOOKUP(A189,'2019-20 disagg'!A189:AZ397,43,FALSE)</f>
        <v>179552</v>
      </c>
      <c r="E189" s="73">
        <v>1493.4125314518035</v>
      </c>
      <c r="F189" s="55"/>
      <c r="G189" s="88">
        <v>182106.46618511199</v>
      </c>
      <c r="H189" s="81">
        <v>1505.102903887424</v>
      </c>
      <c r="I189" s="90"/>
      <c r="J189" s="103">
        <f t="shared" si="30"/>
        <v>-1.4027322799814113E-2</v>
      </c>
      <c r="K189" s="126">
        <f t="shared" si="30"/>
        <v>-7.7671582490647095E-3</v>
      </c>
      <c r="L189" s="56">
        <v>186559</v>
      </c>
      <c r="M189" s="103">
        <v>3.1011718191112037E-2</v>
      </c>
      <c r="N189" s="97">
        <f>INDEX('Pace of change parameters'!$E$22:$I$22,1,$B$5)</f>
        <v>2.4506891160555818E-2</v>
      </c>
      <c r="O189" s="108">
        <f>MAX(IF(INDEX('Pace of change parameters'!$E$30:$I$30,1,$B$5)=1,(1+M189)*D189,D189),L189)</f>
        <v>186559</v>
      </c>
      <c r="P189" s="94">
        <f>IF(K189&lt;INDEX('Pace of change parameters'!$E$18:$I$18,1,$B$5),1,IF(K189&gt;INDEX('Pace of change parameters'!$E$19:$I$19,1,$B$5),0,(K189-INDEX('Pace of change parameters'!$E$19:$I$19,1,$B$5))/(INDEX('Pace of change parameters'!$E$18:$I$18,1,$B$5)-INDEX('Pace of change parameters'!$E$19:$I$19,1,$B$5))))</f>
        <v>0.46754380718334831</v>
      </c>
      <c r="Q189" s="57">
        <v>3.8583724634611238E-2</v>
      </c>
      <c r="R189" s="57">
        <v>3.2031124536765487E-2</v>
      </c>
      <c r="S189" s="9">
        <f>MAX(IF(INDEX('Pace of change parameters'!$E$31:$I$31,1,$B$5)=1,D189*(1+Q189),D189),L189)</f>
        <v>186559</v>
      </c>
      <c r="T189" s="103">
        <f>IF(Q189&lt;INDEX('Pace of change parameters'!$E$24:$I$24,1,$B$5),INDEX('Pace of change parameters'!$E$24:$I$24,1,$B$5),Q189)</f>
        <v>3.8583724634611238E-2</v>
      </c>
      <c r="U189" s="132">
        <v>3.2031124536765487E-2</v>
      </c>
      <c r="V189" s="117">
        <f t="shared" si="31"/>
        <v>186559</v>
      </c>
      <c r="W189" s="131">
        <f>IF(J189&gt;INDEX('Pace of change parameters'!$E$26:$I$26,1,$B$5),0,IF(J189&lt;INDEX('Pace of change parameters'!$E$25:$I$25,1,$B$5),1,(J189-INDEX('Pace of change parameters'!$E$26:$I$26,1,$B$5))/(INDEX('Pace of change parameters'!$E$25:$I$25,1,$B$5)-INDEX('Pace of change parameters'!$E$26:$I$26,1,$B$5))))</f>
        <v>1</v>
      </c>
      <c r="X189" s="132">
        <f>MIN(T189, T189+(INDEX('Pace of change parameters'!$E$27:$I$27,1,$B$5)-T189)*(1-W189))</f>
        <v>3.8583724634611238E-2</v>
      </c>
      <c r="Y189" s="132">
        <v>3.2031124536765487E-2</v>
      </c>
      <c r="Z189" s="108">
        <f t="shared" si="32"/>
        <v>186559</v>
      </c>
      <c r="AA189" s="97">
        <f>MIN(VLOOKUP(A189,'2019-20 disagg'!$A$12:$BB$220,54,FALSE),-2.5%)</f>
        <v>-2.5000000000000001E-2</v>
      </c>
      <c r="AB189" s="99">
        <f t="shared" si="24"/>
        <v>184763.93345514344</v>
      </c>
      <c r="AC189" s="99">
        <f>MAX(IF(INDEX('Pace of change parameters'!$E$29:$I$29,1,$B$5)=1,MAX(AB189,Z189),Z189),L189)</f>
        <v>186559</v>
      </c>
      <c r="AD189" s="97">
        <f t="shared" si="25"/>
        <v>3.9024906433790862E-2</v>
      </c>
      <c r="AE189" s="146">
        <v>3.2469522845474552E-2</v>
      </c>
      <c r="AF189" s="56">
        <f t="shared" si="33"/>
        <v>186559</v>
      </c>
      <c r="AG189" s="56">
        <v>1541.9029237594957</v>
      </c>
      <c r="AH189" s="16">
        <f t="shared" si="26"/>
        <v>3.9024906433790862E-2</v>
      </c>
      <c r="AI189" s="16">
        <f t="shared" si="27"/>
        <v>3.2469522845474552E-2</v>
      </c>
      <c r="AJ189" s="56"/>
      <c r="AK189" s="56">
        <v>189501.47021040352</v>
      </c>
      <c r="AL189" s="56">
        <v>1566.2223263104122</v>
      </c>
      <c r="AM189" s="16">
        <f t="shared" si="35"/>
        <v>-1.5527426816987266E-2</v>
      </c>
      <c r="AN189" s="58">
        <f t="shared" si="35"/>
        <v>-1.5527426816987266E-2</v>
      </c>
      <c r="AP189" s="56">
        <f t="shared" si="28"/>
        <v>1</v>
      </c>
      <c r="AQ189" s="56">
        <f t="shared" si="29"/>
        <v>0</v>
      </c>
    </row>
    <row r="190" spans="1:43" x14ac:dyDescent="0.2">
      <c r="A190" s="156" t="s">
        <v>425</v>
      </c>
      <c r="B190" s="156" t="s">
        <v>426</v>
      </c>
      <c r="D190" s="68">
        <f>VLOOKUP(A190,'2019-20 disagg'!A190:AZ398,43,FALSE)</f>
        <v>169662</v>
      </c>
      <c r="E190" s="73">
        <v>1507.0111381096658</v>
      </c>
      <c r="F190" s="55"/>
      <c r="G190" s="88">
        <v>173200.81513437294</v>
      </c>
      <c r="H190" s="81">
        <v>1527.8848117142027</v>
      </c>
      <c r="I190" s="90"/>
      <c r="J190" s="103">
        <f t="shared" si="30"/>
        <v>-2.0431861891801462E-2</v>
      </c>
      <c r="K190" s="126">
        <f t="shared" si="30"/>
        <v>-1.3661811050479478E-2</v>
      </c>
      <c r="L190" s="56">
        <v>176257</v>
      </c>
      <c r="M190" s="103">
        <v>3.158752544275778E-2</v>
      </c>
      <c r="N190" s="97">
        <f>INDEX('Pace of change parameters'!$E$22:$I$22,1,$B$5)</f>
        <v>2.4506891160555818E-2</v>
      </c>
      <c r="O190" s="108">
        <f>MAX(IF(INDEX('Pace of change parameters'!$E$30:$I$30,1,$B$5)=1,(1+M190)*D190,D190),L190)</f>
        <v>176257</v>
      </c>
      <c r="P190" s="94">
        <f>IF(K190&lt;INDEX('Pace of change parameters'!$E$18:$I$18,1,$B$5),1,IF(K190&gt;INDEX('Pace of change parameters'!$E$19:$I$19,1,$B$5),0,(K190-INDEX('Pace of change parameters'!$E$19:$I$19,1,$B$5))/(INDEX('Pace of change parameters'!$E$18:$I$18,1,$B$5)-INDEX('Pace of change parameters'!$E$19:$I$19,1,$B$5))))</f>
        <v>0.66089531253123224</v>
      </c>
      <c r="Q190" s="57">
        <v>4.2296892842095479E-2</v>
      </c>
      <c r="R190" s="57">
        <v>3.5142751356599389E-2</v>
      </c>
      <c r="S190" s="9">
        <f>MAX(IF(INDEX('Pace of change parameters'!$E$31:$I$31,1,$B$5)=1,D190*(1+Q190),D190),L190)</f>
        <v>176838.17543337561</v>
      </c>
      <c r="T190" s="103">
        <f>IF(Q190&lt;INDEX('Pace of change parameters'!$E$24:$I$24,1,$B$5),INDEX('Pace of change parameters'!$E$24:$I$24,1,$B$5),Q190)</f>
        <v>4.2296892842095479E-2</v>
      </c>
      <c r="U190" s="132">
        <v>3.5142751356599389E-2</v>
      </c>
      <c r="V190" s="117">
        <f t="shared" si="31"/>
        <v>176838.17543337561</v>
      </c>
      <c r="W190" s="131">
        <f>IF(J190&gt;INDEX('Pace of change parameters'!$E$26:$I$26,1,$B$5),0,IF(J190&lt;INDEX('Pace of change parameters'!$E$25:$I$25,1,$B$5),1,(J190-INDEX('Pace of change parameters'!$E$26:$I$26,1,$B$5))/(INDEX('Pace of change parameters'!$E$25:$I$25,1,$B$5)-INDEX('Pace of change parameters'!$E$26:$I$26,1,$B$5))))</f>
        <v>1</v>
      </c>
      <c r="X190" s="132">
        <f>MIN(T190, T190+(INDEX('Pace of change parameters'!$E$27:$I$27,1,$B$5)-T190)*(1-W190))</f>
        <v>4.2296892842095479E-2</v>
      </c>
      <c r="Y190" s="132">
        <v>3.5142751356599389E-2</v>
      </c>
      <c r="Z190" s="108">
        <f t="shared" si="32"/>
        <v>176838.17543337561</v>
      </c>
      <c r="AA190" s="97">
        <f>MIN(VLOOKUP(A190,'2019-20 disagg'!$A$12:$BB$220,54,FALSE),-2.5%)</f>
        <v>-2.5000000000000001E-2</v>
      </c>
      <c r="AB190" s="99">
        <f t="shared" si="24"/>
        <v>175702.01444731979</v>
      </c>
      <c r="AC190" s="99">
        <f>MAX(IF(INDEX('Pace of change parameters'!$E$29:$I$29,1,$B$5)=1,MAX(AB190,Z190),Z190),L190)</f>
        <v>176838.17543337561</v>
      </c>
      <c r="AD190" s="97">
        <f t="shared" si="25"/>
        <v>4.2296892842095479E-2</v>
      </c>
      <c r="AE190" s="146">
        <v>3.5142751356599389E-2</v>
      </c>
      <c r="AF190" s="56">
        <f t="shared" si="33"/>
        <v>176838.17543337561</v>
      </c>
      <c r="AG190" s="56">
        <v>1559.9716558278797</v>
      </c>
      <c r="AH190" s="16">
        <f t="shared" si="26"/>
        <v>4.2296892842095479E-2</v>
      </c>
      <c r="AI190" s="16">
        <f t="shared" si="27"/>
        <v>3.5142751356599389E-2</v>
      </c>
      <c r="AJ190" s="56"/>
      <c r="AK190" s="56">
        <v>180207.19430494338</v>
      </c>
      <c r="AL190" s="56">
        <v>1589.6913356126047</v>
      </c>
      <c r="AM190" s="16">
        <f t="shared" si="35"/>
        <v>-1.8695251788154343E-2</v>
      </c>
      <c r="AN190" s="58">
        <f t="shared" si="35"/>
        <v>-1.8695251788154343E-2</v>
      </c>
      <c r="AP190" s="56">
        <f t="shared" si="28"/>
        <v>0</v>
      </c>
      <c r="AQ190" s="56">
        <f t="shared" si="29"/>
        <v>0</v>
      </c>
    </row>
    <row r="191" spans="1:43" x14ac:dyDescent="0.2">
      <c r="A191" s="156" t="s">
        <v>427</v>
      </c>
      <c r="B191" s="156" t="s">
        <v>428</v>
      </c>
      <c r="D191" s="68">
        <f>VLOOKUP(A191,'2019-20 disagg'!A191:AZ399,43,FALSE)</f>
        <v>360278</v>
      </c>
      <c r="E191" s="73">
        <v>1576.5777889929366</v>
      </c>
      <c r="F191" s="55"/>
      <c r="G191" s="88">
        <v>369344.84785856766</v>
      </c>
      <c r="H191" s="81">
        <v>1607.9926194369932</v>
      </c>
      <c r="I191" s="90"/>
      <c r="J191" s="103">
        <f t="shared" si="30"/>
        <v>-2.4548461718463255E-2</v>
      </c>
      <c r="K191" s="126">
        <f t="shared" si="30"/>
        <v>-1.9536675768484502E-2</v>
      </c>
      <c r="L191" s="56">
        <v>374233</v>
      </c>
      <c r="M191" s="103">
        <v>2.9770719286574598E-2</v>
      </c>
      <c r="N191" s="97">
        <f>INDEX('Pace of change parameters'!$E$22:$I$22,1,$B$5)</f>
        <v>2.4506891160555818E-2</v>
      </c>
      <c r="O191" s="108">
        <f>MAX(IF(INDEX('Pace of change parameters'!$E$30:$I$30,1,$B$5)=1,(1+M191)*D191,D191),L191)</f>
        <v>374233</v>
      </c>
      <c r="P191" s="94">
        <f>IF(K191&lt;INDEX('Pace of change parameters'!$E$18:$I$18,1,$B$5),1,IF(K191&gt;INDEX('Pace of change parameters'!$E$19:$I$19,1,$B$5),0,(K191-INDEX('Pace of change parameters'!$E$19:$I$19,1,$B$5))/(INDEX('Pace of change parameters'!$E$18:$I$18,1,$B$5)-INDEX('Pace of change parameters'!$E$19:$I$19,1,$B$5))))</f>
        <v>0.85359774560223745</v>
      </c>
      <c r="Q191" s="57">
        <v>4.3578340446790209E-2</v>
      </c>
      <c r="R191" s="57">
        <v>3.8243932585636742E-2</v>
      </c>
      <c r="S191" s="9">
        <f>MAX(IF(INDEX('Pace of change parameters'!$E$31:$I$31,1,$B$5)=1,D191*(1+Q191),D191),L191)</f>
        <v>375978.31733948865</v>
      </c>
      <c r="T191" s="103">
        <f>IF(Q191&lt;INDEX('Pace of change parameters'!$E$24:$I$24,1,$B$5),INDEX('Pace of change parameters'!$E$24:$I$24,1,$B$5),Q191)</f>
        <v>4.3578340446790209E-2</v>
      </c>
      <c r="U191" s="132">
        <v>3.8243932585636742E-2</v>
      </c>
      <c r="V191" s="117">
        <f t="shared" si="31"/>
        <v>375978.31733948865</v>
      </c>
      <c r="W191" s="131">
        <f>IF(J191&gt;INDEX('Pace of change parameters'!$E$26:$I$26,1,$B$5),0,IF(J191&lt;INDEX('Pace of change parameters'!$E$25:$I$25,1,$B$5),1,(J191-INDEX('Pace of change parameters'!$E$26:$I$26,1,$B$5))/(INDEX('Pace of change parameters'!$E$25:$I$25,1,$B$5)-INDEX('Pace of change parameters'!$E$26:$I$26,1,$B$5))))</f>
        <v>1</v>
      </c>
      <c r="X191" s="132">
        <f>MIN(T191, T191+(INDEX('Pace of change parameters'!$E$27:$I$27,1,$B$5)-T191)*(1-W191))</f>
        <v>4.3578340446790209E-2</v>
      </c>
      <c r="Y191" s="132">
        <v>3.8243932585636742E-2</v>
      </c>
      <c r="Z191" s="108">
        <f t="shared" si="32"/>
        <v>375978.31733948865</v>
      </c>
      <c r="AA191" s="97">
        <f>MIN(VLOOKUP(A191,'2019-20 disagg'!$A$12:$BB$220,54,FALSE),-2.5%)</f>
        <v>-2.6118499439984011E-2</v>
      </c>
      <c r="AB191" s="99">
        <f t="shared" si="24"/>
        <v>374359.01091282029</v>
      </c>
      <c r="AC191" s="99">
        <f>MAX(IF(INDEX('Pace of change parameters'!$E$29:$I$29,1,$B$5)=1,MAX(AB191,Z191),Z191),L191)</f>
        <v>375978.31733948865</v>
      </c>
      <c r="AD191" s="97">
        <f t="shared" si="25"/>
        <v>4.3578340446790209E-2</v>
      </c>
      <c r="AE191" s="146">
        <v>3.8243932585636742E-2</v>
      </c>
      <c r="AF191" s="56">
        <f t="shared" si="33"/>
        <v>375978.31733948865</v>
      </c>
      <c r="AG191" s="56">
        <v>1636.8723236711944</v>
      </c>
      <c r="AH191" s="16">
        <f t="shared" si="26"/>
        <v>4.3578340446790209E-2</v>
      </c>
      <c r="AI191" s="16">
        <f t="shared" si="27"/>
        <v>3.824393258563652E-2</v>
      </c>
      <c r="AJ191" s="56"/>
      <c r="AK191" s="56">
        <v>384398.93426207476</v>
      </c>
      <c r="AL191" s="56">
        <v>1673.5326153772526</v>
      </c>
      <c r="AM191" s="16">
        <f t="shared" si="35"/>
        <v>-2.1905932020209851E-2</v>
      </c>
      <c r="AN191" s="58">
        <f t="shared" si="35"/>
        <v>-2.1905932020209851E-2</v>
      </c>
      <c r="AP191" s="56">
        <f t="shared" si="28"/>
        <v>0</v>
      </c>
      <c r="AQ191" s="56">
        <f t="shared" si="29"/>
        <v>0</v>
      </c>
    </row>
    <row r="192" spans="1:43" x14ac:dyDescent="0.2">
      <c r="A192" s="156" t="s">
        <v>429</v>
      </c>
      <c r="B192" s="156" t="s">
        <v>430</v>
      </c>
      <c r="D192" s="68">
        <f>VLOOKUP(A192,'2019-20 disagg'!A192:AZ400,43,FALSE)</f>
        <v>347097</v>
      </c>
      <c r="E192" s="73">
        <v>1507.237100864008</v>
      </c>
      <c r="F192" s="55"/>
      <c r="G192" s="88">
        <v>354559.84255556396</v>
      </c>
      <c r="H192" s="81">
        <v>1525.4273748217513</v>
      </c>
      <c r="I192" s="90"/>
      <c r="J192" s="103">
        <f t="shared" si="30"/>
        <v>-2.1048188936947709E-2</v>
      </c>
      <c r="K192" s="126">
        <f t="shared" si="30"/>
        <v>-1.1924706648108296E-2</v>
      </c>
      <c r="L192" s="56">
        <v>361464</v>
      </c>
      <c r="M192" s="103">
        <v>3.4054930574413333E-2</v>
      </c>
      <c r="N192" s="97">
        <f>INDEX('Pace of change parameters'!$E$22:$I$22,1,$B$5)</f>
        <v>2.4506891160555818E-2</v>
      </c>
      <c r="O192" s="108">
        <f>MAX(IF(INDEX('Pace of change parameters'!$E$30:$I$30,1,$B$5)=1,(1+M192)*D192,D192),L192)</f>
        <v>361464</v>
      </c>
      <c r="P192" s="94">
        <f>IF(K192&lt;INDEX('Pace of change parameters'!$E$18:$I$18,1,$B$5),1,IF(K192&gt;INDEX('Pace of change parameters'!$E$19:$I$19,1,$B$5),0,(K192-INDEX('Pace of change parameters'!$E$19:$I$19,1,$B$5))/(INDEX('Pace of change parameters'!$E$18:$I$18,1,$B$5)-INDEX('Pace of change parameters'!$E$19:$I$19,1,$B$5))))</f>
        <v>0.60391625668857229</v>
      </c>
      <c r="Q192" s="57">
        <v>4.3864397217714179E-2</v>
      </c>
      <c r="R192" s="57">
        <v>3.4225781209354711E-2</v>
      </c>
      <c r="S192" s="9">
        <f>MAX(IF(INDEX('Pace of change parameters'!$E$31:$I$31,1,$B$5)=1,D192*(1+Q192),D192),L192)</f>
        <v>362322.20068107697</v>
      </c>
      <c r="T192" s="103">
        <f>IF(Q192&lt;INDEX('Pace of change parameters'!$E$24:$I$24,1,$B$5),INDEX('Pace of change parameters'!$E$24:$I$24,1,$B$5),Q192)</f>
        <v>4.3864397217714179E-2</v>
      </c>
      <c r="U192" s="132">
        <v>3.4225781209354711E-2</v>
      </c>
      <c r="V192" s="117">
        <f t="shared" si="31"/>
        <v>362322.20068107697</v>
      </c>
      <c r="W192" s="131">
        <f>IF(J192&gt;INDEX('Pace of change parameters'!$E$26:$I$26,1,$B$5),0,IF(J192&lt;INDEX('Pace of change parameters'!$E$25:$I$25,1,$B$5),1,(J192-INDEX('Pace of change parameters'!$E$26:$I$26,1,$B$5))/(INDEX('Pace of change parameters'!$E$25:$I$25,1,$B$5)-INDEX('Pace of change parameters'!$E$26:$I$26,1,$B$5))))</f>
        <v>1</v>
      </c>
      <c r="X192" s="132">
        <f>MIN(T192, T192+(INDEX('Pace of change parameters'!$E$27:$I$27,1,$B$5)-T192)*(1-W192))</f>
        <v>4.3864397217714179E-2</v>
      </c>
      <c r="Y192" s="132">
        <v>3.4225781209354711E-2</v>
      </c>
      <c r="Z192" s="108">
        <f t="shared" si="32"/>
        <v>362322.20068107697</v>
      </c>
      <c r="AA192" s="97">
        <f>MIN(VLOOKUP(A192,'2019-20 disagg'!$A$12:$BB$220,54,FALSE),-2.5%)</f>
        <v>-2.5000000000000001E-2</v>
      </c>
      <c r="AB192" s="99">
        <f t="shared" si="24"/>
        <v>359693.18424257246</v>
      </c>
      <c r="AC192" s="99">
        <f>MAX(IF(INDEX('Pace of change parameters'!$E$29:$I$29,1,$B$5)=1,MAX(AB192,Z192),Z192),L192)</f>
        <v>362322.20068107697</v>
      </c>
      <c r="AD192" s="97">
        <f t="shared" si="25"/>
        <v>4.3864397217714179E-2</v>
      </c>
      <c r="AE192" s="146">
        <v>3.4225781209354711E-2</v>
      </c>
      <c r="AF192" s="56">
        <f t="shared" si="33"/>
        <v>362322.20068107697</v>
      </c>
      <c r="AG192" s="56">
        <v>1558.8234681088018</v>
      </c>
      <c r="AH192" s="16">
        <f t="shared" si="26"/>
        <v>4.3864397217714179E-2</v>
      </c>
      <c r="AI192" s="16">
        <f t="shared" si="27"/>
        <v>3.4225781209354711E-2</v>
      </c>
      <c r="AJ192" s="56"/>
      <c r="AK192" s="56">
        <v>368916.08640263841</v>
      </c>
      <c r="AL192" s="56">
        <v>1587.1924275307642</v>
      </c>
      <c r="AM192" s="16">
        <f t="shared" si="35"/>
        <v>-1.7873673620089403E-2</v>
      </c>
      <c r="AN192" s="58">
        <f t="shared" si="35"/>
        <v>-1.7873673620089514E-2</v>
      </c>
      <c r="AP192" s="56">
        <f t="shared" si="28"/>
        <v>0</v>
      </c>
      <c r="AQ192" s="56">
        <f t="shared" si="29"/>
        <v>0</v>
      </c>
    </row>
    <row r="193" spans="1:43" x14ac:dyDescent="0.2">
      <c r="A193" s="156" t="s">
        <v>431</v>
      </c>
      <c r="B193" s="156" t="s">
        <v>432</v>
      </c>
      <c r="D193" s="68">
        <f>VLOOKUP(A193,'2019-20 disagg'!A193:AZ401,43,FALSE)</f>
        <v>591150</v>
      </c>
      <c r="E193" s="73">
        <v>1567.4468279265957</v>
      </c>
      <c r="F193" s="55"/>
      <c r="G193" s="88">
        <v>603572.60640800907</v>
      </c>
      <c r="H193" s="81">
        <v>1588.006897776989</v>
      </c>
      <c r="I193" s="90"/>
      <c r="J193" s="103">
        <f t="shared" si="30"/>
        <v>-2.0581792937785393E-2</v>
      </c>
      <c r="K193" s="126">
        <f t="shared" si="30"/>
        <v>-1.294709102282543E-2</v>
      </c>
      <c r="L193" s="56">
        <v>614526</v>
      </c>
      <c r="M193" s="103">
        <v>3.2493065674601862E-2</v>
      </c>
      <c r="N193" s="97">
        <f>INDEX('Pace of change parameters'!$E$22:$I$22,1,$B$5)</f>
        <v>2.4506891160555818E-2</v>
      </c>
      <c r="O193" s="108">
        <f>MAX(IF(INDEX('Pace of change parameters'!$E$30:$I$30,1,$B$5)=1,(1+M193)*D193,D193),L193)</f>
        <v>614526</v>
      </c>
      <c r="P193" s="94">
        <f>IF(K193&lt;INDEX('Pace of change parameters'!$E$18:$I$18,1,$B$5),1,IF(K193&gt;INDEX('Pace of change parameters'!$E$19:$I$19,1,$B$5),0,(K193-INDEX('Pace of change parameters'!$E$19:$I$19,1,$B$5))/(INDEX('Pace of change parameters'!$E$18:$I$18,1,$B$5)-INDEX('Pace of change parameters'!$E$19:$I$19,1,$B$5))))</f>
        <v>0.63745165979972207</v>
      </c>
      <c r="Q193" s="57">
        <v>4.2831611673352921E-2</v>
      </c>
      <c r="R193" s="57">
        <v>3.476547010159714E-2</v>
      </c>
      <c r="S193" s="9">
        <f>MAX(IF(INDEX('Pace of change parameters'!$E$31:$I$31,1,$B$5)=1,D193*(1+Q193),D193),L193)</f>
        <v>616469.90724070254</v>
      </c>
      <c r="T193" s="103">
        <f>IF(Q193&lt;INDEX('Pace of change parameters'!$E$24:$I$24,1,$B$5),INDEX('Pace of change parameters'!$E$24:$I$24,1,$B$5),Q193)</f>
        <v>4.2831611673352921E-2</v>
      </c>
      <c r="U193" s="132">
        <v>3.476547010159714E-2</v>
      </c>
      <c r="V193" s="117">
        <f t="shared" si="31"/>
        <v>616469.90724070254</v>
      </c>
      <c r="W193" s="131">
        <f>IF(J193&gt;INDEX('Pace of change parameters'!$E$26:$I$26,1,$B$5),0,IF(J193&lt;INDEX('Pace of change parameters'!$E$25:$I$25,1,$B$5),1,(J193-INDEX('Pace of change parameters'!$E$26:$I$26,1,$B$5))/(INDEX('Pace of change parameters'!$E$25:$I$25,1,$B$5)-INDEX('Pace of change parameters'!$E$26:$I$26,1,$B$5))))</f>
        <v>1</v>
      </c>
      <c r="X193" s="132">
        <f>MIN(T193, T193+(INDEX('Pace of change parameters'!$E$27:$I$27,1,$B$5)-T193)*(1-W193))</f>
        <v>4.2831611673352921E-2</v>
      </c>
      <c r="Y193" s="132">
        <v>3.476547010159714E-2</v>
      </c>
      <c r="Z193" s="108">
        <f t="shared" si="32"/>
        <v>616469.90724070254</v>
      </c>
      <c r="AA193" s="97">
        <f>MIN(VLOOKUP(A193,'2019-20 disagg'!$A$12:$BB$220,54,FALSE),-2.5%)</f>
        <v>-2.5000000000000001E-2</v>
      </c>
      <c r="AB193" s="99">
        <f t="shared" si="24"/>
        <v>612386.29725010809</v>
      </c>
      <c r="AC193" s="99">
        <f>MAX(IF(INDEX('Pace of change parameters'!$E$29:$I$29,1,$B$5)=1,MAX(AB193,Z193),Z193),L193)</f>
        <v>616469.90724070254</v>
      </c>
      <c r="AD193" s="97">
        <f t="shared" si="25"/>
        <v>4.2831611673352921E-2</v>
      </c>
      <c r="AE193" s="146">
        <v>3.476547010159714E-2</v>
      </c>
      <c r="AF193" s="56">
        <f t="shared" si="33"/>
        <v>616469.90724070254</v>
      </c>
      <c r="AG193" s="56">
        <v>1621.9398537587208</v>
      </c>
      <c r="AH193" s="16">
        <f t="shared" si="26"/>
        <v>4.2831611673352921E-2</v>
      </c>
      <c r="AI193" s="16">
        <f t="shared" si="27"/>
        <v>3.4765470101596918E-2</v>
      </c>
      <c r="AJ193" s="56"/>
      <c r="AK193" s="56">
        <v>628088.51000011084</v>
      </c>
      <c r="AL193" s="56">
        <v>1652.5085394952616</v>
      </c>
      <c r="AM193" s="16">
        <f t="shared" si="35"/>
        <v>-1.849835265957378E-2</v>
      </c>
      <c r="AN193" s="58">
        <f t="shared" si="35"/>
        <v>-1.8498352659573891E-2</v>
      </c>
      <c r="AP193" s="56">
        <f t="shared" si="28"/>
        <v>0</v>
      </c>
      <c r="AQ193" s="56">
        <f t="shared" si="29"/>
        <v>0</v>
      </c>
    </row>
    <row r="194" spans="1:43" x14ac:dyDescent="0.2">
      <c r="A194" s="156" t="s">
        <v>433</v>
      </c>
      <c r="B194" s="156" t="s">
        <v>434</v>
      </c>
      <c r="D194" s="68">
        <f>VLOOKUP(A194,'2019-20 disagg'!A194:AZ402,43,FALSE)</f>
        <v>1109641</v>
      </c>
      <c r="E194" s="73">
        <v>1512.3536559154734</v>
      </c>
      <c r="F194" s="55"/>
      <c r="G194" s="88">
        <v>1108698.4608445156</v>
      </c>
      <c r="H194" s="81">
        <v>1502.6900969396318</v>
      </c>
      <c r="I194" s="90"/>
      <c r="J194" s="103">
        <f t="shared" si="30"/>
        <v>8.501312022806129E-4</v>
      </c>
      <c r="K194" s="126">
        <f t="shared" si="30"/>
        <v>6.4308395959502551E-3</v>
      </c>
      <c r="L194" s="56">
        <v>1154279</v>
      </c>
      <c r="M194" s="103">
        <v>3.0219508892846747E-2</v>
      </c>
      <c r="N194" s="97">
        <f>INDEX('Pace of change parameters'!$E$22:$I$22,1,$B$5)</f>
        <v>2.4506891160555818E-2</v>
      </c>
      <c r="O194" s="108">
        <f>MAX(IF(INDEX('Pace of change parameters'!$E$30:$I$30,1,$B$5)=1,(1+M194)*D194,D194),L194)</f>
        <v>1154279</v>
      </c>
      <c r="P194" s="94">
        <f>IF(K194&lt;INDEX('Pace of change parameters'!$E$18:$I$18,1,$B$5),1,IF(K194&gt;INDEX('Pace of change parameters'!$E$19:$I$19,1,$B$5),0,(K194-INDEX('Pace of change parameters'!$E$19:$I$19,1,$B$5))/(INDEX('Pace of change parameters'!$E$18:$I$18,1,$B$5)-INDEX('Pace of change parameters'!$E$19:$I$19,1,$B$5))))</f>
        <v>1.8328741151985805E-3</v>
      </c>
      <c r="Q194" s="57">
        <v>3.0249170007810022E-2</v>
      </c>
      <c r="R194" s="57">
        <v>2.4536387803180792E-2</v>
      </c>
      <c r="S194" s="9">
        <f>MAX(IF(INDEX('Pace of change parameters'!$E$31:$I$31,1,$B$5)=1,D194*(1+Q194),D194),L194)</f>
        <v>1154279</v>
      </c>
      <c r="T194" s="103">
        <f>IF(Q194&lt;INDEX('Pace of change parameters'!$E$24:$I$24,1,$B$5),INDEX('Pace of change parameters'!$E$24:$I$24,1,$B$5),Q194)</f>
        <v>3.2992755077120454E-2</v>
      </c>
      <c r="U194" s="132">
        <v>2.7264759558647489E-2</v>
      </c>
      <c r="V194" s="117">
        <f t="shared" si="31"/>
        <v>1154279</v>
      </c>
      <c r="W194" s="131">
        <f>IF(J194&gt;INDEX('Pace of change parameters'!$E$26:$I$26,1,$B$5),0,IF(J194&lt;INDEX('Pace of change parameters'!$E$25:$I$25,1,$B$5),1,(J194-INDEX('Pace of change parameters'!$E$26:$I$26,1,$B$5))/(INDEX('Pace of change parameters'!$E$25:$I$25,1,$B$5)-INDEX('Pace of change parameters'!$E$26:$I$26,1,$B$5))))</f>
        <v>1</v>
      </c>
      <c r="X194" s="132">
        <f>MIN(T194, T194+(INDEX('Pace of change parameters'!$E$27:$I$27,1,$B$5)-T194)*(1-W194))</f>
        <v>3.2992755077120454E-2</v>
      </c>
      <c r="Y194" s="132">
        <v>2.7264759558647489E-2</v>
      </c>
      <c r="Z194" s="108">
        <f t="shared" si="32"/>
        <v>1154279</v>
      </c>
      <c r="AA194" s="97">
        <f>MIN(VLOOKUP(A194,'2019-20 disagg'!$A$12:$BB$220,54,FALSE),-2.5%)</f>
        <v>-2.5000000000000001E-2</v>
      </c>
      <c r="AB194" s="99">
        <f t="shared" si="24"/>
        <v>1125267.1297780932</v>
      </c>
      <c r="AC194" s="99">
        <f>MAX(IF(INDEX('Pace of change parameters'!$E$29:$I$29,1,$B$5)=1,MAX(AB194,Z194),Z194),L194)</f>
        <v>1154279</v>
      </c>
      <c r="AD194" s="97">
        <f t="shared" si="25"/>
        <v>4.0227424905892928E-2</v>
      </c>
      <c r="AE194" s="146">
        <v>3.4459312788195584E-2</v>
      </c>
      <c r="AF194" s="56">
        <f t="shared" si="33"/>
        <v>1154279</v>
      </c>
      <c r="AG194" s="56">
        <v>1564.4683235910359</v>
      </c>
      <c r="AH194" s="16">
        <f t="shared" si="26"/>
        <v>4.0227424905892928E-2</v>
      </c>
      <c r="AI194" s="16">
        <f t="shared" si="27"/>
        <v>3.4459312788195584E-2</v>
      </c>
      <c r="AJ194" s="56"/>
      <c r="AK194" s="56">
        <v>1154120.1331057367</v>
      </c>
      <c r="AL194" s="56">
        <v>1564.2530011051012</v>
      </c>
      <c r="AM194" s="16">
        <f t="shared" si="35"/>
        <v>1.3765195641801675E-4</v>
      </c>
      <c r="AN194" s="58">
        <f t="shared" si="35"/>
        <v>1.3765195641779471E-4</v>
      </c>
      <c r="AP194" s="56">
        <f t="shared" si="28"/>
        <v>1</v>
      </c>
      <c r="AQ194" s="56">
        <f t="shared" si="29"/>
        <v>0</v>
      </c>
    </row>
    <row r="195" spans="1:43" x14ac:dyDescent="0.2">
      <c r="A195" s="156" t="s">
        <v>435</v>
      </c>
      <c r="B195" s="156" t="s">
        <v>436</v>
      </c>
      <c r="D195" s="68">
        <f>VLOOKUP(A195,'2019-20 disagg'!A195:AZ403,43,FALSE)</f>
        <v>369026</v>
      </c>
      <c r="E195" s="73">
        <v>1623.5233921646272</v>
      </c>
      <c r="F195" s="55"/>
      <c r="G195" s="88">
        <v>363686.36082105164</v>
      </c>
      <c r="H195" s="81">
        <v>1591.4311465651942</v>
      </c>
      <c r="I195" s="90"/>
      <c r="J195" s="103">
        <f t="shared" si="30"/>
        <v>1.468198908227869E-2</v>
      </c>
      <c r="K195" s="126">
        <f t="shared" si="30"/>
        <v>2.0165651318750477E-2</v>
      </c>
      <c r="L195" s="56">
        <v>383314</v>
      </c>
      <c r="M195" s="103">
        <v>3.0043650273766653E-2</v>
      </c>
      <c r="N195" s="97">
        <f>INDEX('Pace of change parameters'!$E$22:$I$22,1,$B$5)</f>
        <v>2.4506891160555818E-2</v>
      </c>
      <c r="O195" s="108">
        <f>MAX(IF(INDEX('Pace of change parameters'!$E$30:$I$30,1,$B$5)=1,(1+M195)*D195,D195),L195)</f>
        <v>383314</v>
      </c>
      <c r="P195" s="94">
        <f>IF(K195&lt;INDEX('Pace of change parameters'!$E$18:$I$18,1,$B$5),1,IF(K195&gt;INDEX('Pace of change parameters'!$E$19:$I$19,1,$B$5),0,(K195-INDEX('Pace of change parameters'!$E$19:$I$19,1,$B$5))/(INDEX('Pace of change parameters'!$E$18:$I$18,1,$B$5)-INDEX('Pace of change parameters'!$E$19:$I$19,1,$B$5))))</f>
        <v>0</v>
      </c>
      <c r="Q195" s="57">
        <v>3.0043650273766653E-2</v>
      </c>
      <c r="R195" s="57">
        <v>2.450689116055571E-2</v>
      </c>
      <c r="S195" s="9">
        <f>MAX(IF(INDEX('Pace of change parameters'!$E$31:$I$31,1,$B$5)=1,D195*(1+Q195),D195),L195)</f>
        <v>383314</v>
      </c>
      <c r="T195" s="103">
        <f>IF(Q195&lt;INDEX('Pace of change parameters'!$E$24:$I$24,1,$B$5),INDEX('Pace of change parameters'!$E$24:$I$24,1,$B$5),Q195)</f>
        <v>3.2992755077120454E-2</v>
      </c>
      <c r="U195" s="132">
        <v>2.7440143739694278E-2</v>
      </c>
      <c r="V195" s="117">
        <f t="shared" si="31"/>
        <v>383314</v>
      </c>
      <c r="W195" s="131">
        <f>IF(J195&gt;INDEX('Pace of change parameters'!$E$26:$I$26,1,$B$5),0,IF(J195&lt;INDEX('Pace of change parameters'!$E$25:$I$25,1,$B$5),1,(J195-INDEX('Pace of change parameters'!$E$26:$I$26,1,$B$5))/(INDEX('Pace of change parameters'!$E$25:$I$25,1,$B$5)-INDEX('Pace of change parameters'!$E$26:$I$26,1,$B$5))))</f>
        <v>1</v>
      </c>
      <c r="X195" s="132">
        <f>MIN(T195, T195+(INDEX('Pace of change parameters'!$E$27:$I$27,1,$B$5)-T195)*(1-W195))</f>
        <v>3.2992755077120454E-2</v>
      </c>
      <c r="Y195" s="132">
        <v>2.7440143739694278E-2</v>
      </c>
      <c r="Z195" s="108">
        <f t="shared" si="32"/>
        <v>383314</v>
      </c>
      <c r="AA195" s="97">
        <f>MIN(VLOOKUP(A195,'2019-20 disagg'!$A$12:$BB$220,54,FALSE),-2.5%)</f>
        <v>-2.5000000000000001E-2</v>
      </c>
      <c r="AB195" s="99">
        <f t="shared" si="24"/>
        <v>368990.62385549949</v>
      </c>
      <c r="AC195" s="99">
        <f>MAX(IF(INDEX('Pace of change parameters'!$E$29:$I$29,1,$B$5)=1,MAX(AB195,Z195),Z195),L195)</f>
        <v>383314</v>
      </c>
      <c r="AD195" s="97">
        <f t="shared" si="25"/>
        <v>3.8718139101309834E-2</v>
      </c>
      <c r="AE195" s="146">
        <v>3.3134752299014636E-2</v>
      </c>
      <c r="AF195" s="56">
        <f t="shared" si="33"/>
        <v>383314</v>
      </c>
      <c r="AG195" s="56">
        <v>1677.3184376156582</v>
      </c>
      <c r="AH195" s="16">
        <f t="shared" si="26"/>
        <v>3.8718139101309834E-2</v>
      </c>
      <c r="AI195" s="16">
        <f t="shared" si="27"/>
        <v>3.3134752299014636E-2</v>
      </c>
      <c r="AJ195" s="56"/>
      <c r="AK195" s="56">
        <v>378451.92190307641</v>
      </c>
      <c r="AL195" s="56">
        <v>1656.0427909210496</v>
      </c>
      <c r="AM195" s="16">
        <f t="shared" si="35"/>
        <v>1.2847280765478031E-2</v>
      </c>
      <c r="AN195" s="58">
        <f t="shared" si="35"/>
        <v>1.2847280765478031E-2</v>
      </c>
      <c r="AP195" s="56">
        <f t="shared" si="28"/>
        <v>1</v>
      </c>
      <c r="AQ195" s="56">
        <f t="shared" si="29"/>
        <v>0</v>
      </c>
    </row>
    <row r="196" spans="1:43" x14ac:dyDescent="0.2">
      <c r="A196" s="156" t="s">
        <v>437</v>
      </c>
      <c r="B196" s="156" t="s">
        <v>438</v>
      </c>
      <c r="D196" s="68">
        <f>VLOOKUP(A196,'2019-20 disagg'!A196:AZ404,43,FALSE)</f>
        <v>250205</v>
      </c>
      <c r="E196" s="73">
        <v>1569.6399174391513</v>
      </c>
      <c r="F196" s="55"/>
      <c r="G196" s="88">
        <v>250894.64113297308</v>
      </c>
      <c r="H196" s="81">
        <v>1556.5243584606833</v>
      </c>
      <c r="I196" s="90"/>
      <c r="J196" s="103">
        <f t="shared" si="30"/>
        <v>-2.7487280312518125E-3</v>
      </c>
      <c r="K196" s="126">
        <f t="shared" si="30"/>
        <v>8.4261829294072221E-3</v>
      </c>
      <c r="L196" s="56">
        <v>260369</v>
      </c>
      <c r="M196" s="103">
        <v>3.5987220751611426E-2</v>
      </c>
      <c r="N196" s="97">
        <f>INDEX('Pace of change parameters'!$E$22:$I$22,1,$B$5)</f>
        <v>2.4506891160555818E-2</v>
      </c>
      <c r="O196" s="108">
        <f>MAX(IF(INDEX('Pace of change parameters'!$E$30:$I$30,1,$B$5)=1,(1+M196)*D196,D196),L196)</f>
        <v>260369</v>
      </c>
      <c r="P196" s="94">
        <f>IF(K196&lt;INDEX('Pace of change parameters'!$E$18:$I$18,1,$B$5),1,IF(K196&gt;INDEX('Pace of change parameters'!$E$19:$I$19,1,$B$5),0,(K196-INDEX('Pace of change parameters'!$E$19:$I$19,1,$B$5))/(INDEX('Pace of change parameters'!$E$18:$I$18,1,$B$5)-INDEX('Pace of change parameters'!$E$19:$I$19,1,$B$5))))</f>
        <v>0</v>
      </c>
      <c r="Q196" s="57">
        <v>3.5987220751611426E-2</v>
      </c>
      <c r="R196" s="57">
        <v>2.450689116055571E-2</v>
      </c>
      <c r="S196" s="9">
        <f>MAX(IF(INDEX('Pace of change parameters'!$E$31:$I$31,1,$B$5)=1,D196*(1+Q196),D196),L196)</f>
        <v>260369</v>
      </c>
      <c r="T196" s="103">
        <f>IF(Q196&lt;INDEX('Pace of change parameters'!$E$24:$I$24,1,$B$5),INDEX('Pace of change parameters'!$E$24:$I$24,1,$B$5),Q196)</f>
        <v>3.5987220751611426E-2</v>
      </c>
      <c r="U196" s="132">
        <v>2.450689116055571E-2</v>
      </c>
      <c r="V196" s="117">
        <f t="shared" si="31"/>
        <v>260369</v>
      </c>
      <c r="W196" s="131">
        <f>IF(J196&gt;INDEX('Pace of change parameters'!$E$26:$I$26,1,$B$5),0,IF(J196&lt;INDEX('Pace of change parameters'!$E$25:$I$25,1,$B$5),1,(J196-INDEX('Pace of change parameters'!$E$26:$I$26,1,$B$5))/(INDEX('Pace of change parameters'!$E$25:$I$25,1,$B$5)-INDEX('Pace of change parameters'!$E$26:$I$26,1,$B$5))))</f>
        <v>1</v>
      </c>
      <c r="X196" s="132">
        <f>MIN(T196, T196+(INDEX('Pace of change parameters'!$E$27:$I$27,1,$B$5)-T196)*(1-W196))</f>
        <v>3.5987220751611426E-2</v>
      </c>
      <c r="Y196" s="132">
        <v>2.450689116055571E-2</v>
      </c>
      <c r="Z196" s="108">
        <f t="shared" si="32"/>
        <v>260369</v>
      </c>
      <c r="AA196" s="97">
        <f>MIN(VLOOKUP(A196,'2019-20 disagg'!$A$12:$BB$220,54,FALSE),-2.5%)</f>
        <v>-2.5000000000000001E-2</v>
      </c>
      <c r="AB196" s="99">
        <f t="shared" si="24"/>
        <v>254617.55548687954</v>
      </c>
      <c r="AC196" s="99">
        <f>MAX(IF(INDEX('Pace of change parameters'!$E$29:$I$29,1,$B$5)=1,MAX(AB196,Z196),Z196),L196)</f>
        <v>260369</v>
      </c>
      <c r="AD196" s="97">
        <f t="shared" si="25"/>
        <v>4.0622689394696376E-2</v>
      </c>
      <c r="AE196" s="146">
        <v>2.9090991691403723E-2</v>
      </c>
      <c r="AF196" s="56">
        <f t="shared" si="33"/>
        <v>260369</v>
      </c>
      <c r="AG196" s="56">
        <v>1615.302299235869</v>
      </c>
      <c r="AH196" s="16">
        <f t="shared" si="26"/>
        <v>4.0622689394696376E-2</v>
      </c>
      <c r="AI196" s="16">
        <f t="shared" si="27"/>
        <v>2.90909916914035E-2</v>
      </c>
      <c r="AJ196" s="56"/>
      <c r="AK196" s="56">
        <v>261146.21075577391</v>
      </c>
      <c r="AL196" s="56">
        <v>1620.1240342380868</v>
      </c>
      <c r="AM196" s="16">
        <f t="shared" si="35"/>
        <v>-2.9761517638896562E-3</v>
      </c>
      <c r="AN196" s="58">
        <f t="shared" si="35"/>
        <v>-2.9761517638896562E-3</v>
      </c>
      <c r="AP196" s="56">
        <f t="shared" si="28"/>
        <v>1</v>
      </c>
      <c r="AQ196" s="56">
        <f t="shared" si="29"/>
        <v>0</v>
      </c>
    </row>
    <row r="197" spans="1:43" x14ac:dyDescent="0.2">
      <c r="A197" s="156" t="s">
        <v>439</v>
      </c>
      <c r="B197" s="156" t="s">
        <v>440</v>
      </c>
      <c r="D197" s="68">
        <f>VLOOKUP(A197,'2019-20 disagg'!A197:AZ405,43,FALSE)</f>
        <v>354222</v>
      </c>
      <c r="E197" s="73">
        <v>1638.1714568700525</v>
      </c>
      <c r="F197" s="55"/>
      <c r="G197" s="88">
        <v>362099.52086437744</v>
      </c>
      <c r="H197" s="81">
        <v>1666.2244404307321</v>
      </c>
      <c r="I197" s="90"/>
      <c r="J197" s="103">
        <f t="shared" si="30"/>
        <v>-2.1755126451349027E-2</v>
      </c>
      <c r="K197" s="126">
        <f t="shared" si="30"/>
        <v>-1.6836257397249366E-2</v>
      </c>
      <c r="L197" s="56">
        <v>367902</v>
      </c>
      <c r="M197" s="103">
        <v>2.9658377643036138E-2</v>
      </c>
      <c r="N197" s="97">
        <f>INDEX('Pace of change parameters'!$E$22:$I$22,1,$B$5)</f>
        <v>2.4506891160555818E-2</v>
      </c>
      <c r="O197" s="108">
        <f>MAX(IF(INDEX('Pace of change parameters'!$E$30:$I$30,1,$B$5)=1,(1+M197)*D197,D197),L197)</f>
        <v>367902</v>
      </c>
      <c r="P197" s="94">
        <f>IF(K197&lt;INDEX('Pace of change parameters'!$E$18:$I$18,1,$B$5),1,IF(K197&gt;INDEX('Pace of change parameters'!$E$19:$I$19,1,$B$5),0,(K197-INDEX('Pace of change parameters'!$E$19:$I$19,1,$B$5))/(INDEX('Pace of change parameters'!$E$18:$I$18,1,$B$5)-INDEX('Pace of change parameters'!$E$19:$I$19,1,$B$5))))</f>
        <v>0.76502086503989486</v>
      </c>
      <c r="Q197" s="57">
        <v>4.203184742713062E-2</v>
      </c>
      <c r="R197" s="57">
        <v>3.6818455206088618E-2</v>
      </c>
      <c r="S197" s="9">
        <f>MAX(IF(INDEX('Pace of change parameters'!$E$31:$I$31,1,$B$5)=1,D197*(1+Q197),D197),L197)</f>
        <v>369110.60505933309</v>
      </c>
      <c r="T197" s="103">
        <f>IF(Q197&lt;INDEX('Pace of change parameters'!$E$24:$I$24,1,$B$5),INDEX('Pace of change parameters'!$E$24:$I$24,1,$B$5),Q197)</f>
        <v>4.203184742713062E-2</v>
      </c>
      <c r="U197" s="132">
        <v>3.6818455206088618E-2</v>
      </c>
      <c r="V197" s="117">
        <f t="shared" si="31"/>
        <v>369110.60505933309</v>
      </c>
      <c r="W197" s="131">
        <f>IF(J197&gt;INDEX('Pace of change parameters'!$E$26:$I$26,1,$B$5),0,IF(J197&lt;INDEX('Pace of change parameters'!$E$25:$I$25,1,$B$5),1,(J197-INDEX('Pace of change parameters'!$E$26:$I$26,1,$B$5))/(INDEX('Pace of change parameters'!$E$25:$I$25,1,$B$5)-INDEX('Pace of change parameters'!$E$26:$I$26,1,$B$5))))</f>
        <v>1</v>
      </c>
      <c r="X197" s="132">
        <f>MIN(T197, T197+(INDEX('Pace of change parameters'!$E$27:$I$27,1,$B$5)-T197)*(1-W197))</f>
        <v>4.203184742713062E-2</v>
      </c>
      <c r="Y197" s="132">
        <v>3.6818455206088618E-2</v>
      </c>
      <c r="Z197" s="108">
        <f t="shared" si="32"/>
        <v>369110.60505933309</v>
      </c>
      <c r="AA197" s="97">
        <f>MIN(VLOOKUP(A197,'2019-20 disagg'!$A$12:$BB$220,54,FALSE),-2.5%)</f>
        <v>-2.5000000000000001E-2</v>
      </c>
      <c r="AB197" s="99">
        <f t="shared" si="24"/>
        <v>367343.51212841889</v>
      </c>
      <c r="AC197" s="99">
        <f>MAX(IF(INDEX('Pace of change parameters'!$E$29:$I$29,1,$B$5)=1,MAX(AB197,Z197),Z197),L197)</f>
        <v>369110.60505933309</v>
      </c>
      <c r="AD197" s="97">
        <f t="shared" si="25"/>
        <v>4.203184742713062E-2</v>
      </c>
      <c r="AE197" s="146">
        <v>3.6818455206088618E-2</v>
      </c>
      <c r="AF197" s="56">
        <f t="shared" si="33"/>
        <v>369110.60505933309</v>
      </c>
      <c r="AG197" s="56">
        <v>1698.4863992747157</v>
      </c>
      <c r="AH197" s="16">
        <f t="shared" si="26"/>
        <v>4.203184742713062E-2</v>
      </c>
      <c r="AI197" s="16">
        <f t="shared" si="27"/>
        <v>3.681845520608884E-2</v>
      </c>
      <c r="AJ197" s="56"/>
      <c r="AK197" s="56">
        <v>376762.5765419681</v>
      </c>
      <c r="AL197" s="56">
        <v>1733.6974425575397</v>
      </c>
      <c r="AM197" s="16">
        <f t="shared" si="35"/>
        <v>-2.0309797095207638E-2</v>
      </c>
      <c r="AN197" s="58">
        <f t="shared" si="35"/>
        <v>-2.0309797095207638E-2</v>
      </c>
      <c r="AP197" s="56">
        <f t="shared" si="28"/>
        <v>0</v>
      </c>
      <c r="AQ197" s="56">
        <f t="shared" si="29"/>
        <v>0</v>
      </c>
    </row>
    <row r="198" spans="1:43" x14ac:dyDescent="0.2">
      <c r="A198" s="156" t="s">
        <v>441</v>
      </c>
      <c r="B198" s="156" t="s">
        <v>442</v>
      </c>
      <c r="D198" s="68">
        <f>VLOOKUP(A198,'2019-20 disagg'!A198:AZ406,43,FALSE)</f>
        <v>379205</v>
      </c>
      <c r="E198" s="73">
        <v>1857.482178320121</v>
      </c>
      <c r="F198" s="55"/>
      <c r="G198" s="88">
        <v>368738.0868368129</v>
      </c>
      <c r="H198" s="81">
        <v>1796.746726294283</v>
      </c>
      <c r="I198" s="90"/>
      <c r="J198" s="103">
        <f t="shared" si="30"/>
        <v>2.8385766311737948E-2</v>
      </c>
      <c r="K198" s="126">
        <f t="shared" si="30"/>
        <v>3.3803012487520823E-2</v>
      </c>
      <c r="L198" s="56">
        <v>393767</v>
      </c>
      <c r="M198" s="103">
        <v>2.9903704516021978E-2</v>
      </c>
      <c r="N198" s="97">
        <f>INDEX('Pace of change parameters'!$E$22:$I$22,1,$B$5)</f>
        <v>2.4506891160555818E-2</v>
      </c>
      <c r="O198" s="108">
        <f>MAX(IF(INDEX('Pace of change parameters'!$E$30:$I$30,1,$B$5)=1,(1+M198)*D198,D198),L198)</f>
        <v>393767</v>
      </c>
      <c r="P198" s="94">
        <f>IF(K198&lt;INDEX('Pace of change parameters'!$E$18:$I$18,1,$B$5),1,IF(K198&gt;INDEX('Pace of change parameters'!$E$19:$I$19,1,$B$5),0,(K198-INDEX('Pace of change parameters'!$E$19:$I$19,1,$B$5))/(INDEX('Pace of change parameters'!$E$18:$I$18,1,$B$5)-INDEX('Pace of change parameters'!$E$19:$I$19,1,$B$5))))</f>
        <v>0</v>
      </c>
      <c r="Q198" s="57">
        <v>2.9903704516021978E-2</v>
      </c>
      <c r="R198" s="57">
        <v>2.450689116055571E-2</v>
      </c>
      <c r="S198" s="9">
        <f>MAX(IF(INDEX('Pace of change parameters'!$E$31:$I$31,1,$B$5)=1,D198*(1+Q198),D198),L198)</f>
        <v>393767</v>
      </c>
      <c r="T198" s="103">
        <f>IF(Q198&lt;INDEX('Pace of change parameters'!$E$24:$I$24,1,$B$5),INDEX('Pace of change parameters'!$E$24:$I$24,1,$B$5),Q198)</f>
        <v>3.2992755077120454E-2</v>
      </c>
      <c r="U198" s="132">
        <v>2.7579754742958373E-2</v>
      </c>
      <c r="V198" s="117">
        <f t="shared" si="31"/>
        <v>393767</v>
      </c>
      <c r="W198" s="131">
        <f>IF(J198&gt;INDEX('Pace of change parameters'!$E$26:$I$26,1,$B$5),0,IF(J198&lt;INDEX('Pace of change parameters'!$E$25:$I$25,1,$B$5),1,(J198-INDEX('Pace of change parameters'!$E$26:$I$26,1,$B$5))/(INDEX('Pace of change parameters'!$E$25:$I$25,1,$B$5)-INDEX('Pace of change parameters'!$E$26:$I$26,1,$B$5))))</f>
        <v>1</v>
      </c>
      <c r="X198" s="132">
        <f>MIN(T198, T198+(INDEX('Pace of change parameters'!$E$27:$I$27,1,$B$5)-T198)*(1-W198))</f>
        <v>3.2992755077120454E-2</v>
      </c>
      <c r="Y198" s="132">
        <v>2.7579754742958373E-2</v>
      </c>
      <c r="Z198" s="108">
        <f t="shared" si="32"/>
        <v>393767</v>
      </c>
      <c r="AA198" s="97">
        <f>MIN(VLOOKUP(A198,'2019-20 disagg'!$A$12:$BB$220,54,FALSE),-2.5%)</f>
        <v>-2.5000000000000001E-2</v>
      </c>
      <c r="AB198" s="99">
        <f t="shared" si="24"/>
        <v>374196.67842341471</v>
      </c>
      <c r="AC198" s="99">
        <f>MAX(IF(INDEX('Pace of change parameters'!$E$29:$I$29,1,$B$5)=1,MAX(AB198,Z198),Z198),L198)</f>
        <v>393767</v>
      </c>
      <c r="AD198" s="97">
        <f t="shared" si="25"/>
        <v>3.8401392386703703E-2</v>
      </c>
      <c r="AE198" s="146">
        <v>3.2960050173646227E-2</v>
      </c>
      <c r="AF198" s="56">
        <f t="shared" si="33"/>
        <v>393767</v>
      </c>
      <c r="AG198" s="56">
        <v>1918.7048841142055</v>
      </c>
      <c r="AH198" s="16">
        <f t="shared" si="26"/>
        <v>3.8401392386703703E-2</v>
      </c>
      <c r="AI198" s="16">
        <f t="shared" si="27"/>
        <v>3.2960050173646005E-2</v>
      </c>
      <c r="AJ198" s="56"/>
      <c r="AK198" s="56">
        <v>383791.46504965611</v>
      </c>
      <c r="AL198" s="56">
        <v>1870.0971855745188</v>
      </c>
      <c r="AM198" s="16">
        <f t="shared" si="35"/>
        <v>2.599207084777988E-2</v>
      </c>
      <c r="AN198" s="58">
        <f t="shared" si="35"/>
        <v>2.599207084777988E-2</v>
      </c>
      <c r="AP198" s="56">
        <f t="shared" si="28"/>
        <v>1</v>
      </c>
      <c r="AQ198" s="56">
        <f t="shared" si="29"/>
        <v>0</v>
      </c>
    </row>
    <row r="199" spans="1:43" x14ac:dyDescent="0.2">
      <c r="A199" s="156" t="s">
        <v>443</v>
      </c>
      <c r="B199" s="156" t="s">
        <v>444</v>
      </c>
      <c r="D199" s="68">
        <f>VLOOKUP(A199,'2019-20 disagg'!A199:AZ407,43,FALSE)</f>
        <v>189404</v>
      </c>
      <c r="E199" s="73">
        <v>1350.8491700766515</v>
      </c>
      <c r="F199" s="55"/>
      <c r="G199" s="88">
        <v>193255.68283595954</v>
      </c>
      <c r="H199" s="81">
        <v>1374.2539677632635</v>
      </c>
      <c r="I199" s="90"/>
      <c r="J199" s="103">
        <f t="shared" si="30"/>
        <v>-1.993050232436866E-2</v>
      </c>
      <c r="K199" s="126">
        <f t="shared" si="30"/>
        <v>-1.7030911487711187E-2</v>
      </c>
      <c r="L199" s="56">
        <v>196625</v>
      </c>
      <c r="M199" s="103">
        <v>2.7537952529924858E-2</v>
      </c>
      <c r="N199" s="97">
        <f>INDEX('Pace of change parameters'!$E$22:$I$22,1,$B$5)</f>
        <v>2.4506891160555818E-2</v>
      </c>
      <c r="O199" s="108">
        <f>MAX(IF(INDEX('Pace of change parameters'!$E$30:$I$30,1,$B$5)=1,(1+M199)*D199,D199),L199)</f>
        <v>196625</v>
      </c>
      <c r="P199" s="94">
        <f>IF(K199&lt;INDEX('Pace of change parameters'!$E$18:$I$18,1,$B$5),1,IF(K199&gt;INDEX('Pace of change parameters'!$E$19:$I$19,1,$B$5),0,(K199-INDEX('Pace of change parameters'!$E$19:$I$19,1,$B$5))/(INDEX('Pace of change parameters'!$E$18:$I$18,1,$B$5)-INDEX('Pace of change parameters'!$E$19:$I$19,1,$B$5))))</f>
        <v>0.77140574684393981</v>
      </c>
      <c r="Q199" s="57">
        <v>3.9988997628604306E-2</v>
      </c>
      <c r="R199" s="57">
        <v>3.6921207803888079E-2</v>
      </c>
      <c r="S199" s="9">
        <f>MAX(IF(INDEX('Pace of change parameters'!$E$31:$I$31,1,$B$5)=1,D199*(1+Q199),D199),L199)</f>
        <v>196978.07610684817</v>
      </c>
      <c r="T199" s="103">
        <f>IF(Q199&lt;INDEX('Pace of change parameters'!$E$24:$I$24,1,$B$5),INDEX('Pace of change parameters'!$E$24:$I$24,1,$B$5),Q199)</f>
        <v>3.9988997628604306E-2</v>
      </c>
      <c r="U199" s="132">
        <v>3.6921207803888079E-2</v>
      </c>
      <c r="V199" s="117">
        <f t="shared" si="31"/>
        <v>196978.07610684817</v>
      </c>
      <c r="W199" s="131">
        <f>IF(J199&gt;INDEX('Pace of change parameters'!$E$26:$I$26,1,$B$5),0,IF(J199&lt;INDEX('Pace of change parameters'!$E$25:$I$25,1,$B$5),1,(J199-INDEX('Pace of change parameters'!$E$26:$I$26,1,$B$5))/(INDEX('Pace of change parameters'!$E$25:$I$25,1,$B$5)-INDEX('Pace of change parameters'!$E$26:$I$26,1,$B$5))))</f>
        <v>1</v>
      </c>
      <c r="X199" s="132">
        <f>MIN(T199, T199+(INDEX('Pace of change parameters'!$E$27:$I$27,1,$B$5)-T199)*(1-W199))</f>
        <v>3.9988997628604306E-2</v>
      </c>
      <c r="Y199" s="132">
        <v>3.6921207803888079E-2</v>
      </c>
      <c r="Z199" s="108">
        <f t="shared" si="32"/>
        <v>196978.07610684817</v>
      </c>
      <c r="AA199" s="97">
        <f>MIN(VLOOKUP(A199,'2019-20 disagg'!$A$12:$BB$220,54,FALSE),-2.5%)</f>
        <v>-2.5000000000000001E-2</v>
      </c>
      <c r="AB199" s="99">
        <f t="shared" si="24"/>
        <v>196071.88799850724</v>
      </c>
      <c r="AC199" s="99">
        <f>MAX(IF(INDEX('Pace of change parameters'!$E$29:$I$29,1,$B$5)=1,MAX(AB199,Z199),Z199),L199)</f>
        <v>196978.07610684817</v>
      </c>
      <c r="AD199" s="97">
        <f t="shared" si="25"/>
        <v>3.9988997628604306E-2</v>
      </c>
      <c r="AE199" s="146">
        <v>3.6921207803888079E-2</v>
      </c>
      <c r="AF199" s="56">
        <f t="shared" si="33"/>
        <v>196978.07610684817</v>
      </c>
      <c r="AG199" s="56">
        <v>1400.7241529967614</v>
      </c>
      <c r="AH199" s="16">
        <f t="shared" si="26"/>
        <v>3.9988997628604306E-2</v>
      </c>
      <c r="AI199" s="16">
        <f t="shared" si="27"/>
        <v>3.6921207803888079E-2</v>
      </c>
      <c r="AJ199" s="56"/>
      <c r="AK199" s="56">
        <v>201099.37230616127</v>
      </c>
      <c r="AL199" s="56">
        <v>1430.030963389712</v>
      </c>
      <c r="AM199" s="16">
        <f t="shared" si="35"/>
        <v>-2.0493829254915275E-2</v>
      </c>
      <c r="AN199" s="58">
        <f t="shared" si="35"/>
        <v>-2.0493829254915163E-2</v>
      </c>
      <c r="AP199" s="56">
        <f t="shared" si="28"/>
        <v>0</v>
      </c>
      <c r="AQ199" s="56">
        <f t="shared" si="29"/>
        <v>0</v>
      </c>
    </row>
    <row r="200" spans="1:43" x14ac:dyDescent="0.2">
      <c r="A200" s="156" t="s">
        <v>445</v>
      </c>
      <c r="B200" s="156" t="s">
        <v>446</v>
      </c>
      <c r="D200" s="68">
        <f>VLOOKUP(A200,'2019-20 disagg'!A200:AZ408,43,FALSE)</f>
        <v>457956</v>
      </c>
      <c r="E200" s="73">
        <v>1628.4851872889567</v>
      </c>
      <c r="F200" s="55"/>
      <c r="G200" s="88">
        <v>462527.2318843556</v>
      </c>
      <c r="H200" s="81">
        <v>1637.2148476031905</v>
      </c>
      <c r="I200" s="90"/>
      <c r="J200" s="103">
        <f t="shared" si="30"/>
        <v>-9.8831626966745523E-3</v>
      </c>
      <c r="K200" s="126">
        <f t="shared" si="30"/>
        <v>-5.332018779950376E-3</v>
      </c>
      <c r="L200" s="56">
        <v>475790</v>
      </c>
      <c r="M200" s="103">
        <v>2.9216111456259908E-2</v>
      </c>
      <c r="N200" s="97">
        <f>INDEX('Pace of change parameters'!$E$22:$I$22,1,$B$5)</f>
        <v>2.4506891160555818E-2</v>
      </c>
      <c r="O200" s="108">
        <f>MAX(IF(INDEX('Pace of change parameters'!$E$30:$I$30,1,$B$5)=1,(1+M200)*D200,D200),L200)</f>
        <v>475790</v>
      </c>
      <c r="P200" s="94">
        <f>IF(K200&lt;INDEX('Pace of change parameters'!$E$18:$I$18,1,$B$5),1,IF(K200&gt;INDEX('Pace of change parameters'!$E$19:$I$19,1,$B$5),0,(K200-INDEX('Pace of change parameters'!$E$19:$I$19,1,$B$5))/(INDEX('Pace of change parameters'!$E$18:$I$18,1,$B$5)-INDEX('Pace of change parameters'!$E$19:$I$19,1,$B$5))))</f>
        <v>0.38766838483916921</v>
      </c>
      <c r="Q200" s="57">
        <v>3.5483578015957917E-2</v>
      </c>
      <c r="R200" s="57">
        <v>3.0745680671384168E-2</v>
      </c>
      <c r="S200" s="9">
        <f>MAX(IF(INDEX('Pace of change parameters'!$E$31:$I$31,1,$B$5)=1,D200*(1+Q200),D200),L200)</f>
        <v>475790</v>
      </c>
      <c r="T200" s="103">
        <f>IF(Q200&lt;INDEX('Pace of change parameters'!$E$24:$I$24,1,$B$5),INDEX('Pace of change parameters'!$E$24:$I$24,1,$B$5),Q200)</f>
        <v>3.5483578015957917E-2</v>
      </c>
      <c r="U200" s="132">
        <v>3.0745680671384168E-2</v>
      </c>
      <c r="V200" s="117">
        <f t="shared" si="31"/>
        <v>475790</v>
      </c>
      <c r="W200" s="131">
        <f>IF(J200&gt;INDEX('Pace of change parameters'!$E$26:$I$26,1,$B$5),0,IF(J200&lt;INDEX('Pace of change parameters'!$E$25:$I$25,1,$B$5),1,(J200-INDEX('Pace of change parameters'!$E$26:$I$26,1,$B$5))/(INDEX('Pace of change parameters'!$E$25:$I$25,1,$B$5)-INDEX('Pace of change parameters'!$E$26:$I$26,1,$B$5))))</f>
        <v>1</v>
      </c>
      <c r="X200" s="132">
        <f>MIN(T200, T200+(INDEX('Pace of change parameters'!$E$27:$I$27,1,$B$5)-T200)*(1-W200))</f>
        <v>3.5483578015957917E-2</v>
      </c>
      <c r="Y200" s="132">
        <v>3.0745680671384168E-2</v>
      </c>
      <c r="Z200" s="108">
        <f t="shared" si="32"/>
        <v>475790</v>
      </c>
      <c r="AA200" s="97">
        <f>MIN(VLOOKUP(A200,'2019-20 disagg'!$A$12:$BB$220,54,FALSE),-2.5%)</f>
        <v>-2.5000000000000001E-2</v>
      </c>
      <c r="AB200" s="99">
        <f t="shared" si="24"/>
        <v>469313.30021543318</v>
      </c>
      <c r="AC200" s="99">
        <f>MAX(IF(INDEX('Pace of change parameters'!$E$29:$I$29,1,$B$5)=1,MAX(AB200,Z200),Z200),L200)</f>
        <v>475790</v>
      </c>
      <c r="AD200" s="97">
        <f t="shared" si="25"/>
        <v>3.894260583986231E-2</v>
      </c>
      <c r="AE200" s="146">
        <v>3.4188881572399854E-2</v>
      </c>
      <c r="AF200" s="56">
        <f t="shared" si="33"/>
        <v>475790</v>
      </c>
      <c r="AG200" s="56">
        <v>1684.1612744995862</v>
      </c>
      <c r="AH200" s="16">
        <f t="shared" si="26"/>
        <v>3.894260583986231E-2</v>
      </c>
      <c r="AI200" s="16">
        <f t="shared" si="27"/>
        <v>3.4188881572399854E-2</v>
      </c>
      <c r="AJ200" s="56"/>
      <c r="AK200" s="56">
        <v>481346.97457993147</v>
      </c>
      <c r="AL200" s="56">
        <v>1703.8313839825498</v>
      </c>
      <c r="AM200" s="16">
        <f t="shared" si="35"/>
        <v>-1.1544633857480835E-2</v>
      </c>
      <c r="AN200" s="58">
        <f t="shared" si="35"/>
        <v>-1.1544633857480946E-2</v>
      </c>
      <c r="AP200" s="56">
        <f t="shared" si="28"/>
        <v>1</v>
      </c>
      <c r="AQ200" s="56">
        <f t="shared" si="29"/>
        <v>0</v>
      </c>
    </row>
    <row r="201" spans="1:43" x14ac:dyDescent="0.2">
      <c r="A201" s="156" t="s">
        <v>447</v>
      </c>
      <c r="B201" s="156" t="s">
        <v>448</v>
      </c>
      <c r="D201" s="68">
        <f>VLOOKUP(A201,'2019-20 disagg'!A201:AZ409,43,FALSE)</f>
        <v>502639</v>
      </c>
      <c r="E201" s="73">
        <v>1602.2798010115196</v>
      </c>
      <c r="F201" s="55"/>
      <c r="G201" s="88">
        <v>515497.82622286165</v>
      </c>
      <c r="H201" s="81">
        <v>1628.5341344376857</v>
      </c>
      <c r="I201" s="90"/>
      <c r="J201" s="103">
        <f t="shared" si="30"/>
        <v>-2.4944481952679398E-2</v>
      </c>
      <c r="K201" s="126">
        <f t="shared" si="30"/>
        <v>-1.6121451108073614E-2</v>
      </c>
      <c r="L201" s="56">
        <v>522772</v>
      </c>
      <c r="M201" s="103">
        <v>3.3777394976915787E-2</v>
      </c>
      <c r="N201" s="97">
        <f>INDEX('Pace of change parameters'!$E$22:$I$22,1,$B$5)</f>
        <v>2.4506891160555818E-2</v>
      </c>
      <c r="O201" s="108">
        <f>MAX(IF(INDEX('Pace of change parameters'!$E$30:$I$30,1,$B$5)=1,(1+M201)*D201,D201),L201)</f>
        <v>522772</v>
      </c>
      <c r="P201" s="94">
        <f>IF(K201&lt;INDEX('Pace of change parameters'!$E$18:$I$18,1,$B$5),1,IF(K201&gt;INDEX('Pace of change parameters'!$E$19:$I$19,1,$B$5),0,(K201-INDEX('Pace of change parameters'!$E$19:$I$19,1,$B$5))/(INDEX('Pace of change parameters'!$E$18:$I$18,1,$B$5)-INDEX('Pace of change parameters'!$E$19:$I$19,1,$B$5))))</f>
        <v>0.74157438282959487</v>
      </c>
      <c r="Q201" s="57">
        <v>4.5819622127744708E-2</v>
      </c>
      <c r="R201" s="57">
        <v>3.6441128415976021E-2</v>
      </c>
      <c r="S201" s="9">
        <f>MAX(IF(INDEX('Pace of change parameters'!$E$31:$I$31,1,$B$5)=1,D201*(1+Q201),D201),L201)</f>
        <v>525669.72904666746</v>
      </c>
      <c r="T201" s="103">
        <f>IF(Q201&lt;INDEX('Pace of change parameters'!$E$24:$I$24,1,$B$5),INDEX('Pace of change parameters'!$E$24:$I$24,1,$B$5),Q201)</f>
        <v>4.5819622127744708E-2</v>
      </c>
      <c r="U201" s="132">
        <v>3.6441128415976021E-2</v>
      </c>
      <c r="V201" s="117">
        <f t="shared" si="31"/>
        <v>525669.72904666746</v>
      </c>
      <c r="W201" s="131">
        <f>IF(J201&gt;INDEX('Pace of change parameters'!$E$26:$I$26,1,$B$5),0,IF(J201&lt;INDEX('Pace of change parameters'!$E$25:$I$25,1,$B$5),1,(J201-INDEX('Pace of change parameters'!$E$26:$I$26,1,$B$5))/(INDEX('Pace of change parameters'!$E$25:$I$25,1,$B$5)-INDEX('Pace of change parameters'!$E$26:$I$26,1,$B$5))))</f>
        <v>1</v>
      </c>
      <c r="X201" s="132">
        <f>MIN(T201, T201+(INDEX('Pace of change parameters'!$E$27:$I$27,1,$B$5)-T201)*(1-W201))</f>
        <v>4.5819622127744708E-2</v>
      </c>
      <c r="Y201" s="132">
        <v>3.6441128415976021E-2</v>
      </c>
      <c r="Z201" s="108">
        <f t="shared" si="32"/>
        <v>525669.72904666746</v>
      </c>
      <c r="AA201" s="97">
        <f>MIN(VLOOKUP(A201,'2019-20 disagg'!$A$12:$BB$220,54,FALSE),-2.5%)</f>
        <v>-2.5000000000000001E-2</v>
      </c>
      <c r="AB201" s="99">
        <f t="shared" si="24"/>
        <v>523175.19990458596</v>
      </c>
      <c r="AC201" s="99">
        <f>MAX(IF(INDEX('Pace of change parameters'!$E$29:$I$29,1,$B$5)=1,MAX(AB201,Z201),Z201),L201)</f>
        <v>525669.72904666746</v>
      </c>
      <c r="AD201" s="97">
        <f t="shared" si="25"/>
        <v>4.5819622127744708E-2</v>
      </c>
      <c r="AE201" s="146">
        <v>3.6441128415976021E-2</v>
      </c>
      <c r="AF201" s="56">
        <f t="shared" si="33"/>
        <v>525669.72904666746</v>
      </c>
      <c r="AG201" s="56">
        <v>1660.6686849985047</v>
      </c>
      <c r="AH201" s="16">
        <f t="shared" si="26"/>
        <v>4.5819622127744708E-2</v>
      </c>
      <c r="AI201" s="16">
        <f t="shared" si="27"/>
        <v>3.6441128415975799E-2</v>
      </c>
      <c r="AJ201" s="56"/>
      <c r="AK201" s="56">
        <v>536589.94862008817</v>
      </c>
      <c r="AL201" s="56">
        <v>1695.1672792237725</v>
      </c>
      <c r="AM201" s="16">
        <f t="shared" si="35"/>
        <v>-2.0351144484728967E-2</v>
      </c>
      <c r="AN201" s="58">
        <f t="shared" si="35"/>
        <v>-2.0351144484728967E-2</v>
      </c>
      <c r="AP201" s="56">
        <f t="shared" si="28"/>
        <v>0</v>
      </c>
      <c r="AQ201" s="56">
        <f t="shared" si="29"/>
        <v>0</v>
      </c>
    </row>
    <row r="202" spans="1:43" x14ac:dyDescent="0.2">
      <c r="A202" s="156" t="s">
        <v>449</v>
      </c>
      <c r="B202" s="156" t="s">
        <v>450</v>
      </c>
      <c r="D202" s="68">
        <f>VLOOKUP(A202,'2019-20 disagg'!A202:AZ410,43,FALSE)</f>
        <v>158754</v>
      </c>
      <c r="E202" s="73">
        <v>1641.4441882115448</v>
      </c>
      <c r="F202" s="55"/>
      <c r="G202" s="88">
        <v>160256.88339349075</v>
      </c>
      <c r="H202" s="81">
        <v>1648.2107393307069</v>
      </c>
      <c r="I202" s="90"/>
      <c r="J202" s="103">
        <f t="shared" si="30"/>
        <v>-9.3779646881101408E-3</v>
      </c>
      <c r="K202" s="126">
        <f t="shared" si="30"/>
        <v>-4.1053919609271849E-3</v>
      </c>
      <c r="L202" s="56">
        <v>164929</v>
      </c>
      <c r="M202" s="103">
        <v>2.9959815586412475E-2</v>
      </c>
      <c r="N202" s="97">
        <f>INDEX('Pace of change parameters'!$E$22:$I$22,1,$B$5)</f>
        <v>2.4506891160555818E-2</v>
      </c>
      <c r="O202" s="108">
        <f>MAX(IF(INDEX('Pace of change parameters'!$E$30:$I$30,1,$B$5)=1,(1+M202)*D202,D202),L202)</f>
        <v>164929</v>
      </c>
      <c r="P202" s="94">
        <f>IF(K202&lt;INDEX('Pace of change parameters'!$E$18:$I$18,1,$B$5),1,IF(K202&gt;INDEX('Pace of change parameters'!$E$19:$I$19,1,$B$5),0,(K202-INDEX('Pace of change parameters'!$E$19:$I$19,1,$B$5))/(INDEX('Pace of change parameters'!$E$18:$I$18,1,$B$5)-INDEX('Pace of change parameters'!$E$19:$I$19,1,$B$5))))</f>
        <v>0.34743359070484847</v>
      </c>
      <c r="Q202" s="57">
        <v>3.5580861725288626E-2</v>
      </c>
      <c r="R202" s="57">
        <v>3.0098177750247812E-2</v>
      </c>
      <c r="S202" s="9">
        <f>MAX(IF(INDEX('Pace of change parameters'!$E$31:$I$31,1,$B$5)=1,D202*(1+Q202),D202),L202)</f>
        <v>164929</v>
      </c>
      <c r="T202" s="103">
        <f>IF(Q202&lt;INDEX('Pace of change parameters'!$E$24:$I$24,1,$B$5),INDEX('Pace of change parameters'!$E$24:$I$24,1,$B$5),Q202)</f>
        <v>3.5580861725288626E-2</v>
      </c>
      <c r="U202" s="132">
        <v>3.0098177750247812E-2</v>
      </c>
      <c r="V202" s="117">
        <f t="shared" si="31"/>
        <v>164929</v>
      </c>
      <c r="W202" s="131">
        <f>IF(J202&gt;INDEX('Pace of change parameters'!$E$26:$I$26,1,$B$5),0,IF(J202&lt;INDEX('Pace of change parameters'!$E$25:$I$25,1,$B$5),1,(J202-INDEX('Pace of change parameters'!$E$26:$I$26,1,$B$5))/(INDEX('Pace of change parameters'!$E$25:$I$25,1,$B$5)-INDEX('Pace of change parameters'!$E$26:$I$26,1,$B$5))))</f>
        <v>1</v>
      </c>
      <c r="X202" s="132">
        <f>MIN(T202, T202+(INDEX('Pace of change parameters'!$E$27:$I$27,1,$B$5)-T202)*(1-W202))</f>
        <v>3.5580861725288626E-2</v>
      </c>
      <c r="Y202" s="132">
        <v>3.0098177750247812E-2</v>
      </c>
      <c r="Z202" s="108">
        <f t="shared" si="32"/>
        <v>164929</v>
      </c>
      <c r="AA202" s="97">
        <f>MIN(VLOOKUP(A202,'2019-20 disagg'!$A$12:$BB$220,54,FALSE),-2.5%)</f>
        <v>-2.5000000000000001E-2</v>
      </c>
      <c r="AB202" s="99">
        <f t="shared" si="24"/>
        <v>162628.55414110064</v>
      </c>
      <c r="AC202" s="99">
        <f>MAX(IF(INDEX('Pace of change parameters'!$E$29:$I$29,1,$B$5)=1,MAX(AB202,Z202),Z202),L202)</f>
        <v>164929</v>
      </c>
      <c r="AD202" s="97">
        <f t="shared" si="25"/>
        <v>3.8896657722010231E-2</v>
      </c>
      <c r="AE202" s="146">
        <v>3.3396418901908476E-2</v>
      </c>
      <c r="AF202" s="56">
        <f t="shared" si="33"/>
        <v>164929</v>
      </c>
      <c r="AG202" s="56">
        <v>1696.2625459251606</v>
      </c>
      <c r="AH202" s="16">
        <f t="shared" si="26"/>
        <v>3.8896657722010231E-2</v>
      </c>
      <c r="AI202" s="16">
        <f t="shared" si="27"/>
        <v>3.3396418901908476E-2</v>
      </c>
      <c r="AJ202" s="56"/>
      <c r="AK202" s="56">
        <v>166798.51706779553</v>
      </c>
      <c r="AL202" s="56">
        <v>1715.4901637550715</v>
      </c>
      <c r="AM202" s="16">
        <f t="shared" si="35"/>
        <v>-1.1208235544658107E-2</v>
      </c>
      <c r="AN202" s="58">
        <f t="shared" si="35"/>
        <v>-1.1208235544658107E-2</v>
      </c>
      <c r="AP202" s="56">
        <f t="shared" si="28"/>
        <v>1</v>
      </c>
      <c r="AQ202" s="56">
        <f t="shared" si="29"/>
        <v>0</v>
      </c>
    </row>
    <row r="203" spans="1:43" x14ac:dyDescent="0.2">
      <c r="A203" s="156" t="s">
        <v>451</v>
      </c>
      <c r="B203" s="156" t="s">
        <v>452</v>
      </c>
      <c r="D203" s="68">
        <f>VLOOKUP(A203,'2019-20 disagg'!A203:AZ411,43,FALSE)</f>
        <v>194735</v>
      </c>
      <c r="E203" s="73">
        <v>1703.8385238655183</v>
      </c>
      <c r="F203" s="55"/>
      <c r="G203" s="88">
        <v>199788.16594099425</v>
      </c>
      <c r="H203" s="81">
        <v>1729.0752006963282</v>
      </c>
      <c r="I203" s="90"/>
      <c r="J203" s="103">
        <f t="shared" si="30"/>
        <v>-2.5292618895588981E-2</v>
      </c>
      <c r="K203" s="126">
        <f t="shared" si="30"/>
        <v>-1.4595476715325462E-2</v>
      </c>
      <c r="L203" s="56">
        <v>202531</v>
      </c>
      <c r="M203" s="103">
        <v>3.5750569101094642E-2</v>
      </c>
      <c r="N203" s="97">
        <f>INDEX('Pace of change parameters'!$E$22:$I$22,1,$B$5)</f>
        <v>2.4506891160555818E-2</v>
      </c>
      <c r="O203" s="108">
        <f>MAX(IF(INDEX('Pace of change parameters'!$E$30:$I$30,1,$B$5)=1,(1+M203)*D203,D203),L203)</f>
        <v>202531</v>
      </c>
      <c r="P203" s="94">
        <f>IF(K203&lt;INDEX('Pace of change parameters'!$E$18:$I$18,1,$B$5),1,IF(K203&gt;INDEX('Pace of change parameters'!$E$19:$I$19,1,$B$5),0,(K203-INDEX('Pace of change parameters'!$E$19:$I$19,1,$B$5))/(INDEX('Pace of change parameters'!$E$18:$I$18,1,$B$5)-INDEX('Pace of change parameters'!$E$19:$I$19,1,$B$5))))</f>
        <v>0.69152063820711873</v>
      </c>
      <c r="Q203" s="57">
        <v>4.7001420566531893E-2</v>
      </c>
      <c r="R203" s="57">
        <v>3.563560805594479E-2</v>
      </c>
      <c r="S203" s="9">
        <f>MAX(IF(INDEX('Pace of change parameters'!$E$31:$I$31,1,$B$5)=1,D203*(1+Q203),D203),L203)</f>
        <v>203887.8216340236</v>
      </c>
      <c r="T203" s="103">
        <f>IF(Q203&lt;INDEX('Pace of change parameters'!$E$24:$I$24,1,$B$5),INDEX('Pace of change parameters'!$E$24:$I$24,1,$B$5),Q203)</f>
        <v>4.7001420566531893E-2</v>
      </c>
      <c r="U203" s="132">
        <v>3.563560805594479E-2</v>
      </c>
      <c r="V203" s="117">
        <f t="shared" si="31"/>
        <v>203887.8216340236</v>
      </c>
      <c r="W203" s="131">
        <f>IF(J203&gt;INDEX('Pace of change parameters'!$E$26:$I$26,1,$B$5),0,IF(J203&lt;INDEX('Pace of change parameters'!$E$25:$I$25,1,$B$5),1,(J203-INDEX('Pace of change parameters'!$E$26:$I$26,1,$B$5))/(INDEX('Pace of change parameters'!$E$25:$I$25,1,$B$5)-INDEX('Pace of change parameters'!$E$26:$I$26,1,$B$5))))</f>
        <v>1</v>
      </c>
      <c r="X203" s="132">
        <f>MIN(T203, T203+(INDEX('Pace of change parameters'!$E$27:$I$27,1,$B$5)-T203)*(1-W203))</f>
        <v>4.7001420566531893E-2</v>
      </c>
      <c r="Y203" s="132">
        <v>3.563560805594479E-2</v>
      </c>
      <c r="Z203" s="108">
        <f t="shared" si="32"/>
        <v>203887.8216340236</v>
      </c>
      <c r="AA203" s="97">
        <f>MIN(VLOOKUP(A203,'2019-20 disagg'!$A$12:$BB$220,54,FALSE),-2.5%)</f>
        <v>-2.5000000000000001E-2</v>
      </c>
      <c r="AB203" s="99">
        <f t="shared" si="24"/>
        <v>202724.23604852671</v>
      </c>
      <c r="AC203" s="99">
        <f>MAX(IF(INDEX('Pace of change parameters'!$E$29:$I$29,1,$B$5)=1,MAX(AB203,Z203),Z203),L203)</f>
        <v>203887.8216340236</v>
      </c>
      <c r="AD203" s="97">
        <f t="shared" si="25"/>
        <v>4.7001420566531893E-2</v>
      </c>
      <c r="AE203" s="146">
        <v>3.563560805594479E-2</v>
      </c>
      <c r="AF203" s="56">
        <f t="shared" si="33"/>
        <v>203887.8216340236</v>
      </c>
      <c r="AG203" s="56">
        <v>1764.5558456926096</v>
      </c>
      <c r="AH203" s="16">
        <f t="shared" si="26"/>
        <v>4.7001420566531893E-2</v>
      </c>
      <c r="AI203" s="16">
        <f t="shared" si="27"/>
        <v>3.5635608055945012E-2</v>
      </c>
      <c r="AJ203" s="56"/>
      <c r="AK203" s="56">
        <v>207922.29338310432</v>
      </c>
      <c r="AL203" s="56">
        <v>1799.4723534666771</v>
      </c>
      <c r="AM203" s="16">
        <f t="shared" si="35"/>
        <v>-1.9403747830190832E-2</v>
      </c>
      <c r="AN203" s="58">
        <f t="shared" si="35"/>
        <v>-1.9403747830190832E-2</v>
      </c>
      <c r="AP203" s="56">
        <f t="shared" si="28"/>
        <v>0</v>
      </c>
      <c r="AQ203" s="56">
        <f t="shared" si="29"/>
        <v>0</v>
      </c>
    </row>
    <row r="204" spans="1:43" x14ac:dyDescent="0.2">
      <c r="A204" s="156" t="s">
        <v>453</v>
      </c>
      <c r="B204" s="156" t="s">
        <v>454</v>
      </c>
      <c r="D204" s="68">
        <f>VLOOKUP(A204,'2019-20 disagg'!A204:AZ412,43,FALSE)</f>
        <v>288363</v>
      </c>
      <c r="E204" s="73">
        <v>1939.1036092128238</v>
      </c>
      <c r="F204" s="55"/>
      <c r="G204" s="88">
        <v>289671.5161793842</v>
      </c>
      <c r="H204" s="81">
        <v>1930.788151047429</v>
      </c>
      <c r="I204" s="90"/>
      <c r="J204" s="103">
        <f t="shared" si="30"/>
        <v>-4.5172414486686074E-3</v>
      </c>
      <c r="K204" s="126">
        <f t="shared" si="30"/>
        <v>4.3067687984741365E-3</v>
      </c>
      <c r="L204" s="56">
        <v>299820</v>
      </c>
      <c r="M204" s="103">
        <v>3.3588172808291183E-2</v>
      </c>
      <c r="N204" s="97">
        <f>INDEX('Pace of change parameters'!$E$22:$I$22,1,$B$5)</f>
        <v>2.4506891160555818E-2</v>
      </c>
      <c r="O204" s="108">
        <f>MAX(IF(INDEX('Pace of change parameters'!$E$30:$I$30,1,$B$5)=1,(1+M204)*D204,D204),L204)</f>
        <v>299820</v>
      </c>
      <c r="P204" s="94">
        <f>IF(K204&lt;INDEX('Pace of change parameters'!$E$18:$I$18,1,$B$5),1,IF(K204&gt;INDEX('Pace of change parameters'!$E$19:$I$19,1,$B$5),0,(K204-INDEX('Pace of change parameters'!$E$19:$I$19,1,$B$5))/(INDEX('Pace of change parameters'!$E$18:$I$18,1,$B$5)-INDEX('Pace of change parameters'!$E$19:$I$19,1,$B$5))))</f>
        <v>7.1504880252509673E-2</v>
      </c>
      <c r="Q204" s="57">
        <v>3.474910881009996E-2</v>
      </c>
      <c r="R204" s="57">
        <v>2.5657626981010928E-2</v>
      </c>
      <c r="S204" s="9">
        <f>MAX(IF(INDEX('Pace of change parameters'!$E$31:$I$31,1,$B$5)=1,D204*(1+Q204),D204),L204)</f>
        <v>299820</v>
      </c>
      <c r="T204" s="103">
        <f>IF(Q204&lt;INDEX('Pace of change parameters'!$E$24:$I$24,1,$B$5),INDEX('Pace of change parameters'!$E$24:$I$24,1,$B$5),Q204)</f>
        <v>3.474910881009996E-2</v>
      </c>
      <c r="U204" s="132">
        <v>2.5657626981010928E-2</v>
      </c>
      <c r="V204" s="117">
        <f t="shared" si="31"/>
        <v>299820</v>
      </c>
      <c r="W204" s="131">
        <f>IF(J204&gt;INDEX('Pace of change parameters'!$E$26:$I$26,1,$B$5),0,IF(J204&lt;INDEX('Pace of change parameters'!$E$25:$I$25,1,$B$5),1,(J204-INDEX('Pace of change parameters'!$E$26:$I$26,1,$B$5))/(INDEX('Pace of change parameters'!$E$25:$I$25,1,$B$5)-INDEX('Pace of change parameters'!$E$26:$I$26,1,$B$5))))</f>
        <v>1</v>
      </c>
      <c r="X204" s="132">
        <f>MIN(T204, T204+(INDEX('Pace of change parameters'!$E$27:$I$27,1,$B$5)-T204)*(1-W204))</f>
        <v>3.474910881009996E-2</v>
      </c>
      <c r="Y204" s="132">
        <v>2.5657626981010928E-2</v>
      </c>
      <c r="Z204" s="108">
        <f t="shared" si="32"/>
        <v>299820</v>
      </c>
      <c r="AA204" s="97">
        <f>MIN(VLOOKUP(A204,'2019-20 disagg'!$A$12:$BB$220,54,FALSE),-2.5%)</f>
        <v>-2.5000000000000001E-2</v>
      </c>
      <c r="AB204" s="99">
        <f t="shared" ref="AB204:AB220" si="36">(1+AA204)*AK204</f>
        <v>293940.66919120908</v>
      </c>
      <c r="AC204" s="99">
        <f>MAX(IF(INDEX('Pace of change parameters'!$E$29:$I$29,1,$B$5)=1,MAX(AB204,Z204),Z204),L204)</f>
        <v>299820</v>
      </c>
      <c r="AD204" s="97">
        <f t="shared" ref="AD204:AD220" si="37">AC204/D204-1</f>
        <v>3.9731172168412821E-2</v>
      </c>
      <c r="AE204" s="146">
        <v>3.0595917082494983E-2</v>
      </c>
      <c r="AF204" s="56">
        <f t="shared" si="33"/>
        <v>299820</v>
      </c>
      <c r="AG204" s="56">
        <v>1998.4322624546662</v>
      </c>
      <c r="AH204" s="16">
        <f t="shared" ref="AH204:AH220" si="38">AF204/D204 - 1</f>
        <v>3.9731172168412821E-2</v>
      </c>
      <c r="AI204" s="16">
        <f t="shared" ref="AI204:AI220" si="39">AG204/E204 - 1</f>
        <v>3.0595917082494983E-2</v>
      </c>
      <c r="AJ204" s="56"/>
      <c r="AK204" s="56">
        <v>301477.60942688113</v>
      </c>
      <c r="AL204" s="56">
        <v>2009.4809588632722</v>
      </c>
      <c r="AM204" s="16">
        <f t="shared" si="35"/>
        <v>-5.4982837034972531E-3</v>
      </c>
      <c r="AN204" s="58">
        <f t="shared" si="35"/>
        <v>-5.4982837034972531E-3</v>
      </c>
      <c r="AP204" s="56">
        <f t="shared" ref="AP204:AP220" si="40">IF(AF204=L204,1,0)</f>
        <v>1</v>
      </c>
      <c r="AQ204" s="56">
        <f t="shared" ref="AQ204:AQ220" si="41">IF(AB204=AF204,1,0)</f>
        <v>0</v>
      </c>
    </row>
    <row r="205" spans="1:43" x14ac:dyDescent="0.2">
      <c r="A205" s="156" t="s">
        <v>455</v>
      </c>
      <c r="B205" s="156" t="s">
        <v>456</v>
      </c>
      <c r="D205" s="68">
        <f>VLOOKUP(A205,'2019-20 disagg'!A205:AZ413,43,FALSE)</f>
        <v>918031</v>
      </c>
      <c r="E205" s="73">
        <v>1619.0967432901825</v>
      </c>
      <c r="F205" s="55"/>
      <c r="G205" s="88">
        <v>929509.72502070921</v>
      </c>
      <c r="H205" s="81">
        <v>1628.3776244746914</v>
      </c>
      <c r="I205" s="90"/>
      <c r="J205" s="103">
        <f t="shared" ref="J205:K220" si="42">D205/G205-1</f>
        <v>-1.234922530848559E-2</v>
      </c>
      <c r="K205" s="126">
        <f t="shared" si="42"/>
        <v>-5.6994649429077393E-3</v>
      </c>
      <c r="L205" s="56">
        <v>955633</v>
      </c>
      <c r="M205" s="103">
        <v>3.1404800313949099E-2</v>
      </c>
      <c r="N205" s="97">
        <f>INDEX('Pace of change parameters'!$E$22:$I$22,1,$B$5)</f>
        <v>2.4506891160555818E-2</v>
      </c>
      <c r="O205" s="108">
        <f>MAX(IF(INDEX('Pace of change parameters'!$E$30:$I$30,1,$B$5)=1,(1+M205)*D205,D205),L205)</f>
        <v>955633</v>
      </c>
      <c r="P205" s="94">
        <f>IF(K205&lt;INDEX('Pace of change parameters'!$E$18:$I$18,1,$B$5),1,IF(K205&gt;INDEX('Pace of change parameters'!$E$19:$I$19,1,$B$5),0,(K205-INDEX('Pace of change parameters'!$E$19:$I$19,1,$B$5))/(INDEX('Pace of change parameters'!$E$18:$I$18,1,$B$5)-INDEX('Pace of change parameters'!$E$19:$I$19,1,$B$5))))</f>
        <v>0.39972104869157771</v>
      </c>
      <c r="Q205" s="57">
        <v>3.7880865789774232E-2</v>
      </c>
      <c r="R205" s="57">
        <v>3.0939645502566115E-2</v>
      </c>
      <c r="S205" s="9">
        <f>MAX(IF(INDEX('Pace of change parameters'!$E$31:$I$31,1,$B$5)=1,D205*(1+Q205),D205),L205)</f>
        <v>955633</v>
      </c>
      <c r="T205" s="103">
        <f>IF(Q205&lt;INDEX('Pace of change parameters'!$E$24:$I$24,1,$B$5),INDEX('Pace of change parameters'!$E$24:$I$24,1,$B$5),Q205)</f>
        <v>3.7880865789774232E-2</v>
      </c>
      <c r="U205" s="132">
        <v>3.0939645502566115E-2</v>
      </c>
      <c r="V205" s="117">
        <f t="shared" ref="V205:V220" si="43">MAX(D205*(1+T205),L205)</f>
        <v>955633</v>
      </c>
      <c r="W205" s="131">
        <f>IF(J205&gt;INDEX('Pace of change parameters'!$E$26:$I$26,1,$B$5),0,IF(J205&lt;INDEX('Pace of change parameters'!$E$25:$I$25,1,$B$5),1,(J205-INDEX('Pace of change parameters'!$E$26:$I$26,1,$B$5))/(INDEX('Pace of change parameters'!$E$25:$I$25,1,$B$5)-INDEX('Pace of change parameters'!$E$26:$I$26,1,$B$5))))</f>
        <v>1</v>
      </c>
      <c r="X205" s="132">
        <f>MIN(T205, T205+(INDEX('Pace of change parameters'!$E$27:$I$27,1,$B$5)-T205)*(1-W205))</f>
        <v>3.7880865789774232E-2</v>
      </c>
      <c r="Y205" s="132">
        <v>3.0939645502566115E-2</v>
      </c>
      <c r="Z205" s="108">
        <f t="shared" ref="Z205:Z220" si="44">MAX(D205*(1+X205),L205)</f>
        <v>955633</v>
      </c>
      <c r="AA205" s="97">
        <f>MIN(VLOOKUP(A205,'2019-20 disagg'!$A$12:$BB$220,54,FALSE),-2.5%)</f>
        <v>-2.5000000000000001E-2</v>
      </c>
      <c r="AB205" s="99">
        <f t="shared" si="36"/>
        <v>943030.91662129841</v>
      </c>
      <c r="AC205" s="99">
        <f>MAX(IF(INDEX('Pace of change parameters'!$E$29:$I$29,1,$B$5)=1,MAX(AB205,Z205),Z205),L205)</f>
        <v>955633</v>
      </c>
      <c r="AD205" s="97">
        <f t="shared" si="37"/>
        <v>4.0959401153120023E-2</v>
      </c>
      <c r="AE205" s="146">
        <v>3.3997591997937393E-2</v>
      </c>
      <c r="AF205" s="56">
        <f t="shared" ref="AF205:AF220" si="45">AC205</f>
        <v>955633</v>
      </c>
      <c r="AG205" s="56">
        <v>1674.1421337737513</v>
      </c>
      <c r="AH205" s="16">
        <f t="shared" si="38"/>
        <v>4.0959401153120023E-2</v>
      </c>
      <c r="AI205" s="16">
        <f t="shared" si="39"/>
        <v>3.3997591997937393E-2</v>
      </c>
      <c r="AJ205" s="56"/>
      <c r="AK205" s="56">
        <v>967211.19653466507</v>
      </c>
      <c r="AL205" s="56">
        <v>1694.4255968310088</v>
      </c>
      <c r="AM205" s="16">
        <f t="shared" si="35"/>
        <v>-1.1970701513948079E-2</v>
      </c>
      <c r="AN205" s="58">
        <f t="shared" si="35"/>
        <v>-1.197070151394819E-2</v>
      </c>
      <c r="AP205" s="56">
        <f t="shared" si="40"/>
        <v>1</v>
      </c>
      <c r="AQ205" s="56">
        <f t="shared" si="41"/>
        <v>0</v>
      </c>
    </row>
    <row r="206" spans="1:43" x14ac:dyDescent="0.2">
      <c r="A206" s="156" t="s">
        <v>457</v>
      </c>
      <c r="B206" s="156" t="s">
        <v>458</v>
      </c>
      <c r="D206" s="68">
        <f>VLOOKUP(A206,'2019-20 disagg'!A206:AZ414,43,FALSE)</f>
        <v>784080</v>
      </c>
      <c r="E206" s="73">
        <v>1583.2032244748896</v>
      </c>
      <c r="F206" s="55"/>
      <c r="G206" s="88">
        <v>804595.30615466647</v>
      </c>
      <c r="H206" s="81">
        <v>1609.075491243136</v>
      </c>
      <c r="I206" s="90"/>
      <c r="J206" s="103">
        <f t="shared" si="42"/>
        <v>-2.5497670689521579E-2</v>
      </c>
      <c r="K206" s="126">
        <f t="shared" si="42"/>
        <v>-1.607896391999486E-2</v>
      </c>
      <c r="L206" s="56">
        <v>815527</v>
      </c>
      <c r="M206" s="103">
        <v>3.4408899294315898E-2</v>
      </c>
      <c r="N206" s="97">
        <f>INDEX('Pace of change parameters'!$E$22:$I$22,1,$B$5)</f>
        <v>2.4506891160555818E-2</v>
      </c>
      <c r="O206" s="108">
        <f>MAX(IF(INDEX('Pace of change parameters'!$E$30:$I$30,1,$B$5)=1,(1+M206)*D206,D206),L206)</f>
        <v>815527</v>
      </c>
      <c r="P206" s="94">
        <f>IF(K206&lt;INDEX('Pace of change parameters'!$E$18:$I$18,1,$B$5),1,IF(K206&gt;INDEX('Pace of change parameters'!$E$19:$I$19,1,$B$5),0,(K206-INDEX('Pace of change parameters'!$E$19:$I$19,1,$B$5))/(INDEX('Pace of change parameters'!$E$18:$I$18,1,$B$5)-INDEX('Pace of change parameters'!$E$19:$I$19,1,$B$5))))</f>
        <v>0.74018075337425959</v>
      </c>
      <c r="Q206" s="57">
        <v>4.6435838090082227E-2</v>
      </c>
      <c r="R206" s="57">
        <v>3.6418700585469477E-2</v>
      </c>
      <c r="S206" s="9">
        <f>MAX(IF(INDEX('Pace of change parameters'!$E$31:$I$31,1,$B$5)=1,D206*(1+Q206),D206),L206)</f>
        <v>820489.41192967165</v>
      </c>
      <c r="T206" s="103">
        <f>IF(Q206&lt;INDEX('Pace of change parameters'!$E$24:$I$24,1,$B$5),INDEX('Pace of change parameters'!$E$24:$I$24,1,$B$5),Q206)</f>
        <v>4.6435838090082227E-2</v>
      </c>
      <c r="U206" s="132">
        <v>3.6418700585469477E-2</v>
      </c>
      <c r="V206" s="117">
        <f t="shared" si="43"/>
        <v>820489.41192967165</v>
      </c>
      <c r="W206" s="131">
        <f>IF(J206&gt;INDEX('Pace of change parameters'!$E$26:$I$26,1,$B$5),0,IF(J206&lt;INDEX('Pace of change parameters'!$E$25:$I$25,1,$B$5),1,(J206-INDEX('Pace of change parameters'!$E$26:$I$26,1,$B$5))/(INDEX('Pace of change parameters'!$E$25:$I$25,1,$B$5)-INDEX('Pace of change parameters'!$E$26:$I$26,1,$B$5))))</f>
        <v>1</v>
      </c>
      <c r="X206" s="132">
        <f>MIN(T206, T206+(INDEX('Pace of change parameters'!$E$27:$I$27,1,$B$5)-T206)*(1-W206))</f>
        <v>4.6435838090082227E-2</v>
      </c>
      <c r="Y206" s="132">
        <v>3.6418700585469477E-2</v>
      </c>
      <c r="Z206" s="108">
        <f t="shared" si="44"/>
        <v>820489.41192967165</v>
      </c>
      <c r="AA206" s="97">
        <f>MIN(VLOOKUP(A206,'2019-20 disagg'!$A$12:$BB$220,54,FALSE),-2.5%)</f>
        <v>-2.5000000000000001E-2</v>
      </c>
      <c r="AB206" s="99">
        <f t="shared" si="36"/>
        <v>816558.24944204558</v>
      </c>
      <c r="AC206" s="99">
        <f>MAX(IF(INDEX('Pace of change parameters'!$E$29:$I$29,1,$B$5)=1,MAX(AB206,Z206),Z206),L206)</f>
        <v>820489.41192967165</v>
      </c>
      <c r="AD206" s="97">
        <f t="shared" si="37"/>
        <v>4.6435838090082227E-2</v>
      </c>
      <c r="AE206" s="146">
        <v>3.6418700585469477E-2</v>
      </c>
      <c r="AF206" s="56">
        <f t="shared" si="45"/>
        <v>820489.41192967165</v>
      </c>
      <c r="AG206" s="56">
        <v>1640.8614286729905</v>
      </c>
      <c r="AH206" s="16">
        <f t="shared" si="38"/>
        <v>4.6435838090082227E-2</v>
      </c>
      <c r="AI206" s="16">
        <f t="shared" si="39"/>
        <v>3.6418700585469477E-2</v>
      </c>
      <c r="AJ206" s="56"/>
      <c r="AK206" s="56">
        <v>837495.64045338007</v>
      </c>
      <c r="AL206" s="56">
        <v>1674.8714524783234</v>
      </c>
      <c r="AM206" s="16">
        <f t="shared" si="35"/>
        <v>-2.0306050207619109E-2</v>
      </c>
      <c r="AN206" s="58">
        <f t="shared" si="35"/>
        <v>-2.0306050207619109E-2</v>
      </c>
      <c r="AP206" s="56">
        <f t="shared" si="40"/>
        <v>0</v>
      </c>
      <c r="AQ206" s="56">
        <f t="shared" si="41"/>
        <v>0</v>
      </c>
    </row>
    <row r="207" spans="1:43" x14ac:dyDescent="0.2">
      <c r="A207" s="156" t="s">
        <v>459</v>
      </c>
      <c r="B207" s="156" t="s">
        <v>460</v>
      </c>
      <c r="D207" s="68">
        <f>VLOOKUP(A207,'2019-20 disagg'!A207:AZ415,43,FALSE)</f>
        <v>234621</v>
      </c>
      <c r="E207" s="73">
        <v>1492.6517607856288</v>
      </c>
      <c r="F207" s="55"/>
      <c r="G207" s="88">
        <v>240535.65705124923</v>
      </c>
      <c r="H207" s="81">
        <v>1518.395864564149</v>
      </c>
      <c r="I207" s="90"/>
      <c r="J207" s="103">
        <f t="shared" si="42"/>
        <v>-2.4589522916301121E-2</v>
      </c>
      <c r="K207" s="126">
        <f t="shared" si="42"/>
        <v>-1.6954803670984675E-2</v>
      </c>
      <c r="L207" s="56">
        <v>243874</v>
      </c>
      <c r="M207" s="103">
        <v>3.2525897171531204E-2</v>
      </c>
      <c r="N207" s="97">
        <f>INDEX('Pace of change parameters'!$E$22:$I$22,1,$B$5)</f>
        <v>2.4506891160555818E-2</v>
      </c>
      <c r="O207" s="108">
        <f>MAX(IF(INDEX('Pace of change parameters'!$E$30:$I$30,1,$B$5)=1,(1+M207)*D207,D207),L207)</f>
        <v>243874</v>
      </c>
      <c r="P207" s="94">
        <f>IF(K207&lt;INDEX('Pace of change parameters'!$E$18:$I$18,1,$B$5),1,IF(K207&gt;INDEX('Pace of change parameters'!$E$19:$I$19,1,$B$5),0,(K207-INDEX('Pace of change parameters'!$E$19:$I$19,1,$B$5))/(INDEX('Pace of change parameters'!$E$18:$I$18,1,$B$5)-INDEX('Pace of change parameters'!$E$19:$I$19,1,$B$5))))</f>
        <v>0.76890932145154356</v>
      </c>
      <c r="Q207" s="57">
        <v>4.4996893275813132E-2</v>
      </c>
      <c r="R207" s="57">
        <v>3.6881032558338633E-2</v>
      </c>
      <c r="S207" s="9">
        <f>MAX(IF(INDEX('Pace of change parameters'!$E$31:$I$31,1,$B$5)=1,D207*(1+Q207),D207),L207)</f>
        <v>245178.21609726455</v>
      </c>
      <c r="T207" s="103">
        <f>IF(Q207&lt;INDEX('Pace of change parameters'!$E$24:$I$24,1,$B$5),INDEX('Pace of change parameters'!$E$24:$I$24,1,$B$5),Q207)</f>
        <v>4.4996893275813132E-2</v>
      </c>
      <c r="U207" s="132">
        <v>3.6881032558338633E-2</v>
      </c>
      <c r="V207" s="117">
        <f t="shared" si="43"/>
        <v>245178.21609726455</v>
      </c>
      <c r="W207" s="131">
        <f>IF(J207&gt;INDEX('Pace of change parameters'!$E$26:$I$26,1,$B$5),0,IF(J207&lt;INDEX('Pace of change parameters'!$E$25:$I$25,1,$B$5),1,(J207-INDEX('Pace of change parameters'!$E$26:$I$26,1,$B$5))/(INDEX('Pace of change parameters'!$E$25:$I$25,1,$B$5)-INDEX('Pace of change parameters'!$E$26:$I$26,1,$B$5))))</f>
        <v>1</v>
      </c>
      <c r="X207" s="132">
        <f>MIN(T207, T207+(INDEX('Pace of change parameters'!$E$27:$I$27,1,$B$5)-T207)*(1-W207))</f>
        <v>4.4996893275813132E-2</v>
      </c>
      <c r="Y207" s="132">
        <v>3.6881032558338633E-2</v>
      </c>
      <c r="Z207" s="108">
        <f t="shared" si="44"/>
        <v>245178.21609726455</v>
      </c>
      <c r="AA207" s="97">
        <f>MIN(VLOOKUP(A207,'2019-20 disagg'!$A$12:$BB$220,54,FALSE),-2.5%)</f>
        <v>-2.5000000000000001E-2</v>
      </c>
      <c r="AB207" s="99">
        <f t="shared" si="36"/>
        <v>244051.60447527151</v>
      </c>
      <c r="AC207" s="99">
        <f>MAX(IF(INDEX('Pace of change parameters'!$E$29:$I$29,1,$B$5)=1,MAX(AB207,Z207),Z207),L207)</f>
        <v>245178.21609726455</v>
      </c>
      <c r="AD207" s="97">
        <f t="shared" si="37"/>
        <v>4.4996893275813132E-2</v>
      </c>
      <c r="AE207" s="146">
        <v>3.6881032558338633E-2</v>
      </c>
      <c r="AF207" s="56">
        <f t="shared" si="45"/>
        <v>245178.21609726455</v>
      </c>
      <c r="AG207" s="56">
        <v>1547.7022989734248</v>
      </c>
      <c r="AH207" s="16">
        <f t="shared" si="38"/>
        <v>4.4996893275813132E-2</v>
      </c>
      <c r="AI207" s="16">
        <f t="shared" si="39"/>
        <v>3.6881032558338411E-2</v>
      </c>
      <c r="AJ207" s="56"/>
      <c r="AK207" s="56">
        <v>250309.3379233554</v>
      </c>
      <c r="AL207" s="56">
        <v>1580.0928154433018</v>
      </c>
      <c r="AM207" s="16">
        <f t="shared" si="35"/>
        <v>-2.0499122680201376E-2</v>
      </c>
      <c r="AN207" s="58">
        <f t="shared" si="35"/>
        <v>-2.0499122680201376E-2</v>
      </c>
      <c r="AP207" s="56">
        <f t="shared" si="40"/>
        <v>0</v>
      </c>
      <c r="AQ207" s="56">
        <f t="shared" si="41"/>
        <v>0</v>
      </c>
    </row>
    <row r="208" spans="1:43" x14ac:dyDescent="0.2">
      <c r="A208" s="156" t="s">
        <v>461</v>
      </c>
      <c r="B208" s="156" t="s">
        <v>462</v>
      </c>
      <c r="D208" s="68">
        <f>VLOOKUP(A208,'2019-20 disagg'!A208:AZ416,43,FALSE)</f>
        <v>232271</v>
      </c>
      <c r="E208" s="73">
        <v>1401.674806848695</v>
      </c>
      <c r="F208" s="55"/>
      <c r="G208" s="88">
        <v>235796.29491248282</v>
      </c>
      <c r="H208" s="81">
        <v>1410.8710929974845</v>
      </c>
      <c r="I208" s="90"/>
      <c r="J208" s="103">
        <f t="shared" si="42"/>
        <v>-1.4950595020126412E-2</v>
      </c>
      <c r="K208" s="126">
        <f t="shared" si="42"/>
        <v>-6.5181618607349501E-3</v>
      </c>
      <c r="L208" s="56">
        <v>241406</v>
      </c>
      <c r="M208" s="103">
        <v>3.3277096834883002E-2</v>
      </c>
      <c r="N208" s="97">
        <f>INDEX('Pace of change parameters'!$E$22:$I$22,1,$B$5)</f>
        <v>2.4506891160555818E-2</v>
      </c>
      <c r="O208" s="108">
        <f>MAX(IF(INDEX('Pace of change parameters'!$E$30:$I$30,1,$B$5)=1,(1+M208)*D208,D208),L208)</f>
        <v>241406</v>
      </c>
      <c r="P208" s="94">
        <f>IF(K208&lt;INDEX('Pace of change parameters'!$E$18:$I$18,1,$B$5),1,IF(K208&gt;INDEX('Pace of change parameters'!$E$19:$I$19,1,$B$5),0,(K208-INDEX('Pace of change parameters'!$E$19:$I$19,1,$B$5))/(INDEX('Pace of change parameters'!$E$18:$I$18,1,$B$5)-INDEX('Pace of change parameters'!$E$19:$I$19,1,$B$5))))</f>
        <v>0.42657526501583204</v>
      </c>
      <c r="Q208" s="57">
        <v>4.0200785595855493E-2</v>
      </c>
      <c r="R208" s="57">
        <v>3.137181332867045E-2</v>
      </c>
      <c r="S208" s="9">
        <f>MAX(IF(INDEX('Pace of change parameters'!$E$31:$I$31,1,$B$5)=1,D208*(1+Q208),D208),L208)</f>
        <v>241608.47667113494</v>
      </c>
      <c r="T208" s="103">
        <f>IF(Q208&lt;INDEX('Pace of change parameters'!$E$24:$I$24,1,$B$5),INDEX('Pace of change parameters'!$E$24:$I$24,1,$B$5),Q208)</f>
        <v>4.0200785595855493E-2</v>
      </c>
      <c r="U208" s="132">
        <v>3.137181332867045E-2</v>
      </c>
      <c r="V208" s="117">
        <f t="shared" si="43"/>
        <v>241608.47667113494</v>
      </c>
      <c r="W208" s="131">
        <f>IF(J208&gt;INDEX('Pace of change parameters'!$E$26:$I$26,1,$B$5),0,IF(J208&lt;INDEX('Pace of change parameters'!$E$25:$I$25,1,$B$5),1,(J208-INDEX('Pace of change parameters'!$E$26:$I$26,1,$B$5))/(INDEX('Pace of change parameters'!$E$25:$I$25,1,$B$5)-INDEX('Pace of change parameters'!$E$26:$I$26,1,$B$5))))</f>
        <v>1</v>
      </c>
      <c r="X208" s="132">
        <f>MIN(T208, T208+(INDEX('Pace of change parameters'!$E$27:$I$27,1,$B$5)-T208)*(1-W208))</f>
        <v>4.0200785595855493E-2</v>
      </c>
      <c r="Y208" s="132">
        <v>3.137181332867045E-2</v>
      </c>
      <c r="Z208" s="108">
        <f t="shared" si="44"/>
        <v>241608.47667113494</v>
      </c>
      <c r="AA208" s="97">
        <f>MIN(VLOOKUP(A208,'2019-20 disagg'!$A$12:$BB$220,54,FALSE),-2.5%)</f>
        <v>-2.5000000000000001E-2</v>
      </c>
      <c r="AB208" s="99">
        <f t="shared" si="36"/>
        <v>239223.32773225327</v>
      </c>
      <c r="AC208" s="99">
        <f>MAX(IF(INDEX('Pace of change parameters'!$E$29:$I$29,1,$B$5)=1,MAX(AB208,Z208),Z208),L208)</f>
        <v>241608.47667113494</v>
      </c>
      <c r="AD208" s="97">
        <f t="shared" si="37"/>
        <v>4.0200785595855493E-2</v>
      </c>
      <c r="AE208" s="146">
        <v>3.137181332867045E-2</v>
      </c>
      <c r="AF208" s="56">
        <f t="shared" si="45"/>
        <v>241608.47667113494</v>
      </c>
      <c r="AG208" s="56">
        <v>1445.6478872366524</v>
      </c>
      <c r="AH208" s="16">
        <f t="shared" si="38"/>
        <v>4.0200785595855493E-2</v>
      </c>
      <c r="AI208" s="16">
        <f t="shared" si="39"/>
        <v>3.137181332867045E-2</v>
      </c>
      <c r="AJ208" s="56"/>
      <c r="AK208" s="56">
        <v>245357.25921256747</v>
      </c>
      <c r="AL208" s="56">
        <v>1468.0784726010402</v>
      </c>
      <c r="AM208" s="16">
        <f t="shared" si="35"/>
        <v>-1.5278873563650097E-2</v>
      </c>
      <c r="AN208" s="58">
        <f t="shared" si="35"/>
        <v>-1.5278873563649986E-2</v>
      </c>
      <c r="AP208" s="56">
        <f t="shared" si="40"/>
        <v>0</v>
      </c>
      <c r="AQ208" s="56">
        <f t="shared" si="41"/>
        <v>0</v>
      </c>
    </row>
    <row r="209" spans="1:43" x14ac:dyDescent="0.2">
      <c r="A209" s="156" t="s">
        <v>463</v>
      </c>
      <c r="B209" s="156" t="s">
        <v>464</v>
      </c>
      <c r="D209" s="68">
        <f>VLOOKUP(A209,'2019-20 disagg'!A209:AZ417,43,FALSE)</f>
        <v>311385</v>
      </c>
      <c r="E209" s="73">
        <v>1503.7941271046452</v>
      </c>
      <c r="F209" s="55"/>
      <c r="G209" s="88">
        <v>315281.39005636476</v>
      </c>
      <c r="H209" s="81">
        <v>1517.1089460467372</v>
      </c>
      <c r="I209" s="90"/>
      <c r="J209" s="103">
        <f t="shared" si="42"/>
        <v>-1.2358452415057508E-2</v>
      </c>
      <c r="K209" s="126">
        <f t="shared" si="42"/>
        <v>-8.7764421775954338E-3</v>
      </c>
      <c r="L209" s="56">
        <v>323316</v>
      </c>
      <c r="M209" s="103">
        <v>2.8222605815797941E-2</v>
      </c>
      <c r="N209" s="97">
        <f>INDEX('Pace of change parameters'!$E$22:$I$22,1,$B$5)</f>
        <v>2.4506891160555818E-2</v>
      </c>
      <c r="O209" s="108">
        <f>MAX(IF(INDEX('Pace of change parameters'!$E$30:$I$30,1,$B$5)=1,(1+M209)*D209,D209),L209)</f>
        <v>323316</v>
      </c>
      <c r="P209" s="94">
        <f>IF(K209&lt;INDEX('Pace of change parameters'!$E$18:$I$18,1,$B$5),1,IF(K209&gt;INDEX('Pace of change parameters'!$E$19:$I$19,1,$B$5),0,(K209-INDEX('Pace of change parameters'!$E$19:$I$19,1,$B$5))/(INDEX('Pace of change parameters'!$E$18:$I$18,1,$B$5)-INDEX('Pace of change parameters'!$E$19:$I$19,1,$B$5))))</f>
        <v>0.50064950033935651</v>
      </c>
      <c r="Q209" s="57">
        <v>3.6308834127807055E-2</v>
      </c>
      <c r="R209" s="57">
        <v>3.2563898059930541E-2</v>
      </c>
      <c r="S209" s="9">
        <f>MAX(IF(INDEX('Pace of change parameters'!$E$31:$I$31,1,$B$5)=1,D209*(1+Q209),D209),L209)</f>
        <v>323316</v>
      </c>
      <c r="T209" s="103">
        <f>IF(Q209&lt;INDEX('Pace of change parameters'!$E$24:$I$24,1,$B$5),INDEX('Pace of change parameters'!$E$24:$I$24,1,$B$5),Q209)</f>
        <v>3.6308834127807055E-2</v>
      </c>
      <c r="U209" s="132">
        <v>3.2563898059930541E-2</v>
      </c>
      <c r="V209" s="117">
        <f t="shared" si="43"/>
        <v>323316</v>
      </c>
      <c r="W209" s="131">
        <f>IF(J209&gt;INDEX('Pace of change parameters'!$E$26:$I$26,1,$B$5),0,IF(J209&lt;INDEX('Pace of change parameters'!$E$25:$I$25,1,$B$5),1,(J209-INDEX('Pace of change parameters'!$E$26:$I$26,1,$B$5))/(INDEX('Pace of change parameters'!$E$25:$I$25,1,$B$5)-INDEX('Pace of change parameters'!$E$26:$I$26,1,$B$5))))</f>
        <v>1</v>
      </c>
      <c r="X209" s="132">
        <f>MIN(T209, T209+(INDEX('Pace of change parameters'!$E$27:$I$27,1,$B$5)-T209)*(1-W209))</f>
        <v>3.6308834127807055E-2</v>
      </c>
      <c r="Y209" s="132">
        <v>3.2563898059930541E-2</v>
      </c>
      <c r="Z209" s="108">
        <f t="shared" si="44"/>
        <v>323316</v>
      </c>
      <c r="AA209" s="97">
        <f>MIN(VLOOKUP(A209,'2019-20 disagg'!$A$12:$BB$220,54,FALSE),-2.5%)</f>
        <v>-2.5000000000000001E-2</v>
      </c>
      <c r="AB209" s="99">
        <f t="shared" si="36"/>
        <v>319868.3276426277</v>
      </c>
      <c r="AC209" s="99">
        <f>MAX(IF(INDEX('Pace of change parameters'!$E$29:$I$29,1,$B$5)=1,MAX(AB209,Z209),Z209),L209)</f>
        <v>323316</v>
      </c>
      <c r="AD209" s="97">
        <f t="shared" si="37"/>
        <v>3.8315911171058259E-2</v>
      </c>
      <c r="AE209" s="146">
        <v>3.4563722076899728E-2</v>
      </c>
      <c r="AF209" s="56">
        <f t="shared" si="45"/>
        <v>323316</v>
      </c>
      <c r="AG209" s="56">
        <v>1555.7708493747639</v>
      </c>
      <c r="AH209" s="16">
        <f t="shared" si="38"/>
        <v>3.8315911171058259E-2</v>
      </c>
      <c r="AI209" s="16">
        <f t="shared" si="39"/>
        <v>3.4563722076899506E-2</v>
      </c>
      <c r="AJ209" s="56"/>
      <c r="AK209" s="56">
        <v>328070.07963346434</v>
      </c>
      <c r="AL209" s="56">
        <v>1578.6471020481549</v>
      </c>
      <c r="AM209" s="16">
        <f t="shared" si="35"/>
        <v>-1.4491049103825038E-2</v>
      </c>
      <c r="AN209" s="58">
        <f t="shared" si="35"/>
        <v>-1.4491049103825149E-2</v>
      </c>
      <c r="AP209" s="56">
        <f t="shared" si="40"/>
        <v>1</v>
      </c>
      <c r="AQ209" s="56">
        <f t="shared" si="41"/>
        <v>0</v>
      </c>
    </row>
    <row r="210" spans="1:43" x14ac:dyDescent="0.2">
      <c r="A210" s="156" t="s">
        <v>465</v>
      </c>
      <c r="B210" s="156" t="s">
        <v>466</v>
      </c>
      <c r="D210" s="68">
        <f>VLOOKUP(A210,'2019-20 disagg'!A210:AZ418,43,FALSE)</f>
        <v>827951</v>
      </c>
      <c r="E210" s="73">
        <v>1630.8878699435579</v>
      </c>
      <c r="F210" s="55"/>
      <c r="G210" s="88">
        <v>819451.52301865933</v>
      </c>
      <c r="H210" s="81">
        <v>1600.8113807889358</v>
      </c>
      <c r="I210" s="90"/>
      <c r="J210" s="103">
        <f t="shared" si="42"/>
        <v>1.0372153498514169E-2</v>
      </c>
      <c r="K210" s="126">
        <f t="shared" si="42"/>
        <v>1.8788277941776954E-2</v>
      </c>
      <c r="L210" s="56">
        <v>861172</v>
      </c>
      <c r="M210" s="103">
        <v>3.3040754113064619E-2</v>
      </c>
      <c r="N210" s="97">
        <f>INDEX('Pace of change parameters'!$E$22:$I$22,1,$B$5)</f>
        <v>2.4506891160555818E-2</v>
      </c>
      <c r="O210" s="108">
        <f>MAX(IF(INDEX('Pace of change parameters'!$E$30:$I$30,1,$B$5)=1,(1+M210)*D210,D210),L210)</f>
        <v>861172</v>
      </c>
      <c r="P210" s="94">
        <f>IF(K210&lt;INDEX('Pace of change parameters'!$E$18:$I$18,1,$B$5),1,IF(K210&gt;INDEX('Pace of change parameters'!$E$19:$I$19,1,$B$5),0,(K210-INDEX('Pace of change parameters'!$E$19:$I$19,1,$B$5))/(INDEX('Pace of change parameters'!$E$18:$I$18,1,$B$5)-INDEX('Pace of change parameters'!$E$19:$I$19,1,$B$5))))</f>
        <v>0</v>
      </c>
      <c r="Q210" s="57">
        <v>3.3040754113064619E-2</v>
      </c>
      <c r="R210" s="57">
        <v>2.450689116055571E-2</v>
      </c>
      <c r="S210" s="9">
        <f>MAX(IF(INDEX('Pace of change parameters'!$E$31:$I$31,1,$B$5)=1,D210*(1+Q210),D210),L210)</f>
        <v>861172</v>
      </c>
      <c r="T210" s="103">
        <f>IF(Q210&lt;INDEX('Pace of change parameters'!$E$24:$I$24,1,$B$5),INDEX('Pace of change parameters'!$E$24:$I$24,1,$B$5),Q210)</f>
        <v>3.3040754113064619E-2</v>
      </c>
      <c r="U210" s="132">
        <v>2.450689116055571E-2</v>
      </c>
      <c r="V210" s="117">
        <f t="shared" si="43"/>
        <v>861172</v>
      </c>
      <c r="W210" s="131">
        <f>IF(J210&gt;INDEX('Pace of change parameters'!$E$26:$I$26,1,$B$5),0,IF(J210&lt;INDEX('Pace of change parameters'!$E$25:$I$25,1,$B$5),1,(J210-INDEX('Pace of change parameters'!$E$26:$I$26,1,$B$5))/(INDEX('Pace of change parameters'!$E$25:$I$25,1,$B$5)-INDEX('Pace of change parameters'!$E$26:$I$26,1,$B$5))))</f>
        <v>1</v>
      </c>
      <c r="X210" s="132">
        <f>MIN(T210, T210+(INDEX('Pace of change parameters'!$E$27:$I$27,1,$B$5)-T210)*(1-W210))</f>
        <v>3.3040754113064619E-2</v>
      </c>
      <c r="Y210" s="132">
        <v>2.450689116055571E-2</v>
      </c>
      <c r="Z210" s="108">
        <f t="shared" si="44"/>
        <v>861172</v>
      </c>
      <c r="AA210" s="97">
        <f>MIN(VLOOKUP(A210,'2019-20 disagg'!$A$12:$BB$220,54,FALSE),-2.5%)</f>
        <v>-2.5000000000000001E-2</v>
      </c>
      <c r="AB210" s="99">
        <f t="shared" si="36"/>
        <v>831757.80410724925</v>
      </c>
      <c r="AC210" s="99">
        <f>MAX(IF(INDEX('Pace of change parameters'!$E$29:$I$29,1,$B$5)=1,MAX(AB210,Z210),Z210),L210)</f>
        <v>861172</v>
      </c>
      <c r="AD210" s="97">
        <f t="shared" si="37"/>
        <v>4.0124355185270577E-2</v>
      </c>
      <c r="AE210" s="146">
        <v>3.1531975198927586E-2</v>
      </c>
      <c r="AF210" s="56">
        <f t="shared" si="45"/>
        <v>861172</v>
      </c>
      <c r="AG210" s="56">
        <v>1682.3129858108503</v>
      </c>
      <c r="AH210" s="16">
        <f t="shared" si="38"/>
        <v>4.0124355185270577E-2</v>
      </c>
      <c r="AI210" s="16">
        <f t="shared" si="39"/>
        <v>3.1531975198927809E-2</v>
      </c>
      <c r="AJ210" s="56"/>
      <c r="AK210" s="56">
        <v>853084.9272894864</v>
      </c>
      <c r="AL210" s="56">
        <v>1666.5147626474245</v>
      </c>
      <c r="AM210" s="16">
        <f t="shared" si="35"/>
        <v>9.4797979096978846E-3</v>
      </c>
      <c r="AN210" s="58">
        <f t="shared" si="35"/>
        <v>9.4797979096978846E-3</v>
      </c>
      <c r="AP210" s="56">
        <f t="shared" si="40"/>
        <v>1</v>
      </c>
      <c r="AQ210" s="56">
        <f t="shared" si="41"/>
        <v>0</v>
      </c>
    </row>
    <row r="211" spans="1:43" x14ac:dyDescent="0.2">
      <c r="A211" s="156" t="s">
        <v>467</v>
      </c>
      <c r="B211" s="156" t="s">
        <v>468</v>
      </c>
      <c r="D211" s="68">
        <f>VLOOKUP(A211,'2019-20 disagg'!A211:AZ419,43,FALSE)</f>
        <v>1385966</v>
      </c>
      <c r="E211" s="73">
        <v>1720.3940041593301</v>
      </c>
      <c r="F211" s="55"/>
      <c r="G211" s="88">
        <v>1382447.6858632164</v>
      </c>
      <c r="H211" s="81">
        <v>1705.849742511678</v>
      </c>
      <c r="I211" s="90"/>
      <c r="J211" s="103">
        <f t="shared" si="42"/>
        <v>2.5449889878377263E-3</v>
      </c>
      <c r="K211" s="126">
        <f t="shared" si="42"/>
        <v>8.5261094721258424E-3</v>
      </c>
      <c r="L211" s="56">
        <v>1439761</v>
      </c>
      <c r="M211" s="103">
        <v>3.0619034974870729E-2</v>
      </c>
      <c r="N211" s="97">
        <f>INDEX('Pace of change parameters'!$E$22:$I$22,1,$B$5)</f>
        <v>2.4506891160555818E-2</v>
      </c>
      <c r="O211" s="108">
        <f>MAX(IF(INDEX('Pace of change parameters'!$E$30:$I$30,1,$B$5)=1,(1+M211)*D211,D211),L211)</f>
        <v>1439761</v>
      </c>
      <c r="P211" s="94">
        <f>IF(K211&lt;INDEX('Pace of change parameters'!$E$18:$I$18,1,$B$5),1,IF(K211&gt;INDEX('Pace of change parameters'!$E$19:$I$19,1,$B$5),0,(K211-INDEX('Pace of change parameters'!$E$19:$I$19,1,$B$5))/(INDEX('Pace of change parameters'!$E$18:$I$18,1,$B$5)-INDEX('Pace of change parameters'!$E$19:$I$19,1,$B$5))))</f>
        <v>0</v>
      </c>
      <c r="Q211" s="57">
        <v>3.0619034974870729E-2</v>
      </c>
      <c r="R211" s="57">
        <v>2.450689116055571E-2</v>
      </c>
      <c r="S211" s="9">
        <f>MAX(IF(INDEX('Pace of change parameters'!$E$31:$I$31,1,$B$5)=1,D211*(1+Q211),D211),L211)</f>
        <v>1439761</v>
      </c>
      <c r="T211" s="103">
        <f>IF(Q211&lt;INDEX('Pace of change parameters'!$E$24:$I$24,1,$B$5),INDEX('Pace of change parameters'!$E$24:$I$24,1,$B$5),Q211)</f>
        <v>3.2992755077120454E-2</v>
      </c>
      <c r="U211" s="132">
        <v>2.6866533783011848E-2</v>
      </c>
      <c r="V211" s="117">
        <f t="shared" si="43"/>
        <v>1439761</v>
      </c>
      <c r="W211" s="131">
        <f>IF(J211&gt;INDEX('Pace of change parameters'!$E$26:$I$26,1,$B$5),0,IF(J211&lt;INDEX('Pace of change parameters'!$E$25:$I$25,1,$B$5),1,(J211-INDEX('Pace of change parameters'!$E$26:$I$26,1,$B$5))/(INDEX('Pace of change parameters'!$E$25:$I$25,1,$B$5)-INDEX('Pace of change parameters'!$E$26:$I$26,1,$B$5))))</f>
        <v>1</v>
      </c>
      <c r="X211" s="132">
        <f>MIN(T211, T211+(INDEX('Pace of change parameters'!$E$27:$I$27,1,$B$5)-T211)*(1-W211))</f>
        <v>3.2992755077120454E-2</v>
      </c>
      <c r="Y211" s="132">
        <v>2.6866533783011848E-2</v>
      </c>
      <c r="Z211" s="108">
        <f t="shared" si="44"/>
        <v>1439761</v>
      </c>
      <c r="AA211" s="97">
        <f>MIN(VLOOKUP(A211,'2019-20 disagg'!$A$12:$BB$220,54,FALSE),-2.5%)</f>
        <v>-2.5000000000000001E-2</v>
      </c>
      <c r="AB211" s="99">
        <f t="shared" si="36"/>
        <v>1402451.4432859472</v>
      </c>
      <c r="AC211" s="99">
        <f>MAX(IF(INDEX('Pace of change parameters'!$E$29:$I$29,1,$B$5)=1,MAX(AB211,Z211),Z211),L211)</f>
        <v>1439761</v>
      </c>
      <c r="AD211" s="97">
        <f t="shared" si="37"/>
        <v>3.8814083462364923E-2</v>
      </c>
      <c r="AE211" s="146">
        <v>3.2653338454766034E-2</v>
      </c>
      <c r="AF211" s="56">
        <f t="shared" si="45"/>
        <v>1439761</v>
      </c>
      <c r="AG211" s="56">
        <v>1776.5706118526946</v>
      </c>
      <c r="AH211" s="16">
        <f t="shared" si="38"/>
        <v>3.8814083462364923E-2</v>
      </c>
      <c r="AI211" s="16">
        <f t="shared" si="39"/>
        <v>3.2653338454765812E-2</v>
      </c>
      <c r="AJ211" s="56"/>
      <c r="AK211" s="56">
        <v>1438411.7367035355</v>
      </c>
      <c r="AL211" s="56">
        <v>1774.9057094694863</v>
      </c>
      <c r="AM211" s="16">
        <f t="shared" si="35"/>
        <v>9.3802300275758199E-4</v>
      </c>
      <c r="AN211" s="58">
        <f t="shared" si="35"/>
        <v>9.3802300275758199E-4</v>
      </c>
      <c r="AP211" s="56">
        <f t="shared" si="40"/>
        <v>1</v>
      </c>
      <c r="AQ211" s="56">
        <f t="shared" si="41"/>
        <v>0</v>
      </c>
    </row>
    <row r="212" spans="1:43" x14ac:dyDescent="0.2">
      <c r="A212" s="156" t="s">
        <v>469</v>
      </c>
      <c r="B212" s="156" t="s">
        <v>470</v>
      </c>
      <c r="D212" s="68">
        <f>VLOOKUP(A212,'2019-20 disagg'!A212:AZ420,43,FALSE)</f>
        <v>1022030</v>
      </c>
      <c r="E212" s="73">
        <v>1565.3752832608284</v>
      </c>
      <c r="F212" s="55"/>
      <c r="G212" s="88">
        <v>1033486.1467567158</v>
      </c>
      <c r="H212" s="81">
        <v>1572.4482891027537</v>
      </c>
      <c r="I212" s="90"/>
      <c r="J212" s="103">
        <f t="shared" si="42"/>
        <v>-1.1084954348606901E-2</v>
      </c>
      <c r="K212" s="126">
        <f t="shared" si="42"/>
        <v>-4.4980848597324652E-3</v>
      </c>
      <c r="L212" s="56">
        <v>1062032</v>
      </c>
      <c r="M212" s="103">
        <v>3.1330827364379976E-2</v>
      </c>
      <c r="N212" s="97">
        <f>INDEX('Pace of change parameters'!$E$22:$I$22,1,$B$5)</f>
        <v>2.4506891160555818E-2</v>
      </c>
      <c r="O212" s="108">
        <f>MAX(IF(INDEX('Pace of change parameters'!$E$30:$I$30,1,$B$5)=1,(1+M212)*D212,D212),L212)</f>
        <v>1062032</v>
      </c>
      <c r="P212" s="94">
        <f>IF(K212&lt;INDEX('Pace of change parameters'!$E$18:$I$18,1,$B$5),1,IF(K212&gt;INDEX('Pace of change parameters'!$E$19:$I$19,1,$B$5),0,(K212-INDEX('Pace of change parameters'!$E$19:$I$19,1,$B$5))/(INDEX('Pace of change parameters'!$E$18:$I$18,1,$B$5)-INDEX('Pace of change parameters'!$E$19:$I$19,1,$B$5))))</f>
        <v>0.36031437701769148</v>
      </c>
      <c r="Q212" s="57">
        <v>3.7168028459713121E-2</v>
      </c>
      <c r="R212" s="57">
        <v>3.0305469646318084E-2</v>
      </c>
      <c r="S212" s="9">
        <f>MAX(IF(INDEX('Pace of change parameters'!$E$31:$I$31,1,$B$5)=1,D212*(1+Q212),D212),L212)</f>
        <v>1062032</v>
      </c>
      <c r="T212" s="103">
        <f>IF(Q212&lt;INDEX('Pace of change parameters'!$E$24:$I$24,1,$B$5),INDEX('Pace of change parameters'!$E$24:$I$24,1,$B$5),Q212)</f>
        <v>3.7168028459713121E-2</v>
      </c>
      <c r="U212" s="132">
        <v>3.0305469646318084E-2</v>
      </c>
      <c r="V212" s="117">
        <f t="shared" si="43"/>
        <v>1062032</v>
      </c>
      <c r="W212" s="131">
        <f>IF(J212&gt;INDEX('Pace of change parameters'!$E$26:$I$26,1,$B$5),0,IF(J212&lt;INDEX('Pace of change parameters'!$E$25:$I$25,1,$B$5),1,(J212-INDEX('Pace of change parameters'!$E$26:$I$26,1,$B$5))/(INDEX('Pace of change parameters'!$E$25:$I$25,1,$B$5)-INDEX('Pace of change parameters'!$E$26:$I$26,1,$B$5))))</f>
        <v>1</v>
      </c>
      <c r="X212" s="132">
        <f>MIN(T212, T212+(INDEX('Pace of change parameters'!$E$27:$I$27,1,$B$5)-T212)*(1-W212))</f>
        <v>3.7168028459713121E-2</v>
      </c>
      <c r="Y212" s="132">
        <v>3.0305469646318084E-2</v>
      </c>
      <c r="Z212" s="108">
        <f t="shared" si="44"/>
        <v>1062032</v>
      </c>
      <c r="AA212" s="97">
        <f>MIN(VLOOKUP(A212,'2019-20 disagg'!$A$12:$BB$220,54,FALSE),-2.5%)</f>
        <v>-2.5000000000000001E-2</v>
      </c>
      <c r="AB212" s="99">
        <f t="shared" si="36"/>
        <v>1048582.3966006485</v>
      </c>
      <c r="AC212" s="99">
        <f>MAX(IF(INDEX('Pace of change parameters'!$E$29:$I$29,1,$B$5)=1,MAX(AB212,Z212),Z212),L212)</f>
        <v>1062032</v>
      </c>
      <c r="AD212" s="97">
        <f t="shared" si="37"/>
        <v>3.913975127931657E-2</v>
      </c>
      <c r="AE212" s="146">
        <v>3.2264146302289465E-2</v>
      </c>
      <c r="AF212" s="56">
        <f t="shared" si="45"/>
        <v>1062032</v>
      </c>
      <c r="AG212" s="56">
        <v>1615.8807804179439</v>
      </c>
      <c r="AH212" s="16">
        <f t="shared" si="38"/>
        <v>3.913975127931657E-2</v>
      </c>
      <c r="AI212" s="16">
        <f t="shared" si="39"/>
        <v>3.2264146302289687E-2</v>
      </c>
      <c r="AJ212" s="56"/>
      <c r="AK212" s="56">
        <v>1075469.1247186139</v>
      </c>
      <c r="AL212" s="56">
        <v>1636.3253541943338</v>
      </c>
      <c r="AM212" s="16">
        <f t="shared" si="35"/>
        <v>-1.2494198494196307E-2</v>
      </c>
      <c r="AN212" s="58">
        <f t="shared" si="35"/>
        <v>-1.2494198494196196E-2</v>
      </c>
      <c r="AP212" s="56">
        <f t="shared" si="40"/>
        <v>1</v>
      </c>
      <c r="AQ212" s="56">
        <f t="shared" si="41"/>
        <v>0</v>
      </c>
    </row>
    <row r="213" spans="1:43" x14ac:dyDescent="0.2">
      <c r="A213" s="156" t="s">
        <v>471</v>
      </c>
      <c r="B213" s="156" t="s">
        <v>472</v>
      </c>
      <c r="D213" s="68">
        <f>VLOOKUP(A213,'2019-20 disagg'!A213:AZ421,43,FALSE)</f>
        <v>1015064</v>
      </c>
      <c r="E213" s="73">
        <v>1753.1670768825088</v>
      </c>
      <c r="F213" s="55"/>
      <c r="G213" s="88">
        <v>1002062.0311060692</v>
      </c>
      <c r="H213" s="81">
        <v>1717.1016240782312</v>
      </c>
      <c r="I213" s="90"/>
      <c r="J213" s="103">
        <f t="shared" si="42"/>
        <v>1.2975213599879964E-2</v>
      </c>
      <c r="K213" s="126">
        <f t="shared" si="42"/>
        <v>2.1003679862942271E-2</v>
      </c>
      <c r="L213" s="56">
        <v>1054455</v>
      </c>
      <c r="M213" s="103">
        <v>3.2626753227789296E-2</v>
      </c>
      <c r="N213" s="97">
        <f>INDEX('Pace of change parameters'!$E$22:$I$22,1,$B$5)</f>
        <v>2.4506891160555818E-2</v>
      </c>
      <c r="O213" s="108">
        <f>MAX(IF(INDEX('Pace of change parameters'!$E$30:$I$30,1,$B$5)=1,(1+M213)*D213,D213),L213)</f>
        <v>1054455</v>
      </c>
      <c r="P213" s="94">
        <f>IF(K213&lt;INDEX('Pace of change parameters'!$E$18:$I$18,1,$B$5),1,IF(K213&gt;INDEX('Pace of change parameters'!$E$19:$I$19,1,$B$5),0,(K213-INDEX('Pace of change parameters'!$E$19:$I$19,1,$B$5))/(INDEX('Pace of change parameters'!$E$18:$I$18,1,$B$5)-INDEX('Pace of change parameters'!$E$19:$I$19,1,$B$5))))</f>
        <v>0</v>
      </c>
      <c r="Q213" s="57">
        <v>3.2626753227789296E-2</v>
      </c>
      <c r="R213" s="57">
        <v>2.450689116055571E-2</v>
      </c>
      <c r="S213" s="9">
        <f>MAX(IF(INDEX('Pace of change parameters'!$E$31:$I$31,1,$B$5)=1,D213*(1+Q213),D213),L213)</f>
        <v>1054455</v>
      </c>
      <c r="T213" s="103">
        <f>IF(Q213&lt;INDEX('Pace of change parameters'!$E$24:$I$24,1,$B$5),INDEX('Pace of change parameters'!$E$24:$I$24,1,$B$5),Q213)</f>
        <v>3.2992755077120454E-2</v>
      </c>
      <c r="U213" s="132">
        <v>2.487001502466768E-2</v>
      </c>
      <c r="V213" s="117">
        <f t="shared" si="43"/>
        <v>1054455</v>
      </c>
      <c r="W213" s="131">
        <f>IF(J213&gt;INDEX('Pace of change parameters'!$E$26:$I$26,1,$B$5),0,IF(J213&lt;INDEX('Pace of change parameters'!$E$25:$I$25,1,$B$5),1,(J213-INDEX('Pace of change parameters'!$E$26:$I$26,1,$B$5))/(INDEX('Pace of change parameters'!$E$25:$I$25,1,$B$5)-INDEX('Pace of change parameters'!$E$26:$I$26,1,$B$5))))</f>
        <v>1</v>
      </c>
      <c r="X213" s="132">
        <f>MIN(T213, T213+(INDEX('Pace of change parameters'!$E$27:$I$27,1,$B$5)-T213)*(1-W213))</f>
        <v>3.2992755077120454E-2</v>
      </c>
      <c r="Y213" s="132">
        <v>2.487001502466768E-2</v>
      </c>
      <c r="Z213" s="108">
        <f t="shared" si="44"/>
        <v>1054455</v>
      </c>
      <c r="AA213" s="97">
        <f>MIN(VLOOKUP(A213,'2019-20 disagg'!$A$12:$BB$220,54,FALSE),-2.5%)</f>
        <v>-2.5000000000000001E-2</v>
      </c>
      <c r="AB213" s="99">
        <f t="shared" si="36"/>
        <v>1016682.0661958478</v>
      </c>
      <c r="AC213" s="99">
        <f>MAX(IF(INDEX('Pace of change parameters'!$E$29:$I$29,1,$B$5)=1,MAX(AB213,Z213),Z213),L213)</f>
        <v>1054455</v>
      </c>
      <c r="AD213" s="97">
        <f t="shared" si="37"/>
        <v>3.8806420087797333E-2</v>
      </c>
      <c r="AE213" s="146">
        <v>3.0637965397558586E-2</v>
      </c>
      <c r="AF213" s="56">
        <f t="shared" si="45"/>
        <v>1054455</v>
      </c>
      <c r="AG213" s="56">
        <v>1806.880549120174</v>
      </c>
      <c r="AH213" s="16">
        <f t="shared" si="38"/>
        <v>3.8806420087797333E-2</v>
      </c>
      <c r="AI213" s="16">
        <f t="shared" si="39"/>
        <v>3.0637965397558586E-2</v>
      </c>
      <c r="AJ213" s="56"/>
      <c r="AK213" s="56">
        <v>1042750.8371239465</v>
      </c>
      <c r="AL213" s="56">
        <v>1786.8246678881865</v>
      </c>
      <c r="AM213" s="16">
        <f t="shared" si="35"/>
        <v>1.1224314054098627E-2</v>
      </c>
      <c r="AN213" s="58">
        <f t="shared" si="35"/>
        <v>1.1224314054098627E-2</v>
      </c>
      <c r="AP213" s="56">
        <f t="shared" si="40"/>
        <v>1</v>
      </c>
      <c r="AQ213" s="56">
        <f t="shared" si="41"/>
        <v>0</v>
      </c>
    </row>
    <row r="214" spans="1:43" x14ac:dyDescent="0.2">
      <c r="A214" s="156" t="s">
        <v>473</v>
      </c>
      <c r="B214" s="156" t="s">
        <v>474</v>
      </c>
      <c r="D214" s="68">
        <f>VLOOKUP(A214,'2019-20 disagg'!A214:AZ422,43,FALSE)</f>
        <v>381920</v>
      </c>
      <c r="E214" s="73">
        <v>1701.208991209867</v>
      </c>
      <c r="F214" s="55"/>
      <c r="G214" s="88">
        <v>386746.11479313363</v>
      </c>
      <c r="H214" s="81">
        <v>1705.5798313881128</v>
      </c>
      <c r="I214" s="90"/>
      <c r="J214" s="103">
        <f t="shared" si="42"/>
        <v>-1.247876735805109E-2</v>
      </c>
      <c r="K214" s="126">
        <f t="shared" si="42"/>
        <v>-2.5626711208753816E-3</v>
      </c>
      <c r="L214" s="56">
        <v>397203</v>
      </c>
      <c r="M214" s="103">
        <v>3.4794375209094897E-2</v>
      </c>
      <c r="N214" s="97">
        <f>INDEX('Pace of change parameters'!$E$22:$I$22,1,$B$5)</f>
        <v>2.4506891160555818E-2</v>
      </c>
      <c r="O214" s="108">
        <f>MAX(IF(INDEX('Pace of change parameters'!$E$30:$I$30,1,$B$5)=1,(1+M214)*D214,D214),L214)</f>
        <v>397203</v>
      </c>
      <c r="P214" s="94">
        <f>IF(K214&lt;INDEX('Pace of change parameters'!$E$18:$I$18,1,$B$5),1,IF(K214&gt;INDEX('Pace of change parameters'!$E$19:$I$19,1,$B$5),0,(K214-INDEX('Pace of change parameters'!$E$19:$I$19,1,$B$5))/(INDEX('Pace of change parameters'!$E$18:$I$18,1,$B$5)-INDEX('Pace of change parameters'!$E$19:$I$19,1,$B$5))))</f>
        <v>0.29683054302679412</v>
      </c>
      <c r="Q214" s="57">
        <v>3.9619268474572866E-2</v>
      </c>
      <c r="R214" s="57">
        <v>2.9283817396357437E-2</v>
      </c>
      <c r="S214" s="9">
        <f>MAX(IF(INDEX('Pace of change parameters'!$E$31:$I$31,1,$B$5)=1,D214*(1+Q214),D214),L214)</f>
        <v>397203</v>
      </c>
      <c r="T214" s="103">
        <f>IF(Q214&lt;INDEX('Pace of change parameters'!$E$24:$I$24,1,$B$5),INDEX('Pace of change parameters'!$E$24:$I$24,1,$B$5),Q214)</f>
        <v>3.9619268474572866E-2</v>
      </c>
      <c r="U214" s="132">
        <v>2.9283817396357437E-2</v>
      </c>
      <c r="V214" s="117">
        <f t="shared" si="43"/>
        <v>397203</v>
      </c>
      <c r="W214" s="131">
        <f>IF(J214&gt;INDEX('Pace of change parameters'!$E$26:$I$26,1,$B$5),0,IF(J214&lt;INDEX('Pace of change parameters'!$E$25:$I$25,1,$B$5),1,(J214-INDEX('Pace of change parameters'!$E$26:$I$26,1,$B$5))/(INDEX('Pace of change parameters'!$E$25:$I$25,1,$B$5)-INDEX('Pace of change parameters'!$E$26:$I$26,1,$B$5))))</f>
        <v>1</v>
      </c>
      <c r="X214" s="132">
        <f>MIN(T214, T214+(INDEX('Pace of change parameters'!$E$27:$I$27,1,$B$5)-T214)*(1-W214))</f>
        <v>3.9619268474572866E-2</v>
      </c>
      <c r="Y214" s="132">
        <v>2.9283817396357437E-2</v>
      </c>
      <c r="Z214" s="108">
        <f t="shared" si="44"/>
        <v>397203</v>
      </c>
      <c r="AA214" s="97">
        <f>MIN(VLOOKUP(A214,'2019-20 disagg'!$A$12:$BB$220,54,FALSE),-2.5%)</f>
        <v>-2.5000000000000001E-2</v>
      </c>
      <c r="AB214" s="99">
        <f t="shared" si="36"/>
        <v>392397.98538989032</v>
      </c>
      <c r="AC214" s="99">
        <f>MAX(IF(INDEX('Pace of change parameters'!$E$29:$I$29,1,$B$5)=1,MAX(AB214,Z214),Z214),L214)</f>
        <v>397203</v>
      </c>
      <c r="AD214" s="97">
        <f t="shared" si="37"/>
        <v>4.0016233766233755E-2</v>
      </c>
      <c r="AE214" s="146">
        <v>2.9676836228505588E-2</v>
      </c>
      <c r="AF214" s="56">
        <f t="shared" si="45"/>
        <v>397203</v>
      </c>
      <c r="AG214" s="56">
        <v>1751.6954918324634</v>
      </c>
      <c r="AH214" s="16">
        <f t="shared" si="38"/>
        <v>4.0016233766233755E-2</v>
      </c>
      <c r="AI214" s="16">
        <f t="shared" si="39"/>
        <v>2.9676836228505588E-2</v>
      </c>
      <c r="AJ214" s="56"/>
      <c r="AK214" s="56">
        <v>402459.47219475929</v>
      </c>
      <c r="AL214" s="56">
        <v>1774.8769346878864</v>
      </c>
      <c r="AM214" s="16">
        <f t="shared" si="35"/>
        <v>-1.3060873349790558E-2</v>
      </c>
      <c r="AN214" s="58">
        <f t="shared" si="35"/>
        <v>-1.3060873349790558E-2</v>
      </c>
      <c r="AP214" s="56">
        <f t="shared" si="40"/>
        <v>1</v>
      </c>
      <c r="AQ214" s="56">
        <f t="shared" si="41"/>
        <v>0</v>
      </c>
    </row>
    <row r="215" spans="1:43" x14ac:dyDescent="0.2">
      <c r="A215" s="156" t="s">
        <v>475</v>
      </c>
      <c r="B215" s="156" t="s">
        <v>476</v>
      </c>
      <c r="D215" s="68">
        <f>VLOOKUP(A215,'2019-20 disagg'!A215:AZ423,43,FALSE)</f>
        <v>1580888</v>
      </c>
      <c r="E215" s="73">
        <v>1717.8359081061215</v>
      </c>
      <c r="F215" s="55"/>
      <c r="G215" s="88">
        <v>1574695.9835833323</v>
      </c>
      <c r="H215" s="81">
        <v>1702.7196242386904</v>
      </c>
      <c r="I215" s="90"/>
      <c r="J215" s="103">
        <f t="shared" si="42"/>
        <v>3.9321980123283584E-3</v>
      </c>
      <c r="K215" s="126">
        <f t="shared" si="42"/>
        <v>8.8777292821711207E-3</v>
      </c>
      <c r="L215" s="56">
        <v>1642034</v>
      </c>
      <c r="M215" s="103">
        <v>2.9553776673776122E-2</v>
      </c>
      <c r="N215" s="97">
        <f>INDEX('Pace of change parameters'!$E$22:$I$22,1,$B$5)</f>
        <v>2.4506891160555818E-2</v>
      </c>
      <c r="O215" s="108">
        <f>MAX(IF(INDEX('Pace of change parameters'!$E$30:$I$30,1,$B$5)=1,(1+M215)*D215,D215),L215)</f>
        <v>1642034</v>
      </c>
      <c r="P215" s="94">
        <f>IF(K215&lt;INDEX('Pace of change parameters'!$E$18:$I$18,1,$B$5),1,IF(K215&gt;INDEX('Pace of change parameters'!$E$19:$I$19,1,$B$5),0,(K215-INDEX('Pace of change parameters'!$E$19:$I$19,1,$B$5))/(INDEX('Pace of change parameters'!$E$18:$I$18,1,$B$5)-INDEX('Pace of change parameters'!$E$19:$I$19,1,$B$5))))</f>
        <v>0</v>
      </c>
      <c r="Q215" s="57">
        <v>2.9553776673776122E-2</v>
      </c>
      <c r="R215" s="57">
        <v>2.450689116055571E-2</v>
      </c>
      <c r="S215" s="9">
        <f>MAX(IF(INDEX('Pace of change parameters'!$E$31:$I$31,1,$B$5)=1,D215*(1+Q215),D215),L215)</f>
        <v>1642034</v>
      </c>
      <c r="T215" s="103">
        <f>IF(Q215&lt;INDEX('Pace of change parameters'!$E$24:$I$24,1,$B$5),INDEX('Pace of change parameters'!$E$24:$I$24,1,$B$5),Q215)</f>
        <v>3.2992755077120454E-2</v>
      </c>
      <c r="U215" s="132">
        <v>2.7929011648677671E-2</v>
      </c>
      <c r="V215" s="117">
        <f t="shared" si="43"/>
        <v>1642034</v>
      </c>
      <c r="W215" s="131">
        <f>IF(J215&gt;INDEX('Pace of change parameters'!$E$26:$I$26,1,$B$5),0,IF(J215&lt;INDEX('Pace of change parameters'!$E$25:$I$25,1,$B$5),1,(J215-INDEX('Pace of change parameters'!$E$26:$I$26,1,$B$5))/(INDEX('Pace of change parameters'!$E$25:$I$25,1,$B$5)-INDEX('Pace of change parameters'!$E$26:$I$26,1,$B$5))))</f>
        <v>1</v>
      </c>
      <c r="X215" s="132">
        <f>MIN(T215, T215+(INDEX('Pace of change parameters'!$E$27:$I$27,1,$B$5)-T215)*(1-W215))</f>
        <v>3.2992755077120454E-2</v>
      </c>
      <c r="Y215" s="132">
        <v>2.7929011648677671E-2</v>
      </c>
      <c r="Z215" s="108">
        <f t="shared" si="44"/>
        <v>1642034</v>
      </c>
      <c r="AA215" s="97">
        <f>MIN(VLOOKUP(A215,'2019-20 disagg'!$A$12:$BB$220,54,FALSE),-2.5%)</f>
        <v>-2.5000000000000001E-2</v>
      </c>
      <c r="AB215" s="99">
        <f t="shared" si="36"/>
        <v>1597805.1333054744</v>
      </c>
      <c r="AC215" s="99">
        <f>MAX(IF(INDEX('Pace of change parameters'!$E$29:$I$29,1,$B$5)=1,MAX(AB215,Z215),Z215),L215)</f>
        <v>1642034</v>
      </c>
      <c r="AD215" s="97">
        <f t="shared" si="37"/>
        <v>3.8678261837650663E-2</v>
      </c>
      <c r="AE215" s="146">
        <v>3.3586647983830042E-2</v>
      </c>
      <c r="AF215" s="56">
        <f t="shared" si="45"/>
        <v>1642034</v>
      </c>
      <c r="AG215" s="56">
        <v>1775.5322580456652</v>
      </c>
      <c r="AH215" s="16">
        <f t="shared" si="38"/>
        <v>3.8678261837650663E-2</v>
      </c>
      <c r="AI215" s="16">
        <f t="shared" si="39"/>
        <v>3.3586647983830265E-2</v>
      </c>
      <c r="AJ215" s="56"/>
      <c r="AK215" s="56">
        <v>1638774.4956979225</v>
      </c>
      <c r="AL215" s="56">
        <v>1772.0077542695087</v>
      </c>
      <c r="AM215" s="16">
        <f t="shared" si="35"/>
        <v>1.988988912528411E-3</v>
      </c>
      <c r="AN215" s="58">
        <f t="shared" si="35"/>
        <v>1.988988912528411E-3</v>
      </c>
      <c r="AP215" s="56">
        <f t="shared" si="40"/>
        <v>1</v>
      </c>
      <c r="AQ215" s="56">
        <f t="shared" si="41"/>
        <v>0</v>
      </c>
    </row>
    <row r="216" spans="1:43" x14ac:dyDescent="0.2">
      <c r="A216" s="156" t="s">
        <v>477</v>
      </c>
      <c r="B216" s="156" t="s">
        <v>478</v>
      </c>
      <c r="D216" s="68">
        <f>VLOOKUP(A216,'2019-20 disagg'!A216:AZ424,43,FALSE)</f>
        <v>960367</v>
      </c>
      <c r="E216" s="73">
        <v>1667.9559471177627</v>
      </c>
      <c r="F216" s="55"/>
      <c r="G216" s="88">
        <v>976239.49094785471</v>
      </c>
      <c r="H216" s="81">
        <v>1684.4031922895902</v>
      </c>
      <c r="I216" s="90"/>
      <c r="J216" s="103">
        <f t="shared" si="42"/>
        <v>-1.6258808514746481E-2</v>
      </c>
      <c r="K216" s="126">
        <f t="shared" si="42"/>
        <v>-9.7644348141319171E-3</v>
      </c>
      <c r="L216" s="56">
        <v>997137</v>
      </c>
      <c r="M216" s="103">
        <v>3.1270388173429531E-2</v>
      </c>
      <c r="N216" s="97">
        <f>INDEX('Pace of change parameters'!$E$22:$I$22,1,$B$5)</f>
        <v>2.4506891160555818E-2</v>
      </c>
      <c r="O216" s="108">
        <f>MAX(IF(INDEX('Pace of change parameters'!$E$30:$I$30,1,$B$5)=1,(1+M216)*D216,D216),L216)</f>
        <v>997137</v>
      </c>
      <c r="P216" s="94">
        <f>IF(K216&lt;INDEX('Pace of change parameters'!$E$18:$I$18,1,$B$5),1,IF(K216&gt;INDEX('Pace of change parameters'!$E$19:$I$19,1,$B$5),0,(K216-INDEX('Pace of change parameters'!$E$19:$I$19,1,$B$5))/(INDEX('Pace of change parameters'!$E$18:$I$18,1,$B$5)-INDEX('Pace of change parameters'!$E$19:$I$19,1,$B$5))))</f>
        <v>0.53305681421899764</v>
      </c>
      <c r="Q216" s="57">
        <v>3.9905562541194373E-2</v>
      </c>
      <c r="R216" s="57">
        <v>3.3085432489389444E-2</v>
      </c>
      <c r="S216" s="9">
        <f>MAX(IF(INDEX('Pace of change parameters'!$E$31:$I$31,1,$B$5)=1,D216*(1+Q216),D216),L216)</f>
        <v>998690.98538099916</v>
      </c>
      <c r="T216" s="103">
        <f>IF(Q216&lt;INDEX('Pace of change parameters'!$E$24:$I$24,1,$B$5),INDEX('Pace of change parameters'!$E$24:$I$24,1,$B$5),Q216)</f>
        <v>3.9905562541194373E-2</v>
      </c>
      <c r="U216" s="132">
        <v>3.3085432489389444E-2</v>
      </c>
      <c r="V216" s="117">
        <f t="shared" si="43"/>
        <v>998690.98538099916</v>
      </c>
      <c r="W216" s="131">
        <f>IF(J216&gt;INDEX('Pace of change parameters'!$E$26:$I$26,1,$B$5),0,IF(J216&lt;INDEX('Pace of change parameters'!$E$25:$I$25,1,$B$5),1,(J216-INDEX('Pace of change parameters'!$E$26:$I$26,1,$B$5))/(INDEX('Pace of change parameters'!$E$25:$I$25,1,$B$5)-INDEX('Pace of change parameters'!$E$26:$I$26,1,$B$5))))</f>
        <v>1</v>
      </c>
      <c r="X216" s="132">
        <f>MIN(T216, T216+(INDEX('Pace of change parameters'!$E$27:$I$27,1,$B$5)-T216)*(1-W216))</f>
        <v>3.9905562541194373E-2</v>
      </c>
      <c r="Y216" s="132">
        <v>3.3085432489389444E-2</v>
      </c>
      <c r="Z216" s="108">
        <f t="shared" si="44"/>
        <v>998690.98538099916</v>
      </c>
      <c r="AA216" s="97">
        <f>MIN(VLOOKUP(A216,'2019-20 disagg'!$A$12:$BB$220,54,FALSE),-2.5%)</f>
        <v>-2.5000000000000001E-2</v>
      </c>
      <c r="AB216" s="99">
        <f t="shared" si="36"/>
        <v>990420.08241111913</v>
      </c>
      <c r="AC216" s="99">
        <f>MAX(IF(INDEX('Pace of change parameters'!$E$29:$I$29,1,$B$5)=1,MAX(AB216,Z216),Z216),L216)</f>
        <v>998690.98538099916</v>
      </c>
      <c r="AD216" s="97">
        <f t="shared" si="37"/>
        <v>3.9905562541194373E-2</v>
      </c>
      <c r="AE216" s="146">
        <v>3.3085432489389444E-2</v>
      </c>
      <c r="AF216" s="56">
        <f t="shared" si="45"/>
        <v>998690.98538099916</v>
      </c>
      <c r="AG216" s="56">
        <v>1723.1409910014027</v>
      </c>
      <c r="AH216" s="16">
        <f t="shared" si="38"/>
        <v>3.9905562541194373E-2</v>
      </c>
      <c r="AI216" s="16">
        <f t="shared" si="39"/>
        <v>3.3085432489389222E-2</v>
      </c>
      <c r="AJ216" s="56"/>
      <c r="AK216" s="56">
        <v>1015815.4691396094</v>
      </c>
      <c r="AL216" s="56">
        <v>1752.6875678165941</v>
      </c>
      <c r="AM216" s="16">
        <f t="shared" si="35"/>
        <v>-1.6857868657104147E-2</v>
      </c>
      <c r="AN216" s="58">
        <f t="shared" si="35"/>
        <v>-1.6857868657104147E-2</v>
      </c>
      <c r="AP216" s="56">
        <f t="shared" si="40"/>
        <v>0</v>
      </c>
      <c r="AQ216" s="56">
        <f t="shared" si="41"/>
        <v>0</v>
      </c>
    </row>
    <row r="217" spans="1:43" x14ac:dyDescent="0.2">
      <c r="A217" s="156" t="s">
        <v>479</v>
      </c>
      <c r="B217" s="156" t="s">
        <v>480</v>
      </c>
      <c r="D217" s="68">
        <f>VLOOKUP(A217,'2019-20 disagg'!A217:AZ425,43,FALSE)</f>
        <v>533916</v>
      </c>
      <c r="E217" s="73">
        <v>1828.3521457175789</v>
      </c>
      <c r="F217" s="55"/>
      <c r="G217" s="88">
        <v>518511.94149579649</v>
      </c>
      <c r="H217" s="81">
        <v>1766.7410583569624</v>
      </c>
      <c r="I217" s="90"/>
      <c r="J217" s="103">
        <f t="shared" si="42"/>
        <v>2.9708203941776201E-2</v>
      </c>
      <c r="K217" s="126">
        <f t="shared" si="42"/>
        <v>3.4872731954230796E-2</v>
      </c>
      <c r="L217" s="56">
        <v>553839</v>
      </c>
      <c r="M217" s="103">
        <v>2.9645331854819323E-2</v>
      </c>
      <c r="N217" s="97">
        <f>INDEX('Pace of change parameters'!$E$22:$I$22,1,$B$5)</f>
        <v>2.4506891160555818E-2</v>
      </c>
      <c r="O217" s="108">
        <f>MAX(IF(INDEX('Pace of change parameters'!$E$30:$I$30,1,$B$5)=1,(1+M217)*D217,D217),L217)</f>
        <v>553839</v>
      </c>
      <c r="P217" s="94">
        <f>IF(K217&lt;INDEX('Pace of change parameters'!$E$18:$I$18,1,$B$5),1,IF(K217&gt;INDEX('Pace of change parameters'!$E$19:$I$19,1,$B$5),0,(K217-INDEX('Pace of change parameters'!$E$19:$I$19,1,$B$5))/(INDEX('Pace of change parameters'!$E$18:$I$18,1,$B$5)-INDEX('Pace of change parameters'!$E$19:$I$19,1,$B$5))))</f>
        <v>0</v>
      </c>
      <c r="Q217" s="57">
        <v>2.9645331854819323E-2</v>
      </c>
      <c r="R217" s="57">
        <v>2.450689116055571E-2</v>
      </c>
      <c r="S217" s="9">
        <f>MAX(IF(INDEX('Pace of change parameters'!$E$31:$I$31,1,$B$5)=1,D217*(1+Q217),D217),L217)</f>
        <v>553839</v>
      </c>
      <c r="T217" s="103">
        <f>IF(Q217&lt;INDEX('Pace of change parameters'!$E$24:$I$24,1,$B$5),INDEX('Pace of change parameters'!$E$24:$I$24,1,$B$5),Q217)</f>
        <v>3.2992755077120454E-2</v>
      </c>
      <c r="U217" s="132">
        <v>2.783760908135724E-2</v>
      </c>
      <c r="V217" s="117">
        <f t="shared" si="43"/>
        <v>553839</v>
      </c>
      <c r="W217" s="131">
        <f>IF(J217&gt;INDEX('Pace of change parameters'!$E$26:$I$26,1,$B$5),0,IF(J217&lt;INDEX('Pace of change parameters'!$E$25:$I$25,1,$B$5),1,(J217-INDEX('Pace of change parameters'!$E$26:$I$26,1,$B$5))/(INDEX('Pace of change parameters'!$E$25:$I$25,1,$B$5)-INDEX('Pace of change parameters'!$E$26:$I$26,1,$B$5))))</f>
        <v>1</v>
      </c>
      <c r="X217" s="132">
        <f>MIN(T217, T217+(INDEX('Pace of change parameters'!$E$27:$I$27,1,$B$5)-T217)*(1-W217))</f>
        <v>3.2992755077120454E-2</v>
      </c>
      <c r="Y217" s="132">
        <v>2.783760908135724E-2</v>
      </c>
      <c r="Z217" s="108">
        <f t="shared" si="44"/>
        <v>553839</v>
      </c>
      <c r="AA217" s="97">
        <f>MIN(VLOOKUP(A217,'2019-20 disagg'!$A$12:$BB$220,54,FALSE),-2.5%)</f>
        <v>-2.5000000000000001E-2</v>
      </c>
      <c r="AB217" s="99">
        <f t="shared" si="36"/>
        <v>526119.68735553499</v>
      </c>
      <c r="AC217" s="99">
        <f>MAX(IF(INDEX('Pace of change parameters'!$E$29:$I$29,1,$B$5)=1,MAX(AB217,Z217),Z217),L217)</f>
        <v>553839</v>
      </c>
      <c r="AD217" s="97">
        <f t="shared" si="37"/>
        <v>3.7314858517070171E-2</v>
      </c>
      <c r="AE217" s="146">
        <v>3.2138143082284021E-2</v>
      </c>
      <c r="AF217" s="56">
        <f t="shared" si="45"/>
        <v>553839</v>
      </c>
      <c r="AG217" s="56">
        <v>1887.1119885814514</v>
      </c>
      <c r="AH217" s="16">
        <f t="shared" si="38"/>
        <v>3.7314858517070171E-2</v>
      </c>
      <c r="AI217" s="16">
        <f t="shared" si="39"/>
        <v>3.2138143082284021E-2</v>
      </c>
      <c r="AJ217" s="56"/>
      <c r="AK217" s="56">
        <v>539609.93574926665</v>
      </c>
      <c r="AL217" s="56">
        <v>1838.6288775440294</v>
      </c>
      <c r="AM217" s="16">
        <f t="shared" si="35"/>
        <v>2.6369166518358966E-2</v>
      </c>
      <c r="AN217" s="58">
        <f t="shared" si="35"/>
        <v>2.6369166518358966E-2</v>
      </c>
      <c r="AP217" s="56">
        <f t="shared" si="40"/>
        <v>1</v>
      </c>
      <c r="AQ217" s="56">
        <f t="shared" si="41"/>
        <v>0</v>
      </c>
    </row>
    <row r="218" spans="1:43" x14ac:dyDescent="0.2">
      <c r="A218" s="156" t="s">
        <v>481</v>
      </c>
      <c r="B218" s="156" t="s">
        <v>482</v>
      </c>
      <c r="D218" s="68">
        <f>VLOOKUP(A218,'2019-20 disagg'!A218:AZ426,43,FALSE)</f>
        <v>404957</v>
      </c>
      <c r="E218" s="73">
        <v>1484.8553700859541</v>
      </c>
      <c r="F218" s="55"/>
      <c r="G218" s="88">
        <v>413238.79134537443</v>
      </c>
      <c r="H218" s="81">
        <v>1503.4209443413354</v>
      </c>
      <c r="I218" s="90"/>
      <c r="J218" s="103">
        <f t="shared" si="42"/>
        <v>-2.0041175995146876E-2</v>
      </c>
      <c r="K218" s="126">
        <f t="shared" si="42"/>
        <v>-1.2348886268519488E-2</v>
      </c>
      <c r="L218" s="56">
        <v>421036</v>
      </c>
      <c r="M218" s="103">
        <v>3.2548865619774547E-2</v>
      </c>
      <c r="N218" s="97">
        <f>INDEX('Pace of change parameters'!$E$22:$I$22,1,$B$5)</f>
        <v>2.4506891160555818E-2</v>
      </c>
      <c r="O218" s="108">
        <f>MAX(IF(INDEX('Pace of change parameters'!$E$30:$I$30,1,$B$5)=1,(1+M218)*D218,D218),L218)</f>
        <v>421036</v>
      </c>
      <c r="P218" s="94">
        <f>IF(K218&lt;INDEX('Pace of change parameters'!$E$18:$I$18,1,$B$5),1,IF(K218&gt;INDEX('Pace of change parameters'!$E$19:$I$19,1,$B$5),0,(K218-INDEX('Pace of change parameters'!$E$19:$I$19,1,$B$5))/(INDEX('Pace of change parameters'!$E$18:$I$18,1,$B$5)-INDEX('Pace of change parameters'!$E$19:$I$19,1,$B$5))))</f>
        <v>0.61782984429202081</v>
      </c>
      <c r="Q218" s="57">
        <v>4.2569715624229731E-2</v>
      </c>
      <c r="R218" s="57">
        <v>3.4449694089004224E-2</v>
      </c>
      <c r="S218" s="9">
        <f>MAX(IF(INDEX('Pace of change parameters'!$E$31:$I$31,1,$B$5)=1,D218*(1+Q218),D218),L218)</f>
        <v>422195.9043300412</v>
      </c>
      <c r="T218" s="103">
        <f>IF(Q218&lt;INDEX('Pace of change parameters'!$E$24:$I$24,1,$B$5),INDEX('Pace of change parameters'!$E$24:$I$24,1,$B$5),Q218)</f>
        <v>4.2569715624229731E-2</v>
      </c>
      <c r="U218" s="132">
        <v>3.4449694089004224E-2</v>
      </c>
      <c r="V218" s="117">
        <f t="shared" si="43"/>
        <v>422195.9043300412</v>
      </c>
      <c r="W218" s="131">
        <f>IF(J218&gt;INDEX('Pace of change parameters'!$E$26:$I$26,1,$B$5),0,IF(J218&lt;INDEX('Pace of change parameters'!$E$25:$I$25,1,$B$5),1,(J218-INDEX('Pace of change parameters'!$E$26:$I$26,1,$B$5))/(INDEX('Pace of change parameters'!$E$25:$I$25,1,$B$5)-INDEX('Pace of change parameters'!$E$26:$I$26,1,$B$5))))</f>
        <v>1</v>
      </c>
      <c r="X218" s="132">
        <f>MIN(T218, T218+(INDEX('Pace of change parameters'!$E$27:$I$27,1,$B$5)-T218)*(1-W218))</f>
        <v>4.2569715624229731E-2</v>
      </c>
      <c r="Y218" s="132">
        <v>3.4449694089004224E-2</v>
      </c>
      <c r="Z218" s="108">
        <f t="shared" si="44"/>
        <v>422195.9043300412</v>
      </c>
      <c r="AA218" s="97">
        <f>MIN(VLOOKUP(A218,'2019-20 disagg'!$A$12:$BB$220,54,FALSE),-2.5%)</f>
        <v>-2.5000000000000001E-2</v>
      </c>
      <c r="AB218" s="99">
        <f t="shared" si="36"/>
        <v>419341.51972376864</v>
      </c>
      <c r="AC218" s="99">
        <f>MAX(IF(INDEX('Pace of change parameters'!$E$29:$I$29,1,$B$5)=1,MAX(AB218,Z218),Z218),L218)</f>
        <v>422195.9043300412</v>
      </c>
      <c r="AD218" s="97">
        <f t="shared" si="37"/>
        <v>4.2569715624229731E-2</v>
      </c>
      <c r="AE218" s="146">
        <v>3.4449694089004224E-2</v>
      </c>
      <c r="AF218" s="56">
        <f t="shared" si="45"/>
        <v>422195.9043300412</v>
      </c>
      <c r="AG218" s="56">
        <v>1536.0081833518304</v>
      </c>
      <c r="AH218" s="16">
        <f t="shared" si="38"/>
        <v>4.2569715624229731E-2</v>
      </c>
      <c r="AI218" s="16">
        <f t="shared" si="39"/>
        <v>3.4449694089004224E-2</v>
      </c>
      <c r="AJ218" s="56"/>
      <c r="AK218" s="56">
        <v>430093.86638335243</v>
      </c>
      <c r="AL218" s="56">
        <v>1564.7420820497318</v>
      </c>
      <c r="AM218" s="16">
        <f t="shared" si="35"/>
        <v>-1.8363345005881992E-2</v>
      </c>
      <c r="AN218" s="58">
        <f t="shared" si="35"/>
        <v>-1.8363345005881992E-2</v>
      </c>
      <c r="AP218" s="56">
        <f t="shared" si="40"/>
        <v>0</v>
      </c>
      <c r="AQ218" s="56">
        <f t="shared" si="41"/>
        <v>0</v>
      </c>
    </row>
    <row r="219" spans="1:43" x14ac:dyDescent="0.2">
      <c r="A219" s="156" t="s">
        <v>483</v>
      </c>
      <c r="B219" s="156" t="s">
        <v>484</v>
      </c>
      <c r="D219" s="68">
        <f>VLOOKUP(A219,'2019-20 disagg'!A219:AZ427,43,FALSE)</f>
        <v>364274</v>
      </c>
      <c r="E219" s="73">
        <v>1506.1331828875764</v>
      </c>
      <c r="F219" s="55"/>
      <c r="G219" s="88">
        <v>372968.31774592644</v>
      </c>
      <c r="H219" s="81">
        <v>1525.7267088410679</v>
      </c>
      <c r="I219" s="90"/>
      <c r="J219" s="103">
        <f t="shared" si="42"/>
        <v>-2.3311142883319036E-2</v>
      </c>
      <c r="K219" s="126">
        <f t="shared" si="42"/>
        <v>-1.2842094091919387E-2</v>
      </c>
      <c r="L219" s="56">
        <v>378855</v>
      </c>
      <c r="M219" s="103">
        <v>3.5488497587753631E-2</v>
      </c>
      <c r="N219" s="97">
        <f>INDEX('Pace of change parameters'!$E$22:$I$22,1,$B$5)</f>
        <v>2.4506891160555818E-2</v>
      </c>
      <c r="O219" s="108">
        <f>MAX(IF(INDEX('Pace of change parameters'!$E$30:$I$30,1,$B$5)=1,(1+M219)*D219,D219),L219)</f>
        <v>378855</v>
      </c>
      <c r="P219" s="94">
        <f>IF(K219&lt;INDEX('Pace of change parameters'!$E$18:$I$18,1,$B$5),1,IF(K219&gt;INDEX('Pace of change parameters'!$E$19:$I$19,1,$B$5),0,(K219-INDEX('Pace of change parameters'!$E$19:$I$19,1,$B$5))/(INDEX('Pace of change parameters'!$E$18:$I$18,1,$B$5)-INDEX('Pace of change parameters'!$E$19:$I$19,1,$B$5))))</f>
        <v>0.63400763767805979</v>
      </c>
      <c r="Q219" s="57">
        <v>4.5801018286796502E-2</v>
      </c>
      <c r="R219" s="57">
        <v>3.4710045078747642E-2</v>
      </c>
      <c r="S219" s="9">
        <f>MAX(IF(INDEX('Pace of change parameters'!$E$31:$I$31,1,$B$5)=1,D219*(1+Q219),D219),L219)</f>
        <v>380958.12013540452</v>
      </c>
      <c r="T219" s="103">
        <f>IF(Q219&lt;INDEX('Pace of change parameters'!$E$24:$I$24,1,$B$5),INDEX('Pace of change parameters'!$E$24:$I$24,1,$B$5),Q219)</f>
        <v>4.5801018286796502E-2</v>
      </c>
      <c r="U219" s="132">
        <v>3.4710045078747642E-2</v>
      </c>
      <c r="V219" s="117">
        <f t="shared" si="43"/>
        <v>380958.12013540452</v>
      </c>
      <c r="W219" s="131">
        <f>IF(J219&gt;INDEX('Pace of change parameters'!$E$26:$I$26,1,$B$5),0,IF(J219&lt;INDEX('Pace of change parameters'!$E$25:$I$25,1,$B$5),1,(J219-INDEX('Pace of change parameters'!$E$26:$I$26,1,$B$5))/(INDEX('Pace of change parameters'!$E$25:$I$25,1,$B$5)-INDEX('Pace of change parameters'!$E$26:$I$26,1,$B$5))))</f>
        <v>1</v>
      </c>
      <c r="X219" s="132">
        <f>MIN(T219, T219+(INDEX('Pace of change parameters'!$E$27:$I$27,1,$B$5)-T219)*(1-W219))</f>
        <v>4.5801018286796502E-2</v>
      </c>
      <c r="Y219" s="132">
        <v>3.4710045078747642E-2</v>
      </c>
      <c r="Z219" s="108">
        <f t="shared" si="44"/>
        <v>380958.12013540452</v>
      </c>
      <c r="AA219" s="97">
        <f>MIN(VLOOKUP(A219,'2019-20 disagg'!$A$12:$BB$220,54,FALSE),-2.5%)</f>
        <v>-2.5000000000000001E-2</v>
      </c>
      <c r="AB219" s="99">
        <f t="shared" si="36"/>
        <v>378428.52125170734</v>
      </c>
      <c r="AC219" s="99">
        <f>MAX(IF(INDEX('Pace of change parameters'!$E$29:$I$29,1,$B$5)=1,MAX(AB219,Z219),Z219),L219)</f>
        <v>380958.12013540452</v>
      </c>
      <c r="AD219" s="97">
        <f t="shared" si="37"/>
        <v>4.5801018286796502E-2</v>
      </c>
      <c r="AE219" s="146">
        <v>3.4710045078747642E-2</v>
      </c>
      <c r="AF219" s="56">
        <f t="shared" si="45"/>
        <v>380958.12013540452</v>
      </c>
      <c r="AG219" s="56">
        <v>1558.4111335602022</v>
      </c>
      <c r="AH219" s="16">
        <f t="shared" si="38"/>
        <v>4.5801018286796502E-2</v>
      </c>
      <c r="AI219" s="16">
        <f t="shared" si="39"/>
        <v>3.4710045078747864E-2</v>
      </c>
      <c r="AJ219" s="56"/>
      <c r="AK219" s="56">
        <v>388131.81666841777</v>
      </c>
      <c r="AL219" s="56">
        <v>1587.7570588862102</v>
      </c>
      <c r="AM219" s="16">
        <f t="shared" si="35"/>
        <v>-1.8482629418504426E-2</v>
      </c>
      <c r="AN219" s="58">
        <f t="shared" si="35"/>
        <v>-1.8482629418504204E-2</v>
      </c>
      <c r="AP219" s="56">
        <f t="shared" si="40"/>
        <v>0</v>
      </c>
      <c r="AQ219" s="56">
        <f t="shared" si="41"/>
        <v>0</v>
      </c>
    </row>
    <row r="220" spans="1:43" x14ac:dyDescent="0.2">
      <c r="A220" s="156" t="s">
        <v>485</v>
      </c>
      <c r="B220" s="156" t="s">
        <v>486</v>
      </c>
      <c r="D220" s="68">
        <f>VLOOKUP(A220,'2019-20 disagg'!A220:AZ428,43,FALSE)</f>
        <v>793630</v>
      </c>
      <c r="E220" s="73">
        <v>1595.6409180330104</v>
      </c>
      <c r="F220" s="55"/>
      <c r="G220" s="88">
        <v>811986.11822558707</v>
      </c>
      <c r="H220" s="81">
        <v>1622.7971304246066</v>
      </c>
      <c r="I220" s="90"/>
      <c r="J220" s="103">
        <f t="shared" si="42"/>
        <v>-2.2606443402875209E-2</v>
      </c>
      <c r="K220" s="126">
        <f t="shared" si="42"/>
        <v>-1.6734200401556487E-2</v>
      </c>
      <c r="L220" s="56">
        <v>824415</v>
      </c>
      <c r="M220" s="103">
        <v>3.0662194089261297E-2</v>
      </c>
      <c r="N220" s="97">
        <f>INDEX('Pace of change parameters'!$E$22:$I$22,1,$B$5)</f>
        <v>2.4506891160555818E-2</v>
      </c>
      <c r="O220" s="108">
        <f>MAX(IF(INDEX('Pace of change parameters'!$E$30:$I$30,1,$B$5)=1,(1+M220)*D220,D220),L220)</f>
        <v>824415</v>
      </c>
      <c r="P220" s="94">
        <f>IF(K220&lt;INDEX('Pace of change parameters'!$E$18:$I$18,1,$B$5),1,IF(K220&gt;INDEX('Pace of change parameters'!$E$19:$I$19,1,$B$5),0,(K220-INDEX('Pace of change parameters'!$E$19:$I$19,1,$B$5))/(INDEX('Pace of change parameters'!$E$18:$I$18,1,$B$5)-INDEX('Pace of change parameters'!$E$19:$I$19,1,$B$5))))</f>
        <v>0.76167327623131142</v>
      </c>
      <c r="Q220" s="57">
        <v>4.2993530014874048E-2</v>
      </c>
      <c r="R220" s="57">
        <v>3.6764582095042408E-2</v>
      </c>
      <c r="S220" s="9">
        <f>MAX(IF(INDEX('Pace of change parameters'!$E$31:$I$31,1,$B$5)=1,D220*(1+Q220),D220),L220)</f>
        <v>827750.95522570447</v>
      </c>
      <c r="T220" s="103">
        <f>IF(Q220&lt;INDEX('Pace of change parameters'!$E$24:$I$24,1,$B$5),INDEX('Pace of change parameters'!$E$24:$I$24,1,$B$5),Q220)</f>
        <v>4.2993530014874048E-2</v>
      </c>
      <c r="U220" s="132">
        <v>3.6764582095042408E-2</v>
      </c>
      <c r="V220" s="117">
        <f t="shared" si="43"/>
        <v>827750.95522570447</v>
      </c>
      <c r="W220" s="131">
        <f>IF(J220&gt;INDEX('Pace of change parameters'!$E$26:$I$26,1,$B$5),0,IF(J220&lt;INDEX('Pace of change parameters'!$E$25:$I$25,1,$B$5),1,(J220-INDEX('Pace of change parameters'!$E$26:$I$26,1,$B$5))/(INDEX('Pace of change parameters'!$E$25:$I$25,1,$B$5)-INDEX('Pace of change parameters'!$E$26:$I$26,1,$B$5))))</f>
        <v>1</v>
      </c>
      <c r="X220" s="132">
        <f>MIN(T220, T220+(INDEX('Pace of change parameters'!$E$27:$I$27,1,$B$5)-T220)*(1-W220))</f>
        <v>4.2993530014874048E-2</v>
      </c>
      <c r="Y220" s="132">
        <v>3.6764582095042408E-2</v>
      </c>
      <c r="Z220" s="108">
        <f t="shared" si="44"/>
        <v>827750.95522570447</v>
      </c>
      <c r="AA220" s="97">
        <f>MIN(VLOOKUP(A220,'2019-20 disagg'!$A$12:$BB$220,54,FALSE),-2.5%)</f>
        <v>-2.5000000000000001E-2</v>
      </c>
      <c r="AB220" s="99">
        <f t="shared" si="36"/>
        <v>823802.34782495396</v>
      </c>
      <c r="AC220" s="99">
        <f>MAX(IF(INDEX('Pace of change parameters'!$E$29:$I$29,1,$B$5)=1,MAX(AB220,Z220),Z220),L220)</f>
        <v>827750.95522570447</v>
      </c>
      <c r="AD220" s="97">
        <f t="shared" si="37"/>
        <v>4.2993530014874048E-2</v>
      </c>
      <c r="AE220" s="146">
        <v>3.6764582095042408E-2</v>
      </c>
      <c r="AF220" s="56">
        <f t="shared" si="45"/>
        <v>827750.95522570447</v>
      </c>
      <c r="AG220" s="56">
        <v>1654.3039895582435</v>
      </c>
      <c r="AH220" s="16">
        <f t="shared" si="38"/>
        <v>4.2993530014874048E-2</v>
      </c>
      <c r="AI220" s="16">
        <f t="shared" si="39"/>
        <v>3.6764582095042186E-2</v>
      </c>
      <c r="AJ220" s="56"/>
      <c r="AK220" s="56">
        <v>844925.48494867072</v>
      </c>
      <c r="AL220" s="56">
        <v>1688.6281940307622</v>
      </c>
      <c r="AM220" s="16">
        <f t="shared" si="35"/>
        <v>-2.0326679723726926E-2</v>
      </c>
      <c r="AN220" s="58">
        <f t="shared" si="35"/>
        <v>-2.0326679723726926E-2</v>
      </c>
      <c r="AP220" s="56">
        <f t="shared" si="40"/>
        <v>0</v>
      </c>
      <c r="AQ220" s="56">
        <f t="shared" si="41"/>
        <v>0</v>
      </c>
    </row>
    <row r="221" spans="1:43" x14ac:dyDescent="0.2">
      <c r="A221" s="156"/>
      <c r="B221" s="156"/>
      <c r="D221" s="68"/>
      <c r="E221" s="73"/>
      <c r="F221" s="55"/>
      <c r="G221" s="88"/>
      <c r="H221" s="81"/>
      <c r="I221" s="90"/>
      <c r="J221" s="103"/>
      <c r="K221" s="126"/>
      <c r="L221" s="56"/>
      <c r="M221" s="103"/>
      <c r="N221" s="97"/>
      <c r="O221" s="108"/>
      <c r="P221" s="94"/>
      <c r="Q221" s="57"/>
      <c r="R221" s="57"/>
      <c r="S221" s="9"/>
      <c r="T221" s="103"/>
      <c r="U221" s="132"/>
      <c r="V221" s="117"/>
      <c r="W221" s="131"/>
      <c r="X221" s="132"/>
      <c r="Y221" s="132"/>
      <c r="Z221" s="108"/>
      <c r="AA221" s="97"/>
      <c r="AB221" s="99"/>
      <c r="AC221" s="99"/>
      <c r="AD221" s="97"/>
      <c r="AE221" s="146"/>
      <c r="AF221" s="56"/>
      <c r="AG221" s="56"/>
      <c r="AH221" s="16"/>
      <c r="AI221" s="16"/>
      <c r="AJ221" s="56"/>
      <c r="AK221" s="56"/>
      <c r="AL221" s="56"/>
      <c r="AM221" s="16"/>
      <c r="AN221" s="58"/>
      <c r="AP221" s="16"/>
      <c r="AQ221" s="16"/>
    </row>
    <row r="222" spans="1:43" s="43" customFormat="1" x14ac:dyDescent="0.2">
      <c r="A222" s="2"/>
      <c r="B222" s="59" t="s">
        <v>12</v>
      </c>
      <c r="D222" s="23">
        <f>SUM(D12:D220)</f>
        <v>99838453</v>
      </c>
      <c r="E222" s="74">
        <v>1692.2107288024779</v>
      </c>
      <c r="F222" s="60"/>
      <c r="G222" s="89">
        <f>SUM(G12:G220)</f>
        <v>99838483.828704581</v>
      </c>
      <c r="H222" s="82">
        <v>1680.7163909395731</v>
      </c>
      <c r="I222" s="154"/>
      <c r="J222" s="104">
        <f>D222/G222-1</f>
        <v>-3.08785784830512E-7</v>
      </c>
      <c r="K222" s="127">
        <f>E222/H222-1</f>
        <v>6.8389514881086466E-3</v>
      </c>
      <c r="L222" s="24">
        <f>SUM(L12:L220)</f>
        <v>103698044</v>
      </c>
      <c r="M222" s="104">
        <f>O222/D222 - 1</f>
        <v>3.8801822040660516E-2</v>
      </c>
      <c r="N222" s="26">
        <f>'Pace of change parameters'!$E$22</f>
        <v>9.0547645222140982E-3</v>
      </c>
      <c r="O222" s="109">
        <f>SUM(O12:O220)</f>
        <v>103712366.88612084</v>
      </c>
      <c r="P222" s="26"/>
      <c r="Q222" s="26">
        <f>S222/D222 - 1</f>
        <v>4.088717399173869E-2</v>
      </c>
      <c r="R222" s="26"/>
      <c r="S222" s="109">
        <f>SUM(S12:S220)</f>
        <v>103920565.19887704</v>
      </c>
      <c r="T222" s="104">
        <f>V222/D222-1</f>
        <v>4.0963913222579862E-2</v>
      </c>
      <c r="U222" s="26"/>
      <c r="V222" s="118">
        <f>SUM(V12:V220)</f>
        <v>103928226.72496861</v>
      </c>
      <c r="W222" s="104"/>
      <c r="X222" s="26">
        <f>Z222/D222-1</f>
        <v>4.0768757263071498E-2</v>
      </c>
      <c r="Y222" s="26"/>
      <c r="Z222" s="109">
        <f>SUM(Z12:Z220)</f>
        <v>103908742.65587758</v>
      </c>
      <c r="AA222" s="29"/>
      <c r="AB222" s="29">
        <f>SUM(AB12:AB220)</f>
        <v>101300880.79956298</v>
      </c>
      <c r="AC222" s="29">
        <f>SUM(AC12:AC220)</f>
        <v>103908742.65587758</v>
      </c>
      <c r="AD222" s="26">
        <f>AC222/D222-1</f>
        <v>4.0768757263071498E-2</v>
      </c>
      <c r="AE222" s="127"/>
      <c r="AF222" s="24">
        <f>SUM(AF12:AF220)</f>
        <v>103908742.65587758</v>
      </c>
      <c r="AG222" s="61">
        <v>1749.2365693703007</v>
      </c>
      <c r="AH222" s="25">
        <f>AF222/D222 - 1</f>
        <v>4.0768757263071498E-2</v>
      </c>
      <c r="AI222" s="25">
        <f>AG222/E222 - 1</f>
        <v>3.3699018448002604E-2</v>
      </c>
      <c r="AJ222" s="21"/>
      <c r="AK222" s="24">
        <f>SUM(AK12:AK220)</f>
        <v>103908754.0357523</v>
      </c>
      <c r="AL222" s="61">
        <v>1749.2367609431412</v>
      </c>
      <c r="AM222" s="25">
        <f t="shared" ref="AM222:AN222" si="46">AF222/AK222-1</f>
        <v>-1.0951795959002197E-7</v>
      </c>
      <c r="AN222" s="62">
        <f t="shared" si="46"/>
        <v>-1.0951795936797737E-7</v>
      </c>
      <c r="AP222" s="28">
        <f>SUM(AP12:AP220)</f>
        <v>118</v>
      </c>
      <c r="AQ222" s="28">
        <f>SUM(AQ12:AQ220)</f>
        <v>0</v>
      </c>
    </row>
    <row r="223" spans="1:43" x14ac:dyDescent="0.2">
      <c r="D223" s="13"/>
      <c r="E223" s="69"/>
      <c r="G223" s="84"/>
      <c r="H223" s="77"/>
      <c r="J223" s="125"/>
      <c r="K223" s="116"/>
      <c r="L223" s="3"/>
      <c r="M223" s="125"/>
      <c r="N223" s="15"/>
      <c r="O223" s="107"/>
      <c r="P223" s="4"/>
      <c r="Q223" s="4"/>
      <c r="R223" s="4"/>
      <c r="S223" s="4"/>
      <c r="T223" s="125"/>
      <c r="U223" s="15"/>
      <c r="V223" s="116"/>
      <c r="W223" s="125"/>
      <c r="X223" s="15"/>
      <c r="Y223" s="15"/>
      <c r="Z223" s="107"/>
      <c r="AA223" s="15"/>
      <c r="AB223" s="15"/>
      <c r="AC223" s="15"/>
      <c r="AD223" s="15"/>
      <c r="AE223" s="116"/>
      <c r="AF223" s="3"/>
      <c r="AG223" s="3"/>
      <c r="AH223" s="3"/>
      <c r="AI223" s="3"/>
      <c r="AJ223" s="3"/>
      <c r="AK223" s="3"/>
      <c r="AL223" s="3"/>
      <c r="AM223" s="3"/>
      <c r="AN223" s="4"/>
      <c r="AP223" s="3"/>
      <c r="AQ223" s="3"/>
    </row>
    <row r="224" spans="1:43" x14ac:dyDescent="0.2">
      <c r="B224" s="43" t="s">
        <v>513</v>
      </c>
      <c r="D224" s="1"/>
      <c r="AP224" s="1"/>
      <c r="AQ224" s="1"/>
    </row>
    <row r="225" spans="2:43" x14ac:dyDescent="0.2">
      <c r="D225" s="1"/>
      <c r="AP225" s="1"/>
      <c r="AQ225" s="1"/>
    </row>
    <row r="226" spans="2:43" x14ac:dyDescent="0.2">
      <c r="B226" s="1" t="s">
        <v>514</v>
      </c>
      <c r="D226" s="55">
        <v>29608482</v>
      </c>
      <c r="E226" s="166">
        <v>1818.2681904776223</v>
      </c>
      <c r="G226" s="55">
        <v>28980351.814152539</v>
      </c>
      <c r="H226" s="166">
        <v>1772.7944736002792</v>
      </c>
      <c r="J226" s="167">
        <f>D226/G226-1</f>
        <v>2.1674346463272265E-2</v>
      </c>
      <c r="K226" s="168">
        <f>E226/H226-1</f>
        <v>2.5650867911942932E-2</v>
      </c>
      <c r="L226" s="55">
        <v>30715297</v>
      </c>
      <c r="M226" s="167">
        <f>O226/$D226-1</f>
        <v>3.749039273652488E-2</v>
      </c>
      <c r="N226" s="169">
        <f>N$222</f>
        <v>9.0547645222140982E-3</v>
      </c>
      <c r="O226" s="55">
        <v>30718515.618512329</v>
      </c>
      <c r="Q226" s="167">
        <f>S226/$D226-1</f>
        <v>3.7733466360988066E-2</v>
      </c>
      <c r="R226" s="170">
        <v>3.3710099817761741E-2</v>
      </c>
      <c r="S226" s="55">
        <v>30725712.659546919</v>
      </c>
      <c r="T226" s="167">
        <f>V226/$D226-1</f>
        <v>3.7903717499337963E-2</v>
      </c>
      <c r="U226" s="170">
        <v>3.3879690880325164E-2</v>
      </c>
      <c r="V226" s="55">
        <v>30730753.537312232</v>
      </c>
      <c r="X226" s="167">
        <f>Z226/$D226-1</f>
        <v>3.7638354788483541E-2</v>
      </c>
      <c r="Y226" s="170">
        <v>3.3615356999596502E-2</v>
      </c>
      <c r="Z226" s="55">
        <v>30722896.550264429</v>
      </c>
      <c r="AB226" s="55">
        <v>29402272.730353214</v>
      </c>
      <c r="AC226" s="55">
        <v>30722896.550264429</v>
      </c>
      <c r="AD226" s="167">
        <f>AC226/$D226-1</f>
        <v>3.7638354788483541E-2</v>
      </c>
      <c r="AE226" s="170">
        <v>3.3615356999596502E-2</v>
      </c>
      <c r="AF226" s="55">
        <v>30722896.550264429</v>
      </c>
      <c r="AG226" s="166">
        <v>1879.389924821538</v>
      </c>
      <c r="AH226" s="171">
        <f t="shared" ref="AH226:AI229" si="47">AF226/D226 - 1</f>
        <v>3.7638354788483541E-2</v>
      </c>
      <c r="AI226" s="171">
        <f t="shared" si="47"/>
        <v>3.3615356999596502E-2</v>
      </c>
      <c r="AK226" s="55">
        <v>30157987.496518735</v>
      </c>
      <c r="AL226" s="166">
        <v>1844.8331445936988</v>
      </c>
      <c r="AM226" s="171">
        <f>AF226/AK226-1</f>
        <v>1.8731656209185266E-2</v>
      </c>
      <c r="AN226" s="170">
        <f t="shared" ref="AN226:AN229" si="48">AG226/AL226-1</f>
        <v>1.8731656209185266E-2</v>
      </c>
      <c r="AP226" s="55">
        <v>58</v>
      </c>
      <c r="AQ226" s="55">
        <v>0</v>
      </c>
    </row>
    <row r="227" spans="2:43" x14ac:dyDescent="0.2">
      <c r="B227" s="1" t="s">
        <v>515</v>
      </c>
      <c r="D227" s="55">
        <v>29208794</v>
      </c>
      <c r="E227" s="166">
        <v>1639.5327953005528</v>
      </c>
      <c r="G227" s="55">
        <v>29634759.165586006</v>
      </c>
      <c r="H227" s="166">
        <v>1652.1453926680495</v>
      </c>
      <c r="J227" s="167">
        <f t="shared" ref="J227:K229" si="49">D227/G227-1</f>
        <v>-1.4373835913627619E-2</v>
      </c>
      <c r="K227" s="168">
        <f t="shared" si="49"/>
        <v>-7.6340722938000871E-3</v>
      </c>
      <c r="L227" s="55">
        <v>30344175</v>
      </c>
      <c r="M227" s="167">
        <f>O227/$D227-1</f>
        <v>3.8871204336611731E-2</v>
      </c>
      <c r="N227" s="169">
        <f t="shared" ref="N227:N229" si="50">N$222</f>
        <v>9.0547645222140982E-3</v>
      </c>
      <c r="O227" s="55">
        <v>30344175</v>
      </c>
      <c r="Q227" s="167">
        <f>S227/$D227-1</f>
        <v>4.2120382243914012E-2</v>
      </c>
      <c r="R227" s="170">
        <v>3.5042705709852573E-2</v>
      </c>
      <c r="S227" s="55">
        <v>30439079.568163741</v>
      </c>
      <c r="T227" s="167">
        <f>V227/$D227-1</f>
        <v>4.2120382243914012E-2</v>
      </c>
      <c r="U227" s="170">
        <v>3.5042705709852573E-2</v>
      </c>
      <c r="V227" s="55">
        <v>30439079.568163741</v>
      </c>
      <c r="X227" s="167">
        <f>Z227/$D227-1</f>
        <v>4.2120382243914012E-2</v>
      </c>
      <c r="Y227" s="170">
        <v>3.5042705709852573E-2</v>
      </c>
      <c r="Z227" s="55">
        <v>30439079.568163741</v>
      </c>
      <c r="AB227" s="55">
        <v>30064070.03386965</v>
      </c>
      <c r="AC227" s="55">
        <v>30439079.568163741</v>
      </c>
      <c r="AD227" s="167">
        <f>AC227/$D227-1</f>
        <v>4.2120382243914012E-2</v>
      </c>
      <c r="AE227" s="170">
        <v>3.5042705709852573E-2</v>
      </c>
      <c r="AF227" s="55">
        <v>30439079.568163741</v>
      </c>
      <c r="AG227" s="166">
        <v>1696.986460547922</v>
      </c>
      <c r="AH227" s="171">
        <f t="shared" si="47"/>
        <v>4.2120382243914012E-2</v>
      </c>
      <c r="AI227" s="171">
        <f t="shared" si="47"/>
        <v>3.5042705709852573E-2</v>
      </c>
      <c r="AK227" s="55">
        <v>30842089.354806855</v>
      </c>
      <c r="AL227" s="166">
        <v>1719.454359088355</v>
      </c>
      <c r="AM227" s="171">
        <f t="shared" ref="AM227:AM229" si="51">AF227/AK227-1</f>
        <v>-1.3066876955283302E-2</v>
      </c>
      <c r="AN227" s="170">
        <f t="shared" si="48"/>
        <v>-1.3066876955283302E-2</v>
      </c>
      <c r="AP227" s="55">
        <v>22</v>
      </c>
      <c r="AQ227" s="55">
        <v>0</v>
      </c>
    </row>
    <row r="228" spans="2:43" x14ac:dyDescent="0.2">
      <c r="B228" s="1" t="s">
        <v>516</v>
      </c>
      <c r="D228" s="55">
        <v>16527787</v>
      </c>
      <c r="E228" s="166">
        <v>1677.7216464866399</v>
      </c>
      <c r="G228" s="55">
        <v>16543167.96647305</v>
      </c>
      <c r="H228" s="166">
        <v>1660.4664359921987</v>
      </c>
      <c r="J228" s="167">
        <f t="shared" si="49"/>
        <v>-9.2974734369022372E-4</v>
      </c>
      <c r="K228" s="168">
        <f t="shared" si="49"/>
        <v>1.0391785175790424E-2</v>
      </c>
      <c r="L228" s="55">
        <v>17182309</v>
      </c>
      <c r="M228" s="167">
        <f>O228/$D228-1</f>
        <v>4.02731634675908E-2</v>
      </c>
      <c r="N228" s="169">
        <f t="shared" si="50"/>
        <v>9.0547645222140982E-3</v>
      </c>
      <c r="O228" s="55">
        <v>17193413.267608523</v>
      </c>
      <c r="Q228" s="167">
        <f>S228/$D228-1</f>
        <v>4.4080912787372029E-2</v>
      </c>
      <c r="R228" s="170">
        <v>3.238189050658935E-2</v>
      </c>
      <c r="S228" s="55">
        <v>17256346.937315263</v>
      </c>
      <c r="T228" s="167">
        <f>V228/$D228-1</f>
        <v>4.4215721929289353E-2</v>
      </c>
      <c r="U228" s="170">
        <v>3.2515189099720843E-2</v>
      </c>
      <c r="V228" s="55">
        <v>17258575.034098525</v>
      </c>
      <c r="X228" s="167">
        <f>Z228/$D228-1</f>
        <v>4.3535986009396677E-2</v>
      </c>
      <c r="Y228" s="170">
        <v>3.1843069683084257E-2</v>
      </c>
      <c r="Z228" s="55">
        <v>17247340.503598288</v>
      </c>
      <c r="AB228" s="55">
        <v>16792516.287237018</v>
      </c>
      <c r="AC228" s="55">
        <v>17247340.503598288</v>
      </c>
      <c r="AD228" s="167">
        <f>AC228/$D228-1</f>
        <v>4.3535986009396677E-2</v>
      </c>
      <c r="AE228" s="170">
        <v>3.1843069683084257E-2</v>
      </c>
      <c r="AF228" s="55">
        <v>17247340.503598288</v>
      </c>
      <c r="AG228" s="166">
        <v>1731.1454537845332</v>
      </c>
      <c r="AH228" s="171">
        <f t="shared" si="47"/>
        <v>4.3535986009396677E-2</v>
      </c>
      <c r="AI228" s="171">
        <f t="shared" si="47"/>
        <v>3.1843069683084479E-2</v>
      </c>
      <c r="AK228" s="55">
        <v>17224111.340225853</v>
      </c>
      <c r="AL228" s="166">
        <v>1728.8139024036684</v>
      </c>
      <c r="AM228" s="171">
        <f t="shared" si="51"/>
        <v>1.3486421977650931E-3</v>
      </c>
      <c r="AN228" s="170">
        <f t="shared" si="48"/>
        <v>1.3486421977653151E-3</v>
      </c>
      <c r="AP228" s="55">
        <v>14</v>
      </c>
      <c r="AQ228" s="55">
        <v>0</v>
      </c>
    </row>
    <row r="229" spans="2:43" x14ac:dyDescent="0.2">
      <c r="B229" s="1" t="s">
        <v>517</v>
      </c>
      <c r="D229" s="55">
        <v>24493390</v>
      </c>
      <c r="E229" s="166">
        <v>1627.6522286283712</v>
      </c>
      <c r="G229" s="55">
        <v>24680204.882492892</v>
      </c>
      <c r="H229" s="166">
        <v>1628.5226808191451</v>
      </c>
      <c r="J229" s="167">
        <f t="shared" si="49"/>
        <v>-7.5694218659185797E-3</v>
      </c>
      <c r="K229" s="168">
        <f t="shared" si="49"/>
        <v>-5.3450418654044096E-4</v>
      </c>
      <c r="L229" s="55">
        <v>25456263</v>
      </c>
      <c r="M229" s="167">
        <f>O229/$D229-1</f>
        <v>3.9311544869860882E-2</v>
      </c>
      <c r="N229" s="169">
        <f t="shared" si="50"/>
        <v>9.0547645222140982E-3</v>
      </c>
      <c r="O229" s="55">
        <v>25456263</v>
      </c>
      <c r="Q229" s="167">
        <f>S229/$D229-1</f>
        <v>4.1073776796561656E-2</v>
      </c>
      <c r="R229" s="170">
        <v>3.3745991746851223E-2</v>
      </c>
      <c r="S229" s="55">
        <v>25499426.033851136</v>
      </c>
      <c r="T229" s="167">
        <f>V229/$D229-1</f>
        <v>4.1089803632495592E-2</v>
      </c>
      <c r="U229" s="170">
        <v>3.3761905775017365E-2</v>
      </c>
      <c r="V229" s="55">
        <v>25499818.585394133</v>
      </c>
      <c r="X229" s="167">
        <f>Z229/$D229-1</f>
        <v>4.1073776796561656E-2</v>
      </c>
      <c r="Y229" s="170">
        <v>3.3745991746851223E-2</v>
      </c>
      <c r="Z229" s="55">
        <v>25499426.033851136</v>
      </c>
      <c r="AB229" s="55">
        <v>25042021.74810309</v>
      </c>
      <c r="AC229" s="55">
        <v>25499426.033851136</v>
      </c>
      <c r="AD229" s="167">
        <f>AC229/$D229-1</f>
        <v>4.1073776796561656E-2</v>
      </c>
      <c r="AE229" s="170">
        <v>3.3745991746851223E-2</v>
      </c>
      <c r="AF229" s="55">
        <v>25499426.033851136</v>
      </c>
      <c r="AG229" s="166">
        <v>1682.5789673024085</v>
      </c>
      <c r="AH229" s="171">
        <f t="shared" si="47"/>
        <v>4.1073776796561656E-2</v>
      </c>
      <c r="AI229" s="171">
        <f t="shared" si="47"/>
        <v>3.3745991746851445E-2</v>
      </c>
      <c r="AK229" s="55">
        <v>25684565.844200816</v>
      </c>
      <c r="AL229" s="166">
        <v>1694.795412899701</v>
      </c>
      <c r="AM229" s="171">
        <f t="shared" si="51"/>
        <v>-7.2082125690857701E-3</v>
      </c>
      <c r="AN229" s="170">
        <f t="shared" si="48"/>
        <v>-7.2082125690857701E-3</v>
      </c>
      <c r="AP229" s="55">
        <v>24</v>
      </c>
      <c r="AQ229" s="55">
        <v>0</v>
      </c>
    </row>
    <row r="230" spans="2:43" ht="15" x14ac:dyDescent="0.25">
      <c r="B230"/>
      <c r="D230" s="1"/>
      <c r="G230" s="1"/>
      <c r="L230" s="1"/>
      <c r="O230" s="1"/>
      <c r="Q230" s="53"/>
      <c r="S230" s="1"/>
      <c r="U230" s="52"/>
      <c r="V230" s="1"/>
      <c r="X230" s="53"/>
      <c r="Y230" s="52"/>
      <c r="Z230" s="1"/>
      <c r="AB230" s="1"/>
      <c r="AC230" s="1"/>
      <c r="AD230" s="53"/>
      <c r="AE230" s="52"/>
      <c r="AF230" s="1"/>
      <c r="AG230" s="75"/>
      <c r="AK230" s="1"/>
      <c r="AL230" s="75"/>
      <c r="AP230" s="1"/>
      <c r="AQ230" s="1"/>
    </row>
    <row r="231" spans="2:43" x14ac:dyDescent="0.2">
      <c r="B231" s="1" t="s">
        <v>12</v>
      </c>
      <c r="D231" s="172">
        <f>SUM(D226:D229)</f>
        <v>99838453</v>
      </c>
      <c r="E231" s="173">
        <v>1692.2107288024779</v>
      </c>
      <c r="G231" s="172">
        <f>SUM(G226:G229)</f>
        <v>99838483.828704506</v>
      </c>
      <c r="H231" s="173">
        <v>1680.716390939572</v>
      </c>
      <c r="J231" s="167">
        <f>D231/G231-1</f>
        <v>-3.0878578405335588E-7</v>
      </c>
      <c r="K231" s="168">
        <f>E231/H231-1</f>
        <v>6.8389514881093127E-3</v>
      </c>
      <c r="L231" s="172">
        <f>SUM(L226:L229)</f>
        <v>103698044</v>
      </c>
      <c r="M231" s="167">
        <f>O231/$D231-1</f>
        <v>3.8801822040660516E-2</v>
      </c>
      <c r="N231" s="169">
        <f>N$222</f>
        <v>9.0547645222140982E-3</v>
      </c>
      <c r="O231" s="172">
        <f>SUM(O226:O229)</f>
        <v>103712366.88612086</v>
      </c>
      <c r="Q231" s="167">
        <f>S231/$D231-1</f>
        <v>4.0887173991738912E-2</v>
      </c>
      <c r="R231" s="170">
        <v>3.3816630794969438E-2</v>
      </c>
      <c r="S231" s="172">
        <f>SUM(S226:S229)</f>
        <v>103920565.19887705</v>
      </c>
      <c r="T231" s="167">
        <f>V231/$D231-1</f>
        <v>4.0963913222579862E-2</v>
      </c>
      <c r="U231" s="170">
        <v>3.3892848751209126E-2</v>
      </c>
      <c r="V231" s="172">
        <f>SUM(V226:V229)</f>
        <v>103928226.72496863</v>
      </c>
      <c r="X231" s="167">
        <f>Z231/$D231-1</f>
        <v>4.076875726307172E-2</v>
      </c>
      <c r="Y231" s="170">
        <v>3.3699018448003049E-2</v>
      </c>
      <c r="Z231" s="172">
        <f>SUM(Z226:Z229)</f>
        <v>103908742.65587759</v>
      </c>
      <c r="AB231" s="172">
        <f>SUM(AB226:AB229)</f>
        <v>101300880.79956296</v>
      </c>
      <c r="AC231" s="172">
        <f>SUM(AC226:AC229)</f>
        <v>103908742.65587759</v>
      </c>
      <c r="AD231" s="167">
        <f>AC231/$D231-1</f>
        <v>4.076875726307172E-2</v>
      </c>
      <c r="AE231" s="170">
        <v>3.3699018448003049E-2</v>
      </c>
      <c r="AF231" s="172">
        <f>SUM(AF226:AF229)</f>
        <v>103908742.65587759</v>
      </c>
      <c r="AG231" s="166">
        <v>1749.2365693703009</v>
      </c>
      <c r="AH231" s="171">
        <f>AF231/D231 - 1</f>
        <v>4.076875726307172E-2</v>
      </c>
      <c r="AI231" s="171">
        <f>AG231/E231 - 1</f>
        <v>3.3699018448002827E-2</v>
      </c>
      <c r="AK231" s="172">
        <f>SUM(AK226:AK229)</f>
        <v>103908754.03575227</v>
      </c>
      <c r="AL231" s="173">
        <v>1749.236760943141</v>
      </c>
      <c r="AM231" s="171">
        <f>AF231/AK231-1</f>
        <v>-1.0951795914593276E-7</v>
      </c>
      <c r="AN231" s="170">
        <f t="shared" ref="AN231" si="52">AG231/AL231-1</f>
        <v>-1.0951795914593276E-7</v>
      </c>
      <c r="AP231" s="172">
        <f>SUM(AP226:AP229)</f>
        <v>118</v>
      </c>
      <c r="AQ231" s="172">
        <f>SUM(AQ226:AQ229)</f>
        <v>0</v>
      </c>
    </row>
    <row r="232" spans="2:43" ht="15" x14ac:dyDescent="0.25">
      <c r="B232"/>
      <c r="D232" s="1"/>
      <c r="G232" s="1"/>
      <c r="L232" s="1"/>
      <c r="O232" s="1"/>
      <c r="Q232" s="53"/>
      <c r="S232" s="1"/>
      <c r="U232" s="52"/>
      <c r="V232" s="1"/>
      <c r="X232" s="53"/>
      <c r="Y232" s="52"/>
      <c r="Z232" s="1"/>
      <c r="AB232" s="1"/>
      <c r="AC232" s="1"/>
      <c r="AD232" s="53"/>
      <c r="AE232" s="52"/>
      <c r="AF232" s="1"/>
      <c r="AG232" s="75"/>
      <c r="AK232" s="1"/>
      <c r="AL232" s="75"/>
      <c r="AP232" s="1"/>
      <c r="AQ232" s="1"/>
    </row>
    <row r="233" spans="2:43" x14ac:dyDescent="0.2">
      <c r="B233" s="43" t="s">
        <v>518</v>
      </c>
      <c r="D233" s="1"/>
      <c r="G233" s="1"/>
      <c r="L233" s="1"/>
      <c r="O233" s="1"/>
      <c r="Q233" s="53"/>
      <c r="S233" s="1"/>
      <c r="U233" s="52"/>
      <c r="V233" s="1"/>
      <c r="X233" s="53"/>
      <c r="Y233" s="52"/>
      <c r="Z233" s="1"/>
      <c r="AB233" s="1"/>
      <c r="AC233" s="1"/>
      <c r="AD233" s="53"/>
      <c r="AE233" s="52"/>
      <c r="AF233" s="1"/>
      <c r="AG233" s="75"/>
      <c r="AK233" s="1"/>
      <c r="AL233" s="75"/>
      <c r="AP233" s="1"/>
      <c r="AQ233" s="1"/>
    </row>
    <row r="234" spans="2:43" x14ac:dyDescent="0.2">
      <c r="D234" s="1"/>
      <c r="G234" s="1"/>
      <c r="L234" s="1"/>
      <c r="O234" s="1"/>
      <c r="Q234" s="53"/>
      <c r="S234" s="1"/>
      <c r="U234" s="52"/>
      <c r="V234" s="1"/>
      <c r="X234" s="53"/>
      <c r="Y234" s="52"/>
      <c r="Z234" s="1"/>
      <c r="AB234" s="1"/>
      <c r="AC234" s="1"/>
      <c r="AD234" s="53"/>
      <c r="AE234" s="52"/>
      <c r="AF234" s="1"/>
      <c r="AG234" s="75"/>
      <c r="AK234" s="1"/>
      <c r="AL234" s="75"/>
      <c r="AP234" s="1"/>
      <c r="AQ234" s="1"/>
    </row>
    <row r="235" spans="2:43" x14ac:dyDescent="0.2">
      <c r="B235" s="1" t="s">
        <v>519</v>
      </c>
      <c r="D235" s="55">
        <v>2366489</v>
      </c>
      <c r="E235" s="166">
        <v>1887.8658682489802</v>
      </c>
      <c r="G235" s="55">
        <v>2311431.7572627435</v>
      </c>
      <c r="H235" s="166">
        <v>1837.8415488648554</v>
      </c>
      <c r="J235" s="167">
        <f t="shared" ref="J235:K259" si="53">D235/G235-1</f>
        <v>2.3819540665330541E-2</v>
      </c>
      <c r="K235" s="168">
        <f t="shared" si="53"/>
        <v>2.7219059997322548E-2</v>
      </c>
      <c r="L235" s="55">
        <v>2455447</v>
      </c>
      <c r="M235" s="167">
        <f t="shared" ref="M235:M259" si="54">O235/$D235-1</f>
        <v>3.7590709274372358E-2</v>
      </c>
      <c r="N235" s="169">
        <f t="shared" ref="N235:N259" si="55">N$222</f>
        <v>9.0547645222140982E-3</v>
      </c>
      <c r="O235" s="55">
        <v>2455447</v>
      </c>
      <c r="Q235" s="167">
        <f t="shared" ref="Q235:Q259" si="56">S235/$D235-1</f>
        <v>3.7590709274372358E-2</v>
      </c>
      <c r="R235" s="170">
        <v>3.4156865596586039E-2</v>
      </c>
      <c r="S235" s="55">
        <v>2455447</v>
      </c>
      <c r="T235" s="167">
        <f t="shared" ref="T235:T259" si="57">V235/$D235-1</f>
        <v>3.7590709274372358E-2</v>
      </c>
      <c r="U235" s="170">
        <v>3.4156865596586039E-2</v>
      </c>
      <c r="V235" s="55">
        <v>2455447</v>
      </c>
      <c r="X235" s="167">
        <f t="shared" ref="X235:X259" si="58">Z235/$D235-1</f>
        <v>3.7590709274372358E-2</v>
      </c>
      <c r="Y235" s="170">
        <v>3.4156865596586039E-2</v>
      </c>
      <c r="Z235" s="55">
        <v>2455447</v>
      </c>
      <c r="AB235" s="55">
        <v>2344982.8732707789</v>
      </c>
      <c r="AC235" s="55">
        <v>2455447</v>
      </c>
      <c r="AD235" s="167">
        <f t="shared" ref="AD235:AD259" si="59">AC235/$D235-1</f>
        <v>3.7590709274372358E-2</v>
      </c>
      <c r="AE235" s="170">
        <v>3.4156865596586039E-2</v>
      </c>
      <c r="AF235" s="55">
        <v>2455447</v>
      </c>
      <c r="AG235" s="166">
        <v>1952.3494489751424</v>
      </c>
      <c r="AH235" s="171">
        <f t="shared" ref="AH235:AI259" si="60">AF235/D235 - 1</f>
        <v>3.7590709274372358E-2</v>
      </c>
      <c r="AI235" s="171">
        <f t="shared" si="60"/>
        <v>3.4156865596585817E-2</v>
      </c>
      <c r="AK235" s="55">
        <v>2405110.639252081</v>
      </c>
      <c r="AL235" s="166">
        <v>1912.3265259922339</v>
      </c>
      <c r="AM235" s="171">
        <f t="shared" ref="AM235:AN259" si="61">AF235/AK235-1</f>
        <v>2.0928916918172336E-2</v>
      </c>
      <c r="AN235" s="170">
        <f t="shared" si="61"/>
        <v>2.0928916918172336E-2</v>
      </c>
      <c r="AP235" s="55">
        <v>5</v>
      </c>
      <c r="AQ235" s="55">
        <v>0</v>
      </c>
    </row>
    <row r="236" spans="2:43" x14ac:dyDescent="0.2">
      <c r="B236" s="1" t="s">
        <v>520</v>
      </c>
      <c r="D236" s="55">
        <v>3841765</v>
      </c>
      <c r="E236" s="166">
        <v>1896.2506768802075</v>
      </c>
      <c r="G236" s="55">
        <v>3679927.3102745726</v>
      </c>
      <c r="H236" s="166">
        <v>1812.8717233995574</v>
      </c>
      <c r="J236" s="167">
        <f t="shared" si="53"/>
        <v>4.3978501769197154E-2</v>
      </c>
      <c r="K236" s="168">
        <f t="shared" si="53"/>
        <v>4.5992748634357428E-2</v>
      </c>
      <c r="L236" s="55">
        <v>3974920</v>
      </c>
      <c r="M236" s="167">
        <f t="shared" si="54"/>
        <v>3.5497647178400538E-2</v>
      </c>
      <c r="N236" s="169">
        <f t="shared" si="55"/>
        <v>9.0547645222140982E-3</v>
      </c>
      <c r="O236" s="55">
        <v>3978138.6185123282</v>
      </c>
      <c r="Q236" s="167">
        <f t="shared" si="56"/>
        <v>3.5497647178400538E-2</v>
      </c>
      <c r="R236" s="170">
        <v>3.3503610515686733E-2</v>
      </c>
      <c r="S236" s="55">
        <v>3978138.6185123282</v>
      </c>
      <c r="T236" s="167">
        <f t="shared" si="57"/>
        <v>3.6693489343763597E-2</v>
      </c>
      <c r="U236" s="170">
        <v>3.4697149872224387E-2</v>
      </c>
      <c r="V236" s="55">
        <v>3982732.7630887441</v>
      </c>
      <c r="X236" s="167">
        <f t="shared" si="58"/>
        <v>3.4764622310276883E-2</v>
      </c>
      <c r="Y236" s="170">
        <v>3.2771997218575155E-2</v>
      </c>
      <c r="Z236" s="55">
        <v>3975322.5092298412</v>
      </c>
      <c r="AB236" s="55">
        <v>3733444.3568987064</v>
      </c>
      <c r="AC236" s="55">
        <v>3975322.5092298412</v>
      </c>
      <c r="AD236" s="167">
        <f t="shared" si="59"/>
        <v>3.4764622310276883E-2</v>
      </c>
      <c r="AE236" s="170">
        <v>3.2771997218575155E-2</v>
      </c>
      <c r="AF236" s="55">
        <v>3975322.5092298412</v>
      </c>
      <c r="AG236" s="166">
        <v>1958.3945987886466</v>
      </c>
      <c r="AH236" s="171">
        <f t="shared" si="60"/>
        <v>3.4764622310276883E-2</v>
      </c>
      <c r="AI236" s="171">
        <f t="shared" si="60"/>
        <v>3.2771997218574933E-2</v>
      </c>
      <c r="AK236" s="55">
        <v>3829173.6993832882</v>
      </c>
      <c r="AL236" s="166">
        <v>1886.3961535912208</v>
      </c>
      <c r="AM236" s="171">
        <f t="shared" si="61"/>
        <v>3.8167192538194561E-2</v>
      </c>
      <c r="AN236" s="170">
        <f t="shared" si="61"/>
        <v>3.8167192538194561E-2</v>
      </c>
      <c r="AP236" s="55">
        <v>5</v>
      </c>
      <c r="AQ236" s="55">
        <v>0</v>
      </c>
    </row>
    <row r="237" spans="2:43" x14ac:dyDescent="0.2">
      <c r="B237" s="1" t="s">
        <v>55</v>
      </c>
      <c r="D237" s="55">
        <v>2856399</v>
      </c>
      <c r="E237" s="166">
        <v>1851.2796043045669</v>
      </c>
      <c r="G237" s="55">
        <v>2801437.3759879246</v>
      </c>
      <c r="H237" s="166">
        <v>1811.3479117388572</v>
      </c>
      <c r="J237" s="167">
        <f t="shared" si="53"/>
        <v>1.9619080006274769E-2</v>
      </c>
      <c r="K237" s="168">
        <f t="shared" si="53"/>
        <v>2.2045291413606005E-2</v>
      </c>
      <c r="L237" s="55">
        <v>2964112</v>
      </c>
      <c r="M237" s="167">
        <f t="shared" si="54"/>
        <v>3.7709367633863566E-2</v>
      </c>
      <c r="N237" s="169">
        <f t="shared" si="55"/>
        <v>9.0547645222140982E-3</v>
      </c>
      <c r="O237" s="55">
        <v>2964112</v>
      </c>
      <c r="Q237" s="167">
        <f t="shared" si="56"/>
        <v>3.7709367633863566E-2</v>
      </c>
      <c r="R237" s="170">
        <v>3.5245971611789439E-2</v>
      </c>
      <c r="S237" s="55">
        <v>2964112</v>
      </c>
      <c r="T237" s="167">
        <f t="shared" si="57"/>
        <v>3.7709367633863566E-2</v>
      </c>
      <c r="U237" s="170">
        <v>3.5245971611789439E-2</v>
      </c>
      <c r="V237" s="55">
        <v>2964112</v>
      </c>
      <c r="X237" s="167">
        <f t="shared" si="58"/>
        <v>3.7709367633863566E-2</v>
      </c>
      <c r="Y237" s="170">
        <v>3.5245971611789439E-2</v>
      </c>
      <c r="Z237" s="55">
        <v>2964112</v>
      </c>
      <c r="AB237" s="55">
        <v>2842517.7690306138</v>
      </c>
      <c r="AC237" s="55">
        <v>2964112</v>
      </c>
      <c r="AD237" s="167">
        <f t="shared" si="59"/>
        <v>3.7709367633863566E-2</v>
      </c>
      <c r="AE237" s="170">
        <v>3.5245971611789439E-2</v>
      </c>
      <c r="AF237" s="55">
        <v>2964112</v>
      </c>
      <c r="AG237" s="166">
        <v>1916.5297526833706</v>
      </c>
      <c r="AH237" s="171">
        <f t="shared" si="60"/>
        <v>3.7709367633863566E-2</v>
      </c>
      <c r="AI237" s="171">
        <f t="shared" si="60"/>
        <v>3.5245971611789439E-2</v>
      </c>
      <c r="AK237" s="55">
        <v>2915402.8400313985</v>
      </c>
      <c r="AL237" s="166">
        <v>1885.0354790837093</v>
      </c>
      <c r="AM237" s="171">
        <f t="shared" si="61"/>
        <v>1.6707522987827295E-2</v>
      </c>
      <c r="AN237" s="170">
        <f t="shared" si="61"/>
        <v>1.6707522987827295E-2</v>
      </c>
      <c r="AP237" s="55">
        <v>8</v>
      </c>
      <c r="AQ237" s="55">
        <v>0</v>
      </c>
    </row>
    <row r="238" spans="2:43" x14ac:dyDescent="0.2">
      <c r="B238" s="1" t="s">
        <v>521</v>
      </c>
      <c r="D238" s="55">
        <v>5567731</v>
      </c>
      <c r="E238" s="166">
        <v>1843.5728809479619</v>
      </c>
      <c r="G238" s="55">
        <v>5599519.8505038936</v>
      </c>
      <c r="H238" s="166">
        <v>1843.7583837025836</v>
      </c>
      <c r="J238" s="167">
        <f t="shared" si="53"/>
        <v>-5.6770672044377246E-3</v>
      </c>
      <c r="K238" s="168">
        <f t="shared" si="53"/>
        <v>-1.0061120603510609E-4</v>
      </c>
      <c r="L238" s="55">
        <v>5785598</v>
      </c>
      <c r="M238" s="167">
        <f t="shared" si="54"/>
        <v>3.9130302810965523E-2</v>
      </c>
      <c r="N238" s="169">
        <f t="shared" si="55"/>
        <v>9.0547645222140982E-3</v>
      </c>
      <c r="O238" s="55">
        <v>5785598</v>
      </c>
      <c r="Q238" s="167">
        <f t="shared" si="56"/>
        <v>4.0078038129119475E-2</v>
      </c>
      <c r="R238" s="170">
        <v>3.4277505115965612E-2</v>
      </c>
      <c r="S238" s="55">
        <v>5790874.7353106802</v>
      </c>
      <c r="T238" s="167">
        <f t="shared" si="57"/>
        <v>4.0078038129119475E-2</v>
      </c>
      <c r="U238" s="170">
        <v>3.4277505115965612E-2</v>
      </c>
      <c r="V238" s="55">
        <v>5790874.7353106802</v>
      </c>
      <c r="X238" s="167">
        <f t="shared" si="58"/>
        <v>4.0078038129119475E-2</v>
      </c>
      <c r="Y238" s="170">
        <v>3.4277505115965612E-2</v>
      </c>
      <c r="Z238" s="55">
        <v>5790874.7353106802</v>
      </c>
      <c r="AB238" s="55">
        <v>5681123.3620949499</v>
      </c>
      <c r="AC238" s="55">
        <v>5790874.7353106802</v>
      </c>
      <c r="AD238" s="167">
        <f t="shared" si="59"/>
        <v>4.0078038129119475E-2</v>
      </c>
      <c r="AE238" s="170">
        <v>3.4277505115965612E-2</v>
      </c>
      <c r="AF238" s="55">
        <v>5790874.7353106802</v>
      </c>
      <c r="AG238" s="166">
        <v>1906.7659598063108</v>
      </c>
      <c r="AH238" s="171">
        <f t="shared" si="60"/>
        <v>4.0078038129119475E-2</v>
      </c>
      <c r="AI238" s="171">
        <f t="shared" si="60"/>
        <v>3.427750511596539E-2</v>
      </c>
      <c r="AK238" s="55">
        <v>5828174.8854259998</v>
      </c>
      <c r="AL238" s="166">
        <v>1919.0478100942951</v>
      </c>
      <c r="AM238" s="171">
        <f t="shared" si="61"/>
        <v>-6.3999709769507751E-3</v>
      </c>
      <c r="AN238" s="170">
        <f t="shared" si="61"/>
        <v>-6.3999709769506641E-3</v>
      </c>
      <c r="AP238" s="55">
        <v>8</v>
      </c>
      <c r="AQ238" s="55">
        <v>0</v>
      </c>
    </row>
    <row r="239" spans="2:43" x14ac:dyDescent="0.2">
      <c r="B239" s="1" t="s">
        <v>522</v>
      </c>
      <c r="D239" s="55">
        <v>2319178</v>
      </c>
      <c r="E239" s="166">
        <v>1760.3855296256966</v>
      </c>
      <c r="G239" s="55">
        <v>2325053.5445031971</v>
      </c>
      <c r="H239" s="166">
        <v>1758.2941818250999</v>
      </c>
      <c r="J239" s="167">
        <f t="shared" si="53"/>
        <v>-2.5270577174826281E-3</v>
      </c>
      <c r="K239" s="168">
        <f t="shared" si="53"/>
        <v>1.1894185979879346E-3</v>
      </c>
      <c r="L239" s="55">
        <v>2408115</v>
      </c>
      <c r="M239" s="167">
        <f t="shared" si="54"/>
        <v>3.8348501063738993E-2</v>
      </c>
      <c r="N239" s="169">
        <f t="shared" si="55"/>
        <v>9.0547645222140982E-3</v>
      </c>
      <c r="O239" s="55">
        <v>2408115</v>
      </c>
      <c r="Q239" s="167">
        <f t="shared" si="56"/>
        <v>3.8762931427398728E-2</v>
      </c>
      <c r="R239" s="170">
        <v>3.4906979935777072E-2</v>
      </c>
      <c r="S239" s="55">
        <v>2409076.1377819316</v>
      </c>
      <c r="T239" s="167">
        <f t="shared" si="57"/>
        <v>3.8762931427398728E-2</v>
      </c>
      <c r="U239" s="170">
        <v>3.4906979935777072E-2</v>
      </c>
      <c r="V239" s="55">
        <v>2409076.1377819316</v>
      </c>
      <c r="X239" s="167">
        <f t="shared" si="58"/>
        <v>3.8762931427398728E-2</v>
      </c>
      <c r="Y239" s="170">
        <v>3.4906979935777072E-2</v>
      </c>
      <c r="Z239" s="55">
        <v>2409076.1377819316</v>
      </c>
      <c r="AB239" s="55">
        <v>2358734.8665223904</v>
      </c>
      <c r="AC239" s="55">
        <v>2409076.1377819316</v>
      </c>
      <c r="AD239" s="167">
        <f t="shared" si="59"/>
        <v>3.8762931427398728E-2</v>
      </c>
      <c r="AE239" s="170">
        <v>3.4906979935777072E-2</v>
      </c>
      <c r="AF239" s="55">
        <v>2409076.1377819316</v>
      </c>
      <c r="AG239" s="166">
        <v>1821.8352719875729</v>
      </c>
      <c r="AH239" s="171">
        <f t="shared" si="60"/>
        <v>3.8762931427398728E-2</v>
      </c>
      <c r="AI239" s="171">
        <f t="shared" si="60"/>
        <v>3.4906979935777072E-2</v>
      </c>
      <c r="AK239" s="55">
        <v>2419215.247715272</v>
      </c>
      <c r="AL239" s="166">
        <v>1829.5028536855623</v>
      </c>
      <c r="AM239" s="171">
        <f t="shared" si="61"/>
        <v>-4.1910739207335901E-3</v>
      </c>
      <c r="AN239" s="170">
        <f t="shared" si="61"/>
        <v>-4.1910739207337011E-3</v>
      </c>
      <c r="AP239" s="55">
        <v>5</v>
      </c>
      <c r="AQ239" s="55">
        <v>0</v>
      </c>
    </row>
    <row r="240" spans="2:43" x14ac:dyDescent="0.2">
      <c r="B240" s="1" t="s">
        <v>523</v>
      </c>
      <c r="D240" s="55">
        <v>2634371</v>
      </c>
      <c r="E240" s="166">
        <v>2053.2702896098876</v>
      </c>
      <c r="G240" s="55">
        <v>2518769.3744142037</v>
      </c>
      <c r="H240" s="166">
        <v>1959.3338605686379</v>
      </c>
      <c r="J240" s="167">
        <f t="shared" si="53"/>
        <v>4.5896073995532971E-2</v>
      </c>
      <c r="K240" s="168">
        <f t="shared" si="53"/>
        <v>4.7943043772023408E-2</v>
      </c>
      <c r="L240" s="55">
        <v>2727230</v>
      </c>
      <c r="M240" s="167">
        <f t="shared" si="54"/>
        <v>3.5249021493176214E-2</v>
      </c>
      <c r="N240" s="169">
        <f t="shared" si="55"/>
        <v>9.0547645222140982E-3</v>
      </c>
      <c r="O240" s="55">
        <v>2727230</v>
      </c>
      <c r="Q240" s="167">
        <f t="shared" si="56"/>
        <v>3.5249021493176214E-2</v>
      </c>
      <c r="R240" s="170">
        <v>3.322684722451541E-2</v>
      </c>
      <c r="S240" s="55">
        <v>2727230</v>
      </c>
      <c r="T240" s="167">
        <f t="shared" si="57"/>
        <v>3.5387551446641519E-2</v>
      </c>
      <c r="U240" s="170">
        <v>3.336510658443137E-2</v>
      </c>
      <c r="V240" s="55">
        <v>2727594.9392920407</v>
      </c>
      <c r="X240" s="167">
        <f t="shared" si="58"/>
        <v>3.5249021493176214E-2</v>
      </c>
      <c r="Y240" s="170">
        <v>3.322684722451541E-2</v>
      </c>
      <c r="Z240" s="55">
        <v>2727230</v>
      </c>
      <c r="AB240" s="55">
        <v>2555598.6360523384</v>
      </c>
      <c r="AC240" s="55">
        <v>2727230</v>
      </c>
      <c r="AD240" s="167">
        <f t="shared" si="59"/>
        <v>3.5249021493176214E-2</v>
      </c>
      <c r="AE240" s="170">
        <v>3.322684722451541E-2</v>
      </c>
      <c r="AF240" s="55">
        <v>2727230</v>
      </c>
      <c r="AG240" s="166">
        <v>2121.4939878333917</v>
      </c>
      <c r="AH240" s="171">
        <f t="shared" si="60"/>
        <v>3.5249021493176214E-2</v>
      </c>
      <c r="AI240" s="171">
        <f t="shared" si="60"/>
        <v>3.3226847224515188E-2</v>
      </c>
      <c r="AK240" s="55">
        <v>2621126.8062075269</v>
      </c>
      <c r="AL240" s="166">
        <v>2038.9570225900304</v>
      </c>
      <c r="AM240" s="171">
        <f t="shared" si="61"/>
        <v>4.0479992628053019E-2</v>
      </c>
      <c r="AN240" s="170">
        <f t="shared" si="61"/>
        <v>4.0479992628053019E-2</v>
      </c>
      <c r="AP240" s="55">
        <v>6</v>
      </c>
      <c r="AQ240" s="55">
        <v>0</v>
      </c>
    </row>
    <row r="241" spans="2:43" x14ac:dyDescent="0.2">
      <c r="B241" s="1" t="s">
        <v>524</v>
      </c>
      <c r="D241" s="55">
        <v>4268124</v>
      </c>
      <c r="E241" s="166">
        <v>1673.9037830953628</v>
      </c>
      <c r="G241" s="55">
        <v>4192243.5795353828</v>
      </c>
      <c r="H241" s="166">
        <v>1634.8507215808272</v>
      </c>
      <c r="J241" s="167">
        <f t="shared" si="53"/>
        <v>1.8100193613517668E-2</v>
      </c>
      <c r="K241" s="168">
        <f t="shared" si="53"/>
        <v>2.3887845537831742E-2</v>
      </c>
      <c r="L241" s="55">
        <v>4431325</v>
      </c>
      <c r="M241" s="167">
        <f t="shared" si="54"/>
        <v>3.8237173990258944E-2</v>
      </c>
      <c r="N241" s="169">
        <f t="shared" si="55"/>
        <v>9.0547645222140982E-3</v>
      </c>
      <c r="O241" s="55">
        <v>4431325</v>
      </c>
      <c r="Q241" s="167">
        <f t="shared" si="56"/>
        <v>3.8461902217924893E-2</v>
      </c>
      <c r="R241" s="170">
        <v>3.2591868646483002E-2</v>
      </c>
      <c r="S241" s="55">
        <v>4432284.1679419782</v>
      </c>
      <c r="T241" s="167">
        <f t="shared" si="57"/>
        <v>3.8461902217924893E-2</v>
      </c>
      <c r="U241" s="170">
        <v>3.2591868646483002E-2</v>
      </c>
      <c r="V241" s="55">
        <v>4432284.1679419782</v>
      </c>
      <c r="X241" s="167">
        <f t="shared" si="58"/>
        <v>3.8461902217924893E-2</v>
      </c>
      <c r="Y241" s="170">
        <v>3.2591868646483002E-2</v>
      </c>
      <c r="Z241" s="55">
        <v>4432284.1679419782</v>
      </c>
      <c r="AB241" s="55">
        <v>4252704.9382106587</v>
      </c>
      <c r="AC241" s="55">
        <v>4432284.1679419782</v>
      </c>
      <c r="AD241" s="167">
        <f t="shared" si="59"/>
        <v>3.8461902217924893E-2</v>
      </c>
      <c r="AE241" s="170">
        <v>3.2591868646483002E-2</v>
      </c>
      <c r="AF241" s="55">
        <v>4432284.1679419782</v>
      </c>
      <c r="AG241" s="166">
        <v>1728.4594353208579</v>
      </c>
      <c r="AH241" s="171">
        <f t="shared" si="60"/>
        <v>3.8461902217924893E-2</v>
      </c>
      <c r="AI241" s="171">
        <f t="shared" si="60"/>
        <v>3.2591868646483002E-2</v>
      </c>
      <c r="AK241" s="55">
        <v>4362177.2982234024</v>
      </c>
      <c r="AL241" s="166">
        <v>1701.1198343714564</v>
      </c>
      <c r="AM241" s="171">
        <f t="shared" si="61"/>
        <v>1.6071531468271338E-2</v>
      </c>
      <c r="AN241" s="170">
        <f t="shared" si="61"/>
        <v>1.6071531468271338E-2</v>
      </c>
      <c r="AP241" s="55">
        <v>8</v>
      </c>
      <c r="AQ241" s="55">
        <v>0</v>
      </c>
    </row>
    <row r="242" spans="2:43" x14ac:dyDescent="0.2">
      <c r="B242" s="1" t="s">
        <v>525</v>
      </c>
      <c r="D242" s="55">
        <v>2835461</v>
      </c>
      <c r="E242" s="166">
        <v>1822.3458283343421</v>
      </c>
      <c r="G242" s="55">
        <v>2695994.2981335456</v>
      </c>
      <c r="H242" s="166">
        <v>1725.3936671986319</v>
      </c>
      <c r="J242" s="167">
        <f t="shared" si="53"/>
        <v>5.173108191030229E-2</v>
      </c>
      <c r="K242" s="168">
        <f t="shared" si="53"/>
        <v>5.6191327798903234E-2</v>
      </c>
      <c r="L242" s="55">
        <v>2940101</v>
      </c>
      <c r="M242" s="167">
        <f t="shared" si="54"/>
        <v>3.6904051933706716E-2</v>
      </c>
      <c r="N242" s="169">
        <f t="shared" si="55"/>
        <v>9.0547645222140982E-3</v>
      </c>
      <c r="O242" s="55">
        <v>2940101</v>
      </c>
      <c r="Q242" s="167">
        <f t="shared" si="56"/>
        <v>3.6904051933706716E-2</v>
      </c>
      <c r="R242" s="170">
        <v>3.2525255296407041E-2</v>
      </c>
      <c r="S242" s="55">
        <v>2940101</v>
      </c>
      <c r="T242" s="167">
        <f t="shared" si="57"/>
        <v>3.6904051933706716E-2</v>
      </c>
      <c r="U242" s="170">
        <v>3.2525255296407041E-2</v>
      </c>
      <c r="V242" s="55">
        <v>2940101</v>
      </c>
      <c r="X242" s="167">
        <f t="shared" si="58"/>
        <v>3.6904051933706716E-2</v>
      </c>
      <c r="Y242" s="170">
        <v>3.2525255296407041E-2</v>
      </c>
      <c r="Z242" s="55">
        <v>2940101</v>
      </c>
      <c r="AB242" s="55">
        <v>2735580.2256094678</v>
      </c>
      <c r="AC242" s="55">
        <v>2940101</v>
      </c>
      <c r="AD242" s="167">
        <f t="shared" si="59"/>
        <v>3.6904051933706716E-2</v>
      </c>
      <c r="AE242" s="170">
        <v>3.2525255296407041E-2</v>
      </c>
      <c r="AF242" s="55">
        <v>2940101</v>
      </c>
      <c r="AG242" s="166">
        <v>1881.6180916392589</v>
      </c>
      <c r="AH242" s="171">
        <f t="shared" si="60"/>
        <v>3.6904051933706716E-2</v>
      </c>
      <c r="AI242" s="171">
        <f t="shared" si="60"/>
        <v>3.2525255296407041E-2</v>
      </c>
      <c r="AK242" s="55">
        <v>2805723.3083174033</v>
      </c>
      <c r="AL242" s="166">
        <v>1795.6184964611693</v>
      </c>
      <c r="AM242" s="171">
        <f t="shared" si="61"/>
        <v>4.7894135278500949E-2</v>
      </c>
      <c r="AN242" s="170">
        <f t="shared" si="61"/>
        <v>4.7894135278500727E-2</v>
      </c>
      <c r="AP242" s="55">
        <v>5</v>
      </c>
      <c r="AQ242" s="55">
        <v>0</v>
      </c>
    </row>
    <row r="243" spans="2:43" x14ac:dyDescent="0.2">
      <c r="B243" s="1" t="s">
        <v>526</v>
      </c>
      <c r="D243" s="55">
        <v>2918964</v>
      </c>
      <c r="E243" s="166">
        <v>1682.2097042108478</v>
      </c>
      <c r="G243" s="55">
        <v>2855974.7235370674</v>
      </c>
      <c r="H243" s="166">
        <v>1640.061637383011</v>
      </c>
      <c r="J243" s="167">
        <f t="shared" si="53"/>
        <v>2.205526398529245E-2</v>
      </c>
      <c r="K243" s="168">
        <f t="shared" si="53"/>
        <v>2.5699074880558115E-2</v>
      </c>
      <c r="L243" s="55">
        <v>3028449</v>
      </c>
      <c r="M243" s="167">
        <f t="shared" si="54"/>
        <v>3.7508170707141408E-2</v>
      </c>
      <c r="N243" s="169">
        <f t="shared" si="55"/>
        <v>9.0547645222140982E-3</v>
      </c>
      <c r="O243" s="55">
        <v>3028449</v>
      </c>
      <c r="Q243" s="167">
        <f t="shared" si="56"/>
        <v>3.7508170707141408E-2</v>
      </c>
      <c r="R243" s="170">
        <v>3.3822407827039269E-2</v>
      </c>
      <c r="S243" s="55">
        <v>3028449</v>
      </c>
      <c r="T243" s="167">
        <f t="shared" si="57"/>
        <v>3.7536192257546785E-2</v>
      </c>
      <c r="U243" s="170">
        <v>3.3850329830478865E-2</v>
      </c>
      <c r="V243" s="55">
        <v>3028530.7938968581</v>
      </c>
      <c r="X243" s="167">
        <f t="shared" si="58"/>
        <v>3.7508170707141408E-2</v>
      </c>
      <c r="Y243" s="170">
        <v>3.3822407827039269E-2</v>
      </c>
      <c r="Z243" s="55">
        <v>3028449</v>
      </c>
      <c r="AB243" s="55">
        <v>2897585.7026632968</v>
      </c>
      <c r="AC243" s="55">
        <v>3028449</v>
      </c>
      <c r="AD243" s="167">
        <f t="shared" si="59"/>
        <v>3.7508170707141408E-2</v>
      </c>
      <c r="AE243" s="170">
        <v>3.3822407827039269E-2</v>
      </c>
      <c r="AF243" s="55">
        <v>3028449</v>
      </c>
      <c r="AG243" s="166">
        <v>1739.1060868772699</v>
      </c>
      <c r="AH243" s="171">
        <f t="shared" si="60"/>
        <v>3.7508170707141408E-2</v>
      </c>
      <c r="AI243" s="171">
        <f t="shared" si="60"/>
        <v>3.3822407827039047E-2</v>
      </c>
      <c r="AK243" s="55">
        <v>2971882.7719623563</v>
      </c>
      <c r="AL243" s="166">
        <v>1706.6225708953418</v>
      </c>
      <c r="AM243" s="171">
        <f t="shared" si="61"/>
        <v>1.9033801928967975E-2</v>
      </c>
      <c r="AN243" s="170">
        <f t="shared" si="61"/>
        <v>1.9033801928967975E-2</v>
      </c>
      <c r="AP243" s="55">
        <v>8</v>
      </c>
      <c r="AQ243" s="55">
        <v>0</v>
      </c>
    </row>
    <row r="244" spans="2:43" x14ac:dyDescent="0.2">
      <c r="B244" s="1" t="s">
        <v>527</v>
      </c>
      <c r="D244" s="55">
        <v>4784953</v>
      </c>
      <c r="E244" s="166">
        <v>1743.1892566939925</v>
      </c>
      <c r="G244" s="55">
        <v>4821696.7233462678</v>
      </c>
      <c r="H244" s="166">
        <v>1746.3045003582997</v>
      </c>
      <c r="J244" s="167">
        <f t="shared" si="53"/>
        <v>-7.6204965709182337E-3</v>
      </c>
      <c r="K244" s="168">
        <f t="shared" si="53"/>
        <v>-1.7839063368776387E-3</v>
      </c>
      <c r="L244" s="55">
        <v>4972134</v>
      </c>
      <c r="M244" s="167">
        <f t="shared" si="54"/>
        <v>3.9118670549115109E-2</v>
      </c>
      <c r="N244" s="169">
        <f t="shared" si="55"/>
        <v>9.0547645222140982E-3</v>
      </c>
      <c r="O244" s="55">
        <v>4972134</v>
      </c>
      <c r="Q244" s="167">
        <f t="shared" si="56"/>
        <v>4.0379429273708523E-2</v>
      </c>
      <c r="R244" s="170">
        <v>3.4296309140559478E-2</v>
      </c>
      <c r="S244" s="55">
        <v>4978166.671241519</v>
      </c>
      <c r="T244" s="167">
        <f t="shared" si="57"/>
        <v>4.0379429273708523E-2</v>
      </c>
      <c r="U244" s="170">
        <v>3.4296309140559478E-2</v>
      </c>
      <c r="V244" s="55">
        <v>4978166.671241519</v>
      </c>
      <c r="X244" s="167">
        <f t="shared" si="58"/>
        <v>4.0379429273708523E-2</v>
      </c>
      <c r="Y244" s="170">
        <v>3.4296309140559478E-2</v>
      </c>
      <c r="Z244" s="55">
        <v>4978166.671241519</v>
      </c>
      <c r="AB244" s="55">
        <v>4893440.6683679372</v>
      </c>
      <c r="AC244" s="55">
        <v>4978166.671241519</v>
      </c>
      <c r="AD244" s="167">
        <f t="shared" si="59"/>
        <v>4.0379429273708523E-2</v>
      </c>
      <c r="AE244" s="170">
        <v>3.4296309140559478E-2</v>
      </c>
      <c r="AF244" s="55">
        <v>4978166.671241519</v>
      </c>
      <c r="AG244" s="166">
        <v>1802.9742143320716</v>
      </c>
      <c r="AH244" s="171">
        <f t="shared" si="60"/>
        <v>4.0379429273708523E-2</v>
      </c>
      <c r="AI244" s="171">
        <f t="shared" si="60"/>
        <v>3.4296309140559256E-2</v>
      </c>
      <c r="AK244" s="55">
        <v>5018913.5060183974</v>
      </c>
      <c r="AL244" s="166">
        <v>1817.7317540590489</v>
      </c>
      <c r="AM244" s="171">
        <f t="shared" si="61"/>
        <v>-8.1186565036470704E-3</v>
      </c>
      <c r="AN244" s="170">
        <f t="shared" si="61"/>
        <v>-8.1186565036470704E-3</v>
      </c>
      <c r="AP244" s="55">
        <v>4</v>
      </c>
      <c r="AQ244" s="55">
        <v>0</v>
      </c>
    </row>
    <row r="245" spans="2:43" x14ac:dyDescent="0.2">
      <c r="B245" s="1" t="s">
        <v>528</v>
      </c>
      <c r="D245" s="55">
        <v>2772431</v>
      </c>
      <c r="E245" s="166">
        <v>1688.698415201457</v>
      </c>
      <c r="G245" s="55">
        <v>2777551.3610456744</v>
      </c>
      <c r="H245" s="166">
        <v>1685.5467964286595</v>
      </c>
      <c r="J245" s="167">
        <f t="shared" si="53"/>
        <v>-1.8434802385605131E-3</v>
      </c>
      <c r="K245" s="168">
        <f t="shared" si="53"/>
        <v>1.8697901354476354E-3</v>
      </c>
      <c r="L245" s="55">
        <v>2878491</v>
      </c>
      <c r="M245" s="167">
        <f t="shared" si="54"/>
        <v>3.8255235206935634E-2</v>
      </c>
      <c r="N245" s="169">
        <f t="shared" si="55"/>
        <v>9.0547645222140982E-3</v>
      </c>
      <c r="O245" s="55">
        <v>2878491</v>
      </c>
      <c r="Q245" s="167">
        <f t="shared" si="56"/>
        <v>3.9050778257169849E-2</v>
      </c>
      <c r="R245" s="170">
        <v>3.5199702488660556E-2</v>
      </c>
      <c r="S245" s="55">
        <v>2880696.5882143038</v>
      </c>
      <c r="T245" s="167">
        <f t="shared" si="57"/>
        <v>3.9050778257169849E-2</v>
      </c>
      <c r="U245" s="170">
        <v>3.5199702488660556E-2</v>
      </c>
      <c r="V245" s="55">
        <v>2880696.5882143038</v>
      </c>
      <c r="X245" s="167">
        <f t="shared" si="58"/>
        <v>3.9050778257169849E-2</v>
      </c>
      <c r="Y245" s="170">
        <v>3.5199702488660556E-2</v>
      </c>
      <c r="Z245" s="55">
        <v>2880696.5882143038</v>
      </c>
      <c r="AB245" s="55">
        <v>2818307.1374355201</v>
      </c>
      <c r="AC245" s="55">
        <v>2880696.5882143038</v>
      </c>
      <c r="AD245" s="167">
        <f t="shared" si="59"/>
        <v>3.9050778257169849E-2</v>
      </c>
      <c r="AE245" s="170">
        <v>3.5199702488660556E-2</v>
      </c>
      <c r="AF245" s="55">
        <v>2880696.5882143038</v>
      </c>
      <c r="AG245" s="166">
        <v>1748.1400970096208</v>
      </c>
      <c r="AH245" s="171">
        <f t="shared" si="60"/>
        <v>3.9050778257169849E-2</v>
      </c>
      <c r="AI245" s="171">
        <f t="shared" si="60"/>
        <v>3.5199702488660556E-2</v>
      </c>
      <c r="AK245" s="55">
        <v>2890571.4230107903</v>
      </c>
      <c r="AL245" s="166">
        <v>1754.1326040753456</v>
      </c>
      <c r="AM245" s="171">
        <f t="shared" si="61"/>
        <v>-3.4162223835316752E-3</v>
      </c>
      <c r="AN245" s="170">
        <f t="shared" si="61"/>
        <v>-3.4162223835315642E-3</v>
      </c>
      <c r="AP245" s="55">
        <v>5</v>
      </c>
      <c r="AQ245" s="55">
        <v>0</v>
      </c>
    </row>
    <row r="246" spans="2:43" x14ac:dyDescent="0.2">
      <c r="B246" s="1" t="s">
        <v>529</v>
      </c>
      <c r="D246" s="55">
        <v>2867411</v>
      </c>
      <c r="E246" s="166">
        <v>1619.7707040231285</v>
      </c>
      <c r="G246" s="55">
        <v>2901514.4382783384</v>
      </c>
      <c r="H246" s="166">
        <v>1628.6050759461605</v>
      </c>
      <c r="J246" s="167">
        <f t="shared" si="53"/>
        <v>-1.1753668301087039E-2</v>
      </c>
      <c r="K246" s="168">
        <f t="shared" si="53"/>
        <v>-5.4245022648596875E-3</v>
      </c>
      <c r="L246" s="55">
        <v>2978368</v>
      </c>
      <c r="M246" s="167">
        <f t="shared" si="54"/>
        <v>3.8695882801593529E-2</v>
      </c>
      <c r="N246" s="169">
        <f t="shared" si="55"/>
        <v>9.0547645222140982E-3</v>
      </c>
      <c r="O246" s="55">
        <v>2978368</v>
      </c>
      <c r="Q246" s="167">
        <f t="shared" si="56"/>
        <v>4.0070232463493616E-2</v>
      </c>
      <c r="R246" s="170">
        <v>3.3451552226961168E-2</v>
      </c>
      <c r="S246" s="55">
        <v>2982308.8253383785</v>
      </c>
      <c r="T246" s="167">
        <f t="shared" si="57"/>
        <v>4.0070232463493616E-2</v>
      </c>
      <c r="U246" s="170">
        <v>3.3451552226961168E-2</v>
      </c>
      <c r="V246" s="55">
        <v>2982308.8253383785</v>
      </c>
      <c r="X246" s="167">
        <f t="shared" si="58"/>
        <v>4.0070232463493616E-2</v>
      </c>
      <c r="Y246" s="170">
        <v>3.3451552226961168E-2</v>
      </c>
      <c r="Z246" s="55">
        <v>2982308.8253383785</v>
      </c>
      <c r="AB246" s="55">
        <v>2944088.2061129203</v>
      </c>
      <c r="AC246" s="55">
        <v>2982308.8253383785</v>
      </c>
      <c r="AD246" s="167">
        <f t="shared" si="59"/>
        <v>4.0070232463493616E-2</v>
      </c>
      <c r="AE246" s="170">
        <v>3.3451552226961168E-2</v>
      </c>
      <c r="AF246" s="55">
        <v>2982308.8253383785</v>
      </c>
      <c r="AG246" s="166">
        <v>1673.9545483244597</v>
      </c>
      <c r="AH246" s="171">
        <f t="shared" si="60"/>
        <v>4.0070232463493616E-2</v>
      </c>
      <c r="AI246" s="171">
        <f t="shared" si="60"/>
        <v>3.3451552226961168E-2</v>
      </c>
      <c r="AK246" s="55">
        <v>3019577.6472953032</v>
      </c>
      <c r="AL246" s="166">
        <v>1694.8733456989771</v>
      </c>
      <c r="AM246" s="171">
        <f t="shared" si="61"/>
        <v>-1.2342395629503677E-2</v>
      </c>
      <c r="AN246" s="170">
        <f t="shared" si="61"/>
        <v>-1.2342395629503788E-2</v>
      </c>
      <c r="AP246" s="55">
        <v>4</v>
      </c>
      <c r="AQ246" s="55">
        <v>0</v>
      </c>
    </row>
    <row r="247" spans="2:43" x14ac:dyDescent="0.2">
      <c r="B247" s="1" t="s">
        <v>530</v>
      </c>
      <c r="D247" s="55">
        <v>4816546</v>
      </c>
      <c r="E247" s="166">
        <v>1579.6309527063263</v>
      </c>
      <c r="G247" s="55">
        <v>4959858.2579754088</v>
      </c>
      <c r="H247" s="166">
        <v>1610.5211565846835</v>
      </c>
      <c r="J247" s="167">
        <f t="shared" si="53"/>
        <v>-2.8894426114892235E-2</v>
      </c>
      <c r="K247" s="168">
        <f t="shared" si="53"/>
        <v>-1.9180253393171087E-2</v>
      </c>
      <c r="L247" s="55">
        <v>5008944</v>
      </c>
      <c r="M247" s="167">
        <f t="shared" si="54"/>
        <v>3.9945222157122595E-2</v>
      </c>
      <c r="N247" s="169">
        <f t="shared" si="55"/>
        <v>9.0547645222140982E-3</v>
      </c>
      <c r="O247" s="55">
        <v>5008944</v>
      </c>
      <c r="Q247" s="167">
        <f t="shared" si="56"/>
        <v>4.8365715600478865E-2</v>
      </c>
      <c r="R247" s="170">
        <v>3.7982558377038123E-2</v>
      </c>
      <c r="S247" s="55">
        <v>5049501.6940126242</v>
      </c>
      <c r="T247" s="167">
        <f t="shared" si="57"/>
        <v>4.8365715600478865E-2</v>
      </c>
      <c r="U247" s="170">
        <v>3.7982558377038123E-2</v>
      </c>
      <c r="V247" s="55">
        <v>5049501.6940126242</v>
      </c>
      <c r="X247" s="167">
        <f t="shared" si="58"/>
        <v>4.8365715600478865E-2</v>
      </c>
      <c r="Y247" s="170">
        <v>3.7982558377038123E-2</v>
      </c>
      <c r="Z247" s="55">
        <v>5049501.6940126242</v>
      </c>
      <c r="AB247" s="55">
        <v>5025964.1924040886</v>
      </c>
      <c r="AC247" s="55">
        <v>5049501.6940126242</v>
      </c>
      <c r="AD247" s="167">
        <f t="shared" si="59"/>
        <v>4.8365715600478865E-2</v>
      </c>
      <c r="AE247" s="170">
        <v>3.7982558377038123E-2</v>
      </c>
      <c r="AF247" s="55">
        <v>5049501.6940126242</v>
      </c>
      <c r="AG247" s="166">
        <v>1639.6293775816707</v>
      </c>
      <c r="AH247" s="171">
        <f t="shared" si="60"/>
        <v>4.8365715600478865E-2</v>
      </c>
      <c r="AI247" s="171">
        <f t="shared" si="60"/>
        <v>3.7982558377038123E-2</v>
      </c>
      <c r="AK247" s="55">
        <v>5161962.210994008</v>
      </c>
      <c r="AL247" s="166">
        <v>1676.1465586095219</v>
      </c>
      <c r="AM247" s="171">
        <f t="shared" si="61"/>
        <v>-2.1786389048308763E-2</v>
      </c>
      <c r="AN247" s="170">
        <f t="shared" si="61"/>
        <v>-2.1786389048308874E-2</v>
      </c>
      <c r="AP247" s="55">
        <v>0</v>
      </c>
      <c r="AQ247" s="55">
        <v>0</v>
      </c>
    </row>
    <row r="248" spans="2:43" x14ac:dyDescent="0.2">
      <c r="B248" s="1" t="s">
        <v>531</v>
      </c>
      <c r="D248" s="55">
        <v>3022835</v>
      </c>
      <c r="E248" s="166">
        <v>1580.8975490400883</v>
      </c>
      <c r="G248" s="55">
        <v>3071736.4231513408</v>
      </c>
      <c r="H248" s="166">
        <v>1596.684317988223</v>
      </c>
      <c r="J248" s="167">
        <f t="shared" si="53"/>
        <v>-1.5919797930179169E-2</v>
      </c>
      <c r="K248" s="168">
        <f t="shared" si="53"/>
        <v>-9.8872198907956621E-3</v>
      </c>
      <c r="L248" s="55">
        <v>3139641</v>
      </c>
      <c r="M248" s="167">
        <f t="shared" si="54"/>
        <v>3.8641209328329262E-2</v>
      </c>
      <c r="N248" s="169">
        <f t="shared" si="55"/>
        <v>9.0547645222140982E-3</v>
      </c>
      <c r="O248" s="55">
        <v>3139641</v>
      </c>
      <c r="Q248" s="167">
        <f t="shared" si="56"/>
        <v>4.0295638072521678E-2</v>
      </c>
      <c r="R248" s="170">
        <v>3.3957304958580181E-2</v>
      </c>
      <c r="S248" s="55">
        <v>3144642.0651129512</v>
      </c>
      <c r="T248" s="167">
        <f t="shared" si="57"/>
        <v>4.0295638072521678E-2</v>
      </c>
      <c r="U248" s="170">
        <v>3.3957304958580181E-2</v>
      </c>
      <c r="V248" s="55">
        <v>3144642.0651129512</v>
      </c>
      <c r="X248" s="167">
        <f t="shared" si="58"/>
        <v>4.0295638072521678E-2</v>
      </c>
      <c r="Y248" s="170">
        <v>3.3957304958580181E-2</v>
      </c>
      <c r="Z248" s="55">
        <v>3144642.0651129512</v>
      </c>
      <c r="AB248" s="55">
        <v>3116913.3832638962</v>
      </c>
      <c r="AC248" s="55">
        <v>3144642.0651129512</v>
      </c>
      <c r="AD248" s="167">
        <f t="shared" si="59"/>
        <v>4.0295638072521678E-2</v>
      </c>
      <c r="AE248" s="170">
        <v>3.3957304958580181E-2</v>
      </c>
      <c r="AF248" s="55">
        <v>3144642.0651129512</v>
      </c>
      <c r="AG248" s="166">
        <v>1634.5805692211147</v>
      </c>
      <c r="AH248" s="171">
        <f t="shared" si="60"/>
        <v>4.0295638072521678E-2</v>
      </c>
      <c r="AI248" s="171">
        <f t="shared" si="60"/>
        <v>3.3957304958580403E-2</v>
      </c>
      <c r="AK248" s="55">
        <v>3196834.2392450226</v>
      </c>
      <c r="AL248" s="166">
        <v>1661.7099887020006</v>
      </c>
      <c r="AM248" s="171">
        <f t="shared" si="61"/>
        <v>-1.6326205935656368E-2</v>
      </c>
      <c r="AN248" s="170">
        <f t="shared" si="61"/>
        <v>-1.6326205935656257E-2</v>
      </c>
      <c r="AP248" s="55">
        <v>2</v>
      </c>
      <c r="AQ248" s="55">
        <v>0</v>
      </c>
    </row>
    <row r="249" spans="2:43" x14ac:dyDescent="0.2">
      <c r="B249" s="1" t="s">
        <v>532</v>
      </c>
      <c r="D249" s="55">
        <v>3582631</v>
      </c>
      <c r="E249" s="166">
        <v>1684.6419730038151</v>
      </c>
      <c r="G249" s="55">
        <v>3581319.2974528586</v>
      </c>
      <c r="H249" s="166">
        <v>1675.009210026509</v>
      </c>
      <c r="J249" s="167">
        <f t="shared" si="53"/>
        <v>3.6626238494696928E-4</v>
      </c>
      <c r="K249" s="168">
        <f t="shared" si="53"/>
        <v>5.7508716487317812E-3</v>
      </c>
      <c r="L249" s="55">
        <v>3719814</v>
      </c>
      <c r="M249" s="167">
        <f t="shared" si="54"/>
        <v>3.8291132969038744E-2</v>
      </c>
      <c r="N249" s="169">
        <f t="shared" si="55"/>
        <v>9.0547645222140982E-3</v>
      </c>
      <c r="O249" s="55">
        <v>3719814</v>
      </c>
      <c r="Q249" s="167">
        <f t="shared" si="56"/>
        <v>3.8881212078618166E-2</v>
      </c>
      <c r="R249" s="170">
        <v>3.3319228931280254E-2</v>
      </c>
      <c r="S249" s="55">
        <v>3721928.0357104316</v>
      </c>
      <c r="T249" s="167">
        <f t="shared" si="57"/>
        <v>3.8881212078618166E-2</v>
      </c>
      <c r="U249" s="170">
        <v>3.3319228931280254E-2</v>
      </c>
      <c r="V249" s="55">
        <v>3721928.0357104316</v>
      </c>
      <c r="X249" s="167">
        <f t="shared" si="58"/>
        <v>3.8881212078618166E-2</v>
      </c>
      <c r="Y249" s="170">
        <v>3.3319228931280254E-2</v>
      </c>
      <c r="Z249" s="55">
        <v>3721928.0357104316</v>
      </c>
      <c r="AB249" s="55">
        <v>3633736.486534629</v>
      </c>
      <c r="AC249" s="55">
        <v>3721928.0357104316</v>
      </c>
      <c r="AD249" s="167">
        <f t="shared" si="59"/>
        <v>3.8881212078618166E-2</v>
      </c>
      <c r="AE249" s="170">
        <v>3.3319228931280254E-2</v>
      </c>
      <c r="AF249" s="55">
        <v>3721928.0357104316</v>
      </c>
      <c r="AG249" s="166">
        <v>1740.7729445695727</v>
      </c>
      <c r="AH249" s="171">
        <f t="shared" si="60"/>
        <v>3.8881212078618166E-2</v>
      </c>
      <c r="AI249" s="171">
        <f t="shared" si="60"/>
        <v>3.3319228931280254E-2</v>
      </c>
      <c r="AK249" s="55">
        <v>3726909.2169585945</v>
      </c>
      <c r="AL249" s="166">
        <v>1743.1026794450468</v>
      </c>
      <c r="AM249" s="171">
        <f t="shared" si="61"/>
        <v>-1.3365448306326133E-3</v>
      </c>
      <c r="AN249" s="170">
        <f t="shared" si="61"/>
        <v>-1.3365448306326133E-3</v>
      </c>
      <c r="AP249" s="55">
        <v>6</v>
      </c>
      <c r="AQ249" s="55">
        <v>0</v>
      </c>
    </row>
    <row r="250" spans="2:43" x14ac:dyDescent="0.2">
      <c r="B250" s="1" t="s">
        <v>56</v>
      </c>
      <c r="D250" s="55">
        <v>3116645</v>
      </c>
      <c r="E250" s="166">
        <v>1643.0908300688368</v>
      </c>
      <c r="G250" s="55">
        <v>3192181.8627134701</v>
      </c>
      <c r="H250" s="166">
        <v>1669.2886755423349</v>
      </c>
      <c r="J250" s="167">
        <f t="shared" si="53"/>
        <v>-2.3663082481541697E-2</v>
      </c>
      <c r="K250" s="168">
        <f t="shared" si="53"/>
        <v>-1.5694017372391622E-2</v>
      </c>
      <c r="L250" s="55">
        <v>3238871</v>
      </c>
      <c r="M250" s="167">
        <f t="shared" si="54"/>
        <v>3.9217171028461673E-2</v>
      </c>
      <c r="N250" s="169">
        <f t="shared" si="55"/>
        <v>9.0547645222140982E-3</v>
      </c>
      <c r="O250" s="55">
        <v>3238871</v>
      </c>
      <c r="Q250" s="167">
        <f t="shared" si="56"/>
        <v>4.4676727918529835E-2</v>
      </c>
      <c r="R250" s="170">
        <v>3.6218893657914419E-2</v>
      </c>
      <c r="S250" s="55">
        <v>3255886.5006836466</v>
      </c>
      <c r="T250" s="167">
        <f t="shared" si="57"/>
        <v>4.4676727918529835E-2</v>
      </c>
      <c r="U250" s="170">
        <v>3.6218893657914419E-2</v>
      </c>
      <c r="V250" s="55">
        <v>3255886.5006836466</v>
      </c>
      <c r="X250" s="167">
        <f t="shared" si="58"/>
        <v>4.4676727918529835E-2</v>
      </c>
      <c r="Y250" s="170">
        <v>3.6218893657914419E-2</v>
      </c>
      <c r="Z250" s="55">
        <v>3255886.5006836466</v>
      </c>
      <c r="AB250" s="55">
        <v>3238919.0582890012</v>
      </c>
      <c r="AC250" s="55">
        <v>3255886.5006836466</v>
      </c>
      <c r="AD250" s="167">
        <f t="shared" si="59"/>
        <v>4.4676727918529835E-2</v>
      </c>
      <c r="AE250" s="170">
        <v>3.6218893657914419E-2</v>
      </c>
      <c r="AF250" s="55">
        <v>3255886.5006836466</v>
      </c>
      <c r="AG250" s="166">
        <v>1702.6017621133944</v>
      </c>
      <c r="AH250" s="171">
        <f t="shared" si="60"/>
        <v>4.4676727918529835E-2</v>
      </c>
      <c r="AI250" s="171">
        <f t="shared" si="60"/>
        <v>3.6218893657914419E-2</v>
      </c>
      <c r="AK250" s="55">
        <v>3321986.853375359</v>
      </c>
      <c r="AL250" s="166">
        <v>1737.1676405448434</v>
      </c>
      <c r="AM250" s="171">
        <f t="shared" si="61"/>
        <v>-1.9897836929893331E-2</v>
      </c>
      <c r="AN250" s="170">
        <f t="shared" si="61"/>
        <v>-1.9897836929893331E-2</v>
      </c>
      <c r="AP250" s="55">
        <v>0</v>
      </c>
      <c r="AQ250" s="55">
        <v>0</v>
      </c>
    </row>
    <row r="251" spans="2:43" x14ac:dyDescent="0.2">
      <c r="B251" s="1" t="s">
        <v>533</v>
      </c>
      <c r="D251" s="55">
        <v>4245342</v>
      </c>
      <c r="E251" s="166">
        <v>1587.8511048661892</v>
      </c>
      <c r="G251" s="55">
        <v>4328900.8016226506</v>
      </c>
      <c r="H251" s="166">
        <v>1607.6308299658631</v>
      </c>
      <c r="J251" s="167">
        <f t="shared" si="53"/>
        <v>-1.9302544791816256E-2</v>
      </c>
      <c r="K251" s="168">
        <f t="shared" si="53"/>
        <v>-1.2303648779921628E-2</v>
      </c>
      <c r="L251" s="55">
        <v>4407912</v>
      </c>
      <c r="M251" s="167">
        <f t="shared" si="54"/>
        <v>3.8293734639046839E-2</v>
      </c>
      <c r="N251" s="169">
        <f t="shared" si="55"/>
        <v>9.0547645222140982E-3</v>
      </c>
      <c r="O251" s="55">
        <v>4407912</v>
      </c>
      <c r="Q251" s="167">
        <f t="shared" si="56"/>
        <v>4.2542435415069191E-2</v>
      </c>
      <c r="R251" s="170">
        <v>3.515489562670826E-2</v>
      </c>
      <c r="S251" s="55">
        <v>4425949.1878498811</v>
      </c>
      <c r="T251" s="167">
        <f t="shared" si="57"/>
        <v>4.2542435415069191E-2</v>
      </c>
      <c r="U251" s="170">
        <v>3.515489562670826E-2</v>
      </c>
      <c r="V251" s="55">
        <v>4425949.1878498811</v>
      </c>
      <c r="X251" s="167">
        <f t="shared" si="58"/>
        <v>4.2542435415069191E-2</v>
      </c>
      <c r="Y251" s="170">
        <v>3.515489562670826E-2</v>
      </c>
      <c r="Z251" s="55">
        <v>4425949.1878498811</v>
      </c>
      <c r="AB251" s="55">
        <v>4392700.9014616553</v>
      </c>
      <c r="AC251" s="55">
        <v>4425949.1878498811</v>
      </c>
      <c r="AD251" s="167">
        <f t="shared" si="59"/>
        <v>4.2542435415069191E-2</v>
      </c>
      <c r="AE251" s="170">
        <v>3.515489562670826E-2</v>
      </c>
      <c r="AF251" s="55">
        <v>4425949.1878498811</v>
      </c>
      <c r="AG251" s="166">
        <v>1643.6718447285136</v>
      </c>
      <c r="AH251" s="171">
        <f t="shared" si="60"/>
        <v>4.2542435415069191E-2</v>
      </c>
      <c r="AI251" s="171">
        <f t="shared" si="60"/>
        <v>3.515489562670826E-2</v>
      </c>
      <c r="AK251" s="55">
        <v>4505334.2579093901</v>
      </c>
      <c r="AL251" s="166">
        <v>1673.153205451501</v>
      </c>
      <c r="AM251" s="171">
        <f t="shared" si="61"/>
        <v>-1.7620239812427552E-2</v>
      </c>
      <c r="AN251" s="170">
        <f t="shared" si="61"/>
        <v>-1.7620239812427552E-2</v>
      </c>
      <c r="AP251" s="55">
        <v>1</v>
      </c>
      <c r="AQ251" s="55">
        <v>0</v>
      </c>
    </row>
    <row r="252" spans="2:43" x14ac:dyDescent="0.2">
      <c r="B252" s="1" t="s">
        <v>516</v>
      </c>
      <c r="D252" s="55">
        <v>16527787</v>
      </c>
      <c r="E252" s="166">
        <v>1677.7216464866399</v>
      </c>
      <c r="G252" s="55">
        <v>16543167.96647305</v>
      </c>
      <c r="H252" s="166">
        <v>1660.4664359921987</v>
      </c>
      <c r="J252" s="167">
        <f t="shared" si="53"/>
        <v>-9.2974734369022372E-4</v>
      </c>
      <c r="K252" s="168">
        <f t="shared" si="53"/>
        <v>1.0391785175790424E-2</v>
      </c>
      <c r="L252" s="55">
        <v>17182309</v>
      </c>
      <c r="M252" s="167">
        <f t="shared" si="54"/>
        <v>4.02731634675908E-2</v>
      </c>
      <c r="N252" s="169">
        <f t="shared" si="55"/>
        <v>9.0547645222140982E-3</v>
      </c>
      <c r="O252" s="55">
        <v>17193413.267608523</v>
      </c>
      <c r="Q252" s="167">
        <f t="shared" si="56"/>
        <v>4.4080912787372029E-2</v>
      </c>
      <c r="R252" s="170">
        <v>3.238189050658935E-2</v>
      </c>
      <c r="S252" s="55">
        <v>17256346.937315263</v>
      </c>
      <c r="T252" s="167">
        <f t="shared" si="57"/>
        <v>4.4215721929289353E-2</v>
      </c>
      <c r="U252" s="170">
        <v>3.2515189099720843E-2</v>
      </c>
      <c r="V252" s="55">
        <v>17258575.034098525</v>
      </c>
      <c r="X252" s="167">
        <f t="shared" si="58"/>
        <v>4.3535986009396677E-2</v>
      </c>
      <c r="Y252" s="170">
        <v>3.1843069683084257E-2</v>
      </c>
      <c r="Z252" s="55">
        <v>17247340.503598288</v>
      </c>
      <c r="AB252" s="55">
        <v>16792516.287237018</v>
      </c>
      <c r="AC252" s="55">
        <v>17247340.503598288</v>
      </c>
      <c r="AD252" s="167">
        <f t="shared" si="59"/>
        <v>4.3535986009396677E-2</v>
      </c>
      <c r="AE252" s="170">
        <v>3.1843069683084257E-2</v>
      </c>
      <c r="AF252" s="55">
        <v>17247340.503598288</v>
      </c>
      <c r="AG252" s="166">
        <v>1731.1454537845332</v>
      </c>
      <c r="AH252" s="171">
        <f t="shared" si="60"/>
        <v>4.3535986009396677E-2</v>
      </c>
      <c r="AI252" s="171">
        <f t="shared" si="60"/>
        <v>3.1843069683084479E-2</v>
      </c>
      <c r="AK252" s="55">
        <v>17224111.340225853</v>
      </c>
      <c r="AL252" s="166">
        <v>1728.8139024036684</v>
      </c>
      <c r="AM252" s="171">
        <f t="shared" si="61"/>
        <v>1.3486421977650931E-3</v>
      </c>
      <c r="AN252" s="170">
        <f t="shared" si="61"/>
        <v>1.3486421977653151E-3</v>
      </c>
      <c r="AP252" s="55">
        <v>14</v>
      </c>
      <c r="AQ252" s="55">
        <v>0</v>
      </c>
    </row>
    <row r="253" spans="2:43" x14ac:dyDescent="0.2">
      <c r="B253" s="1" t="s">
        <v>534</v>
      </c>
      <c r="D253" s="55">
        <v>3150383</v>
      </c>
      <c r="E253" s="166">
        <v>1664.9052535760384</v>
      </c>
      <c r="G253" s="55">
        <v>3191001.5703586889</v>
      </c>
      <c r="H253" s="166">
        <v>1672.0015377827754</v>
      </c>
      <c r="J253" s="167">
        <f t="shared" si="53"/>
        <v>-1.2729097577386383E-2</v>
      </c>
      <c r="K253" s="168">
        <f t="shared" si="53"/>
        <v>-4.2441852153720649E-3</v>
      </c>
      <c r="L253" s="55">
        <v>3275322</v>
      </c>
      <c r="M253" s="167">
        <f t="shared" si="54"/>
        <v>3.9658352651090301E-2</v>
      </c>
      <c r="N253" s="169">
        <f t="shared" si="55"/>
        <v>9.0547645222140982E-3</v>
      </c>
      <c r="O253" s="55">
        <v>3275322</v>
      </c>
      <c r="Q253" s="167">
        <f t="shared" si="56"/>
        <v>4.3455326217611834E-2</v>
      </c>
      <c r="R253" s="170">
        <v>3.4563962627082834E-2</v>
      </c>
      <c r="S253" s="55">
        <v>3287283.9209754183</v>
      </c>
      <c r="T253" s="167">
        <f t="shared" si="57"/>
        <v>4.3455326217611834E-2</v>
      </c>
      <c r="U253" s="170">
        <v>3.4563962627082834E-2</v>
      </c>
      <c r="V253" s="55">
        <v>3287283.9209754183</v>
      </c>
      <c r="X253" s="167">
        <f t="shared" si="58"/>
        <v>4.3455326217611834E-2</v>
      </c>
      <c r="Y253" s="170">
        <v>3.4563962627082834E-2</v>
      </c>
      <c r="Z253" s="55">
        <v>3287283.9209754183</v>
      </c>
      <c r="AB253" s="55">
        <v>3238299.2403739365</v>
      </c>
      <c r="AC253" s="55">
        <v>3287283.9209754183</v>
      </c>
      <c r="AD253" s="167">
        <f t="shared" si="59"/>
        <v>4.3455326217611834E-2</v>
      </c>
      <c r="AE253" s="170">
        <v>3.4563962627082834E-2</v>
      </c>
      <c r="AF253" s="55">
        <v>3287283.9209754183</v>
      </c>
      <c r="AG253" s="166">
        <v>1722.4509765382743</v>
      </c>
      <c r="AH253" s="171">
        <f t="shared" si="60"/>
        <v>4.3455326217611834E-2</v>
      </c>
      <c r="AI253" s="171">
        <f t="shared" si="60"/>
        <v>3.4563962627082834E-2</v>
      </c>
      <c r="AK253" s="55">
        <v>3321332.5542296786</v>
      </c>
      <c r="AL253" s="166">
        <v>1740.2915716947743</v>
      </c>
      <c r="AM253" s="171">
        <f t="shared" si="61"/>
        <v>-1.0251497764323436E-2</v>
      </c>
      <c r="AN253" s="170">
        <f t="shared" si="61"/>
        <v>-1.0251497764323547E-2</v>
      </c>
      <c r="AP253" s="55">
        <v>4</v>
      </c>
      <c r="AQ253" s="55">
        <v>0</v>
      </c>
    </row>
    <row r="254" spans="2:43" x14ac:dyDescent="0.2">
      <c r="B254" s="1" t="s">
        <v>535</v>
      </c>
      <c r="D254" s="55">
        <v>3420337</v>
      </c>
      <c r="E254" s="166">
        <v>1489.4081249149792</v>
      </c>
      <c r="G254" s="55">
        <v>3462420.3383754897</v>
      </c>
      <c r="H254" s="166">
        <v>1497.2243658341399</v>
      </c>
      <c r="J254" s="167">
        <f t="shared" si="53"/>
        <v>-1.2154312377691934E-2</v>
      </c>
      <c r="K254" s="168">
        <f t="shared" si="53"/>
        <v>-5.2204873882119029E-3</v>
      </c>
      <c r="L254" s="55">
        <v>3557513</v>
      </c>
      <c r="M254" s="167">
        <f t="shared" si="54"/>
        <v>4.0105989555999866E-2</v>
      </c>
      <c r="N254" s="169">
        <f t="shared" si="55"/>
        <v>9.0547645222140982E-3</v>
      </c>
      <c r="O254" s="55">
        <v>3557513</v>
      </c>
      <c r="Q254" s="167">
        <f t="shared" si="56"/>
        <v>4.167164870961515E-2</v>
      </c>
      <c r="R254" s="170">
        <v>3.4410975548290867E-2</v>
      </c>
      <c r="S254" s="55">
        <v>3562868.0819324991</v>
      </c>
      <c r="T254" s="167">
        <f t="shared" si="57"/>
        <v>4.167164870961515E-2</v>
      </c>
      <c r="U254" s="170">
        <v>3.4410975548290867E-2</v>
      </c>
      <c r="V254" s="55">
        <v>3562868.0819324991</v>
      </c>
      <c r="X254" s="167">
        <f t="shared" si="58"/>
        <v>4.167164870961515E-2</v>
      </c>
      <c r="Y254" s="170">
        <v>3.4410975548290867E-2</v>
      </c>
      <c r="Z254" s="55">
        <v>3562868.0819324991</v>
      </c>
      <c r="AB254" s="55">
        <v>3513446.0572071476</v>
      </c>
      <c r="AC254" s="55">
        <v>3562868.0819324991</v>
      </c>
      <c r="AD254" s="167">
        <f t="shared" si="59"/>
        <v>4.167164870961515E-2</v>
      </c>
      <c r="AE254" s="170">
        <v>3.4410975548290867E-2</v>
      </c>
      <c r="AF254" s="55">
        <v>3562868.0819324991</v>
      </c>
      <c r="AG254" s="166">
        <v>1540.6601114828543</v>
      </c>
      <c r="AH254" s="171">
        <f t="shared" si="60"/>
        <v>4.167164870961515E-2</v>
      </c>
      <c r="AI254" s="171">
        <f t="shared" si="60"/>
        <v>3.4410975548290867E-2</v>
      </c>
      <c r="AK254" s="55">
        <v>3603534.4176483564</v>
      </c>
      <c r="AL254" s="166">
        <v>1558.2451019671523</v>
      </c>
      <c r="AM254" s="171">
        <f t="shared" si="61"/>
        <v>-1.1285124825419546E-2</v>
      </c>
      <c r="AN254" s="170">
        <f t="shared" si="61"/>
        <v>-1.1285124825419657E-2</v>
      </c>
      <c r="AP254" s="55">
        <v>4</v>
      </c>
      <c r="AQ254" s="55">
        <v>0</v>
      </c>
    </row>
    <row r="255" spans="2:43" x14ac:dyDescent="0.2">
      <c r="B255" s="1" t="s">
        <v>536</v>
      </c>
      <c r="D255" s="55">
        <v>4940414</v>
      </c>
      <c r="E255" s="166">
        <v>1657.9232353367402</v>
      </c>
      <c r="G255" s="55">
        <v>4994533.0178080704</v>
      </c>
      <c r="H255" s="166">
        <v>1663.1284072724311</v>
      </c>
      <c r="J255" s="167">
        <f t="shared" si="53"/>
        <v>-1.0835651224070042E-2</v>
      </c>
      <c r="K255" s="168">
        <f t="shared" si="53"/>
        <v>-3.1297474764606648E-3</v>
      </c>
      <c r="L255" s="55">
        <v>5135493</v>
      </c>
      <c r="M255" s="167">
        <f t="shared" si="54"/>
        <v>3.9486366932002026E-2</v>
      </c>
      <c r="N255" s="169">
        <f t="shared" si="55"/>
        <v>9.0547645222140982E-3</v>
      </c>
      <c r="O255" s="55">
        <v>5135493</v>
      </c>
      <c r="Q255" s="167">
        <f t="shared" si="56"/>
        <v>4.2130381676755535E-2</v>
      </c>
      <c r="R255" s="170">
        <v>3.4074612740595978E-2</v>
      </c>
      <c r="S255" s="55">
        <v>5148555.5274611861</v>
      </c>
      <c r="T255" s="167">
        <f t="shared" si="57"/>
        <v>4.2130381676755535E-2</v>
      </c>
      <c r="U255" s="170">
        <v>3.4074612740595978E-2</v>
      </c>
      <c r="V255" s="55">
        <v>5148555.5274611861</v>
      </c>
      <c r="X255" s="167">
        <f t="shared" si="58"/>
        <v>4.2130381676755535E-2</v>
      </c>
      <c r="Y255" s="170">
        <v>3.4074612740595978E-2</v>
      </c>
      <c r="Z255" s="55">
        <v>5148555.5274611861</v>
      </c>
      <c r="AB255" s="55">
        <v>5068042.6824615393</v>
      </c>
      <c r="AC255" s="55">
        <v>5148555.5274611861</v>
      </c>
      <c r="AD255" s="167">
        <f t="shared" si="59"/>
        <v>4.2130381676755535E-2</v>
      </c>
      <c r="AE255" s="170">
        <v>3.4074612740595978E-2</v>
      </c>
      <c r="AF255" s="55">
        <v>5148555.5274611861</v>
      </c>
      <c r="AG255" s="166">
        <v>1714.4163275344756</v>
      </c>
      <c r="AH255" s="171">
        <f t="shared" si="60"/>
        <v>4.2130381676755535E-2</v>
      </c>
      <c r="AI255" s="171">
        <f t="shared" si="60"/>
        <v>3.4074612740595978E-2</v>
      </c>
      <c r="AK255" s="55">
        <v>5197992.494832349</v>
      </c>
      <c r="AL255" s="166">
        <v>1730.8783319923948</v>
      </c>
      <c r="AM255" s="171">
        <f t="shared" si="61"/>
        <v>-9.51078082938972E-3</v>
      </c>
      <c r="AN255" s="170">
        <f t="shared" si="61"/>
        <v>-9.510780829389609E-3</v>
      </c>
      <c r="AP255" s="55">
        <v>4</v>
      </c>
      <c r="AQ255" s="55">
        <v>0</v>
      </c>
    </row>
    <row r="256" spans="2:43" x14ac:dyDescent="0.2">
      <c r="B256" s="1" t="s">
        <v>537</v>
      </c>
      <c r="D256" s="55">
        <v>4785874</v>
      </c>
      <c r="E256" s="166">
        <v>1645.4277402834398</v>
      </c>
      <c r="G256" s="55">
        <v>4807582.1068758378</v>
      </c>
      <c r="H256" s="166">
        <v>1643.0714946921119</v>
      </c>
      <c r="J256" s="167">
        <f t="shared" si="53"/>
        <v>-4.5153897308983781E-3</v>
      </c>
      <c r="K256" s="168">
        <f t="shared" si="53"/>
        <v>1.4340493392648312E-3</v>
      </c>
      <c r="L256" s="55">
        <v>4972441</v>
      </c>
      <c r="M256" s="167">
        <f t="shared" si="54"/>
        <v>3.8982848273899418E-2</v>
      </c>
      <c r="N256" s="169">
        <f t="shared" si="55"/>
        <v>9.0547645222140982E-3</v>
      </c>
      <c r="O256" s="55">
        <v>4972441</v>
      </c>
      <c r="Q256" s="167">
        <f t="shared" si="56"/>
        <v>3.9950391174084832E-2</v>
      </c>
      <c r="R256" s="170">
        <v>3.3772129617705371E-2</v>
      </c>
      <c r="S256" s="55">
        <v>4977071.5384098822</v>
      </c>
      <c r="T256" s="167">
        <f t="shared" si="57"/>
        <v>4.0032414132272764E-2</v>
      </c>
      <c r="U256" s="170">
        <v>3.3853665284101719E-2</v>
      </c>
      <c r="V256" s="55">
        <v>4977464.0899528768</v>
      </c>
      <c r="X256" s="167">
        <f t="shared" si="58"/>
        <v>3.9950391174084832E-2</v>
      </c>
      <c r="Y256" s="170">
        <v>3.3772129617705371E-2</v>
      </c>
      <c r="Z256" s="55">
        <v>4977071.5384098822</v>
      </c>
      <c r="AB256" s="55">
        <v>4877027.8962516496</v>
      </c>
      <c r="AC256" s="55">
        <v>4977071.5384098822</v>
      </c>
      <c r="AD256" s="167">
        <f t="shared" si="59"/>
        <v>3.9950391174084832E-2</v>
      </c>
      <c r="AE256" s="170">
        <v>3.3772129617705371E-2</v>
      </c>
      <c r="AF256" s="55">
        <v>4977071.5384098822</v>
      </c>
      <c r="AG256" s="166">
        <v>1700.9973392048601</v>
      </c>
      <c r="AH256" s="171">
        <f t="shared" si="60"/>
        <v>3.9950391174084832E-2</v>
      </c>
      <c r="AI256" s="171">
        <f t="shared" si="60"/>
        <v>3.3772129617705371E-2</v>
      </c>
      <c r="AK256" s="55">
        <v>5002520.8679429246</v>
      </c>
      <c r="AL256" s="166">
        <v>1709.695072698577</v>
      </c>
      <c r="AM256" s="171">
        <f t="shared" si="61"/>
        <v>-5.0873010237950655E-3</v>
      </c>
      <c r="AN256" s="170">
        <f t="shared" si="61"/>
        <v>-5.0873010237950655E-3</v>
      </c>
      <c r="AP256" s="55">
        <v>5</v>
      </c>
      <c r="AQ256" s="55">
        <v>0</v>
      </c>
    </row>
    <row r="257" spans="2:43" x14ac:dyDescent="0.2">
      <c r="B257" s="1" t="s">
        <v>538</v>
      </c>
      <c r="D257" s="55">
        <v>2491319</v>
      </c>
      <c r="E257" s="166">
        <v>1557.8550374339532</v>
      </c>
      <c r="G257" s="55">
        <v>2533721.9727845942</v>
      </c>
      <c r="H257" s="166">
        <v>1573.8589263709327</v>
      </c>
      <c r="J257" s="167">
        <f t="shared" si="53"/>
        <v>-1.6735448182577328E-2</v>
      </c>
      <c r="K257" s="168">
        <f t="shared" si="53"/>
        <v>-1.0168566361841602E-2</v>
      </c>
      <c r="L257" s="55">
        <v>2588618</v>
      </c>
      <c r="M257" s="167">
        <f t="shared" si="54"/>
        <v>3.9055215329710791E-2</v>
      </c>
      <c r="N257" s="169">
        <f t="shared" si="55"/>
        <v>9.0547645222140982E-3</v>
      </c>
      <c r="O257" s="55">
        <v>2588618</v>
      </c>
      <c r="Q257" s="167">
        <f t="shared" si="56"/>
        <v>4.1238426456471133E-2</v>
      </c>
      <c r="R257" s="170">
        <v>3.4330492982772354E-2</v>
      </c>
      <c r="S257" s="55">
        <v>2594057.0753611093</v>
      </c>
      <c r="T257" s="167">
        <f t="shared" si="57"/>
        <v>4.1238426456471133E-2</v>
      </c>
      <c r="U257" s="170">
        <v>3.4330492982772354E-2</v>
      </c>
      <c r="V257" s="55">
        <v>2594057.0753611093</v>
      </c>
      <c r="X257" s="167">
        <f t="shared" si="58"/>
        <v>4.1238426456471133E-2</v>
      </c>
      <c r="Y257" s="170">
        <v>3.4330492982772354E-2</v>
      </c>
      <c r="Z257" s="55">
        <v>2594057.0753611093</v>
      </c>
      <c r="AB257" s="55">
        <v>2570681.5933199376</v>
      </c>
      <c r="AC257" s="55">
        <v>2594057.0753611093</v>
      </c>
      <c r="AD257" s="167">
        <f t="shared" si="59"/>
        <v>4.1238426456471133E-2</v>
      </c>
      <c r="AE257" s="170">
        <v>3.4330492982772354E-2</v>
      </c>
      <c r="AF257" s="55">
        <v>2594057.0753611093</v>
      </c>
      <c r="AG257" s="166">
        <v>1611.3369688647558</v>
      </c>
      <c r="AH257" s="171">
        <f t="shared" si="60"/>
        <v>4.1238426456471133E-2</v>
      </c>
      <c r="AI257" s="171">
        <f t="shared" si="60"/>
        <v>3.4330492982772132E-2</v>
      </c>
      <c r="AK257" s="55">
        <v>2636596.5059691668</v>
      </c>
      <c r="AL257" s="166">
        <v>1637.7609661716301</v>
      </c>
      <c r="AM257" s="171">
        <f t="shared" si="61"/>
        <v>-1.6134220959388212E-2</v>
      </c>
      <c r="AN257" s="170">
        <f t="shared" si="61"/>
        <v>-1.6134220959388323E-2</v>
      </c>
      <c r="AP257" s="55">
        <v>2</v>
      </c>
      <c r="AQ257" s="55">
        <v>0</v>
      </c>
    </row>
    <row r="258" spans="2:43" x14ac:dyDescent="0.2">
      <c r="B258" s="1" t="s">
        <v>539</v>
      </c>
      <c r="D258" s="55">
        <v>2575195</v>
      </c>
      <c r="E258" s="166">
        <v>1629.1817567908511</v>
      </c>
      <c r="G258" s="55">
        <v>2595675.9201050224</v>
      </c>
      <c r="H258" s="166">
        <v>1629.331455319774</v>
      </c>
      <c r="J258" s="167">
        <f t="shared" si="53"/>
        <v>-7.8903995473339483E-3</v>
      </c>
      <c r="K258" s="168">
        <f t="shared" si="53"/>
        <v>-9.1877271769513769E-5</v>
      </c>
      <c r="L258" s="55">
        <v>2676548</v>
      </c>
      <c r="M258" s="167">
        <f t="shared" si="54"/>
        <v>3.935740788561648E-2</v>
      </c>
      <c r="N258" s="169">
        <f t="shared" si="55"/>
        <v>9.0547645222140982E-3</v>
      </c>
      <c r="O258" s="55">
        <v>2676548</v>
      </c>
      <c r="Q258" s="167">
        <f t="shared" si="56"/>
        <v>4.0411265830758714E-2</v>
      </c>
      <c r="R258" s="170">
        <v>3.2296849868028499E-2</v>
      </c>
      <c r="S258" s="55">
        <v>2679261.8897110405</v>
      </c>
      <c r="T258" s="167">
        <f t="shared" si="57"/>
        <v>4.0411265830758714E-2</v>
      </c>
      <c r="U258" s="170">
        <v>3.2296849868028499E-2</v>
      </c>
      <c r="V258" s="55">
        <v>2679261.8897110405</v>
      </c>
      <c r="X258" s="167">
        <f t="shared" si="58"/>
        <v>4.0411265830758714E-2</v>
      </c>
      <c r="Y258" s="170">
        <v>3.2296849868028499E-2</v>
      </c>
      <c r="Z258" s="55">
        <v>2679261.8897110405</v>
      </c>
      <c r="AB258" s="55">
        <v>2633917.3916320275</v>
      </c>
      <c r="AC258" s="55">
        <v>2679261.8897110405</v>
      </c>
      <c r="AD258" s="167">
        <f t="shared" si="59"/>
        <v>4.0411265830758714E-2</v>
      </c>
      <c r="AE258" s="170">
        <v>3.2296849868028499E-2</v>
      </c>
      <c r="AF258" s="55">
        <v>2679261.8897110405</v>
      </c>
      <c r="AG258" s="166">
        <v>1681.7991953976561</v>
      </c>
      <c r="AH258" s="171">
        <f t="shared" si="60"/>
        <v>4.0411265830758714E-2</v>
      </c>
      <c r="AI258" s="171">
        <f t="shared" si="60"/>
        <v>3.2296849868028499E-2</v>
      </c>
      <c r="AK258" s="55">
        <v>2701453.7350072074</v>
      </c>
      <c r="AL258" s="166">
        <v>1695.7292362446551</v>
      </c>
      <c r="AM258" s="171">
        <f t="shared" si="61"/>
        <v>-8.2147789571926921E-3</v>
      </c>
      <c r="AN258" s="170">
        <f t="shared" si="61"/>
        <v>-8.2147789571926921E-3</v>
      </c>
      <c r="AP258" s="55">
        <v>2</v>
      </c>
      <c r="AQ258" s="55">
        <v>0</v>
      </c>
    </row>
    <row r="259" spans="2:43" x14ac:dyDescent="0.2">
      <c r="B259" s="1" t="s">
        <v>540</v>
      </c>
      <c r="D259" s="55">
        <v>3129868</v>
      </c>
      <c r="E259" s="166">
        <v>1747.272459066317</v>
      </c>
      <c r="G259" s="55">
        <v>3095269.9561851984</v>
      </c>
      <c r="H259" s="166">
        <v>1717.8052123369978</v>
      </c>
      <c r="J259" s="167">
        <f t="shared" si="53"/>
        <v>1.1177714481951817E-2</v>
      </c>
      <c r="K259" s="168">
        <f t="shared" si="53"/>
        <v>1.7154009382257307E-2</v>
      </c>
      <c r="L259" s="55">
        <v>3250328</v>
      </c>
      <c r="M259" s="167">
        <f t="shared" si="54"/>
        <v>3.8487246107503648E-2</v>
      </c>
      <c r="N259" s="169">
        <f t="shared" si="55"/>
        <v>9.0547645222140982E-3</v>
      </c>
      <c r="O259" s="55">
        <v>3250328</v>
      </c>
      <c r="Q259" s="167">
        <f t="shared" si="56"/>
        <v>3.8487246107503648E-2</v>
      </c>
      <c r="R259" s="170">
        <v>3.2385607638110381E-2</v>
      </c>
      <c r="S259" s="55">
        <v>3250328</v>
      </c>
      <c r="T259" s="167">
        <f t="shared" si="57"/>
        <v>3.8487246107503648E-2</v>
      </c>
      <c r="U259" s="170">
        <v>3.2385607638110381E-2</v>
      </c>
      <c r="V259" s="55">
        <v>3250328</v>
      </c>
      <c r="X259" s="167">
        <f t="shared" si="58"/>
        <v>3.8487246107503648E-2</v>
      </c>
      <c r="Y259" s="170">
        <v>3.2385607638110381E-2</v>
      </c>
      <c r="Z259" s="55">
        <v>3250328</v>
      </c>
      <c r="AB259" s="55">
        <v>3140606.8868568572</v>
      </c>
      <c r="AC259" s="55">
        <v>3250328</v>
      </c>
      <c r="AD259" s="167">
        <f t="shared" si="59"/>
        <v>3.8487246107503648E-2</v>
      </c>
      <c r="AE259" s="170">
        <v>3.2385607638110381E-2</v>
      </c>
      <c r="AF259" s="55">
        <v>3250328</v>
      </c>
      <c r="AG259" s="166">
        <v>1803.8589393625148</v>
      </c>
      <c r="AH259" s="171">
        <f t="shared" si="60"/>
        <v>3.8487246107503648E-2</v>
      </c>
      <c r="AI259" s="171">
        <f t="shared" si="60"/>
        <v>3.2385607638110159E-2</v>
      </c>
      <c r="AK259" s="55">
        <v>3221135.2685711361</v>
      </c>
      <c r="AL259" s="166">
        <v>1787.6576299708579</v>
      </c>
      <c r="AM259" s="171">
        <f t="shared" si="61"/>
        <v>9.0628703841466596E-3</v>
      </c>
      <c r="AN259" s="170">
        <f t="shared" si="61"/>
        <v>9.0628703841466596E-3</v>
      </c>
      <c r="AP259" s="55">
        <v>3</v>
      </c>
      <c r="AQ259" s="55">
        <v>0</v>
      </c>
    </row>
    <row r="260" spans="2:43" ht="15" x14ac:dyDescent="0.25">
      <c r="B260"/>
      <c r="D260" s="1"/>
      <c r="G260" s="1"/>
      <c r="L260" s="1"/>
      <c r="O260" s="1"/>
      <c r="Q260" s="53"/>
      <c r="S260" s="1"/>
      <c r="U260" s="52"/>
      <c r="V260" s="1"/>
      <c r="X260" s="53"/>
      <c r="Y260" s="52"/>
      <c r="Z260" s="1"/>
      <c r="AB260" s="1"/>
      <c r="AC260" s="1"/>
      <c r="AD260" s="53"/>
      <c r="AE260" s="52"/>
      <c r="AF260" s="1"/>
      <c r="AG260" s="75"/>
      <c r="AK260" s="1"/>
      <c r="AL260" s="75"/>
      <c r="AP260" s="1"/>
      <c r="AQ260" s="1"/>
    </row>
    <row r="261" spans="2:43" x14ac:dyDescent="0.2">
      <c r="B261" s="1" t="s">
        <v>12</v>
      </c>
      <c r="D261" s="172">
        <f>SUM(D235:D259)</f>
        <v>99838453</v>
      </c>
      <c r="E261" s="173">
        <v>1692.2107288024779</v>
      </c>
      <c r="G261" s="172">
        <f>SUM(G235:G259)</f>
        <v>99838483.828704506</v>
      </c>
      <c r="H261" s="173">
        <v>1680.716390939572</v>
      </c>
      <c r="J261" s="167">
        <f>D261/G261-1</f>
        <v>-3.0878578405335588E-7</v>
      </c>
      <c r="K261" s="168">
        <f>E261/H261-1</f>
        <v>6.8389514881093127E-3</v>
      </c>
      <c r="L261" s="172">
        <f>SUM(L235:L259)</f>
        <v>103698044</v>
      </c>
      <c r="M261" s="167">
        <f>O261/$D261-1</f>
        <v>3.8801822040660516E-2</v>
      </c>
      <c r="N261" s="169">
        <f>N$222</f>
        <v>9.0547645222140982E-3</v>
      </c>
      <c r="O261" s="172">
        <f>SUM(O235:O259)</f>
        <v>103712366.88612086</v>
      </c>
      <c r="Q261" s="167">
        <f>S261/$D261-1</f>
        <v>4.0887173991738912E-2</v>
      </c>
      <c r="R261" s="170">
        <v>3.3816630794969438E-2</v>
      </c>
      <c r="S261" s="172">
        <f>SUM(S235:S259)</f>
        <v>103920565.19887705</v>
      </c>
      <c r="T261" s="167">
        <f>V261/$D261-1</f>
        <v>4.096391322257964E-2</v>
      </c>
      <c r="U261" s="170">
        <v>3.3892848751208904E-2</v>
      </c>
      <c r="V261" s="172">
        <f>SUM(V235:V259)</f>
        <v>103928226.7249686</v>
      </c>
      <c r="X261" s="167">
        <f>Z261/$D261-1</f>
        <v>4.076875726307172E-2</v>
      </c>
      <c r="Y261" s="170">
        <v>3.3699018448003049E-2</v>
      </c>
      <c r="Z261" s="172">
        <f>SUM(Z235:Z259)</f>
        <v>103908742.65587759</v>
      </c>
      <c r="AB261" s="172">
        <f>SUM(AB235:AB259)</f>
        <v>101300880.79956296</v>
      </c>
      <c r="AC261" s="172">
        <f>SUM(AC235:AC259)</f>
        <v>103908742.65587759</v>
      </c>
      <c r="AD261" s="167">
        <f>AC261/$D261-1</f>
        <v>4.076875726307172E-2</v>
      </c>
      <c r="AE261" s="170">
        <v>3.3699018448003049E-2</v>
      </c>
      <c r="AF261" s="172">
        <f>SUM(AF235:AF259)</f>
        <v>103908742.65587759</v>
      </c>
      <c r="AG261" s="166">
        <v>1749.2365693703009</v>
      </c>
      <c r="AH261" s="171">
        <f>AF261/D261 - 1</f>
        <v>4.076875726307172E-2</v>
      </c>
      <c r="AI261" s="171">
        <f>AG261/E261 - 1</f>
        <v>3.3699018448002827E-2</v>
      </c>
      <c r="AK261" s="172">
        <f>SUM(AK235:AK259)</f>
        <v>103908754.03575228</v>
      </c>
      <c r="AL261" s="173">
        <v>1749.2367609431412</v>
      </c>
      <c r="AM261" s="171">
        <f>AF261/AK261-1</f>
        <v>-1.0951795925695507E-7</v>
      </c>
      <c r="AN261" s="170">
        <f t="shared" ref="AN261" si="62">AG261/AL261-1</f>
        <v>-1.0951795925695507E-7</v>
      </c>
      <c r="AP261" s="172">
        <f>SUM(AP235:AP259)</f>
        <v>118</v>
      </c>
      <c r="AQ261" s="172">
        <f>SUM(AQ235:AQ259)</f>
        <v>0</v>
      </c>
    </row>
    <row r="262" spans="2:43" ht="15" x14ac:dyDescent="0.25">
      <c r="B262"/>
      <c r="D262" s="1"/>
      <c r="G262" s="1"/>
      <c r="L262" s="1"/>
      <c r="O262" s="1"/>
      <c r="Q262" s="53"/>
      <c r="S262" s="1"/>
      <c r="U262" s="52"/>
      <c r="V262" s="1"/>
      <c r="X262" s="53"/>
      <c r="Y262" s="52"/>
      <c r="Z262" s="1"/>
      <c r="AB262" s="1"/>
      <c r="AC262" s="1"/>
      <c r="AD262" s="53"/>
      <c r="AE262" s="52"/>
      <c r="AF262" s="1"/>
      <c r="AG262" s="75"/>
      <c r="AK262" s="1"/>
      <c r="AL262" s="75"/>
      <c r="AP262" s="1"/>
      <c r="AQ262" s="1"/>
    </row>
    <row r="263" spans="2:43" ht="15" x14ac:dyDescent="0.25">
      <c r="B263" s="174" t="s">
        <v>541</v>
      </c>
      <c r="D263" s="1"/>
      <c r="G263" s="1"/>
      <c r="L263" s="1"/>
      <c r="O263" s="1"/>
      <c r="Q263" s="53"/>
      <c r="S263" s="1"/>
      <c r="U263" s="52"/>
      <c r="V263" s="1"/>
      <c r="X263" s="53"/>
      <c r="Y263" s="52"/>
      <c r="Z263" s="1"/>
      <c r="AB263" s="1"/>
      <c r="AC263" s="1"/>
      <c r="AD263" s="53"/>
      <c r="AE263" s="52"/>
      <c r="AF263" s="1"/>
      <c r="AG263" s="75"/>
      <c r="AK263" s="1"/>
      <c r="AL263" s="75"/>
      <c r="AP263" s="1"/>
      <c r="AQ263" s="1"/>
    </row>
    <row r="264" spans="2:43" ht="15" x14ac:dyDescent="0.25">
      <c r="B264" t="s">
        <v>542</v>
      </c>
      <c r="D264" s="55">
        <v>7359912</v>
      </c>
      <c r="E264" s="166">
        <v>1536.4326766584318</v>
      </c>
      <c r="G264" s="55">
        <v>7477102.2981825927</v>
      </c>
      <c r="H264" s="166">
        <v>1548.8528584530827</v>
      </c>
      <c r="J264" s="167">
        <f t="shared" ref="J264:K273" si="63">D264/G264-1</f>
        <v>-1.5673223865223518E-2</v>
      </c>
      <c r="K264" s="168">
        <f t="shared" si="63"/>
        <v>-8.0189552718749058E-3</v>
      </c>
      <c r="L264" s="55">
        <v>7654086</v>
      </c>
      <c r="M264" s="167">
        <f t="shared" ref="M264:M273" si="64">O264/$D264-1</f>
        <v>3.9969771377701191E-2</v>
      </c>
      <c r="N264" s="169">
        <f t="shared" ref="N264:N273" si="65">N$222</f>
        <v>9.0547645222140982E-3</v>
      </c>
      <c r="O264" s="55">
        <v>7654086</v>
      </c>
      <c r="Q264" s="167">
        <f t="shared" ref="Q264:Q273" si="66">S264/$D264-1</f>
        <v>4.2304133199453364E-2</v>
      </c>
      <c r="R264" s="170">
        <v>3.4261564408582634E-2</v>
      </c>
      <c r="S264" s="55">
        <v>7671266.6975842556</v>
      </c>
      <c r="T264" s="167">
        <f t="shared" ref="T264:T273" si="67">V264/$D264-1</f>
        <v>4.2304133199453364E-2</v>
      </c>
      <c r="U264" s="170">
        <v>3.4261564408582634E-2</v>
      </c>
      <c r="V264" s="55">
        <v>7671266.6975842556</v>
      </c>
      <c r="X264" s="167">
        <f t="shared" ref="X264:X273" si="68">Z264/$D264-1</f>
        <v>4.2304133199453364E-2</v>
      </c>
      <c r="Y264" s="170">
        <v>3.4261564408582634E-2</v>
      </c>
      <c r="Z264" s="55">
        <v>7671266.6975842556</v>
      </c>
      <c r="AB264" s="55">
        <v>7586359.5729569616</v>
      </c>
      <c r="AC264" s="55">
        <v>7671266.6975842556</v>
      </c>
      <c r="AD264" s="167">
        <f t="shared" ref="AD264:AD273" si="69">AC264/$D264-1</f>
        <v>4.2304133199453364E-2</v>
      </c>
      <c r="AE264" s="170">
        <v>3.4261564408582634E-2</v>
      </c>
      <c r="AF264" s="55">
        <v>7671266.6975842556</v>
      </c>
      <c r="AG264" s="166">
        <v>1589.0732637692156</v>
      </c>
      <c r="AH264" s="171">
        <f t="shared" ref="AH264:AI273" si="70">AF264/D264 - 1</f>
        <v>4.2304133199453364E-2</v>
      </c>
      <c r="AI264" s="171">
        <f t="shared" si="70"/>
        <v>3.4261564408582634E-2</v>
      </c>
      <c r="AK264" s="55">
        <v>7781322.5876406804</v>
      </c>
      <c r="AL264" s="166">
        <v>1611.8709162695598</v>
      </c>
      <c r="AM264" s="171">
        <f t="shared" ref="AM264:AN273" si="71">AF264/AK264-1</f>
        <v>-1.4143596903594569E-2</v>
      </c>
      <c r="AN264" s="170">
        <f t="shared" si="71"/>
        <v>-1.4143596903594458E-2</v>
      </c>
      <c r="AP264" s="55">
        <v>7</v>
      </c>
      <c r="AQ264" s="55">
        <v>0</v>
      </c>
    </row>
    <row r="265" spans="2:43" ht="15" x14ac:dyDescent="0.25">
      <c r="B265" t="s">
        <v>543</v>
      </c>
      <c r="D265" s="55">
        <v>11040784</v>
      </c>
      <c r="E265" s="166">
        <v>1571.1233923074049</v>
      </c>
      <c r="G265" s="55">
        <v>11212334.668284126</v>
      </c>
      <c r="H265" s="166">
        <v>1583.5073606834183</v>
      </c>
      <c r="J265" s="167">
        <f t="shared" si="63"/>
        <v>-1.5300173724691279E-2</v>
      </c>
      <c r="K265" s="168">
        <f t="shared" si="63"/>
        <v>-7.8205941339412055E-3</v>
      </c>
      <c r="L265" s="55">
        <v>11475387</v>
      </c>
      <c r="M265" s="167">
        <f t="shared" si="64"/>
        <v>3.9363418394925631E-2</v>
      </c>
      <c r="N265" s="169">
        <f t="shared" si="65"/>
        <v>9.0547645222140982E-3</v>
      </c>
      <c r="O265" s="55">
        <v>11475387</v>
      </c>
      <c r="Q265" s="167">
        <f t="shared" si="66"/>
        <v>4.3533887181992803E-2</v>
      </c>
      <c r="R265" s="170">
        <v>3.566717001504105E-2</v>
      </c>
      <c r="S265" s="55">
        <v>11521432.24505675</v>
      </c>
      <c r="T265" s="167">
        <f t="shared" si="67"/>
        <v>4.3541295523362056E-2</v>
      </c>
      <c r="U265" s="170">
        <v>3.5674522508366557E-2</v>
      </c>
      <c r="V265" s="55">
        <v>11521514.038953608</v>
      </c>
      <c r="X265" s="167">
        <f t="shared" si="68"/>
        <v>4.3533887181992803E-2</v>
      </c>
      <c r="Y265" s="170">
        <v>3.566717001504105E-2</v>
      </c>
      <c r="Z265" s="55">
        <v>11521432.24505675</v>
      </c>
      <c r="AB265" s="55">
        <v>11371232.044920061</v>
      </c>
      <c r="AC265" s="55">
        <v>11521432.24505675</v>
      </c>
      <c r="AD265" s="167">
        <f t="shared" si="69"/>
        <v>4.3533887181992803E-2</v>
      </c>
      <c r="AE265" s="170">
        <v>3.566717001504105E-2</v>
      </c>
      <c r="AF265" s="55">
        <v>11521432.24505675</v>
      </c>
      <c r="AG265" s="166">
        <v>1627.1609174554408</v>
      </c>
      <c r="AH265" s="171">
        <f t="shared" si="70"/>
        <v>4.3533887181992803E-2</v>
      </c>
      <c r="AI265" s="171">
        <f t="shared" si="70"/>
        <v>3.5667170015040828E-2</v>
      </c>
      <c r="AK265" s="55">
        <v>11669014.65528894</v>
      </c>
      <c r="AL265" s="166">
        <v>1648.0038408807579</v>
      </c>
      <c r="AM265" s="171">
        <f t="shared" si="71"/>
        <v>-1.2647375514718284E-2</v>
      </c>
      <c r="AN265" s="170">
        <f t="shared" si="71"/>
        <v>-1.2647375514718395E-2</v>
      </c>
      <c r="AP265" s="55">
        <v>8</v>
      </c>
      <c r="AQ265" s="55">
        <v>0</v>
      </c>
    </row>
    <row r="266" spans="2:43" ht="15" x14ac:dyDescent="0.25">
      <c r="B266" t="s">
        <v>544</v>
      </c>
      <c r="D266" s="55">
        <v>11480943</v>
      </c>
      <c r="E266" s="166">
        <v>1636.5847402822801</v>
      </c>
      <c r="G266" s="55">
        <v>11648854.489363022</v>
      </c>
      <c r="H266" s="166">
        <v>1648.2203882018107</v>
      </c>
      <c r="J266" s="167">
        <f t="shared" si="63"/>
        <v>-1.4414420706889919E-2</v>
      </c>
      <c r="K266" s="168">
        <f t="shared" si="63"/>
        <v>-7.059521895748988E-3</v>
      </c>
      <c r="L266" s="55">
        <v>11929856</v>
      </c>
      <c r="M266" s="167">
        <f t="shared" si="64"/>
        <v>3.9100708016754471E-2</v>
      </c>
      <c r="N266" s="169">
        <f t="shared" si="65"/>
        <v>9.0547645222140982E-3</v>
      </c>
      <c r="O266" s="55">
        <v>11929856</v>
      </c>
      <c r="Q266" s="167">
        <f t="shared" si="66"/>
        <v>4.192418190301872E-2</v>
      </c>
      <c r="R266" s="170">
        <v>3.4206451489400713E-2</v>
      </c>
      <c r="S266" s="55">
        <v>11962272.142750189</v>
      </c>
      <c r="T266" s="167">
        <f t="shared" si="67"/>
        <v>4.192418190301872E-2</v>
      </c>
      <c r="U266" s="170">
        <v>3.4206451489400713E-2</v>
      </c>
      <c r="V266" s="55">
        <v>11962272.142750189</v>
      </c>
      <c r="X266" s="167">
        <f t="shared" si="68"/>
        <v>4.192418190301872E-2</v>
      </c>
      <c r="Y266" s="170">
        <v>3.4206451489400713E-2</v>
      </c>
      <c r="Z266" s="55">
        <v>11962272.142750189</v>
      </c>
      <c r="AB266" s="55">
        <v>11819748.01316325</v>
      </c>
      <c r="AC266" s="55">
        <v>11962272.142750189</v>
      </c>
      <c r="AD266" s="167">
        <f t="shared" si="69"/>
        <v>4.192418190301872E-2</v>
      </c>
      <c r="AE266" s="170">
        <v>3.4206451489400713E-2</v>
      </c>
      <c r="AF266" s="55">
        <v>11962272.142750189</v>
      </c>
      <c r="AG266" s="166">
        <v>1692.5664968090396</v>
      </c>
      <c r="AH266" s="171">
        <f t="shared" si="70"/>
        <v>4.192418190301872E-2</v>
      </c>
      <c r="AI266" s="171">
        <f t="shared" si="70"/>
        <v>3.4206451489400713E-2</v>
      </c>
      <c r="AK266" s="55">
        <v>12122837.063502794</v>
      </c>
      <c r="AL266" s="166">
        <v>1715.2851577946419</v>
      </c>
      <c r="AM266" s="171">
        <f t="shared" si="71"/>
        <v>-1.3244830390074624E-2</v>
      </c>
      <c r="AN266" s="170">
        <f t="shared" si="71"/>
        <v>-1.3244830390074624E-2</v>
      </c>
      <c r="AP266" s="55">
        <v>10</v>
      </c>
      <c r="AQ266" s="55">
        <v>0</v>
      </c>
    </row>
    <row r="267" spans="2:43" ht="15" x14ac:dyDescent="0.25">
      <c r="B267" t="s">
        <v>545</v>
      </c>
      <c r="D267" s="55">
        <v>9094695</v>
      </c>
      <c r="E267" s="166">
        <v>1645.4765195519001</v>
      </c>
      <c r="G267" s="55">
        <v>9150407.358594818</v>
      </c>
      <c r="H267" s="166">
        <v>1642.8643941681003</v>
      </c>
      <c r="J267" s="167">
        <f t="shared" si="63"/>
        <v>-6.0885112991705403E-3</v>
      </c>
      <c r="K267" s="168">
        <f t="shared" si="63"/>
        <v>1.5899823461220652E-3</v>
      </c>
      <c r="L267" s="55">
        <v>9449511</v>
      </c>
      <c r="M267" s="167">
        <f t="shared" si="64"/>
        <v>3.9013512822585028E-2</v>
      </c>
      <c r="N267" s="169">
        <f t="shared" si="65"/>
        <v>9.0547645222140982E-3</v>
      </c>
      <c r="O267" s="55">
        <v>9449511</v>
      </c>
      <c r="Q267" s="167">
        <f t="shared" si="66"/>
        <v>4.2279046522522679E-2</v>
      </c>
      <c r="R267" s="170">
        <v>3.4288618127264137E-2</v>
      </c>
      <c r="S267" s="55">
        <v>9479210.0330131538</v>
      </c>
      <c r="T267" s="167">
        <f t="shared" si="67"/>
        <v>4.2279046522522679E-2</v>
      </c>
      <c r="U267" s="170">
        <v>3.4288618127264137E-2</v>
      </c>
      <c r="V267" s="55">
        <v>9479210.0330131538</v>
      </c>
      <c r="X267" s="167">
        <f t="shared" si="68"/>
        <v>4.2279046522522679E-2</v>
      </c>
      <c r="Y267" s="170">
        <v>3.4288618127264137E-2</v>
      </c>
      <c r="Z267" s="55">
        <v>9479210.0330131538</v>
      </c>
      <c r="AB267" s="55">
        <v>9284868.4021456912</v>
      </c>
      <c r="AC267" s="55">
        <v>9479210.0330131538</v>
      </c>
      <c r="AD267" s="167">
        <f t="shared" si="69"/>
        <v>4.2279046522522679E-2</v>
      </c>
      <c r="AE267" s="170">
        <v>3.4288618127264137E-2</v>
      </c>
      <c r="AF267" s="55">
        <v>9479210.0330131538</v>
      </c>
      <c r="AG267" s="166">
        <v>1701.8976355681946</v>
      </c>
      <c r="AH267" s="171">
        <f t="shared" si="70"/>
        <v>4.2279046522522679E-2</v>
      </c>
      <c r="AI267" s="171">
        <f t="shared" si="70"/>
        <v>3.4288618127263915E-2</v>
      </c>
      <c r="AK267" s="55">
        <v>9523532.4571433216</v>
      </c>
      <c r="AL267" s="166">
        <v>1709.8552848414017</v>
      </c>
      <c r="AM267" s="171">
        <f t="shared" si="71"/>
        <v>-4.6539899275424013E-3</v>
      </c>
      <c r="AN267" s="170">
        <f t="shared" si="71"/>
        <v>-4.6539899275425123E-3</v>
      </c>
      <c r="AP267" s="55">
        <v>9</v>
      </c>
      <c r="AQ267" s="55">
        <v>0</v>
      </c>
    </row>
    <row r="268" spans="2:43" ht="15" x14ac:dyDescent="0.25">
      <c r="B268" t="s">
        <v>546</v>
      </c>
      <c r="D268" s="55">
        <v>9738333</v>
      </c>
      <c r="E268" s="166">
        <v>1703.5961633991883</v>
      </c>
      <c r="G268" s="55">
        <v>9722703.1653447095</v>
      </c>
      <c r="H268" s="166">
        <v>1691.4152409943313</v>
      </c>
      <c r="J268" s="167">
        <f t="shared" si="63"/>
        <v>1.6075606124643649E-3</v>
      </c>
      <c r="K268" s="168">
        <f t="shared" si="63"/>
        <v>7.2016156113718921E-3</v>
      </c>
      <c r="L268" s="55">
        <v>10114988</v>
      </c>
      <c r="M268" s="167">
        <f t="shared" si="64"/>
        <v>3.8677564219666838E-2</v>
      </c>
      <c r="N268" s="169">
        <f t="shared" si="65"/>
        <v>9.0547645222140982E-3</v>
      </c>
      <c r="O268" s="55">
        <v>10114988</v>
      </c>
      <c r="Q268" s="167">
        <f t="shared" si="66"/>
        <v>4.0505187889958938E-2</v>
      </c>
      <c r="R268" s="170">
        <v>3.472616295841946E-2</v>
      </c>
      <c r="S268" s="55">
        <v>10132786.007899988</v>
      </c>
      <c r="T268" s="167">
        <f t="shared" si="67"/>
        <v>4.0505187889958938E-2</v>
      </c>
      <c r="U268" s="170">
        <v>3.472616295841946E-2</v>
      </c>
      <c r="V268" s="55">
        <v>10132786.007899988</v>
      </c>
      <c r="X268" s="167">
        <f t="shared" si="68"/>
        <v>4.0505187889958938E-2</v>
      </c>
      <c r="Y268" s="170">
        <v>3.472616295841946E-2</v>
      </c>
      <c r="Z268" s="55">
        <v>10132786.007899988</v>
      </c>
      <c r="AB268" s="55">
        <v>9864932.8921364695</v>
      </c>
      <c r="AC268" s="55">
        <v>10132786.007899988</v>
      </c>
      <c r="AD268" s="167">
        <f t="shared" si="69"/>
        <v>4.0505187889958938E-2</v>
      </c>
      <c r="AE268" s="170">
        <v>3.472616295841946E-2</v>
      </c>
      <c r="AF268" s="55">
        <v>10132786.007899988</v>
      </c>
      <c r="AG268" s="166">
        <v>1762.7555213847265</v>
      </c>
      <c r="AH268" s="171">
        <f t="shared" si="70"/>
        <v>4.0505187889958938E-2</v>
      </c>
      <c r="AI268" s="171">
        <f t="shared" si="70"/>
        <v>3.472616295841946E-2</v>
      </c>
      <c r="AK268" s="55">
        <v>10117879.889370739</v>
      </c>
      <c r="AL268" s="166">
        <v>1760.1623705257859</v>
      </c>
      <c r="AM268" s="171">
        <f t="shared" si="71"/>
        <v>1.4732452541672547E-3</v>
      </c>
      <c r="AN268" s="170">
        <f t="shared" si="71"/>
        <v>1.4732452541670327E-3</v>
      </c>
      <c r="AP268" s="55">
        <v>12</v>
      </c>
      <c r="AQ268" s="55">
        <v>0</v>
      </c>
    </row>
    <row r="269" spans="2:43" ht="15" x14ac:dyDescent="0.25">
      <c r="B269" t="s">
        <v>547</v>
      </c>
      <c r="D269" s="55">
        <v>7994564</v>
      </c>
      <c r="E269" s="166">
        <v>1682.0159928585033</v>
      </c>
      <c r="G269" s="55">
        <v>8001849.1507327994</v>
      </c>
      <c r="H269" s="166">
        <v>1673.0340747455448</v>
      </c>
      <c r="J269" s="167">
        <f t="shared" si="63"/>
        <v>-9.1043340052621158E-4</v>
      </c>
      <c r="K269" s="168">
        <f t="shared" si="63"/>
        <v>5.3686402737043171E-3</v>
      </c>
      <c r="L269" s="55">
        <v>8302600</v>
      </c>
      <c r="M269" s="167">
        <f t="shared" si="64"/>
        <v>3.8530681598145877E-2</v>
      </c>
      <c r="N269" s="169">
        <f t="shared" si="65"/>
        <v>9.0547645222140982E-3</v>
      </c>
      <c r="O269" s="55">
        <v>8302600</v>
      </c>
      <c r="Q269" s="167">
        <f t="shared" si="66"/>
        <v>4.0280113854358257E-2</v>
      </c>
      <c r="R269" s="170">
        <v>3.3782999049832396E-2</v>
      </c>
      <c r="S269" s="55">
        <v>8316585.9481359543</v>
      </c>
      <c r="T269" s="167">
        <f t="shared" si="67"/>
        <v>4.0329216162251047E-2</v>
      </c>
      <c r="U269" s="170">
        <v>3.3831794687120498E-2</v>
      </c>
      <c r="V269" s="55">
        <v>8316978.4996789498</v>
      </c>
      <c r="X269" s="167">
        <f t="shared" si="68"/>
        <v>4.0280113854358257E-2</v>
      </c>
      <c r="Y269" s="170">
        <v>3.3782999049832396E-2</v>
      </c>
      <c r="Z269" s="55">
        <v>8316585.9481359543</v>
      </c>
      <c r="AB269" s="55">
        <v>8119061.5363164637</v>
      </c>
      <c r="AC269" s="55">
        <v>8316585.9481359543</v>
      </c>
      <c r="AD269" s="167">
        <f t="shared" si="69"/>
        <v>4.0280113854358257E-2</v>
      </c>
      <c r="AE269" s="170">
        <v>3.3782999049832396E-2</v>
      </c>
      <c r="AF269" s="55">
        <v>8316585.9481359543</v>
      </c>
      <c r="AG269" s="166">
        <v>1738.839537547045</v>
      </c>
      <c r="AH269" s="171">
        <f t="shared" si="70"/>
        <v>4.0280113854358257E-2</v>
      </c>
      <c r="AI269" s="171">
        <f t="shared" si="70"/>
        <v>3.3782999049832396E-2</v>
      </c>
      <c r="AK269" s="55">
        <v>8327242.601350219</v>
      </c>
      <c r="AL269" s="166">
        <v>1741.0676405285387</v>
      </c>
      <c r="AM269" s="171">
        <f t="shared" si="71"/>
        <v>-1.2797337275290976E-3</v>
      </c>
      <c r="AN269" s="170">
        <f t="shared" si="71"/>
        <v>-1.2797337275289866E-3</v>
      </c>
      <c r="AP269" s="55">
        <v>14</v>
      </c>
      <c r="AQ269" s="55">
        <v>0</v>
      </c>
    </row>
    <row r="270" spans="2:43" ht="15" x14ac:dyDescent="0.25">
      <c r="B270" t="s">
        <v>548</v>
      </c>
      <c r="D270" s="55">
        <v>9621723</v>
      </c>
      <c r="E270" s="166">
        <v>1716.9925018433696</v>
      </c>
      <c r="G270" s="55">
        <v>9482623.4301878586</v>
      </c>
      <c r="H270" s="166">
        <v>1679.8542523704286</v>
      </c>
      <c r="J270" s="167">
        <f t="shared" si="63"/>
        <v>1.4668891033816633E-2</v>
      </c>
      <c r="K270" s="168">
        <f t="shared" si="63"/>
        <v>2.2108018847787125E-2</v>
      </c>
      <c r="L270" s="55">
        <v>9976576</v>
      </c>
      <c r="M270" s="167">
        <f t="shared" si="64"/>
        <v>3.8018814055982286E-2</v>
      </c>
      <c r="N270" s="169">
        <f t="shared" si="65"/>
        <v>9.0547645222140982E-3</v>
      </c>
      <c r="O270" s="55">
        <v>9987529.4976351671</v>
      </c>
      <c r="Q270" s="167">
        <f t="shared" si="66"/>
        <v>3.9851077721047679E-2</v>
      </c>
      <c r="R270" s="170">
        <v>3.2282812007427442E-2</v>
      </c>
      <c r="S270" s="55">
        <v>10005159.031083392</v>
      </c>
      <c r="T270" s="167">
        <f t="shared" si="67"/>
        <v>4.0082647137799743E-2</v>
      </c>
      <c r="U270" s="170">
        <v>3.2512696010840392E-2</v>
      </c>
      <c r="V270" s="55">
        <v>10007387.127866652</v>
      </c>
      <c r="X270" s="167">
        <f t="shared" si="68"/>
        <v>3.8915025652517032E-2</v>
      </c>
      <c r="Y270" s="170">
        <v>3.1353572732505608E-2</v>
      </c>
      <c r="Z270" s="55">
        <v>9996152.5973664131</v>
      </c>
      <c r="AB270" s="55">
        <v>9622702.4335728604</v>
      </c>
      <c r="AC270" s="55">
        <v>9996152.5973664131</v>
      </c>
      <c r="AD270" s="167">
        <f t="shared" si="69"/>
        <v>3.8915025652517032E-2</v>
      </c>
      <c r="AE270" s="170">
        <v>3.1353572732505608E-2</v>
      </c>
      <c r="AF270" s="55">
        <v>9996152.5973664131</v>
      </c>
      <c r="AG270" s="166">
        <v>1770.8263511310824</v>
      </c>
      <c r="AH270" s="171">
        <f t="shared" si="70"/>
        <v>3.8915025652517032E-2</v>
      </c>
      <c r="AI270" s="171">
        <f t="shared" si="70"/>
        <v>3.1353572732505608E-2</v>
      </c>
      <c r="AK270" s="55">
        <v>9869935.0194994193</v>
      </c>
      <c r="AL270" s="166">
        <v>1748.4668072279917</v>
      </c>
      <c r="AM270" s="171">
        <f t="shared" si="71"/>
        <v>1.2788086002353038E-2</v>
      </c>
      <c r="AN270" s="170">
        <f t="shared" si="71"/>
        <v>1.2788086002352816E-2</v>
      </c>
      <c r="AP270" s="55">
        <v>12</v>
      </c>
      <c r="AQ270" s="55">
        <v>0</v>
      </c>
    </row>
    <row r="271" spans="2:43" ht="15" x14ac:dyDescent="0.25">
      <c r="B271" t="s">
        <v>549</v>
      </c>
      <c r="D271" s="55">
        <v>11709368</v>
      </c>
      <c r="E271" s="166">
        <v>1767.3048114917833</v>
      </c>
      <c r="G271" s="55">
        <v>11599790.277073342</v>
      </c>
      <c r="H271" s="166">
        <v>1740.2401647308341</v>
      </c>
      <c r="J271" s="167">
        <f t="shared" si="63"/>
        <v>9.4465262137743977E-3</v>
      </c>
      <c r="K271" s="168">
        <f t="shared" si="63"/>
        <v>1.5552248080158204E-2</v>
      </c>
      <c r="L271" s="55">
        <v>12162046</v>
      </c>
      <c r="M271" s="167">
        <f t="shared" si="64"/>
        <v>3.8659473337929073E-2</v>
      </c>
      <c r="N271" s="169">
        <f t="shared" si="65"/>
        <v>9.0547645222140982E-3</v>
      </c>
      <c r="O271" s="55">
        <v>12162046</v>
      </c>
      <c r="Q271" s="167">
        <f t="shared" si="66"/>
        <v>3.9879982059320085E-2</v>
      </c>
      <c r="R271" s="170">
        <v>3.3627996544170813E-2</v>
      </c>
      <c r="S271" s="55">
        <v>12176337.385765977</v>
      </c>
      <c r="T271" s="167">
        <f t="shared" si="67"/>
        <v>3.9879982059320085E-2</v>
      </c>
      <c r="U271" s="170">
        <v>3.3627996544170813E-2</v>
      </c>
      <c r="V271" s="55">
        <v>12176337.385765977</v>
      </c>
      <c r="X271" s="167">
        <f t="shared" si="68"/>
        <v>3.9879982059320085E-2</v>
      </c>
      <c r="Y271" s="170">
        <v>3.3627996544170813E-2</v>
      </c>
      <c r="Z271" s="55">
        <v>12176337.385765977</v>
      </c>
      <c r="AB271" s="55">
        <v>11770141.868054347</v>
      </c>
      <c r="AC271" s="55">
        <v>12176337.385765977</v>
      </c>
      <c r="AD271" s="167">
        <f t="shared" si="69"/>
        <v>3.9879982059320085E-2</v>
      </c>
      <c r="AE271" s="170">
        <v>3.3627996544170813E-2</v>
      </c>
      <c r="AF271" s="55">
        <v>12176337.385765977</v>
      </c>
      <c r="AG271" s="166">
        <v>1826.7357315851254</v>
      </c>
      <c r="AH271" s="171">
        <f t="shared" si="70"/>
        <v>3.9879982059320085E-2</v>
      </c>
      <c r="AI271" s="171">
        <f t="shared" si="70"/>
        <v>3.3627996544170813E-2</v>
      </c>
      <c r="AK271" s="55">
        <v>12072785.541392647</v>
      </c>
      <c r="AL271" s="166">
        <v>1811.2005301369927</v>
      </c>
      <c r="AM271" s="171">
        <f t="shared" si="71"/>
        <v>8.5772951087628169E-3</v>
      </c>
      <c r="AN271" s="170">
        <f t="shared" si="71"/>
        <v>8.5772951087628169E-3</v>
      </c>
      <c r="AP271" s="55">
        <v>14</v>
      </c>
      <c r="AQ271" s="55">
        <v>0</v>
      </c>
    </row>
    <row r="272" spans="2:43" ht="15" x14ac:dyDescent="0.25">
      <c r="B272" t="s">
        <v>550</v>
      </c>
      <c r="D272" s="55">
        <v>10311086</v>
      </c>
      <c r="E272" s="166">
        <v>1817.9195829803296</v>
      </c>
      <c r="G272" s="55">
        <v>10143515.979466304</v>
      </c>
      <c r="H272" s="166">
        <v>1776.288566440134</v>
      </c>
      <c r="J272" s="167">
        <f t="shared" si="63"/>
        <v>1.6519914876943043E-2</v>
      </c>
      <c r="K272" s="168">
        <f t="shared" si="63"/>
        <v>2.3437079608989775E-2</v>
      </c>
      <c r="L272" s="55">
        <v>10700110</v>
      </c>
      <c r="M272" s="167">
        <f t="shared" si="64"/>
        <v>3.8040863834549299E-2</v>
      </c>
      <c r="N272" s="169">
        <f t="shared" si="65"/>
        <v>9.0547645222140982E-3</v>
      </c>
      <c r="O272" s="55">
        <v>10703328.618512329</v>
      </c>
      <c r="Q272" s="167">
        <f t="shared" si="66"/>
        <v>3.8829201554817949E-2</v>
      </c>
      <c r="R272" s="170">
        <v>3.1808005177645038E-2</v>
      </c>
      <c r="S272" s="55">
        <v>10711457.236543061</v>
      </c>
      <c r="T272" s="167">
        <f t="shared" si="67"/>
        <v>3.9274755454418386E-2</v>
      </c>
      <c r="U272" s="170">
        <v>3.2250547685747311E-2</v>
      </c>
      <c r="V272" s="55">
        <v>10716051.381119477</v>
      </c>
      <c r="X272" s="167">
        <f t="shared" si="68"/>
        <v>3.8556086842896464E-2</v>
      </c>
      <c r="Y272" s="170">
        <v>3.1536736382283381E-2</v>
      </c>
      <c r="Z272" s="55">
        <v>10708641.127260573</v>
      </c>
      <c r="AB272" s="55">
        <v>10294161.356392467</v>
      </c>
      <c r="AC272" s="55">
        <v>10708641.127260573</v>
      </c>
      <c r="AD272" s="167">
        <f t="shared" si="69"/>
        <v>3.8556086842896464E-2</v>
      </c>
      <c r="AE272" s="170">
        <v>3.1536736382283381E-2</v>
      </c>
      <c r="AF272" s="55">
        <v>10708641.127260573</v>
      </c>
      <c r="AG272" s="166">
        <v>1875.2508336329702</v>
      </c>
      <c r="AH272" s="171">
        <f t="shared" si="70"/>
        <v>3.8556086842896464E-2</v>
      </c>
      <c r="AI272" s="171">
        <f t="shared" si="70"/>
        <v>3.1536736382283159E-2</v>
      </c>
      <c r="AK272" s="55">
        <v>10558114.211684579</v>
      </c>
      <c r="AL272" s="166">
        <v>1848.891212410862</v>
      </c>
      <c r="AM272" s="171">
        <f t="shared" si="71"/>
        <v>1.4256988753674094E-2</v>
      </c>
      <c r="AN272" s="170">
        <f t="shared" si="71"/>
        <v>1.4256988753673872E-2</v>
      </c>
      <c r="AP272" s="55">
        <v>16</v>
      </c>
      <c r="AQ272" s="55">
        <v>0</v>
      </c>
    </row>
    <row r="273" spans="2:43" ht="15" x14ac:dyDescent="0.25">
      <c r="B273" t="s">
        <v>551</v>
      </c>
      <c r="D273" s="55">
        <v>11487045</v>
      </c>
      <c r="E273" s="166">
        <v>1832.5367018562802</v>
      </c>
      <c r="G273" s="55">
        <v>11399303.011474924</v>
      </c>
      <c r="H273" s="166">
        <v>1808.0753752185676</v>
      </c>
      <c r="J273" s="167">
        <f t="shared" si="63"/>
        <v>7.6971362579583147E-3</v>
      </c>
      <c r="K273" s="168">
        <f t="shared" si="63"/>
        <v>1.3528930802874095E-2</v>
      </c>
      <c r="L273" s="55">
        <v>11932884</v>
      </c>
      <c r="M273" s="167">
        <f t="shared" si="64"/>
        <v>3.8825456849290507E-2</v>
      </c>
      <c r="N273" s="169">
        <f t="shared" si="65"/>
        <v>9.0547645222140982E-3</v>
      </c>
      <c r="O273" s="55">
        <v>11933034.769973358</v>
      </c>
      <c r="Q273" s="167">
        <f t="shared" si="66"/>
        <v>3.9785120633229365E-2</v>
      </c>
      <c r="R273" s="170">
        <v>3.3802249291224218E-2</v>
      </c>
      <c r="S273" s="55">
        <v>11944058.471044334</v>
      </c>
      <c r="T273" s="167">
        <f t="shared" si="67"/>
        <v>3.9816890273901784E-2</v>
      </c>
      <c r="U273" s="170">
        <v>3.3833836130980455E-2</v>
      </c>
      <c r="V273" s="55">
        <v>11944423.410336373</v>
      </c>
      <c r="X273" s="167">
        <f t="shared" si="68"/>
        <v>3.9785120633229365E-2</v>
      </c>
      <c r="Y273" s="170">
        <v>3.3802249291224218E-2</v>
      </c>
      <c r="Z273" s="55">
        <v>11944058.471044334</v>
      </c>
      <c r="AB273" s="55">
        <v>11567672.679904398</v>
      </c>
      <c r="AC273" s="55">
        <v>11944058.471044334</v>
      </c>
      <c r="AD273" s="167">
        <f t="shared" si="69"/>
        <v>3.9785120633229365E-2</v>
      </c>
      <c r="AE273" s="170">
        <v>3.3802249291224218E-2</v>
      </c>
      <c r="AF273" s="55">
        <v>11944058.471044334</v>
      </c>
      <c r="AG273" s="166">
        <v>1894.4805642877441</v>
      </c>
      <c r="AH273" s="171">
        <f t="shared" si="70"/>
        <v>3.9785120633229365E-2</v>
      </c>
      <c r="AI273" s="171">
        <f t="shared" si="70"/>
        <v>3.3802249291224218E-2</v>
      </c>
      <c r="AK273" s="55">
        <v>11866090.008878928</v>
      </c>
      <c r="AL273" s="166">
        <v>1882.113768147399</v>
      </c>
      <c r="AM273" s="171">
        <f t="shared" si="71"/>
        <v>6.570695326519882E-3</v>
      </c>
      <c r="AN273" s="170">
        <f t="shared" si="71"/>
        <v>6.570695326520104E-3</v>
      </c>
      <c r="AP273" s="55">
        <v>16</v>
      </c>
      <c r="AQ273" s="55">
        <v>0</v>
      </c>
    </row>
    <row r="274" spans="2:43" ht="15" x14ac:dyDescent="0.25">
      <c r="B274"/>
      <c r="D274" s="1"/>
      <c r="G274" s="1"/>
      <c r="L274" s="1"/>
      <c r="O274" s="1"/>
      <c r="Q274" s="53"/>
      <c r="S274" s="1"/>
      <c r="U274" s="52"/>
      <c r="V274" s="1"/>
      <c r="X274" s="53"/>
      <c r="Y274" s="52"/>
      <c r="Z274" s="1"/>
      <c r="AB274" s="1"/>
      <c r="AC274" s="1"/>
      <c r="AD274" s="53"/>
      <c r="AE274" s="52"/>
      <c r="AF274" s="1"/>
      <c r="AG274" s="75"/>
      <c r="AK274" s="1"/>
      <c r="AL274" s="75"/>
      <c r="AP274" s="1"/>
      <c r="AQ274" s="1"/>
    </row>
    <row r="275" spans="2:43" ht="15" x14ac:dyDescent="0.25">
      <c r="B275" t="s">
        <v>12</v>
      </c>
      <c r="D275" s="172">
        <f>SUM(D264:D273)</f>
        <v>99838453</v>
      </c>
      <c r="E275" s="173">
        <v>1692.2107288024779</v>
      </c>
      <c r="G275" s="172">
        <f>SUM(G264:G273)</f>
        <v>99838483.828704491</v>
      </c>
      <c r="H275" s="173">
        <v>1680.7163909395717</v>
      </c>
      <c r="J275" s="167">
        <f>D275/G275-1</f>
        <v>-3.0878578394233358E-7</v>
      </c>
      <c r="K275" s="168">
        <f>E275/H275-1</f>
        <v>6.8389514881095348E-3</v>
      </c>
      <c r="L275" s="172">
        <f>SUM(L264:L273)</f>
        <v>103698044</v>
      </c>
      <c r="M275" s="167">
        <f>O275/$D275-1</f>
        <v>3.8801822040660516E-2</v>
      </c>
      <c r="N275" s="169">
        <f>N$222</f>
        <v>9.0547645222140982E-3</v>
      </c>
      <c r="O275" s="172">
        <f>SUM(O264:O273)</f>
        <v>103712366.88612086</v>
      </c>
      <c r="Q275" s="167">
        <f>S275/$D275-1</f>
        <v>4.088717399173869E-2</v>
      </c>
      <c r="R275" s="170">
        <v>3.3816630794969216E-2</v>
      </c>
      <c r="S275" s="172">
        <f>SUM(S264:S273)</f>
        <v>103920565.19887704</v>
      </c>
      <c r="T275" s="167">
        <f>V275/$D275-1</f>
        <v>4.0963913222579862E-2</v>
      </c>
      <c r="U275" s="170">
        <v>3.3892848751209126E-2</v>
      </c>
      <c r="V275" s="172">
        <f>SUM(V264:V273)</f>
        <v>103928226.72496863</v>
      </c>
      <c r="X275" s="167">
        <f>Z275/$D275-1</f>
        <v>4.0768757263071276E-2</v>
      </c>
      <c r="Y275" s="170">
        <v>3.3699018448002604E-2</v>
      </c>
      <c r="Z275" s="172">
        <f>SUM(Z264:Z273)</f>
        <v>103908742.65587756</v>
      </c>
      <c r="AB275" s="172">
        <f>SUM(AB264:AB273)</f>
        <v>101300880.79956298</v>
      </c>
      <c r="AC275" s="172">
        <f>SUM(AC264:AC273)</f>
        <v>103908742.65587756</v>
      </c>
      <c r="AD275" s="167">
        <f>AC275/$D275-1</f>
        <v>4.0768757263071276E-2</v>
      </c>
      <c r="AE275" s="170">
        <v>3.3699018448002604E-2</v>
      </c>
      <c r="AF275" s="172">
        <f>SUM(AF264:AF273)</f>
        <v>103908742.65587756</v>
      </c>
      <c r="AG275" s="166">
        <v>1749.2365693703005</v>
      </c>
      <c r="AH275" s="171">
        <f>AF275/D275 - 1</f>
        <v>4.0768757263071276E-2</v>
      </c>
      <c r="AI275" s="171">
        <f>AG275/E275 - 1</f>
        <v>3.3699018448002604E-2</v>
      </c>
      <c r="AK275" s="172">
        <f>SUM(AK264:AK273)</f>
        <v>103908754.03575228</v>
      </c>
      <c r="AL275" s="173">
        <v>1749.2367609431412</v>
      </c>
      <c r="AM275" s="171">
        <f>AF275/AK275-1</f>
        <v>-1.0951795959002197E-7</v>
      </c>
      <c r="AN275" s="170">
        <f t="shared" ref="AN275" si="72">AG275/AL275-1</f>
        <v>-1.0951795947899967E-7</v>
      </c>
      <c r="AP275" s="172">
        <f>SUM(AP264:AP273)</f>
        <v>118</v>
      </c>
      <c r="AQ275" s="172">
        <f>SUM(AQ264:AQ273)</f>
        <v>0</v>
      </c>
    </row>
    <row r="276" spans="2:43" ht="15" x14ac:dyDescent="0.25">
      <c r="B276"/>
      <c r="D276" s="1"/>
      <c r="G276" s="1"/>
      <c r="L276" s="1"/>
      <c r="O276" s="1"/>
      <c r="Q276" s="53"/>
      <c r="S276" s="1"/>
      <c r="U276" s="52"/>
      <c r="V276" s="1"/>
      <c r="X276" s="53"/>
      <c r="Y276" s="52"/>
      <c r="Z276" s="1"/>
      <c r="AB276" s="1"/>
      <c r="AC276" s="1"/>
      <c r="AD276" s="53"/>
      <c r="AE276" s="52"/>
      <c r="AF276" s="1"/>
      <c r="AG276" s="75"/>
      <c r="AK276" s="1"/>
      <c r="AL276" s="75"/>
      <c r="AP276" s="1"/>
      <c r="AQ276" s="1"/>
    </row>
    <row r="277" spans="2:43" ht="15" x14ac:dyDescent="0.25">
      <c r="B277" s="174" t="s">
        <v>552</v>
      </c>
      <c r="D277" s="1"/>
      <c r="G277" s="1"/>
      <c r="L277" s="1"/>
      <c r="O277" s="1"/>
      <c r="Q277" s="53"/>
      <c r="S277" s="1"/>
      <c r="U277" s="52"/>
      <c r="V277" s="1"/>
      <c r="X277" s="53"/>
      <c r="Y277" s="52"/>
      <c r="Z277" s="1"/>
      <c r="AB277" s="1"/>
      <c r="AC277" s="1"/>
      <c r="AD277" s="53"/>
      <c r="AE277" s="52"/>
      <c r="AF277" s="1"/>
      <c r="AG277" s="75"/>
      <c r="AK277" s="1"/>
      <c r="AL277" s="75"/>
      <c r="AP277" s="1"/>
      <c r="AQ277" s="1"/>
    </row>
    <row r="278" spans="2:43" ht="15" x14ac:dyDescent="0.25">
      <c r="B278" t="s">
        <v>553</v>
      </c>
      <c r="D278" s="55">
        <v>10343315</v>
      </c>
      <c r="E278" s="166">
        <v>1700.3581234347439</v>
      </c>
      <c r="G278" s="55">
        <v>10273442.049728015</v>
      </c>
      <c r="H278" s="166">
        <v>1671.6813793572701</v>
      </c>
      <c r="J278" s="167">
        <f t="shared" ref="J278:K287" si="73">D278/G278-1</f>
        <v>6.8013183832418278E-3</v>
      </c>
      <c r="K278" s="168">
        <f t="shared" si="73"/>
        <v>1.7154431718620522E-2</v>
      </c>
      <c r="L278" s="55">
        <v>10751167</v>
      </c>
      <c r="M278" s="167">
        <f t="shared" ref="M278:M287" si="74">O278/$D278-1</f>
        <v>4.0225618248836525E-2</v>
      </c>
      <c r="N278" s="169">
        <f t="shared" ref="N278:N287" si="75">N$222</f>
        <v>9.0547645222140982E-3</v>
      </c>
      <c r="O278" s="55">
        <v>10759381.240617465</v>
      </c>
      <c r="Q278" s="167">
        <f t="shared" ref="Q278:Q287" si="76">S278/$D278-1</f>
        <v>4.1759329945435297E-2</v>
      </c>
      <c r="R278" s="170">
        <v>3.1155775485283366E-2</v>
      </c>
      <c r="S278" s="55">
        <v>10775244.903814569</v>
      </c>
      <c r="T278" s="167">
        <f t="shared" ref="T278:T287" si="77">V278/$D278-1</f>
        <v>4.1759329945435297E-2</v>
      </c>
      <c r="U278" s="170">
        <v>3.1155775485283366E-2</v>
      </c>
      <c r="V278" s="55">
        <v>10775244.903814569</v>
      </c>
      <c r="X278" s="167">
        <f t="shared" ref="X278:X287" si="78">Z278/$D278-1</f>
        <v>4.116799083162892E-2</v>
      </c>
      <c r="Y278" s="170">
        <v>3.0570455320688472E-2</v>
      </c>
      <c r="Z278" s="55">
        <v>10769128.49708865</v>
      </c>
      <c r="AB278" s="55">
        <v>10429484.224819196</v>
      </c>
      <c r="AC278" s="55">
        <v>10769128.49708865</v>
      </c>
      <c r="AD278" s="167">
        <f t="shared" ref="AD278:AD287" si="79">AC278/$D278-1</f>
        <v>4.116799083162892E-2</v>
      </c>
      <c r="AE278" s="170">
        <v>3.0570455320688472E-2</v>
      </c>
      <c r="AF278" s="55">
        <v>10769128.49708865</v>
      </c>
      <c r="AG278" s="166">
        <v>1752.3388454763756</v>
      </c>
      <c r="AH278" s="171">
        <f t="shared" ref="AH278:AI287" si="80">AF278/D278 - 1</f>
        <v>4.116799083162892E-2</v>
      </c>
      <c r="AI278" s="171">
        <f t="shared" si="80"/>
        <v>3.0570455320688472E-2</v>
      </c>
      <c r="AK278" s="55">
        <v>10697335.540898826</v>
      </c>
      <c r="AL278" s="166">
        <v>1740.6567872673922</v>
      </c>
      <c r="AM278" s="171">
        <f t="shared" ref="AM278:AN287" si="81">AF278/AK278-1</f>
        <v>6.7112932856354668E-3</v>
      </c>
      <c r="AN278" s="170">
        <f t="shared" si="81"/>
        <v>6.7112932856354668E-3</v>
      </c>
      <c r="AP278" s="55">
        <v>13</v>
      </c>
      <c r="AQ278" s="55">
        <v>0</v>
      </c>
    </row>
    <row r="279" spans="2:43" ht="15" x14ac:dyDescent="0.25">
      <c r="B279" t="s">
        <v>554</v>
      </c>
      <c r="D279" s="55">
        <v>10961739</v>
      </c>
      <c r="E279" s="166">
        <v>1646.3377490785922</v>
      </c>
      <c r="G279" s="55">
        <v>11058079.492286004</v>
      </c>
      <c r="H279" s="166">
        <v>1645.4833005066266</v>
      </c>
      <c r="J279" s="167">
        <f t="shared" si="73"/>
        <v>-8.7122264180873321E-3</v>
      </c>
      <c r="K279" s="168">
        <f t="shared" si="73"/>
        <v>5.1926906320010069E-4</v>
      </c>
      <c r="L279" s="55">
        <v>11395239</v>
      </c>
      <c r="M279" s="167">
        <f t="shared" si="74"/>
        <v>3.9810291687391919E-2</v>
      </c>
      <c r="N279" s="169">
        <f t="shared" si="75"/>
        <v>9.0547645222140982E-3</v>
      </c>
      <c r="O279" s="55">
        <v>11398129.02699106</v>
      </c>
      <c r="Q279" s="167">
        <f t="shared" si="76"/>
        <v>4.4176216806109503E-2</v>
      </c>
      <c r="R279" s="170">
        <v>3.4541911575647566E-2</v>
      </c>
      <c r="S279" s="55">
        <v>11445987.158635985</v>
      </c>
      <c r="T279" s="167">
        <f t="shared" si="77"/>
        <v>4.4379478057199329E-2</v>
      </c>
      <c r="U279" s="170">
        <v>3.4743297395269934E-2</v>
      </c>
      <c r="V279" s="55">
        <v>11448215.255419245</v>
      </c>
      <c r="X279" s="167">
        <f t="shared" si="78"/>
        <v>4.3912570044308152E-2</v>
      </c>
      <c r="Y279" s="170">
        <v>3.4280697404567295E-2</v>
      </c>
      <c r="Z279" s="55">
        <v>11443097.131644925</v>
      </c>
      <c r="AB279" s="55">
        <v>11221703.072043812</v>
      </c>
      <c r="AC279" s="55">
        <v>11443097.131644925</v>
      </c>
      <c r="AD279" s="167">
        <f t="shared" si="79"/>
        <v>4.3912570044308152E-2</v>
      </c>
      <c r="AE279" s="170">
        <v>3.4280697404567295E-2</v>
      </c>
      <c r="AF279" s="55">
        <v>11443097.131644925</v>
      </c>
      <c r="AG279" s="166">
        <v>1702.7753552804718</v>
      </c>
      <c r="AH279" s="171">
        <f t="shared" si="80"/>
        <v>4.3912570044308152E-2</v>
      </c>
      <c r="AI279" s="171">
        <f t="shared" si="80"/>
        <v>3.4280697404567295E-2</v>
      </c>
      <c r="AK279" s="55">
        <v>11511665.905684812</v>
      </c>
      <c r="AL279" s="166">
        <v>1712.9786435365888</v>
      </c>
      <c r="AM279" s="171">
        <f t="shared" si="81"/>
        <v>-5.956459699375527E-3</v>
      </c>
      <c r="AN279" s="170">
        <f t="shared" si="81"/>
        <v>-5.956459699375749E-3</v>
      </c>
      <c r="AP279" s="55">
        <v>7</v>
      </c>
      <c r="AQ279" s="55">
        <v>0</v>
      </c>
    </row>
    <row r="280" spans="2:43" ht="15" x14ac:dyDescent="0.25">
      <c r="B280" t="s">
        <v>555</v>
      </c>
      <c r="D280" s="55">
        <v>10315880</v>
      </c>
      <c r="E280" s="166">
        <v>1747.278586672983</v>
      </c>
      <c r="G280" s="55">
        <v>10264013.315519398</v>
      </c>
      <c r="H280" s="166">
        <v>1727.046637487955</v>
      </c>
      <c r="J280" s="167">
        <f t="shared" si="73"/>
        <v>5.053255767135223E-3</v>
      </c>
      <c r="K280" s="168">
        <f t="shared" si="73"/>
        <v>1.1714767132436021E-2</v>
      </c>
      <c r="L280" s="55">
        <v>10714662</v>
      </c>
      <c r="M280" s="167">
        <f t="shared" si="74"/>
        <v>3.8657099539738837E-2</v>
      </c>
      <c r="N280" s="169">
        <f t="shared" si="75"/>
        <v>9.0547645222140982E-3</v>
      </c>
      <c r="O280" s="55">
        <v>10714662</v>
      </c>
      <c r="Q280" s="167">
        <f t="shared" si="76"/>
        <v>3.9964735887971115E-2</v>
      </c>
      <c r="R280" s="170">
        <v>3.3117216080322809E-2</v>
      </c>
      <c r="S280" s="55">
        <v>10728151.419652004</v>
      </c>
      <c r="T280" s="167">
        <f t="shared" si="77"/>
        <v>4.0000112345630834E-2</v>
      </c>
      <c r="U280" s="170">
        <v>3.3152359606051007E-2</v>
      </c>
      <c r="V280" s="55">
        <v>10728516.358944045</v>
      </c>
      <c r="X280" s="167">
        <f t="shared" si="78"/>
        <v>3.9964735887971115E-2</v>
      </c>
      <c r="Y280" s="170">
        <v>3.3117216080322809E-2</v>
      </c>
      <c r="Z280" s="55">
        <v>10728151.419652004</v>
      </c>
      <c r="AB280" s="55">
        <v>10414513.350306526</v>
      </c>
      <c r="AC280" s="55">
        <v>10728151.419652004</v>
      </c>
      <c r="AD280" s="167">
        <f t="shared" si="79"/>
        <v>3.9964735887971115E-2</v>
      </c>
      <c r="AE280" s="170">
        <v>3.3117216080322809E-2</v>
      </c>
      <c r="AF280" s="55">
        <v>10728151.419652004</v>
      </c>
      <c r="AG280" s="166">
        <v>1805.1435891803533</v>
      </c>
      <c r="AH280" s="171">
        <f t="shared" si="80"/>
        <v>3.9964735887971115E-2</v>
      </c>
      <c r="AI280" s="171">
        <f t="shared" si="80"/>
        <v>3.3117216080322809E-2</v>
      </c>
      <c r="AK280" s="55">
        <v>10682475.986317674</v>
      </c>
      <c r="AL280" s="166">
        <v>1797.4581350474573</v>
      </c>
      <c r="AM280" s="171">
        <f t="shared" si="81"/>
        <v>4.2757347072750473E-3</v>
      </c>
      <c r="AN280" s="170">
        <f t="shared" si="81"/>
        <v>4.2757347072748253E-3</v>
      </c>
      <c r="AP280" s="55">
        <v>13</v>
      </c>
      <c r="AQ280" s="55">
        <v>0</v>
      </c>
    </row>
    <row r="281" spans="2:43" ht="15" x14ac:dyDescent="0.25">
      <c r="B281" t="s">
        <v>556</v>
      </c>
      <c r="D281" s="55">
        <v>12889503</v>
      </c>
      <c r="E281" s="166">
        <v>1638.9789548813071</v>
      </c>
      <c r="G281" s="55">
        <v>12942753.977175223</v>
      </c>
      <c r="H281" s="166">
        <v>1634.7293921935161</v>
      </c>
      <c r="J281" s="167">
        <f t="shared" si="73"/>
        <v>-4.1143467046604876E-3</v>
      </c>
      <c r="K281" s="168">
        <f t="shared" si="73"/>
        <v>2.5995511600171994E-3</v>
      </c>
      <c r="L281" s="55">
        <v>13393817</v>
      </c>
      <c r="M281" s="167">
        <f t="shared" si="74"/>
        <v>3.9125946128411693E-2</v>
      </c>
      <c r="N281" s="169">
        <f t="shared" si="75"/>
        <v>9.0547645222140982E-3</v>
      </c>
      <c r="O281" s="55">
        <v>13393817</v>
      </c>
      <c r="Q281" s="167">
        <f t="shared" si="76"/>
        <v>4.2254222288319099E-2</v>
      </c>
      <c r="R281" s="170">
        <v>3.5274777315122519E-2</v>
      </c>
      <c r="S281" s="55">
        <v>13434138.924947955</v>
      </c>
      <c r="T281" s="167">
        <f t="shared" si="77"/>
        <v>4.2254222288319099E-2</v>
      </c>
      <c r="U281" s="170">
        <v>3.5274777315122519E-2</v>
      </c>
      <c r="V281" s="55">
        <v>13434138.924947955</v>
      </c>
      <c r="X281" s="167">
        <f t="shared" si="78"/>
        <v>4.2254222288319099E-2</v>
      </c>
      <c r="Y281" s="170">
        <v>3.5274777315122519E-2</v>
      </c>
      <c r="Z281" s="55">
        <v>13434138.924947955</v>
      </c>
      <c r="AB281" s="55">
        <v>13133058.582738871</v>
      </c>
      <c r="AC281" s="55">
        <v>13434138.924947955</v>
      </c>
      <c r="AD281" s="167">
        <f t="shared" si="79"/>
        <v>4.2254222288319099E-2</v>
      </c>
      <c r="AE281" s="170">
        <v>3.5274777315122519E-2</v>
      </c>
      <c r="AF281" s="55">
        <v>13434138.924947955</v>
      </c>
      <c r="AG281" s="166">
        <v>1696.7935725389173</v>
      </c>
      <c r="AH281" s="171">
        <f t="shared" si="80"/>
        <v>4.2254222288319099E-2</v>
      </c>
      <c r="AI281" s="171">
        <f t="shared" si="80"/>
        <v>3.5274777315122297E-2</v>
      </c>
      <c r="AK281" s="55">
        <v>13470267.630362676</v>
      </c>
      <c r="AL281" s="166">
        <v>1701.3567943035821</v>
      </c>
      <c r="AM281" s="171">
        <f t="shared" si="81"/>
        <v>-2.6821074685469126E-3</v>
      </c>
      <c r="AN281" s="170">
        <f t="shared" si="81"/>
        <v>-2.6821074685470236E-3</v>
      </c>
      <c r="AP281" s="55">
        <v>10</v>
      </c>
      <c r="AQ281" s="55">
        <v>0</v>
      </c>
    </row>
    <row r="282" spans="2:43" ht="15" x14ac:dyDescent="0.25">
      <c r="B282" t="s">
        <v>557</v>
      </c>
      <c r="D282" s="55">
        <v>9132678</v>
      </c>
      <c r="E282" s="166">
        <v>1683.0346524344545</v>
      </c>
      <c r="G282" s="55">
        <v>9199893.5200705938</v>
      </c>
      <c r="H282" s="166">
        <v>1683.291646950094</v>
      </c>
      <c r="J282" s="167">
        <f t="shared" si="73"/>
        <v>-7.3061193506158695E-3</v>
      </c>
      <c r="K282" s="168">
        <f t="shared" si="73"/>
        <v>-1.5267379013317317E-4</v>
      </c>
      <c r="L282" s="55">
        <v>9490415</v>
      </c>
      <c r="M282" s="167">
        <f t="shared" si="74"/>
        <v>3.9171095269098455E-2</v>
      </c>
      <c r="N282" s="169">
        <f t="shared" si="75"/>
        <v>9.0547645222140982E-3</v>
      </c>
      <c r="O282" s="55">
        <v>9490415</v>
      </c>
      <c r="Q282" s="167">
        <f t="shared" si="76"/>
        <v>4.2618884901189036E-2</v>
      </c>
      <c r="R282" s="170">
        <v>3.515942860425203E-2</v>
      </c>
      <c r="S282" s="55">
        <v>9521902.5525216218</v>
      </c>
      <c r="T282" s="167">
        <f t="shared" si="77"/>
        <v>4.2618884901189036E-2</v>
      </c>
      <c r="U282" s="170">
        <v>3.515942860425203E-2</v>
      </c>
      <c r="V282" s="55">
        <v>9521902.5525216218</v>
      </c>
      <c r="X282" s="167">
        <f t="shared" si="78"/>
        <v>4.2618884901189036E-2</v>
      </c>
      <c r="Y282" s="170">
        <v>3.515942860425203E-2</v>
      </c>
      <c r="Z282" s="55">
        <v>9521902.5525216218</v>
      </c>
      <c r="AB282" s="55">
        <v>9329417.136016367</v>
      </c>
      <c r="AC282" s="55">
        <v>9521902.5525216218</v>
      </c>
      <c r="AD282" s="167">
        <f t="shared" si="79"/>
        <v>4.2618884901189036E-2</v>
      </c>
      <c r="AE282" s="170">
        <v>3.515942860425203E-2</v>
      </c>
      <c r="AF282" s="55">
        <v>9521902.5525216218</v>
      </c>
      <c r="AG282" s="166">
        <v>1742.2091891352061</v>
      </c>
      <c r="AH282" s="171">
        <f t="shared" si="80"/>
        <v>4.2618884901189036E-2</v>
      </c>
      <c r="AI282" s="171">
        <f t="shared" si="80"/>
        <v>3.5159428604252252E-2</v>
      </c>
      <c r="AK282" s="55">
        <v>9574413.9189423844</v>
      </c>
      <c r="AL282" s="166">
        <v>1751.8171203871461</v>
      </c>
      <c r="AM282" s="171">
        <f t="shared" si="81"/>
        <v>-5.4845515208896689E-3</v>
      </c>
      <c r="AN282" s="170">
        <f t="shared" si="81"/>
        <v>-5.4845515208897799E-3</v>
      </c>
      <c r="AP282" s="55">
        <v>8</v>
      </c>
      <c r="AQ282" s="55">
        <v>0</v>
      </c>
    </row>
    <row r="283" spans="2:43" ht="15" x14ac:dyDescent="0.25">
      <c r="B283" t="s">
        <v>558</v>
      </c>
      <c r="D283" s="55">
        <v>8893281</v>
      </c>
      <c r="E283" s="166">
        <v>1697.6015372367387</v>
      </c>
      <c r="G283" s="55">
        <v>8818352.1065597963</v>
      </c>
      <c r="H283" s="166">
        <v>1673.6653994179558</v>
      </c>
      <c r="J283" s="167">
        <f t="shared" si="73"/>
        <v>8.496926924075332E-3</v>
      </c>
      <c r="K283" s="168">
        <f t="shared" si="73"/>
        <v>1.4301626733220996E-2</v>
      </c>
      <c r="L283" s="55">
        <v>9221991</v>
      </c>
      <c r="M283" s="167">
        <f t="shared" si="74"/>
        <v>3.7323527561125003E-2</v>
      </c>
      <c r="N283" s="169">
        <f t="shared" si="75"/>
        <v>9.0547645222140982E-3</v>
      </c>
      <c r="O283" s="55">
        <v>9225209.6185123287</v>
      </c>
      <c r="Q283" s="167">
        <f t="shared" si="76"/>
        <v>3.8716265950306861E-2</v>
      </c>
      <c r="R283" s="170">
        <v>3.277184473298389E-2</v>
      </c>
      <c r="S283" s="55">
        <v>9237595.63236681</v>
      </c>
      <c r="T283" s="167">
        <f t="shared" si="77"/>
        <v>3.9187592038684604E-2</v>
      </c>
      <c r="U283" s="170">
        <v>3.3240473491116695E-2</v>
      </c>
      <c r="V283" s="55">
        <v>9241787.2677133847</v>
      </c>
      <c r="X283" s="167">
        <f t="shared" si="78"/>
        <v>3.8354350194768516E-2</v>
      </c>
      <c r="Y283" s="170">
        <v>3.2412000168363209E-2</v>
      </c>
      <c r="Z283" s="55">
        <v>9234377.0138544813</v>
      </c>
      <c r="AB283" s="55">
        <v>8946507.7956068423</v>
      </c>
      <c r="AC283" s="55">
        <v>9234377.0138544813</v>
      </c>
      <c r="AD283" s="167">
        <f t="shared" si="79"/>
        <v>3.8354350194768516E-2</v>
      </c>
      <c r="AE283" s="170">
        <v>3.2412000168363209E-2</v>
      </c>
      <c r="AF283" s="55">
        <v>9234377.0138544813</v>
      </c>
      <c r="AG283" s="166">
        <v>1752.6241985474694</v>
      </c>
      <c r="AH283" s="171">
        <f t="shared" si="80"/>
        <v>3.8354350194768516E-2</v>
      </c>
      <c r="AI283" s="171">
        <f t="shared" si="80"/>
        <v>3.2412000168363209E-2</v>
      </c>
      <c r="AK283" s="55">
        <v>9176495.9376162998</v>
      </c>
      <c r="AL283" s="166">
        <v>1741.6387498592896</v>
      </c>
      <c r="AM283" s="171">
        <f t="shared" si="81"/>
        <v>6.3075357556596767E-3</v>
      </c>
      <c r="AN283" s="170">
        <f t="shared" si="81"/>
        <v>6.3075357556596767E-3</v>
      </c>
      <c r="AP283" s="55">
        <v>13</v>
      </c>
      <c r="AQ283" s="55">
        <v>0</v>
      </c>
    </row>
    <row r="284" spans="2:43" ht="15" x14ac:dyDescent="0.25">
      <c r="B284" t="s">
        <v>559</v>
      </c>
      <c r="D284" s="55">
        <v>8149806</v>
      </c>
      <c r="E284" s="166">
        <v>1683.5595674945794</v>
      </c>
      <c r="G284" s="55">
        <v>8143838.9775073938</v>
      </c>
      <c r="H284" s="166">
        <v>1673.0079607414868</v>
      </c>
      <c r="J284" s="167">
        <f t="shared" si="73"/>
        <v>7.3270388929436159E-4</v>
      </c>
      <c r="K284" s="168">
        <f t="shared" si="73"/>
        <v>6.3069674506606166E-3</v>
      </c>
      <c r="L284" s="55">
        <v>8462497</v>
      </c>
      <c r="M284" s="167">
        <f t="shared" si="74"/>
        <v>3.8367907162452752E-2</v>
      </c>
      <c r="N284" s="169">
        <f t="shared" si="75"/>
        <v>9.0547645222140982E-3</v>
      </c>
      <c r="O284" s="55">
        <v>8462497</v>
      </c>
      <c r="Q284" s="167">
        <f t="shared" si="76"/>
        <v>3.9998920578100394E-2</v>
      </c>
      <c r="R284" s="170">
        <v>3.423802626418615E-2</v>
      </c>
      <c r="S284" s="55">
        <v>8475789.442920927</v>
      </c>
      <c r="T284" s="167">
        <f t="shared" si="77"/>
        <v>4.0048309389299597E-2</v>
      </c>
      <c r="U284" s="170">
        <v>3.4287141494599993E-2</v>
      </c>
      <c r="V284" s="55">
        <v>8476191.9521507695</v>
      </c>
      <c r="X284" s="167">
        <f t="shared" si="78"/>
        <v>4.0048309389299597E-2</v>
      </c>
      <c r="Y284" s="170">
        <v>3.4287141494599993E-2</v>
      </c>
      <c r="Z284" s="55">
        <v>8476191.9521507695</v>
      </c>
      <c r="AB284" s="55">
        <v>8263042.3562780749</v>
      </c>
      <c r="AC284" s="55">
        <v>8476191.9521507695</v>
      </c>
      <c r="AD284" s="167">
        <f t="shared" si="79"/>
        <v>4.0048309389299597E-2</v>
      </c>
      <c r="AE284" s="170">
        <v>3.4287141494599993E-2</v>
      </c>
      <c r="AF284" s="55">
        <v>8476191.9521507695</v>
      </c>
      <c r="AG284" s="166">
        <v>1741.2840125998532</v>
      </c>
      <c r="AH284" s="171">
        <f t="shared" si="80"/>
        <v>4.0048309389299597E-2</v>
      </c>
      <c r="AI284" s="171">
        <f t="shared" si="80"/>
        <v>3.4287141494599771E-2</v>
      </c>
      <c r="AK284" s="55">
        <v>8474915.2372082826</v>
      </c>
      <c r="AL284" s="166">
        <v>1741.0217340518273</v>
      </c>
      <c r="AM284" s="171">
        <f t="shared" si="81"/>
        <v>1.5064633766259661E-4</v>
      </c>
      <c r="AN284" s="170">
        <f t="shared" si="81"/>
        <v>1.5064633766259661E-4</v>
      </c>
      <c r="AP284" s="55">
        <v>14</v>
      </c>
      <c r="AQ284" s="55">
        <v>0</v>
      </c>
    </row>
    <row r="285" spans="2:43" ht="15" x14ac:dyDescent="0.25">
      <c r="B285" t="s">
        <v>560</v>
      </c>
      <c r="D285" s="55">
        <v>8723911</v>
      </c>
      <c r="E285" s="166">
        <v>1683.216424010903</v>
      </c>
      <c r="G285" s="55">
        <v>8776651.6854353491</v>
      </c>
      <c r="H285" s="166">
        <v>1685.2763853132346</v>
      </c>
      <c r="J285" s="167">
        <f t="shared" si="73"/>
        <v>-6.0092034326565402E-3</v>
      </c>
      <c r="K285" s="168">
        <f t="shared" si="73"/>
        <v>-1.2223284680683566E-3</v>
      </c>
      <c r="L285" s="55">
        <v>9059308</v>
      </c>
      <c r="M285" s="167">
        <f t="shared" si="74"/>
        <v>3.8445715459499707E-2</v>
      </c>
      <c r="N285" s="169">
        <f t="shared" si="75"/>
        <v>9.0547645222140982E-3</v>
      </c>
      <c r="O285" s="55">
        <v>9059308</v>
      </c>
      <c r="Q285" s="167">
        <f t="shared" si="76"/>
        <v>3.9487043504206953E-2</v>
      </c>
      <c r="R285" s="170">
        <v>3.4505059378618697E-2</v>
      </c>
      <c r="S285" s="55">
        <v>9068392.4531838298</v>
      </c>
      <c r="T285" s="167">
        <f t="shared" si="77"/>
        <v>3.9487043504206953E-2</v>
      </c>
      <c r="U285" s="170">
        <v>3.4505059378618697E-2</v>
      </c>
      <c r="V285" s="55">
        <v>9068392.4531838298</v>
      </c>
      <c r="X285" s="167">
        <f t="shared" si="78"/>
        <v>3.9487043504206953E-2</v>
      </c>
      <c r="Y285" s="170">
        <v>3.4505059378618697E-2</v>
      </c>
      <c r="Z285" s="55">
        <v>9068392.4531838298</v>
      </c>
      <c r="AB285" s="55">
        <v>8904424.5745393299</v>
      </c>
      <c r="AC285" s="55">
        <v>9068392.4531838298</v>
      </c>
      <c r="AD285" s="167">
        <f t="shared" si="79"/>
        <v>3.9487043504206953E-2</v>
      </c>
      <c r="AE285" s="170">
        <v>3.4505059378618697E-2</v>
      </c>
      <c r="AF285" s="55">
        <v>9068392.4531838298</v>
      </c>
      <c r="AG285" s="166">
        <v>1741.2959066684657</v>
      </c>
      <c r="AH285" s="171">
        <f t="shared" si="80"/>
        <v>3.9487043504206953E-2</v>
      </c>
      <c r="AI285" s="171">
        <f t="shared" si="80"/>
        <v>3.4505059378618919E-2</v>
      </c>
      <c r="AK285" s="55">
        <v>9132743.1533736717</v>
      </c>
      <c r="AL285" s="166">
        <v>1753.6524088170333</v>
      </c>
      <c r="AM285" s="171">
        <f t="shared" si="81"/>
        <v>-7.0461524110716489E-3</v>
      </c>
      <c r="AN285" s="170">
        <f t="shared" si="81"/>
        <v>-7.0461524110715379E-3</v>
      </c>
      <c r="AP285" s="55">
        <v>13</v>
      </c>
      <c r="AQ285" s="55">
        <v>0</v>
      </c>
    </row>
    <row r="286" spans="2:43" ht="15" x14ac:dyDescent="0.25">
      <c r="B286" t="s">
        <v>561</v>
      </c>
      <c r="D286" s="55">
        <v>10235309</v>
      </c>
      <c r="E286" s="166">
        <v>1705.2780350091589</v>
      </c>
      <c r="G286" s="55">
        <v>10189937.581318408</v>
      </c>
      <c r="H286" s="166">
        <v>1688.7376459123748</v>
      </c>
      <c r="J286" s="167">
        <f t="shared" si="73"/>
        <v>4.4525708150335852E-3</v>
      </c>
      <c r="K286" s="168">
        <f t="shared" si="73"/>
        <v>9.7945285561795714E-3</v>
      </c>
      <c r="L286" s="55">
        <v>10628154</v>
      </c>
      <c r="M286" s="167">
        <f t="shared" si="74"/>
        <v>3.8381352238608502E-2</v>
      </c>
      <c r="N286" s="169">
        <f t="shared" si="75"/>
        <v>9.0547645222140982E-3</v>
      </c>
      <c r="O286" s="55">
        <v>10628154</v>
      </c>
      <c r="Q286" s="167">
        <f t="shared" si="76"/>
        <v>3.9728409512632901E-2</v>
      </c>
      <c r="R286" s="170">
        <v>3.4228097252249734E-2</v>
      </c>
      <c r="S286" s="55">
        <v>10641941.547440337</v>
      </c>
      <c r="T286" s="167">
        <f t="shared" si="77"/>
        <v>3.9728409512632901E-2</v>
      </c>
      <c r="U286" s="170">
        <v>3.4228097252249734E-2</v>
      </c>
      <c r="V286" s="55">
        <v>10641941.547440337</v>
      </c>
      <c r="X286" s="167">
        <f t="shared" si="78"/>
        <v>3.9728409512632901E-2</v>
      </c>
      <c r="Y286" s="170">
        <v>3.4228097252249734E-2</v>
      </c>
      <c r="Z286" s="55">
        <v>10641941.547440337</v>
      </c>
      <c r="AB286" s="55">
        <v>10338963.823958052</v>
      </c>
      <c r="AC286" s="55">
        <v>10641941.547440337</v>
      </c>
      <c r="AD286" s="167">
        <f t="shared" si="79"/>
        <v>3.9728409512632901E-2</v>
      </c>
      <c r="AE286" s="170">
        <v>3.4228097252249734E-2</v>
      </c>
      <c r="AF286" s="55">
        <v>10641941.547440337</v>
      </c>
      <c r="AG286" s="166">
        <v>1763.6464574335776</v>
      </c>
      <c r="AH286" s="171">
        <f t="shared" si="80"/>
        <v>3.9728409512632901E-2</v>
      </c>
      <c r="AI286" s="171">
        <f t="shared" si="80"/>
        <v>3.4228097252249734E-2</v>
      </c>
      <c r="AK286" s="55">
        <v>10604065.460469795</v>
      </c>
      <c r="AL286" s="166">
        <v>1757.369404857292</v>
      </c>
      <c r="AM286" s="171">
        <f t="shared" si="81"/>
        <v>3.5718458275966203E-3</v>
      </c>
      <c r="AN286" s="170">
        <f t="shared" si="81"/>
        <v>3.5718458275966203E-3</v>
      </c>
      <c r="AP286" s="55">
        <v>13</v>
      </c>
      <c r="AQ286" s="55">
        <v>0</v>
      </c>
    </row>
    <row r="287" spans="2:43" ht="15" x14ac:dyDescent="0.25">
      <c r="B287" t="s">
        <v>562</v>
      </c>
      <c r="D287" s="55">
        <v>10193031</v>
      </c>
      <c r="E287" s="166">
        <v>1757.9194732181679</v>
      </c>
      <c r="G287" s="55">
        <v>10171521.12310431</v>
      </c>
      <c r="H287" s="166">
        <v>1744.0735715528285</v>
      </c>
      <c r="J287" s="167">
        <f t="shared" si="73"/>
        <v>2.1147158458758586E-3</v>
      </c>
      <c r="K287" s="168">
        <f t="shared" si="73"/>
        <v>7.9388288952808583E-3</v>
      </c>
      <c r="L287" s="55">
        <v>10580794</v>
      </c>
      <c r="M287" s="167">
        <f t="shared" si="74"/>
        <v>3.8041972010091962E-2</v>
      </c>
      <c r="N287" s="169">
        <f t="shared" si="75"/>
        <v>9.0547645222140982E-3</v>
      </c>
      <c r="O287" s="55">
        <v>10580794</v>
      </c>
      <c r="Q287" s="167">
        <f t="shared" si="76"/>
        <v>3.9084563109149206E-2</v>
      </c>
      <c r="R287" s="170">
        <v>3.3080482514226572E-2</v>
      </c>
      <c r="S287" s="55">
        <v>10591421.163393015</v>
      </c>
      <c r="T287" s="167">
        <f t="shared" si="77"/>
        <v>3.9131099359245303E-2</v>
      </c>
      <c r="U287" s="170">
        <v>3.3126749866673633E-2</v>
      </c>
      <c r="V287" s="55">
        <v>10591895.508832868</v>
      </c>
      <c r="X287" s="167">
        <f t="shared" si="78"/>
        <v>3.9084563109149206E-2</v>
      </c>
      <c r="Y287" s="170">
        <v>3.3080482514226572E-2</v>
      </c>
      <c r="Z287" s="55">
        <v>10591421.163393015</v>
      </c>
      <c r="AB287" s="55">
        <v>10319765.883255897</v>
      </c>
      <c r="AC287" s="55">
        <v>10591421.163393015</v>
      </c>
      <c r="AD287" s="167">
        <f t="shared" si="79"/>
        <v>3.9084563109149206E-2</v>
      </c>
      <c r="AE287" s="170">
        <v>3.3080482514226572E-2</v>
      </c>
      <c r="AF287" s="55">
        <v>10591421.163393015</v>
      </c>
      <c r="AG287" s="166">
        <v>1816.07229761338</v>
      </c>
      <c r="AH287" s="171">
        <f t="shared" si="80"/>
        <v>3.9084563109149206E-2</v>
      </c>
      <c r="AI287" s="171">
        <f t="shared" si="80"/>
        <v>3.3080482514226572E-2</v>
      </c>
      <c r="AK287" s="55">
        <v>10584375.264877845</v>
      </c>
      <c r="AL287" s="166">
        <v>1814.8641631328605</v>
      </c>
      <c r="AM287" s="171">
        <f t="shared" si="81"/>
        <v>6.656886532123707E-4</v>
      </c>
      <c r="AN287" s="170">
        <f t="shared" si="81"/>
        <v>6.656886532123707E-4</v>
      </c>
      <c r="AP287" s="55">
        <v>14</v>
      </c>
      <c r="AQ287" s="55">
        <v>0</v>
      </c>
    </row>
    <row r="288" spans="2:43" ht="15" x14ac:dyDescent="0.25">
      <c r="B288"/>
      <c r="D288" s="1"/>
      <c r="G288" s="1"/>
      <c r="L288" s="1"/>
      <c r="O288" s="1"/>
      <c r="Q288" s="53"/>
      <c r="S288" s="1"/>
      <c r="U288" s="52"/>
      <c r="V288" s="1"/>
      <c r="X288" s="53"/>
      <c r="Y288" s="52"/>
      <c r="Z288" s="1"/>
      <c r="AB288" s="1"/>
      <c r="AC288" s="1"/>
      <c r="AD288" s="53"/>
      <c r="AE288" s="52"/>
      <c r="AF288" s="1"/>
      <c r="AG288" s="75"/>
      <c r="AK288" s="1"/>
      <c r="AL288" s="75"/>
      <c r="AP288" s="1"/>
      <c r="AQ288" s="1"/>
    </row>
    <row r="289" spans="2:43" ht="15" x14ac:dyDescent="0.25">
      <c r="B289" t="s">
        <v>12</v>
      </c>
      <c r="D289" s="172">
        <f>SUM(D278:D287)</f>
        <v>99838453</v>
      </c>
      <c r="E289" s="173">
        <v>1692.2107288024779</v>
      </c>
      <c r="G289" s="172">
        <f>SUM(G278:G287)</f>
        <v>99838483.828704491</v>
      </c>
      <c r="H289" s="173">
        <v>1680.7163909395717</v>
      </c>
      <c r="J289" s="167">
        <f>D289/G289-1</f>
        <v>-3.0878578394233358E-7</v>
      </c>
      <c r="K289" s="168">
        <f>E289/H289-1</f>
        <v>6.8389514881095348E-3</v>
      </c>
      <c r="L289" s="172">
        <f>SUM(L278:L287)</f>
        <v>103698044</v>
      </c>
      <c r="M289" s="167">
        <f>O289/$D289-1</f>
        <v>3.8801822040660516E-2</v>
      </c>
      <c r="N289" s="169">
        <f>N$222</f>
        <v>9.0547645222140982E-3</v>
      </c>
      <c r="O289" s="172">
        <f>SUM(O278:O287)</f>
        <v>103712366.88612086</v>
      </c>
      <c r="Q289" s="167">
        <f>S289/$D289-1</f>
        <v>4.0887173991738912E-2</v>
      </c>
      <c r="R289" s="170">
        <v>3.3816630794969438E-2</v>
      </c>
      <c r="S289" s="172">
        <f>SUM(S278:S287)</f>
        <v>103920565.19887705</v>
      </c>
      <c r="T289" s="167">
        <f>V289/$D289-1</f>
        <v>4.0963913222579862E-2</v>
      </c>
      <c r="U289" s="170">
        <v>3.3892848751209126E-2</v>
      </c>
      <c r="V289" s="172">
        <f>SUM(V278:V287)</f>
        <v>103928226.72496863</v>
      </c>
      <c r="X289" s="167">
        <f>Z289/$D289-1</f>
        <v>4.076875726307172E-2</v>
      </c>
      <c r="Y289" s="170">
        <v>3.3699018448003049E-2</v>
      </c>
      <c r="Z289" s="172">
        <f>SUM(Z278:Z287)</f>
        <v>103908742.65587761</v>
      </c>
      <c r="AB289" s="172">
        <f>SUM(AB278:AB287)</f>
        <v>101300880.79956298</v>
      </c>
      <c r="AC289" s="172">
        <f>SUM(AC278:AC287)</f>
        <v>103908742.65587761</v>
      </c>
      <c r="AD289" s="167">
        <f>AC289/$D289-1</f>
        <v>4.076875726307172E-2</v>
      </c>
      <c r="AE289" s="170">
        <v>3.3699018448003049E-2</v>
      </c>
      <c r="AF289" s="172">
        <f>SUM(AF278:AF287)</f>
        <v>103908742.65587761</v>
      </c>
      <c r="AG289" s="166">
        <v>1749.2365693703011</v>
      </c>
      <c r="AH289" s="171">
        <f>AF289/D289 - 1</f>
        <v>4.076875726307172E-2</v>
      </c>
      <c r="AI289" s="171">
        <f>AG289/E289 - 1</f>
        <v>3.3699018448003049E-2</v>
      </c>
      <c r="AK289" s="172">
        <f>SUM(AK278:AK287)</f>
        <v>103908754.03575225</v>
      </c>
      <c r="AL289" s="173">
        <v>1749.2367609431408</v>
      </c>
      <c r="AM289" s="171">
        <f>AF289/AK289-1</f>
        <v>-1.0951795881286586E-7</v>
      </c>
      <c r="AN289" s="170">
        <f t="shared" ref="AN289" si="82">AG289/AL289-1</f>
        <v>-1.0951795892388816E-7</v>
      </c>
      <c r="AP289" s="172">
        <f>SUM(AP278:AP287)</f>
        <v>118</v>
      </c>
      <c r="AQ289" s="172">
        <f>SUM(AQ278:AQ287)</f>
        <v>0</v>
      </c>
    </row>
    <row r="290" spans="2:43" ht="15" x14ac:dyDescent="0.25">
      <c r="B290"/>
      <c r="D290" s="1"/>
      <c r="G290" s="1"/>
      <c r="L290" s="1"/>
      <c r="O290" s="1"/>
      <c r="Q290" s="53"/>
      <c r="S290" s="1"/>
      <c r="U290" s="52"/>
      <c r="V290" s="1"/>
      <c r="X290" s="53"/>
      <c r="Y290" s="52"/>
      <c r="Z290" s="1"/>
      <c r="AB290" s="1"/>
      <c r="AC290" s="1"/>
      <c r="AD290" s="53"/>
      <c r="AE290" s="52"/>
      <c r="AF290" s="1"/>
      <c r="AG290" s="75"/>
      <c r="AK290" s="1"/>
      <c r="AL290" s="75"/>
      <c r="AP290" s="1"/>
      <c r="AQ290" s="1"/>
    </row>
    <row r="291" spans="2:43" ht="15" x14ac:dyDescent="0.25">
      <c r="B291" s="174" t="s">
        <v>563</v>
      </c>
      <c r="D291" s="1"/>
      <c r="G291" s="1"/>
      <c r="L291" s="1"/>
      <c r="O291" s="1"/>
      <c r="Q291" s="53"/>
      <c r="S291" s="1"/>
      <c r="U291" s="52"/>
      <c r="V291" s="1"/>
      <c r="X291" s="53"/>
      <c r="Y291" s="52"/>
      <c r="Z291" s="1"/>
      <c r="AB291" s="1"/>
      <c r="AC291" s="1"/>
      <c r="AD291" s="53"/>
      <c r="AE291" s="52"/>
      <c r="AF291" s="1"/>
      <c r="AG291" s="75"/>
      <c r="AK291" s="1"/>
      <c r="AL291" s="75"/>
      <c r="AP291" s="1"/>
      <c r="AQ291" s="1"/>
    </row>
    <row r="292" spans="2:43" ht="15" x14ac:dyDescent="0.25">
      <c r="B292"/>
      <c r="D292" s="1"/>
      <c r="G292" s="1"/>
      <c r="L292" s="1"/>
      <c r="O292" s="1"/>
      <c r="Q292" s="53"/>
      <c r="S292" s="1"/>
      <c r="U292" s="52"/>
      <c r="V292" s="1"/>
      <c r="X292" s="53"/>
      <c r="Y292" s="52"/>
      <c r="Z292" s="1"/>
      <c r="AB292" s="1"/>
      <c r="AC292" s="1"/>
      <c r="AD292" s="53"/>
      <c r="AE292" s="52"/>
      <c r="AF292" s="1"/>
      <c r="AG292" s="75"/>
      <c r="AK292" s="1"/>
      <c r="AL292" s="75"/>
      <c r="AP292" s="1"/>
      <c r="AQ292" s="1"/>
    </row>
    <row r="293" spans="2:43" ht="15" x14ac:dyDescent="0.25">
      <c r="B293" t="s">
        <v>564</v>
      </c>
      <c r="D293" s="55">
        <v>6891395</v>
      </c>
      <c r="E293" s="166">
        <v>1936.2057138569116</v>
      </c>
      <c r="G293" s="55">
        <v>6670715.9567202609</v>
      </c>
      <c r="H293" s="166">
        <v>1868.9663428911376</v>
      </c>
      <c r="J293" s="167">
        <f t="shared" ref="J293:K304" si="83">D293/G293-1</f>
        <v>3.3081762843975016E-2</v>
      </c>
      <c r="K293" s="168">
        <f t="shared" si="83"/>
        <v>3.5976769309692402E-2</v>
      </c>
      <c r="L293" s="55">
        <v>7137082</v>
      </c>
      <c r="M293" s="167">
        <f t="shared" ref="M293:M304" si="84">O293/$D293-1</f>
        <v>3.6118321256048747E-2</v>
      </c>
      <c r="N293" s="169">
        <f t="shared" ref="N293:N304" si="85">N$222</f>
        <v>9.0547645222140982E-3</v>
      </c>
      <c r="O293" s="55">
        <v>7140300.6185123287</v>
      </c>
      <c r="Q293" s="167">
        <f t="shared" ref="Q293:Q304" si="86">S293/$D293-1</f>
        <v>3.6118321256048747E-2</v>
      </c>
      <c r="R293" s="170">
        <v>3.3222919227600345E-2</v>
      </c>
      <c r="S293" s="55">
        <v>7140300.6185123287</v>
      </c>
      <c r="T293" s="167">
        <f t="shared" ref="T293:T304" si="87">V293/$D293-1</f>
        <v>3.6837926483793693E-2</v>
      </c>
      <c r="U293" s="170">
        <v>3.3940513539802764E-2</v>
      </c>
      <c r="V293" s="55">
        <v>7145259.7023807839</v>
      </c>
      <c r="X293" s="167">
        <f t="shared" ref="X293:X304" si="88">Z293/$D293-1</f>
        <v>3.5709679858699328E-2</v>
      </c>
      <c r="Y293" s="170">
        <v>3.2815419766559328E-2</v>
      </c>
      <c r="Z293" s="55">
        <v>7137484.5092298407</v>
      </c>
      <c r="AB293" s="55">
        <v>6767749.1116717542</v>
      </c>
      <c r="AC293" s="55">
        <v>7137484.5092298407</v>
      </c>
      <c r="AD293" s="167">
        <f t="shared" ref="AD293:AD304" si="89">AC293/$D293-1</f>
        <v>3.5709679858699328E-2</v>
      </c>
      <c r="AE293" s="170">
        <v>3.2815419766559328E-2</v>
      </c>
      <c r="AF293" s="55">
        <v>7137484.5092298407</v>
      </c>
      <c r="AG293" s="166">
        <v>1999.7431171115368</v>
      </c>
      <c r="AH293" s="171">
        <f t="shared" ref="AH293:AI304" si="90">AF293/D293 - 1</f>
        <v>3.5709679858699328E-2</v>
      </c>
      <c r="AI293" s="171">
        <f t="shared" si="90"/>
        <v>3.2815419766559328E-2</v>
      </c>
      <c r="AK293" s="55">
        <v>6941281.1401761584</v>
      </c>
      <c r="AL293" s="166">
        <v>1944.7718823142045</v>
      </c>
      <c r="AM293" s="171">
        <f>AF293/AK293-1</f>
        <v>2.8266160827005837E-2</v>
      </c>
      <c r="AN293" s="170">
        <f t="shared" ref="AN293:AN304" si="91">AG293/AL293-1</f>
        <v>2.8266160827005837E-2</v>
      </c>
      <c r="AP293" s="55">
        <v>15</v>
      </c>
      <c r="AQ293" s="55">
        <v>0</v>
      </c>
    </row>
    <row r="294" spans="2:43" ht="15" x14ac:dyDescent="0.25">
      <c r="B294" t="s">
        <v>565</v>
      </c>
      <c r="D294" s="55">
        <v>7952843</v>
      </c>
      <c r="E294" s="166">
        <v>1760.9626150995973</v>
      </c>
      <c r="G294" s="55">
        <v>7763880.3827163512</v>
      </c>
      <c r="H294" s="166">
        <v>1710.2280580188635</v>
      </c>
      <c r="J294" s="167">
        <f t="shared" si="83"/>
        <v>2.4338682201275219E-2</v>
      </c>
      <c r="K294" s="168">
        <f t="shared" si="83"/>
        <v>2.9665375236274105E-2</v>
      </c>
      <c r="L294" s="55">
        <v>8257299</v>
      </c>
      <c r="M294" s="167">
        <f t="shared" si="84"/>
        <v>3.8282661936115181E-2</v>
      </c>
      <c r="N294" s="169">
        <f t="shared" si="85"/>
        <v>9.0547645222140982E-3</v>
      </c>
      <c r="O294" s="55">
        <v>8257299</v>
      </c>
      <c r="Q294" s="167">
        <f t="shared" si="86"/>
        <v>3.8458638786824428E-2</v>
      </c>
      <c r="R294" s="170">
        <v>3.3086456200718928E-2</v>
      </c>
      <c r="S294" s="55">
        <v>8258698.5162653243</v>
      </c>
      <c r="T294" s="167">
        <f t="shared" si="87"/>
        <v>3.8458638786824428E-2</v>
      </c>
      <c r="U294" s="170">
        <v>3.3086456200718928E-2</v>
      </c>
      <c r="V294" s="55">
        <v>8258698.5162653243</v>
      </c>
      <c r="X294" s="167">
        <f t="shared" si="88"/>
        <v>3.8458638786824428E-2</v>
      </c>
      <c r="Y294" s="170">
        <v>3.3086456200718928E-2</v>
      </c>
      <c r="Z294" s="55">
        <v>8258698.5162653243</v>
      </c>
      <c r="AB294" s="55">
        <v>7878633.1293496583</v>
      </c>
      <c r="AC294" s="55">
        <v>8258698.5162653243</v>
      </c>
      <c r="AD294" s="167">
        <f t="shared" si="89"/>
        <v>3.8458638786824428E-2</v>
      </c>
      <c r="AE294" s="170">
        <v>3.3086456200718928E-2</v>
      </c>
      <c r="AF294" s="55">
        <v>8258698.5162653243</v>
      </c>
      <c r="AG294" s="166">
        <v>1819.2266275351935</v>
      </c>
      <c r="AH294" s="171">
        <f t="shared" si="90"/>
        <v>3.8458638786824428E-2</v>
      </c>
      <c r="AI294" s="171">
        <f t="shared" si="90"/>
        <v>3.3086456200718928E-2</v>
      </c>
      <c r="AK294" s="55">
        <v>8080649.3634355459</v>
      </c>
      <c r="AL294" s="166">
        <v>1780.0059489742703</v>
      </c>
      <c r="AM294" s="171">
        <f t="shared" ref="AM294:AN306" si="92">AF294/AK294-1</f>
        <v>2.2034015438838317E-2</v>
      </c>
      <c r="AN294" s="170">
        <f t="shared" si="91"/>
        <v>2.2034015438838317E-2</v>
      </c>
      <c r="AP294" s="55">
        <v>11</v>
      </c>
      <c r="AQ294" s="55">
        <v>0</v>
      </c>
    </row>
    <row r="295" spans="2:43" ht="15" x14ac:dyDescent="0.25">
      <c r="B295" t="s">
        <v>566</v>
      </c>
      <c r="D295" s="55">
        <v>7722336</v>
      </c>
      <c r="E295" s="166">
        <v>1767.9474214645015</v>
      </c>
      <c r="G295" s="55">
        <v>7603290.5923693134</v>
      </c>
      <c r="H295" s="166">
        <v>1733.0678660378564</v>
      </c>
      <c r="J295" s="167">
        <f t="shared" si="83"/>
        <v>1.5657090332725332E-2</v>
      </c>
      <c r="K295" s="168">
        <f t="shared" si="83"/>
        <v>2.0125902805172124E-2</v>
      </c>
      <c r="L295" s="55">
        <v>8011807</v>
      </c>
      <c r="M295" s="167">
        <f t="shared" si="84"/>
        <v>3.7484900941891164E-2</v>
      </c>
      <c r="N295" s="169">
        <f t="shared" si="85"/>
        <v>9.0547645222140982E-3</v>
      </c>
      <c r="O295" s="55">
        <v>8011807</v>
      </c>
      <c r="Q295" s="167">
        <f t="shared" si="86"/>
        <v>3.793450405361587E-2</v>
      </c>
      <c r="R295" s="170">
        <v>3.3387678368136164E-2</v>
      </c>
      <c r="S295" s="55">
        <v>8015278.9862953834</v>
      </c>
      <c r="T295" s="167">
        <f t="shared" si="87"/>
        <v>3.793450405361587E-2</v>
      </c>
      <c r="U295" s="170">
        <v>3.3387678368136164E-2</v>
      </c>
      <c r="V295" s="55">
        <v>8015278.9862953834</v>
      </c>
      <c r="X295" s="167">
        <f t="shared" si="88"/>
        <v>3.793450405361587E-2</v>
      </c>
      <c r="Y295" s="170">
        <v>3.3387678368136164E-2</v>
      </c>
      <c r="Z295" s="55">
        <v>8015278.9862953834</v>
      </c>
      <c r="AB295" s="55">
        <v>7713467.3254838865</v>
      </c>
      <c r="AC295" s="55">
        <v>8015278.9862953834</v>
      </c>
      <c r="AD295" s="167">
        <f t="shared" si="89"/>
        <v>3.793450405361587E-2</v>
      </c>
      <c r="AE295" s="170">
        <v>3.3387678368136164E-2</v>
      </c>
      <c r="AF295" s="55">
        <v>8015278.9862953834</v>
      </c>
      <c r="AG295" s="166">
        <v>1826.9750813441337</v>
      </c>
      <c r="AH295" s="171">
        <f t="shared" si="90"/>
        <v>3.793450405361587E-2</v>
      </c>
      <c r="AI295" s="171">
        <f t="shared" si="90"/>
        <v>3.3387678368135942E-2</v>
      </c>
      <c r="AK295" s="55">
        <v>7911745.1650491878</v>
      </c>
      <c r="AL295" s="166">
        <v>1803.3759387794701</v>
      </c>
      <c r="AM295" s="171">
        <f t="shared" si="92"/>
        <v>1.3086091511587794E-2</v>
      </c>
      <c r="AN295" s="170">
        <f t="shared" si="91"/>
        <v>1.3086091511587794E-2</v>
      </c>
      <c r="AP295" s="55">
        <v>16</v>
      </c>
      <c r="AQ295" s="55">
        <v>0</v>
      </c>
    </row>
    <row r="296" spans="2:43" ht="15" x14ac:dyDescent="0.25">
      <c r="B296" t="s">
        <v>567</v>
      </c>
      <c r="D296" s="55">
        <v>22788261</v>
      </c>
      <c r="E296" s="166">
        <v>1647.8014749979227</v>
      </c>
      <c r="G296" s="55">
        <v>22980957.743092362</v>
      </c>
      <c r="H296" s="166">
        <v>1651.7362338322857</v>
      </c>
      <c r="J296" s="167">
        <f t="shared" si="83"/>
        <v>-8.3850614602989371E-3</v>
      </c>
      <c r="K296" s="168">
        <f t="shared" si="83"/>
        <v>-2.3821956277085832E-3</v>
      </c>
      <c r="L296" s="55">
        <v>23668826</v>
      </c>
      <c r="M296" s="167">
        <f t="shared" si="84"/>
        <v>3.8641167046489455E-2</v>
      </c>
      <c r="N296" s="169">
        <f t="shared" si="85"/>
        <v>9.0547645222140982E-3</v>
      </c>
      <c r="O296" s="55">
        <v>23668826</v>
      </c>
      <c r="Q296" s="167">
        <f t="shared" si="86"/>
        <v>4.054571266016449E-2</v>
      </c>
      <c r="R296" s="170">
        <v>3.4284541018679837E-2</v>
      </c>
      <c r="S296" s="55">
        <v>23712227.282530833</v>
      </c>
      <c r="T296" s="167">
        <f t="shared" si="87"/>
        <v>4.0549301959798223E-2</v>
      </c>
      <c r="U296" s="170">
        <v>3.4288108720779809E-2</v>
      </c>
      <c r="V296" s="55">
        <v>23712309.076427694</v>
      </c>
      <c r="X296" s="167">
        <f t="shared" si="88"/>
        <v>4.054571266016449E-2</v>
      </c>
      <c r="Y296" s="170">
        <v>3.4284541018679837E-2</v>
      </c>
      <c r="Z296" s="55">
        <v>23712227.282530833</v>
      </c>
      <c r="AB296" s="55">
        <v>23311808.35871803</v>
      </c>
      <c r="AC296" s="55">
        <v>23712227.282530833</v>
      </c>
      <c r="AD296" s="167">
        <f t="shared" si="89"/>
        <v>4.054571266016449E-2</v>
      </c>
      <c r="AE296" s="170">
        <v>3.4284541018679837E-2</v>
      </c>
      <c r="AF296" s="55">
        <v>23712227.282530833</v>
      </c>
      <c r="AG296" s="166">
        <v>1704.29559225813</v>
      </c>
      <c r="AH296" s="171">
        <f t="shared" si="90"/>
        <v>4.054571266016449E-2</v>
      </c>
      <c r="AI296" s="171">
        <f t="shared" si="90"/>
        <v>3.4284541018679837E-2</v>
      </c>
      <c r="AK296" s="55">
        <v>23914868.430693138</v>
      </c>
      <c r="AL296" s="166">
        <v>1718.8602475099617</v>
      </c>
      <c r="AM296" s="171">
        <f t="shared" si="92"/>
        <v>-8.4734377171914455E-3</v>
      </c>
      <c r="AN296" s="170">
        <f t="shared" si="91"/>
        <v>-8.4734377171913344E-3</v>
      </c>
      <c r="AP296" s="55">
        <v>27</v>
      </c>
      <c r="AQ296" s="55">
        <v>0</v>
      </c>
    </row>
    <row r="297" spans="2:43" ht="15" x14ac:dyDescent="0.25">
      <c r="B297" t="s">
        <v>568</v>
      </c>
      <c r="D297" s="55">
        <v>13098722</v>
      </c>
      <c r="E297" s="166">
        <v>1726.7572143957607</v>
      </c>
      <c r="G297" s="55">
        <v>13139992.820730442</v>
      </c>
      <c r="H297" s="166">
        <v>1721.6844318022238</v>
      </c>
      <c r="J297" s="167">
        <f t="shared" si="83"/>
        <v>-3.1408556529293197E-3</v>
      </c>
      <c r="K297" s="168">
        <f t="shared" si="83"/>
        <v>2.9464067281057549E-3</v>
      </c>
      <c r="L297" s="55">
        <v>13609190</v>
      </c>
      <c r="M297" s="167">
        <f t="shared" si="84"/>
        <v>3.8982335068517227E-2</v>
      </c>
      <c r="N297" s="169">
        <f t="shared" si="85"/>
        <v>9.0547645222140982E-3</v>
      </c>
      <c r="O297" s="55">
        <v>13609340.769973358</v>
      </c>
      <c r="Q297" s="167">
        <f t="shared" si="86"/>
        <v>4.0222628460111265E-2</v>
      </c>
      <c r="R297" s="170">
        <v>3.390912254229872E-2</v>
      </c>
      <c r="S297" s="55">
        <v>13625587.028308285</v>
      </c>
      <c r="T297" s="167">
        <f t="shared" si="87"/>
        <v>4.0222628460111265E-2</v>
      </c>
      <c r="U297" s="170">
        <v>3.390912254229872E-2</v>
      </c>
      <c r="V297" s="55">
        <v>13625587.028308285</v>
      </c>
      <c r="X297" s="167">
        <f t="shared" si="88"/>
        <v>4.0222628460111265E-2</v>
      </c>
      <c r="Y297" s="170">
        <v>3.390912254229872E-2</v>
      </c>
      <c r="Z297" s="55">
        <v>13625587.028308285</v>
      </c>
      <c r="AB297" s="55">
        <v>13332894.27051333</v>
      </c>
      <c r="AC297" s="55">
        <v>13625587.028308285</v>
      </c>
      <c r="AD297" s="167">
        <f t="shared" si="89"/>
        <v>4.0222628460111265E-2</v>
      </c>
      <c r="AE297" s="170">
        <v>3.390912254229872E-2</v>
      </c>
      <c r="AF297" s="55">
        <v>13625587.028308285</v>
      </c>
      <c r="AG297" s="166">
        <v>1785.3100363795052</v>
      </c>
      <c r="AH297" s="171">
        <f t="shared" si="90"/>
        <v>4.0222628460111265E-2</v>
      </c>
      <c r="AI297" s="171">
        <f t="shared" si="90"/>
        <v>3.3909122542298942E-2</v>
      </c>
      <c r="AK297" s="55">
        <v>13676573.691554753</v>
      </c>
      <c r="AL297" s="166">
        <v>1791.9906294010245</v>
      </c>
      <c r="AM297" s="171">
        <f t="shared" si="92"/>
        <v>-3.7280289929598753E-3</v>
      </c>
      <c r="AN297" s="170">
        <f t="shared" si="91"/>
        <v>-3.7280289929598753E-3</v>
      </c>
      <c r="AP297" s="55">
        <v>16</v>
      </c>
      <c r="AQ297" s="55">
        <v>0</v>
      </c>
    </row>
    <row r="298" spans="2:43" ht="15" x14ac:dyDescent="0.25">
      <c r="B298" t="s">
        <v>569</v>
      </c>
      <c r="D298" s="55">
        <v>6996491</v>
      </c>
      <c r="E298" s="166">
        <v>1781.6151082047093</v>
      </c>
      <c r="G298" s="55">
        <v>6895634.1548346905</v>
      </c>
      <c r="H298" s="166">
        <v>1748.4018934916737</v>
      </c>
      <c r="J298" s="167">
        <f t="shared" si="83"/>
        <v>1.4626188527504302E-2</v>
      </c>
      <c r="K298" s="168">
        <f t="shared" si="83"/>
        <v>1.8996327352807096E-2</v>
      </c>
      <c r="L298" s="55">
        <v>7261028</v>
      </c>
      <c r="M298" s="167">
        <f t="shared" si="84"/>
        <v>3.780995358959216E-2</v>
      </c>
      <c r="N298" s="169">
        <f t="shared" si="85"/>
        <v>9.0547645222140982E-3</v>
      </c>
      <c r="O298" s="55">
        <v>7261028</v>
      </c>
      <c r="Q298" s="167">
        <f t="shared" si="86"/>
        <v>3.7912574226749873E-2</v>
      </c>
      <c r="R298" s="170">
        <v>3.3461309863823674E-2</v>
      </c>
      <c r="S298" s="55">
        <v>7261745.9843642879</v>
      </c>
      <c r="T298" s="167">
        <f t="shared" si="87"/>
        <v>3.7968681144202598E-2</v>
      </c>
      <c r="U298" s="170">
        <v>3.3517176157231043E-2</v>
      </c>
      <c r="V298" s="55">
        <v>7262138.5359072825</v>
      </c>
      <c r="X298" s="167">
        <f t="shared" si="88"/>
        <v>3.7912574226749873E-2</v>
      </c>
      <c r="Y298" s="170">
        <v>3.3461309863823674E-2</v>
      </c>
      <c r="Z298" s="55">
        <v>7261745.9843642879</v>
      </c>
      <c r="AB298" s="55">
        <v>6996204.4354234068</v>
      </c>
      <c r="AC298" s="55">
        <v>7261745.9843642879</v>
      </c>
      <c r="AD298" s="167">
        <f t="shared" si="89"/>
        <v>3.7912574226749873E-2</v>
      </c>
      <c r="AE298" s="170">
        <v>3.3461309863823674E-2</v>
      </c>
      <c r="AF298" s="55">
        <v>7261745.9843642879</v>
      </c>
      <c r="AG298" s="166">
        <v>1841.230283398417</v>
      </c>
      <c r="AH298" s="171">
        <f t="shared" si="90"/>
        <v>3.7912574226749873E-2</v>
      </c>
      <c r="AI298" s="171">
        <f t="shared" si="90"/>
        <v>3.3461309863823896E-2</v>
      </c>
      <c r="AK298" s="55">
        <v>7175594.2927419562</v>
      </c>
      <c r="AL298" s="166">
        <v>1819.3863489062735</v>
      </c>
      <c r="AM298" s="171">
        <f t="shared" si="92"/>
        <v>1.2006209953853375E-2</v>
      </c>
      <c r="AN298" s="170">
        <f t="shared" si="91"/>
        <v>1.2006209953853375E-2</v>
      </c>
      <c r="AP298" s="55">
        <v>11</v>
      </c>
      <c r="AQ298" s="55">
        <v>0</v>
      </c>
    </row>
    <row r="299" spans="2:43" ht="15" x14ac:dyDescent="0.25">
      <c r="B299" t="s">
        <v>570</v>
      </c>
      <c r="D299" s="55">
        <v>4147928</v>
      </c>
      <c r="E299" s="166">
        <v>1629.2391446397492</v>
      </c>
      <c r="G299" s="55">
        <v>4258466.4410171825</v>
      </c>
      <c r="H299" s="166">
        <v>1655.9144953576197</v>
      </c>
      <c r="J299" s="167">
        <f t="shared" si="83"/>
        <v>-2.5957335239861434E-2</v>
      </c>
      <c r="K299" s="168">
        <f t="shared" si="83"/>
        <v>-1.6109135340414804E-2</v>
      </c>
      <c r="L299" s="55">
        <v>4314057</v>
      </c>
      <c r="M299" s="167">
        <f t="shared" si="84"/>
        <v>4.005108092522347E-2</v>
      </c>
      <c r="N299" s="169">
        <f t="shared" si="85"/>
        <v>9.0547645222140982E-3</v>
      </c>
      <c r="O299" s="55">
        <v>4314057</v>
      </c>
      <c r="Q299" s="167">
        <f t="shared" si="86"/>
        <v>4.6899060109596435E-2</v>
      </c>
      <c r="R299" s="170">
        <v>3.6420183245474691E-2</v>
      </c>
      <c r="S299" s="55">
        <v>4342461.9246022785</v>
      </c>
      <c r="T299" s="167">
        <f t="shared" si="87"/>
        <v>4.6899060109596435E-2</v>
      </c>
      <c r="U299" s="170">
        <v>3.6420183245474691E-2</v>
      </c>
      <c r="V299" s="55">
        <v>4342461.9246022785</v>
      </c>
      <c r="X299" s="167">
        <f t="shared" si="88"/>
        <v>4.6899060109596435E-2</v>
      </c>
      <c r="Y299" s="170">
        <v>3.6420183245474691E-2</v>
      </c>
      <c r="Z299" s="55">
        <v>4342461.9246022785</v>
      </c>
      <c r="AB299" s="55">
        <v>4320933.6861359924</v>
      </c>
      <c r="AC299" s="55">
        <v>4342461.9246022785</v>
      </c>
      <c r="AD299" s="167">
        <f t="shared" si="89"/>
        <v>4.6899060109596435E-2</v>
      </c>
      <c r="AE299" s="170">
        <v>3.6420183245474691E-2</v>
      </c>
      <c r="AF299" s="55">
        <v>4342461.9246022785</v>
      </c>
      <c r="AG299" s="166">
        <v>1688.5763328382295</v>
      </c>
      <c r="AH299" s="171">
        <f t="shared" si="90"/>
        <v>4.6899060109596435E-2</v>
      </c>
      <c r="AI299" s="171">
        <f t="shared" si="90"/>
        <v>3.6420183245474913E-2</v>
      </c>
      <c r="AK299" s="55">
        <v>4432335.9522636048</v>
      </c>
      <c r="AL299" s="166">
        <v>1723.5240557384514</v>
      </c>
      <c r="AM299" s="171">
        <f t="shared" si="92"/>
        <v>-2.0276898824744372E-2</v>
      </c>
      <c r="AN299" s="170">
        <f t="shared" si="91"/>
        <v>-2.0276898824744483E-2</v>
      </c>
      <c r="AP299" s="55">
        <v>0</v>
      </c>
      <c r="AQ299" s="55">
        <v>0</v>
      </c>
    </row>
    <row r="300" spans="2:43" ht="15" x14ac:dyDescent="0.25">
      <c r="B300" t="s">
        <v>571</v>
      </c>
      <c r="D300" s="55">
        <v>13920441</v>
      </c>
      <c r="E300" s="166">
        <v>1569.5563348909523</v>
      </c>
      <c r="G300" s="55">
        <v>14202782.526840892</v>
      </c>
      <c r="H300" s="166">
        <v>1588.9954424026726</v>
      </c>
      <c r="J300" s="167">
        <f t="shared" si="83"/>
        <v>-1.987931071304605E-2</v>
      </c>
      <c r="K300" s="168">
        <f t="shared" si="83"/>
        <v>-1.2233582924773501E-2</v>
      </c>
      <c r="L300" s="55">
        <v>14473317</v>
      </c>
      <c r="M300" s="167">
        <f t="shared" si="84"/>
        <v>3.9716845177534266E-2</v>
      </c>
      <c r="N300" s="169">
        <f t="shared" si="85"/>
        <v>9.0547645222140982E-3</v>
      </c>
      <c r="O300" s="55">
        <v>14473317</v>
      </c>
      <c r="Q300" s="167">
        <f t="shared" si="86"/>
        <v>4.3754365437100207E-2</v>
      </c>
      <c r="R300" s="170">
        <v>3.5675267364923879E-2</v>
      </c>
      <c r="S300" s="55">
        <v>14529521.062559592</v>
      </c>
      <c r="T300" s="167">
        <f t="shared" si="87"/>
        <v>4.3754365437100207E-2</v>
      </c>
      <c r="U300" s="170">
        <v>3.5675267364923879E-2</v>
      </c>
      <c r="V300" s="55">
        <v>14529521.062559592</v>
      </c>
      <c r="X300" s="167">
        <f t="shared" si="88"/>
        <v>4.3754365437100207E-2</v>
      </c>
      <c r="Y300" s="170">
        <v>3.5675267364923879E-2</v>
      </c>
      <c r="Z300" s="55">
        <v>14529521.062559592</v>
      </c>
      <c r="AB300" s="55">
        <v>14410724.862634692</v>
      </c>
      <c r="AC300" s="55">
        <v>14529521.062559592</v>
      </c>
      <c r="AD300" s="167">
        <f t="shared" si="89"/>
        <v>4.3754365437100207E-2</v>
      </c>
      <c r="AE300" s="170">
        <v>3.5675267364923879E-2</v>
      </c>
      <c r="AF300" s="55">
        <v>14529521.062559592</v>
      </c>
      <c r="AG300" s="166">
        <v>1625.5506767824966</v>
      </c>
      <c r="AH300" s="171">
        <f t="shared" si="90"/>
        <v>4.3754365437100207E-2</v>
      </c>
      <c r="AI300" s="171">
        <f t="shared" si="90"/>
        <v>3.5675267364923657E-2</v>
      </c>
      <c r="AK300" s="55">
        <v>14781135.558453467</v>
      </c>
      <c r="AL300" s="166">
        <v>1653.7010963543114</v>
      </c>
      <c r="AM300" s="171">
        <f t="shared" si="92"/>
        <v>-1.70226769722015E-2</v>
      </c>
      <c r="AN300" s="170">
        <f t="shared" si="91"/>
        <v>-1.70226769722015E-2</v>
      </c>
      <c r="AP300" s="55">
        <v>7</v>
      </c>
      <c r="AQ300" s="55">
        <v>0</v>
      </c>
    </row>
    <row r="301" spans="2:43" ht="15" x14ac:dyDescent="0.25">
      <c r="B301" t="s">
        <v>572</v>
      </c>
      <c r="D301" s="55">
        <v>5864708</v>
      </c>
      <c r="E301" s="166">
        <v>1615.290355735742</v>
      </c>
      <c r="G301" s="55">
        <v>6024614.5565610807</v>
      </c>
      <c r="H301" s="166">
        <v>1639.7801680857917</v>
      </c>
      <c r="J301" s="167">
        <f t="shared" si="83"/>
        <v>-2.6542205324477597E-2</v>
      </c>
      <c r="K301" s="168">
        <f t="shared" si="83"/>
        <v>-1.4934814328580459E-2</v>
      </c>
      <c r="L301" s="55">
        <v>6105633</v>
      </c>
      <c r="M301" s="167">
        <f t="shared" si="84"/>
        <v>4.1080476640951158E-2</v>
      </c>
      <c r="N301" s="169">
        <f t="shared" si="85"/>
        <v>9.0547645222140982E-3</v>
      </c>
      <c r="O301" s="55">
        <v>6105633</v>
      </c>
      <c r="Q301" s="167">
        <f t="shared" si="86"/>
        <v>4.825304870512559E-2</v>
      </c>
      <c r="R301" s="170">
        <v>3.5901091518994344E-2</v>
      </c>
      <c r="S301" s="55">
        <v>6147698.0407653395</v>
      </c>
      <c r="T301" s="167">
        <f t="shared" si="87"/>
        <v>4.825304870512559E-2</v>
      </c>
      <c r="U301" s="170">
        <v>3.5901091518994344E-2</v>
      </c>
      <c r="V301" s="55">
        <v>6147698.0407653395</v>
      </c>
      <c r="X301" s="167">
        <f t="shared" si="88"/>
        <v>4.825304870512559E-2</v>
      </c>
      <c r="Y301" s="170">
        <v>3.5901091518994344E-2</v>
      </c>
      <c r="Z301" s="55">
        <v>6147698.0407653395</v>
      </c>
      <c r="AB301" s="55">
        <v>6114052.0668840995</v>
      </c>
      <c r="AC301" s="55">
        <v>6147698.0407653395</v>
      </c>
      <c r="AD301" s="167">
        <f t="shared" si="89"/>
        <v>4.825304870512559E-2</v>
      </c>
      <c r="AE301" s="170">
        <v>3.5901091518994344E-2</v>
      </c>
      <c r="AF301" s="55">
        <v>6147698.0407653395</v>
      </c>
      <c r="AG301" s="166">
        <v>1673.2810426267599</v>
      </c>
      <c r="AH301" s="171">
        <f t="shared" si="90"/>
        <v>4.825304870512559E-2</v>
      </c>
      <c r="AI301" s="171">
        <f t="shared" si="90"/>
        <v>3.5901091518994344E-2</v>
      </c>
      <c r="AK301" s="55">
        <v>6272095.0026684282</v>
      </c>
      <c r="AL301" s="166">
        <v>1707.1394196538281</v>
      </c>
      <c r="AM301" s="171">
        <f t="shared" si="92"/>
        <v>-1.9833398864361085E-2</v>
      </c>
      <c r="AN301" s="170">
        <f t="shared" si="91"/>
        <v>-1.9833398864360974E-2</v>
      </c>
      <c r="AP301" s="55">
        <v>1</v>
      </c>
      <c r="AQ301" s="55">
        <v>0</v>
      </c>
    </row>
    <row r="302" spans="2:43" ht="15" x14ac:dyDescent="0.25">
      <c r="B302" t="s">
        <v>573</v>
      </c>
      <c r="D302" s="55">
        <v>4242811</v>
      </c>
      <c r="E302" s="166">
        <v>1718.7528999388023</v>
      </c>
      <c r="G302" s="55">
        <v>4243921.3710086895</v>
      </c>
      <c r="H302" s="166">
        <v>1700.6397627572276</v>
      </c>
      <c r="J302" s="167">
        <f t="shared" si="83"/>
        <v>-2.6163797856260107E-4</v>
      </c>
      <c r="K302" s="168">
        <f t="shared" si="83"/>
        <v>1.0650778358967772E-2</v>
      </c>
      <c r="L302" s="55">
        <v>4417306</v>
      </c>
      <c r="M302" s="167">
        <f t="shared" si="84"/>
        <v>4.1127214952539681E-2</v>
      </c>
      <c r="N302" s="169">
        <f t="shared" si="85"/>
        <v>9.0547645222140982E-3</v>
      </c>
      <c r="O302" s="55">
        <v>4417306</v>
      </c>
      <c r="Q302" s="167">
        <f t="shared" si="86"/>
        <v>4.1911429139136924E-2</v>
      </c>
      <c r="R302" s="170">
        <v>3.0661478567625799E-2</v>
      </c>
      <c r="S302" s="55">
        <v>4420633.2725772504</v>
      </c>
      <c r="T302" s="167">
        <f t="shared" si="87"/>
        <v>4.1911429139136924E-2</v>
      </c>
      <c r="U302" s="170">
        <v>3.0661478567625799E-2</v>
      </c>
      <c r="V302" s="55">
        <v>4420633.2725772504</v>
      </c>
      <c r="X302" s="167">
        <f t="shared" si="88"/>
        <v>4.1911429139136924E-2</v>
      </c>
      <c r="Y302" s="170">
        <v>3.0661478567625799E-2</v>
      </c>
      <c r="Z302" s="55">
        <v>4420633.2725772504</v>
      </c>
      <c r="AB302" s="55">
        <v>4308867.886428888</v>
      </c>
      <c r="AC302" s="55">
        <v>4420633.2725772504</v>
      </c>
      <c r="AD302" s="167">
        <f t="shared" si="89"/>
        <v>4.1911429139136924E-2</v>
      </c>
      <c r="AE302" s="170">
        <v>3.0661478567625799E-2</v>
      </c>
      <c r="AF302" s="55">
        <v>4420633.2725772504</v>
      </c>
      <c r="AG302" s="166">
        <v>1771.4524051433207</v>
      </c>
      <c r="AH302" s="171">
        <f t="shared" si="90"/>
        <v>4.1911429139136924E-2</v>
      </c>
      <c r="AI302" s="171">
        <f t="shared" si="90"/>
        <v>3.0661478567625799E-2</v>
      </c>
      <c r="AK302" s="55">
        <v>4419351.678388603</v>
      </c>
      <c r="AL302" s="166">
        <v>1770.9388400118314</v>
      </c>
      <c r="AM302" s="171">
        <f t="shared" si="92"/>
        <v>2.8999597269319111E-4</v>
      </c>
      <c r="AN302" s="170">
        <f t="shared" si="91"/>
        <v>2.8999597269319111E-4</v>
      </c>
      <c r="AP302" s="55">
        <v>6</v>
      </c>
      <c r="AQ302" s="55">
        <v>0</v>
      </c>
    </row>
    <row r="303" spans="2:43" ht="15" x14ac:dyDescent="0.25">
      <c r="B303" t="s">
        <v>574</v>
      </c>
      <c r="D303" s="55">
        <v>2809232</v>
      </c>
      <c r="E303" s="166">
        <v>1580.7427686546957</v>
      </c>
      <c r="G303" s="55">
        <v>2860277.8905109502</v>
      </c>
      <c r="H303" s="166">
        <v>1590.9993402221442</v>
      </c>
      <c r="J303" s="167">
        <f t="shared" si="83"/>
        <v>-1.7846479420862038E-2</v>
      </c>
      <c r="K303" s="168">
        <f t="shared" si="83"/>
        <v>-6.4466221375153454E-3</v>
      </c>
      <c r="L303" s="55">
        <v>2923592</v>
      </c>
      <c r="M303" s="167">
        <f t="shared" si="84"/>
        <v>4.0708634957881795E-2</v>
      </c>
      <c r="N303" s="169">
        <f t="shared" si="85"/>
        <v>9.0547645222140982E-3</v>
      </c>
      <c r="O303" s="55">
        <v>2923592</v>
      </c>
      <c r="Q303" s="167">
        <f t="shared" si="86"/>
        <v>4.5321989946354391E-2</v>
      </c>
      <c r="R303" s="170">
        <v>3.3328148683221093E-2</v>
      </c>
      <c r="S303" s="55">
        <v>2936551.9844609769</v>
      </c>
      <c r="T303" s="167">
        <f t="shared" si="87"/>
        <v>4.5321989946354391E-2</v>
      </c>
      <c r="U303" s="170">
        <v>3.3328148683221093E-2</v>
      </c>
      <c r="V303" s="55">
        <v>2936551.9844609769</v>
      </c>
      <c r="X303" s="167">
        <f t="shared" si="88"/>
        <v>4.5321989946354391E-2</v>
      </c>
      <c r="Y303" s="170">
        <v>3.3328148683221093E-2</v>
      </c>
      <c r="Z303" s="55">
        <v>2936551.9844609769</v>
      </c>
      <c r="AB303" s="55">
        <v>2902728.2286713156</v>
      </c>
      <c r="AC303" s="55">
        <v>2936551.9844609769</v>
      </c>
      <c r="AD303" s="167">
        <f t="shared" si="89"/>
        <v>4.5321989946354391E-2</v>
      </c>
      <c r="AE303" s="170">
        <v>3.3328148683221093E-2</v>
      </c>
      <c r="AF303" s="55">
        <v>2936551.9844609769</v>
      </c>
      <c r="AG303" s="166">
        <v>1633.4259986783463</v>
      </c>
      <c r="AH303" s="171">
        <f t="shared" si="90"/>
        <v>4.5321989946354391E-2</v>
      </c>
      <c r="AI303" s="171">
        <f t="shared" si="90"/>
        <v>3.3328148683221315E-2</v>
      </c>
      <c r="AK303" s="55">
        <v>2977157.1576116057</v>
      </c>
      <c r="AL303" s="166">
        <v>1656.0121970007463</v>
      </c>
      <c r="AM303" s="171">
        <f t="shared" si="92"/>
        <v>-1.3638908193615129E-2</v>
      </c>
      <c r="AN303" s="170">
        <f t="shared" si="91"/>
        <v>-1.3638908193615018E-2</v>
      </c>
      <c r="AP303" s="55">
        <v>2</v>
      </c>
      <c r="AQ303" s="55">
        <v>0</v>
      </c>
    </row>
    <row r="304" spans="2:43" ht="15" x14ac:dyDescent="0.25">
      <c r="B304" t="s">
        <v>575</v>
      </c>
      <c r="D304" s="55">
        <v>3403285</v>
      </c>
      <c r="E304" s="166">
        <v>1770.9181310580122</v>
      </c>
      <c r="G304" s="55">
        <v>3193949.3923022682</v>
      </c>
      <c r="H304" s="166">
        <v>1646.4948163633198</v>
      </c>
      <c r="J304" s="167">
        <f t="shared" si="83"/>
        <v>6.5541303879845803E-2</v>
      </c>
      <c r="K304" s="168">
        <f t="shared" si="83"/>
        <v>7.5568603956805092E-2</v>
      </c>
      <c r="L304" s="55">
        <v>3518907</v>
      </c>
      <c r="M304" s="167">
        <f t="shared" si="84"/>
        <v>3.7192153356291557E-2</v>
      </c>
      <c r="N304" s="169">
        <f t="shared" si="85"/>
        <v>9.0547645222140982E-3</v>
      </c>
      <c r="O304" s="55">
        <v>3529860.4976351666</v>
      </c>
      <c r="Q304" s="167">
        <f t="shared" si="86"/>
        <v>3.7192153356291557E-2</v>
      </c>
      <c r="R304" s="170">
        <v>2.7522628863934084E-2</v>
      </c>
      <c r="S304" s="55">
        <v>3529860.4976351666</v>
      </c>
      <c r="T304" s="167">
        <f t="shared" si="87"/>
        <v>3.7846843393493756E-2</v>
      </c>
      <c r="U304" s="170">
        <v>2.8171215363494539E-2</v>
      </c>
      <c r="V304" s="55">
        <v>3532088.5944184265</v>
      </c>
      <c r="X304" s="167">
        <f t="shared" si="88"/>
        <v>3.4545759146879629E-2</v>
      </c>
      <c r="Y304" s="170">
        <v>2.4900906431628789E-2</v>
      </c>
      <c r="Z304" s="55">
        <v>3520854.0639181882</v>
      </c>
      <c r="AB304" s="55">
        <v>3242817.4376479173</v>
      </c>
      <c r="AC304" s="55">
        <v>3520854.0639181882</v>
      </c>
      <c r="AD304" s="167">
        <f t="shared" si="89"/>
        <v>3.4545759146879629E-2</v>
      </c>
      <c r="AE304" s="170">
        <v>2.4900906431628789E-2</v>
      </c>
      <c r="AF304" s="55">
        <v>3520854.0639181882</v>
      </c>
      <c r="AG304" s="166">
        <v>1815.0155977375625</v>
      </c>
      <c r="AH304" s="171">
        <f t="shared" si="90"/>
        <v>3.4545759146879629E-2</v>
      </c>
      <c r="AI304" s="171">
        <f t="shared" si="90"/>
        <v>2.4900906431628567E-2</v>
      </c>
      <c r="AK304" s="55">
        <v>3325966.6027158131</v>
      </c>
      <c r="AL304" s="166">
        <v>1714.5502630590379</v>
      </c>
      <c r="AM304" s="171">
        <f t="shared" si="92"/>
        <v>5.8595736061582748E-2</v>
      </c>
      <c r="AN304" s="170">
        <f t="shared" si="91"/>
        <v>5.8595736061582748E-2</v>
      </c>
      <c r="AP304" s="55">
        <v>6</v>
      </c>
      <c r="AQ304" s="55">
        <v>0</v>
      </c>
    </row>
    <row r="305" spans="2:43" ht="15" x14ac:dyDescent="0.25">
      <c r="B305"/>
      <c r="D305" s="1"/>
      <c r="G305" s="1"/>
      <c r="L305" s="1"/>
      <c r="O305" s="1"/>
      <c r="Q305" s="53"/>
      <c r="S305" s="1"/>
      <c r="U305" s="52"/>
      <c r="V305" s="1"/>
      <c r="X305" s="53"/>
      <c r="Y305" s="52"/>
      <c r="Z305" s="1"/>
      <c r="AB305" s="1"/>
      <c r="AC305" s="1"/>
      <c r="AD305" s="53"/>
      <c r="AE305" s="52"/>
      <c r="AF305" s="1"/>
      <c r="AG305" s="75"/>
      <c r="AK305" s="1"/>
      <c r="AL305" s="75"/>
      <c r="AP305" s="1"/>
      <c r="AQ305" s="1"/>
    </row>
    <row r="306" spans="2:43" ht="15" x14ac:dyDescent="0.25">
      <c r="B306" t="s">
        <v>12</v>
      </c>
      <c r="D306" s="172">
        <f>SUM(D293:D304)</f>
        <v>99838453</v>
      </c>
      <c r="E306" s="173">
        <v>1692.2107288024779</v>
      </c>
      <c r="G306" s="172">
        <f>SUM(G293:G304)</f>
        <v>99838483.828704491</v>
      </c>
      <c r="H306" s="173">
        <v>1680.7163909395717</v>
      </c>
      <c r="J306" s="167">
        <f>D306/G306-1</f>
        <v>-3.0878578394233358E-7</v>
      </c>
      <c r="K306" s="168">
        <f>E306/H306-1</f>
        <v>6.8389514881095348E-3</v>
      </c>
      <c r="L306" s="172">
        <f>SUM(L293:L304)</f>
        <v>103698044</v>
      </c>
      <c r="M306" s="167">
        <f>O306/$D306-1</f>
        <v>3.8801822040660738E-2</v>
      </c>
      <c r="N306" s="169">
        <f>N$222</f>
        <v>9.0547645222140982E-3</v>
      </c>
      <c r="O306" s="172">
        <f>SUM(O293:O304)</f>
        <v>103712366.88612087</v>
      </c>
      <c r="Q306" s="167">
        <f>S306/$D306-1</f>
        <v>4.0887173991739134E-2</v>
      </c>
      <c r="R306" s="170">
        <v>3.381663079496966E-2</v>
      </c>
      <c r="S306" s="172">
        <f>SUM(S293:S304)</f>
        <v>103920565.19887707</v>
      </c>
      <c r="T306" s="167">
        <f>V306/$D306-1</f>
        <v>4.0963913222579862E-2</v>
      </c>
      <c r="U306" s="170">
        <v>3.3892848751209126E-2</v>
      </c>
      <c r="V306" s="172">
        <f>SUM(V293:V304)</f>
        <v>103928226.72496863</v>
      </c>
      <c r="X306" s="167">
        <f>Z306/$D306-1</f>
        <v>4.076875726307172E-2</v>
      </c>
      <c r="Y306" s="170">
        <v>3.3699018448003049E-2</v>
      </c>
      <c r="Z306" s="172">
        <f>SUM(Z293:Z304)</f>
        <v>103908742.65587761</v>
      </c>
      <c r="AB306" s="172">
        <f>SUM(AB293:AB304)</f>
        <v>101300880.79956298</v>
      </c>
      <c r="AC306" s="172">
        <f>SUM(AC293:AC304)</f>
        <v>103908742.65587761</v>
      </c>
      <c r="AD306" s="167">
        <f>AC306/$D306-1</f>
        <v>4.076875726307172E-2</v>
      </c>
      <c r="AE306" s="170">
        <v>3.3699018448003049E-2</v>
      </c>
      <c r="AF306" s="172">
        <f>SUM(AF293:AF304)</f>
        <v>103908742.65587761</v>
      </c>
      <c r="AG306" s="166">
        <v>1749.2365693703011</v>
      </c>
      <c r="AH306" s="171">
        <f>AF306/D306 - 1</f>
        <v>4.076875726307172E-2</v>
      </c>
      <c r="AI306" s="171">
        <f>AG306/E306 - 1</f>
        <v>3.3699018448003049E-2</v>
      </c>
      <c r="AK306" s="172">
        <f>SUM(AK293:AK304)</f>
        <v>103908754.03575227</v>
      </c>
      <c r="AL306" s="173">
        <v>1749.236760943141</v>
      </c>
      <c r="AM306" s="171">
        <f t="shared" si="92"/>
        <v>-1.0951795892388816E-7</v>
      </c>
      <c r="AN306" s="170">
        <f t="shared" si="92"/>
        <v>-1.0951795903491046E-7</v>
      </c>
      <c r="AP306" s="172">
        <f>SUM(AP293:AP304)</f>
        <v>118</v>
      </c>
      <c r="AQ306" s="172">
        <f>SUM(AQ293:AQ304)</f>
        <v>0</v>
      </c>
    </row>
    <row r="307" spans="2:43" ht="15" x14ac:dyDescent="0.25">
      <c r="B307"/>
      <c r="D307" s="1"/>
      <c r="G307" s="1"/>
      <c r="L307" s="1"/>
      <c r="O307" s="1"/>
      <c r="Q307" s="53"/>
      <c r="S307" s="1"/>
      <c r="U307" s="52"/>
      <c r="V307" s="1"/>
      <c r="X307" s="53"/>
      <c r="Y307" s="52"/>
      <c r="Z307" s="1"/>
      <c r="AB307" s="1"/>
      <c r="AC307" s="1"/>
      <c r="AD307" s="53"/>
      <c r="AE307" s="52"/>
      <c r="AF307" s="1"/>
      <c r="AG307" s="75"/>
      <c r="AK307" s="1"/>
      <c r="AL307" s="75"/>
      <c r="AP307" s="1"/>
      <c r="AQ307" s="1"/>
    </row>
    <row r="308" spans="2:43" x14ac:dyDescent="0.2">
      <c r="B308" s="43" t="s">
        <v>576</v>
      </c>
      <c r="D308" s="1"/>
      <c r="G308" s="1"/>
      <c r="L308" s="1"/>
      <c r="O308" s="1"/>
      <c r="Q308" s="53"/>
      <c r="S308" s="1"/>
      <c r="U308" s="52"/>
      <c r="V308" s="1"/>
      <c r="X308" s="53"/>
      <c r="Y308" s="52"/>
      <c r="Z308" s="1"/>
      <c r="AB308" s="1"/>
      <c r="AC308" s="1"/>
      <c r="AD308" s="53"/>
      <c r="AE308" s="52"/>
      <c r="AF308" s="1"/>
      <c r="AG308" s="75"/>
      <c r="AK308" s="1"/>
      <c r="AL308" s="75"/>
      <c r="AP308" s="1"/>
      <c r="AQ308" s="1"/>
    </row>
    <row r="309" spans="2:43" ht="15" x14ac:dyDescent="0.25">
      <c r="B309"/>
      <c r="D309" s="1"/>
      <c r="G309" s="1"/>
      <c r="L309" s="1"/>
      <c r="O309" s="1"/>
      <c r="Q309" s="53"/>
      <c r="S309" s="1"/>
      <c r="U309" s="52"/>
      <c r="V309" s="1"/>
      <c r="X309" s="53"/>
      <c r="Y309" s="52"/>
      <c r="Z309" s="1"/>
      <c r="AB309" s="1"/>
      <c r="AC309" s="1"/>
      <c r="AD309" s="53"/>
      <c r="AE309" s="52"/>
      <c r="AF309" s="1"/>
      <c r="AG309" s="75"/>
      <c r="AK309" s="1"/>
      <c r="AL309" s="75"/>
      <c r="AP309" s="1"/>
      <c r="AQ309" s="1"/>
    </row>
    <row r="310" spans="2:43" ht="15" x14ac:dyDescent="0.25">
      <c r="B310" t="s">
        <v>577</v>
      </c>
      <c r="D310" s="55">
        <v>6208254</v>
      </c>
      <c r="E310" s="166">
        <v>1893.0457498698838</v>
      </c>
      <c r="G310" s="55">
        <v>5991359.0675373171</v>
      </c>
      <c r="H310" s="166">
        <v>1822.4241261532602</v>
      </c>
      <c r="J310" s="167">
        <f t="shared" ref="J310:K322" si="93">D310/G310-1</f>
        <v>3.6201290895395255E-2</v>
      </c>
      <c r="K310" s="168">
        <f t="shared" si="93"/>
        <v>3.8751475412965641E-2</v>
      </c>
      <c r="L310" s="55">
        <v>6430367</v>
      </c>
      <c r="M310" s="167">
        <f t="shared" ref="M310:M322" si="94">O310/$D310-1</f>
        <v>3.6295489603410003E-2</v>
      </c>
      <c r="N310" s="169">
        <f t="shared" ref="N310:N322" si="95">N$222</f>
        <v>9.0547645222140982E-3</v>
      </c>
      <c r="O310" s="55">
        <v>6433585.6185123287</v>
      </c>
      <c r="Q310" s="167">
        <f t="shared" ref="Q310:Q322" si="96">S310/$D310-1</f>
        <v>3.6295489603410003E-2</v>
      </c>
      <c r="R310" s="170">
        <v>3.3751334648381981E-2</v>
      </c>
      <c r="S310" s="55">
        <v>6433585.6185123287</v>
      </c>
      <c r="T310" s="167">
        <f t="shared" ref="T310:T322" si="97">V310/$D310-1</f>
        <v>3.7035495501431592E-2</v>
      </c>
      <c r="U310" s="170">
        <v>3.4489523796556565E-2</v>
      </c>
      <c r="V310" s="55">
        <v>6438179.7630887441</v>
      </c>
      <c r="X310" s="167">
        <f t="shared" ref="X310:X322" si="98">Z310/$D310-1</f>
        <v>3.5841882311812734E-2</v>
      </c>
      <c r="Y310" s="170">
        <v>3.3298840984365086E-2</v>
      </c>
      <c r="Z310" s="55">
        <v>6430769.5092298407</v>
      </c>
      <c r="AB310" s="55">
        <v>6078427.2301694844</v>
      </c>
      <c r="AC310" s="55">
        <v>6430769.5092298407</v>
      </c>
      <c r="AD310" s="167">
        <f t="shared" ref="AD310:AD322" si="99">AC310/$D310-1</f>
        <v>3.5841882311812734E-2</v>
      </c>
      <c r="AE310" s="170">
        <v>3.3298840984365086E-2</v>
      </c>
      <c r="AF310" s="55">
        <v>6430769.5092298407</v>
      </c>
      <c r="AG310" s="166">
        <v>1956.0819792709287</v>
      </c>
      <c r="AH310" s="171">
        <f t="shared" ref="AH310:AI322" si="100">AF310/D310 - 1</f>
        <v>3.5841882311812734E-2</v>
      </c>
      <c r="AI310" s="171">
        <f t="shared" si="100"/>
        <v>3.3298840984364864E-2</v>
      </c>
      <c r="AK310" s="55">
        <v>6234284.3386353692</v>
      </c>
      <c r="AL310" s="166">
        <v>1896.316021115814</v>
      </c>
      <c r="AM310" s="171">
        <f>AF310/AK310-1</f>
        <v>3.1516876664865245E-2</v>
      </c>
      <c r="AN310" s="170">
        <f t="shared" ref="AN310:AN322" si="101">AG310/AL310-1</f>
        <v>3.1516876664865023E-2</v>
      </c>
      <c r="AP310" s="1"/>
      <c r="AQ310" s="1"/>
    </row>
    <row r="311" spans="2:43" ht="15" x14ac:dyDescent="0.25">
      <c r="B311" t="s">
        <v>578</v>
      </c>
      <c r="D311" s="55">
        <v>8424130</v>
      </c>
      <c r="E311" s="166">
        <v>1846.1788264621771</v>
      </c>
      <c r="G311" s="55">
        <v>8400957.2264918182</v>
      </c>
      <c r="H311" s="166">
        <v>1832.8224461762454</v>
      </c>
      <c r="J311" s="167">
        <f t="shared" si="93"/>
        <v>2.7583491837226415E-3</v>
      </c>
      <c r="K311" s="168">
        <f t="shared" si="93"/>
        <v>7.2873290665971258E-3</v>
      </c>
      <c r="L311" s="55">
        <v>8749710</v>
      </c>
      <c r="M311" s="167">
        <f t="shared" si="94"/>
        <v>3.8648501388274026E-2</v>
      </c>
      <c r="N311" s="169">
        <f t="shared" si="95"/>
        <v>9.0547645222140982E-3</v>
      </c>
      <c r="O311" s="55">
        <v>8749710</v>
      </c>
      <c r="Q311" s="167">
        <f t="shared" si="96"/>
        <v>3.9274884802428245E-2</v>
      </c>
      <c r="R311" s="170">
        <v>3.4602082008007518E-2</v>
      </c>
      <c r="S311" s="55">
        <v>8754986.7353106793</v>
      </c>
      <c r="T311" s="167">
        <f t="shared" si="97"/>
        <v>3.9274884802428245E-2</v>
      </c>
      <c r="U311" s="170">
        <v>3.4602082008007518E-2</v>
      </c>
      <c r="V311" s="55">
        <v>8754986.7353106793</v>
      </c>
      <c r="X311" s="167">
        <f t="shared" si="98"/>
        <v>3.9274884802428245E-2</v>
      </c>
      <c r="Y311" s="170">
        <v>3.4602082008007518E-2</v>
      </c>
      <c r="Z311" s="55">
        <v>8754986.7353106793</v>
      </c>
      <c r="AB311" s="55">
        <v>8523641.1311255619</v>
      </c>
      <c r="AC311" s="55">
        <v>8754986.7353106793</v>
      </c>
      <c r="AD311" s="167">
        <f t="shared" si="99"/>
        <v>3.9274884802428245E-2</v>
      </c>
      <c r="AE311" s="170">
        <v>3.4602082008007518E-2</v>
      </c>
      <c r="AF311" s="55">
        <v>8754986.7353106793</v>
      </c>
      <c r="AG311" s="166">
        <v>1910.0604576168682</v>
      </c>
      <c r="AH311" s="171">
        <f t="shared" si="100"/>
        <v>3.9274884802428245E-2</v>
      </c>
      <c r="AI311" s="171">
        <f t="shared" si="100"/>
        <v>3.4602082008007518E-2</v>
      </c>
      <c r="AK311" s="55">
        <v>8743577.7254574001</v>
      </c>
      <c r="AL311" s="166">
        <v>1907.5713734822896</v>
      </c>
      <c r="AM311" s="171">
        <f t="shared" ref="AM311:AM322" si="102">AF311/AK311-1</f>
        <v>1.3048445626624439E-3</v>
      </c>
      <c r="AN311" s="170">
        <f t="shared" si="101"/>
        <v>1.3048445626622218E-3</v>
      </c>
      <c r="AP311" s="1"/>
      <c r="AQ311" s="1"/>
    </row>
    <row r="312" spans="2:43" ht="15" x14ac:dyDescent="0.25">
      <c r="B312" t="s">
        <v>579</v>
      </c>
      <c r="D312" s="55">
        <v>4953549</v>
      </c>
      <c r="E312" s="166">
        <v>1904.8899078023017</v>
      </c>
      <c r="G312" s="55">
        <v>4843822.9189174008</v>
      </c>
      <c r="H312" s="166">
        <v>1857.3951244128143</v>
      </c>
      <c r="J312" s="167">
        <f t="shared" si="93"/>
        <v>2.2652785396854114E-2</v>
      </c>
      <c r="K312" s="168">
        <f t="shared" si="93"/>
        <v>2.5570640713564963E-2</v>
      </c>
      <c r="L312" s="55">
        <v>5135345</v>
      </c>
      <c r="M312" s="167">
        <f t="shared" si="94"/>
        <v>3.6700151749785803E-2</v>
      </c>
      <c r="N312" s="169">
        <f t="shared" si="95"/>
        <v>9.0547645222140982E-3</v>
      </c>
      <c r="O312" s="55">
        <v>5135345</v>
      </c>
      <c r="Q312" s="167">
        <f t="shared" si="96"/>
        <v>3.6894181884933541E-2</v>
      </c>
      <c r="R312" s="170">
        <v>3.3944109913904397E-2</v>
      </c>
      <c r="S312" s="55">
        <v>5136306.1377819311</v>
      </c>
      <c r="T312" s="167">
        <f t="shared" si="97"/>
        <v>3.6967854173638459E-2</v>
      </c>
      <c r="U312" s="170">
        <v>3.4017572597272894E-2</v>
      </c>
      <c r="V312" s="55">
        <v>5136671.0770739727</v>
      </c>
      <c r="X312" s="167">
        <f t="shared" si="98"/>
        <v>3.6894181884933541E-2</v>
      </c>
      <c r="Y312" s="170">
        <v>3.3944109913904397E-2</v>
      </c>
      <c r="Z312" s="55">
        <v>5136306.1377819311</v>
      </c>
      <c r="AB312" s="55">
        <v>4914333.5025747288</v>
      </c>
      <c r="AC312" s="55">
        <v>5136306.1377819311</v>
      </c>
      <c r="AD312" s="167">
        <f t="shared" si="99"/>
        <v>3.6894181884933541E-2</v>
      </c>
      <c r="AE312" s="170">
        <v>3.3944109913904397E-2</v>
      </c>
      <c r="AF312" s="55">
        <v>5136306.1377819311</v>
      </c>
      <c r="AG312" s="166">
        <v>1969.5497002066304</v>
      </c>
      <c r="AH312" s="171">
        <f t="shared" si="100"/>
        <v>3.6894181884933541E-2</v>
      </c>
      <c r="AI312" s="171">
        <f t="shared" si="100"/>
        <v>3.3944109913904619E-2</v>
      </c>
      <c r="AK312" s="55">
        <v>5040342.0539228003</v>
      </c>
      <c r="AL312" s="166">
        <v>1932.7516536094749</v>
      </c>
      <c r="AM312" s="171">
        <f t="shared" si="102"/>
        <v>1.9039200679732415E-2</v>
      </c>
      <c r="AN312" s="170">
        <f t="shared" si="101"/>
        <v>1.9039200679732415E-2</v>
      </c>
      <c r="AP312" s="1"/>
      <c r="AQ312" s="1"/>
    </row>
    <row r="313" spans="2:43" ht="15" x14ac:dyDescent="0.25">
      <c r="B313" t="s">
        <v>580</v>
      </c>
      <c r="D313" s="55">
        <v>10022549</v>
      </c>
      <c r="E313" s="166">
        <v>1715.914039283821</v>
      </c>
      <c r="G313" s="55">
        <v>9744212.6012059953</v>
      </c>
      <c r="H313" s="166">
        <v>1660.5060453381727</v>
      </c>
      <c r="J313" s="167">
        <f t="shared" si="93"/>
        <v>2.8564278119255659E-2</v>
      </c>
      <c r="K313" s="168">
        <f t="shared" si="93"/>
        <v>3.3368137442922663E-2</v>
      </c>
      <c r="L313" s="55">
        <v>10399875</v>
      </c>
      <c r="M313" s="167">
        <f t="shared" si="94"/>
        <v>3.7647708182818596E-2</v>
      </c>
      <c r="N313" s="169">
        <f t="shared" si="95"/>
        <v>9.0547645222140982E-3</v>
      </c>
      <c r="O313" s="55">
        <v>10399875</v>
      </c>
      <c r="Q313" s="167">
        <f t="shared" si="96"/>
        <v>3.7743409180835963E-2</v>
      </c>
      <c r="R313" s="170">
        <v>3.2919210358426598E-2</v>
      </c>
      <c r="S313" s="55">
        <v>10400834.167941978</v>
      </c>
      <c r="T313" s="167">
        <f t="shared" si="97"/>
        <v>3.7751570168311321E-2</v>
      </c>
      <c r="U313" s="170">
        <v>3.2927333407596793E-2</v>
      </c>
      <c r="V313" s="55">
        <v>10400915.961838838</v>
      </c>
      <c r="X313" s="167">
        <f t="shared" si="98"/>
        <v>3.7743409180835963E-2</v>
      </c>
      <c r="Y313" s="170">
        <v>3.2919210358426598E-2</v>
      </c>
      <c r="Z313" s="55">
        <v>10400834.167941978</v>
      </c>
      <c r="AB313" s="55">
        <v>9885870.8664834239</v>
      </c>
      <c r="AC313" s="55">
        <v>10400834.167941978</v>
      </c>
      <c r="AD313" s="167">
        <f t="shared" si="99"/>
        <v>3.7743409180835963E-2</v>
      </c>
      <c r="AE313" s="170">
        <v>3.2919210358426598E-2</v>
      </c>
      <c r="AF313" s="55">
        <v>10400834.167941978</v>
      </c>
      <c r="AG313" s="166">
        <v>1772.4005744999827</v>
      </c>
      <c r="AH313" s="171">
        <f t="shared" si="100"/>
        <v>3.7743409180835963E-2</v>
      </c>
      <c r="AI313" s="171">
        <f t="shared" si="100"/>
        <v>3.2919210358426598E-2</v>
      </c>
      <c r="AK313" s="55">
        <v>10139783.378503162</v>
      </c>
      <c r="AL313" s="166">
        <v>1727.9150494253547</v>
      </c>
      <c r="AM313" s="171">
        <f t="shared" si="102"/>
        <v>2.574520378731715E-2</v>
      </c>
      <c r="AN313" s="170">
        <f t="shared" si="101"/>
        <v>2.574520378731715E-2</v>
      </c>
      <c r="AP313" s="1"/>
      <c r="AQ313" s="1"/>
    </row>
    <row r="314" spans="2:43" ht="15" x14ac:dyDescent="0.25">
      <c r="B314" t="s">
        <v>581</v>
      </c>
      <c r="D314" s="55">
        <v>7652364</v>
      </c>
      <c r="E314" s="166">
        <v>1694.801003028708</v>
      </c>
      <c r="G314" s="55">
        <v>7723211.1616246039</v>
      </c>
      <c r="H314" s="166">
        <v>1700.143939853119</v>
      </c>
      <c r="J314" s="167">
        <f t="shared" si="93"/>
        <v>-9.1732778169567597E-3</v>
      </c>
      <c r="K314" s="168">
        <f t="shared" si="93"/>
        <v>-3.1426379256291881E-3</v>
      </c>
      <c r="L314" s="55">
        <v>7950502</v>
      </c>
      <c r="M314" s="167">
        <f t="shared" si="94"/>
        <v>3.8960248101109762E-2</v>
      </c>
      <c r="N314" s="169">
        <f t="shared" si="95"/>
        <v>9.0547645222140982E-3</v>
      </c>
      <c r="O314" s="55">
        <v>7950502</v>
      </c>
      <c r="Q314" s="167">
        <f t="shared" si="96"/>
        <v>4.0263570392090386E-2</v>
      </c>
      <c r="R314" s="170">
        <v>3.3970338056375837E-2</v>
      </c>
      <c r="S314" s="55">
        <v>7960475.4965798976</v>
      </c>
      <c r="T314" s="167">
        <f t="shared" si="97"/>
        <v>4.0263570392090386E-2</v>
      </c>
      <c r="U314" s="170">
        <v>3.3970338056375837E-2</v>
      </c>
      <c r="V314" s="55">
        <v>7960475.4965798976</v>
      </c>
      <c r="X314" s="167">
        <f t="shared" si="98"/>
        <v>4.0263570392090386E-2</v>
      </c>
      <c r="Y314" s="170">
        <v>3.3970338056375837E-2</v>
      </c>
      <c r="Z314" s="55">
        <v>7960475.4965798976</v>
      </c>
      <c r="AB314" s="55">
        <v>7837528.8744808584</v>
      </c>
      <c r="AC314" s="55">
        <v>7960475.4965798976</v>
      </c>
      <c r="AD314" s="167">
        <f t="shared" si="99"/>
        <v>4.0263570392090386E-2</v>
      </c>
      <c r="AE314" s="170">
        <v>3.3970338056375837E-2</v>
      </c>
      <c r="AF314" s="55">
        <v>7960475.4965798976</v>
      </c>
      <c r="AG314" s="166">
        <v>1752.373966039878</v>
      </c>
      <c r="AH314" s="171">
        <f t="shared" si="100"/>
        <v>4.0263570392090386E-2</v>
      </c>
      <c r="AI314" s="171">
        <f t="shared" si="100"/>
        <v>3.3970338056375837E-2</v>
      </c>
      <c r="AK314" s="55">
        <v>8038491.153313701</v>
      </c>
      <c r="AL314" s="166">
        <v>1769.5478906204582</v>
      </c>
      <c r="AM314" s="171">
        <f t="shared" si="102"/>
        <v>-9.7052612543639949E-3</v>
      </c>
      <c r="AN314" s="170">
        <f t="shared" si="101"/>
        <v>-9.7052612543639949E-3</v>
      </c>
      <c r="AP314" s="1"/>
      <c r="AQ314" s="1"/>
    </row>
    <row r="315" spans="2:43" ht="15" x14ac:dyDescent="0.25">
      <c r="B315" t="s">
        <v>582</v>
      </c>
      <c r="D315" s="55">
        <v>6355062</v>
      </c>
      <c r="E315" s="166">
        <v>1686.4092194550597</v>
      </c>
      <c r="G315" s="55">
        <v>6358870.658498534</v>
      </c>
      <c r="H315" s="166">
        <v>1679.595771447677</v>
      </c>
      <c r="J315" s="167">
        <f t="shared" si="93"/>
        <v>-5.9895203143400799E-4</v>
      </c>
      <c r="K315" s="168">
        <f t="shared" si="93"/>
        <v>4.0565998814763304E-3</v>
      </c>
      <c r="L315" s="55">
        <v>6598305</v>
      </c>
      <c r="M315" s="167">
        <f t="shared" si="94"/>
        <v>3.8275472371473329E-2</v>
      </c>
      <c r="N315" s="169">
        <f t="shared" si="95"/>
        <v>9.0547645222140982E-3</v>
      </c>
      <c r="O315" s="55">
        <v>6598305</v>
      </c>
      <c r="Q315" s="167">
        <f t="shared" si="96"/>
        <v>3.8955186263286645E-2</v>
      </c>
      <c r="R315" s="170">
        <v>3.4137818591576385E-2</v>
      </c>
      <c r="S315" s="55">
        <v>6602624.623924735</v>
      </c>
      <c r="T315" s="167">
        <f t="shared" si="97"/>
        <v>3.8955186263286645E-2</v>
      </c>
      <c r="U315" s="170">
        <v>3.4137818591576385E-2</v>
      </c>
      <c r="V315" s="55">
        <v>6602624.623924735</v>
      </c>
      <c r="X315" s="167">
        <f t="shared" si="98"/>
        <v>3.8955186263286645E-2</v>
      </c>
      <c r="Y315" s="170">
        <v>3.4137818591576385E-2</v>
      </c>
      <c r="Z315" s="55">
        <v>6602624.623924735</v>
      </c>
      <c r="AB315" s="55">
        <v>6452043.6239701482</v>
      </c>
      <c r="AC315" s="55">
        <v>6602624.623924735</v>
      </c>
      <c r="AD315" s="167">
        <f t="shared" si="99"/>
        <v>3.8955186263286645E-2</v>
      </c>
      <c r="AE315" s="170">
        <v>3.4137818591576385E-2</v>
      </c>
      <c r="AF315" s="55">
        <v>6602624.623924735</v>
      </c>
      <c r="AG315" s="166">
        <v>1743.9795514599789</v>
      </c>
      <c r="AH315" s="171">
        <f t="shared" si="100"/>
        <v>3.8955186263286645E-2</v>
      </c>
      <c r="AI315" s="171">
        <f t="shared" si="100"/>
        <v>3.4137818591576607E-2</v>
      </c>
      <c r="AK315" s="55">
        <v>6617480.6399693862</v>
      </c>
      <c r="AL315" s="166">
        <v>1747.903534674798</v>
      </c>
      <c r="AM315" s="171">
        <f t="shared" si="102"/>
        <v>-2.2449655469970464E-3</v>
      </c>
      <c r="AN315" s="170">
        <f t="shared" si="101"/>
        <v>-2.2449655469969354E-3</v>
      </c>
      <c r="AP315" s="1"/>
      <c r="AQ315" s="1"/>
    </row>
    <row r="316" spans="2:43" ht="15" x14ac:dyDescent="0.25">
      <c r="B316" t="s">
        <v>583</v>
      </c>
      <c r="D316" s="55">
        <v>7839381</v>
      </c>
      <c r="E316" s="166">
        <v>1580.1191068668406</v>
      </c>
      <c r="G316" s="55">
        <v>8031594.6811267491</v>
      </c>
      <c r="H316" s="166">
        <v>1605.2009391227305</v>
      </c>
      <c r="J316" s="167">
        <f t="shared" si="93"/>
        <v>-2.3932193886530118E-2</v>
      </c>
      <c r="K316" s="168">
        <f t="shared" si="93"/>
        <v>-1.5625353589437507E-2</v>
      </c>
      <c r="L316" s="55">
        <v>8148585</v>
      </c>
      <c r="M316" s="167">
        <f t="shared" si="94"/>
        <v>3.9442399852743559E-2</v>
      </c>
      <c r="N316" s="169">
        <f t="shared" si="95"/>
        <v>9.0547645222140982E-3</v>
      </c>
      <c r="O316" s="55">
        <v>8148585</v>
      </c>
      <c r="Q316" s="167">
        <f t="shared" si="96"/>
        <v>4.5253924911364152E-2</v>
      </c>
      <c r="R316" s="170">
        <v>3.6433342772430821E-2</v>
      </c>
      <c r="S316" s="55">
        <v>8194143.7591255754</v>
      </c>
      <c r="T316" s="167">
        <f t="shared" si="97"/>
        <v>4.5253924911364152E-2</v>
      </c>
      <c r="U316" s="170">
        <v>3.6433342772430821E-2</v>
      </c>
      <c r="V316" s="55">
        <v>8194143.7591255754</v>
      </c>
      <c r="X316" s="167">
        <f t="shared" si="98"/>
        <v>4.5253924911364152E-2</v>
      </c>
      <c r="Y316" s="170">
        <v>3.6433342772430821E-2</v>
      </c>
      <c r="Z316" s="55">
        <v>8194143.7591255754</v>
      </c>
      <c r="AB316" s="55">
        <v>8142877.5756679839</v>
      </c>
      <c r="AC316" s="55">
        <v>8194143.7591255754</v>
      </c>
      <c r="AD316" s="167">
        <f t="shared" si="99"/>
        <v>4.5253924911364152E-2</v>
      </c>
      <c r="AE316" s="170">
        <v>3.6433342772430821E-2</v>
      </c>
      <c r="AF316" s="55">
        <v>8194143.7591255754</v>
      </c>
      <c r="AG316" s="166">
        <v>1637.6881279085874</v>
      </c>
      <c r="AH316" s="171">
        <f t="shared" si="100"/>
        <v>4.5253924911364152E-2</v>
      </c>
      <c r="AI316" s="171">
        <f t="shared" si="100"/>
        <v>3.6433342772430821E-2</v>
      </c>
      <c r="AK316" s="55">
        <v>8358796.4502390306</v>
      </c>
      <c r="AL316" s="166">
        <v>1670.5957464946543</v>
      </c>
      <c r="AM316" s="171">
        <f t="shared" si="102"/>
        <v>-1.9698133827477871E-2</v>
      </c>
      <c r="AN316" s="170">
        <f t="shared" si="101"/>
        <v>-1.9698133827477871E-2</v>
      </c>
      <c r="AP316" s="1"/>
      <c r="AQ316" s="1"/>
    </row>
    <row r="317" spans="2:43" ht="15" x14ac:dyDescent="0.25">
      <c r="B317" t="s">
        <v>584</v>
      </c>
      <c r="D317" s="55">
        <v>7361987</v>
      </c>
      <c r="E317" s="166">
        <v>1610.7765366026667</v>
      </c>
      <c r="G317" s="55">
        <v>7521082.6643361207</v>
      </c>
      <c r="H317" s="166">
        <v>1633.2351280448916</v>
      </c>
      <c r="J317" s="167">
        <f t="shared" si="93"/>
        <v>-2.1153292875044305E-2</v>
      </c>
      <c r="K317" s="168">
        <f t="shared" si="93"/>
        <v>-1.3750984813257983E-2</v>
      </c>
      <c r="L317" s="55">
        <v>7646783</v>
      </c>
      <c r="M317" s="167">
        <f t="shared" si="94"/>
        <v>3.8684664887346232E-2</v>
      </c>
      <c r="N317" s="169">
        <f t="shared" si="95"/>
        <v>9.0547645222140982E-3</v>
      </c>
      <c r="O317" s="55">
        <v>7646783</v>
      </c>
      <c r="Q317" s="167">
        <f t="shared" si="96"/>
        <v>4.3445973014286432E-2</v>
      </c>
      <c r="R317" s="170">
        <v>3.561437225307329E-2</v>
      </c>
      <c r="S317" s="55">
        <v>7681835.6885335278</v>
      </c>
      <c r="T317" s="167">
        <f t="shared" si="97"/>
        <v>4.3445973014286432E-2</v>
      </c>
      <c r="U317" s="170">
        <v>3.561437225307329E-2</v>
      </c>
      <c r="V317" s="55">
        <v>7681835.6885335278</v>
      </c>
      <c r="X317" s="167">
        <f t="shared" si="98"/>
        <v>4.3445973014286432E-2</v>
      </c>
      <c r="Y317" s="170">
        <v>3.561437225307329E-2</v>
      </c>
      <c r="Z317" s="55">
        <v>7681835.6885335278</v>
      </c>
      <c r="AB317" s="55">
        <v>7631619.959750657</v>
      </c>
      <c r="AC317" s="55">
        <v>7681835.6885335278</v>
      </c>
      <c r="AD317" s="167">
        <f t="shared" si="99"/>
        <v>4.3445973014286432E-2</v>
      </c>
      <c r="AE317" s="170">
        <v>3.561437225307329E-2</v>
      </c>
      <c r="AF317" s="55">
        <v>7681835.6885335278</v>
      </c>
      <c r="AG317" s="166">
        <v>1668.1433317937503</v>
      </c>
      <c r="AH317" s="171">
        <f t="shared" si="100"/>
        <v>4.3445973014286432E-2</v>
      </c>
      <c r="AI317" s="171">
        <f t="shared" si="100"/>
        <v>3.561437225307329E-2</v>
      </c>
      <c r="AK317" s="55">
        <v>7827321.1112847477</v>
      </c>
      <c r="AL317" s="166">
        <v>1699.7361108736129</v>
      </c>
      <c r="AM317" s="171">
        <f t="shared" si="102"/>
        <v>-1.8586872913834096E-2</v>
      </c>
      <c r="AN317" s="170">
        <f t="shared" si="101"/>
        <v>-1.8586872913834207E-2</v>
      </c>
      <c r="AP317" s="1"/>
      <c r="AQ317" s="1"/>
    </row>
    <row r="318" spans="2:43" ht="15" x14ac:dyDescent="0.25">
      <c r="B318" t="s">
        <v>516</v>
      </c>
      <c r="D318" s="55">
        <v>16527787</v>
      </c>
      <c r="E318" s="166">
        <v>1677.7216464866399</v>
      </c>
      <c r="G318" s="55">
        <v>16543167.96647305</v>
      </c>
      <c r="H318" s="166">
        <v>1660.4664359921987</v>
      </c>
      <c r="J318" s="167">
        <f t="shared" si="93"/>
        <v>-9.2974734369022372E-4</v>
      </c>
      <c r="K318" s="168">
        <f t="shared" si="93"/>
        <v>1.0391785175790424E-2</v>
      </c>
      <c r="L318" s="55">
        <v>17182309</v>
      </c>
      <c r="M318" s="167">
        <f t="shared" si="94"/>
        <v>4.02731634675908E-2</v>
      </c>
      <c r="N318" s="169">
        <f t="shared" si="95"/>
        <v>9.0547645222140982E-3</v>
      </c>
      <c r="O318" s="55">
        <v>17193413.267608523</v>
      </c>
      <c r="Q318" s="167">
        <f t="shared" si="96"/>
        <v>4.4080912787372029E-2</v>
      </c>
      <c r="R318" s="170">
        <v>3.238189050658935E-2</v>
      </c>
      <c r="S318" s="55">
        <v>17256346.937315263</v>
      </c>
      <c r="T318" s="167">
        <f t="shared" si="97"/>
        <v>4.4215721929289353E-2</v>
      </c>
      <c r="U318" s="170">
        <v>3.2515189099720843E-2</v>
      </c>
      <c r="V318" s="55">
        <v>17258575.034098525</v>
      </c>
      <c r="X318" s="167">
        <f t="shared" si="98"/>
        <v>4.3535986009396677E-2</v>
      </c>
      <c r="Y318" s="170">
        <v>3.1843069683084257E-2</v>
      </c>
      <c r="Z318" s="55">
        <v>17247340.503598288</v>
      </c>
      <c r="AB318" s="55">
        <v>16792516.287237018</v>
      </c>
      <c r="AC318" s="55">
        <v>17247340.503598288</v>
      </c>
      <c r="AD318" s="167">
        <f t="shared" si="99"/>
        <v>4.3535986009396677E-2</v>
      </c>
      <c r="AE318" s="170">
        <v>3.1843069683084257E-2</v>
      </c>
      <c r="AF318" s="55">
        <v>17247340.503598288</v>
      </c>
      <c r="AG318" s="166">
        <v>1731.1454537845332</v>
      </c>
      <c r="AH318" s="171">
        <f t="shared" si="100"/>
        <v>4.3535986009396677E-2</v>
      </c>
      <c r="AI318" s="171">
        <f t="shared" si="100"/>
        <v>3.1843069683084479E-2</v>
      </c>
      <c r="AK318" s="55">
        <v>17224111.340225853</v>
      </c>
      <c r="AL318" s="166">
        <v>1728.8139024036684</v>
      </c>
      <c r="AM318" s="171">
        <f t="shared" si="102"/>
        <v>1.3486421977650931E-3</v>
      </c>
      <c r="AN318" s="170">
        <f t="shared" si="101"/>
        <v>1.3486421977653151E-3</v>
      </c>
      <c r="AP318" s="1"/>
      <c r="AQ318" s="1"/>
    </row>
    <row r="319" spans="2:43" ht="15" x14ac:dyDescent="0.25">
      <c r="B319" t="s">
        <v>585</v>
      </c>
      <c r="D319" s="55">
        <v>8090797</v>
      </c>
      <c r="E319" s="166">
        <v>1660.6349105377599</v>
      </c>
      <c r="G319" s="55">
        <v>8185534.5881667621</v>
      </c>
      <c r="H319" s="166">
        <v>1666.5762333567368</v>
      </c>
      <c r="J319" s="167">
        <f t="shared" si="93"/>
        <v>-1.1573781424577656E-2</v>
      </c>
      <c r="K319" s="168">
        <f t="shared" si="93"/>
        <v>-3.564987127537611E-3</v>
      </c>
      <c r="L319" s="55">
        <v>8410815</v>
      </c>
      <c r="M319" s="167">
        <f t="shared" si="94"/>
        <v>3.9553334486083447E-2</v>
      </c>
      <c r="N319" s="169">
        <f t="shared" si="95"/>
        <v>9.0547645222140982E-3</v>
      </c>
      <c r="O319" s="55">
        <v>8410815</v>
      </c>
      <c r="Q319" s="167">
        <f t="shared" si="96"/>
        <v>4.2646286692967994E-2</v>
      </c>
      <c r="R319" s="170">
        <v>3.4266071699694312E-2</v>
      </c>
      <c r="S319" s="55">
        <v>8435839.4484366048</v>
      </c>
      <c r="T319" s="167">
        <f t="shared" si="97"/>
        <v>4.2646286692967994E-2</v>
      </c>
      <c r="U319" s="170">
        <v>3.4266071699694312E-2</v>
      </c>
      <c r="V319" s="55">
        <v>8435839.4484366048</v>
      </c>
      <c r="X319" s="167">
        <f t="shared" si="98"/>
        <v>4.2646286692967994E-2</v>
      </c>
      <c r="Y319" s="170">
        <v>3.4266071699694312E-2</v>
      </c>
      <c r="Z319" s="55">
        <v>8435839.4484366048</v>
      </c>
      <c r="AB319" s="55">
        <v>8306341.9228354758</v>
      </c>
      <c r="AC319" s="55">
        <v>8435839.4484366048</v>
      </c>
      <c r="AD319" s="167">
        <f t="shared" si="99"/>
        <v>4.2646286692967994E-2</v>
      </c>
      <c r="AE319" s="170">
        <v>3.4266071699694312E-2</v>
      </c>
      <c r="AF319" s="55">
        <v>8435839.4484366048</v>
      </c>
      <c r="AG319" s="166">
        <v>1717.5383454492621</v>
      </c>
      <c r="AH319" s="171">
        <f t="shared" si="100"/>
        <v>4.2646286692967994E-2</v>
      </c>
      <c r="AI319" s="171">
        <f t="shared" si="100"/>
        <v>3.4266071699694312E-2</v>
      </c>
      <c r="AK319" s="55">
        <v>8519325.0490620267</v>
      </c>
      <c r="AL319" s="166">
        <v>1734.5360279257347</v>
      </c>
      <c r="AM319" s="171">
        <f t="shared" si="102"/>
        <v>-9.7995557329525473E-3</v>
      </c>
      <c r="AN319" s="170">
        <f t="shared" si="101"/>
        <v>-9.7995557329526584E-3</v>
      </c>
      <c r="AP319" s="1"/>
      <c r="AQ319" s="1"/>
    </row>
    <row r="320" spans="2:43" ht="15" x14ac:dyDescent="0.25">
      <c r="B320" t="s">
        <v>586</v>
      </c>
      <c r="D320" s="55">
        <v>5911656</v>
      </c>
      <c r="E320" s="166">
        <v>1517.5062600557146</v>
      </c>
      <c r="G320" s="55">
        <v>5996142.3111600839</v>
      </c>
      <c r="H320" s="166">
        <v>1528.6773403981529</v>
      </c>
      <c r="J320" s="167">
        <f t="shared" si="93"/>
        <v>-1.4090111070719114E-2</v>
      </c>
      <c r="K320" s="168">
        <f t="shared" si="93"/>
        <v>-7.3076770664558532E-3</v>
      </c>
      <c r="L320" s="55">
        <v>6146131</v>
      </c>
      <c r="M320" s="167">
        <f t="shared" si="94"/>
        <v>3.9663167139630584E-2</v>
      </c>
      <c r="N320" s="169">
        <f t="shared" si="95"/>
        <v>9.0547645222140982E-3</v>
      </c>
      <c r="O320" s="55">
        <v>6146131</v>
      </c>
      <c r="Q320" s="167">
        <f t="shared" si="96"/>
        <v>4.1489078067737273E-2</v>
      </c>
      <c r="R320" s="170">
        <v>3.4373246933594004E-2</v>
      </c>
      <c r="S320" s="55">
        <v>6156925.1572936075</v>
      </c>
      <c r="T320" s="167">
        <f t="shared" si="97"/>
        <v>4.1489078067737273E-2</v>
      </c>
      <c r="U320" s="170">
        <v>3.4373246933594004E-2</v>
      </c>
      <c r="V320" s="55">
        <v>6156925.1572936075</v>
      </c>
      <c r="X320" s="167">
        <f t="shared" si="98"/>
        <v>4.1489078067737273E-2</v>
      </c>
      <c r="Y320" s="170">
        <v>3.4373246933594004E-2</v>
      </c>
      <c r="Z320" s="55">
        <v>6156925.1572936075</v>
      </c>
      <c r="AB320" s="55">
        <v>6084127.6505270842</v>
      </c>
      <c r="AC320" s="55">
        <v>6156925.1572936075</v>
      </c>
      <c r="AD320" s="167">
        <f t="shared" si="99"/>
        <v>4.1489078067737273E-2</v>
      </c>
      <c r="AE320" s="170">
        <v>3.4373246933594004E-2</v>
      </c>
      <c r="AF320" s="55">
        <v>6156925.1572936075</v>
      </c>
      <c r="AG320" s="166">
        <v>1569.6678774558845</v>
      </c>
      <c r="AH320" s="171">
        <f t="shared" si="100"/>
        <v>4.1489078067737273E-2</v>
      </c>
      <c r="AI320" s="171">
        <f t="shared" si="100"/>
        <v>3.4373246933594004E-2</v>
      </c>
      <c r="AK320" s="55">
        <v>6240130.9236175232</v>
      </c>
      <c r="AL320" s="166">
        <v>1590.8806444265913</v>
      </c>
      <c r="AM320" s="171">
        <f t="shared" si="102"/>
        <v>-1.3333977658866125E-2</v>
      </c>
      <c r="AN320" s="170">
        <f t="shared" si="101"/>
        <v>-1.3333977658866125E-2</v>
      </c>
      <c r="AP320" s="1"/>
      <c r="AQ320" s="1"/>
    </row>
    <row r="321" spans="2:43" ht="15" x14ac:dyDescent="0.25">
      <c r="B321" t="s">
        <v>537</v>
      </c>
      <c r="D321" s="55">
        <v>4785874</v>
      </c>
      <c r="E321" s="166">
        <v>1645.4277402834398</v>
      </c>
      <c r="G321" s="55">
        <v>4807582.1068758378</v>
      </c>
      <c r="H321" s="166">
        <v>1643.0714946921119</v>
      </c>
      <c r="J321" s="167">
        <f t="shared" si="93"/>
        <v>-4.5153897308983781E-3</v>
      </c>
      <c r="K321" s="168">
        <f t="shared" si="93"/>
        <v>1.4340493392648312E-3</v>
      </c>
      <c r="L321" s="55">
        <v>4972441</v>
      </c>
      <c r="M321" s="167">
        <f t="shared" si="94"/>
        <v>3.8982848273899418E-2</v>
      </c>
      <c r="N321" s="169">
        <f t="shared" si="95"/>
        <v>9.0547645222140982E-3</v>
      </c>
      <c r="O321" s="55">
        <v>4972441</v>
      </c>
      <c r="Q321" s="167">
        <f t="shared" si="96"/>
        <v>3.9950391174084832E-2</v>
      </c>
      <c r="R321" s="170">
        <v>3.3772129617705371E-2</v>
      </c>
      <c r="S321" s="55">
        <v>4977071.5384098822</v>
      </c>
      <c r="T321" s="167">
        <f t="shared" si="97"/>
        <v>4.0032414132272764E-2</v>
      </c>
      <c r="U321" s="170">
        <v>3.3853665284101719E-2</v>
      </c>
      <c r="V321" s="55">
        <v>4977464.0899528768</v>
      </c>
      <c r="X321" s="167">
        <f t="shared" si="98"/>
        <v>3.9950391174084832E-2</v>
      </c>
      <c r="Y321" s="170">
        <v>3.3772129617705371E-2</v>
      </c>
      <c r="Z321" s="55">
        <v>4977071.5384098822</v>
      </c>
      <c r="AB321" s="55">
        <v>4877027.8962516496</v>
      </c>
      <c r="AC321" s="55">
        <v>4977071.5384098822</v>
      </c>
      <c r="AD321" s="167">
        <f t="shared" si="99"/>
        <v>3.9950391174084832E-2</v>
      </c>
      <c r="AE321" s="170">
        <v>3.3772129617705371E-2</v>
      </c>
      <c r="AF321" s="55">
        <v>4977071.5384098822</v>
      </c>
      <c r="AG321" s="166">
        <v>1700.9973392048601</v>
      </c>
      <c r="AH321" s="171">
        <f t="shared" si="100"/>
        <v>3.9950391174084832E-2</v>
      </c>
      <c r="AI321" s="171">
        <f t="shared" si="100"/>
        <v>3.3772129617705371E-2</v>
      </c>
      <c r="AK321" s="55">
        <v>5002520.8679429246</v>
      </c>
      <c r="AL321" s="166">
        <v>1709.695072698577</v>
      </c>
      <c r="AM321" s="171">
        <f t="shared" si="102"/>
        <v>-5.0873010237950655E-3</v>
      </c>
      <c r="AN321" s="170">
        <f t="shared" si="101"/>
        <v>-5.0873010237950655E-3</v>
      </c>
      <c r="AP321" s="1"/>
      <c r="AQ321" s="1"/>
    </row>
    <row r="322" spans="2:43" ht="15" x14ac:dyDescent="0.25">
      <c r="B322" t="s">
        <v>587</v>
      </c>
      <c r="D322" s="55">
        <v>5705063</v>
      </c>
      <c r="E322" s="166">
        <v>1691.9152177213844</v>
      </c>
      <c r="G322" s="55">
        <v>5690945.8762902208</v>
      </c>
      <c r="H322" s="166">
        <v>1676.2887937007097</v>
      </c>
      <c r="J322" s="167">
        <f t="shared" si="93"/>
        <v>2.4806287068366295E-3</v>
      </c>
      <c r="K322" s="168">
        <f t="shared" si="93"/>
        <v>9.3220357252263852E-3</v>
      </c>
      <c r="L322" s="55">
        <v>5926876</v>
      </c>
      <c r="M322" s="167">
        <f t="shared" si="94"/>
        <v>3.8880026390593736E-2</v>
      </c>
      <c r="N322" s="169">
        <f t="shared" si="95"/>
        <v>9.0547645222140982E-3</v>
      </c>
      <c r="O322" s="55">
        <v>5926876</v>
      </c>
      <c r="Q322" s="167">
        <f t="shared" si="96"/>
        <v>3.9355724855455687E-2</v>
      </c>
      <c r="S322" s="55">
        <v>5929589.8897110401</v>
      </c>
      <c r="T322" s="167">
        <f t="shared" si="97"/>
        <v>3.9355724855455687E-2</v>
      </c>
      <c r="U322" s="52"/>
      <c r="V322" s="55">
        <v>5929589.8897110401</v>
      </c>
      <c r="X322" s="167">
        <f t="shared" si="98"/>
        <v>3.9355724855455687E-2</v>
      </c>
      <c r="Y322" s="52"/>
      <c r="Z322" s="55">
        <v>5929589.8897110401</v>
      </c>
      <c r="AB322" s="55">
        <v>5774524.2784888837</v>
      </c>
      <c r="AC322" s="55">
        <v>5929589.8897110401</v>
      </c>
      <c r="AD322" s="167">
        <f t="shared" si="99"/>
        <v>3.9355724855455687E-2</v>
      </c>
      <c r="AE322" s="170">
        <v>3.2310742878498555E-2</v>
      </c>
      <c r="AF322" s="55">
        <v>5929589.8897110401</v>
      </c>
      <c r="AG322" s="166">
        <v>1746.5822552933992</v>
      </c>
      <c r="AH322" s="171">
        <f t="shared" si="100"/>
        <v>3.9355724855455687E-2</v>
      </c>
      <c r="AI322" s="171">
        <f t="shared" si="100"/>
        <v>3.2310742878498777E-2</v>
      </c>
      <c r="AK322" s="55">
        <v>5922589.0035783425</v>
      </c>
      <c r="AL322" s="166">
        <v>1744.520118835713</v>
      </c>
      <c r="AM322" s="171">
        <f t="shared" si="102"/>
        <v>1.1820651624598888E-3</v>
      </c>
      <c r="AN322" s="170">
        <f t="shared" si="101"/>
        <v>1.1820651624598888E-3</v>
      </c>
      <c r="AP322" s="1"/>
      <c r="AQ322" s="1"/>
    </row>
    <row r="323" spans="2:43" ht="15" x14ac:dyDescent="0.25">
      <c r="B323"/>
      <c r="D323" s="1"/>
      <c r="E323" s="173"/>
      <c r="G323" s="1"/>
      <c r="H323" s="173"/>
      <c r="L323" s="1"/>
      <c r="O323" s="1"/>
      <c r="Q323" s="53"/>
      <c r="S323" s="1"/>
      <c r="U323" s="52"/>
      <c r="V323" s="1"/>
      <c r="X323" s="53"/>
      <c r="Y323" s="52"/>
      <c r="Z323" s="1"/>
      <c r="AB323" s="1"/>
      <c r="AC323" s="1"/>
      <c r="AD323" s="53"/>
      <c r="AE323" s="52"/>
      <c r="AF323" s="1"/>
      <c r="AG323" s="173"/>
      <c r="AK323" s="1"/>
      <c r="AL323" s="173"/>
      <c r="AP323" s="1"/>
      <c r="AQ323" s="1"/>
    </row>
    <row r="324" spans="2:43" ht="15" x14ac:dyDescent="0.25">
      <c r="B324" t="s">
        <v>12</v>
      </c>
      <c r="D324" s="172">
        <f>SUM(D310:D322)</f>
        <v>99838453</v>
      </c>
      <c r="E324" s="173">
        <v>1692.2107288024779</v>
      </c>
      <c r="G324" s="172">
        <f>SUM(G310:G322)</f>
        <v>99838483.828704491</v>
      </c>
      <c r="H324" s="173">
        <v>1680.7163909395717</v>
      </c>
      <c r="J324" s="167">
        <f>D324/G324-1</f>
        <v>-3.0878578394233358E-7</v>
      </c>
      <c r="K324" s="168">
        <f>E324/H324-1</f>
        <v>6.8389514881095348E-3</v>
      </c>
      <c r="L324" s="172">
        <f>SUM(L310:L322)</f>
        <v>103698044</v>
      </c>
      <c r="M324" s="167">
        <f>O324/$D324-1</f>
        <v>3.8801822040660516E-2</v>
      </c>
      <c r="N324" s="169">
        <f>N$222</f>
        <v>9.0547645222140982E-3</v>
      </c>
      <c r="O324" s="172">
        <f>SUM(O310:O322)</f>
        <v>103712366.88612086</v>
      </c>
      <c r="Q324" s="167">
        <f>S324/$D324-1</f>
        <v>4.0887173991738912E-2</v>
      </c>
      <c r="R324" s="170">
        <v>3.3816630794969438E-2</v>
      </c>
      <c r="S324" s="172">
        <f>SUM(S310:S322)</f>
        <v>103920565.19887705</v>
      </c>
      <c r="T324" s="167">
        <f>V324/$D324-1</f>
        <v>4.0963913222579862E-2</v>
      </c>
      <c r="U324" s="170">
        <v>3.3892848751209126E-2</v>
      </c>
      <c r="V324" s="172">
        <f>SUM(V310:V322)</f>
        <v>103928226.72496861</v>
      </c>
      <c r="X324" s="167">
        <f>Z324/$D324-1</f>
        <v>4.076875726307172E-2</v>
      </c>
      <c r="Y324" s="170">
        <v>3.3699018448003049E-2</v>
      </c>
      <c r="Z324" s="172">
        <f>SUM(Z310:Z322)</f>
        <v>103908742.65587759</v>
      </c>
      <c r="AB324" s="172">
        <f>SUM(AB310:AB322)</f>
        <v>101300880.79956298</v>
      </c>
      <c r="AC324" s="172">
        <f>SUM(AC310:AC322)</f>
        <v>103908742.65587759</v>
      </c>
      <c r="AD324" s="167">
        <f>AC324/$D324-1</f>
        <v>4.076875726307172E-2</v>
      </c>
      <c r="AE324" s="170">
        <v>3.3699018448003049E-2</v>
      </c>
      <c r="AF324" s="172">
        <f>SUM(AF310:AF322)</f>
        <v>103908742.65587759</v>
      </c>
      <c r="AG324" s="166">
        <v>1749.2365693703009</v>
      </c>
      <c r="AH324" s="171">
        <f>AF324/D324 - 1</f>
        <v>4.076875726307172E-2</v>
      </c>
      <c r="AI324" s="171">
        <f>AG324/E324 - 1</f>
        <v>3.3699018448002827E-2</v>
      </c>
      <c r="AK324" s="172">
        <f>SUM(AK310:AK322)</f>
        <v>103908754.03575227</v>
      </c>
      <c r="AL324" s="173">
        <v>1749.236760943141</v>
      </c>
      <c r="AM324" s="171">
        <f>AF324/AK324-1</f>
        <v>-1.0951795914593276E-7</v>
      </c>
      <c r="AN324" s="170">
        <f t="shared" ref="AN324" si="103">AG324/AL324-1</f>
        <v>-1.0951795914593276E-7</v>
      </c>
      <c r="AP324" s="1"/>
      <c r="AQ324" s="1"/>
    </row>
    <row r="325" spans="2:43" x14ac:dyDescent="0.2">
      <c r="AO325" s="52"/>
      <c r="AP325" s="1"/>
      <c r="AQ325" s="1"/>
    </row>
  </sheetData>
  <mergeCells count="7">
    <mergeCell ref="W9:Z9"/>
    <mergeCell ref="AK9:AN9"/>
    <mergeCell ref="D9:E9"/>
    <mergeCell ref="G9:H9"/>
    <mergeCell ref="M9:O9"/>
    <mergeCell ref="P9:S9"/>
    <mergeCell ref="T9:V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BM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3.28515625" style="64" customWidth="1"/>
    <col min="5" max="7" width="11.140625" style="64" customWidth="1"/>
    <col min="8" max="8" width="5.7109375" style="64" customWidth="1"/>
    <col min="9" max="9" width="13.28515625" style="64" bestFit="1" customWidth="1"/>
    <col min="10" max="11" width="11.140625" style="64" customWidth="1"/>
    <col min="12" max="12" width="11.140625" style="52" customWidth="1"/>
    <col min="13" max="13" width="5.7109375" style="52" customWidth="1"/>
    <col min="14" max="16" width="13.28515625" style="64" customWidth="1"/>
    <col min="17" max="17" width="4.28515625" style="1" customWidth="1"/>
    <col min="18" max="19" width="13.28515625" style="64" customWidth="1"/>
    <col min="20" max="20" width="4.85546875" style="1" customWidth="1"/>
    <col min="21" max="25" width="13.28515625" style="64" customWidth="1"/>
    <col min="26" max="26" width="5.140625" style="1" customWidth="1"/>
    <col min="27" max="29" width="13.28515625" style="64" customWidth="1"/>
    <col min="30" max="30" width="4.140625" style="1" customWidth="1"/>
    <col min="31" max="33" width="13.28515625" style="64" customWidth="1"/>
    <col min="34" max="34" width="3.5703125" style="1" customWidth="1"/>
    <col min="35" max="37" width="13.28515625" style="64" customWidth="1"/>
    <col min="38" max="38" width="4.42578125" style="1" customWidth="1"/>
    <col min="39" max="41" width="13.28515625" style="64" customWidth="1"/>
    <col min="42" max="42" width="5.7109375" style="64" customWidth="1"/>
    <col min="43" max="43" width="13.28515625" style="1" bestFit="1" customWidth="1"/>
    <col min="44" max="44" width="4.85546875" style="64" customWidth="1"/>
    <col min="45" max="47" width="13.28515625" style="64" customWidth="1"/>
    <col min="48" max="48" width="5.5703125" style="1" customWidth="1"/>
    <col min="49" max="49" width="13.28515625" style="64" customWidth="1"/>
    <col min="50" max="50" width="3.28515625" style="64" customWidth="1"/>
    <col min="51" max="52" width="13.28515625" style="64" customWidth="1"/>
    <col min="53" max="53" width="11" style="1" customWidth="1"/>
    <col min="54" max="54" width="13.28515625" style="64" customWidth="1"/>
    <col min="55" max="55" width="3.5703125" style="64" customWidth="1"/>
    <col min="56" max="56" width="4.42578125" style="64" customWidth="1"/>
    <col min="57" max="58" width="13.28515625" style="64" customWidth="1"/>
    <col min="59" max="59" width="11.5703125" style="1" customWidth="1"/>
    <col min="60" max="60" width="13.28515625" style="64" customWidth="1"/>
    <col min="61" max="61" width="4.85546875" style="64" customWidth="1"/>
    <col min="62" max="62" width="10.7109375" style="178" customWidth="1"/>
    <col min="63" max="63" width="13.28515625" style="178" customWidth="1"/>
    <col min="64" max="64" width="11.42578125" style="179" customWidth="1"/>
    <col min="65" max="65" width="9.140625" style="179"/>
    <col min="66" max="16384" width="9.140625" style="1"/>
  </cols>
  <sheetData>
    <row r="1" spans="1:65" x14ac:dyDescent="0.2">
      <c r="A1" s="321" t="s">
        <v>616</v>
      </c>
      <c r="AR1" s="54"/>
      <c r="AX1" s="54"/>
      <c r="BD1" s="54"/>
      <c r="BI1" s="54"/>
    </row>
    <row r="2" spans="1:65" x14ac:dyDescent="0.2">
      <c r="A2" s="279" t="s">
        <v>949</v>
      </c>
      <c r="AR2" s="54"/>
      <c r="AX2" s="54"/>
      <c r="BD2" s="54"/>
      <c r="BI2" s="54"/>
    </row>
    <row r="3" spans="1:65" x14ac:dyDescent="0.2">
      <c r="A3" s="355" t="s">
        <v>1002</v>
      </c>
      <c r="AR3" s="54"/>
      <c r="AX3" s="54"/>
      <c r="BD3" s="54"/>
      <c r="BI3" s="54"/>
    </row>
    <row r="4" spans="1:65" x14ac:dyDescent="0.2">
      <c r="B4" s="1" t="s">
        <v>64</v>
      </c>
      <c r="D4" s="6"/>
      <c r="E4" s="7"/>
      <c r="F4" s="7"/>
      <c r="G4" s="7"/>
      <c r="H4" s="7"/>
      <c r="I4" s="7" t="s">
        <v>1</v>
      </c>
      <c r="J4" s="8">
        <f>MIN(K12:K163)</f>
        <v>-2.4930556188961339E-2</v>
      </c>
      <c r="K4" s="7" t="s">
        <v>2</v>
      </c>
      <c r="L4" s="9">
        <f>COUNTIF(L12:L163,"&lt;-5%")</f>
        <v>0</v>
      </c>
      <c r="M4" s="10"/>
      <c r="N4" s="6"/>
      <c r="O4" s="6"/>
      <c r="P4" s="6"/>
      <c r="R4" s="6"/>
      <c r="S4" s="6"/>
      <c r="U4" s="8">
        <f>MIN(U12:U220)</f>
        <v>-4.8254041094376698E-2</v>
      </c>
      <c r="V4" s="8">
        <f>MIN(V12:V220)</f>
        <v>-4.9401769825966668E-2</v>
      </c>
      <c r="W4" s="8"/>
      <c r="X4" s="8"/>
      <c r="Y4" s="6"/>
      <c r="AA4" s="6"/>
      <c r="AB4" s="6"/>
      <c r="AC4" s="6"/>
      <c r="AE4" s="6"/>
      <c r="AF4" s="6"/>
      <c r="AG4" s="6"/>
      <c r="AI4" s="6"/>
      <c r="AJ4" s="6"/>
      <c r="AK4" s="6"/>
      <c r="AM4" s="6"/>
      <c r="AN4" s="6"/>
      <c r="AO4" s="6"/>
      <c r="AP4" s="6"/>
      <c r="AQ4" s="6"/>
      <c r="AR4" s="1"/>
      <c r="AS4" s="6"/>
      <c r="AT4" s="6"/>
      <c r="AU4" s="6"/>
      <c r="AV4" s="6"/>
      <c r="AW4" s="6"/>
      <c r="AX4" s="1"/>
      <c r="AY4" s="8">
        <f>MIN(AY12:AY220)</f>
        <v>-4.8254041094376698E-2</v>
      </c>
      <c r="AZ4" s="8">
        <f t="shared" ref="AZ4:BB4" si="0">MIN(AZ12:AZ220)</f>
        <v>-4.9401769825966668E-2</v>
      </c>
      <c r="BA4" s="8">
        <f t="shared" si="0"/>
        <v>-0.24834025243692615</v>
      </c>
      <c r="BB4" s="8">
        <f t="shared" si="0"/>
        <v>-2.4930655579749605E-2</v>
      </c>
      <c r="BC4" s="8"/>
      <c r="BD4" s="1"/>
      <c r="BE4" s="6"/>
      <c r="BF4" s="6"/>
      <c r="BG4" s="6"/>
      <c r="BH4" s="6"/>
      <c r="BI4" s="1"/>
      <c r="BJ4" s="21"/>
      <c r="BK4" s="21"/>
      <c r="BL4" s="21"/>
      <c r="BM4" s="21"/>
    </row>
    <row r="5" spans="1:65" s="11" customFormat="1" x14ac:dyDescent="0.2">
      <c r="B5" s="12">
        <v>5</v>
      </c>
      <c r="D5" s="20"/>
      <c r="E5" s="21"/>
      <c r="F5" s="21"/>
      <c r="G5" s="21"/>
      <c r="H5" s="21"/>
      <c r="I5" s="19"/>
      <c r="J5" s="19"/>
      <c r="K5" s="66" t="s">
        <v>14</v>
      </c>
      <c r="L5" s="9">
        <f>COUNTIF(L12:L163,"&lt;-5%")</f>
        <v>0</v>
      </c>
      <c r="M5" s="22"/>
      <c r="N5" s="20"/>
      <c r="O5" s="20"/>
      <c r="P5" s="20"/>
      <c r="R5" s="20"/>
      <c r="S5" s="20"/>
      <c r="U5" s="162">
        <f>COUNTIF(U12:U220,"&lt;-5%")</f>
        <v>0</v>
      </c>
      <c r="V5" s="162">
        <f>COUNTIF(V12:V220,"&lt;-5%")</f>
        <v>0</v>
      </c>
      <c r="W5" s="162"/>
      <c r="X5" s="162"/>
      <c r="Y5" s="20"/>
      <c r="AA5" s="20"/>
      <c r="AB5" s="20"/>
      <c r="AC5" s="20"/>
      <c r="AE5" s="20"/>
      <c r="AF5" s="20"/>
      <c r="AG5" s="20"/>
      <c r="AI5" s="20"/>
      <c r="AJ5" s="20"/>
      <c r="AK5" s="20"/>
      <c r="AM5" s="20"/>
      <c r="AN5" s="20"/>
      <c r="AO5" s="20"/>
      <c r="AP5" s="20"/>
      <c r="AQ5" s="185">
        <f>I8-(AM9+AN9+AO9)</f>
        <v>7.0357522964477539</v>
      </c>
      <c r="AS5" s="20"/>
      <c r="AT5" s="20"/>
      <c r="AU5" s="20"/>
      <c r="AV5" s="20"/>
      <c r="AW5" s="20"/>
      <c r="AY5" s="8">
        <f>MAX(AY12:AY220)</f>
        <v>0.21317102068579907</v>
      </c>
      <c r="AZ5" s="8">
        <f t="shared" ref="AZ5:BB5" si="1">MAX(AZ12:AZ220)</f>
        <v>0.20054547667298639</v>
      </c>
      <c r="BA5" s="8">
        <f t="shared" si="1"/>
        <v>0.23090672961763814</v>
      </c>
      <c r="BB5" s="8">
        <f t="shared" si="1"/>
        <v>0.15830541899339567</v>
      </c>
      <c r="BC5" s="8"/>
      <c r="BE5" s="20"/>
      <c r="BF5" s="20"/>
      <c r="BG5" s="20"/>
      <c r="BH5" s="20"/>
      <c r="BJ5" s="180"/>
      <c r="BK5" s="180"/>
      <c r="BL5" s="180"/>
      <c r="BM5" s="180"/>
    </row>
    <row r="6" spans="1:65" s="11" customFormat="1" x14ac:dyDescent="0.2">
      <c r="B6" s="12"/>
      <c r="D6" s="28"/>
      <c r="E6" s="25"/>
      <c r="F6" s="25"/>
      <c r="G6" s="25"/>
      <c r="H6" s="25"/>
      <c r="I6" s="28"/>
      <c r="J6" s="28"/>
      <c r="K6" s="28"/>
      <c r="L6" s="29"/>
      <c r="M6" s="22"/>
      <c r="N6" s="28"/>
      <c r="O6" s="28"/>
      <c r="P6" s="28"/>
      <c r="R6" s="28"/>
      <c r="S6" s="28"/>
      <c r="U6" s="28"/>
      <c r="V6" s="28"/>
      <c r="W6" s="28"/>
      <c r="X6" s="28"/>
      <c r="Y6" s="28"/>
      <c r="AA6" s="377" t="s">
        <v>501</v>
      </c>
      <c r="AB6" s="378"/>
      <c r="AC6" s="378"/>
      <c r="AE6" s="377" t="s">
        <v>503</v>
      </c>
      <c r="AF6" s="378"/>
      <c r="AG6" s="378"/>
      <c r="AI6" s="377" t="s">
        <v>504</v>
      </c>
      <c r="AJ6" s="378"/>
      <c r="AK6" s="378"/>
      <c r="AM6" s="377" t="s">
        <v>505</v>
      </c>
      <c r="AN6" s="378"/>
      <c r="AO6" s="378"/>
      <c r="AP6" s="378"/>
      <c r="AQ6" s="378"/>
      <c r="AS6" s="377" t="s">
        <v>510</v>
      </c>
      <c r="AT6" s="378"/>
      <c r="AU6" s="378"/>
      <c r="AV6" s="378"/>
      <c r="AW6" s="378"/>
      <c r="AY6" s="377" t="s">
        <v>65</v>
      </c>
      <c r="AZ6" s="378"/>
      <c r="BA6" s="378"/>
      <c r="BB6" s="378"/>
      <c r="BC6" s="378"/>
      <c r="BE6" s="377" t="s">
        <v>588</v>
      </c>
      <c r="BF6" s="378"/>
      <c r="BG6" s="378"/>
      <c r="BH6" s="378"/>
      <c r="BJ6" s="379" t="s">
        <v>592</v>
      </c>
      <c r="BK6" s="380"/>
      <c r="BL6" s="380"/>
      <c r="BM6" s="380"/>
    </row>
    <row r="7" spans="1:65" s="11" customFormat="1" x14ac:dyDescent="0.2">
      <c r="B7" s="12"/>
      <c r="D7" s="28"/>
      <c r="E7" s="25"/>
      <c r="F7" s="25"/>
      <c r="G7" s="25"/>
      <c r="H7" s="25"/>
      <c r="I7" s="25"/>
      <c r="J7" s="28"/>
      <c r="K7" s="28"/>
      <c r="L7" s="29"/>
      <c r="M7" s="22"/>
      <c r="N7" s="28"/>
      <c r="O7" s="28"/>
      <c r="P7" s="28"/>
      <c r="R7" s="28"/>
      <c r="S7" s="28"/>
      <c r="U7" s="28"/>
      <c r="V7" s="28"/>
      <c r="W7" s="28"/>
      <c r="X7" s="28"/>
      <c r="Y7" s="28"/>
      <c r="AA7" s="377"/>
      <c r="AB7" s="378"/>
      <c r="AC7" s="378"/>
      <c r="AE7" s="377"/>
      <c r="AF7" s="378"/>
      <c r="AG7" s="378"/>
      <c r="AI7" s="377"/>
      <c r="AJ7" s="378"/>
      <c r="AK7" s="378"/>
      <c r="AM7" s="377"/>
      <c r="AN7" s="378"/>
      <c r="AO7" s="378"/>
      <c r="AP7" s="378"/>
      <c r="AQ7" s="378"/>
      <c r="AS7" s="377"/>
      <c r="AT7" s="378"/>
      <c r="AU7" s="378"/>
      <c r="AV7" s="378"/>
      <c r="AW7" s="378"/>
      <c r="AY7" s="377"/>
      <c r="AZ7" s="378"/>
      <c r="BA7" s="378"/>
      <c r="BB7" s="378"/>
      <c r="BC7" s="378"/>
      <c r="BE7" s="377"/>
      <c r="BF7" s="378"/>
      <c r="BG7" s="378"/>
      <c r="BH7" s="378"/>
      <c r="BJ7" s="379"/>
      <c r="BK7" s="380"/>
      <c r="BL7" s="380"/>
      <c r="BM7" s="380"/>
    </row>
    <row r="8" spans="1:65" s="30" customFormat="1" x14ac:dyDescent="0.2">
      <c r="B8" s="31"/>
      <c r="D8" s="101">
        <f>D222</f>
        <v>103908742.65587758</v>
      </c>
      <c r="E8" s="34">
        <f t="shared" ref="E8:G8" si="2">+E222</f>
        <v>1749.2365693703007</v>
      </c>
      <c r="F8" s="35">
        <f t="shared" si="2"/>
        <v>0</v>
      </c>
      <c r="G8" s="35">
        <f t="shared" si="2"/>
        <v>0</v>
      </c>
      <c r="H8" s="65"/>
      <c r="I8" s="34">
        <f>+I222</f>
        <v>103908754.0357523</v>
      </c>
      <c r="J8" s="34">
        <f>+J222</f>
        <v>1749.2367609431412</v>
      </c>
      <c r="K8" s="35">
        <f>+K222</f>
        <v>-1.0951795959002197E-7</v>
      </c>
      <c r="L8" s="36">
        <f>+L222</f>
        <v>-1.0951795936797737E-7</v>
      </c>
      <c r="M8" s="37"/>
      <c r="N8" s="101">
        <f t="shared" ref="N8:P8" si="3">N222</f>
        <v>77946799</v>
      </c>
      <c r="O8" s="101">
        <f t="shared" si="3"/>
        <v>8319600</v>
      </c>
      <c r="P8" s="101">
        <f t="shared" si="3"/>
        <v>17431645</v>
      </c>
      <c r="R8" s="101">
        <f t="shared" ref="R8:S8" si="4">R222</f>
        <v>17431645</v>
      </c>
      <c r="S8" s="101">
        <f t="shared" si="4"/>
        <v>210698.65587758715</v>
      </c>
      <c r="U8" s="101"/>
      <c r="V8" s="101"/>
      <c r="W8" s="101"/>
      <c r="X8" s="101"/>
      <c r="Y8" s="101"/>
      <c r="AA8" s="101"/>
      <c r="AB8" s="101"/>
      <c r="AC8" s="101"/>
      <c r="AE8" s="101"/>
      <c r="AF8" s="101"/>
      <c r="AG8" s="101"/>
      <c r="AI8" s="101"/>
      <c r="AJ8" s="101"/>
      <c r="AK8" s="101"/>
      <c r="AM8" s="105">
        <v>8.7183375327737345E-4</v>
      </c>
      <c r="AN8" s="105">
        <v>-7.9171327256717383E-3</v>
      </c>
      <c r="AO8" s="105">
        <v>-8.825928716271747E-5</v>
      </c>
      <c r="AP8" s="105"/>
      <c r="AQ8" s="105">
        <v>-6.7710871132220518E-8</v>
      </c>
      <c r="AS8" s="101"/>
      <c r="AT8" s="101"/>
      <c r="AU8" s="101"/>
      <c r="AV8" s="101"/>
      <c r="AW8" s="101"/>
      <c r="AY8" s="101"/>
      <c r="AZ8" s="101"/>
      <c r="BA8" s="101"/>
      <c r="BB8" s="101"/>
      <c r="BC8" s="101"/>
      <c r="BE8" s="101"/>
      <c r="BF8" s="101"/>
      <c r="BG8" s="101"/>
      <c r="BH8" s="101"/>
      <c r="BJ8" s="105"/>
      <c r="BK8" s="105"/>
      <c r="BL8" s="105"/>
      <c r="BM8" s="105"/>
    </row>
    <row r="9" spans="1:65" s="38" customFormat="1" x14ac:dyDescent="0.2">
      <c r="D9" s="39"/>
      <c r="E9" s="40"/>
      <c r="F9" s="40"/>
      <c r="G9" s="40"/>
      <c r="H9" s="41"/>
      <c r="I9" s="374" t="s">
        <v>3</v>
      </c>
      <c r="J9" s="374"/>
      <c r="K9" s="374"/>
      <c r="L9" s="374"/>
      <c r="M9" s="42"/>
      <c r="N9" s="39"/>
      <c r="O9" s="39"/>
      <c r="P9" s="39"/>
      <c r="R9" s="39"/>
      <c r="S9" s="39"/>
      <c r="U9" s="39"/>
      <c r="V9" s="39"/>
      <c r="W9" s="39"/>
      <c r="X9" s="39"/>
      <c r="Y9" s="39"/>
      <c r="AA9" s="39"/>
      <c r="AB9" s="39"/>
      <c r="AC9" s="39"/>
      <c r="AE9" s="39"/>
      <c r="AF9" s="39"/>
      <c r="AG9" s="39"/>
      <c r="AI9" s="39"/>
      <c r="AJ9" s="39"/>
      <c r="AK9" s="39"/>
      <c r="AM9" s="39">
        <f>AM222</f>
        <v>78139836</v>
      </c>
      <c r="AN9" s="39">
        <f>AN222</f>
        <v>8337266</v>
      </c>
      <c r="AO9" s="39">
        <f>AO222</f>
        <v>17431645</v>
      </c>
      <c r="AP9" s="39"/>
      <c r="AQ9" s="39">
        <f>AQ222</f>
        <v>103908747</v>
      </c>
      <c r="AS9" s="39">
        <f>AS222</f>
        <v>1315.4336696043772</v>
      </c>
      <c r="AT9" s="39">
        <f>AT222</f>
        <v>140.35248818346389</v>
      </c>
      <c r="AU9" s="39">
        <f>AU222</f>
        <v>293.45048471295479</v>
      </c>
      <c r="AV9" s="39"/>
      <c r="AW9" s="39">
        <f>AW222</f>
        <v>1749.2366425007958</v>
      </c>
      <c r="AY9" s="158">
        <f>AY222</f>
        <v>8.7183375327648527E-4</v>
      </c>
      <c r="AZ9" s="158">
        <f>AZ222</f>
        <v>-7.9171327256715163E-3</v>
      </c>
      <c r="BA9" s="158">
        <f>BA222</f>
        <v>-8.8259287163161559E-5</v>
      </c>
      <c r="BB9" s="158">
        <f>BB222</f>
        <v>-6.7710871576309728E-8</v>
      </c>
      <c r="BC9" s="158"/>
      <c r="BE9" s="158">
        <f>BE222</f>
        <v>3.8508201500837558E-2</v>
      </c>
      <c r="BF9" s="158">
        <f>BF222</f>
        <v>4.2193163470976236E-2</v>
      </c>
      <c r="BG9" s="158">
        <f>BG222</f>
        <v>5.0331055039022576E-2</v>
      </c>
      <c r="BH9" s="158">
        <f>BH222</f>
        <v>4.0768800774587222E-2</v>
      </c>
      <c r="BJ9" s="158">
        <f>BJ222</f>
        <v>3.1453818199377537E-2</v>
      </c>
      <c r="BK9" s="158">
        <f t="shared" ref="BK9:BM9" si="5">BK222</f>
        <v>3.5113748942848133E-2</v>
      </c>
      <c r="BL9" s="158">
        <f t="shared" si="5"/>
        <v>4.3196361403513572E-2</v>
      </c>
      <c r="BM9" s="158">
        <f t="shared" si="5"/>
        <v>3.36990616639532E-2</v>
      </c>
    </row>
    <row r="10" spans="1:65" ht="63.75" x14ac:dyDescent="0.2">
      <c r="A10" s="44" t="s">
        <v>67</v>
      </c>
      <c r="B10" s="45" t="s">
        <v>68</v>
      </c>
      <c r="C10" s="43"/>
      <c r="D10" s="50" t="s">
        <v>487</v>
      </c>
      <c r="E10" s="50" t="s">
        <v>5</v>
      </c>
      <c r="F10" s="50" t="s">
        <v>10</v>
      </c>
      <c r="G10" s="50" t="s">
        <v>11</v>
      </c>
      <c r="H10" s="48"/>
      <c r="I10" s="48" t="s">
        <v>6</v>
      </c>
      <c r="J10" s="48" t="s">
        <v>7</v>
      </c>
      <c r="K10" s="48" t="s">
        <v>8</v>
      </c>
      <c r="L10" s="49" t="s">
        <v>9</v>
      </c>
      <c r="M10" s="51"/>
      <c r="N10" s="50" t="s">
        <v>489</v>
      </c>
      <c r="O10" s="50" t="s">
        <v>490</v>
      </c>
      <c r="P10" s="50" t="s">
        <v>491</v>
      </c>
      <c r="R10" s="50" t="s">
        <v>492</v>
      </c>
      <c r="S10" s="50" t="s">
        <v>493</v>
      </c>
      <c r="U10" s="50" t="s">
        <v>495</v>
      </c>
      <c r="V10" s="50" t="s">
        <v>496</v>
      </c>
      <c r="W10" s="50" t="s">
        <v>494</v>
      </c>
      <c r="X10" s="50" t="s">
        <v>497</v>
      </c>
      <c r="Y10" s="50" t="s">
        <v>498</v>
      </c>
      <c r="AA10" s="50" t="s">
        <v>499</v>
      </c>
      <c r="AB10" s="50" t="s">
        <v>500</v>
      </c>
      <c r="AC10" s="50" t="s">
        <v>502</v>
      </c>
      <c r="AE10" s="50" t="s">
        <v>499</v>
      </c>
      <c r="AF10" s="50" t="s">
        <v>500</v>
      </c>
      <c r="AG10" s="50" t="s">
        <v>502</v>
      </c>
      <c r="AI10" s="50" t="s">
        <v>499</v>
      </c>
      <c r="AJ10" s="50" t="s">
        <v>500</v>
      </c>
      <c r="AK10" s="50" t="s">
        <v>502</v>
      </c>
      <c r="AM10" s="50" t="s">
        <v>508</v>
      </c>
      <c r="AN10" s="50" t="s">
        <v>507</v>
      </c>
      <c r="AO10" s="50" t="s">
        <v>506</v>
      </c>
      <c r="AP10" s="50"/>
      <c r="AQ10" s="50" t="s">
        <v>509</v>
      </c>
      <c r="AR10" s="1"/>
      <c r="AS10" s="50" t="s">
        <v>508</v>
      </c>
      <c r="AT10" s="50" t="s">
        <v>507</v>
      </c>
      <c r="AU10" s="50" t="s">
        <v>506</v>
      </c>
      <c r="AV10" s="50"/>
      <c r="AW10" s="50" t="s">
        <v>509</v>
      </c>
      <c r="AX10" s="1"/>
      <c r="AY10" s="50" t="s">
        <v>508</v>
      </c>
      <c r="AZ10" s="50" t="s">
        <v>507</v>
      </c>
      <c r="BA10" s="50" t="s">
        <v>506</v>
      </c>
      <c r="BB10" s="50" t="s">
        <v>509</v>
      </c>
      <c r="BC10" s="50"/>
      <c r="BD10" s="1"/>
      <c r="BE10" s="50" t="s">
        <v>67</v>
      </c>
      <c r="BF10" s="50" t="s">
        <v>589</v>
      </c>
      <c r="BG10" s="50" t="s">
        <v>590</v>
      </c>
      <c r="BH10" s="50" t="s">
        <v>591</v>
      </c>
      <c r="BI10" s="1"/>
      <c r="BJ10" s="181" t="s">
        <v>67</v>
      </c>
      <c r="BK10" s="181" t="s">
        <v>589</v>
      </c>
      <c r="BL10" s="181" t="s">
        <v>590</v>
      </c>
      <c r="BM10" s="181" t="s">
        <v>591</v>
      </c>
    </row>
    <row r="11" spans="1:65" x14ac:dyDescent="0.2">
      <c r="D11" s="3"/>
      <c r="E11" s="3"/>
      <c r="F11" s="3"/>
      <c r="G11" s="3"/>
      <c r="H11" s="3"/>
      <c r="I11" s="3"/>
      <c r="J11" s="3"/>
      <c r="K11" s="3"/>
      <c r="L11" s="4"/>
      <c r="N11" s="3"/>
      <c r="O11" s="3"/>
      <c r="P11" s="3"/>
      <c r="R11" s="3"/>
      <c r="S11" s="3"/>
      <c r="U11" s="3"/>
      <c r="V11" s="3"/>
      <c r="W11" s="3"/>
      <c r="X11" s="3"/>
      <c r="Y11" s="3"/>
      <c r="AA11" s="3"/>
      <c r="AB11" s="3"/>
      <c r="AC11" s="3"/>
      <c r="AE11" s="3"/>
      <c r="AF11" s="3"/>
      <c r="AG11" s="3"/>
      <c r="AI11" s="3"/>
      <c r="AJ11" s="3"/>
      <c r="AK11" s="3"/>
      <c r="AM11" s="3"/>
      <c r="AN11" s="3"/>
      <c r="AO11" s="3"/>
      <c r="AP11" s="3"/>
      <c r="AQ11" s="3"/>
      <c r="AR11" s="1"/>
      <c r="AS11" s="3"/>
      <c r="AT11" s="3"/>
      <c r="AU11" s="3"/>
      <c r="AV11" s="3"/>
      <c r="AW11" s="3"/>
      <c r="AX11" s="1"/>
      <c r="AY11" s="3"/>
      <c r="AZ11" s="3"/>
      <c r="BA11" s="3"/>
      <c r="BB11" s="3"/>
      <c r="BC11" s="3"/>
      <c r="BD11" s="1"/>
      <c r="BE11" s="3"/>
      <c r="BF11" s="3"/>
      <c r="BG11" s="3"/>
      <c r="BH11" s="3"/>
      <c r="BI11" s="1"/>
      <c r="BJ11" s="16"/>
      <c r="BK11" s="16"/>
      <c r="BL11" s="16"/>
      <c r="BM11" s="16"/>
    </row>
    <row r="12" spans="1:65" x14ac:dyDescent="0.2">
      <c r="A12" s="156" t="s">
        <v>69</v>
      </c>
      <c r="B12" s="156" t="s">
        <v>70</v>
      </c>
      <c r="D12" s="56">
        <f>VLOOKUP(A12,'2020-21'!$A$12:$AMX220,32,FALSE)</f>
        <v>205345</v>
      </c>
      <c r="E12" s="56">
        <v>1896.8464578014941</v>
      </c>
      <c r="F12" s="16">
        <f>VLOOKUP(A12,'2020-21'!$A$12:$AMX220,34,FALSE)</f>
        <v>3.7861251225651316E-2</v>
      </c>
      <c r="G12" s="16">
        <f>VLOOKUP(A12,'2020-21'!$A$12:$AMX220,35,FALSE)</f>
        <v>3.5721325615431621E-2</v>
      </c>
      <c r="H12" s="56"/>
      <c r="I12" s="56">
        <v>203068.69858470117</v>
      </c>
      <c r="J12" s="56">
        <v>1875.8194336397269</v>
      </c>
      <c r="K12" s="16">
        <f>D12/I12-1</f>
        <v>1.120951397809522E-2</v>
      </c>
      <c r="L12" s="58">
        <f>E12/J12-1</f>
        <v>1.120951397809522E-2</v>
      </c>
      <c r="M12" s="10"/>
      <c r="N12" s="56">
        <v>159790</v>
      </c>
      <c r="O12" s="56">
        <v>15534</v>
      </c>
      <c r="P12" s="56">
        <v>30021</v>
      </c>
      <c r="R12" s="56">
        <f>ROUND(P12,0)</f>
        <v>30021</v>
      </c>
      <c r="S12" s="56">
        <f>D12-SUM(N12:P12)</f>
        <v>0</v>
      </c>
      <c r="U12" s="16">
        <v>1.4969634622505446E-2</v>
      </c>
      <c r="V12" s="16">
        <v>-5.7303246890915149E-3</v>
      </c>
      <c r="W12" s="56">
        <f>IF(AND(U12&lt;0,V12&gt;0),1,IF(AND(U12&gt;0,V12&gt;0),2,IF(AND(U12&gt;0,V12&lt;0),3,IF(AND(U12&lt;0,V12&lt;0),4,5))))</f>
        <v>3</v>
      </c>
      <c r="X12" s="56">
        <f>N12/(1+U12)/100</f>
        <v>1574.332813014945</v>
      </c>
      <c r="Y12" s="56">
        <f>O12/(1+V12)/100</f>
        <v>156.23527887584939</v>
      </c>
      <c r="AA12" s="56">
        <f>IF(W12=1,MIN(S12,-1*U12*N12),0)</f>
        <v>0</v>
      </c>
      <c r="AB12" s="56">
        <v>0</v>
      </c>
      <c r="AC12" s="56">
        <f>S12-AA12-AB12</f>
        <v>0</v>
      </c>
      <c r="AE12" s="56">
        <v>0</v>
      </c>
      <c r="AF12" s="56">
        <f>IF(W12=3,MIN(S12,-1*V12*O12),0)</f>
        <v>0</v>
      </c>
      <c r="AG12" s="56">
        <f>AC12-AE12-AF12</f>
        <v>0</v>
      </c>
      <c r="AI12" s="56">
        <f>AG12*X12/(X12+Y12)</f>
        <v>0</v>
      </c>
      <c r="AJ12" s="56">
        <f>AG12*Y12/(X12+Y12)</f>
        <v>0</v>
      </c>
      <c r="AK12" s="56">
        <f>S12-SUM(AA12:AB12)-SUM(AE12:AF12)-SUM(AI12:AJ12)</f>
        <v>0</v>
      </c>
      <c r="AM12" s="56">
        <f>ROUND(N12+AA12+AE12+AI12,0)</f>
        <v>159790</v>
      </c>
      <c r="AN12" s="56">
        <f>ROUND(O12+AB12+AF12+AJ12,0)</f>
        <v>15534</v>
      </c>
      <c r="AO12" s="56">
        <f>R12</f>
        <v>30021</v>
      </c>
      <c r="AP12" s="56"/>
      <c r="AQ12" s="56">
        <f>SUM(AM12:AP12)</f>
        <v>205345</v>
      </c>
      <c r="AR12" s="1"/>
      <c r="AS12" s="56">
        <v>1476.0383524902031</v>
      </c>
      <c r="AT12" s="56">
        <v>143.4932083833958</v>
      </c>
      <c r="AU12" s="56">
        <v>277.31489692789529</v>
      </c>
      <c r="AV12" s="56"/>
      <c r="AW12" s="56">
        <v>1896.8464578014941</v>
      </c>
      <c r="AX12" s="1"/>
      <c r="AY12" s="16">
        <v>1.4969634622505446E-2</v>
      </c>
      <c r="AZ12" s="16">
        <v>-5.7303246890915149E-3</v>
      </c>
      <c r="BA12" s="16">
        <v>3.0356650519958173E-4</v>
      </c>
      <c r="BB12" s="16">
        <f>SUM(AM12:AO12)/I12-1</f>
        <v>1.120951397809522E-2</v>
      </c>
      <c r="BC12" s="16"/>
      <c r="BD12" s="1"/>
      <c r="BE12" s="16">
        <f>AM12/'2019-20 disagg'!AM12-1</f>
        <v>3.6601188468225354E-2</v>
      </c>
      <c r="BF12" s="16">
        <f>AN12/'2019-20 disagg'!AN12-1</f>
        <v>3.6636636636636633E-2</v>
      </c>
      <c r="BG12" s="16">
        <f>AO12/'2019-20 disagg'!AO12-1</f>
        <v>4.5263047944013035E-2</v>
      </c>
      <c r="BH12" s="16">
        <f>AQ12/'2019-20 disagg'!AQ12-1</f>
        <v>3.7861251225651316E-2</v>
      </c>
      <c r="BI12" s="1"/>
      <c r="BJ12" s="16">
        <f>AS12/'2019-20 disagg'!AS12-1</f>
        <v>3.4463860932230084E-2</v>
      </c>
      <c r="BK12" s="16">
        <f>AT12/'2019-20 disagg'!AT12-1</f>
        <v>3.4499236011446222E-2</v>
      </c>
      <c r="BL12" s="16">
        <f>AU12/'2019-20 disagg'!AU12-1</f>
        <v>4.3107860858003333E-2</v>
      </c>
      <c r="BM12" s="16">
        <f>AW12/'2019-20 disagg'!AW12-1</f>
        <v>3.5721325615431621E-2</v>
      </c>
    </row>
    <row r="13" spans="1:65" x14ac:dyDescent="0.2">
      <c r="A13" s="156" t="s">
        <v>71</v>
      </c>
      <c r="B13" s="156" t="s">
        <v>72</v>
      </c>
      <c r="D13" s="56">
        <f>VLOOKUP(A13,'2020-21'!$A$12:$AMX221,32,FALSE)</f>
        <v>607595</v>
      </c>
      <c r="E13" s="56">
        <v>2053.8344655773849</v>
      </c>
      <c r="F13" s="16">
        <f>VLOOKUP(A13,'2020-21'!$A$12:$AMX221,34,FALSE)</f>
        <v>3.7425129252351086E-2</v>
      </c>
      <c r="G13" s="16">
        <f>VLOOKUP(A13,'2020-21'!$A$12:$AMX221,35,FALSE)</f>
        <v>3.3161868212657319E-2</v>
      </c>
      <c r="H13" s="56"/>
      <c r="I13" s="56">
        <v>585716.27272171248</v>
      </c>
      <c r="J13" s="56">
        <v>1979.8784847890063</v>
      </c>
      <c r="K13" s="16">
        <f t="shared" ref="K13:L76" si="6">D13/I13-1</f>
        <v>3.7353797900511188E-2</v>
      </c>
      <c r="L13" s="58">
        <f t="shared" si="6"/>
        <v>3.7353797900510965E-2</v>
      </c>
      <c r="M13" s="10"/>
      <c r="N13" s="56">
        <v>484743</v>
      </c>
      <c r="O13" s="56">
        <v>46282</v>
      </c>
      <c r="P13" s="56">
        <v>76570</v>
      </c>
      <c r="R13" s="56">
        <f t="shared" ref="R13:R76" si="7">ROUND(P13,0)</f>
        <v>76570</v>
      </c>
      <c r="S13" s="56">
        <f t="shared" ref="S13:S76" si="8">D13-SUM(N13:P13)</f>
        <v>0</v>
      </c>
      <c r="U13" s="16">
        <v>4.8156750802108572E-2</v>
      </c>
      <c r="V13" s="16">
        <v>5.2934043516095652E-2</v>
      </c>
      <c r="W13" s="56">
        <f t="shared" ref="W13:W76" si="9">IF(AND(U13&lt;0,V13&gt;0),1,IF(AND(U13&gt;0,V13&gt;0),2,IF(AND(U13&gt;0,V13&lt;0),3,IF(AND(U13&lt;0,V13&lt;0),4,5))))</f>
        <v>2</v>
      </c>
      <c r="X13" s="56">
        <f t="shared" ref="X13:Y76" si="10">N13/(1+U13)/100</f>
        <v>4624.7185798216478</v>
      </c>
      <c r="Y13" s="56">
        <f t="shared" si="10"/>
        <v>439.55269833853094</v>
      </c>
      <c r="AA13" s="56">
        <f>IF(W13=1,MIN(S13,-1*U13*N13),0)</f>
        <v>0</v>
      </c>
      <c r="AB13" s="56">
        <v>0</v>
      </c>
      <c r="AC13" s="56">
        <f t="shared" ref="AC13:AC76" si="11">S13-AA13-AB13</f>
        <v>0</v>
      </c>
      <c r="AE13" s="56">
        <v>0</v>
      </c>
      <c r="AF13" s="56">
        <f t="shared" ref="AF13:AF76" si="12">IF(W13=3,MIN(S13,-1*V13*O13),0)</f>
        <v>0</v>
      </c>
      <c r="AG13" s="56">
        <f t="shared" ref="AG13:AG76" si="13">AC13-AE13-AF13</f>
        <v>0</v>
      </c>
      <c r="AI13" s="56">
        <f t="shared" ref="AI13:AI76" si="14">AG13*X13/(X13+Y13)</f>
        <v>0</v>
      </c>
      <c r="AJ13" s="56">
        <f t="shared" ref="AJ13:AJ76" si="15">AG13*Y13/(X13+Y13)</f>
        <v>0</v>
      </c>
      <c r="AK13" s="56">
        <f t="shared" ref="AK13:AK76" si="16">S13-SUM(AA13:AB13)-SUM(AE13:AF13)-SUM(AI13:AJ13)</f>
        <v>0</v>
      </c>
      <c r="AM13" s="56">
        <f t="shared" ref="AM13:AM76" si="17">ROUND(N13+AA13+AE13+AI13,0)</f>
        <v>484743</v>
      </c>
      <c r="AN13" s="56">
        <f t="shared" ref="AN13:AN76" si="18">ROUND(O13+AB13+AF13+AJ13,0)</f>
        <v>46282</v>
      </c>
      <c r="AO13" s="56">
        <f t="shared" ref="AO13:AO76" si="19">R13</f>
        <v>76570</v>
      </c>
      <c r="AP13" s="56"/>
      <c r="AQ13" s="56">
        <f t="shared" ref="AQ13:AQ76" si="20">SUM(AM13:AP13)</f>
        <v>607595</v>
      </c>
      <c r="AR13" s="1"/>
      <c r="AS13" s="56">
        <v>1638.5616740548858</v>
      </c>
      <c r="AT13" s="56">
        <v>156.44560395634022</v>
      </c>
      <c r="AU13" s="56">
        <v>258.82718756615901</v>
      </c>
      <c r="AV13" s="56"/>
      <c r="AW13" s="56">
        <v>2053.8344655773849</v>
      </c>
      <c r="AX13" s="1"/>
      <c r="AY13" s="16">
        <v>4.8156750802108572E-2</v>
      </c>
      <c r="AZ13" s="16">
        <v>5.2934043516095652E-2</v>
      </c>
      <c r="BA13" s="16">
        <v>-3.4294037461606086E-2</v>
      </c>
      <c r="BB13" s="16">
        <f t="shared" ref="BB13:BB76" si="21">SUM(AM13:AO13)/I13-1</f>
        <v>3.7353797900511188E-2</v>
      </c>
      <c r="BC13" s="16"/>
      <c r="BD13" s="1"/>
      <c r="BE13" s="16">
        <f>AM13/'2019-20 disagg'!AM13-1</f>
        <v>3.6433377592189897E-2</v>
      </c>
      <c r="BF13" s="16">
        <f>AN13/'2019-20 disagg'!AN13-1</f>
        <v>3.1514665240260253E-2</v>
      </c>
      <c r="BG13" s="16">
        <f>AO13/'2019-20 disagg'!AO13-1</f>
        <v>4.739757882497786E-2</v>
      </c>
      <c r="BH13" s="16">
        <f>AQ13/'2019-20 disagg'!AQ13-1</f>
        <v>3.7425129252351086E-2</v>
      </c>
      <c r="BI13" s="1"/>
      <c r="BJ13" s="16">
        <f>AS13/'2019-20 disagg'!AS13-1</f>
        <v>3.2174192120066891E-2</v>
      </c>
      <c r="BK13" s="16">
        <f>AT13/'2019-20 disagg'!AT13-1</f>
        <v>2.7275693038612658E-2</v>
      </c>
      <c r="BL13" s="16">
        <f>AU13/'2019-20 disagg'!AU13-1</f>
        <v>4.3093336364519841E-2</v>
      </c>
      <c r="BM13" s="16">
        <f>AW13/'2019-20 disagg'!AW13-1</f>
        <v>3.3161868212657319E-2</v>
      </c>
    </row>
    <row r="14" spans="1:65" x14ac:dyDescent="0.2">
      <c r="A14" s="156" t="s">
        <v>73</v>
      </c>
      <c r="B14" s="156" t="s">
        <v>74</v>
      </c>
      <c r="D14" s="56">
        <f>VLOOKUP(A14,'2020-21'!$A$12:$AMX222,32,FALSE)</f>
        <v>999187</v>
      </c>
      <c r="E14" s="56">
        <v>1934.6675833070237</v>
      </c>
      <c r="F14" s="16">
        <f>VLOOKUP(A14,'2020-21'!$A$12:$AMX222,34,FALSE)</f>
        <v>3.7986952276079844E-2</v>
      </c>
      <c r="G14" s="16">
        <f>VLOOKUP(A14,'2020-21'!$A$12:$AMX222,35,FALSE)</f>
        <v>3.5611049915207804E-2</v>
      </c>
      <c r="H14" s="56"/>
      <c r="I14" s="56">
        <v>973401.42724496801</v>
      </c>
      <c r="J14" s="56">
        <v>1884.7404808465583</v>
      </c>
      <c r="K14" s="16">
        <f t="shared" si="6"/>
        <v>2.649017356386385E-2</v>
      </c>
      <c r="L14" s="58">
        <f t="shared" si="6"/>
        <v>2.649017356386385E-2</v>
      </c>
      <c r="M14" s="10"/>
      <c r="N14" s="56">
        <v>770730</v>
      </c>
      <c r="O14" s="56">
        <v>73765</v>
      </c>
      <c r="P14" s="56">
        <v>154692</v>
      </c>
      <c r="R14" s="56">
        <f t="shared" si="7"/>
        <v>154692</v>
      </c>
      <c r="S14" s="56">
        <f t="shared" si="8"/>
        <v>0</v>
      </c>
      <c r="U14" s="16">
        <v>4.1469638833235845E-2</v>
      </c>
      <c r="V14" s="16">
        <v>-4.8082217616326361E-2</v>
      </c>
      <c r="W14" s="56">
        <f t="shared" si="9"/>
        <v>3</v>
      </c>
      <c r="X14" s="56">
        <f t="shared" si="10"/>
        <v>7400.4077628556988</v>
      </c>
      <c r="Y14" s="56">
        <f t="shared" si="10"/>
        <v>774.90936050471601</v>
      </c>
      <c r="AA14" s="56">
        <f t="shared" ref="AA14:AA77" si="22">IF(W14=1,MIN(S14,-1*U14*N14),0)</f>
        <v>0</v>
      </c>
      <c r="AB14" s="56">
        <v>0</v>
      </c>
      <c r="AC14" s="56">
        <f t="shared" si="11"/>
        <v>0</v>
      </c>
      <c r="AE14" s="56">
        <v>0</v>
      </c>
      <c r="AF14" s="56">
        <f t="shared" si="12"/>
        <v>0</v>
      </c>
      <c r="AG14" s="56">
        <f t="shared" si="13"/>
        <v>0</v>
      </c>
      <c r="AI14" s="56">
        <f t="shared" si="14"/>
        <v>0</v>
      </c>
      <c r="AJ14" s="56">
        <f t="shared" si="15"/>
        <v>0</v>
      </c>
      <c r="AK14" s="56">
        <f t="shared" si="16"/>
        <v>0</v>
      </c>
      <c r="AM14" s="56">
        <f t="shared" si="17"/>
        <v>770730</v>
      </c>
      <c r="AN14" s="56">
        <f t="shared" si="18"/>
        <v>73765</v>
      </c>
      <c r="AO14" s="56">
        <f t="shared" si="19"/>
        <v>154692</v>
      </c>
      <c r="AP14" s="56"/>
      <c r="AQ14" s="56">
        <f t="shared" si="20"/>
        <v>999187</v>
      </c>
      <c r="AR14" s="1"/>
      <c r="AS14" s="56">
        <v>1492.3196023189075</v>
      </c>
      <c r="AT14" s="56">
        <v>142.8268725300095</v>
      </c>
      <c r="AU14" s="56">
        <v>299.52110845810654</v>
      </c>
      <c r="AV14" s="56"/>
      <c r="AW14" s="56">
        <v>1934.6675833070237</v>
      </c>
      <c r="AX14" s="1"/>
      <c r="AY14" s="16">
        <v>4.1469638833235845E-2</v>
      </c>
      <c r="AZ14" s="16">
        <v>-4.8082217616326361E-2</v>
      </c>
      <c r="BA14" s="16">
        <v>-7.5557648232988939E-3</v>
      </c>
      <c r="BB14" s="16">
        <f t="shared" si="21"/>
        <v>2.649017356386385E-2</v>
      </c>
      <c r="BC14" s="16"/>
      <c r="BD14" s="1"/>
      <c r="BE14" s="16">
        <f>AM14/'2019-20 disagg'!AM14-1</f>
        <v>3.6600373629654737E-2</v>
      </c>
      <c r="BF14" s="16">
        <f>AN14/'2019-20 disagg'!AN14-1</f>
        <v>3.6869922127575894E-2</v>
      </c>
      <c r="BG14" s="16">
        <f>AO14/'2019-20 disagg'!AO14-1</f>
        <v>4.5491717412020627E-2</v>
      </c>
      <c r="BH14" s="16">
        <f>AQ14/'2019-20 disagg'!AQ14-1</f>
        <v>3.7986952276079844E-2</v>
      </c>
      <c r="BI14" s="1"/>
      <c r="BJ14" s="16">
        <f>AS14/'2019-20 disagg'!AS14-1</f>
        <v>3.4227645080815883E-2</v>
      </c>
      <c r="BK14" s="16">
        <f>AT14/'2019-20 disagg'!AT14-1</f>
        <v>3.4496576595150374E-2</v>
      </c>
      <c r="BL14" s="16">
        <f>AU14/'2019-20 disagg'!AU14-1</f>
        <v>4.3098637003616158E-2</v>
      </c>
      <c r="BM14" s="16">
        <f>AW14/'2019-20 disagg'!AW14-1</f>
        <v>3.5611049915207804E-2</v>
      </c>
    </row>
    <row r="15" spans="1:65" x14ac:dyDescent="0.2">
      <c r="A15" s="156" t="s">
        <v>75</v>
      </c>
      <c r="B15" s="156" t="s">
        <v>76</v>
      </c>
      <c r="D15" s="56">
        <f>VLOOKUP(A15,'2020-21'!$A$12:$AMX223,32,FALSE)</f>
        <v>563540</v>
      </c>
      <c r="E15" s="56">
        <v>1866.8854207721456</v>
      </c>
      <c r="F15" s="16">
        <f>VLOOKUP(A15,'2020-21'!$A$12:$AMX223,34,FALSE)</f>
        <v>3.8509664733535676E-2</v>
      </c>
      <c r="G15" s="16">
        <f>VLOOKUP(A15,'2020-21'!$A$12:$AMX223,35,FALSE)</f>
        <v>3.348161687888962E-2</v>
      </c>
      <c r="H15" s="56"/>
      <c r="I15" s="56">
        <v>567934.61419430445</v>
      </c>
      <c r="J15" s="56">
        <v>1881.4438215409734</v>
      </c>
      <c r="K15" s="16">
        <f t="shared" si="6"/>
        <v>-7.7378875745033326E-3</v>
      </c>
      <c r="L15" s="58">
        <f t="shared" si="6"/>
        <v>-7.7378875745032216E-3</v>
      </c>
      <c r="M15" s="10"/>
      <c r="N15" s="56">
        <v>437081</v>
      </c>
      <c r="O15" s="56">
        <v>43793</v>
      </c>
      <c r="P15" s="56">
        <v>82666</v>
      </c>
      <c r="R15" s="56">
        <f t="shared" si="7"/>
        <v>82666</v>
      </c>
      <c r="S15" s="56">
        <f t="shared" si="8"/>
        <v>0</v>
      </c>
      <c r="U15" s="16">
        <v>-9.7210271972296702E-3</v>
      </c>
      <c r="V15" s="16">
        <v>-7.7114048902656718E-3</v>
      </c>
      <c r="W15" s="56">
        <f t="shared" si="9"/>
        <v>4</v>
      </c>
      <c r="X15" s="56">
        <f t="shared" si="10"/>
        <v>4413.7158518365468</v>
      </c>
      <c r="Y15" s="56">
        <f t="shared" si="10"/>
        <v>441.33329976605302</v>
      </c>
      <c r="AA15" s="56">
        <f t="shared" si="22"/>
        <v>0</v>
      </c>
      <c r="AB15" s="56">
        <v>0</v>
      </c>
      <c r="AC15" s="56">
        <f t="shared" si="11"/>
        <v>0</v>
      </c>
      <c r="AE15" s="56">
        <v>0</v>
      </c>
      <c r="AF15" s="56">
        <f t="shared" si="12"/>
        <v>0</v>
      </c>
      <c r="AG15" s="56">
        <f t="shared" si="13"/>
        <v>0</v>
      </c>
      <c r="AI15" s="56">
        <f t="shared" si="14"/>
        <v>0</v>
      </c>
      <c r="AJ15" s="56">
        <f t="shared" si="15"/>
        <v>0</v>
      </c>
      <c r="AK15" s="56">
        <f t="shared" si="16"/>
        <v>0</v>
      </c>
      <c r="AM15" s="56">
        <f t="shared" si="17"/>
        <v>437081</v>
      </c>
      <c r="AN15" s="56">
        <f t="shared" si="18"/>
        <v>43793</v>
      </c>
      <c r="AO15" s="56">
        <f t="shared" si="19"/>
        <v>82666</v>
      </c>
      <c r="AP15" s="56"/>
      <c r="AQ15" s="56">
        <f t="shared" si="20"/>
        <v>563540</v>
      </c>
      <c r="AR15" s="1"/>
      <c r="AS15" s="56">
        <v>1447.9542651746285</v>
      </c>
      <c r="AT15" s="56">
        <v>145.07668174730199</v>
      </c>
      <c r="AU15" s="56">
        <v>273.85447385021502</v>
      </c>
      <c r="AV15" s="56"/>
      <c r="AW15" s="56">
        <v>1866.8854207721456</v>
      </c>
      <c r="AX15" s="1"/>
      <c r="AY15" s="16">
        <v>-9.7210271972296702E-3</v>
      </c>
      <c r="AZ15" s="16">
        <v>-7.7114048902656718E-3</v>
      </c>
      <c r="BA15" s="16">
        <v>2.8666969396300424E-3</v>
      </c>
      <c r="BB15" s="16">
        <f t="shared" si="21"/>
        <v>-7.7378875745033326E-3</v>
      </c>
      <c r="BC15" s="16"/>
      <c r="BD15" s="1"/>
      <c r="BE15" s="16">
        <f>AM15/'2019-20 disagg'!AM15-1</f>
        <v>3.6601620308883254E-2</v>
      </c>
      <c r="BF15" s="16">
        <f>AN15/'2019-20 disagg'!AN15-1</f>
        <v>3.9522407899734047E-2</v>
      </c>
      <c r="BG15" s="16">
        <f>AO15/'2019-20 disagg'!AO15-1</f>
        <v>4.8169703424753019E-2</v>
      </c>
      <c r="BH15" s="16">
        <f>AQ15/'2019-20 disagg'!AQ15-1</f>
        <v>3.8509664733535676E-2</v>
      </c>
      <c r="BI15" s="1"/>
      <c r="BJ15" s="16">
        <f>AS15/'2019-20 disagg'!AS15-1</f>
        <v>3.1582810441134868E-2</v>
      </c>
      <c r="BK15" s="16">
        <f>AT15/'2019-20 disagg'!AT15-1</f>
        <v>3.4489456748299174E-2</v>
      </c>
      <c r="BL15" s="16">
        <f>AU15/'2019-20 disagg'!AU15-1</f>
        <v>4.3094885531784977E-2</v>
      </c>
      <c r="BM15" s="16">
        <f>AW15/'2019-20 disagg'!AW15-1</f>
        <v>3.348161687888962E-2</v>
      </c>
    </row>
    <row r="16" spans="1:65" x14ac:dyDescent="0.2">
      <c r="A16" s="156" t="s">
        <v>77</v>
      </c>
      <c r="B16" s="156" t="s">
        <v>78</v>
      </c>
      <c r="D16" s="56">
        <f>VLOOKUP(A16,'2020-21'!$A$12:$AMX224,32,FALSE)</f>
        <v>474278</v>
      </c>
      <c r="E16" s="56">
        <v>1853.6000325612986</v>
      </c>
      <c r="F16" s="16">
        <f>VLOOKUP(A16,'2020-21'!$A$12:$AMX224,34,FALSE)</f>
        <v>3.6168162840844786E-2</v>
      </c>
      <c r="G16" s="16">
        <f>VLOOKUP(A16,'2020-21'!$A$12:$AMX224,35,FALSE)</f>
        <v>3.2923663610611387E-2</v>
      </c>
      <c r="H16" s="56"/>
      <c r="I16" s="56">
        <v>456002.92226124171</v>
      </c>
      <c r="J16" s="56">
        <v>1782.1763428864188</v>
      </c>
      <c r="K16" s="16">
        <f t="shared" si="6"/>
        <v>4.0076668035667895E-2</v>
      </c>
      <c r="L16" s="58">
        <f t="shared" si="6"/>
        <v>4.0076668035667895E-2</v>
      </c>
      <c r="M16" s="10"/>
      <c r="N16" s="56">
        <v>372803</v>
      </c>
      <c r="O16" s="56">
        <v>36431</v>
      </c>
      <c r="P16" s="56">
        <v>65044</v>
      </c>
      <c r="R16" s="56">
        <f t="shared" si="7"/>
        <v>65044</v>
      </c>
      <c r="S16" s="56">
        <f t="shared" si="8"/>
        <v>0</v>
      </c>
      <c r="U16" s="16">
        <v>5.0520091478335249E-2</v>
      </c>
      <c r="V16" s="16">
        <v>4.9065169953382393E-2</v>
      </c>
      <c r="W16" s="56">
        <f t="shared" si="9"/>
        <v>2</v>
      </c>
      <c r="X16" s="56">
        <f t="shared" si="10"/>
        <v>3548.746978036148</v>
      </c>
      <c r="Y16" s="56">
        <f t="shared" si="10"/>
        <v>347.27108518547897</v>
      </c>
      <c r="AA16" s="56">
        <f t="shared" si="22"/>
        <v>0</v>
      </c>
      <c r="AB16" s="56">
        <v>0</v>
      </c>
      <c r="AC16" s="56">
        <f t="shared" si="11"/>
        <v>0</v>
      </c>
      <c r="AE16" s="56">
        <v>0</v>
      </c>
      <c r="AF16" s="56">
        <f t="shared" si="12"/>
        <v>0</v>
      </c>
      <c r="AG16" s="56">
        <f t="shared" si="13"/>
        <v>0</v>
      </c>
      <c r="AI16" s="56">
        <f t="shared" si="14"/>
        <v>0</v>
      </c>
      <c r="AJ16" s="56">
        <f t="shared" si="15"/>
        <v>0</v>
      </c>
      <c r="AK16" s="56">
        <f t="shared" si="16"/>
        <v>0</v>
      </c>
      <c r="AM16" s="56">
        <f t="shared" si="17"/>
        <v>372803</v>
      </c>
      <c r="AN16" s="56">
        <f t="shared" si="18"/>
        <v>36431</v>
      </c>
      <c r="AO16" s="56">
        <f t="shared" si="19"/>
        <v>65044</v>
      </c>
      <c r="AP16" s="56"/>
      <c r="AQ16" s="56">
        <f t="shared" si="20"/>
        <v>474278</v>
      </c>
      <c r="AR16" s="1"/>
      <c r="AS16" s="56">
        <v>1457.0097135834885</v>
      </c>
      <c r="AT16" s="56">
        <v>142.38168919123524</v>
      </c>
      <c r="AU16" s="56">
        <v>254.20862978657476</v>
      </c>
      <c r="AV16" s="56"/>
      <c r="AW16" s="56">
        <v>1853.6000325612986</v>
      </c>
      <c r="AX16" s="1"/>
      <c r="AY16" s="16">
        <v>5.0520091478335249E-2</v>
      </c>
      <c r="AZ16" s="16">
        <v>4.9065169953382393E-2</v>
      </c>
      <c r="BA16" s="16">
        <v>-2.0438149568511976E-2</v>
      </c>
      <c r="BB16" s="16">
        <f t="shared" si="21"/>
        <v>4.0076668035667895E-2</v>
      </c>
      <c r="BC16" s="16"/>
      <c r="BD16" s="1"/>
      <c r="BE16" s="16">
        <f>AM16/'2019-20 disagg'!AM16-1</f>
        <v>3.4546584747220832E-2</v>
      </c>
      <c r="BF16" s="16">
        <f>AN16/'2019-20 disagg'!AN16-1</f>
        <v>3.4736423540104422E-2</v>
      </c>
      <c r="BG16" s="16">
        <f>AO16/'2019-20 disagg'!AO16-1</f>
        <v>4.6379562748346981E-2</v>
      </c>
      <c r="BH16" s="16">
        <f>AQ16/'2019-20 disagg'!AQ16-1</f>
        <v>3.6168162840844786E-2</v>
      </c>
      <c r="BI16" s="1"/>
      <c r="BJ16" s="16">
        <f>AS16/'2019-20 disagg'!AS16-1</f>
        <v>3.1307163079747236E-2</v>
      </c>
      <c r="BK16" s="16">
        <f>AT16/'2019-20 disagg'!AT16-1</f>
        <v>3.1496407440337437E-2</v>
      </c>
      <c r="BL16" s="16">
        <f>AU16/'2019-20 disagg'!AU16-1</f>
        <v>4.3103089095112068E-2</v>
      </c>
      <c r="BM16" s="16">
        <f>AW16/'2019-20 disagg'!AW16-1</f>
        <v>3.2923663610611387E-2</v>
      </c>
    </row>
    <row r="17" spans="1:65" x14ac:dyDescent="0.2">
      <c r="A17" s="156" t="s">
        <v>79</v>
      </c>
      <c r="B17" s="156" t="s">
        <v>80</v>
      </c>
      <c r="D17" s="56">
        <f>VLOOKUP(A17,'2020-21'!$A$12:$AMX225,32,FALSE)</f>
        <v>435161</v>
      </c>
      <c r="E17" s="56">
        <v>1949.1084442180581</v>
      </c>
      <c r="F17" s="16">
        <f>VLOOKUP(A17,'2020-21'!$A$12:$AMX225,34,FALSE)</f>
        <v>3.875386106376788E-2</v>
      </c>
      <c r="G17" s="16">
        <f>VLOOKUP(A17,'2020-21'!$A$12:$AMX225,35,FALSE)</f>
        <v>3.2771076316165715E-2</v>
      </c>
      <c r="H17" s="56"/>
      <c r="I17" s="56">
        <v>424767.41209676245</v>
      </c>
      <c r="J17" s="56">
        <v>1902.5550307735559</v>
      </c>
      <c r="K17" s="16">
        <f t="shared" si="6"/>
        <v>2.4468891932957204E-2</v>
      </c>
      <c r="L17" s="58">
        <f t="shared" si="6"/>
        <v>2.4468891932957204E-2</v>
      </c>
      <c r="M17" s="10"/>
      <c r="N17" s="56">
        <v>338285</v>
      </c>
      <c r="O17" s="56">
        <v>31048</v>
      </c>
      <c r="P17" s="56">
        <v>65828</v>
      </c>
      <c r="R17" s="56">
        <f t="shared" si="7"/>
        <v>65828</v>
      </c>
      <c r="S17" s="56">
        <f t="shared" si="8"/>
        <v>0</v>
      </c>
      <c r="U17" s="16">
        <v>3.9419924635181625E-2</v>
      </c>
      <c r="V17" s="16">
        <v>-1.4774293118234749E-2</v>
      </c>
      <c r="W17" s="56">
        <f t="shared" si="9"/>
        <v>3</v>
      </c>
      <c r="X17" s="56">
        <f t="shared" si="10"/>
        <v>3254.5556611177353</v>
      </c>
      <c r="Y17" s="56">
        <f t="shared" si="10"/>
        <v>315.13591031101669</v>
      </c>
      <c r="AA17" s="56">
        <f t="shared" si="22"/>
        <v>0</v>
      </c>
      <c r="AB17" s="56">
        <v>0</v>
      </c>
      <c r="AC17" s="56">
        <f t="shared" si="11"/>
        <v>0</v>
      </c>
      <c r="AE17" s="56">
        <v>0</v>
      </c>
      <c r="AF17" s="56">
        <f t="shared" si="12"/>
        <v>0</v>
      </c>
      <c r="AG17" s="56">
        <f t="shared" si="13"/>
        <v>0</v>
      </c>
      <c r="AI17" s="56">
        <f t="shared" si="14"/>
        <v>0</v>
      </c>
      <c r="AJ17" s="56">
        <f t="shared" si="15"/>
        <v>0</v>
      </c>
      <c r="AK17" s="56">
        <f t="shared" si="16"/>
        <v>0</v>
      </c>
      <c r="AM17" s="56">
        <f t="shared" si="17"/>
        <v>338285</v>
      </c>
      <c r="AN17" s="56">
        <f t="shared" si="18"/>
        <v>31048</v>
      </c>
      <c r="AO17" s="56">
        <f t="shared" si="19"/>
        <v>65828</v>
      </c>
      <c r="AP17" s="56"/>
      <c r="AQ17" s="56">
        <f t="shared" si="20"/>
        <v>435161</v>
      </c>
      <c r="AR17" s="1"/>
      <c r="AS17" s="56">
        <v>1515.1958701545079</v>
      </c>
      <c r="AT17" s="56">
        <v>139.06558486647992</v>
      </c>
      <c r="AU17" s="56">
        <v>294.84698919707034</v>
      </c>
      <c r="AV17" s="56"/>
      <c r="AW17" s="56">
        <v>1949.1084442180581</v>
      </c>
      <c r="AX17" s="1"/>
      <c r="AY17" s="16">
        <v>3.9419924635181625E-2</v>
      </c>
      <c r="AZ17" s="16">
        <v>-1.4774293118234749E-2</v>
      </c>
      <c r="BA17" s="16">
        <v>-2.9060555544200617E-2</v>
      </c>
      <c r="BB17" s="16">
        <f t="shared" si="21"/>
        <v>2.4468891932957204E-2</v>
      </c>
      <c r="BC17" s="16"/>
      <c r="BD17" s="1"/>
      <c r="BE17" s="16">
        <f>AM17/'2019-20 disagg'!AM17-1</f>
        <v>3.659975301908136E-2</v>
      </c>
      <c r="BF17" s="16">
        <f>AN17/'2019-20 disagg'!AN17-1</f>
        <v>4.0482573726541515E-2</v>
      </c>
      <c r="BG17" s="16">
        <f>AO17/'2019-20 disagg'!AO17-1</f>
        <v>4.9135389274045815E-2</v>
      </c>
      <c r="BH17" s="16">
        <f>AQ17/'2019-20 disagg'!AQ17-1</f>
        <v>3.875386106376788E-2</v>
      </c>
      <c r="BI17" s="1"/>
      <c r="BJ17" s="16">
        <f>AS17/'2019-20 disagg'!AS17-1</f>
        <v>3.0629375026570482E-2</v>
      </c>
      <c r="BK17" s="16">
        <f>AT17/'2019-20 disagg'!AT17-1</f>
        <v>3.4489832322083913E-2</v>
      </c>
      <c r="BL17" s="16">
        <f>AU17/'2019-20 disagg'!AU17-1</f>
        <v>4.3092811296342237E-2</v>
      </c>
      <c r="BM17" s="16">
        <f>AW17/'2019-20 disagg'!AW17-1</f>
        <v>3.2771076316165715E-2</v>
      </c>
    </row>
    <row r="18" spans="1:65" x14ac:dyDescent="0.2">
      <c r="A18" s="156" t="s">
        <v>81</v>
      </c>
      <c r="B18" s="156" t="s">
        <v>82</v>
      </c>
      <c r="D18" s="56">
        <f>VLOOKUP(A18,'2020-21'!$A$12:$AMX226,32,FALSE)</f>
        <v>636314</v>
      </c>
      <c r="E18" s="56">
        <v>1954.984055870475</v>
      </c>
      <c r="F18" s="16">
        <f>VLOOKUP(A18,'2020-21'!$A$12:$AMX226,34,FALSE)</f>
        <v>3.7853160791119222E-2</v>
      </c>
      <c r="G18" s="16">
        <f>VLOOKUP(A18,'2020-21'!$A$12:$AMX226,35,FALSE)</f>
        <v>3.5877839598140282E-2</v>
      </c>
      <c r="H18" s="56"/>
      <c r="I18" s="56">
        <v>614508.63434504822</v>
      </c>
      <c r="J18" s="56">
        <v>1887.9901783385387</v>
      </c>
      <c r="K18" s="16">
        <f t="shared" si="6"/>
        <v>3.5484229897261299E-2</v>
      </c>
      <c r="L18" s="58">
        <f t="shared" si="6"/>
        <v>3.5484229897261521E-2</v>
      </c>
      <c r="M18" s="10"/>
      <c r="N18" s="56">
        <v>493549</v>
      </c>
      <c r="O18" s="56">
        <v>47425</v>
      </c>
      <c r="P18" s="56">
        <v>95340</v>
      </c>
      <c r="R18" s="56">
        <f t="shared" si="7"/>
        <v>95340</v>
      </c>
      <c r="S18" s="56">
        <f t="shared" si="8"/>
        <v>0</v>
      </c>
      <c r="U18" s="16">
        <v>4.3489364846866829E-2</v>
      </c>
      <c r="V18" s="16">
        <v>3.8983809990856155E-2</v>
      </c>
      <c r="W18" s="56">
        <f t="shared" si="9"/>
        <v>2</v>
      </c>
      <c r="X18" s="56">
        <f t="shared" si="10"/>
        <v>4729.7942521189843</v>
      </c>
      <c r="Y18" s="56">
        <f t="shared" si="10"/>
        <v>456.45562080911901</v>
      </c>
      <c r="AA18" s="56">
        <f t="shared" si="22"/>
        <v>0</v>
      </c>
      <c r="AB18" s="56">
        <v>0</v>
      </c>
      <c r="AC18" s="56">
        <f t="shared" si="11"/>
        <v>0</v>
      </c>
      <c r="AE18" s="56">
        <v>0</v>
      </c>
      <c r="AF18" s="56">
        <f t="shared" si="12"/>
        <v>0</v>
      </c>
      <c r="AG18" s="56">
        <f t="shared" si="13"/>
        <v>0</v>
      </c>
      <c r="AI18" s="56">
        <f t="shared" si="14"/>
        <v>0</v>
      </c>
      <c r="AJ18" s="56">
        <f t="shared" si="15"/>
        <v>0</v>
      </c>
      <c r="AK18" s="56">
        <f t="shared" si="16"/>
        <v>0</v>
      </c>
      <c r="AM18" s="56">
        <f t="shared" si="17"/>
        <v>493549</v>
      </c>
      <c r="AN18" s="56">
        <f t="shared" si="18"/>
        <v>47425</v>
      </c>
      <c r="AO18" s="56">
        <f t="shared" si="19"/>
        <v>95340</v>
      </c>
      <c r="AP18" s="56"/>
      <c r="AQ18" s="56">
        <f t="shared" si="20"/>
        <v>636314</v>
      </c>
      <c r="AR18" s="1"/>
      <c r="AS18" s="56">
        <v>1516.358945097573</v>
      </c>
      <c r="AT18" s="56">
        <v>145.70655187479338</v>
      </c>
      <c r="AU18" s="56">
        <v>292.91855889810859</v>
      </c>
      <c r="AV18" s="56"/>
      <c r="AW18" s="56">
        <v>1954.984055870475</v>
      </c>
      <c r="AX18" s="1"/>
      <c r="AY18" s="16">
        <v>4.3489364846866829E-2</v>
      </c>
      <c r="AZ18" s="16">
        <v>3.8983809990856155E-2</v>
      </c>
      <c r="BA18" s="16">
        <v>-5.669862056266961E-3</v>
      </c>
      <c r="BB18" s="16">
        <f t="shared" si="21"/>
        <v>3.5484229897261299E-2</v>
      </c>
      <c r="BC18" s="16"/>
      <c r="BD18" s="1"/>
      <c r="BE18" s="16">
        <f>AM18/'2019-20 disagg'!AM18-1</f>
        <v>3.6599786189703165E-2</v>
      </c>
      <c r="BF18" s="16">
        <f>AN18/'2019-20 disagg'!AN18-1</f>
        <v>3.6476090567357344E-2</v>
      </c>
      <c r="BG18" s="16">
        <f>AO18/'2019-20 disagg'!AO18-1</f>
        <v>4.5085336577986856E-2</v>
      </c>
      <c r="BH18" s="16">
        <f>AQ18/'2019-20 disagg'!AQ18-1</f>
        <v>3.7853160791119222E-2</v>
      </c>
      <c r="BI18" s="1"/>
      <c r="BJ18" s="16">
        <f>AS18/'2019-20 disagg'!AS18-1</f>
        <v>3.4626850514740015E-2</v>
      </c>
      <c r="BK18" s="16">
        <f>AT18/'2019-20 disagg'!AT18-1</f>
        <v>3.4503390319325034E-2</v>
      </c>
      <c r="BL18" s="16">
        <f>AU18/'2019-20 disagg'!AU18-1</f>
        <v>4.3096250557146831E-2</v>
      </c>
      <c r="BM18" s="16">
        <f>AW18/'2019-20 disagg'!AW18-1</f>
        <v>3.5877839598140282E-2</v>
      </c>
    </row>
    <row r="19" spans="1:65" x14ac:dyDescent="0.2">
      <c r="A19" s="156" t="s">
        <v>83</v>
      </c>
      <c r="B19" s="156" t="s">
        <v>84</v>
      </c>
      <c r="D19" s="56">
        <f>VLOOKUP(A19,'2020-21'!$A$12:$AMX227,32,FALSE)</f>
        <v>604689</v>
      </c>
      <c r="E19" s="56">
        <v>2043.778341620902</v>
      </c>
      <c r="F19" s="16">
        <f>VLOOKUP(A19,'2020-21'!$A$12:$AMX227,34,FALSE)</f>
        <v>3.7926991913737274E-2</v>
      </c>
      <c r="G19" s="16">
        <f>VLOOKUP(A19,'2020-21'!$A$12:$AMX227,35,FALSE)</f>
        <v>3.6311050301412351E-2</v>
      </c>
      <c r="H19" s="56"/>
      <c r="I19" s="56">
        <v>592388.13149012101</v>
      </c>
      <c r="J19" s="56">
        <v>2002.2028397619013</v>
      </c>
      <c r="K19" s="16">
        <f t="shared" si="6"/>
        <v>2.076488007775712E-2</v>
      </c>
      <c r="L19" s="58">
        <f t="shared" si="6"/>
        <v>2.076488007775712E-2</v>
      </c>
      <c r="M19" s="10"/>
      <c r="N19" s="56">
        <v>454999</v>
      </c>
      <c r="O19" s="56">
        <v>47449</v>
      </c>
      <c r="P19" s="56">
        <v>102241</v>
      </c>
      <c r="R19" s="56">
        <f t="shared" si="7"/>
        <v>102241</v>
      </c>
      <c r="S19" s="56">
        <f t="shared" si="8"/>
        <v>0</v>
      </c>
      <c r="U19" s="16">
        <v>1.4941598050910665E-2</v>
      </c>
      <c r="V19" s="16">
        <v>2.2544316554294008E-2</v>
      </c>
      <c r="W19" s="56">
        <f t="shared" si="9"/>
        <v>2</v>
      </c>
      <c r="X19" s="56">
        <f t="shared" si="10"/>
        <v>4483.0067155960305</v>
      </c>
      <c r="Y19" s="56">
        <f t="shared" si="10"/>
        <v>464.0287881105308</v>
      </c>
      <c r="AA19" s="56">
        <f t="shared" si="22"/>
        <v>0</v>
      </c>
      <c r="AB19" s="56">
        <v>0</v>
      </c>
      <c r="AC19" s="56">
        <f t="shared" si="11"/>
        <v>0</v>
      </c>
      <c r="AE19" s="56">
        <v>0</v>
      </c>
      <c r="AF19" s="56">
        <f t="shared" si="12"/>
        <v>0</v>
      </c>
      <c r="AG19" s="56">
        <f t="shared" si="13"/>
        <v>0</v>
      </c>
      <c r="AI19" s="56">
        <f t="shared" si="14"/>
        <v>0</v>
      </c>
      <c r="AJ19" s="56">
        <f t="shared" si="15"/>
        <v>0</v>
      </c>
      <c r="AK19" s="56">
        <f t="shared" si="16"/>
        <v>0</v>
      </c>
      <c r="AM19" s="56">
        <f t="shared" si="17"/>
        <v>454999</v>
      </c>
      <c r="AN19" s="56">
        <f t="shared" si="18"/>
        <v>47449</v>
      </c>
      <c r="AO19" s="56">
        <f t="shared" si="19"/>
        <v>102241</v>
      </c>
      <c r="AP19" s="56"/>
      <c r="AQ19" s="56">
        <f t="shared" si="20"/>
        <v>604689</v>
      </c>
      <c r="AR19" s="1"/>
      <c r="AS19" s="56">
        <v>1537.8435884548401</v>
      </c>
      <c r="AT19" s="56">
        <v>160.37208967183159</v>
      </c>
      <c r="AU19" s="56">
        <v>345.56266349423032</v>
      </c>
      <c r="AV19" s="56"/>
      <c r="AW19" s="56">
        <v>2043.778341620902</v>
      </c>
      <c r="AX19" s="1"/>
      <c r="AY19" s="16">
        <v>1.4941598050910665E-2</v>
      </c>
      <c r="AZ19" s="16">
        <v>2.2544316554294008E-2</v>
      </c>
      <c r="BA19" s="16">
        <v>4.6644197357644801E-2</v>
      </c>
      <c r="BB19" s="16">
        <f t="shared" si="21"/>
        <v>2.076488007775712E-2</v>
      </c>
      <c r="BC19" s="16"/>
      <c r="BD19" s="1"/>
      <c r="BE19" s="16">
        <f>AM19/'2019-20 disagg'!AM19-1</f>
        <v>3.6600035540650833E-2</v>
      </c>
      <c r="BF19" s="16">
        <f>AN19/'2019-20 disagg'!AN19-1</f>
        <v>3.6117480074243868E-2</v>
      </c>
      <c r="BG19" s="16">
        <f>AO19/'2019-20 disagg'!AO19-1</f>
        <v>4.4725333115343657E-2</v>
      </c>
      <c r="BH19" s="16">
        <f>AQ19/'2019-20 disagg'!AQ19-1</f>
        <v>3.7926991913737274E-2</v>
      </c>
      <c r="BI19" s="1"/>
      <c r="BJ19" s="16">
        <f>AS19/'2019-20 disagg'!AS19-1</f>
        <v>3.4986159857854249E-2</v>
      </c>
      <c r="BK19" s="16">
        <f>AT19/'2019-20 disagg'!AT19-1</f>
        <v>3.4504355678835141E-2</v>
      </c>
      <c r="BL19" s="16">
        <f>AU19/'2019-20 disagg'!AU19-1</f>
        <v>4.3098807210936618E-2</v>
      </c>
      <c r="BM19" s="16">
        <f>AW19/'2019-20 disagg'!AW19-1</f>
        <v>3.6311050301412351E-2</v>
      </c>
    </row>
    <row r="20" spans="1:65" x14ac:dyDescent="0.2">
      <c r="A20" s="156" t="s">
        <v>85</v>
      </c>
      <c r="B20" s="156" t="s">
        <v>86</v>
      </c>
      <c r="D20" s="56">
        <f>VLOOKUP(A20,'2020-21'!$A$12:$AMX228,32,FALSE)</f>
        <v>328047.50922984118</v>
      </c>
      <c r="E20" s="56">
        <v>2084.5001235796585</v>
      </c>
      <c r="F20" s="16">
        <f>VLOOKUP(A20,'2020-21'!$A$12:$AMX228,34,FALSE)</f>
        <v>3.2992755077120517E-2</v>
      </c>
      <c r="G20" s="16">
        <f>VLOOKUP(A20,'2020-21'!$A$12:$AMX228,35,FALSE)</f>
        <v>3.0110323046182774E-2</v>
      </c>
      <c r="H20" s="56"/>
      <c r="I20" s="56">
        <v>315237.97626164666</v>
      </c>
      <c r="J20" s="56">
        <v>2003.1049832297551</v>
      </c>
      <c r="K20" s="16">
        <f t="shared" si="6"/>
        <v>4.0634485476973792E-2</v>
      </c>
      <c r="L20" s="58">
        <f t="shared" si="6"/>
        <v>4.0634485476973792E-2</v>
      </c>
      <c r="M20" s="10"/>
      <c r="N20" s="56">
        <v>260702</v>
      </c>
      <c r="O20" s="56">
        <v>23498</v>
      </c>
      <c r="P20" s="56">
        <v>43445</v>
      </c>
      <c r="R20" s="56">
        <f t="shared" si="7"/>
        <v>43445</v>
      </c>
      <c r="S20" s="56">
        <f t="shared" si="8"/>
        <v>402.50922984117642</v>
      </c>
      <c r="U20" s="16">
        <v>5.7525567364586028E-2</v>
      </c>
      <c r="V20" s="16">
        <v>4.5148656674778298E-3</v>
      </c>
      <c r="W20" s="56">
        <f t="shared" si="9"/>
        <v>2</v>
      </c>
      <c r="X20" s="56">
        <f t="shared" si="10"/>
        <v>2465.2075377211372</v>
      </c>
      <c r="Y20" s="56">
        <f t="shared" si="10"/>
        <v>233.92386517232976</v>
      </c>
      <c r="AA20" s="56">
        <f t="shared" si="22"/>
        <v>0</v>
      </c>
      <c r="AB20" s="56">
        <v>0</v>
      </c>
      <c r="AC20" s="56">
        <f t="shared" si="11"/>
        <v>402.50922984117642</v>
      </c>
      <c r="AE20" s="56">
        <v>0</v>
      </c>
      <c r="AF20" s="56">
        <f t="shared" si="12"/>
        <v>0</v>
      </c>
      <c r="AG20" s="56">
        <f t="shared" si="13"/>
        <v>402.50922984117642</v>
      </c>
      <c r="AI20" s="56">
        <f t="shared" si="14"/>
        <v>367.6252243010793</v>
      </c>
      <c r="AJ20" s="56">
        <f t="shared" si="15"/>
        <v>34.884005540097057</v>
      </c>
      <c r="AK20" s="56">
        <f t="shared" si="16"/>
        <v>0</v>
      </c>
      <c r="AM20" s="56">
        <f t="shared" si="17"/>
        <v>261070</v>
      </c>
      <c r="AN20" s="56">
        <f t="shared" si="18"/>
        <v>23533</v>
      </c>
      <c r="AO20" s="56">
        <f t="shared" si="19"/>
        <v>43445</v>
      </c>
      <c r="AP20" s="56"/>
      <c r="AQ20" s="56">
        <f t="shared" si="20"/>
        <v>328048</v>
      </c>
      <c r="AR20" s="1"/>
      <c r="AS20" s="56">
        <v>1658.9074202714223</v>
      </c>
      <c r="AT20" s="56">
        <v>149.53486927355644</v>
      </c>
      <c r="AU20" s="56">
        <v>276.06095251730164</v>
      </c>
      <c r="AV20" s="56"/>
      <c r="AW20" s="56">
        <v>2084.5032420622806</v>
      </c>
      <c r="AX20" s="1"/>
      <c r="AY20" s="16">
        <v>5.9018342290709347E-2</v>
      </c>
      <c r="AZ20" s="16">
        <v>6.0110789749237004E-3</v>
      </c>
      <c r="BA20" s="16">
        <v>-4.147474407737084E-2</v>
      </c>
      <c r="BB20" s="16">
        <f t="shared" si="21"/>
        <v>4.0636042301328112E-2</v>
      </c>
      <c r="BC20" s="16"/>
      <c r="BD20" s="1"/>
      <c r="BE20" s="16">
        <f>AM20/'2019-20 disagg'!AM20-1</f>
        <v>3.0329340726562348E-2</v>
      </c>
      <c r="BF20" s="16">
        <f>AN20/'2019-20 disagg'!AN20-1</f>
        <v>3.8938678204052835E-2</v>
      </c>
      <c r="BG20" s="16">
        <f>AO20/'2019-20 disagg'!AO20-1</f>
        <v>4.601049742379737E-2</v>
      </c>
      <c r="BH20" s="16">
        <f>AQ20/'2019-20 disagg'!AQ20-1</f>
        <v>3.2994300469187943E-2</v>
      </c>
      <c r="BI20" s="1"/>
      <c r="BJ20" s="16">
        <f>AS20/'2019-20 disagg'!AS20-1</f>
        <v>2.7454340607221406E-2</v>
      </c>
      <c r="BK20" s="16">
        <f>AT20/'2019-20 disagg'!AT20-1</f>
        <v>3.6039654847386693E-2</v>
      </c>
      <c r="BL20" s="16">
        <f>AU20/'2019-20 disagg'!AU20-1</f>
        <v>4.3091741074682055E-2</v>
      </c>
      <c r="BM20" s="16">
        <f>AW20/'2019-20 disagg'!AW20-1</f>
        <v>3.0111864126034504E-2</v>
      </c>
    </row>
    <row r="21" spans="1:65" x14ac:dyDescent="0.2">
      <c r="A21" s="156" t="s">
        <v>87</v>
      </c>
      <c r="B21" s="156" t="s">
        <v>88</v>
      </c>
      <c r="D21" s="56">
        <f>VLOOKUP(A21,'2020-21'!$A$12:$AMX229,32,FALSE)</f>
        <v>566786</v>
      </c>
      <c r="E21" s="56">
        <v>1985.6145701865846</v>
      </c>
      <c r="F21" s="16">
        <f>VLOOKUP(A21,'2020-21'!$A$12:$AMX229,34,FALSE)</f>
        <v>1.9661531652925168E-2</v>
      </c>
      <c r="G21" s="16">
        <f>VLOOKUP(A21,'2020-21'!$A$12:$AMX229,35,FALSE)</f>
        <v>1.8721855848905733E-2</v>
      </c>
      <c r="H21" s="56"/>
      <c r="I21" s="56">
        <v>532148.6404699696</v>
      </c>
      <c r="J21" s="56">
        <v>1864.2699255488915</v>
      </c>
      <c r="K21" s="16">
        <f t="shared" si="6"/>
        <v>6.5089632662483687E-2</v>
      </c>
      <c r="L21" s="58">
        <f t="shared" si="6"/>
        <v>6.5089632662483687E-2</v>
      </c>
      <c r="M21" s="10"/>
      <c r="N21" s="56">
        <v>454708</v>
      </c>
      <c r="O21" s="56">
        <v>43418</v>
      </c>
      <c r="P21" s="56">
        <v>68660</v>
      </c>
      <c r="R21" s="56">
        <f t="shared" si="7"/>
        <v>68660</v>
      </c>
      <c r="S21" s="56">
        <f t="shared" si="8"/>
        <v>0</v>
      </c>
      <c r="U21" s="16">
        <v>9.7196542570968214E-2</v>
      </c>
      <c r="V21" s="16">
        <v>1.7743169759124378E-2</v>
      </c>
      <c r="W21" s="56">
        <f t="shared" si="9"/>
        <v>2</v>
      </c>
      <c r="X21" s="56">
        <f t="shared" si="10"/>
        <v>4144.271170728638</v>
      </c>
      <c r="Y21" s="56">
        <f t="shared" si="10"/>
        <v>426.61057612674529</v>
      </c>
      <c r="AA21" s="56">
        <f t="shared" si="22"/>
        <v>0</v>
      </c>
      <c r="AB21" s="56">
        <v>0</v>
      </c>
      <c r="AC21" s="56">
        <f t="shared" si="11"/>
        <v>0</v>
      </c>
      <c r="AE21" s="56">
        <v>0</v>
      </c>
      <c r="AF21" s="56">
        <f t="shared" si="12"/>
        <v>0</v>
      </c>
      <c r="AG21" s="56">
        <f t="shared" si="13"/>
        <v>0</v>
      </c>
      <c r="AI21" s="56">
        <f t="shared" si="14"/>
        <v>0</v>
      </c>
      <c r="AJ21" s="56">
        <f t="shared" si="15"/>
        <v>0</v>
      </c>
      <c r="AK21" s="56">
        <f t="shared" si="16"/>
        <v>0</v>
      </c>
      <c r="AM21" s="56">
        <f t="shared" si="17"/>
        <v>454708</v>
      </c>
      <c r="AN21" s="56">
        <f t="shared" si="18"/>
        <v>43418</v>
      </c>
      <c r="AO21" s="56">
        <f t="shared" si="19"/>
        <v>68660</v>
      </c>
      <c r="AP21" s="56"/>
      <c r="AQ21" s="56">
        <f t="shared" si="20"/>
        <v>566786</v>
      </c>
      <c r="AR21" s="1"/>
      <c r="AS21" s="56">
        <v>1592.9730621088056</v>
      </c>
      <c r="AT21" s="56">
        <v>152.10575668481778</v>
      </c>
      <c r="AU21" s="56">
        <v>240.5357513929612</v>
      </c>
      <c r="AV21" s="56"/>
      <c r="AW21" s="56">
        <v>1985.6145701865846</v>
      </c>
      <c r="AX21" s="1"/>
      <c r="AY21" s="16">
        <v>9.7196542570968214E-2</v>
      </c>
      <c r="AZ21" s="16">
        <v>1.7743169759124378E-2</v>
      </c>
      <c r="BA21" s="16">
        <v>-8.5270797583550051E-2</v>
      </c>
      <c r="BB21" s="16">
        <f t="shared" si="21"/>
        <v>6.5089632662483687E-2</v>
      </c>
      <c r="BC21" s="16"/>
      <c r="BD21" s="1"/>
      <c r="BE21" s="16">
        <f>AM21/'2019-20 disagg'!AM21-1</f>
        <v>1.4601797556251794E-2</v>
      </c>
      <c r="BF21" s="16">
        <f>AN21/'2019-20 disagg'!AN21-1</f>
        <v>3.5463022584722559E-2</v>
      </c>
      <c r="BG21" s="16">
        <f>AO21/'2019-20 disagg'!AO21-1</f>
        <v>4.406800279796852E-2</v>
      </c>
      <c r="BH21" s="16">
        <f>AQ21/'2019-20 disagg'!AQ21-1</f>
        <v>1.9661531652925168E-2</v>
      </c>
      <c r="BI21" s="1"/>
      <c r="BJ21" s="16">
        <f>AS21/'2019-20 disagg'!AS21-1</f>
        <v>1.3666784583532765E-2</v>
      </c>
      <c r="BK21" s="16">
        <f>AT21/'2019-20 disagg'!AT21-1</f>
        <v>3.4508784812603777E-2</v>
      </c>
      <c r="BL21" s="16">
        <f>AU21/'2019-20 disagg'!AU21-1</f>
        <v>4.3105835049627839E-2</v>
      </c>
      <c r="BM21" s="16">
        <f>AW21/'2019-20 disagg'!AW21-1</f>
        <v>1.8721855848905733E-2</v>
      </c>
    </row>
    <row r="22" spans="1:65" x14ac:dyDescent="0.2">
      <c r="A22" s="156" t="s">
        <v>89</v>
      </c>
      <c r="B22" s="156" t="s">
        <v>90</v>
      </c>
      <c r="D22" s="56">
        <f>VLOOKUP(A22,'2020-21'!$A$12:$AMX230,32,FALSE)</f>
        <v>318286</v>
      </c>
      <c r="E22" s="56">
        <v>1841.540545158613</v>
      </c>
      <c r="F22" s="16">
        <f>VLOOKUP(A22,'2020-21'!$A$12:$AMX230,34,FALSE)</f>
        <v>3.7955694984787014E-2</v>
      </c>
      <c r="G22" s="16">
        <f>VLOOKUP(A22,'2020-21'!$A$12:$AMX230,35,FALSE)</f>
        <v>3.6119152614984218E-2</v>
      </c>
      <c r="H22" s="56"/>
      <c r="I22" s="56">
        <v>321661.24418001232</v>
      </c>
      <c r="J22" s="56">
        <v>1861.0690478489714</v>
      </c>
      <c r="K22" s="16">
        <f t="shared" si="6"/>
        <v>-1.0493163976333486E-2</v>
      </c>
      <c r="L22" s="58">
        <f t="shared" si="6"/>
        <v>-1.0493163976333708E-2</v>
      </c>
      <c r="M22" s="10"/>
      <c r="N22" s="56">
        <v>239810</v>
      </c>
      <c r="O22" s="56">
        <v>25611</v>
      </c>
      <c r="P22" s="56">
        <v>52865</v>
      </c>
      <c r="R22" s="56">
        <f t="shared" si="7"/>
        <v>52865</v>
      </c>
      <c r="S22" s="56">
        <f t="shared" si="8"/>
        <v>0</v>
      </c>
      <c r="U22" s="16">
        <v>-9.864776594403879E-3</v>
      </c>
      <c r="V22" s="16">
        <v>1.432669779019613E-2</v>
      </c>
      <c r="W22" s="56">
        <f t="shared" si="9"/>
        <v>1</v>
      </c>
      <c r="X22" s="56">
        <f t="shared" si="10"/>
        <v>2421.9924140782227</v>
      </c>
      <c r="Y22" s="56">
        <f t="shared" si="10"/>
        <v>252.49261461613813</v>
      </c>
      <c r="AA22" s="56">
        <f t="shared" si="22"/>
        <v>0</v>
      </c>
      <c r="AB22" s="56">
        <v>0</v>
      </c>
      <c r="AC22" s="56">
        <f t="shared" si="11"/>
        <v>0</v>
      </c>
      <c r="AE22" s="56">
        <v>0</v>
      </c>
      <c r="AF22" s="56">
        <f t="shared" si="12"/>
        <v>0</v>
      </c>
      <c r="AG22" s="56">
        <f t="shared" si="13"/>
        <v>0</v>
      </c>
      <c r="AI22" s="56">
        <f t="shared" si="14"/>
        <v>0</v>
      </c>
      <c r="AJ22" s="56">
        <f t="shared" si="15"/>
        <v>0</v>
      </c>
      <c r="AK22" s="56">
        <f t="shared" si="16"/>
        <v>0</v>
      </c>
      <c r="AM22" s="56">
        <f t="shared" si="17"/>
        <v>239810</v>
      </c>
      <c r="AN22" s="56">
        <f t="shared" si="18"/>
        <v>25611</v>
      </c>
      <c r="AO22" s="56">
        <f t="shared" si="19"/>
        <v>52865</v>
      </c>
      <c r="AP22" s="56"/>
      <c r="AQ22" s="56">
        <f t="shared" si="20"/>
        <v>318286</v>
      </c>
      <c r="AR22" s="1"/>
      <c r="AS22" s="56">
        <v>1387.4937576094676</v>
      </c>
      <c r="AT22" s="56">
        <v>148.18023696316283</v>
      </c>
      <c r="AU22" s="56">
        <v>305.86655058598268</v>
      </c>
      <c r="AV22" s="56"/>
      <c r="AW22" s="56">
        <v>1841.540545158613</v>
      </c>
      <c r="AX22" s="1"/>
      <c r="AY22" s="16">
        <v>-9.864776594403879E-3</v>
      </c>
      <c r="AZ22" s="16">
        <v>1.432669779019613E-2</v>
      </c>
      <c r="BA22" s="16">
        <v>-2.4860231709281311E-2</v>
      </c>
      <c r="BB22" s="16">
        <f t="shared" si="21"/>
        <v>-1.0493163976333486E-2</v>
      </c>
      <c r="BC22" s="16"/>
      <c r="BD22" s="1"/>
      <c r="BE22" s="16">
        <f>AM22/'2019-20 disagg'!AM22-1</f>
        <v>3.6599335186281889E-2</v>
      </c>
      <c r="BF22" s="16">
        <f>AN22/'2019-20 disagg'!AN22-1</f>
        <v>3.6337150487597558E-2</v>
      </c>
      <c r="BG22" s="16">
        <f>AO22/'2019-20 disagg'!AO22-1</f>
        <v>4.4948706291632945E-2</v>
      </c>
      <c r="BH22" s="16">
        <f>AQ22/'2019-20 disagg'!AQ22-1</f>
        <v>3.7955694984787014E-2</v>
      </c>
      <c r="BI22" s="1"/>
      <c r="BJ22" s="16">
        <f>AS22/'2019-20 disagg'!AS22-1</f>
        <v>3.4765192738027473E-2</v>
      </c>
      <c r="BK22" s="16">
        <f>AT22/'2019-20 disagg'!AT22-1</f>
        <v>3.4503471944797415E-2</v>
      </c>
      <c r="BL22" s="16">
        <f>AU22/'2019-20 disagg'!AU22-1</f>
        <v>4.3099790598364107E-2</v>
      </c>
      <c r="BM22" s="16">
        <f>AW22/'2019-20 disagg'!AW22-1</f>
        <v>3.6119152614984218E-2</v>
      </c>
    </row>
    <row r="23" spans="1:65" x14ac:dyDescent="0.2">
      <c r="A23" s="156" t="s">
        <v>91</v>
      </c>
      <c r="B23" s="156" t="s">
        <v>92</v>
      </c>
      <c r="D23" s="56">
        <f>VLOOKUP(A23,'2020-21'!$A$12:$AMX231,32,FALSE)</f>
        <v>365668</v>
      </c>
      <c r="E23" s="56">
        <v>2126.7363356312967</v>
      </c>
      <c r="F23" s="16">
        <f>VLOOKUP(A23,'2020-21'!$A$12:$AMX231,34,FALSE)</f>
        <v>3.76327304302424E-2</v>
      </c>
      <c r="G23" s="16">
        <f>VLOOKUP(A23,'2020-21'!$A$12:$AMX231,35,FALSE)</f>
        <v>3.7249521788522477E-2</v>
      </c>
      <c r="H23" s="56"/>
      <c r="I23" s="56">
        <v>370663.95353186456</v>
      </c>
      <c r="J23" s="56">
        <v>2155.7929550438294</v>
      </c>
      <c r="K23" s="16">
        <f t="shared" si="6"/>
        <v>-1.3478390559051423E-2</v>
      </c>
      <c r="L23" s="58">
        <f t="shared" si="6"/>
        <v>-1.3478390559051534E-2</v>
      </c>
      <c r="M23" s="10"/>
      <c r="N23" s="56">
        <v>276037</v>
      </c>
      <c r="O23" s="56">
        <v>27531</v>
      </c>
      <c r="P23" s="56">
        <v>62100</v>
      </c>
      <c r="R23" s="56">
        <f t="shared" si="7"/>
        <v>62100</v>
      </c>
      <c r="S23" s="56">
        <f t="shared" si="8"/>
        <v>0</v>
      </c>
      <c r="U23" s="16">
        <v>-2.3505123240292747E-2</v>
      </c>
      <c r="V23" s="16">
        <v>-4.7764907419433733E-2</v>
      </c>
      <c r="W23" s="56">
        <f t="shared" si="9"/>
        <v>4</v>
      </c>
      <c r="X23" s="56">
        <f t="shared" si="10"/>
        <v>2826.814626165482</v>
      </c>
      <c r="Y23" s="56">
        <f t="shared" si="10"/>
        <v>289.11977950099197</v>
      </c>
      <c r="AA23" s="56">
        <f t="shared" si="22"/>
        <v>0</v>
      </c>
      <c r="AB23" s="56">
        <v>0</v>
      </c>
      <c r="AC23" s="56">
        <f t="shared" si="11"/>
        <v>0</v>
      </c>
      <c r="AE23" s="56">
        <v>0</v>
      </c>
      <c r="AF23" s="56">
        <f t="shared" si="12"/>
        <v>0</v>
      </c>
      <c r="AG23" s="56">
        <f t="shared" si="13"/>
        <v>0</v>
      </c>
      <c r="AI23" s="56">
        <f t="shared" si="14"/>
        <v>0</v>
      </c>
      <c r="AJ23" s="56">
        <f t="shared" si="15"/>
        <v>0</v>
      </c>
      <c r="AK23" s="56">
        <f t="shared" si="16"/>
        <v>0</v>
      </c>
      <c r="AM23" s="56">
        <f t="shared" si="17"/>
        <v>276037</v>
      </c>
      <c r="AN23" s="56">
        <f t="shared" si="18"/>
        <v>27531</v>
      </c>
      <c r="AO23" s="56">
        <f t="shared" si="19"/>
        <v>62100</v>
      </c>
      <c r="AP23" s="56"/>
      <c r="AQ23" s="56">
        <f t="shared" si="20"/>
        <v>365668</v>
      </c>
      <c r="AR23" s="1"/>
      <c r="AS23" s="56">
        <v>1605.4396826592872</v>
      </c>
      <c r="AT23" s="56">
        <v>160.12114282973963</v>
      </c>
      <c r="AU23" s="56">
        <v>361.17551014226984</v>
      </c>
      <c r="AV23" s="56"/>
      <c r="AW23" s="56">
        <v>2126.7363356312967</v>
      </c>
      <c r="AX23" s="1"/>
      <c r="AY23" s="16">
        <v>-2.3505123240292747E-2</v>
      </c>
      <c r="AZ23" s="16">
        <v>-4.7764907419433733E-2</v>
      </c>
      <c r="BA23" s="16">
        <v>5.1285944250504034E-2</v>
      </c>
      <c r="BB23" s="16">
        <f t="shared" si="21"/>
        <v>-1.3478390559051423E-2</v>
      </c>
      <c r="BC23" s="16"/>
      <c r="BD23" s="1"/>
      <c r="BE23" s="16">
        <f>AM23/'2019-20 disagg'!AM23-1</f>
        <v>3.659905892425952E-2</v>
      </c>
      <c r="BF23" s="16">
        <f>AN23/'2019-20 disagg'!AN23-1</f>
        <v>3.4883283840168477E-2</v>
      </c>
      <c r="BG23" s="16">
        <f>AO23/'2019-20 disagg'!AO23-1</f>
        <v>4.3487027826320634E-2</v>
      </c>
      <c r="BH23" s="16">
        <f>AQ23/'2019-20 disagg'!AQ23-1</f>
        <v>3.76327304302424E-2</v>
      </c>
      <c r="BI23" s="1"/>
      <c r="BJ23" s="16">
        <f>AS23/'2019-20 disagg'!AS23-1</f>
        <v>3.6216232028259521E-2</v>
      </c>
      <c r="BK23" s="16">
        <f>AT23/'2019-20 disagg'!AT23-1</f>
        <v>3.4501090597888195E-2</v>
      </c>
      <c r="BL23" s="16">
        <f>AU23/'2019-20 disagg'!AU23-1</f>
        <v>4.3101657131219495E-2</v>
      </c>
      <c r="BM23" s="16">
        <f>AW23/'2019-20 disagg'!AW23-1</f>
        <v>3.7249521788522477E-2</v>
      </c>
    </row>
    <row r="24" spans="1:65" x14ac:dyDescent="0.2">
      <c r="A24" s="156" t="s">
        <v>93</v>
      </c>
      <c r="B24" s="156" t="s">
        <v>94</v>
      </c>
      <c r="D24" s="56">
        <f>VLOOKUP(A24,'2020-21'!$A$12:$AMX232,32,FALSE)</f>
        <v>573587.20252468495</v>
      </c>
      <c r="E24" s="56">
        <v>1846.9093475652819</v>
      </c>
      <c r="F24" s="16">
        <f>VLOOKUP(A24,'2020-21'!$A$12:$AMX232,34,FALSE)</f>
        <v>4.2374111844521778E-2</v>
      </c>
      <c r="G24" s="16">
        <f>VLOOKUP(A24,'2020-21'!$A$12:$AMX232,35,FALSE)</f>
        <v>3.6406842573067699E-2</v>
      </c>
      <c r="H24" s="56"/>
      <c r="I24" s="56">
        <v>585352.74317989277</v>
      </c>
      <c r="J24" s="56">
        <v>1884.7935383554827</v>
      </c>
      <c r="K24" s="16">
        <f t="shared" si="6"/>
        <v>-2.0099915465147111E-2</v>
      </c>
      <c r="L24" s="58">
        <f t="shared" si="6"/>
        <v>-2.0099915465147222E-2</v>
      </c>
      <c r="M24" s="10"/>
      <c r="N24" s="56">
        <v>430182</v>
      </c>
      <c r="O24" s="56">
        <v>44502</v>
      </c>
      <c r="P24" s="56">
        <v>97048</v>
      </c>
      <c r="R24" s="56">
        <f t="shared" si="7"/>
        <v>97048</v>
      </c>
      <c r="S24" s="56">
        <f t="shared" si="8"/>
        <v>1855.2025246849516</v>
      </c>
      <c r="U24" s="16">
        <v>-3.3677721132052363E-2</v>
      </c>
      <c r="V24" s="16">
        <v>-3.215905349390491E-2</v>
      </c>
      <c r="W24" s="56">
        <f t="shared" si="9"/>
        <v>4</v>
      </c>
      <c r="X24" s="56">
        <f t="shared" si="10"/>
        <v>4451.7446136496073</v>
      </c>
      <c r="Y24" s="56">
        <f t="shared" si="10"/>
        <v>459.80695651131703</v>
      </c>
      <c r="AA24" s="56">
        <f t="shared" si="22"/>
        <v>0</v>
      </c>
      <c r="AB24" s="56">
        <v>0</v>
      </c>
      <c r="AC24" s="56">
        <f t="shared" si="11"/>
        <v>1855.2025246849516</v>
      </c>
      <c r="AE24" s="56">
        <v>0</v>
      </c>
      <c r="AF24" s="56">
        <f t="shared" si="12"/>
        <v>0</v>
      </c>
      <c r="AG24" s="56">
        <f t="shared" si="13"/>
        <v>1855.2025246849516</v>
      </c>
      <c r="AI24" s="56">
        <f t="shared" si="14"/>
        <v>1681.5231864143468</v>
      </c>
      <c r="AJ24" s="56">
        <f t="shared" si="15"/>
        <v>173.67933827060475</v>
      </c>
      <c r="AK24" s="56">
        <f t="shared" si="16"/>
        <v>0</v>
      </c>
      <c r="AM24" s="56">
        <f t="shared" si="17"/>
        <v>431864</v>
      </c>
      <c r="AN24" s="56">
        <f t="shared" si="18"/>
        <v>44676</v>
      </c>
      <c r="AO24" s="56">
        <f t="shared" si="19"/>
        <v>97048</v>
      </c>
      <c r="AP24" s="56"/>
      <c r="AQ24" s="56">
        <f t="shared" si="20"/>
        <v>573588</v>
      </c>
      <c r="AR24" s="1"/>
      <c r="AS24" s="56">
        <v>1390.5708756509553</v>
      </c>
      <c r="AT24" s="56">
        <v>143.8534919339933</v>
      </c>
      <c r="AU24" s="56">
        <v>312.48754779322633</v>
      </c>
      <c r="AV24" s="56"/>
      <c r="AW24" s="56">
        <v>1846.9119153781749</v>
      </c>
      <c r="AX24" s="1"/>
      <c r="AY24" s="16">
        <v>-2.9899427123804889E-2</v>
      </c>
      <c r="AZ24" s="16">
        <v>-2.8374856723151654E-2</v>
      </c>
      <c r="BA24" s="16">
        <v>3.0259945634308671E-2</v>
      </c>
      <c r="BB24" s="16">
        <f t="shared" si="21"/>
        <v>-2.0098553080970527E-2</v>
      </c>
      <c r="BC24" s="16"/>
      <c r="BD24" s="1"/>
      <c r="BE24" s="16">
        <f>AM24/'2019-20 disagg'!AM24-1</f>
        <v>4.065369777321548E-2</v>
      </c>
      <c r="BF24" s="16">
        <f>AN24/'2019-20 disagg'!AN24-1</f>
        <v>4.4515103338632844E-2</v>
      </c>
      <c r="BG24" s="16">
        <f>AO24/'2019-20 disagg'!AO24-1</f>
        <v>4.9110858872493335E-2</v>
      </c>
      <c r="BH24" s="16">
        <f>AQ24/'2019-20 disagg'!AQ24-1</f>
        <v>4.237556108819307E-2</v>
      </c>
      <c r="BI24" s="1"/>
      <c r="BJ24" s="16">
        <f>AS24/'2019-20 disagg'!AS24-1</f>
        <v>3.4696277340009907E-2</v>
      </c>
      <c r="BK24" s="16">
        <f>AT24/'2019-20 disagg'!AT24-1</f>
        <v>3.8535577553314715E-2</v>
      </c>
      <c r="BL24" s="16">
        <f>AU24/'2019-20 disagg'!AU24-1</f>
        <v>4.3105023808707177E-2</v>
      </c>
      <c r="BM24" s="16">
        <f>AW24/'2019-20 disagg'!AW24-1</f>
        <v>3.6408283520267481E-2</v>
      </c>
    </row>
    <row r="25" spans="1:65" x14ac:dyDescent="0.2">
      <c r="A25" s="156" t="s">
        <v>95</v>
      </c>
      <c r="B25" s="156" t="s">
        <v>96</v>
      </c>
      <c r="D25" s="56">
        <f>VLOOKUP(A25,'2020-21'!$A$12:$AMX233,32,FALSE)</f>
        <v>372834.34349980438</v>
      </c>
      <c r="E25" s="56">
        <v>1817.5747336902739</v>
      </c>
      <c r="F25" s="16">
        <f>VLOOKUP(A25,'2020-21'!$A$12:$AMX233,34,FALSE)</f>
        <v>4.0596678937406372E-2</v>
      </c>
      <c r="G25" s="16">
        <f>VLOOKUP(A25,'2020-21'!$A$12:$AMX233,35,FALSE)</f>
        <v>3.4959787725987956E-2</v>
      </c>
      <c r="H25" s="56"/>
      <c r="I25" s="56">
        <v>380026.68145191279</v>
      </c>
      <c r="J25" s="56">
        <v>1852.6375222070212</v>
      </c>
      <c r="K25" s="16">
        <f t="shared" si="6"/>
        <v>-1.8925876269081154E-2</v>
      </c>
      <c r="L25" s="58">
        <f t="shared" si="6"/>
        <v>-1.8925876269081265E-2</v>
      </c>
      <c r="M25" s="10"/>
      <c r="N25" s="56">
        <v>271026</v>
      </c>
      <c r="O25" s="56">
        <v>28383</v>
      </c>
      <c r="P25" s="56">
        <v>72936</v>
      </c>
      <c r="R25" s="56">
        <f t="shared" si="7"/>
        <v>72936</v>
      </c>
      <c r="S25" s="56">
        <f t="shared" si="8"/>
        <v>489.34349980438128</v>
      </c>
      <c r="U25" s="16">
        <v>-4.3468487770516928E-2</v>
      </c>
      <c r="V25" s="16">
        <v>-2.0247454134325382E-2</v>
      </c>
      <c r="W25" s="56">
        <f t="shared" si="9"/>
        <v>4</v>
      </c>
      <c r="X25" s="56">
        <f t="shared" si="10"/>
        <v>2833.4246863262538</v>
      </c>
      <c r="Y25" s="56">
        <f t="shared" si="10"/>
        <v>289.69559834031139</v>
      </c>
      <c r="AA25" s="56">
        <f t="shared" si="22"/>
        <v>0</v>
      </c>
      <c r="AB25" s="56">
        <v>0</v>
      </c>
      <c r="AC25" s="56">
        <f t="shared" si="11"/>
        <v>489.34349980438128</v>
      </c>
      <c r="AE25" s="56">
        <v>0</v>
      </c>
      <c r="AF25" s="56">
        <f t="shared" si="12"/>
        <v>0</v>
      </c>
      <c r="AG25" s="56">
        <f t="shared" si="13"/>
        <v>489.34349980438128</v>
      </c>
      <c r="AI25" s="56">
        <f t="shared" si="14"/>
        <v>443.95278633562123</v>
      </c>
      <c r="AJ25" s="56">
        <f t="shared" si="15"/>
        <v>45.390713468760019</v>
      </c>
      <c r="AK25" s="56">
        <f t="shared" si="16"/>
        <v>0</v>
      </c>
      <c r="AM25" s="56">
        <f t="shared" si="17"/>
        <v>271470</v>
      </c>
      <c r="AN25" s="56">
        <f t="shared" si="18"/>
        <v>28428</v>
      </c>
      <c r="AO25" s="56">
        <f t="shared" si="19"/>
        <v>72936</v>
      </c>
      <c r="AP25" s="56"/>
      <c r="AQ25" s="56">
        <f t="shared" si="20"/>
        <v>372834</v>
      </c>
      <c r="AR25" s="1"/>
      <c r="AS25" s="56">
        <v>1323.4215719592301</v>
      </c>
      <c r="AT25" s="56">
        <v>138.58705730893652</v>
      </c>
      <c r="AU25" s="56">
        <v>355.56442985382699</v>
      </c>
      <c r="AV25" s="56"/>
      <c r="AW25" s="56">
        <v>1817.5730591219935</v>
      </c>
      <c r="AX25" s="1"/>
      <c r="AY25" s="16">
        <v>-4.1901479470833891E-2</v>
      </c>
      <c r="AZ25" s="16">
        <v>-1.8694099500778716E-2</v>
      </c>
      <c r="BA25" s="16">
        <v>7.7108081996382083E-2</v>
      </c>
      <c r="BB25" s="16">
        <f t="shared" si="21"/>
        <v>-1.892678015246918E-2</v>
      </c>
      <c r="BC25" s="16"/>
      <c r="BD25" s="1"/>
      <c r="BE25" s="16">
        <f>AM25/'2019-20 disagg'!AM25-1</f>
        <v>3.8296928366805982E-2</v>
      </c>
      <c r="BF25" s="16">
        <f>AN25/'2019-20 disagg'!AN25-1</f>
        <v>4.1776605101143449E-2</v>
      </c>
      <c r="BG25" s="16">
        <f>AO25/'2019-20 disagg'!AO25-1</f>
        <v>4.8774876337282835E-2</v>
      </c>
      <c r="BH25" s="16">
        <f>AQ25/'2019-20 disagg'!AQ25-1</f>
        <v>4.0595720214686937E-2</v>
      </c>
      <c r="BI25" s="1"/>
      <c r="BJ25" s="16">
        <f>AS25/'2019-20 disagg'!AS25-1</f>
        <v>3.2672494857821421E-2</v>
      </c>
      <c r="BK25" s="16">
        <f>AT25/'2019-20 disagg'!AT25-1</f>
        <v>3.6133322253506073E-2</v>
      </c>
      <c r="BL25" s="16">
        <f>AU25/'2019-20 disagg'!AU25-1</f>
        <v>4.3093683995578669E-2</v>
      </c>
      <c r="BM25" s="16">
        <f>AW25/'2019-20 disagg'!AW25-1</f>
        <v>3.4958834196650246E-2</v>
      </c>
    </row>
    <row r="26" spans="1:65" x14ac:dyDescent="0.2">
      <c r="A26" s="156" t="s">
        <v>97</v>
      </c>
      <c r="B26" s="156" t="s">
        <v>98</v>
      </c>
      <c r="D26" s="56">
        <f>VLOOKUP(A26,'2020-21'!$A$12:$AMX234,32,FALSE)</f>
        <v>431364</v>
      </c>
      <c r="E26" s="56">
        <v>1865.189157914112</v>
      </c>
      <c r="F26" s="16">
        <f>VLOOKUP(A26,'2020-21'!$A$12:$AMX234,34,FALSE)</f>
        <v>3.9759538553133744E-2</v>
      </c>
      <c r="G26" s="16">
        <f>VLOOKUP(A26,'2020-21'!$A$12:$AMX234,35,FALSE)</f>
        <v>3.5227460385691467E-2</v>
      </c>
      <c r="H26" s="56"/>
      <c r="I26" s="56">
        <v>437214.86000286997</v>
      </c>
      <c r="J26" s="56">
        <v>1890.4878862313253</v>
      </c>
      <c r="K26" s="16">
        <f t="shared" si="6"/>
        <v>-1.3382116067215954E-2</v>
      </c>
      <c r="L26" s="58">
        <f t="shared" si="6"/>
        <v>-1.3382116067215954E-2</v>
      </c>
      <c r="M26" s="10"/>
      <c r="N26" s="56">
        <v>280101</v>
      </c>
      <c r="O26" s="56">
        <v>34859</v>
      </c>
      <c r="P26" s="56">
        <v>116404</v>
      </c>
      <c r="R26" s="56">
        <f t="shared" si="7"/>
        <v>116404</v>
      </c>
      <c r="S26" s="56">
        <f t="shared" si="8"/>
        <v>0</v>
      </c>
      <c r="U26" s="16">
        <v>-4.3159898518200457E-2</v>
      </c>
      <c r="V26" s="16">
        <v>-4.869707932590972E-2</v>
      </c>
      <c r="W26" s="56">
        <f t="shared" si="9"/>
        <v>4</v>
      </c>
      <c r="X26" s="56">
        <f t="shared" si="10"/>
        <v>2927.3543151695335</v>
      </c>
      <c r="Y26" s="56">
        <f t="shared" si="10"/>
        <v>366.43427915998637</v>
      </c>
      <c r="AA26" s="56">
        <f t="shared" si="22"/>
        <v>0</v>
      </c>
      <c r="AB26" s="56">
        <v>0</v>
      </c>
      <c r="AC26" s="56">
        <f t="shared" si="11"/>
        <v>0</v>
      </c>
      <c r="AE26" s="56">
        <v>0</v>
      </c>
      <c r="AF26" s="56">
        <f t="shared" si="12"/>
        <v>0</v>
      </c>
      <c r="AG26" s="56">
        <f t="shared" si="13"/>
        <v>0</v>
      </c>
      <c r="AI26" s="56">
        <f t="shared" si="14"/>
        <v>0</v>
      </c>
      <c r="AJ26" s="56">
        <f t="shared" si="15"/>
        <v>0</v>
      </c>
      <c r="AK26" s="56">
        <f t="shared" si="16"/>
        <v>0</v>
      </c>
      <c r="AM26" s="56">
        <f t="shared" si="17"/>
        <v>280101</v>
      </c>
      <c r="AN26" s="56">
        <f t="shared" si="18"/>
        <v>34859</v>
      </c>
      <c r="AO26" s="56">
        <f t="shared" si="19"/>
        <v>116404</v>
      </c>
      <c r="AP26" s="56"/>
      <c r="AQ26" s="56">
        <f t="shared" si="20"/>
        <v>431364</v>
      </c>
      <c r="AR26" s="1"/>
      <c r="AS26" s="56">
        <v>1211.1380372977362</v>
      </c>
      <c r="AT26" s="56">
        <v>150.72799041117949</v>
      </c>
      <c r="AU26" s="56">
        <v>503.32313020519632</v>
      </c>
      <c r="AV26" s="56"/>
      <c r="AW26" s="56">
        <v>1865.189157914112</v>
      </c>
      <c r="AX26" s="1"/>
      <c r="AY26" s="16">
        <v>-4.3159898518200457E-2</v>
      </c>
      <c r="AZ26" s="16">
        <v>-4.869707932590972E-2</v>
      </c>
      <c r="BA26" s="16">
        <v>7.9453979976999545E-2</v>
      </c>
      <c r="BB26" s="16">
        <f t="shared" si="21"/>
        <v>-1.3382116067215954E-2</v>
      </c>
      <c r="BC26" s="16"/>
      <c r="BD26" s="1"/>
      <c r="BE26" s="16">
        <f>AM26/'2019-20 disagg'!AM26-1</f>
        <v>3.6601026605134424E-2</v>
      </c>
      <c r="BF26" s="16">
        <f>AN26/'2019-20 disagg'!AN26-1</f>
        <v>3.9016393442622865E-2</v>
      </c>
      <c r="BG26" s="16">
        <f>AO26/'2019-20 disagg'!AO26-1</f>
        <v>4.7665334629369616E-2</v>
      </c>
      <c r="BH26" s="16">
        <f>AQ26/'2019-20 disagg'!AQ26-1</f>
        <v>3.9759538553133744E-2</v>
      </c>
      <c r="BI26" s="1"/>
      <c r="BJ26" s="16">
        <f>AS26/'2019-20 disagg'!AS26-1</f>
        <v>3.2082715681473584E-2</v>
      </c>
      <c r="BK26" s="16">
        <f>AT26/'2019-20 disagg'!AT26-1</f>
        <v>3.4487554477713456E-2</v>
      </c>
      <c r="BL26" s="16">
        <f>AU26/'2019-20 disagg'!AU26-1</f>
        <v>4.3098796873469958E-2</v>
      </c>
      <c r="BM26" s="16">
        <f>AW26/'2019-20 disagg'!AW26-1</f>
        <v>3.5227460385691467E-2</v>
      </c>
    </row>
    <row r="27" spans="1:65" x14ac:dyDescent="0.2">
      <c r="A27" s="156" t="s">
        <v>99</v>
      </c>
      <c r="B27" s="156" t="s">
        <v>100</v>
      </c>
      <c r="D27" s="56">
        <f>VLOOKUP(A27,'2020-21'!$A$12:$AMX235,32,FALSE)</f>
        <v>334406</v>
      </c>
      <c r="E27" s="56">
        <v>1809.4622557564121</v>
      </c>
      <c r="F27" s="16">
        <f>VLOOKUP(A27,'2020-21'!$A$12:$AMX235,34,FALSE)</f>
        <v>3.8999049258359397E-2</v>
      </c>
      <c r="G27" s="16">
        <f>VLOOKUP(A27,'2020-21'!$A$12:$AMX235,35,FALSE)</f>
        <v>3.2665536916122395E-2</v>
      </c>
      <c r="H27" s="56"/>
      <c r="I27" s="56">
        <v>327698.20048949722</v>
      </c>
      <c r="J27" s="56">
        <v>1773.1665253166591</v>
      </c>
      <c r="K27" s="16">
        <f t="shared" si="6"/>
        <v>2.0469442616660727E-2</v>
      </c>
      <c r="L27" s="58">
        <f t="shared" si="6"/>
        <v>2.0469442616660727E-2</v>
      </c>
      <c r="M27" s="10"/>
      <c r="N27" s="56">
        <v>255844</v>
      </c>
      <c r="O27" s="56">
        <v>23534</v>
      </c>
      <c r="P27" s="56">
        <v>55028</v>
      </c>
      <c r="R27" s="56">
        <f t="shared" si="7"/>
        <v>55028</v>
      </c>
      <c r="S27" s="56">
        <f t="shared" si="8"/>
        <v>0</v>
      </c>
      <c r="U27" s="16">
        <v>2.7535655358082334E-2</v>
      </c>
      <c r="V27" s="16">
        <v>-4.8176569841075212E-2</v>
      </c>
      <c r="W27" s="56">
        <f t="shared" si="9"/>
        <v>3</v>
      </c>
      <c r="X27" s="56">
        <f t="shared" si="10"/>
        <v>2489.8795352346369</v>
      </c>
      <c r="Y27" s="56">
        <f t="shared" si="10"/>
        <v>247.25174075690234</v>
      </c>
      <c r="AA27" s="56">
        <f t="shared" si="22"/>
        <v>0</v>
      </c>
      <c r="AB27" s="56">
        <v>0</v>
      </c>
      <c r="AC27" s="56">
        <f t="shared" si="11"/>
        <v>0</v>
      </c>
      <c r="AE27" s="56">
        <v>0</v>
      </c>
      <c r="AF27" s="56">
        <f t="shared" si="12"/>
        <v>0</v>
      </c>
      <c r="AG27" s="56">
        <f t="shared" si="13"/>
        <v>0</v>
      </c>
      <c r="AI27" s="56">
        <f t="shared" si="14"/>
        <v>0</v>
      </c>
      <c r="AJ27" s="56">
        <f t="shared" si="15"/>
        <v>0</v>
      </c>
      <c r="AK27" s="56">
        <f t="shared" si="16"/>
        <v>0</v>
      </c>
      <c r="AM27" s="56">
        <f t="shared" si="17"/>
        <v>255844</v>
      </c>
      <c r="AN27" s="56">
        <f t="shared" si="18"/>
        <v>23534</v>
      </c>
      <c r="AO27" s="56">
        <f t="shared" si="19"/>
        <v>55028</v>
      </c>
      <c r="AP27" s="56"/>
      <c r="AQ27" s="56">
        <f t="shared" si="20"/>
        <v>334406</v>
      </c>
      <c r="AR27" s="1"/>
      <c r="AS27" s="56">
        <v>1384.3652965608976</v>
      </c>
      <c r="AT27" s="56">
        <v>127.34186804953082</v>
      </c>
      <c r="AU27" s="56">
        <v>297.75509114598378</v>
      </c>
      <c r="AV27" s="56"/>
      <c r="AW27" s="56">
        <v>1809.4622557564121</v>
      </c>
      <c r="AX27" s="1"/>
      <c r="AY27" s="16">
        <v>2.7535655358082334E-2</v>
      </c>
      <c r="AZ27" s="16">
        <v>-4.8176569841075212E-2</v>
      </c>
      <c r="BA27" s="16">
        <v>1.9318805251501647E-2</v>
      </c>
      <c r="BB27" s="16">
        <f t="shared" si="21"/>
        <v>2.0469442616660727E-2</v>
      </c>
      <c r="BC27" s="16"/>
      <c r="BD27" s="1"/>
      <c r="BE27" s="16">
        <f>AM27/'2019-20 disagg'!AM27-1</f>
        <v>3.6598854994307484E-2</v>
      </c>
      <c r="BF27" s="16">
        <f>AN27/'2019-20 disagg'!AN27-1</f>
        <v>4.0866873065015463E-2</v>
      </c>
      <c r="BG27" s="16">
        <f>AO27/'2019-20 disagg'!AO27-1</f>
        <v>4.9491732305990466E-2</v>
      </c>
      <c r="BH27" s="16">
        <f>AQ27/'2019-20 disagg'!AQ27-1</f>
        <v>3.8999049258359397E-2</v>
      </c>
      <c r="BI27" s="1"/>
      <c r="BJ27" s="16">
        <f>AS27/'2019-20 disagg'!AS27-1</f>
        <v>3.027997371453961E-2</v>
      </c>
      <c r="BK27" s="16">
        <f>AT27/'2019-20 disagg'!AT27-1</f>
        <v>3.4521974874888617E-2</v>
      </c>
      <c r="BL27" s="16">
        <f>AU27/'2019-20 disagg'!AU27-1</f>
        <v>4.309425884883944E-2</v>
      </c>
      <c r="BM27" s="16">
        <f>AW27/'2019-20 disagg'!AW27-1</f>
        <v>3.2665536916122395E-2</v>
      </c>
    </row>
    <row r="28" spans="1:65" x14ac:dyDescent="0.2">
      <c r="A28" s="156" t="s">
        <v>101</v>
      </c>
      <c r="B28" s="156" t="s">
        <v>102</v>
      </c>
      <c r="D28" s="56">
        <f>VLOOKUP(A28,'2020-21'!$A$12:$AMX236,32,FALSE)</f>
        <v>1009827</v>
      </c>
      <c r="E28" s="56">
        <v>1935.0584415606847</v>
      </c>
      <c r="F28" s="16">
        <f>VLOOKUP(A28,'2020-21'!$A$12:$AMX236,34,FALSE)</f>
        <v>3.7117715567441589E-2</v>
      </c>
      <c r="G28" s="16">
        <f>VLOOKUP(A28,'2020-21'!$A$12:$AMX236,35,FALSE)</f>
        <v>3.688084792457258E-2</v>
      </c>
      <c r="H28" s="56"/>
      <c r="I28" s="56">
        <v>969109.60896489362</v>
      </c>
      <c r="J28" s="56">
        <v>1857.0346501183783</v>
      </c>
      <c r="K28" s="16">
        <f t="shared" si="6"/>
        <v>4.2015258809162681E-2</v>
      </c>
      <c r="L28" s="58">
        <f t="shared" si="6"/>
        <v>4.2015258809162681E-2</v>
      </c>
      <c r="M28" s="10"/>
      <c r="N28" s="56">
        <v>791703</v>
      </c>
      <c r="O28" s="56">
        <v>77757</v>
      </c>
      <c r="P28" s="56">
        <v>140367</v>
      </c>
      <c r="R28" s="56">
        <f t="shared" si="7"/>
        <v>140367</v>
      </c>
      <c r="S28" s="56">
        <f t="shared" si="8"/>
        <v>0</v>
      </c>
      <c r="U28" s="16">
        <v>4.2971516074765903E-2</v>
      </c>
      <c r="V28" s="16">
        <v>4.7163890054379598E-2</v>
      </c>
      <c r="W28" s="56">
        <f t="shared" si="9"/>
        <v>2</v>
      </c>
      <c r="X28" s="56">
        <f t="shared" si="10"/>
        <v>7590.8400929258587</v>
      </c>
      <c r="Y28" s="56">
        <f t="shared" si="10"/>
        <v>742.54852309662863</v>
      </c>
      <c r="AA28" s="56">
        <f t="shared" si="22"/>
        <v>0</v>
      </c>
      <c r="AB28" s="56">
        <v>0</v>
      </c>
      <c r="AC28" s="56">
        <f t="shared" si="11"/>
        <v>0</v>
      </c>
      <c r="AE28" s="56">
        <v>0</v>
      </c>
      <c r="AF28" s="56">
        <f t="shared" si="12"/>
        <v>0</v>
      </c>
      <c r="AG28" s="56">
        <f t="shared" si="13"/>
        <v>0</v>
      </c>
      <c r="AI28" s="56">
        <f t="shared" si="14"/>
        <v>0</v>
      </c>
      <c r="AJ28" s="56">
        <f t="shared" si="15"/>
        <v>0</v>
      </c>
      <c r="AK28" s="56">
        <f t="shared" si="16"/>
        <v>0</v>
      </c>
      <c r="AM28" s="56">
        <f t="shared" si="17"/>
        <v>791703</v>
      </c>
      <c r="AN28" s="56">
        <f t="shared" si="18"/>
        <v>77757</v>
      </c>
      <c r="AO28" s="56">
        <f t="shared" si="19"/>
        <v>140367</v>
      </c>
      <c r="AP28" s="56"/>
      <c r="AQ28" s="56">
        <f t="shared" si="20"/>
        <v>1009827</v>
      </c>
      <c r="AR28" s="1"/>
      <c r="AS28" s="56">
        <v>1517.0831967841214</v>
      </c>
      <c r="AT28" s="56">
        <v>149.00011510925552</v>
      </c>
      <c r="AU28" s="56">
        <v>268.97512966730801</v>
      </c>
      <c r="AV28" s="56"/>
      <c r="AW28" s="56">
        <v>1935.0584415606847</v>
      </c>
      <c r="AX28" s="1"/>
      <c r="AY28" s="16">
        <v>4.2971516074765903E-2</v>
      </c>
      <c r="AZ28" s="16">
        <v>4.7163890054379598E-2</v>
      </c>
      <c r="BA28" s="16">
        <v>3.3853040707498838E-2</v>
      </c>
      <c r="BB28" s="16">
        <f t="shared" si="21"/>
        <v>4.2015258809162681E-2</v>
      </c>
      <c r="BC28" s="16"/>
      <c r="BD28" s="1"/>
      <c r="BE28" s="16">
        <f>AM28/'2019-20 disagg'!AM28-1</f>
        <v>3.6601029919515415E-2</v>
      </c>
      <c r="BF28" s="16">
        <f>AN28/'2019-20 disagg'!AN28-1</f>
        <v>3.1246269943369542E-2</v>
      </c>
      <c r="BG28" s="16">
        <f>AO28/'2019-20 disagg'!AO28-1</f>
        <v>4.3341559136587993E-2</v>
      </c>
      <c r="BH28" s="16">
        <f>AQ28/'2019-20 disagg'!AQ28-1</f>
        <v>3.7117715567441589E-2</v>
      </c>
      <c r="BI28" s="1"/>
      <c r="BJ28" s="16">
        <f>AS28/'2019-20 disagg'!AS28-1</f>
        <v>3.6364280282644934E-2</v>
      </c>
      <c r="BK28" s="16">
        <f>AT28/'2019-20 disagg'!AT28-1</f>
        <v>3.1010743281822517E-2</v>
      </c>
      <c r="BL28" s="16">
        <f>AU28/'2019-20 disagg'!AU28-1</f>
        <v>4.3103270028119089E-2</v>
      </c>
      <c r="BM28" s="16">
        <f>AW28/'2019-20 disagg'!AW28-1</f>
        <v>3.688084792457258E-2</v>
      </c>
    </row>
    <row r="29" spans="1:65" x14ac:dyDescent="0.2">
      <c r="A29" s="156" t="s">
        <v>103</v>
      </c>
      <c r="B29" s="156" t="s">
        <v>104</v>
      </c>
      <c r="D29" s="56">
        <f>VLOOKUP(A29,'2020-21'!$A$12:$AMX237,32,FALSE)</f>
        <v>751139</v>
      </c>
      <c r="E29" s="56">
        <v>1985.3152713157235</v>
      </c>
      <c r="F29" s="16">
        <f>VLOOKUP(A29,'2020-21'!$A$12:$AMX237,34,FALSE)</f>
        <v>3.6661491218990427E-2</v>
      </c>
      <c r="G29" s="16">
        <f>VLOOKUP(A29,'2020-21'!$A$12:$AMX237,35,FALSE)</f>
        <v>3.4374798366881176E-2</v>
      </c>
      <c r="H29" s="56"/>
      <c r="I29" s="56">
        <v>726608.87145081465</v>
      </c>
      <c r="J29" s="56">
        <v>1920.4803488632406</v>
      </c>
      <c r="K29" s="16">
        <f t="shared" si="6"/>
        <v>3.3759742707526019E-2</v>
      </c>
      <c r="L29" s="58">
        <f t="shared" si="6"/>
        <v>3.3759742707526019E-2</v>
      </c>
      <c r="M29" s="10"/>
      <c r="N29" s="56">
        <v>579157</v>
      </c>
      <c r="O29" s="56">
        <v>53776</v>
      </c>
      <c r="P29" s="56">
        <v>118206</v>
      </c>
      <c r="R29" s="56">
        <f t="shared" si="7"/>
        <v>118206</v>
      </c>
      <c r="S29" s="56">
        <f t="shared" si="8"/>
        <v>0</v>
      </c>
      <c r="U29" s="16">
        <v>5.0099487396715991E-2</v>
      </c>
      <c r="V29" s="16">
        <v>-1.5102581136280602E-2</v>
      </c>
      <c r="W29" s="56">
        <f t="shared" si="9"/>
        <v>3</v>
      </c>
      <c r="X29" s="56">
        <f t="shared" si="10"/>
        <v>5515.2583821917524</v>
      </c>
      <c r="Y29" s="56">
        <f t="shared" si="10"/>
        <v>546.00610144802306</v>
      </c>
      <c r="AA29" s="56">
        <f t="shared" si="22"/>
        <v>0</v>
      </c>
      <c r="AB29" s="56">
        <v>0</v>
      </c>
      <c r="AC29" s="56">
        <f t="shared" si="11"/>
        <v>0</v>
      </c>
      <c r="AE29" s="56">
        <v>0</v>
      </c>
      <c r="AF29" s="56">
        <f t="shared" si="12"/>
        <v>0</v>
      </c>
      <c r="AG29" s="56">
        <f t="shared" si="13"/>
        <v>0</v>
      </c>
      <c r="AI29" s="56">
        <f t="shared" si="14"/>
        <v>0</v>
      </c>
      <c r="AJ29" s="56">
        <f t="shared" si="15"/>
        <v>0</v>
      </c>
      <c r="AK29" s="56">
        <f t="shared" si="16"/>
        <v>0</v>
      </c>
      <c r="AM29" s="56">
        <f t="shared" si="17"/>
        <v>579157</v>
      </c>
      <c r="AN29" s="56">
        <f t="shared" si="18"/>
        <v>53776</v>
      </c>
      <c r="AO29" s="56">
        <f t="shared" si="19"/>
        <v>118206</v>
      </c>
      <c r="AP29" s="56"/>
      <c r="AQ29" s="56">
        <f t="shared" si="20"/>
        <v>751139</v>
      </c>
      <c r="AR29" s="1"/>
      <c r="AS29" s="56">
        <v>1530.7542766244337</v>
      </c>
      <c r="AT29" s="56">
        <v>142.13389802722844</v>
      </c>
      <c r="AU29" s="56">
        <v>312.42709666406137</v>
      </c>
      <c r="AV29" s="56"/>
      <c r="AW29" s="56">
        <v>1985.3152713157235</v>
      </c>
      <c r="AX29" s="1"/>
      <c r="AY29" s="16">
        <v>5.0099487396715991E-2</v>
      </c>
      <c r="AZ29" s="16">
        <v>-1.5102581136280602E-2</v>
      </c>
      <c r="BA29" s="16">
        <v>-1.8894233934823812E-2</v>
      </c>
      <c r="BB29" s="16">
        <f t="shared" si="21"/>
        <v>3.3759742707526019E-2</v>
      </c>
      <c r="BC29" s="16"/>
      <c r="BD29" s="1"/>
      <c r="BE29" s="16">
        <f>AM29/'2019-20 disagg'!AM29-1</f>
        <v>3.4883450820624162E-2</v>
      </c>
      <c r="BF29" s="16">
        <f>AN29/'2019-20 disagg'!AN29-1</f>
        <v>3.6785686743271429E-2</v>
      </c>
      <c r="BG29" s="16">
        <f>AO29/'2019-20 disagg'!AO29-1</f>
        <v>4.5404697891608947E-2</v>
      </c>
      <c r="BH29" s="16">
        <f>AQ29/'2019-20 disagg'!AQ29-1</f>
        <v>3.6661491218990427E-2</v>
      </c>
      <c r="BI29" s="1"/>
      <c r="BJ29" s="16">
        <f>AS29/'2019-20 disagg'!AS29-1</f>
        <v>3.2600680012792704E-2</v>
      </c>
      <c r="BK29" s="16">
        <f>AT29/'2019-20 disagg'!AT29-1</f>
        <v>3.4498719937687383E-2</v>
      </c>
      <c r="BL29" s="16">
        <f>AU29/'2019-20 disagg'!AU29-1</f>
        <v>4.3098719063920932E-2</v>
      </c>
      <c r="BM29" s="16">
        <f>AW29/'2019-20 disagg'!AW29-1</f>
        <v>3.4374798366881176E-2</v>
      </c>
    </row>
    <row r="30" spans="1:65" x14ac:dyDescent="0.2">
      <c r="A30" s="156" t="s">
        <v>105</v>
      </c>
      <c r="B30" s="156" t="s">
        <v>106</v>
      </c>
      <c r="D30" s="56">
        <f>VLOOKUP(A30,'2020-21'!$A$12:$AMX238,32,FALSE)</f>
        <v>367605</v>
      </c>
      <c r="E30" s="56">
        <v>1740.9464614291887</v>
      </c>
      <c r="F30" s="16">
        <f>VLOOKUP(A30,'2020-21'!$A$12:$AMX238,34,FALSE)</f>
        <v>3.9054461994188605E-2</v>
      </c>
      <c r="G30" s="16">
        <f>VLOOKUP(A30,'2020-21'!$A$12:$AMX238,35,FALSE)</f>
        <v>3.3826666913428172E-2</v>
      </c>
      <c r="H30" s="56"/>
      <c r="I30" s="56">
        <v>365787.69717694505</v>
      </c>
      <c r="J30" s="56">
        <v>1732.3398676147879</v>
      </c>
      <c r="K30" s="16">
        <f t="shared" si="6"/>
        <v>4.9681901197893286E-3</v>
      </c>
      <c r="L30" s="58">
        <f t="shared" si="6"/>
        <v>4.9681901197893286E-3</v>
      </c>
      <c r="M30" s="10"/>
      <c r="N30" s="56">
        <v>269519</v>
      </c>
      <c r="O30" s="56">
        <v>28344</v>
      </c>
      <c r="P30" s="56">
        <v>69742</v>
      </c>
      <c r="R30" s="56">
        <f t="shared" si="7"/>
        <v>69742</v>
      </c>
      <c r="S30" s="56">
        <f t="shared" si="8"/>
        <v>0</v>
      </c>
      <c r="U30" s="16">
        <v>-3.1437464432980233E-2</v>
      </c>
      <c r="V30" s="16">
        <v>4.0798451840970973E-3</v>
      </c>
      <c r="W30" s="56">
        <f t="shared" si="9"/>
        <v>1</v>
      </c>
      <c r="X30" s="56">
        <f t="shared" si="10"/>
        <v>2782.67009204746</v>
      </c>
      <c r="Y30" s="56">
        <f t="shared" si="10"/>
        <v>282.28830740849253</v>
      </c>
      <c r="AA30" s="56">
        <f t="shared" si="22"/>
        <v>0</v>
      </c>
      <c r="AB30" s="56">
        <v>0</v>
      </c>
      <c r="AC30" s="56">
        <f t="shared" si="11"/>
        <v>0</v>
      </c>
      <c r="AE30" s="56">
        <v>0</v>
      </c>
      <c r="AF30" s="56">
        <f t="shared" si="12"/>
        <v>0</v>
      </c>
      <c r="AG30" s="56">
        <f t="shared" si="13"/>
        <v>0</v>
      </c>
      <c r="AI30" s="56">
        <f t="shared" si="14"/>
        <v>0</v>
      </c>
      <c r="AJ30" s="56">
        <f t="shared" si="15"/>
        <v>0</v>
      </c>
      <c r="AK30" s="56">
        <f t="shared" si="16"/>
        <v>0</v>
      </c>
      <c r="AM30" s="56">
        <f t="shared" si="17"/>
        <v>269519</v>
      </c>
      <c r="AN30" s="56">
        <f t="shared" si="18"/>
        <v>28344</v>
      </c>
      <c r="AO30" s="56">
        <f t="shared" si="19"/>
        <v>69742</v>
      </c>
      <c r="AP30" s="56"/>
      <c r="AQ30" s="56">
        <f t="shared" si="20"/>
        <v>367605</v>
      </c>
      <c r="AR30" s="1"/>
      <c r="AS30" s="56">
        <v>1276.4193885772324</v>
      </c>
      <c r="AT30" s="56">
        <v>134.23480774948362</v>
      </c>
      <c r="AU30" s="56">
        <v>330.2922651024727</v>
      </c>
      <c r="AV30" s="56"/>
      <c r="AW30" s="56">
        <v>1740.9464614291887</v>
      </c>
      <c r="AX30" s="1"/>
      <c r="AY30" s="16">
        <v>-3.1437464432980233E-2</v>
      </c>
      <c r="AZ30" s="16">
        <v>4.0798451840970973E-3</v>
      </c>
      <c r="BA30" s="16">
        <v>0.17624920615785356</v>
      </c>
      <c r="BB30" s="16">
        <f t="shared" si="21"/>
        <v>4.9681901197893286E-3</v>
      </c>
      <c r="BC30" s="16"/>
      <c r="BD30" s="1"/>
      <c r="BE30" s="16">
        <f>AM30/'2019-20 disagg'!AM30-1</f>
        <v>3.6599577697180363E-2</v>
      </c>
      <c r="BF30" s="16">
        <f>AN30/'2019-20 disagg'!AN30-1</f>
        <v>3.9727082645537592E-2</v>
      </c>
      <c r="BG30" s="16">
        <f>AO30/'2019-20 disagg'!AO30-1</f>
        <v>4.8373519331369019E-2</v>
      </c>
      <c r="BH30" s="16">
        <f>AQ30/'2019-20 disagg'!AQ30-1</f>
        <v>3.9054461994188605E-2</v>
      </c>
      <c r="BI30" s="1"/>
      <c r="BJ30" s="16">
        <f>AS30/'2019-20 disagg'!AS30-1</f>
        <v>3.1384133876648512E-2</v>
      </c>
      <c r="BK30" s="16">
        <f>AT30/'2019-20 disagg'!AT30-1</f>
        <v>3.4495903408257034E-2</v>
      </c>
      <c r="BL30" s="16">
        <f>AU30/'2019-20 disagg'!AU30-1</f>
        <v>4.3098837274144319E-2</v>
      </c>
      <c r="BM30" s="16">
        <f>AW30/'2019-20 disagg'!AW30-1</f>
        <v>3.3826666913428172E-2</v>
      </c>
    </row>
    <row r="31" spans="1:65" x14ac:dyDescent="0.2">
      <c r="A31" s="156" t="s">
        <v>107</v>
      </c>
      <c r="B31" s="156" t="s">
        <v>108</v>
      </c>
      <c r="D31" s="56">
        <f>VLOOKUP(A31,'2020-21'!$A$12:$AMX239,32,FALSE)</f>
        <v>305478</v>
      </c>
      <c r="E31" s="56">
        <v>1987.3789588651262</v>
      </c>
      <c r="F31" s="16">
        <f>VLOOKUP(A31,'2020-21'!$A$12:$AMX239,34,FALSE)</f>
        <v>3.8373290639690749E-2</v>
      </c>
      <c r="G31" s="16">
        <f>VLOOKUP(A31,'2020-21'!$A$12:$AMX239,35,FALSE)</f>
        <v>3.425874694148745E-2</v>
      </c>
      <c r="H31" s="56"/>
      <c r="I31" s="56">
        <v>295498.03902015393</v>
      </c>
      <c r="J31" s="56">
        <v>1922.4513226306312</v>
      </c>
      <c r="K31" s="16">
        <f t="shared" si="6"/>
        <v>3.3773357728324571E-2</v>
      </c>
      <c r="L31" s="58">
        <f t="shared" si="6"/>
        <v>3.3773357728324571E-2</v>
      </c>
      <c r="M31" s="10"/>
      <c r="N31" s="56">
        <v>235477</v>
      </c>
      <c r="O31" s="56">
        <v>23084</v>
      </c>
      <c r="P31" s="56">
        <v>46917</v>
      </c>
      <c r="R31" s="56">
        <f t="shared" si="7"/>
        <v>46917</v>
      </c>
      <c r="S31" s="56">
        <f t="shared" si="8"/>
        <v>0</v>
      </c>
      <c r="U31" s="16">
        <v>2.2099903594434478E-2</v>
      </c>
      <c r="V31" s="16">
        <v>3.7380441080992366E-2</v>
      </c>
      <c r="W31" s="56">
        <f t="shared" si="9"/>
        <v>2</v>
      </c>
      <c r="X31" s="56">
        <f t="shared" si="10"/>
        <v>2303.8550260292013</v>
      </c>
      <c r="Y31" s="56">
        <f t="shared" si="10"/>
        <v>222.52202842715579</v>
      </c>
      <c r="AA31" s="56">
        <f t="shared" si="22"/>
        <v>0</v>
      </c>
      <c r="AB31" s="56">
        <v>0</v>
      </c>
      <c r="AC31" s="56">
        <f t="shared" si="11"/>
        <v>0</v>
      </c>
      <c r="AE31" s="56">
        <v>0</v>
      </c>
      <c r="AF31" s="56">
        <f t="shared" si="12"/>
        <v>0</v>
      </c>
      <c r="AG31" s="56">
        <f t="shared" si="13"/>
        <v>0</v>
      </c>
      <c r="AI31" s="56">
        <f t="shared" si="14"/>
        <v>0</v>
      </c>
      <c r="AJ31" s="56">
        <f t="shared" si="15"/>
        <v>0</v>
      </c>
      <c r="AK31" s="56">
        <f t="shared" si="16"/>
        <v>0</v>
      </c>
      <c r="AM31" s="56">
        <f t="shared" si="17"/>
        <v>235477</v>
      </c>
      <c r="AN31" s="56">
        <f t="shared" si="18"/>
        <v>23084</v>
      </c>
      <c r="AO31" s="56">
        <f t="shared" si="19"/>
        <v>46917</v>
      </c>
      <c r="AP31" s="56"/>
      <c r="AQ31" s="56">
        <f t="shared" si="20"/>
        <v>305478</v>
      </c>
      <c r="AR31" s="1"/>
      <c r="AS31" s="56">
        <v>1531.9664103362052</v>
      </c>
      <c r="AT31" s="56">
        <v>150.17990129057597</v>
      </c>
      <c r="AU31" s="56">
        <v>305.2326472383449</v>
      </c>
      <c r="AV31" s="56"/>
      <c r="AW31" s="56">
        <v>1987.3789588651262</v>
      </c>
      <c r="AX31" s="1"/>
      <c r="AY31" s="16">
        <v>2.2099903594434478E-2</v>
      </c>
      <c r="AZ31" s="16">
        <v>3.7380441080992366E-2</v>
      </c>
      <c r="BA31" s="16">
        <v>9.464850334001107E-2</v>
      </c>
      <c r="BB31" s="16">
        <f t="shared" si="21"/>
        <v>3.3773357728324571E-2</v>
      </c>
      <c r="BC31" s="16"/>
      <c r="BD31" s="1"/>
      <c r="BE31" s="16">
        <f>AM31/'2019-20 disagg'!AM31-1</f>
        <v>3.6599270127617656E-2</v>
      </c>
      <c r="BF31" s="16">
        <f>AN31/'2019-20 disagg'!AN31-1</f>
        <v>3.860343741563943E-2</v>
      </c>
      <c r="BG31" s="16">
        <f>AO31/'2019-20 disagg'!AO31-1</f>
        <v>4.7254464285714226E-2</v>
      </c>
      <c r="BH31" s="16">
        <f>AQ31/'2019-20 disagg'!AQ31-1</f>
        <v>3.8373290639690749E-2</v>
      </c>
      <c r="BI31" s="1"/>
      <c r="BJ31" s="16">
        <f>AS31/'2019-20 disagg'!AS31-1</f>
        <v>3.2491755967812841E-2</v>
      </c>
      <c r="BK31" s="16">
        <f>AT31/'2019-20 disagg'!AT31-1</f>
        <v>3.4487981763155817E-2</v>
      </c>
      <c r="BL31" s="16">
        <f>AU31/'2019-20 disagg'!AU31-1</f>
        <v>4.3104729026453681E-2</v>
      </c>
      <c r="BM31" s="16">
        <f>AW31/'2019-20 disagg'!AW31-1</f>
        <v>3.425874694148745E-2</v>
      </c>
    </row>
    <row r="32" spans="1:65" x14ac:dyDescent="0.2">
      <c r="A32" s="156" t="s">
        <v>109</v>
      </c>
      <c r="B32" s="156" t="s">
        <v>110</v>
      </c>
      <c r="D32" s="56">
        <f>VLOOKUP(A32,'2020-21'!$A$12:$AMX240,32,FALSE)</f>
        <v>385841</v>
      </c>
      <c r="E32" s="56">
        <v>1810.6029118273236</v>
      </c>
      <c r="F32" s="16">
        <f>VLOOKUP(A32,'2020-21'!$A$12:$AMX240,34,FALSE)</f>
        <v>3.8002232893480148E-2</v>
      </c>
      <c r="G32" s="16">
        <f>VLOOKUP(A32,'2020-21'!$A$12:$AMX240,35,FALSE)</f>
        <v>3.6104432302398237E-2</v>
      </c>
      <c r="H32" s="56"/>
      <c r="I32" s="56">
        <v>384939.89363158291</v>
      </c>
      <c r="J32" s="56">
        <v>1806.3743673892725</v>
      </c>
      <c r="K32" s="16">
        <f t="shared" si="6"/>
        <v>2.3409014844264497E-3</v>
      </c>
      <c r="L32" s="58">
        <f t="shared" si="6"/>
        <v>2.3409014844262277E-3</v>
      </c>
      <c r="M32" s="10"/>
      <c r="N32" s="56">
        <v>290942</v>
      </c>
      <c r="O32" s="56">
        <v>29522</v>
      </c>
      <c r="P32" s="56">
        <v>65377</v>
      </c>
      <c r="R32" s="56">
        <f t="shared" si="7"/>
        <v>65377</v>
      </c>
      <c r="S32" s="56">
        <f t="shared" si="8"/>
        <v>0</v>
      </c>
      <c r="U32" s="16">
        <v>6.350113862072071E-3</v>
      </c>
      <c r="V32" s="16">
        <v>-4.8485615275161376E-2</v>
      </c>
      <c r="W32" s="56">
        <f t="shared" si="9"/>
        <v>3</v>
      </c>
      <c r="X32" s="56">
        <f t="shared" si="10"/>
        <v>2891.0614307326032</v>
      </c>
      <c r="Y32" s="56">
        <f t="shared" si="10"/>
        <v>310.26330735438381</v>
      </c>
      <c r="AA32" s="56">
        <f t="shared" si="22"/>
        <v>0</v>
      </c>
      <c r="AB32" s="56">
        <v>0</v>
      </c>
      <c r="AC32" s="56">
        <f t="shared" si="11"/>
        <v>0</v>
      </c>
      <c r="AE32" s="56">
        <v>0</v>
      </c>
      <c r="AF32" s="56">
        <f t="shared" si="12"/>
        <v>0</v>
      </c>
      <c r="AG32" s="56">
        <f t="shared" si="13"/>
        <v>0</v>
      </c>
      <c r="AI32" s="56">
        <f t="shared" si="14"/>
        <v>0</v>
      </c>
      <c r="AJ32" s="56">
        <f t="shared" si="15"/>
        <v>0</v>
      </c>
      <c r="AK32" s="56">
        <f t="shared" si="16"/>
        <v>0</v>
      </c>
      <c r="AM32" s="56">
        <f t="shared" si="17"/>
        <v>290942</v>
      </c>
      <c r="AN32" s="56">
        <f t="shared" si="18"/>
        <v>29522</v>
      </c>
      <c r="AO32" s="56">
        <f t="shared" si="19"/>
        <v>65377</v>
      </c>
      <c r="AP32" s="56"/>
      <c r="AQ32" s="56">
        <f t="shared" si="20"/>
        <v>385841</v>
      </c>
      <c r="AR32" s="1"/>
      <c r="AS32" s="56">
        <v>1365.2785276133568</v>
      </c>
      <c r="AT32" s="56">
        <v>138.53535306762694</v>
      </c>
      <c r="AU32" s="56">
        <v>306.78903114633994</v>
      </c>
      <c r="AV32" s="56"/>
      <c r="AW32" s="56">
        <v>1810.6029118273236</v>
      </c>
      <c r="AX32" s="1"/>
      <c r="AY32" s="16">
        <v>6.350113862072071E-3</v>
      </c>
      <c r="AZ32" s="16">
        <v>-4.8485615275161376E-2</v>
      </c>
      <c r="BA32" s="16">
        <v>8.7888111989711248E-3</v>
      </c>
      <c r="BB32" s="16">
        <f t="shared" si="21"/>
        <v>2.3409014844264497E-3</v>
      </c>
      <c r="BC32" s="16"/>
      <c r="BD32" s="1"/>
      <c r="BE32" s="16">
        <f>AM32/'2019-20 disagg'!AM32-1</f>
        <v>3.6601833476443746E-2</v>
      </c>
      <c r="BF32" s="16">
        <f>AN32/'2019-20 disagg'!AN32-1</f>
        <v>3.6405125504651581E-2</v>
      </c>
      <c r="BG32" s="16">
        <f>AO32/'2019-20 disagg'!AO32-1</f>
        <v>4.5012068221415902E-2</v>
      </c>
      <c r="BH32" s="16">
        <f>AQ32/'2019-20 disagg'!AQ32-1</f>
        <v>3.8002232893480148E-2</v>
      </c>
      <c r="BI32" s="1"/>
      <c r="BJ32" s="16">
        <f>AS32/'2019-20 disagg'!AS32-1</f>
        <v>3.4706593264094421E-2</v>
      </c>
      <c r="BK32" s="16">
        <f>AT32/'2019-20 disagg'!AT32-1</f>
        <v>3.4510244937487222E-2</v>
      </c>
      <c r="BL32" s="16">
        <f>AU32/'2019-20 disagg'!AU32-1</f>
        <v>4.3101451405852753E-2</v>
      </c>
      <c r="BM32" s="16">
        <f>AW32/'2019-20 disagg'!AW32-1</f>
        <v>3.6104432302398237E-2</v>
      </c>
    </row>
    <row r="33" spans="1:65" x14ac:dyDescent="0.2">
      <c r="A33" s="156" t="s">
        <v>111</v>
      </c>
      <c r="B33" s="156" t="s">
        <v>112</v>
      </c>
      <c r="D33" s="56">
        <f>VLOOKUP(A33,'2020-21'!$A$12:$AMX241,32,FALSE)</f>
        <v>269382</v>
      </c>
      <c r="E33" s="56">
        <v>2050.7303204979539</v>
      </c>
      <c r="F33" s="16">
        <f>VLOOKUP(A33,'2020-21'!$A$12:$AMX241,34,FALSE)</f>
        <v>3.7852957153919897E-2</v>
      </c>
      <c r="G33" s="16">
        <f>VLOOKUP(A33,'2020-21'!$A$12:$AMX241,35,FALSE)</f>
        <v>3.5726406874805994E-2</v>
      </c>
      <c r="H33" s="56"/>
      <c r="I33" s="56">
        <v>259485.95210175481</v>
      </c>
      <c r="J33" s="56">
        <v>1975.394457381519</v>
      </c>
      <c r="K33" s="16">
        <f t="shared" si="6"/>
        <v>3.8137123871601952E-2</v>
      </c>
      <c r="L33" s="58">
        <f t="shared" si="6"/>
        <v>3.8137123871601952E-2</v>
      </c>
      <c r="M33" s="10"/>
      <c r="N33" s="56">
        <v>210598</v>
      </c>
      <c r="O33" s="56">
        <v>19457</v>
      </c>
      <c r="P33" s="56">
        <v>39327</v>
      </c>
      <c r="R33" s="56">
        <f t="shared" si="7"/>
        <v>39327</v>
      </c>
      <c r="S33" s="56">
        <f t="shared" si="8"/>
        <v>0</v>
      </c>
      <c r="U33" s="16">
        <v>4.4100612563926056E-2</v>
      </c>
      <c r="V33" s="16">
        <v>-1.8769147210994319E-2</v>
      </c>
      <c r="W33" s="56">
        <f t="shared" si="9"/>
        <v>3</v>
      </c>
      <c r="X33" s="56">
        <f t="shared" si="10"/>
        <v>2017.0278368369975</v>
      </c>
      <c r="Y33" s="56">
        <f t="shared" si="10"/>
        <v>198.29176737254352</v>
      </c>
      <c r="AA33" s="56">
        <f t="shared" si="22"/>
        <v>0</v>
      </c>
      <c r="AB33" s="56">
        <v>0</v>
      </c>
      <c r="AC33" s="56">
        <f t="shared" si="11"/>
        <v>0</v>
      </c>
      <c r="AE33" s="56">
        <v>0</v>
      </c>
      <c r="AF33" s="56">
        <f t="shared" si="12"/>
        <v>0</v>
      </c>
      <c r="AG33" s="56">
        <f t="shared" si="13"/>
        <v>0</v>
      </c>
      <c r="AI33" s="56">
        <f t="shared" si="14"/>
        <v>0</v>
      </c>
      <c r="AJ33" s="56">
        <f t="shared" si="15"/>
        <v>0</v>
      </c>
      <c r="AK33" s="56">
        <f t="shared" si="16"/>
        <v>0</v>
      </c>
      <c r="AM33" s="56">
        <f t="shared" si="17"/>
        <v>210598</v>
      </c>
      <c r="AN33" s="56">
        <f t="shared" si="18"/>
        <v>19457</v>
      </c>
      <c r="AO33" s="56">
        <f t="shared" si="19"/>
        <v>39327</v>
      </c>
      <c r="AP33" s="56"/>
      <c r="AQ33" s="56">
        <f t="shared" si="20"/>
        <v>269382</v>
      </c>
      <c r="AR33" s="1"/>
      <c r="AS33" s="56">
        <v>1603.2240611333648</v>
      </c>
      <c r="AT33" s="56">
        <v>148.12073503771109</v>
      </c>
      <c r="AU33" s="56">
        <v>299.38552432687794</v>
      </c>
      <c r="AV33" s="56"/>
      <c r="AW33" s="56">
        <v>2050.7303204979539</v>
      </c>
      <c r="AX33" s="1"/>
      <c r="AY33" s="16">
        <v>4.4100612563926056E-2</v>
      </c>
      <c r="AZ33" s="16">
        <v>-1.8769147210994319E-2</v>
      </c>
      <c r="BA33" s="16">
        <v>3.6175597305983409E-2</v>
      </c>
      <c r="BB33" s="16">
        <f t="shared" si="21"/>
        <v>3.8137123871601952E-2</v>
      </c>
      <c r="BC33" s="16"/>
      <c r="BD33" s="1"/>
      <c r="BE33" s="16">
        <f>AM33/'2019-20 disagg'!AM33-1</f>
        <v>3.6601332926433194E-2</v>
      </c>
      <c r="BF33" s="16">
        <f>AN33/'2019-20 disagg'!AN33-1</f>
        <v>3.6600958977091036E-2</v>
      </c>
      <c r="BG33" s="16">
        <f>AO33/'2019-20 disagg'!AO33-1</f>
        <v>4.5235880398670991E-2</v>
      </c>
      <c r="BH33" s="16">
        <f>AQ33/'2019-20 disagg'!AQ33-1</f>
        <v>3.7852957153919897E-2</v>
      </c>
      <c r="BI33" s="1"/>
      <c r="BJ33" s="16">
        <f>AS33/'2019-20 disagg'!AS33-1</f>
        <v>3.4477347212782616E-2</v>
      </c>
      <c r="BK33" s="16">
        <f>AT33/'2019-20 disagg'!AT33-1</f>
        <v>3.4476974029659324E-2</v>
      </c>
      <c r="BL33" s="16">
        <f>AU33/'2019-20 disagg'!AU33-1</f>
        <v>4.3094202584024632E-2</v>
      </c>
      <c r="BM33" s="16">
        <f>AW33/'2019-20 disagg'!AW33-1</f>
        <v>3.5726406874805994E-2</v>
      </c>
    </row>
    <row r="34" spans="1:65" x14ac:dyDescent="0.2">
      <c r="A34" s="156" t="s">
        <v>113</v>
      </c>
      <c r="B34" s="156" t="s">
        <v>114</v>
      </c>
      <c r="D34" s="56">
        <f>VLOOKUP(A34,'2020-21'!$A$12:$AMX242,32,FALSE)</f>
        <v>452943</v>
      </c>
      <c r="E34" s="56">
        <v>1967.9506798048433</v>
      </c>
      <c r="F34" s="16">
        <f>VLOOKUP(A34,'2020-21'!$A$12:$AMX242,34,FALSE)</f>
        <v>3.8340921282478124E-2</v>
      </c>
      <c r="G34" s="16">
        <f>VLOOKUP(A34,'2020-21'!$A$12:$AMX242,35,FALSE)</f>
        <v>3.5597801444779975E-2</v>
      </c>
      <c r="H34" s="56"/>
      <c r="I34" s="56">
        <v>459631.17935113778</v>
      </c>
      <c r="J34" s="56">
        <v>1997.0095395305225</v>
      </c>
      <c r="K34" s="16">
        <f t="shared" si="6"/>
        <v>-1.4551187237949126E-2</v>
      </c>
      <c r="L34" s="58">
        <f t="shared" si="6"/>
        <v>-1.4551187237949126E-2</v>
      </c>
      <c r="M34" s="10"/>
      <c r="N34" s="56">
        <v>336598</v>
      </c>
      <c r="O34" s="56">
        <v>33050</v>
      </c>
      <c r="P34" s="56">
        <v>83295</v>
      </c>
      <c r="R34" s="56">
        <f t="shared" si="7"/>
        <v>83295</v>
      </c>
      <c r="S34" s="56">
        <f t="shared" si="8"/>
        <v>0</v>
      </c>
      <c r="U34" s="16">
        <v>-2.5070542729374368E-2</v>
      </c>
      <c r="V34" s="16">
        <v>-4.798739444784994E-2</v>
      </c>
      <c r="W34" s="56">
        <f t="shared" si="9"/>
        <v>4</v>
      </c>
      <c r="X34" s="56">
        <f t="shared" si="10"/>
        <v>3452.5369757759354</v>
      </c>
      <c r="Y34" s="56">
        <f t="shared" si="10"/>
        <v>347.15926876652645</v>
      </c>
      <c r="AA34" s="56">
        <f t="shared" si="22"/>
        <v>0</v>
      </c>
      <c r="AB34" s="56">
        <v>0</v>
      </c>
      <c r="AC34" s="56">
        <f t="shared" si="11"/>
        <v>0</v>
      </c>
      <c r="AE34" s="56">
        <v>0</v>
      </c>
      <c r="AF34" s="56">
        <f t="shared" si="12"/>
        <v>0</v>
      </c>
      <c r="AG34" s="56">
        <f t="shared" si="13"/>
        <v>0</v>
      </c>
      <c r="AI34" s="56">
        <f t="shared" si="14"/>
        <v>0</v>
      </c>
      <c r="AJ34" s="56">
        <f t="shared" si="15"/>
        <v>0</v>
      </c>
      <c r="AK34" s="56">
        <f t="shared" si="16"/>
        <v>0</v>
      </c>
      <c r="AM34" s="56">
        <f t="shared" si="17"/>
        <v>336598</v>
      </c>
      <c r="AN34" s="56">
        <f t="shared" si="18"/>
        <v>33050</v>
      </c>
      <c r="AO34" s="56">
        <f t="shared" si="19"/>
        <v>83295</v>
      </c>
      <c r="AP34" s="56"/>
      <c r="AQ34" s="56">
        <f t="shared" si="20"/>
        <v>452943</v>
      </c>
      <c r="AR34" s="1"/>
      <c r="AS34" s="56">
        <v>1462.4539134525771</v>
      </c>
      <c r="AT34" s="56">
        <v>143.59592700969012</v>
      </c>
      <c r="AU34" s="56">
        <v>361.90083934257603</v>
      </c>
      <c r="AV34" s="56"/>
      <c r="AW34" s="56">
        <v>1967.9506798048433</v>
      </c>
      <c r="AX34" s="1"/>
      <c r="AY34" s="16">
        <v>-2.5070542729374368E-2</v>
      </c>
      <c r="AZ34" s="16">
        <v>-4.798739444784994E-2</v>
      </c>
      <c r="BA34" s="16">
        <v>4.5611024135937317E-2</v>
      </c>
      <c r="BB34" s="16">
        <f t="shared" si="21"/>
        <v>-1.4551187237949126E-2</v>
      </c>
      <c r="BC34" s="16"/>
      <c r="BD34" s="1"/>
      <c r="BE34" s="16">
        <f>AM34/'2019-20 disagg'!AM34-1</f>
        <v>3.6601552755818112E-2</v>
      </c>
      <c r="BF34" s="16">
        <f>AN34/'2019-20 disagg'!AN34-1</f>
        <v>3.7253240435614954E-2</v>
      </c>
      <c r="BG34" s="16">
        <f>AO34/'2019-20 disagg'!AO34-1</f>
        <v>4.5867758218025578E-2</v>
      </c>
      <c r="BH34" s="16">
        <f>AQ34/'2019-20 disagg'!AQ34-1</f>
        <v>3.8340921282478124E-2</v>
      </c>
      <c r="BI34" s="1"/>
      <c r="BJ34" s="16">
        <f>AS34/'2019-20 disagg'!AS34-1</f>
        <v>3.3863028033474629E-2</v>
      </c>
      <c r="BK34" s="16">
        <f>AT34/'2019-20 disagg'!AT34-1</f>
        <v>3.4512994065432956E-2</v>
      </c>
      <c r="BL34" s="16">
        <f>AU34/'2019-20 disagg'!AU34-1</f>
        <v>4.3104753759303893E-2</v>
      </c>
      <c r="BM34" s="16">
        <f>AW34/'2019-20 disagg'!AW34-1</f>
        <v>3.5597801444779975E-2</v>
      </c>
    </row>
    <row r="35" spans="1:65" x14ac:dyDescent="0.2">
      <c r="A35" s="156" t="s">
        <v>115</v>
      </c>
      <c r="B35" s="156" t="s">
        <v>116</v>
      </c>
      <c r="D35" s="56">
        <f>VLOOKUP(A35,'2020-21'!$A$12:$AMX243,32,FALSE)</f>
        <v>371874</v>
      </c>
      <c r="E35" s="56">
        <v>2280.9237640146348</v>
      </c>
      <c r="F35" s="16">
        <f>VLOOKUP(A35,'2020-21'!$A$12:$AMX243,34,FALSE)</f>
        <v>3.1980019425558392E-2</v>
      </c>
      <c r="G35" s="16">
        <f>VLOOKUP(A35,'2020-21'!$A$12:$AMX243,35,FALSE)</f>
        <v>3.1036252670179065E-2</v>
      </c>
      <c r="H35" s="56"/>
      <c r="I35" s="56">
        <v>349985.50190757966</v>
      </c>
      <c r="J35" s="56">
        <v>2146.6686252913291</v>
      </c>
      <c r="K35" s="16">
        <f t="shared" si="6"/>
        <v>6.254115662825499E-2</v>
      </c>
      <c r="L35" s="58">
        <f t="shared" si="6"/>
        <v>6.254115662825499E-2</v>
      </c>
      <c r="M35" s="10"/>
      <c r="N35" s="56">
        <v>284683</v>
      </c>
      <c r="O35" s="56">
        <v>31363</v>
      </c>
      <c r="P35" s="56">
        <v>55828</v>
      </c>
      <c r="R35" s="56">
        <f t="shared" si="7"/>
        <v>55828</v>
      </c>
      <c r="S35" s="56">
        <f t="shared" si="8"/>
        <v>0</v>
      </c>
      <c r="U35" s="16">
        <v>5.3547720816145006E-2</v>
      </c>
      <c r="V35" s="16">
        <v>0.20054547667298639</v>
      </c>
      <c r="W35" s="56">
        <f t="shared" si="9"/>
        <v>2</v>
      </c>
      <c r="X35" s="56">
        <f t="shared" si="10"/>
        <v>2702.1367364305665</v>
      </c>
      <c r="Y35" s="56">
        <f t="shared" si="10"/>
        <v>261.23958325106321</v>
      </c>
      <c r="AA35" s="56">
        <f t="shared" si="22"/>
        <v>0</v>
      </c>
      <c r="AB35" s="56">
        <v>0</v>
      </c>
      <c r="AC35" s="56">
        <f t="shared" si="11"/>
        <v>0</v>
      </c>
      <c r="AE35" s="56">
        <v>0</v>
      </c>
      <c r="AF35" s="56">
        <f t="shared" si="12"/>
        <v>0</v>
      </c>
      <c r="AG35" s="56">
        <f t="shared" si="13"/>
        <v>0</v>
      </c>
      <c r="AI35" s="56">
        <f t="shared" si="14"/>
        <v>0</v>
      </c>
      <c r="AJ35" s="56">
        <f t="shared" si="15"/>
        <v>0</v>
      </c>
      <c r="AK35" s="56">
        <f t="shared" si="16"/>
        <v>0</v>
      </c>
      <c r="AM35" s="56">
        <f t="shared" si="17"/>
        <v>284683</v>
      </c>
      <c r="AN35" s="56">
        <f t="shared" si="18"/>
        <v>31363</v>
      </c>
      <c r="AO35" s="56">
        <f t="shared" si="19"/>
        <v>55828</v>
      </c>
      <c r="AP35" s="56"/>
      <c r="AQ35" s="56">
        <f t="shared" si="20"/>
        <v>371874</v>
      </c>
      <c r="AR35" s="1"/>
      <c r="AS35" s="56">
        <v>1746.1296565798584</v>
      </c>
      <c r="AT35" s="56">
        <v>192.36787732078875</v>
      </c>
      <c r="AU35" s="56">
        <v>342.42623011398763</v>
      </c>
      <c r="AV35" s="56"/>
      <c r="AW35" s="56">
        <v>2280.9237640146348</v>
      </c>
      <c r="AX35" s="1"/>
      <c r="AY35" s="16">
        <v>5.3547720816145006E-2</v>
      </c>
      <c r="AZ35" s="16">
        <v>0.20054547667298639</v>
      </c>
      <c r="BA35" s="16">
        <v>4.0637774864971554E-2</v>
      </c>
      <c r="BB35" s="16">
        <f t="shared" si="21"/>
        <v>6.254115662825499E-2</v>
      </c>
      <c r="BC35" s="16"/>
      <c r="BD35" s="1"/>
      <c r="BE35" s="16">
        <f>AM35/'2019-20 disagg'!AM35-1</f>
        <v>3.2110823490171247E-2</v>
      </c>
      <c r="BF35" s="16">
        <f>AN35/'2019-20 disagg'!AN35-1</f>
        <v>1.001545794151748E-2</v>
      </c>
      <c r="BG35" s="16">
        <f>AO35/'2019-20 disagg'!AO35-1</f>
        <v>4.4060442848593562E-2</v>
      </c>
      <c r="BH35" s="16">
        <f>AQ35/'2019-20 disagg'!AQ35-1</f>
        <v>3.1980019425558392E-2</v>
      </c>
      <c r="BI35" s="1"/>
      <c r="BJ35" s="16">
        <f>AS35/'2019-20 disagg'!AS35-1</f>
        <v>3.1166937111809512E-2</v>
      </c>
      <c r="BK35" s="16">
        <f>AT35/'2019-20 disagg'!AT35-1</f>
        <v>9.0917782251649371E-3</v>
      </c>
      <c r="BL35" s="16">
        <f>AU35/'2019-20 disagg'!AU35-1</f>
        <v>4.3105628299843435E-2</v>
      </c>
      <c r="BM35" s="16">
        <f>AW35/'2019-20 disagg'!AW35-1</f>
        <v>3.1036252670179065E-2</v>
      </c>
    </row>
    <row r="36" spans="1:65" x14ac:dyDescent="0.2">
      <c r="A36" s="156" t="s">
        <v>117</v>
      </c>
      <c r="B36" s="156" t="s">
        <v>118</v>
      </c>
      <c r="D36" s="56">
        <f>VLOOKUP(A36,'2020-21'!$A$12:$AMX244,32,FALSE)</f>
        <v>296584</v>
      </c>
      <c r="E36" s="56">
        <v>1858.0532361944527</v>
      </c>
      <c r="F36" s="16">
        <f>VLOOKUP(A36,'2020-21'!$A$12:$AMX244,34,FALSE)</f>
        <v>3.781619934424385E-2</v>
      </c>
      <c r="G36" s="16">
        <f>VLOOKUP(A36,'2020-21'!$A$12:$AMX244,35,FALSE)</f>
        <v>3.5939780062592241E-2</v>
      </c>
      <c r="H36" s="56"/>
      <c r="I36" s="56">
        <v>286228.84957358567</v>
      </c>
      <c r="J36" s="56">
        <v>1793.1798082243683</v>
      </c>
      <c r="K36" s="16">
        <f t="shared" si="6"/>
        <v>3.6177871105030457E-2</v>
      </c>
      <c r="L36" s="58">
        <f t="shared" si="6"/>
        <v>3.6177871105030457E-2</v>
      </c>
      <c r="M36" s="10"/>
      <c r="N36" s="56">
        <v>230579</v>
      </c>
      <c r="O36" s="56">
        <v>22036</v>
      </c>
      <c r="P36" s="56">
        <v>43969</v>
      </c>
      <c r="R36" s="56">
        <f t="shared" si="7"/>
        <v>43969</v>
      </c>
      <c r="S36" s="56">
        <f t="shared" si="8"/>
        <v>0</v>
      </c>
      <c r="U36" s="16">
        <v>4.7039596939818296E-2</v>
      </c>
      <c r="V36" s="16">
        <v>-2.9511374713915073E-2</v>
      </c>
      <c r="W36" s="56">
        <f t="shared" si="9"/>
        <v>3</v>
      </c>
      <c r="X36" s="56">
        <f t="shared" si="10"/>
        <v>2202.199426592013</v>
      </c>
      <c r="Y36" s="56">
        <f t="shared" si="10"/>
        <v>227.06087867340156</v>
      </c>
      <c r="AA36" s="56">
        <f t="shared" si="22"/>
        <v>0</v>
      </c>
      <c r="AB36" s="56">
        <v>0</v>
      </c>
      <c r="AC36" s="56">
        <f t="shared" si="11"/>
        <v>0</v>
      </c>
      <c r="AE36" s="56">
        <v>0</v>
      </c>
      <c r="AF36" s="56">
        <f t="shared" si="12"/>
        <v>0</v>
      </c>
      <c r="AG36" s="56">
        <f t="shared" si="13"/>
        <v>0</v>
      </c>
      <c r="AI36" s="56">
        <f t="shared" si="14"/>
        <v>0</v>
      </c>
      <c r="AJ36" s="56">
        <f t="shared" si="15"/>
        <v>0</v>
      </c>
      <c r="AK36" s="56">
        <f t="shared" si="16"/>
        <v>0</v>
      </c>
      <c r="AM36" s="56">
        <f t="shared" si="17"/>
        <v>230579</v>
      </c>
      <c r="AN36" s="56">
        <f t="shared" si="18"/>
        <v>22036</v>
      </c>
      <c r="AO36" s="56">
        <f t="shared" si="19"/>
        <v>43969</v>
      </c>
      <c r="AP36" s="56"/>
      <c r="AQ36" s="56">
        <f t="shared" si="20"/>
        <v>296584</v>
      </c>
      <c r="AR36" s="1"/>
      <c r="AS36" s="56">
        <v>1444.5420425528034</v>
      </c>
      <c r="AT36" s="56">
        <v>138.05215761059586</v>
      </c>
      <c r="AU36" s="56">
        <v>275.45903603105319</v>
      </c>
      <c r="AV36" s="56"/>
      <c r="AW36" s="56">
        <v>1858.0532361944527</v>
      </c>
      <c r="AX36" s="1"/>
      <c r="AY36" s="16">
        <v>4.7039596939818296E-2</v>
      </c>
      <c r="AZ36" s="16">
        <v>-2.9511374713915073E-2</v>
      </c>
      <c r="BA36" s="16">
        <v>1.538423981662751E-2</v>
      </c>
      <c r="BB36" s="16">
        <f t="shared" si="21"/>
        <v>3.6177871105030457E-2</v>
      </c>
      <c r="BC36" s="16"/>
      <c r="BD36" s="1"/>
      <c r="BE36" s="16">
        <f>AM36/'2019-20 disagg'!AM36-1</f>
        <v>3.6598962407502267E-2</v>
      </c>
      <c r="BF36" s="16">
        <f>AN36/'2019-20 disagg'!AN36-1</f>
        <v>3.6354230353195627E-2</v>
      </c>
      <c r="BG36" s="16">
        <f>AO36/'2019-20 disagg'!AO36-1</f>
        <v>4.4990018062553538E-2</v>
      </c>
      <c r="BH36" s="16">
        <f>AQ36/'2019-20 disagg'!AQ36-1</f>
        <v>3.781619934424385E-2</v>
      </c>
      <c r="BI36" s="1"/>
      <c r="BJ36" s="16">
        <f>AS36/'2019-20 disagg'!AS36-1</f>
        <v>3.4724743946053405E-2</v>
      </c>
      <c r="BK36" s="16">
        <f>AT36/'2019-20 disagg'!AT36-1</f>
        <v>3.4480454378524206E-2</v>
      </c>
      <c r="BL36" s="16">
        <f>AU36/'2019-20 disagg'!AU36-1</f>
        <v>4.3100628187674683E-2</v>
      </c>
      <c r="BM36" s="16">
        <f>AW36/'2019-20 disagg'!AW36-1</f>
        <v>3.5939780062592241E-2</v>
      </c>
    </row>
    <row r="37" spans="1:65" x14ac:dyDescent="0.2">
      <c r="A37" s="156" t="s">
        <v>119</v>
      </c>
      <c r="B37" s="156" t="s">
        <v>120</v>
      </c>
      <c r="D37" s="56">
        <f>VLOOKUP(A37,'2020-21'!$A$12:$AMX245,32,FALSE)</f>
        <v>1092551</v>
      </c>
      <c r="E37" s="56">
        <v>2136.6362322422965</v>
      </c>
      <c r="F37" s="16">
        <f>VLOOKUP(A37,'2020-21'!$A$12:$AMX245,34,FALSE)</f>
        <v>3.4525499271368165E-2</v>
      </c>
      <c r="G37" s="16">
        <f>VLOOKUP(A37,'2020-21'!$A$12:$AMX245,35,FALSE)</f>
        <v>3.2773595768843089E-2</v>
      </c>
      <c r="H37" s="56"/>
      <c r="I37" s="56">
        <v>1048477.3144789313</v>
      </c>
      <c r="J37" s="56">
        <v>2050.4439781756505</v>
      </c>
      <c r="K37" s="16">
        <f t="shared" si="6"/>
        <v>4.2035898070882372E-2</v>
      </c>
      <c r="L37" s="58">
        <f t="shared" si="6"/>
        <v>4.2035898070882372E-2</v>
      </c>
      <c r="M37" s="10"/>
      <c r="N37" s="56">
        <v>833331</v>
      </c>
      <c r="O37" s="56">
        <v>79949</v>
      </c>
      <c r="P37" s="56">
        <v>179271</v>
      </c>
      <c r="R37" s="56">
        <f t="shared" si="7"/>
        <v>179271</v>
      </c>
      <c r="S37" s="56">
        <f t="shared" si="8"/>
        <v>0</v>
      </c>
      <c r="U37" s="16">
        <v>5.3485222878723926E-2</v>
      </c>
      <c r="V37" s="16">
        <v>-4.8671264610325227E-2</v>
      </c>
      <c r="W37" s="56">
        <f t="shared" si="9"/>
        <v>3</v>
      </c>
      <c r="X37" s="56">
        <f t="shared" si="10"/>
        <v>7910.2296064757638</v>
      </c>
      <c r="Y37" s="56">
        <f t="shared" si="10"/>
        <v>840.39298957212725</v>
      </c>
      <c r="AA37" s="56">
        <f t="shared" si="22"/>
        <v>0</v>
      </c>
      <c r="AB37" s="56">
        <v>0</v>
      </c>
      <c r="AC37" s="56">
        <f t="shared" si="11"/>
        <v>0</v>
      </c>
      <c r="AE37" s="56">
        <v>0</v>
      </c>
      <c r="AF37" s="56">
        <f t="shared" si="12"/>
        <v>0</v>
      </c>
      <c r="AG37" s="56">
        <f t="shared" si="13"/>
        <v>0</v>
      </c>
      <c r="AI37" s="56">
        <f t="shared" si="14"/>
        <v>0</v>
      </c>
      <c r="AJ37" s="56">
        <f t="shared" si="15"/>
        <v>0</v>
      </c>
      <c r="AK37" s="56">
        <f t="shared" si="16"/>
        <v>0</v>
      </c>
      <c r="AM37" s="56">
        <f t="shared" si="17"/>
        <v>833331</v>
      </c>
      <c r="AN37" s="56">
        <f t="shared" si="18"/>
        <v>79949</v>
      </c>
      <c r="AO37" s="56">
        <f t="shared" si="19"/>
        <v>179271</v>
      </c>
      <c r="AP37" s="56"/>
      <c r="AQ37" s="56">
        <f t="shared" si="20"/>
        <v>1092551</v>
      </c>
      <c r="AR37" s="1"/>
      <c r="AS37" s="56">
        <v>1629.6952801752093</v>
      </c>
      <c r="AT37" s="56">
        <v>156.35144732972591</v>
      </c>
      <c r="AU37" s="56">
        <v>350.58950473736121</v>
      </c>
      <c r="AV37" s="56"/>
      <c r="AW37" s="56">
        <v>2136.6362322422965</v>
      </c>
      <c r="AX37" s="1"/>
      <c r="AY37" s="16">
        <v>5.3485222878723926E-2</v>
      </c>
      <c r="AZ37" s="16">
        <v>-4.8671264610325227E-2</v>
      </c>
      <c r="BA37" s="16">
        <v>3.3768378011400202E-2</v>
      </c>
      <c r="BB37" s="16">
        <f t="shared" si="21"/>
        <v>4.2035898070882372E-2</v>
      </c>
      <c r="BC37" s="16"/>
      <c r="BD37" s="1"/>
      <c r="BE37" s="16">
        <f>AM37/'2019-20 disagg'!AM37-1</f>
        <v>3.216269241630787E-2</v>
      </c>
      <c r="BF37" s="16">
        <f>AN37/'2019-20 disagg'!AN37-1</f>
        <v>3.6253110742430428E-2</v>
      </c>
      <c r="BG37" s="16">
        <f>AO37/'2019-20 disagg'!AO37-1</f>
        <v>4.4867199384518441E-2</v>
      </c>
      <c r="BH37" s="16">
        <f>AQ37/'2019-20 disagg'!AQ37-1</f>
        <v>3.4525499271368165E-2</v>
      </c>
      <c r="BI37" s="1"/>
      <c r="BJ37" s="16">
        <f>AS37/'2019-20 disagg'!AS37-1</f>
        <v>3.0414790177751616E-2</v>
      </c>
      <c r="BK37" s="16">
        <f>AT37/'2019-20 disagg'!AT37-1</f>
        <v>3.4498281639145034E-2</v>
      </c>
      <c r="BL37" s="16">
        <f>AU37/'2019-20 disagg'!AU37-1</f>
        <v>4.3097782866931889E-2</v>
      </c>
      <c r="BM37" s="16">
        <f>AW37/'2019-20 disagg'!AW37-1</f>
        <v>3.2773595768843089E-2</v>
      </c>
    </row>
    <row r="38" spans="1:65" x14ac:dyDescent="0.2">
      <c r="A38" s="156" t="s">
        <v>121</v>
      </c>
      <c r="B38" s="156" t="s">
        <v>122</v>
      </c>
      <c r="D38" s="56">
        <f>VLOOKUP(A38,'2020-21'!$A$12:$AMX246,32,FALSE)</f>
        <v>450657.07488064404</v>
      </c>
      <c r="E38" s="56">
        <v>2138.4983150038015</v>
      </c>
      <c r="F38" s="16">
        <f>VLOOKUP(A38,'2020-21'!$A$12:$AMX246,34,FALSE)</f>
        <v>4.5578951121184597E-2</v>
      </c>
      <c r="G38" s="16">
        <f>VLOOKUP(A38,'2020-21'!$A$12:$AMX246,35,FALSE)</f>
        <v>3.9195264467271063E-2</v>
      </c>
      <c r="H38" s="56"/>
      <c r="I38" s="56">
        <v>461396.82750390953</v>
      </c>
      <c r="J38" s="56">
        <v>2189.4615510619365</v>
      </c>
      <c r="K38" s="16">
        <f t="shared" si="6"/>
        <v>-2.3276606996554428E-2</v>
      </c>
      <c r="L38" s="58">
        <f t="shared" si="6"/>
        <v>-2.3276606996554317E-2</v>
      </c>
      <c r="M38" s="10"/>
      <c r="N38" s="56">
        <v>312116</v>
      </c>
      <c r="O38" s="56">
        <v>36373</v>
      </c>
      <c r="P38" s="56">
        <v>99673</v>
      </c>
      <c r="R38" s="56">
        <f t="shared" si="7"/>
        <v>99673</v>
      </c>
      <c r="S38" s="56">
        <f t="shared" si="8"/>
        <v>2495.0748806440388</v>
      </c>
      <c r="U38" s="16">
        <v>-4.4909915755108831E-2</v>
      </c>
      <c r="V38" s="16">
        <v>-4.1612888118584768E-2</v>
      </c>
      <c r="W38" s="56">
        <f t="shared" si="9"/>
        <v>4</v>
      </c>
      <c r="X38" s="56">
        <f t="shared" si="10"/>
        <v>3267.9221064970397</v>
      </c>
      <c r="Y38" s="56">
        <f t="shared" si="10"/>
        <v>379.5230502275428</v>
      </c>
      <c r="AA38" s="56">
        <f t="shared" si="22"/>
        <v>0</v>
      </c>
      <c r="AB38" s="56">
        <v>0</v>
      </c>
      <c r="AC38" s="56">
        <f t="shared" si="11"/>
        <v>2495.0748806440388</v>
      </c>
      <c r="AE38" s="56">
        <v>0</v>
      </c>
      <c r="AF38" s="56">
        <f t="shared" si="12"/>
        <v>0</v>
      </c>
      <c r="AG38" s="56">
        <f t="shared" si="13"/>
        <v>2495.0748806440388</v>
      </c>
      <c r="AI38" s="56">
        <f t="shared" si="14"/>
        <v>2235.4579738614016</v>
      </c>
      <c r="AJ38" s="56">
        <f t="shared" si="15"/>
        <v>259.61690678263733</v>
      </c>
      <c r="AK38" s="56">
        <f t="shared" si="16"/>
        <v>0</v>
      </c>
      <c r="AM38" s="56">
        <f t="shared" si="17"/>
        <v>314351</v>
      </c>
      <c r="AN38" s="56">
        <f t="shared" si="18"/>
        <v>36633</v>
      </c>
      <c r="AO38" s="56">
        <f t="shared" si="19"/>
        <v>99673</v>
      </c>
      <c r="AP38" s="56"/>
      <c r="AQ38" s="56">
        <f t="shared" si="20"/>
        <v>450657</v>
      </c>
      <c r="AR38" s="1"/>
      <c r="AS38" s="56">
        <v>1491.6865201723542</v>
      </c>
      <c r="AT38" s="56">
        <v>173.8341926492165</v>
      </c>
      <c r="AU38" s="56">
        <v>472.97724685189189</v>
      </c>
      <c r="AV38" s="56"/>
      <c r="AW38" s="56">
        <v>2138.4979596734624</v>
      </c>
      <c r="AX38" s="1"/>
      <c r="AY38" s="16">
        <v>-3.8070707453428221E-2</v>
      </c>
      <c r="AZ38" s="16">
        <v>-3.4762184324859557E-2</v>
      </c>
      <c r="BA38" s="16">
        <v>3.1253139333246693E-2</v>
      </c>
      <c r="BB38" s="16">
        <f t="shared" si="21"/>
        <v>-2.3276769287752685E-2</v>
      </c>
      <c r="BC38" s="16"/>
      <c r="BD38" s="1"/>
      <c r="BE38" s="16">
        <f>AM38/'2019-20 disagg'!AM38-1</f>
        <v>4.4022504450407896E-2</v>
      </c>
      <c r="BF38" s="16">
        <f>AN38/'2019-20 disagg'!AN38-1</f>
        <v>4.8304478466161038E-2</v>
      </c>
      <c r="BG38" s="16">
        <f>AO38/'2019-20 disagg'!AO38-1</f>
        <v>4.9509850375377695E-2</v>
      </c>
      <c r="BH38" s="16">
        <f>AQ38/'2019-20 disagg'!AQ38-1</f>
        <v>4.5578777389028602E-2</v>
      </c>
      <c r="BI38" s="1"/>
      <c r="BJ38" s="16">
        <f>AS38/'2019-20 disagg'!AS38-1</f>
        <v>3.7648320539284796E-2</v>
      </c>
      <c r="BK38" s="16">
        <f>AT38/'2019-20 disagg'!AT38-1</f>
        <v>4.1904151354328789E-2</v>
      </c>
      <c r="BL38" s="16">
        <f>AU38/'2019-20 disagg'!AU38-1</f>
        <v>4.3102163975601071E-2</v>
      </c>
      <c r="BM38" s="16">
        <f>AW38/'2019-20 disagg'!AW38-1</f>
        <v>3.9195091795820813E-2</v>
      </c>
    </row>
    <row r="39" spans="1:65" x14ac:dyDescent="0.2">
      <c r="A39" s="156" t="s">
        <v>123</v>
      </c>
      <c r="B39" s="156" t="s">
        <v>124</v>
      </c>
      <c r="D39" s="56">
        <f>VLOOKUP(A39,'2020-21'!$A$12:$AMX247,32,FALSE)</f>
        <v>475271</v>
      </c>
      <c r="E39" s="56">
        <v>1878.0022780961328</v>
      </c>
      <c r="F39" s="16">
        <f>VLOOKUP(A39,'2020-21'!$A$12:$AMX247,34,FALSE)</f>
        <v>3.8099460932926821E-2</v>
      </c>
      <c r="G39" s="16">
        <f>VLOOKUP(A39,'2020-21'!$A$12:$AMX247,35,FALSE)</f>
        <v>3.3847080489317394E-2</v>
      </c>
      <c r="H39" s="56"/>
      <c r="I39" s="56">
        <v>469623.30969711597</v>
      </c>
      <c r="J39" s="56">
        <v>1855.685799171903</v>
      </c>
      <c r="K39" s="16">
        <f t="shared" si="6"/>
        <v>1.2026000810152482E-2</v>
      </c>
      <c r="L39" s="58">
        <f t="shared" si="6"/>
        <v>1.2026000810152482E-2</v>
      </c>
      <c r="M39" s="10"/>
      <c r="N39" s="56">
        <v>354344</v>
      </c>
      <c r="O39" s="56">
        <v>39499</v>
      </c>
      <c r="P39" s="56">
        <v>81428</v>
      </c>
      <c r="R39" s="56">
        <f t="shared" si="7"/>
        <v>81428</v>
      </c>
      <c r="S39" s="56">
        <f t="shared" si="8"/>
        <v>0</v>
      </c>
      <c r="U39" s="16">
        <v>2.4468674307274174E-3</v>
      </c>
      <c r="V39" s="16">
        <v>5.2144413722622796E-2</v>
      </c>
      <c r="W39" s="56">
        <f t="shared" si="9"/>
        <v>2</v>
      </c>
      <c r="X39" s="56">
        <f t="shared" si="10"/>
        <v>3534.7908354303513</v>
      </c>
      <c r="Y39" s="56">
        <f t="shared" si="10"/>
        <v>375.41424432647449</v>
      </c>
      <c r="AA39" s="56">
        <f t="shared" si="22"/>
        <v>0</v>
      </c>
      <c r="AB39" s="56">
        <v>0</v>
      </c>
      <c r="AC39" s="56">
        <f t="shared" si="11"/>
        <v>0</v>
      </c>
      <c r="AE39" s="56">
        <v>0</v>
      </c>
      <c r="AF39" s="56">
        <f t="shared" si="12"/>
        <v>0</v>
      </c>
      <c r="AG39" s="56">
        <f t="shared" si="13"/>
        <v>0</v>
      </c>
      <c r="AI39" s="56">
        <f t="shared" si="14"/>
        <v>0</v>
      </c>
      <c r="AJ39" s="56">
        <f t="shared" si="15"/>
        <v>0</v>
      </c>
      <c r="AK39" s="56">
        <f t="shared" si="16"/>
        <v>0</v>
      </c>
      <c r="AM39" s="56">
        <f t="shared" si="17"/>
        <v>354344</v>
      </c>
      <c r="AN39" s="56">
        <f t="shared" si="18"/>
        <v>39499</v>
      </c>
      <c r="AO39" s="56">
        <f t="shared" si="19"/>
        <v>81428</v>
      </c>
      <c r="AP39" s="56"/>
      <c r="AQ39" s="56">
        <f t="shared" si="20"/>
        <v>475271</v>
      </c>
      <c r="AR39" s="1"/>
      <c r="AS39" s="56">
        <v>1400.1671451228794</v>
      </c>
      <c r="AT39" s="56">
        <v>156.07771562438936</v>
      </c>
      <c r="AU39" s="56">
        <v>321.7574173488639</v>
      </c>
      <c r="AV39" s="56"/>
      <c r="AW39" s="56">
        <v>1878.0022780961328</v>
      </c>
      <c r="AX39" s="1"/>
      <c r="AY39" s="16">
        <v>2.4468674307274174E-3</v>
      </c>
      <c r="AZ39" s="16">
        <v>5.2144413722622796E-2</v>
      </c>
      <c r="BA39" s="16">
        <v>3.5942717265716517E-2</v>
      </c>
      <c r="BB39" s="16">
        <f t="shared" si="21"/>
        <v>1.2026000810152482E-2</v>
      </c>
      <c r="BC39" s="16"/>
      <c r="BD39" s="1"/>
      <c r="BE39" s="16">
        <f>AM39/'2019-20 disagg'!AM39-1</f>
        <v>3.6599743149432706E-2</v>
      </c>
      <c r="BF39" s="16">
        <f>AN39/'2019-20 disagg'!AN39-1</f>
        <v>3.2626597997438056E-2</v>
      </c>
      <c r="BG39" s="16">
        <f>AO39/'2019-20 disagg'!AO39-1</f>
        <v>4.7386293476023855E-2</v>
      </c>
      <c r="BH39" s="16">
        <f>AQ39/'2019-20 disagg'!AQ39-1</f>
        <v>3.8099460932926821E-2</v>
      </c>
      <c r="BI39" s="1"/>
      <c r="BJ39" s="16">
        <f>AS39/'2019-20 disagg'!AS39-1</f>
        <v>3.2353506019458855E-2</v>
      </c>
      <c r="BK39" s="16">
        <f>AT39/'2019-20 disagg'!AT39-1</f>
        <v>2.8396636114085716E-2</v>
      </c>
      <c r="BL39" s="16">
        <f>AU39/'2019-20 disagg'!AU39-1</f>
        <v>4.309587125840797E-2</v>
      </c>
      <c r="BM39" s="16">
        <f>AW39/'2019-20 disagg'!AW39-1</f>
        <v>3.3847080489317394E-2</v>
      </c>
    </row>
    <row r="40" spans="1:65" x14ac:dyDescent="0.2">
      <c r="A40" s="156" t="s">
        <v>125</v>
      </c>
      <c r="B40" s="156" t="s">
        <v>126</v>
      </c>
      <c r="D40" s="56">
        <f>VLOOKUP(A40,'2020-21'!$A$12:$AMX248,32,FALSE)</f>
        <v>556231.11440554669</v>
      </c>
      <c r="E40" s="56">
        <v>2037.1244097749891</v>
      </c>
      <c r="F40" s="16">
        <f>VLOOKUP(A40,'2020-21'!$A$12:$AMX248,34,FALSE)</f>
        <v>4.1042545986252454E-2</v>
      </c>
      <c r="G40" s="16">
        <f>VLOOKUP(A40,'2020-21'!$A$12:$AMX248,35,FALSE)</f>
        <v>3.1745462596997953E-2</v>
      </c>
      <c r="H40" s="56"/>
      <c r="I40" s="56">
        <v>565255.21830992296</v>
      </c>
      <c r="J40" s="56">
        <v>2070.1740214631041</v>
      </c>
      <c r="K40" s="16">
        <f t="shared" si="6"/>
        <v>-1.5964653862653E-2</v>
      </c>
      <c r="L40" s="58">
        <f t="shared" si="6"/>
        <v>-1.5964653862653111E-2</v>
      </c>
      <c r="M40" s="10"/>
      <c r="N40" s="56">
        <v>404938</v>
      </c>
      <c r="O40" s="56">
        <v>41916</v>
      </c>
      <c r="P40" s="56">
        <v>108940</v>
      </c>
      <c r="R40" s="56">
        <f t="shared" si="7"/>
        <v>108940</v>
      </c>
      <c r="S40" s="56">
        <f t="shared" si="8"/>
        <v>437.11440554668661</v>
      </c>
      <c r="U40" s="16">
        <v>-3.4184478389497008E-2</v>
      </c>
      <c r="V40" s="16">
        <v>-4.8237941455978595E-2</v>
      </c>
      <c r="W40" s="56">
        <f t="shared" si="9"/>
        <v>4</v>
      </c>
      <c r="X40" s="56">
        <f t="shared" si="10"/>
        <v>4192.705448808314</v>
      </c>
      <c r="Y40" s="56">
        <f t="shared" si="10"/>
        <v>440.40419161194455</v>
      </c>
      <c r="AA40" s="56">
        <f t="shared" si="22"/>
        <v>0</v>
      </c>
      <c r="AB40" s="56">
        <v>0</v>
      </c>
      <c r="AC40" s="56">
        <f t="shared" si="11"/>
        <v>437.11440554668661</v>
      </c>
      <c r="AE40" s="56">
        <v>0</v>
      </c>
      <c r="AF40" s="56">
        <f t="shared" si="12"/>
        <v>0</v>
      </c>
      <c r="AG40" s="56">
        <f t="shared" si="13"/>
        <v>437.11440554668661</v>
      </c>
      <c r="AI40" s="56">
        <f t="shared" si="14"/>
        <v>395.56412261419325</v>
      </c>
      <c r="AJ40" s="56">
        <f t="shared" si="15"/>
        <v>41.550282932493332</v>
      </c>
      <c r="AK40" s="56">
        <f t="shared" si="16"/>
        <v>0</v>
      </c>
      <c r="AM40" s="56">
        <f t="shared" si="17"/>
        <v>405334</v>
      </c>
      <c r="AN40" s="56">
        <f t="shared" si="18"/>
        <v>41958</v>
      </c>
      <c r="AO40" s="56">
        <f t="shared" si="19"/>
        <v>108940</v>
      </c>
      <c r="AP40" s="56"/>
      <c r="AQ40" s="56">
        <f t="shared" si="20"/>
        <v>556232</v>
      </c>
      <c r="AR40" s="1"/>
      <c r="AS40" s="56">
        <v>1484.4832734576373</v>
      </c>
      <c r="AT40" s="56">
        <v>153.66574032214308</v>
      </c>
      <c r="AU40" s="56">
        <v>398.9786393701861</v>
      </c>
      <c r="AV40" s="56"/>
      <c r="AW40" s="56">
        <v>2037.1276531499664</v>
      </c>
      <c r="AX40" s="1"/>
      <c r="AY40" s="16">
        <v>-3.3239980845285899E-2</v>
      </c>
      <c r="AZ40" s="16">
        <v>-4.7284272058639831E-2</v>
      </c>
      <c r="BA40" s="16">
        <v>6.8623246914131908E-2</v>
      </c>
      <c r="BB40" s="16">
        <f t="shared" si="21"/>
        <v>-1.5963087146549149E-2</v>
      </c>
      <c r="BC40" s="16"/>
      <c r="BD40" s="1"/>
      <c r="BE40" s="16">
        <f>AM40/'2019-20 disagg'!AM40-1</f>
        <v>3.7615195576489846E-2</v>
      </c>
      <c r="BF40" s="16">
        <f>AN40/'2019-20 disagg'!AN40-1</f>
        <v>4.4874987548560563E-2</v>
      </c>
      <c r="BG40" s="16">
        <f>AO40/'2019-20 disagg'!AO40-1</f>
        <v>5.2499372017081214E-2</v>
      </c>
      <c r="BH40" s="16">
        <f>AQ40/'2019-20 disagg'!AQ40-1</f>
        <v>4.1044203465455897E-2</v>
      </c>
      <c r="BI40" s="1"/>
      <c r="BJ40" s="16">
        <f>AS40/'2019-20 disagg'!AS40-1</f>
        <v>2.8348720314334885E-2</v>
      </c>
      <c r="BK40" s="16">
        <f>AT40/'2019-20 disagg'!AT40-1</f>
        <v>3.554367834507155E-2</v>
      </c>
      <c r="BL40" s="16">
        <f>AU40/'2019-20 disagg'!AU40-1</f>
        <v>4.3099972860430213E-2</v>
      </c>
      <c r="BM40" s="16">
        <f>AW40/'2019-20 disagg'!AW40-1</f>
        <v>3.1747105273999043E-2</v>
      </c>
    </row>
    <row r="41" spans="1:65" x14ac:dyDescent="0.2">
      <c r="A41" s="156" t="s">
        <v>127</v>
      </c>
      <c r="B41" s="156" t="s">
        <v>128</v>
      </c>
      <c r="D41" s="56">
        <f>VLOOKUP(A41,'2020-21'!$A$12:$AMX249,32,FALSE)</f>
        <v>314492</v>
      </c>
      <c r="E41" s="56">
        <v>1716.1323892284499</v>
      </c>
      <c r="F41" s="16">
        <f>VLOOKUP(A41,'2020-21'!$A$12:$AMX249,34,FALSE)</f>
        <v>3.8215214779014683E-2</v>
      </c>
      <c r="G41" s="16">
        <f>VLOOKUP(A41,'2020-21'!$A$12:$AMX249,35,FALSE)</f>
        <v>3.4662980127762699E-2</v>
      </c>
      <c r="H41" s="56"/>
      <c r="I41" s="56">
        <v>318753.90551450913</v>
      </c>
      <c r="J41" s="56">
        <v>1739.3889238725124</v>
      </c>
      <c r="K41" s="16">
        <f t="shared" si="6"/>
        <v>-1.3370520143525355E-2</v>
      </c>
      <c r="L41" s="58">
        <f t="shared" si="6"/>
        <v>-1.3370520143525355E-2</v>
      </c>
      <c r="M41" s="10"/>
      <c r="N41" s="56">
        <v>242130</v>
      </c>
      <c r="O41" s="56">
        <v>25154</v>
      </c>
      <c r="P41" s="56">
        <v>47208</v>
      </c>
      <c r="R41" s="56">
        <f t="shared" si="7"/>
        <v>47208</v>
      </c>
      <c r="S41" s="56">
        <f t="shared" si="8"/>
        <v>0</v>
      </c>
      <c r="U41" s="16">
        <v>-3.3415061437084836E-2</v>
      </c>
      <c r="V41" s="16">
        <v>1.505115911086885E-2</v>
      </c>
      <c r="W41" s="56">
        <f t="shared" si="9"/>
        <v>1</v>
      </c>
      <c r="X41" s="56">
        <f t="shared" si="10"/>
        <v>2505.0048923790437</v>
      </c>
      <c r="Y41" s="56">
        <f t="shared" si="10"/>
        <v>247.81016970645669</v>
      </c>
      <c r="AA41" s="56">
        <f t="shared" si="22"/>
        <v>0</v>
      </c>
      <c r="AB41" s="56">
        <v>0</v>
      </c>
      <c r="AC41" s="56">
        <f t="shared" si="11"/>
        <v>0</v>
      </c>
      <c r="AE41" s="56">
        <v>0</v>
      </c>
      <c r="AF41" s="56">
        <f t="shared" si="12"/>
        <v>0</v>
      </c>
      <c r="AG41" s="56">
        <f t="shared" si="13"/>
        <v>0</v>
      </c>
      <c r="AI41" s="56">
        <f t="shared" si="14"/>
        <v>0</v>
      </c>
      <c r="AJ41" s="56">
        <f t="shared" si="15"/>
        <v>0</v>
      </c>
      <c r="AK41" s="56">
        <f t="shared" si="16"/>
        <v>0</v>
      </c>
      <c r="AM41" s="56">
        <f t="shared" si="17"/>
        <v>242130</v>
      </c>
      <c r="AN41" s="56">
        <f t="shared" si="18"/>
        <v>25154</v>
      </c>
      <c r="AO41" s="56">
        <f t="shared" si="19"/>
        <v>47208</v>
      </c>
      <c r="AP41" s="56"/>
      <c r="AQ41" s="56">
        <f t="shared" si="20"/>
        <v>314492</v>
      </c>
      <c r="AR41" s="1"/>
      <c r="AS41" s="56">
        <v>1321.2645644527829</v>
      </c>
      <c r="AT41" s="56">
        <v>137.26134247819479</v>
      </c>
      <c r="AU41" s="56">
        <v>257.60648229747233</v>
      </c>
      <c r="AV41" s="56"/>
      <c r="AW41" s="56">
        <v>1716.1323892284499</v>
      </c>
      <c r="AX41" s="1"/>
      <c r="AY41" s="16">
        <v>-3.3415061437084836E-2</v>
      </c>
      <c r="AZ41" s="16">
        <v>1.505115911086885E-2</v>
      </c>
      <c r="BA41" s="16">
        <v>8.5930400752665559E-2</v>
      </c>
      <c r="BB41" s="16">
        <f t="shared" si="21"/>
        <v>-1.3370520143525355E-2</v>
      </c>
      <c r="BC41" s="16"/>
      <c r="BD41" s="1"/>
      <c r="BE41" s="16">
        <f>AM41/'2019-20 disagg'!AM41-1</f>
        <v>3.6599723436409715E-2</v>
      </c>
      <c r="BF41" s="16">
        <f>AN41/'2019-20 disagg'!AN41-1</f>
        <v>3.8048861010234303E-2</v>
      </c>
      <c r="BG41" s="16">
        <f>AO41/'2019-20 disagg'!AO41-1</f>
        <v>4.6670953151675132E-2</v>
      </c>
      <c r="BH41" s="16">
        <f>AQ41/'2019-20 disagg'!AQ41-1</f>
        <v>3.8215214779014683E-2</v>
      </c>
      <c r="BI41" s="1"/>
      <c r="BJ41" s="16">
        <f>AS41/'2019-20 disagg'!AS41-1</f>
        <v>3.3053016159679371E-2</v>
      </c>
      <c r="BK41" s="16">
        <f>AT41/'2019-20 disagg'!AT41-1</f>
        <v>3.4497195535405423E-2</v>
      </c>
      <c r="BL41" s="16">
        <f>AU41/'2019-20 disagg'!AU41-1</f>
        <v>4.3089787343933095E-2</v>
      </c>
      <c r="BM41" s="16">
        <f>AW41/'2019-20 disagg'!AW41-1</f>
        <v>3.4662980127762699E-2</v>
      </c>
    </row>
    <row r="42" spans="1:65" x14ac:dyDescent="0.2">
      <c r="A42" s="156" t="s">
        <v>129</v>
      </c>
      <c r="B42" s="156" t="s">
        <v>130</v>
      </c>
      <c r="D42" s="56">
        <f>VLOOKUP(A42,'2020-21'!$A$12:$AMX250,32,FALSE)</f>
        <v>343273</v>
      </c>
      <c r="E42" s="56">
        <v>1923.6518873193359</v>
      </c>
      <c r="F42" s="16">
        <f>VLOOKUP(A42,'2020-21'!$A$12:$AMX250,34,FALSE)</f>
        <v>3.9210343877622122E-2</v>
      </c>
      <c r="G42" s="16">
        <f>VLOOKUP(A42,'2020-21'!$A$12:$AMX250,35,FALSE)</f>
        <v>3.2537976913147082E-2</v>
      </c>
      <c r="H42" s="56"/>
      <c r="I42" s="56">
        <v>332322.34473908704</v>
      </c>
      <c r="J42" s="56">
        <v>1862.2860104224094</v>
      </c>
      <c r="K42" s="16">
        <f t="shared" si="6"/>
        <v>3.2951907791546553E-2</v>
      </c>
      <c r="L42" s="58">
        <f t="shared" si="6"/>
        <v>3.2951907791546553E-2</v>
      </c>
      <c r="M42" s="10"/>
      <c r="N42" s="56">
        <v>257586</v>
      </c>
      <c r="O42" s="56">
        <v>26685</v>
      </c>
      <c r="P42" s="56">
        <v>59002</v>
      </c>
      <c r="R42" s="56">
        <f t="shared" si="7"/>
        <v>59002</v>
      </c>
      <c r="S42" s="56">
        <f t="shared" si="8"/>
        <v>0</v>
      </c>
      <c r="U42" s="16">
        <v>2.3729046537990017E-2</v>
      </c>
      <c r="V42" s="16">
        <v>-4.8602454942222928E-2</v>
      </c>
      <c r="W42" s="56">
        <f t="shared" si="9"/>
        <v>3</v>
      </c>
      <c r="X42" s="56">
        <f t="shared" si="10"/>
        <v>2516.1540631390217</v>
      </c>
      <c r="Y42" s="56">
        <f t="shared" si="10"/>
        <v>280.48211957893432</v>
      </c>
      <c r="AA42" s="56">
        <f t="shared" si="22"/>
        <v>0</v>
      </c>
      <c r="AB42" s="56">
        <v>0</v>
      </c>
      <c r="AC42" s="56">
        <f t="shared" si="11"/>
        <v>0</v>
      </c>
      <c r="AE42" s="56">
        <v>0</v>
      </c>
      <c r="AF42" s="56">
        <f t="shared" si="12"/>
        <v>0</v>
      </c>
      <c r="AG42" s="56">
        <f t="shared" si="13"/>
        <v>0</v>
      </c>
      <c r="AI42" s="56">
        <f t="shared" si="14"/>
        <v>0</v>
      </c>
      <c r="AJ42" s="56">
        <f t="shared" si="15"/>
        <v>0</v>
      </c>
      <c r="AK42" s="56">
        <f t="shared" si="16"/>
        <v>0</v>
      </c>
      <c r="AM42" s="56">
        <f t="shared" si="17"/>
        <v>257586</v>
      </c>
      <c r="AN42" s="56">
        <f t="shared" si="18"/>
        <v>26685</v>
      </c>
      <c r="AO42" s="56">
        <f t="shared" si="19"/>
        <v>59002</v>
      </c>
      <c r="AP42" s="56"/>
      <c r="AQ42" s="56">
        <f t="shared" si="20"/>
        <v>343273</v>
      </c>
      <c r="AR42" s="1"/>
      <c r="AS42" s="56">
        <v>1443.4744213702752</v>
      </c>
      <c r="AT42" s="56">
        <v>149.5388527880622</v>
      </c>
      <c r="AU42" s="56">
        <v>330.63861316099855</v>
      </c>
      <c r="AV42" s="56"/>
      <c r="AW42" s="56">
        <v>1923.6518873193359</v>
      </c>
      <c r="AX42" s="1"/>
      <c r="AY42" s="16">
        <v>2.3729046537990017E-2</v>
      </c>
      <c r="AZ42" s="16">
        <v>-4.8602454942222928E-2</v>
      </c>
      <c r="BA42" s="16">
        <v>0.12046006347397298</v>
      </c>
      <c r="BB42" s="16">
        <f t="shared" si="21"/>
        <v>3.2951907791546553E-2</v>
      </c>
      <c r="BC42" s="16"/>
      <c r="BD42" s="1"/>
      <c r="BE42" s="16">
        <f>AM42/'2019-20 disagg'!AM42-1</f>
        <v>3.6600923172267708E-2</v>
      </c>
      <c r="BF42" s="16">
        <f>AN42/'2019-20 disagg'!AN42-1</f>
        <v>4.1203324359124327E-2</v>
      </c>
      <c r="BG42" s="16">
        <f>AO42/'2019-20 disagg'!AO42-1</f>
        <v>4.9838970836817875E-2</v>
      </c>
      <c r="BH42" s="16">
        <f>AQ42/'2019-20 disagg'!AQ42-1</f>
        <v>3.9210343877622122E-2</v>
      </c>
      <c r="BI42" s="1"/>
      <c r="BJ42" s="16">
        <f>AS42/'2019-20 disagg'!AS42-1</f>
        <v>2.9945310287093019E-2</v>
      </c>
      <c r="BK42" s="16">
        <f>AT42/'2019-20 disagg'!AT42-1</f>
        <v>3.4518161239180056E-2</v>
      </c>
      <c r="BL42" s="16">
        <f>AU42/'2019-20 disagg'!AU42-1</f>
        <v>4.3098361576817235E-2</v>
      </c>
      <c r="BM42" s="16">
        <f>AW42/'2019-20 disagg'!AW42-1</f>
        <v>3.2537976913147082E-2</v>
      </c>
    </row>
    <row r="43" spans="1:65" x14ac:dyDescent="0.2">
      <c r="A43" s="156" t="s">
        <v>131</v>
      </c>
      <c r="B43" s="156" t="s">
        <v>132</v>
      </c>
      <c r="D43" s="56">
        <f>VLOOKUP(A43,'2020-21'!$A$12:$AMX251,32,FALSE)</f>
        <v>338559</v>
      </c>
      <c r="E43" s="56">
        <v>2181.8485438566076</v>
      </c>
      <c r="F43" s="16">
        <f>VLOOKUP(A43,'2020-21'!$A$12:$AMX251,34,FALSE)</f>
        <v>3.3389292472987053E-2</v>
      </c>
      <c r="G43" s="16">
        <f>VLOOKUP(A43,'2020-21'!$A$12:$AMX251,35,FALSE)</f>
        <v>3.2833088183856995E-2</v>
      </c>
      <c r="H43" s="56"/>
      <c r="I43" s="56">
        <v>320550.53223482543</v>
      </c>
      <c r="J43" s="56">
        <v>2065.7927037503491</v>
      </c>
      <c r="K43" s="16">
        <f t="shared" si="6"/>
        <v>5.6179809278813275E-2</v>
      </c>
      <c r="L43" s="58">
        <f t="shared" si="6"/>
        <v>5.6179809278813275E-2</v>
      </c>
      <c r="M43" s="10"/>
      <c r="N43" s="56">
        <v>255730</v>
      </c>
      <c r="O43" s="56">
        <v>22770</v>
      </c>
      <c r="P43" s="56">
        <v>60059</v>
      </c>
      <c r="R43" s="56">
        <f t="shared" si="7"/>
        <v>60059</v>
      </c>
      <c r="S43" s="56">
        <f t="shared" si="8"/>
        <v>0</v>
      </c>
      <c r="U43" s="16">
        <v>5.5092894302615214E-2</v>
      </c>
      <c r="V43" s="16">
        <v>-4.8208068239656399E-2</v>
      </c>
      <c r="W43" s="56">
        <f t="shared" si="9"/>
        <v>3</v>
      </c>
      <c r="X43" s="56">
        <f t="shared" si="10"/>
        <v>2423.767626347535</v>
      </c>
      <c r="Y43" s="56">
        <f t="shared" si="10"/>
        <v>239.23295880315752</v>
      </c>
      <c r="AA43" s="56">
        <f t="shared" si="22"/>
        <v>0</v>
      </c>
      <c r="AB43" s="56">
        <v>0</v>
      </c>
      <c r="AC43" s="56">
        <f t="shared" si="11"/>
        <v>0</v>
      </c>
      <c r="AE43" s="56">
        <v>0</v>
      </c>
      <c r="AF43" s="56">
        <f t="shared" si="12"/>
        <v>0</v>
      </c>
      <c r="AG43" s="56">
        <f t="shared" si="13"/>
        <v>0</v>
      </c>
      <c r="AI43" s="56">
        <f t="shared" si="14"/>
        <v>0</v>
      </c>
      <c r="AJ43" s="56">
        <f t="shared" si="15"/>
        <v>0</v>
      </c>
      <c r="AK43" s="56">
        <f t="shared" si="16"/>
        <v>0</v>
      </c>
      <c r="AM43" s="56">
        <f t="shared" si="17"/>
        <v>255730</v>
      </c>
      <c r="AN43" s="56">
        <f t="shared" si="18"/>
        <v>22770</v>
      </c>
      <c r="AO43" s="56">
        <f t="shared" si="19"/>
        <v>60059</v>
      </c>
      <c r="AP43" s="56"/>
      <c r="AQ43" s="56">
        <f t="shared" si="20"/>
        <v>338559</v>
      </c>
      <c r="AR43" s="1"/>
      <c r="AS43" s="56">
        <v>1648.0558133750699</v>
      </c>
      <c r="AT43" s="56">
        <v>146.74160587553411</v>
      </c>
      <c r="AU43" s="56">
        <v>387.05112460600367</v>
      </c>
      <c r="AV43" s="56"/>
      <c r="AW43" s="56">
        <v>2181.8485438566076</v>
      </c>
      <c r="AX43" s="1"/>
      <c r="AY43" s="16">
        <v>5.5092894302615214E-2</v>
      </c>
      <c r="AZ43" s="16">
        <v>-4.8208068239656399E-2</v>
      </c>
      <c r="BA43" s="16">
        <v>0.10706867391147923</v>
      </c>
      <c r="BB43" s="16">
        <f t="shared" si="21"/>
        <v>5.6179809278813275E-2</v>
      </c>
      <c r="BC43" s="16"/>
      <c r="BD43" s="1"/>
      <c r="BE43" s="16">
        <f>AM43/'2019-20 disagg'!AM43-1</f>
        <v>3.0857603547314261E-2</v>
      </c>
      <c r="BF43" s="16">
        <f>AN43/'2019-20 disagg'!AN43-1</f>
        <v>3.5047047593072422E-2</v>
      </c>
      <c r="BG43" s="16">
        <f>AO43/'2019-20 disagg'!AO43-1</f>
        <v>4.3669412296249988E-2</v>
      </c>
      <c r="BH43" s="16">
        <f>AQ43/'2019-20 disagg'!AQ43-1</f>
        <v>3.3389292472987053E-2</v>
      </c>
      <c r="BI43" s="1"/>
      <c r="BJ43" s="16">
        <f>AS43/'2019-20 disagg'!AS43-1</f>
        <v>3.0302761896881636E-2</v>
      </c>
      <c r="BK43" s="16">
        <f>AT43/'2019-20 disagg'!AT43-1</f>
        <v>3.4489951045318268E-2</v>
      </c>
      <c r="BL43" s="16">
        <f>AU43/'2019-20 disagg'!AU43-1</f>
        <v>4.3107674906689875E-2</v>
      </c>
      <c r="BM43" s="16">
        <f>AW43/'2019-20 disagg'!AW43-1</f>
        <v>3.2833088183856995E-2</v>
      </c>
    </row>
    <row r="44" spans="1:65" x14ac:dyDescent="0.2">
      <c r="A44" s="156" t="s">
        <v>133</v>
      </c>
      <c r="B44" s="156" t="s">
        <v>134</v>
      </c>
      <c r="D44" s="56">
        <f>VLOOKUP(A44,'2020-21'!$A$12:$AMX252,32,FALSE)</f>
        <v>249799</v>
      </c>
      <c r="E44" s="56">
        <v>1996.1734987683647</v>
      </c>
      <c r="F44" s="16">
        <f>VLOOKUP(A44,'2020-21'!$A$12:$AMX252,34,FALSE)</f>
        <v>3.7974736142275312E-2</v>
      </c>
      <c r="G44" s="16">
        <f>VLOOKUP(A44,'2020-21'!$A$12:$AMX252,35,FALSE)</f>
        <v>3.5299392287942544E-2</v>
      </c>
      <c r="H44" s="56"/>
      <c r="I44" s="56">
        <v>242730.20632669341</v>
      </c>
      <c r="J44" s="56">
        <v>1939.685928366097</v>
      </c>
      <c r="K44" s="16">
        <f t="shared" si="6"/>
        <v>2.9122018970282548E-2</v>
      </c>
      <c r="L44" s="58">
        <f t="shared" si="6"/>
        <v>2.9122018970282548E-2</v>
      </c>
      <c r="M44" s="10"/>
      <c r="N44" s="56">
        <v>195711</v>
      </c>
      <c r="O44" s="56">
        <v>17627</v>
      </c>
      <c r="P44" s="56">
        <v>36461</v>
      </c>
      <c r="R44" s="56">
        <f t="shared" si="7"/>
        <v>36461</v>
      </c>
      <c r="S44" s="56">
        <f t="shared" si="8"/>
        <v>0</v>
      </c>
      <c r="U44" s="16">
        <v>3.4784341810463193E-2</v>
      </c>
      <c r="V44" s="16">
        <v>-1.9779183487508845E-2</v>
      </c>
      <c r="W44" s="56">
        <f t="shared" si="9"/>
        <v>3</v>
      </c>
      <c r="X44" s="56">
        <f t="shared" si="10"/>
        <v>1891.3216222192073</v>
      </c>
      <c r="Y44" s="56">
        <f t="shared" si="10"/>
        <v>179.82682782349764</v>
      </c>
      <c r="AA44" s="56">
        <f t="shared" si="22"/>
        <v>0</v>
      </c>
      <c r="AB44" s="56">
        <v>0</v>
      </c>
      <c r="AC44" s="56">
        <f t="shared" si="11"/>
        <v>0</v>
      </c>
      <c r="AE44" s="56">
        <v>0</v>
      </c>
      <c r="AF44" s="56">
        <f t="shared" si="12"/>
        <v>0</v>
      </c>
      <c r="AG44" s="56">
        <f t="shared" si="13"/>
        <v>0</v>
      </c>
      <c r="AI44" s="56">
        <f t="shared" si="14"/>
        <v>0</v>
      </c>
      <c r="AJ44" s="56">
        <f t="shared" si="15"/>
        <v>0</v>
      </c>
      <c r="AK44" s="56">
        <f t="shared" si="16"/>
        <v>0</v>
      </c>
      <c r="AM44" s="56">
        <f t="shared" si="17"/>
        <v>195711</v>
      </c>
      <c r="AN44" s="56">
        <f t="shared" si="18"/>
        <v>17627</v>
      </c>
      <c r="AO44" s="56">
        <f t="shared" si="19"/>
        <v>36461</v>
      </c>
      <c r="AP44" s="56"/>
      <c r="AQ44" s="56">
        <f t="shared" si="20"/>
        <v>249799</v>
      </c>
      <c r="AR44" s="1"/>
      <c r="AS44" s="56">
        <v>1563.9498621589976</v>
      </c>
      <c r="AT44" s="56">
        <v>140.85945205060855</v>
      </c>
      <c r="AU44" s="56">
        <v>291.36418455875861</v>
      </c>
      <c r="AV44" s="56"/>
      <c r="AW44" s="56">
        <v>1996.1734987683647</v>
      </c>
      <c r="AX44" s="1"/>
      <c r="AY44" s="16">
        <v>3.4784341810463193E-2</v>
      </c>
      <c r="AZ44" s="16">
        <v>-1.9779183487508845E-2</v>
      </c>
      <c r="BA44" s="16">
        <v>2.3743650104278924E-2</v>
      </c>
      <c r="BB44" s="16">
        <f t="shared" si="21"/>
        <v>2.9122018970282548E-2</v>
      </c>
      <c r="BC44" s="16"/>
      <c r="BD44" s="1"/>
      <c r="BE44" s="16">
        <f>AM44/'2019-20 disagg'!AM44-1</f>
        <v>3.6599382418525339E-2</v>
      </c>
      <c r="BF44" s="16">
        <f>AN44/'2019-20 disagg'!AN44-1</f>
        <v>3.7187408061194471E-2</v>
      </c>
      <c r="BG44" s="16">
        <f>AO44/'2019-20 disagg'!AO44-1</f>
        <v>4.5806562643414317E-2</v>
      </c>
      <c r="BH44" s="16">
        <f>AQ44/'2019-20 disagg'!AQ44-1</f>
        <v>3.7974736142275312E-2</v>
      </c>
      <c r="BI44" s="1"/>
      <c r="BJ44" s="16">
        <f>AS44/'2019-20 disagg'!AS44-1</f>
        <v>3.3927583490677149E-2</v>
      </c>
      <c r="BK44" s="16">
        <f>AT44/'2019-20 disagg'!AT44-1</f>
        <v>3.4514093517662436E-2</v>
      </c>
      <c r="BL44" s="16">
        <f>AU44/'2019-20 disagg'!AU44-1</f>
        <v>4.3111032528117432E-2</v>
      </c>
      <c r="BM44" s="16">
        <f>AW44/'2019-20 disagg'!AW44-1</f>
        <v>3.5299392287942544E-2</v>
      </c>
    </row>
    <row r="45" spans="1:65" x14ac:dyDescent="0.2">
      <c r="A45" s="156" t="s">
        <v>135</v>
      </c>
      <c r="B45" s="156" t="s">
        <v>136</v>
      </c>
      <c r="D45" s="56">
        <f>VLOOKUP(A45,'2020-21'!$A$12:$AMX253,32,FALSE)</f>
        <v>405065</v>
      </c>
      <c r="E45" s="56">
        <v>2030.640733218333</v>
      </c>
      <c r="F45" s="16">
        <f>VLOOKUP(A45,'2020-21'!$A$12:$AMX253,34,FALSE)</f>
        <v>3.8375267563029558E-2</v>
      </c>
      <c r="G45" s="16">
        <f>VLOOKUP(A45,'2020-21'!$A$12:$AMX253,35,FALSE)</f>
        <v>3.4102575506430366E-2</v>
      </c>
      <c r="H45" s="56"/>
      <c r="I45" s="56">
        <v>399897.29915774224</v>
      </c>
      <c r="J45" s="56">
        <v>2004.7344124367912</v>
      </c>
      <c r="K45" s="16">
        <f t="shared" si="6"/>
        <v>1.2922570002702916E-2</v>
      </c>
      <c r="L45" s="58">
        <f t="shared" si="6"/>
        <v>1.2922570002702916E-2</v>
      </c>
      <c r="M45" s="10"/>
      <c r="N45" s="56">
        <v>313694</v>
      </c>
      <c r="O45" s="56">
        <v>30431</v>
      </c>
      <c r="P45" s="56">
        <v>60940</v>
      </c>
      <c r="R45" s="56">
        <f t="shared" si="7"/>
        <v>60940</v>
      </c>
      <c r="S45" s="56">
        <f t="shared" si="8"/>
        <v>0</v>
      </c>
      <c r="U45" s="16">
        <v>3.9795624698419907E-3</v>
      </c>
      <c r="V45" s="16">
        <v>1.5015735155831322E-2</v>
      </c>
      <c r="W45" s="56">
        <f t="shared" si="9"/>
        <v>2</v>
      </c>
      <c r="X45" s="56">
        <f t="shared" si="10"/>
        <v>3124.5058338468207</v>
      </c>
      <c r="Y45" s="56">
        <f t="shared" si="10"/>
        <v>299.8081600708195</v>
      </c>
      <c r="AA45" s="56">
        <f t="shared" si="22"/>
        <v>0</v>
      </c>
      <c r="AB45" s="56">
        <v>0</v>
      </c>
      <c r="AC45" s="56">
        <f t="shared" si="11"/>
        <v>0</v>
      </c>
      <c r="AE45" s="56">
        <v>0</v>
      </c>
      <c r="AF45" s="56">
        <f t="shared" si="12"/>
        <v>0</v>
      </c>
      <c r="AG45" s="56">
        <f t="shared" si="13"/>
        <v>0</v>
      </c>
      <c r="AI45" s="56">
        <f t="shared" si="14"/>
        <v>0</v>
      </c>
      <c r="AJ45" s="56">
        <f t="shared" si="15"/>
        <v>0</v>
      </c>
      <c r="AK45" s="56">
        <f t="shared" si="16"/>
        <v>0</v>
      </c>
      <c r="AM45" s="56">
        <f t="shared" si="17"/>
        <v>313694</v>
      </c>
      <c r="AN45" s="56">
        <f t="shared" si="18"/>
        <v>30431</v>
      </c>
      <c r="AO45" s="56">
        <f t="shared" si="19"/>
        <v>60940</v>
      </c>
      <c r="AP45" s="56"/>
      <c r="AQ45" s="56">
        <f t="shared" si="20"/>
        <v>405065</v>
      </c>
      <c r="AR45" s="1"/>
      <c r="AS45" s="56">
        <v>1572.5866568728272</v>
      </c>
      <c r="AT45" s="56">
        <v>152.5543509129821</v>
      </c>
      <c r="AU45" s="56">
        <v>305.49972543252369</v>
      </c>
      <c r="AV45" s="56"/>
      <c r="AW45" s="56">
        <v>2030.640733218333</v>
      </c>
      <c r="AX45" s="1"/>
      <c r="AY45" s="16">
        <v>3.9795624698419907E-3</v>
      </c>
      <c r="AZ45" s="16">
        <v>1.5015735155831322E-2</v>
      </c>
      <c r="BA45" s="16">
        <v>6.0454987186654208E-2</v>
      </c>
      <c r="BB45" s="16">
        <f t="shared" si="21"/>
        <v>1.2922570002702916E-2</v>
      </c>
      <c r="BC45" s="16"/>
      <c r="BD45" s="1"/>
      <c r="BE45" s="16">
        <f>AM45/'2019-20 disagg'!AM45-1</f>
        <v>3.6600598774692905E-2</v>
      </c>
      <c r="BF45" s="16">
        <f>AN45/'2019-20 disagg'!AN45-1</f>
        <v>3.8777948455367861E-2</v>
      </c>
      <c r="BG45" s="16">
        <f>AO45/'2019-20 disagg'!AO45-1</f>
        <v>4.7402976865697388E-2</v>
      </c>
      <c r="BH45" s="16">
        <f>AQ45/'2019-20 disagg'!AQ45-1</f>
        <v>3.8375267563029558E-2</v>
      </c>
      <c r="BI45" s="1"/>
      <c r="BJ45" s="16">
        <f>AS45/'2019-20 disagg'!AS45-1</f>
        <v>3.2335209100451845E-2</v>
      </c>
      <c r="BK45" s="16">
        <f>AT45/'2019-20 disagg'!AT45-1</f>
        <v>3.4503599453053813E-2</v>
      </c>
      <c r="BL45" s="16">
        <f>AU45/'2019-20 disagg'!AU45-1</f>
        <v>4.3093137716874619E-2</v>
      </c>
      <c r="BM45" s="16">
        <f>AW45/'2019-20 disagg'!AW45-1</f>
        <v>3.4102575506430366E-2</v>
      </c>
    </row>
    <row r="46" spans="1:65" x14ac:dyDescent="0.2">
      <c r="A46" s="156" t="s">
        <v>137</v>
      </c>
      <c r="B46" s="156" t="s">
        <v>138</v>
      </c>
      <c r="D46" s="56">
        <f>VLOOKUP(A46,'2020-21'!$A$12:$AMX254,32,FALSE)</f>
        <v>572340</v>
      </c>
      <c r="E46" s="56">
        <v>1825.040695167557</v>
      </c>
      <c r="F46" s="16">
        <f>VLOOKUP(A46,'2020-21'!$A$12:$AMX254,34,FALSE)</f>
        <v>3.8844590780467536E-2</v>
      </c>
      <c r="G46" s="16">
        <f>VLOOKUP(A46,'2020-21'!$A$12:$AMX254,35,FALSE)</f>
        <v>3.3700330653352983E-2</v>
      </c>
      <c r="H46" s="56"/>
      <c r="I46" s="56">
        <v>581962.58510280307</v>
      </c>
      <c r="J46" s="56">
        <v>1855.7245708451765</v>
      </c>
      <c r="K46" s="16">
        <f t="shared" si="6"/>
        <v>-1.6534714342681056E-2</v>
      </c>
      <c r="L46" s="58">
        <f t="shared" si="6"/>
        <v>-1.6534714342681056E-2</v>
      </c>
      <c r="M46" s="10"/>
      <c r="N46" s="56">
        <v>430469</v>
      </c>
      <c r="O46" s="56">
        <v>41985</v>
      </c>
      <c r="P46" s="56">
        <v>99886</v>
      </c>
      <c r="R46" s="56">
        <f t="shared" si="7"/>
        <v>99886</v>
      </c>
      <c r="S46" s="56">
        <f t="shared" si="8"/>
        <v>0</v>
      </c>
      <c r="U46" s="16">
        <v>-4.3355780501807994E-2</v>
      </c>
      <c r="V46" s="16">
        <v>-4.8387351556558933E-2</v>
      </c>
      <c r="W46" s="56">
        <f t="shared" si="9"/>
        <v>4</v>
      </c>
      <c r="X46" s="56">
        <f t="shared" si="10"/>
        <v>4499.7815407885137</v>
      </c>
      <c r="Y46" s="56">
        <f t="shared" si="10"/>
        <v>441.19842321006485</v>
      </c>
      <c r="AA46" s="56">
        <f t="shared" si="22"/>
        <v>0</v>
      </c>
      <c r="AB46" s="56">
        <v>0</v>
      </c>
      <c r="AC46" s="56">
        <f t="shared" si="11"/>
        <v>0</v>
      </c>
      <c r="AE46" s="56">
        <v>0</v>
      </c>
      <c r="AF46" s="56">
        <f t="shared" si="12"/>
        <v>0</v>
      </c>
      <c r="AG46" s="56">
        <f t="shared" si="13"/>
        <v>0</v>
      </c>
      <c r="AI46" s="56">
        <f t="shared" si="14"/>
        <v>0</v>
      </c>
      <c r="AJ46" s="56">
        <f t="shared" si="15"/>
        <v>0</v>
      </c>
      <c r="AK46" s="56">
        <f t="shared" si="16"/>
        <v>0</v>
      </c>
      <c r="AM46" s="56">
        <f t="shared" si="17"/>
        <v>430469</v>
      </c>
      <c r="AN46" s="56">
        <f t="shared" si="18"/>
        <v>41985</v>
      </c>
      <c r="AO46" s="56">
        <f t="shared" si="19"/>
        <v>99886</v>
      </c>
      <c r="AP46" s="56"/>
      <c r="AQ46" s="56">
        <f t="shared" si="20"/>
        <v>572340</v>
      </c>
      <c r="AR46" s="1"/>
      <c r="AS46" s="56">
        <v>1372.6516458889525</v>
      </c>
      <c r="AT46" s="56">
        <v>133.87904669708544</v>
      </c>
      <c r="AU46" s="56">
        <v>318.51000258151902</v>
      </c>
      <c r="AV46" s="56"/>
      <c r="AW46" s="56">
        <v>1825.040695167557</v>
      </c>
      <c r="AX46" s="1"/>
      <c r="AY46" s="16">
        <v>-4.3355780501807994E-2</v>
      </c>
      <c r="AZ46" s="16">
        <v>-4.8387351556558933E-2</v>
      </c>
      <c r="BA46" s="16">
        <v>0.13681747646594089</v>
      </c>
      <c r="BB46" s="16">
        <f t="shared" si="21"/>
        <v>-1.6534714342681056E-2</v>
      </c>
      <c r="BC46" s="16"/>
      <c r="BD46" s="1"/>
      <c r="BE46" s="16">
        <f>AM46/'2019-20 disagg'!AM46-1</f>
        <v>3.6600284152479068E-2</v>
      </c>
      <c r="BF46" s="16">
        <f>AN46/'2019-20 disagg'!AN46-1</f>
        <v>3.9644413629160047E-2</v>
      </c>
      <c r="BG46" s="16">
        <f>AO46/'2019-20 disagg'!AO46-1</f>
        <v>4.8286718790995442E-2</v>
      </c>
      <c r="BH46" s="16">
        <f>AQ46/'2019-20 disagg'!AQ46-1</f>
        <v>3.8844590780467536E-2</v>
      </c>
      <c r="BI46" s="1"/>
      <c r="BJ46" s="16">
        <f>AS46/'2019-20 disagg'!AS46-1</f>
        <v>3.1467137619449526E-2</v>
      </c>
      <c r="BK46" s="16">
        <f>AT46/'2019-20 disagg'!AT46-1</f>
        <v>3.4496192854971186E-2</v>
      </c>
      <c r="BL46" s="16">
        <f>AU46/'2019-20 disagg'!AU46-1</f>
        <v>4.3095702139304803E-2</v>
      </c>
      <c r="BM46" s="16">
        <f>AW46/'2019-20 disagg'!AW46-1</f>
        <v>3.3700330653352983E-2</v>
      </c>
    </row>
    <row r="47" spans="1:65" x14ac:dyDescent="0.2">
      <c r="A47" s="156" t="s">
        <v>139</v>
      </c>
      <c r="B47" s="156" t="s">
        <v>140</v>
      </c>
      <c r="D47" s="56">
        <f>VLOOKUP(A47,'2020-21'!$A$12:$AMX255,32,FALSE)</f>
        <v>485533</v>
      </c>
      <c r="E47" s="56">
        <v>1935.0099956302449</v>
      </c>
      <c r="F47" s="16">
        <f>VLOOKUP(A47,'2020-21'!$A$12:$AMX255,34,FALSE)</f>
        <v>3.8884371790482763E-2</v>
      </c>
      <c r="G47" s="16">
        <f>VLOOKUP(A47,'2020-21'!$A$12:$AMX255,35,FALSE)</f>
        <v>3.300876560017918E-2</v>
      </c>
      <c r="H47" s="56"/>
      <c r="I47" s="56">
        <v>485012.88699288887</v>
      </c>
      <c r="J47" s="56">
        <v>1932.9371728404092</v>
      </c>
      <c r="K47" s="16">
        <f t="shared" si="6"/>
        <v>1.0723694587495558E-3</v>
      </c>
      <c r="L47" s="58">
        <f t="shared" si="6"/>
        <v>1.0723694587495558E-3</v>
      </c>
      <c r="M47" s="10"/>
      <c r="N47" s="56">
        <v>370832</v>
      </c>
      <c r="O47" s="56">
        <v>35485</v>
      </c>
      <c r="P47" s="56">
        <v>79216</v>
      </c>
      <c r="R47" s="56">
        <f t="shared" si="7"/>
        <v>79216</v>
      </c>
      <c r="S47" s="56">
        <f t="shared" si="8"/>
        <v>0</v>
      </c>
      <c r="U47" s="16">
        <v>-8.3080099176583433E-3</v>
      </c>
      <c r="V47" s="16">
        <v>-4.8119728726371269E-2</v>
      </c>
      <c r="W47" s="56">
        <f t="shared" si="9"/>
        <v>4</v>
      </c>
      <c r="X47" s="56">
        <f t="shared" si="10"/>
        <v>3739.3868631449695</v>
      </c>
      <c r="Y47" s="56">
        <f t="shared" si="10"/>
        <v>372.78848055670477</v>
      </c>
      <c r="AA47" s="56">
        <f t="shared" si="22"/>
        <v>0</v>
      </c>
      <c r="AB47" s="56">
        <v>0</v>
      </c>
      <c r="AC47" s="56">
        <f t="shared" si="11"/>
        <v>0</v>
      </c>
      <c r="AE47" s="56">
        <v>0</v>
      </c>
      <c r="AF47" s="56">
        <f t="shared" si="12"/>
        <v>0</v>
      </c>
      <c r="AG47" s="56">
        <f t="shared" si="13"/>
        <v>0</v>
      </c>
      <c r="AI47" s="56">
        <f t="shared" si="14"/>
        <v>0</v>
      </c>
      <c r="AJ47" s="56">
        <f t="shared" si="15"/>
        <v>0</v>
      </c>
      <c r="AK47" s="56">
        <f t="shared" si="16"/>
        <v>0</v>
      </c>
      <c r="AM47" s="56">
        <f t="shared" si="17"/>
        <v>370832</v>
      </c>
      <c r="AN47" s="56">
        <f t="shared" si="18"/>
        <v>35485</v>
      </c>
      <c r="AO47" s="56">
        <f t="shared" si="19"/>
        <v>79216</v>
      </c>
      <c r="AP47" s="56"/>
      <c r="AQ47" s="56">
        <f t="shared" si="20"/>
        <v>485533</v>
      </c>
      <c r="AR47" s="1"/>
      <c r="AS47" s="56">
        <v>1477.888478640082</v>
      </c>
      <c r="AT47" s="56">
        <v>141.41949094075838</v>
      </c>
      <c r="AU47" s="56">
        <v>315.70202604940442</v>
      </c>
      <c r="AV47" s="56"/>
      <c r="AW47" s="56">
        <v>1935.0099956302449</v>
      </c>
      <c r="AX47" s="1"/>
      <c r="AY47" s="16">
        <v>-8.3080099176583433E-3</v>
      </c>
      <c r="AZ47" s="16">
        <v>-4.8119728726371269E-2</v>
      </c>
      <c r="BA47" s="16">
        <v>7.3455132127243861E-2</v>
      </c>
      <c r="BB47" s="16">
        <f t="shared" si="21"/>
        <v>1.0723694587495558E-3</v>
      </c>
      <c r="BC47" s="16"/>
      <c r="BD47" s="1"/>
      <c r="BE47" s="16">
        <f>AM47/'2019-20 disagg'!AM47-1</f>
        <v>3.6599308434361433E-2</v>
      </c>
      <c r="BF47" s="16">
        <f>AN47/'2019-20 disagg'!AN47-1</f>
        <v>4.0371760290840886E-2</v>
      </c>
      <c r="BG47" s="16">
        <f>AO47/'2019-20 disagg'!AO47-1</f>
        <v>4.9037914001562655E-2</v>
      </c>
      <c r="BH47" s="16">
        <f>AQ47/'2019-20 disagg'!AQ47-1</f>
        <v>3.8884371790482763E-2</v>
      </c>
      <c r="BI47" s="1"/>
      <c r="BJ47" s="16">
        <f>AS47/'2019-20 disagg'!AS47-1</f>
        <v>3.0736625850153798E-2</v>
      </c>
      <c r="BK47" s="16">
        <f>AT47/'2019-20 disagg'!AT47-1</f>
        <v>3.4487741894792867E-2</v>
      </c>
      <c r="BL47" s="16">
        <f>AU47/'2019-20 disagg'!AU47-1</f>
        <v>4.3104882541336043E-2</v>
      </c>
      <c r="BM47" s="16">
        <f>AW47/'2019-20 disagg'!AW47-1</f>
        <v>3.300876560017918E-2</v>
      </c>
    </row>
    <row r="48" spans="1:65" x14ac:dyDescent="0.2">
      <c r="A48" s="156" t="s">
        <v>141</v>
      </c>
      <c r="B48" s="156" t="s">
        <v>142</v>
      </c>
      <c r="D48" s="56">
        <f>VLOOKUP(A48,'2020-21'!$A$12:$AMX256,32,FALSE)</f>
        <v>436011</v>
      </c>
      <c r="E48" s="56">
        <v>1761.9566575201034</v>
      </c>
      <c r="F48" s="16">
        <f>VLOOKUP(A48,'2020-21'!$A$12:$AMX256,34,FALSE)</f>
        <v>3.9514873509013171E-2</v>
      </c>
      <c r="G48" s="16">
        <f>VLOOKUP(A48,'2020-21'!$A$12:$AMX256,35,FALSE)</f>
        <v>3.2196621104039869E-2</v>
      </c>
      <c r="H48" s="56"/>
      <c r="I48" s="56">
        <v>431084.14874331071</v>
      </c>
      <c r="J48" s="56">
        <v>1742.0468424642104</v>
      </c>
      <c r="K48" s="16">
        <f t="shared" si="6"/>
        <v>1.1428978010562307E-2</v>
      </c>
      <c r="L48" s="58">
        <f t="shared" si="6"/>
        <v>1.1428978010562307E-2</v>
      </c>
      <c r="M48" s="10"/>
      <c r="N48" s="56">
        <v>323092</v>
      </c>
      <c r="O48" s="56">
        <v>33053</v>
      </c>
      <c r="P48" s="56">
        <v>79866</v>
      </c>
      <c r="R48" s="56">
        <f t="shared" si="7"/>
        <v>79866</v>
      </c>
      <c r="S48" s="56">
        <f t="shared" si="8"/>
        <v>0</v>
      </c>
      <c r="U48" s="16">
        <v>-6.6369643522392607E-3</v>
      </c>
      <c r="V48" s="16">
        <v>-1.4297081807118639E-2</v>
      </c>
      <c r="W48" s="56">
        <f t="shared" si="9"/>
        <v>4</v>
      </c>
      <c r="X48" s="56">
        <f t="shared" si="10"/>
        <v>3252.5067714978481</v>
      </c>
      <c r="Y48" s="56">
        <f t="shared" si="10"/>
        <v>335.32415690314735</v>
      </c>
      <c r="AA48" s="56">
        <f t="shared" si="22"/>
        <v>0</v>
      </c>
      <c r="AB48" s="56">
        <v>0</v>
      </c>
      <c r="AC48" s="56">
        <f t="shared" si="11"/>
        <v>0</v>
      </c>
      <c r="AE48" s="56">
        <v>0</v>
      </c>
      <c r="AF48" s="56">
        <f t="shared" si="12"/>
        <v>0</v>
      </c>
      <c r="AG48" s="56">
        <f t="shared" si="13"/>
        <v>0</v>
      </c>
      <c r="AI48" s="56">
        <f t="shared" si="14"/>
        <v>0</v>
      </c>
      <c r="AJ48" s="56">
        <f t="shared" si="15"/>
        <v>0</v>
      </c>
      <c r="AK48" s="56">
        <f t="shared" si="16"/>
        <v>0</v>
      </c>
      <c r="AM48" s="56">
        <f t="shared" si="17"/>
        <v>323092</v>
      </c>
      <c r="AN48" s="56">
        <f t="shared" si="18"/>
        <v>33053</v>
      </c>
      <c r="AO48" s="56">
        <f t="shared" si="19"/>
        <v>79866</v>
      </c>
      <c r="AP48" s="56"/>
      <c r="AQ48" s="56">
        <f t="shared" si="20"/>
        <v>436011</v>
      </c>
      <c r="AR48" s="1"/>
      <c r="AS48" s="56">
        <v>1305.6416016831806</v>
      </c>
      <c r="AT48" s="56">
        <v>133.56991773375438</v>
      </c>
      <c r="AU48" s="56">
        <v>322.74513810316847</v>
      </c>
      <c r="AV48" s="56"/>
      <c r="AW48" s="56">
        <v>1761.9566575201034</v>
      </c>
      <c r="AX48" s="1"/>
      <c r="AY48" s="16">
        <v>-6.6369643522392607E-3</v>
      </c>
      <c r="AZ48" s="16">
        <v>-1.4297081807118639E-2</v>
      </c>
      <c r="BA48" s="16">
        <v>0.10463117035131519</v>
      </c>
      <c r="BB48" s="16">
        <f t="shared" si="21"/>
        <v>1.1428978010562307E-2</v>
      </c>
      <c r="BC48" s="16"/>
      <c r="BD48" s="1"/>
      <c r="BE48" s="16">
        <f>AM48/'2019-20 disagg'!AM48-1</f>
        <v>3.6601172982893004E-2</v>
      </c>
      <c r="BF48" s="16">
        <f>AN48/'2019-20 disagg'!AN48-1</f>
        <v>4.1826892769337487E-2</v>
      </c>
      <c r="BG48" s="16">
        <f>AO48/'2019-20 disagg'!AO48-1</f>
        <v>5.0495218803846109E-2</v>
      </c>
      <c r="BH48" s="16">
        <f>AQ48/'2019-20 disagg'!AQ48-1</f>
        <v>3.9514873509013171E-2</v>
      </c>
      <c r="BI48" s="1"/>
      <c r="BJ48" s="16">
        <f>AS48/'2019-20 disagg'!AS48-1</f>
        <v>2.930343321936979E-2</v>
      </c>
      <c r="BK48" s="16">
        <f>AT48/'2019-20 disagg'!AT48-1</f>
        <v>3.4492363598207731E-2</v>
      </c>
      <c r="BL48" s="16">
        <f>AU48/'2019-20 disagg'!AU48-1</f>
        <v>4.3099664052933084E-2</v>
      </c>
      <c r="BM48" s="16">
        <f>AW48/'2019-20 disagg'!AW48-1</f>
        <v>3.2196621104039869E-2</v>
      </c>
    </row>
    <row r="49" spans="1:65" x14ac:dyDescent="0.2">
      <c r="A49" s="156" t="s">
        <v>143</v>
      </c>
      <c r="B49" s="156" t="s">
        <v>144</v>
      </c>
      <c r="D49" s="56">
        <f>VLOOKUP(A49,'2020-21'!$A$12:$AMX257,32,FALSE)</f>
        <v>182355</v>
      </c>
      <c r="E49" s="56">
        <v>1741.2992323309556</v>
      </c>
      <c r="F49" s="16">
        <f>VLOOKUP(A49,'2020-21'!$A$12:$AMX257,34,FALSE)</f>
        <v>3.7882970307173025E-2</v>
      </c>
      <c r="G49" s="16">
        <f>VLOOKUP(A49,'2020-21'!$A$12:$AMX257,35,FALSE)</f>
        <v>3.585860790714257E-2</v>
      </c>
      <c r="H49" s="56"/>
      <c r="I49" s="56">
        <v>183920.77590073258</v>
      </c>
      <c r="J49" s="56">
        <v>1756.2507520257705</v>
      </c>
      <c r="K49" s="16">
        <f t="shared" si="6"/>
        <v>-8.5133171772702187E-3</v>
      </c>
      <c r="L49" s="58">
        <f t="shared" si="6"/>
        <v>-8.5133171772702187E-3</v>
      </c>
      <c r="M49" s="10"/>
      <c r="N49" s="56">
        <v>140790</v>
      </c>
      <c r="O49" s="56">
        <v>13806</v>
      </c>
      <c r="P49" s="56">
        <v>27759</v>
      </c>
      <c r="R49" s="56">
        <f t="shared" si="7"/>
        <v>27759</v>
      </c>
      <c r="S49" s="56">
        <f t="shared" si="8"/>
        <v>0</v>
      </c>
      <c r="U49" s="16">
        <v>-2.2421635192695688E-2</v>
      </c>
      <c r="V49" s="16">
        <v>-2.0492942421096338E-2</v>
      </c>
      <c r="W49" s="56">
        <f t="shared" si="9"/>
        <v>4</v>
      </c>
      <c r="X49" s="56">
        <f t="shared" si="10"/>
        <v>1440.191447237602</v>
      </c>
      <c r="Y49" s="56">
        <f t="shared" si="10"/>
        <v>140.94844843818663</v>
      </c>
      <c r="AA49" s="56">
        <f t="shared" si="22"/>
        <v>0</v>
      </c>
      <c r="AB49" s="56">
        <v>0</v>
      </c>
      <c r="AC49" s="56">
        <f t="shared" si="11"/>
        <v>0</v>
      </c>
      <c r="AE49" s="56">
        <v>0</v>
      </c>
      <c r="AF49" s="56">
        <f t="shared" si="12"/>
        <v>0</v>
      </c>
      <c r="AG49" s="56">
        <f t="shared" si="13"/>
        <v>0</v>
      </c>
      <c r="AI49" s="56">
        <f t="shared" si="14"/>
        <v>0</v>
      </c>
      <c r="AJ49" s="56">
        <f t="shared" si="15"/>
        <v>0</v>
      </c>
      <c r="AK49" s="56">
        <f t="shared" si="16"/>
        <v>0</v>
      </c>
      <c r="AM49" s="56">
        <f t="shared" si="17"/>
        <v>140790</v>
      </c>
      <c r="AN49" s="56">
        <f t="shared" si="18"/>
        <v>13806</v>
      </c>
      <c r="AO49" s="56">
        <f t="shared" si="19"/>
        <v>27759</v>
      </c>
      <c r="AP49" s="56"/>
      <c r="AQ49" s="56">
        <f t="shared" si="20"/>
        <v>182355</v>
      </c>
      <c r="AR49" s="1"/>
      <c r="AS49" s="56">
        <v>1344.397021852295</v>
      </c>
      <c r="AT49" s="56">
        <v>131.83283815393696</v>
      </c>
      <c r="AU49" s="56">
        <v>265.06937232472376</v>
      </c>
      <c r="AV49" s="56"/>
      <c r="AW49" s="56">
        <v>1741.2992323309556</v>
      </c>
      <c r="AX49" s="1"/>
      <c r="AY49" s="16">
        <v>-2.2421635192695688E-2</v>
      </c>
      <c r="AZ49" s="16">
        <v>-2.0492942421096338E-2</v>
      </c>
      <c r="BA49" s="16">
        <v>7.5647298413839215E-2</v>
      </c>
      <c r="BB49" s="16">
        <f t="shared" si="21"/>
        <v>-8.5133171772702187E-3</v>
      </c>
      <c r="BC49" s="16"/>
      <c r="BD49" s="1"/>
      <c r="BE49" s="16">
        <f>AM49/'2019-20 disagg'!AM49-1</f>
        <v>3.6600181123406905E-2</v>
      </c>
      <c r="BF49" s="16">
        <f>AN49/'2019-20 disagg'!AN49-1</f>
        <v>3.6486486486486447E-2</v>
      </c>
      <c r="BG49" s="16">
        <f>AO49/'2019-20 disagg'!AO49-1</f>
        <v>4.5143072289156594E-2</v>
      </c>
      <c r="BH49" s="16">
        <f>AQ49/'2019-20 disagg'!AQ49-1</f>
        <v>3.7882970307173025E-2</v>
      </c>
      <c r="BI49" s="1"/>
      <c r="BJ49" s="16">
        <f>AS49/'2019-20 disagg'!AS49-1</f>
        <v>3.4578320768659854E-2</v>
      </c>
      <c r="BK49" s="16">
        <f>AT49/'2019-20 disagg'!AT49-1</f>
        <v>3.446484789002513E-2</v>
      </c>
      <c r="BL49" s="16">
        <f>AU49/'2019-20 disagg'!AU49-1</f>
        <v>4.3104549258406344E-2</v>
      </c>
      <c r="BM49" s="16">
        <f>AW49/'2019-20 disagg'!AW49-1</f>
        <v>3.585860790714257E-2</v>
      </c>
    </row>
    <row r="50" spans="1:65" x14ac:dyDescent="0.2">
      <c r="A50" s="156" t="s">
        <v>145</v>
      </c>
      <c r="B50" s="156" t="s">
        <v>146</v>
      </c>
      <c r="D50" s="56">
        <f>VLOOKUP(A50,'2020-21'!$A$12:$AMX258,32,FALSE)</f>
        <v>387118.13778193155</v>
      </c>
      <c r="E50" s="56">
        <v>1739.5224297351472</v>
      </c>
      <c r="F50" s="16">
        <f>VLOOKUP(A50,'2020-21'!$A$12:$AMX258,34,FALSE)</f>
        <v>4.1774345139013125E-2</v>
      </c>
      <c r="G50" s="16">
        <f>VLOOKUP(A50,'2020-21'!$A$12:$AMX258,35,FALSE)</f>
        <v>3.4272584454658528E-2</v>
      </c>
      <c r="H50" s="56"/>
      <c r="I50" s="56">
        <v>394230.36058379186</v>
      </c>
      <c r="J50" s="56">
        <v>1771.4813329268104</v>
      </c>
      <c r="K50" s="16">
        <f t="shared" si="6"/>
        <v>-1.8040778978382743E-2</v>
      </c>
      <c r="L50" s="58">
        <f t="shared" si="6"/>
        <v>-1.8040778978382632E-2</v>
      </c>
      <c r="M50" s="10"/>
      <c r="N50" s="56">
        <v>296390</v>
      </c>
      <c r="O50" s="56">
        <v>29210</v>
      </c>
      <c r="P50" s="56">
        <v>60557</v>
      </c>
      <c r="R50" s="56">
        <f t="shared" si="7"/>
        <v>60557</v>
      </c>
      <c r="S50" s="56">
        <f t="shared" si="8"/>
        <v>961.13778193155304</v>
      </c>
      <c r="U50" s="16">
        <v>-2.0307988564107093E-2</v>
      </c>
      <c r="V50" s="16">
        <v>-3.3298748667414113E-2</v>
      </c>
      <c r="W50" s="56">
        <f t="shared" si="9"/>
        <v>4</v>
      </c>
      <c r="X50" s="56">
        <f t="shared" si="10"/>
        <v>3025.3385404826749</v>
      </c>
      <c r="Y50" s="56">
        <f t="shared" si="10"/>
        <v>302.1616032847208</v>
      </c>
      <c r="AA50" s="56">
        <f t="shared" si="22"/>
        <v>0</v>
      </c>
      <c r="AB50" s="56">
        <v>0</v>
      </c>
      <c r="AC50" s="56">
        <f t="shared" si="11"/>
        <v>961.13778193155304</v>
      </c>
      <c r="AE50" s="56">
        <v>0</v>
      </c>
      <c r="AF50" s="56">
        <f t="shared" si="12"/>
        <v>0</v>
      </c>
      <c r="AG50" s="56">
        <f t="shared" si="13"/>
        <v>961.13778193155304</v>
      </c>
      <c r="AI50" s="56">
        <f t="shared" si="14"/>
        <v>873.85936852263694</v>
      </c>
      <c r="AJ50" s="56">
        <f t="shared" si="15"/>
        <v>87.278413408916066</v>
      </c>
      <c r="AK50" s="56">
        <f t="shared" si="16"/>
        <v>0</v>
      </c>
      <c r="AM50" s="56">
        <f t="shared" si="17"/>
        <v>297264</v>
      </c>
      <c r="AN50" s="56">
        <f t="shared" si="18"/>
        <v>29297</v>
      </c>
      <c r="AO50" s="56">
        <f t="shared" si="19"/>
        <v>60557</v>
      </c>
      <c r="AP50" s="56"/>
      <c r="AQ50" s="56">
        <f t="shared" si="20"/>
        <v>387118</v>
      </c>
      <c r="AR50" s="1"/>
      <c r="AS50" s="56">
        <v>1335.7612188248231</v>
      </c>
      <c r="AT50" s="56">
        <v>131.64660513183853</v>
      </c>
      <c r="AU50" s="56">
        <v>272.11398665285679</v>
      </c>
      <c r="AV50" s="56"/>
      <c r="AW50" s="56">
        <v>1739.5218106095185</v>
      </c>
      <c r="AX50" s="1"/>
      <c r="AY50" s="16">
        <v>-1.7419055678399187E-2</v>
      </c>
      <c r="AZ50" s="16">
        <v>-3.0419494683643689E-2</v>
      </c>
      <c r="BA50" s="16">
        <v>-1.5018559003273646E-2</v>
      </c>
      <c r="BB50" s="16">
        <f t="shared" si="21"/>
        <v>-1.8041128474376222E-2</v>
      </c>
      <c r="BC50" s="16"/>
      <c r="BD50" s="1"/>
      <c r="BE50" s="16">
        <f>AM50/'2019-20 disagg'!AM50-1</f>
        <v>3.9657252776077678E-2</v>
      </c>
      <c r="BF50" s="16">
        <f>AN50/'2019-20 disagg'!AN50-1</f>
        <v>4.5089715692219867E-2</v>
      </c>
      <c r="BG50" s="16">
        <f>AO50/'2019-20 disagg'!AO50-1</f>
        <v>5.0661901209292592E-2</v>
      </c>
      <c r="BH50" s="16">
        <f>AQ50/'2019-20 disagg'!AQ50-1</f>
        <v>4.1773974353799259E-2</v>
      </c>
      <c r="BI50" s="1"/>
      <c r="BJ50" s="16">
        <f>AS50/'2019-20 disagg'!AS50-1</f>
        <v>3.2170737159263219E-2</v>
      </c>
      <c r="BK50" s="16">
        <f>AT50/'2019-20 disagg'!AT50-1</f>
        <v>3.7564081203920852E-2</v>
      </c>
      <c r="BL50" s="16">
        <f>AU50/'2019-20 disagg'!AU50-1</f>
        <v>4.3096141714620728E-2</v>
      </c>
      <c r="BM50" s="16">
        <f>AW50/'2019-20 disagg'!AW50-1</f>
        <v>3.427221633944888E-2</v>
      </c>
    </row>
    <row r="51" spans="1:65" x14ac:dyDescent="0.2">
      <c r="A51" s="156" t="s">
        <v>147</v>
      </c>
      <c r="B51" s="156" t="s">
        <v>148</v>
      </c>
      <c r="D51" s="56">
        <f>VLOOKUP(A51,'2020-21'!$A$12:$AMX259,32,FALSE)</f>
        <v>469690</v>
      </c>
      <c r="E51" s="56">
        <v>1786.7194341369172</v>
      </c>
      <c r="F51" s="16">
        <f>VLOOKUP(A51,'2020-21'!$A$12:$AMX259,34,FALSE)</f>
        <v>3.8039418491064847E-2</v>
      </c>
      <c r="G51" s="16">
        <f>VLOOKUP(A51,'2020-21'!$A$12:$AMX259,35,FALSE)</f>
        <v>3.5329622486538925E-2</v>
      </c>
      <c r="H51" s="56"/>
      <c r="I51" s="56">
        <v>469876.64941453759</v>
      </c>
      <c r="J51" s="56">
        <v>1787.4294559307059</v>
      </c>
      <c r="K51" s="16">
        <f t="shared" si="6"/>
        <v>-3.972306663252434E-4</v>
      </c>
      <c r="L51" s="58">
        <f t="shared" si="6"/>
        <v>-3.972306663252434E-4</v>
      </c>
      <c r="M51" s="10"/>
      <c r="N51" s="56">
        <v>360702</v>
      </c>
      <c r="O51" s="56">
        <v>37646</v>
      </c>
      <c r="P51" s="56">
        <v>71342</v>
      </c>
      <c r="R51" s="56">
        <f t="shared" si="7"/>
        <v>71342</v>
      </c>
      <c r="S51" s="56">
        <f t="shared" si="8"/>
        <v>0</v>
      </c>
      <c r="U51" s="16">
        <v>-1.5624252671448957E-2</v>
      </c>
      <c r="V51" s="16">
        <v>2.3898262305365181E-2</v>
      </c>
      <c r="W51" s="56">
        <f t="shared" si="9"/>
        <v>1</v>
      </c>
      <c r="X51" s="56">
        <f t="shared" si="10"/>
        <v>3664.2715038326719</v>
      </c>
      <c r="Y51" s="56">
        <f t="shared" si="10"/>
        <v>367.6732482701737</v>
      </c>
      <c r="AA51" s="56">
        <f t="shared" si="22"/>
        <v>0</v>
      </c>
      <c r="AB51" s="56">
        <v>0</v>
      </c>
      <c r="AC51" s="56">
        <f t="shared" si="11"/>
        <v>0</v>
      </c>
      <c r="AE51" s="56">
        <v>0</v>
      </c>
      <c r="AF51" s="56">
        <f t="shared" si="12"/>
        <v>0</v>
      </c>
      <c r="AG51" s="56">
        <f t="shared" si="13"/>
        <v>0</v>
      </c>
      <c r="AI51" s="56">
        <f t="shared" si="14"/>
        <v>0</v>
      </c>
      <c r="AJ51" s="56">
        <f t="shared" si="15"/>
        <v>0</v>
      </c>
      <c r="AK51" s="56">
        <f t="shared" si="16"/>
        <v>0</v>
      </c>
      <c r="AM51" s="56">
        <f t="shared" si="17"/>
        <v>360702</v>
      </c>
      <c r="AN51" s="56">
        <f t="shared" si="18"/>
        <v>37646</v>
      </c>
      <c r="AO51" s="56">
        <f t="shared" si="19"/>
        <v>71342</v>
      </c>
      <c r="AP51" s="56"/>
      <c r="AQ51" s="56">
        <f t="shared" si="20"/>
        <v>469690</v>
      </c>
      <c r="AR51" s="1"/>
      <c r="AS51" s="56">
        <v>1372.1247489451646</v>
      </c>
      <c r="AT51" s="56">
        <v>143.20688074585021</v>
      </c>
      <c r="AU51" s="56">
        <v>271.38780444590253</v>
      </c>
      <c r="AV51" s="56"/>
      <c r="AW51" s="56">
        <v>1786.7194341369172</v>
      </c>
      <c r="AX51" s="1"/>
      <c r="AY51" s="16">
        <v>-1.5624252671448957E-2</v>
      </c>
      <c r="AZ51" s="16">
        <v>2.3898262305365181E-2</v>
      </c>
      <c r="BA51" s="16">
        <v>6.9881131672065555E-2</v>
      </c>
      <c r="BB51" s="16">
        <f t="shared" si="21"/>
        <v>-3.972306663252434E-4</v>
      </c>
      <c r="BC51" s="16"/>
      <c r="BD51" s="1"/>
      <c r="BE51" s="16">
        <f>AM51/'2019-20 disagg'!AM51-1</f>
        <v>3.6601277136272037E-2</v>
      </c>
      <c r="BF51" s="16">
        <f>AN51/'2019-20 disagg'!AN51-1</f>
        <v>3.7194181176989138E-2</v>
      </c>
      <c r="BG51" s="16">
        <f>AO51/'2019-20 disagg'!AO51-1</f>
        <v>4.5825026386771439E-2</v>
      </c>
      <c r="BH51" s="16">
        <f>AQ51/'2019-20 disagg'!AQ51-1</f>
        <v>3.8039418491064847E-2</v>
      </c>
      <c r="BI51" s="1"/>
      <c r="BJ51" s="16">
        <f>AS51/'2019-20 disagg'!AS51-1</f>
        <v>3.3895235391582235E-2</v>
      </c>
      <c r="BK51" s="16">
        <f>AT51/'2019-20 disagg'!AT51-1</f>
        <v>3.4486591659669719E-2</v>
      </c>
      <c r="BL51" s="16">
        <f>AU51/'2019-20 disagg'!AU51-1</f>
        <v>4.3094906097066454E-2</v>
      </c>
      <c r="BM51" s="16">
        <f>AW51/'2019-20 disagg'!AW51-1</f>
        <v>3.5329622486538925E-2</v>
      </c>
    </row>
    <row r="52" spans="1:65" x14ac:dyDescent="0.2">
      <c r="A52" s="156" t="s">
        <v>149</v>
      </c>
      <c r="B52" s="156" t="s">
        <v>150</v>
      </c>
      <c r="D52" s="56">
        <f>VLOOKUP(A52,'2020-21'!$A$12:$AMX260,32,FALSE)</f>
        <v>206710</v>
      </c>
      <c r="E52" s="56">
        <v>1841.6687903606035</v>
      </c>
      <c r="F52" s="16">
        <f>VLOOKUP(A52,'2020-21'!$A$12:$AMX260,34,FALSE)</f>
        <v>3.7513300809090655E-2</v>
      </c>
      <c r="G52" s="16">
        <f>VLOOKUP(A52,'2020-21'!$A$12:$AMX260,35,FALSE)</f>
        <v>3.7016730323401248E-2</v>
      </c>
      <c r="H52" s="56"/>
      <c r="I52" s="56">
        <v>202103.78815388726</v>
      </c>
      <c r="J52" s="56">
        <v>1800.6300568751644</v>
      </c>
      <c r="K52" s="16">
        <f t="shared" si="6"/>
        <v>2.2791318699110441E-2</v>
      </c>
      <c r="L52" s="58">
        <f t="shared" si="6"/>
        <v>2.2791318699110219E-2</v>
      </c>
      <c r="M52" s="10"/>
      <c r="N52" s="56">
        <v>161367</v>
      </c>
      <c r="O52" s="56">
        <v>14906</v>
      </c>
      <c r="P52" s="56">
        <v>30437</v>
      </c>
      <c r="R52" s="56">
        <f t="shared" si="7"/>
        <v>30437</v>
      </c>
      <c r="S52" s="56">
        <f t="shared" si="8"/>
        <v>0</v>
      </c>
      <c r="U52" s="16">
        <v>3.5694372171301447E-2</v>
      </c>
      <c r="V52" s="16">
        <v>-4.8357074134392164E-2</v>
      </c>
      <c r="W52" s="56">
        <f t="shared" si="9"/>
        <v>3</v>
      </c>
      <c r="X52" s="56">
        <f t="shared" si="10"/>
        <v>1558.0561634384385</v>
      </c>
      <c r="Y52" s="56">
        <f t="shared" si="10"/>
        <v>156.63438034220246</v>
      </c>
      <c r="AA52" s="56">
        <f t="shared" si="22"/>
        <v>0</v>
      </c>
      <c r="AB52" s="56">
        <v>0</v>
      </c>
      <c r="AC52" s="56">
        <f t="shared" si="11"/>
        <v>0</v>
      </c>
      <c r="AE52" s="56">
        <v>0</v>
      </c>
      <c r="AF52" s="56">
        <f t="shared" si="12"/>
        <v>0</v>
      </c>
      <c r="AG52" s="56">
        <f t="shared" si="13"/>
        <v>0</v>
      </c>
      <c r="AI52" s="56">
        <f t="shared" si="14"/>
        <v>0</v>
      </c>
      <c r="AJ52" s="56">
        <f t="shared" si="15"/>
        <v>0</v>
      </c>
      <c r="AK52" s="56">
        <f t="shared" si="16"/>
        <v>0</v>
      </c>
      <c r="AM52" s="56">
        <f t="shared" si="17"/>
        <v>161367</v>
      </c>
      <c r="AN52" s="56">
        <f t="shared" si="18"/>
        <v>14906</v>
      </c>
      <c r="AO52" s="56">
        <f t="shared" si="19"/>
        <v>30437</v>
      </c>
      <c r="AP52" s="56"/>
      <c r="AQ52" s="56">
        <f t="shared" si="20"/>
        <v>206710</v>
      </c>
      <c r="AR52" s="1"/>
      <c r="AS52" s="56">
        <v>1437.6883928891659</v>
      </c>
      <c r="AT52" s="56">
        <v>132.80400072137368</v>
      </c>
      <c r="AU52" s="56">
        <v>271.17639675006382</v>
      </c>
      <c r="AV52" s="56"/>
      <c r="AW52" s="56">
        <v>1841.6687903606035</v>
      </c>
      <c r="AX52" s="1"/>
      <c r="AY52" s="16">
        <v>3.5694372171301447E-2</v>
      </c>
      <c r="AZ52" s="16">
        <v>-4.8357074134392164E-2</v>
      </c>
      <c r="BA52" s="16">
        <v>-6.4545615858823124E-3</v>
      </c>
      <c r="BB52" s="16">
        <f t="shared" si="21"/>
        <v>2.2791318699110441E-2</v>
      </c>
      <c r="BC52" s="16"/>
      <c r="BD52" s="1"/>
      <c r="BE52" s="16">
        <f>AM52/'2019-20 disagg'!AM52-1</f>
        <v>3.6603305732034075E-2</v>
      </c>
      <c r="BF52" s="16">
        <f>AN52/'2019-20 disagg'!AN52-1</f>
        <v>3.4995139563949396E-2</v>
      </c>
      <c r="BG52" s="16">
        <f>AO52/'2019-20 disagg'!AO52-1</f>
        <v>4.3613920795473993E-2</v>
      </c>
      <c r="BH52" s="16">
        <f>AQ52/'2019-20 disagg'!AQ52-1</f>
        <v>3.7513300809090655E-2</v>
      </c>
      <c r="BI52" s="1"/>
      <c r="BJ52" s="16">
        <f>AS52/'2019-20 disagg'!AS52-1</f>
        <v>3.6107170784565712E-2</v>
      </c>
      <c r="BK52" s="16">
        <f>AT52/'2019-20 disagg'!AT52-1</f>
        <v>3.4499774310570386E-2</v>
      </c>
      <c r="BL52" s="16">
        <f>AU52/'2019-20 disagg'!AU52-1</f>
        <v>4.3114430455333475E-2</v>
      </c>
      <c r="BM52" s="16">
        <f>AW52/'2019-20 disagg'!AW52-1</f>
        <v>3.7016730323401248E-2</v>
      </c>
    </row>
    <row r="53" spans="1:65" x14ac:dyDescent="0.2">
      <c r="A53" s="156" t="s">
        <v>151</v>
      </c>
      <c r="B53" s="156" t="s">
        <v>152</v>
      </c>
      <c r="D53" s="56">
        <f>VLOOKUP(A53,'2020-21'!$A$12:$AMX261,32,FALSE)</f>
        <v>640830</v>
      </c>
      <c r="E53" s="56">
        <v>1926.7077753101526</v>
      </c>
      <c r="F53" s="16">
        <f>VLOOKUP(A53,'2020-21'!$A$12:$AMX261,34,FALSE)</f>
        <v>3.8814302804732081E-2</v>
      </c>
      <c r="G53" s="16">
        <f>VLOOKUP(A53,'2020-21'!$A$12:$AMX261,35,FALSE)</f>
        <v>3.3159213836614576E-2</v>
      </c>
      <c r="H53" s="56"/>
      <c r="I53" s="56">
        <v>639292.10035114898</v>
      </c>
      <c r="J53" s="56">
        <v>1922.0839543106861</v>
      </c>
      <c r="K53" s="16">
        <f t="shared" si="6"/>
        <v>2.4056290512681766E-3</v>
      </c>
      <c r="L53" s="58">
        <f t="shared" si="6"/>
        <v>2.4056290512683987E-3</v>
      </c>
      <c r="M53" s="10"/>
      <c r="N53" s="56">
        <v>488177</v>
      </c>
      <c r="O53" s="56">
        <v>50020</v>
      </c>
      <c r="P53" s="56">
        <v>102633</v>
      </c>
      <c r="R53" s="56">
        <f t="shared" si="7"/>
        <v>102633</v>
      </c>
      <c r="S53" s="56">
        <f t="shared" si="8"/>
        <v>0</v>
      </c>
      <c r="U53" s="16">
        <v>-4.567906631107177E-3</v>
      </c>
      <c r="V53" s="16">
        <v>3.8032111337549024E-2</v>
      </c>
      <c r="W53" s="56">
        <f t="shared" si="9"/>
        <v>1</v>
      </c>
      <c r="X53" s="56">
        <f t="shared" si="10"/>
        <v>4904.1717988801938</v>
      </c>
      <c r="Y53" s="56">
        <f t="shared" si="10"/>
        <v>481.87333950148309</v>
      </c>
      <c r="AA53" s="56">
        <f t="shared" si="22"/>
        <v>0</v>
      </c>
      <c r="AB53" s="56">
        <v>0</v>
      </c>
      <c r="AC53" s="56">
        <f t="shared" si="11"/>
        <v>0</v>
      </c>
      <c r="AE53" s="56">
        <v>0</v>
      </c>
      <c r="AF53" s="56">
        <f t="shared" si="12"/>
        <v>0</v>
      </c>
      <c r="AG53" s="56">
        <f t="shared" si="13"/>
        <v>0</v>
      </c>
      <c r="AI53" s="56">
        <f t="shared" si="14"/>
        <v>0</v>
      </c>
      <c r="AJ53" s="56">
        <f t="shared" si="15"/>
        <v>0</v>
      </c>
      <c r="AK53" s="56">
        <f t="shared" si="16"/>
        <v>0</v>
      </c>
      <c r="AM53" s="56">
        <f t="shared" si="17"/>
        <v>488177</v>
      </c>
      <c r="AN53" s="56">
        <f t="shared" si="18"/>
        <v>50020</v>
      </c>
      <c r="AO53" s="56">
        <f t="shared" si="19"/>
        <v>102633</v>
      </c>
      <c r="AP53" s="56"/>
      <c r="AQ53" s="56">
        <f t="shared" si="20"/>
        <v>640830</v>
      </c>
      <c r="AR53" s="1"/>
      <c r="AS53" s="56">
        <v>1467.7440532240755</v>
      </c>
      <c r="AT53" s="56">
        <v>150.38921854628188</v>
      </c>
      <c r="AU53" s="56">
        <v>308.5745035397951</v>
      </c>
      <c r="AV53" s="56"/>
      <c r="AW53" s="56">
        <v>1926.7077753101526</v>
      </c>
      <c r="AX53" s="1"/>
      <c r="AY53" s="16">
        <v>-4.567906631107177E-3</v>
      </c>
      <c r="AZ53" s="16">
        <v>3.8032111337549024E-2</v>
      </c>
      <c r="BA53" s="16">
        <v>1.9321284325033217E-2</v>
      </c>
      <c r="BB53" s="16">
        <f t="shared" si="21"/>
        <v>2.4056290512681766E-3</v>
      </c>
      <c r="BC53" s="16"/>
      <c r="BD53" s="1"/>
      <c r="BE53" s="16">
        <f>AM53/'2019-20 disagg'!AM53-1</f>
        <v>3.6601265553998452E-2</v>
      </c>
      <c r="BF53" s="16">
        <f>AN53/'2019-20 disagg'!AN53-1</f>
        <v>4.0154713136060227E-2</v>
      </c>
      <c r="BG53" s="16">
        <f>AO53/'2019-20 disagg'!AO53-1</f>
        <v>4.8805910665562946E-2</v>
      </c>
      <c r="BH53" s="16">
        <f>AQ53/'2019-20 disagg'!AQ53-1</f>
        <v>3.8814302804732081E-2</v>
      </c>
      <c r="BI53" s="1"/>
      <c r="BJ53" s="16">
        <f>AS53/'2019-20 disagg'!AS53-1</f>
        <v>3.095822390031322E-2</v>
      </c>
      <c r="BK53" s="16">
        <f>AT53/'2019-20 disagg'!AT53-1</f>
        <v>3.449232725293383E-2</v>
      </c>
      <c r="BL53" s="16">
        <f>AU53/'2019-20 disagg'!AU53-1</f>
        <v>4.3096429462726737E-2</v>
      </c>
      <c r="BM53" s="16">
        <f>AW53/'2019-20 disagg'!AW53-1</f>
        <v>3.3159213836614576E-2</v>
      </c>
    </row>
    <row r="54" spans="1:65" x14ac:dyDescent="0.2">
      <c r="A54" s="156" t="s">
        <v>153</v>
      </c>
      <c r="B54" s="156" t="s">
        <v>154</v>
      </c>
      <c r="D54" s="56">
        <f>VLOOKUP(A54,'2020-21'!$A$12:$AMX262,32,FALSE)</f>
        <v>687816</v>
      </c>
      <c r="E54" s="56">
        <v>2036.2755032182788</v>
      </c>
      <c r="F54" s="16">
        <f>VLOOKUP(A54,'2020-21'!$A$12:$AMX262,34,FALSE)</f>
        <v>3.7896369710669342E-2</v>
      </c>
      <c r="G54" s="16">
        <f>VLOOKUP(A54,'2020-21'!$A$12:$AMX262,35,FALSE)</f>
        <v>3.5665024748457563E-2</v>
      </c>
      <c r="H54" s="56"/>
      <c r="I54" s="56">
        <v>686645.85912475619</v>
      </c>
      <c r="J54" s="56">
        <v>2032.811307561921</v>
      </c>
      <c r="K54" s="16">
        <f t="shared" si="6"/>
        <v>1.7041402925452864E-3</v>
      </c>
      <c r="L54" s="58">
        <f t="shared" si="6"/>
        <v>1.7041402925452864E-3</v>
      </c>
      <c r="M54" s="10"/>
      <c r="N54" s="56">
        <v>535545</v>
      </c>
      <c r="O54" s="56">
        <v>50405</v>
      </c>
      <c r="P54" s="56">
        <v>101866</v>
      </c>
      <c r="R54" s="56">
        <f t="shared" si="7"/>
        <v>101866</v>
      </c>
      <c r="S54" s="56">
        <f t="shared" si="8"/>
        <v>0</v>
      </c>
      <c r="U54" s="16">
        <v>-8.964257748346971E-3</v>
      </c>
      <c r="V54" s="16">
        <v>-1.4502183757334919E-2</v>
      </c>
      <c r="W54" s="56">
        <f t="shared" si="9"/>
        <v>4</v>
      </c>
      <c r="X54" s="56">
        <f t="shared" si="10"/>
        <v>5403.8918796534126</v>
      </c>
      <c r="Y54" s="56">
        <f t="shared" si="10"/>
        <v>511.46739413564029</v>
      </c>
      <c r="AA54" s="56">
        <f t="shared" si="22"/>
        <v>0</v>
      </c>
      <c r="AB54" s="56">
        <v>0</v>
      </c>
      <c r="AC54" s="56">
        <f t="shared" si="11"/>
        <v>0</v>
      </c>
      <c r="AE54" s="56">
        <v>0</v>
      </c>
      <c r="AF54" s="56">
        <f t="shared" si="12"/>
        <v>0</v>
      </c>
      <c r="AG54" s="56">
        <f t="shared" si="13"/>
        <v>0</v>
      </c>
      <c r="AI54" s="56">
        <f t="shared" si="14"/>
        <v>0</v>
      </c>
      <c r="AJ54" s="56">
        <f t="shared" si="15"/>
        <v>0</v>
      </c>
      <c r="AK54" s="56">
        <f t="shared" si="16"/>
        <v>0</v>
      </c>
      <c r="AM54" s="56">
        <f t="shared" si="17"/>
        <v>535545</v>
      </c>
      <c r="AN54" s="56">
        <f t="shared" si="18"/>
        <v>50405</v>
      </c>
      <c r="AO54" s="56">
        <f t="shared" si="19"/>
        <v>101866</v>
      </c>
      <c r="AP54" s="56"/>
      <c r="AQ54" s="56">
        <f t="shared" si="20"/>
        <v>687816</v>
      </c>
      <c r="AR54" s="1"/>
      <c r="AS54" s="56">
        <v>1585.4780411782122</v>
      </c>
      <c r="AT54" s="56">
        <v>149.2237266067049</v>
      </c>
      <c r="AU54" s="56">
        <v>301.57373543336183</v>
      </c>
      <c r="AV54" s="56"/>
      <c r="AW54" s="56">
        <v>2036.2755032182788</v>
      </c>
      <c r="AX54" s="1"/>
      <c r="AY54" s="16">
        <v>-8.964257748346971E-3</v>
      </c>
      <c r="AZ54" s="16">
        <v>-1.4502183757334919E-2</v>
      </c>
      <c r="BA54" s="16">
        <v>7.1034308721851458E-2</v>
      </c>
      <c r="BB54" s="16">
        <f t="shared" si="21"/>
        <v>1.7041402925452864E-3</v>
      </c>
      <c r="BC54" s="16"/>
      <c r="BD54" s="1"/>
      <c r="BE54" s="16">
        <f>AM54/'2019-20 disagg'!AM54-1</f>
        <v>3.6600236917287976E-2</v>
      </c>
      <c r="BF54" s="16">
        <f>AN54/'2019-20 disagg'!AN54-1</f>
        <v>3.6734609926160511E-2</v>
      </c>
      <c r="BG54" s="16">
        <f>AO54/'2019-20 disagg'!AO54-1</f>
        <v>4.5347727482631495E-2</v>
      </c>
      <c r="BH54" s="16">
        <f>AQ54/'2019-20 disagg'!AQ54-1</f>
        <v>3.7896369710669342E-2</v>
      </c>
      <c r="BI54" s="1"/>
      <c r="BJ54" s="16">
        <f>AS54/'2019-20 disagg'!AS54-1</f>
        <v>3.4371678475448864E-2</v>
      </c>
      <c r="BK54" s="16">
        <f>AT54/'2019-20 disagg'!AT54-1</f>
        <v>3.4505762599472023E-2</v>
      </c>
      <c r="BL54" s="16">
        <f>AU54/'2019-20 disagg'!AU54-1</f>
        <v>4.3100363050546653E-2</v>
      </c>
      <c r="BM54" s="16">
        <f>AW54/'2019-20 disagg'!AW54-1</f>
        <v>3.5665024748457563E-2</v>
      </c>
    </row>
    <row r="55" spans="1:65" x14ac:dyDescent="0.2">
      <c r="A55" s="156" t="s">
        <v>155</v>
      </c>
      <c r="B55" s="156" t="s">
        <v>156</v>
      </c>
      <c r="D55" s="56">
        <f>VLOOKUP(A55,'2020-21'!$A$12:$AMX263,32,FALSE)</f>
        <v>282440.82962560741</v>
      </c>
      <c r="E55" s="56">
        <v>1735.8383889259653</v>
      </c>
      <c r="F55" s="16">
        <f>VLOOKUP(A55,'2020-21'!$A$12:$AMX263,34,FALSE)</f>
        <v>3.913801402341921E-2</v>
      </c>
      <c r="G55" s="16">
        <f>VLOOKUP(A55,'2020-21'!$A$12:$AMX263,35,FALSE)</f>
        <v>3.3022291224605427E-2</v>
      </c>
      <c r="H55" s="56"/>
      <c r="I55" s="56">
        <v>287231.52314633137</v>
      </c>
      <c r="J55" s="56">
        <v>1765.2812627975466</v>
      </c>
      <c r="K55" s="16">
        <f t="shared" si="6"/>
        <v>-1.6678857070584585E-2</v>
      </c>
      <c r="L55" s="58">
        <f t="shared" si="6"/>
        <v>-1.6678857070584474E-2</v>
      </c>
      <c r="M55" s="10"/>
      <c r="N55" s="56">
        <v>221918</v>
      </c>
      <c r="O55" s="56">
        <v>21566</v>
      </c>
      <c r="P55" s="56">
        <v>38820</v>
      </c>
      <c r="R55" s="56">
        <f t="shared" si="7"/>
        <v>38820</v>
      </c>
      <c r="S55" s="56">
        <f t="shared" si="8"/>
        <v>136.82962560740998</v>
      </c>
      <c r="U55" s="16">
        <v>-1.4013901706580234E-2</v>
      </c>
      <c r="V55" s="16">
        <v>-4.87015930951471E-2</v>
      </c>
      <c r="W55" s="56">
        <f t="shared" si="9"/>
        <v>4</v>
      </c>
      <c r="X55" s="56">
        <f t="shared" si="10"/>
        <v>2250.7213883045983</v>
      </c>
      <c r="Y55" s="56">
        <f t="shared" si="10"/>
        <v>226.70068449044498</v>
      </c>
      <c r="AA55" s="56">
        <f t="shared" si="22"/>
        <v>0</v>
      </c>
      <c r="AB55" s="56">
        <v>0</v>
      </c>
      <c r="AC55" s="56">
        <f t="shared" si="11"/>
        <v>136.82962560740998</v>
      </c>
      <c r="AE55" s="56">
        <v>0</v>
      </c>
      <c r="AF55" s="56">
        <f t="shared" si="12"/>
        <v>0</v>
      </c>
      <c r="AG55" s="56">
        <f t="shared" si="13"/>
        <v>136.82962560740998</v>
      </c>
      <c r="AI55" s="56">
        <f t="shared" si="14"/>
        <v>124.30879997805934</v>
      </c>
      <c r="AJ55" s="56">
        <f t="shared" si="15"/>
        <v>12.520825629350639</v>
      </c>
      <c r="AK55" s="56">
        <f t="shared" si="16"/>
        <v>0</v>
      </c>
      <c r="AM55" s="56">
        <f t="shared" si="17"/>
        <v>222042</v>
      </c>
      <c r="AN55" s="56">
        <f t="shared" si="18"/>
        <v>21579</v>
      </c>
      <c r="AO55" s="56">
        <f t="shared" si="19"/>
        <v>38820</v>
      </c>
      <c r="AP55" s="56"/>
      <c r="AQ55" s="56">
        <f t="shared" si="20"/>
        <v>282441</v>
      </c>
      <c r="AR55" s="1"/>
      <c r="AS55" s="56">
        <v>1364.6363667208063</v>
      </c>
      <c r="AT55" s="56">
        <v>132.62125254442077</v>
      </c>
      <c r="AU55" s="56">
        <v>238.58181675584663</v>
      </c>
      <c r="AV55" s="56"/>
      <c r="AW55" s="56">
        <v>1735.8394360210737</v>
      </c>
      <c r="AX55" s="1"/>
      <c r="AY55" s="16">
        <v>-1.3462967234440182E-2</v>
      </c>
      <c r="AZ55" s="16">
        <v>-4.8128149744977256E-2</v>
      </c>
      <c r="BA55" s="16">
        <v>-1.694929000756118E-2</v>
      </c>
      <c r="BB55" s="16">
        <f t="shared" si="21"/>
        <v>-1.6678263910089086E-2</v>
      </c>
      <c r="BC55" s="16"/>
      <c r="BD55" s="1"/>
      <c r="BE55" s="16">
        <f>AM55/'2019-20 disagg'!AM55-1</f>
        <v>3.7182014368326133E-2</v>
      </c>
      <c r="BF55" s="16">
        <f>AN55/'2019-20 disagg'!AN55-1</f>
        <v>4.1256514186450488E-2</v>
      </c>
      <c r="BG55" s="16">
        <f>AO55/'2019-20 disagg'!AO55-1</f>
        <v>4.9274265480985013E-2</v>
      </c>
      <c r="BH55" s="16">
        <f>AQ55/'2019-20 disagg'!AQ55-1</f>
        <v>3.9138640853853657E-2</v>
      </c>
      <c r="BI55" s="1"/>
      <c r="BJ55" s="16">
        <f>AS55/'2019-20 disagg'!AS55-1</f>
        <v>3.1077803372106194E-2</v>
      </c>
      <c r="BK55" s="16">
        <f>AT55/'2019-20 disagg'!AT55-1</f>
        <v>3.512832320769177E-2</v>
      </c>
      <c r="BL55" s="16">
        <f>AU55/'2019-20 disagg'!AU55-1</f>
        <v>4.3098886983604645E-2</v>
      </c>
      <c r="BM55" s="16">
        <f>AW55/'2019-20 disagg'!AW55-1</f>
        <v>3.302291436590421E-2</v>
      </c>
    </row>
    <row r="56" spans="1:65" x14ac:dyDescent="0.2">
      <c r="A56" s="156" t="s">
        <v>157</v>
      </c>
      <c r="B56" s="156" t="s">
        <v>158</v>
      </c>
      <c r="D56" s="56">
        <f>VLOOKUP(A56,'2020-21'!$A$12:$AMX264,32,FALSE)</f>
        <v>513805</v>
      </c>
      <c r="E56" s="56">
        <v>1948.5586912763463</v>
      </c>
      <c r="F56" s="16">
        <f>VLOOKUP(A56,'2020-21'!$A$12:$AMX264,34,FALSE)</f>
        <v>3.8279358689897292E-2</v>
      </c>
      <c r="G56" s="16">
        <f>VLOOKUP(A56,'2020-21'!$A$12:$AMX264,35,FALSE)</f>
        <v>3.1918173228936197E-2</v>
      </c>
      <c r="H56" s="56"/>
      <c r="I56" s="56">
        <v>492317.1331388625</v>
      </c>
      <c r="J56" s="56">
        <v>1867.0679122273716</v>
      </c>
      <c r="K56" s="16">
        <f t="shared" si="6"/>
        <v>4.3646392568419179E-2</v>
      </c>
      <c r="L56" s="58">
        <f t="shared" si="6"/>
        <v>4.3646392568419179E-2</v>
      </c>
      <c r="M56" s="10"/>
      <c r="N56" s="56">
        <v>400422</v>
      </c>
      <c r="O56" s="56">
        <v>38489</v>
      </c>
      <c r="P56" s="56">
        <v>74894</v>
      </c>
      <c r="R56" s="56">
        <f t="shared" si="7"/>
        <v>74894</v>
      </c>
      <c r="S56" s="56">
        <f t="shared" si="8"/>
        <v>0</v>
      </c>
      <c r="U56" s="16">
        <v>4.8758066420799384E-2</v>
      </c>
      <c r="V56" s="16">
        <v>-5.8175015843153766E-3</v>
      </c>
      <c r="W56" s="56">
        <f t="shared" si="9"/>
        <v>3</v>
      </c>
      <c r="X56" s="56">
        <f t="shared" si="10"/>
        <v>3818.0588337838476</v>
      </c>
      <c r="Y56" s="56">
        <f t="shared" si="10"/>
        <v>387.14220036397273</v>
      </c>
      <c r="AA56" s="56">
        <f t="shared" si="22"/>
        <v>0</v>
      </c>
      <c r="AB56" s="56">
        <v>0</v>
      </c>
      <c r="AC56" s="56">
        <f t="shared" si="11"/>
        <v>0</v>
      </c>
      <c r="AE56" s="56">
        <v>0</v>
      </c>
      <c r="AF56" s="56">
        <f t="shared" si="12"/>
        <v>0</v>
      </c>
      <c r="AG56" s="56">
        <f t="shared" si="13"/>
        <v>0</v>
      </c>
      <c r="AI56" s="56">
        <f t="shared" si="14"/>
        <v>0</v>
      </c>
      <c r="AJ56" s="56">
        <f t="shared" si="15"/>
        <v>0</v>
      </c>
      <c r="AK56" s="56">
        <f t="shared" si="16"/>
        <v>0</v>
      </c>
      <c r="AM56" s="56">
        <f t="shared" si="17"/>
        <v>400422</v>
      </c>
      <c r="AN56" s="56">
        <f t="shared" si="18"/>
        <v>38489</v>
      </c>
      <c r="AO56" s="56">
        <f t="shared" si="19"/>
        <v>74894</v>
      </c>
      <c r="AP56" s="56"/>
      <c r="AQ56" s="56">
        <f t="shared" si="20"/>
        <v>513805</v>
      </c>
      <c r="AR56" s="1"/>
      <c r="AS56" s="56">
        <v>1518.5639849325273</v>
      </c>
      <c r="AT56" s="56">
        <v>145.96602887970201</v>
      </c>
      <c r="AU56" s="56">
        <v>284.0286774641171</v>
      </c>
      <c r="AV56" s="56"/>
      <c r="AW56" s="56">
        <v>1948.5586912763463</v>
      </c>
      <c r="AX56" s="1"/>
      <c r="AY56" s="16">
        <v>4.8758066420799384E-2</v>
      </c>
      <c r="AZ56" s="16">
        <v>-5.8175015843153766E-3</v>
      </c>
      <c r="BA56" s="16">
        <v>4.3135075194911776E-2</v>
      </c>
      <c r="BB56" s="16">
        <f t="shared" si="21"/>
        <v>4.3646392568419179E-2</v>
      </c>
      <c r="BC56" s="16"/>
      <c r="BD56" s="1"/>
      <c r="BE56" s="16">
        <f>AM56/'2019-20 disagg'!AM56-1</f>
        <v>3.5953689929500099E-2</v>
      </c>
      <c r="BF56" s="16">
        <f>AN56/'2019-20 disagg'!AN56-1</f>
        <v>4.0890283148984574E-2</v>
      </c>
      <c r="BG56" s="16">
        <f>AO56/'2019-20 disagg'!AO56-1</f>
        <v>4.9523542600896864E-2</v>
      </c>
      <c r="BH56" s="16">
        <f>AQ56/'2019-20 disagg'!AQ56-1</f>
        <v>3.8279358689897292E-2</v>
      </c>
      <c r="BI56" s="1"/>
      <c r="BJ56" s="16">
        <f>AS56/'2019-20 disagg'!AS56-1</f>
        <v>2.960675305219973E-2</v>
      </c>
      <c r="BK56" s="16">
        <f>AT56/'2019-20 disagg'!AT56-1</f>
        <v>3.4513101439451299E-2</v>
      </c>
      <c r="BL56" s="16">
        <f>AU56/'2019-20 disagg'!AU56-1</f>
        <v>4.3093467838981825E-2</v>
      </c>
      <c r="BM56" s="16">
        <f>AW56/'2019-20 disagg'!AW56-1</f>
        <v>3.1918173228936197E-2</v>
      </c>
    </row>
    <row r="57" spans="1:65" x14ac:dyDescent="0.2">
      <c r="A57" s="156" t="s">
        <v>159</v>
      </c>
      <c r="B57" s="156" t="s">
        <v>160</v>
      </c>
      <c r="D57" s="56">
        <f>VLOOKUP(A57,'2020-21'!$A$12:$AMX265,32,FALSE)</f>
        <v>217554</v>
      </c>
      <c r="E57" s="56">
        <v>1866.2238169268708</v>
      </c>
      <c r="F57" s="16">
        <f>VLOOKUP(A57,'2020-21'!$A$12:$AMX265,34,FALSE)</f>
        <v>3.7418874906417043E-2</v>
      </c>
      <c r="G57" s="16">
        <f>VLOOKUP(A57,'2020-21'!$A$12:$AMX265,35,FALSE)</f>
        <v>3.2994110013292222E-2</v>
      </c>
      <c r="H57" s="56"/>
      <c r="I57" s="56">
        <v>213438.73158607876</v>
      </c>
      <c r="J57" s="56">
        <v>1830.9221818059045</v>
      </c>
      <c r="K57" s="16">
        <f t="shared" si="6"/>
        <v>1.9280794930425227E-2</v>
      </c>
      <c r="L57" s="58">
        <f t="shared" si="6"/>
        <v>1.9280794930425227E-2</v>
      </c>
      <c r="M57" s="10"/>
      <c r="N57" s="56">
        <v>168541</v>
      </c>
      <c r="O57" s="56">
        <v>17395</v>
      </c>
      <c r="P57" s="56">
        <v>31618</v>
      </c>
      <c r="R57" s="56">
        <f t="shared" si="7"/>
        <v>31618</v>
      </c>
      <c r="S57" s="56">
        <f t="shared" si="8"/>
        <v>0</v>
      </c>
      <c r="U57" s="16">
        <v>2.3357664976074721E-2</v>
      </c>
      <c r="V57" s="16">
        <v>5.6082501193856382E-2</v>
      </c>
      <c r="W57" s="56">
        <f t="shared" si="9"/>
        <v>2</v>
      </c>
      <c r="X57" s="56">
        <f t="shared" si="10"/>
        <v>1646.9412969505668</v>
      </c>
      <c r="Y57" s="56">
        <f t="shared" si="10"/>
        <v>164.71251043678589</v>
      </c>
      <c r="AA57" s="56">
        <f t="shared" si="22"/>
        <v>0</v>
      </c>
      <c r="AB57" s="56">
        <v>0</v>
      </c>
      <c r="AC57" s="56">
        <f t="shared" si="11"/>
        <v>0</v>
      </c>
      <c r="AE57" s="56">
        <v>0</v>
      </c>
      <c r="AF57" s="56">
        <f t="shared" si="12"/>
        <v>0</v>
      </c>
      <c r="AG57" s="56">
        <f t="shared" si="13"/>
        <v>0</v>
      </c>
      <c r="AI57" s="56">
        <f t="shared" si="14"/>
        <v>0</v>
      </c>
      <c r="AJ57" s="56">
        <f t="shared" si="15"/>
        <v>0</v>
      </c>
      <c r="AK57" s="56">
        <f t="shared" si="16"/>
        <v>0</v>
      </c>
      <c r="AM57" s="56">
        <f t="shared" si="17"/>
        <v>168541</v>
      </c>
      <c r="AN57" s="56">
        <f t="shared" si="18"/>
        <v>17395</v>
      </c>
      <c r="AO57" s="56">
        <f t="shared" si="19"/>
        <v>31618</v>
      </c>
      <c r="AP57" s="56"/>
      <c r="AQ57" s="56">
        <f t="shared" si="20"/>
        <v>217554</v>
      </c>
      <c r="AR57" s="1"/>
      <c r="AS57" s="56">
        <v>1445.7800285385317</v>
      </c>
      <c r="AT57" s="56">
        <v>149.2179564404374</v>
      </c>
      <c r="AU57" s="56">
        <v>271.22583194790167</v>
      </c>
      <c r="AV57" s="56"/>
      <c r="AW57" s="56">
        <v>1866.2238169268708</v>
      </c>
      <c r="AX57" s="1"/>
      <c r="AY57" s="16">
        <v>2.3357664976074721E-2</v>
      </c>
      <c r="AZ57" s="16">
        <v>5.6082501193856382E-2</v>
      </c>
      <c r="BA57" s="16">
        <v>-2.0306253615975156E-2</v>
      </c>
      <c r="BB57" s="16">
        <f t="shared" si="21"/>
        <v>1.9280794930425227E-2</v>
      </c>
      <c r="BC57" s="16"/>
      <c r="BD57" s="1"/>
      <c r="BE57" s="16">
        <f>AM57/'2019-20 disagg'!AM57-1</f>
        <v>3.6601266990589743E-2</v>
      </c>
      <c r="BF57" s="16">
        <f>AN57/'2019-20 disagg'!AN57-1</f>
        <v>2.7162680838500153E-2</v>
      </c>
      <c r="BG57" s="16">
        <f>AO57/'2019-20 disagg'!AO57-1</f>
        <v>4.7578026638393833E-2</v>
      </c>
      <c r="BH57" s="16">
        <f>AQ57/'2019-20 disagg'!AQ57-1</f>
        <v>3.7418874906417043E-2</v>
      </c>
      <c r="BI57" s="1"/>
      <c r="BJ57" s="16">
        <f>AS57/'2019-20 disagg'!AS57-1</f>
        <v>3.2179989331878822E-2</v>
      </c>
      <c r="BK57" s="16">
        <f>AT57/'2019-20 disagg'!AT57-1</f>
        <v>2.2781660327270137E-2</v>
      </c>
      <c r="BL57" s="16">
        <f>AU57/'2019-20 disagg'!AU57-1</f>
        <v>4.3109931265156165E-2</v>
      </c>
      <c r="BM57" s="16">
        <f>AW57/'2019-20 disagg'!AW57-1</f>
        <v>3.2994110013292222E-2</v>
      </c>
    </row>
    <row r="58" spans="1:65" x14ac:dyDescent="0.2">
      <c r="A58" s="156" t="s">
        <v>161</v>
      </c>
      <c r="B58" s="156" t="s">
        <v>162</v>
      </c>
      <c r="D58" s="56">
        <f>VLOOKUP(A58,'2020-21'!$A$12:$AMX266,32,FALSE)</f>
        <v>198211.3383163712</v>
      </c>
      <c r="E58" s="56">
        <v>1574.6185588699122</v>
      </c>
      <c r="F58" s="16">
        <f>VLOOKUP(A58,'2020-21'!$A$12:$AMX266,34,FALSE)</f>
        <v>4.2783991479180772E-2</v>
      </c>
      <c r="G58" s="16">
        <f>VLOOKUP(A58,'2020-21'!$A$12:$AMX266,35,FALSE)</f>
        <v>3.8744742869978976E-2</v>
      </c>
      <c r="H58" s="56"/>
      <c r="I58" s="56">
        <v>202747.89373926455</v>
      </c>
      <c r="J58" s="56">
        <v>1610.6575888411851</v>
      </c>
      <c r="K58" s="16">
        <f t="shared" si="6"/>
        <v>-2.2375351670619104E-2</v>
      </c>
      <c r="L58" s="58">
        <f t="shared" si="6"/>
        <v>-2.2375351670618993E-2</v>
      </c>
      <c r="M58" s="10"/>
      <c r="N58" s="56">
        <v>146392</v>
      </c>
      <c r="O58" s="56">
        <v>19503</v>
      </c>
      <c r="P58" s="56">
        <v>31494</v>
      </c>
      <c r="R58" s="56">
        <f t="shared" si="7"/>
        <v>31494</v>
      </c>
      <c r="S58" s="56">
        <f t="shared" si="8"/>
        <v>822.33831637119874</v>
      </c>
      <c r="U58" s="16">
        <v>-2.7913127773957602E-2</v>
      </c>
      <c r="V58" s="16">
        <v>3.0621172466835489E-2</v>
      </c>
      <c r="W58" s="56">
        <f t="shared" si="9"/>
        <v>1</v>
      </c>
      <c r="X58" s="56">
        <f t="shared" si="10"/>
        <v>1505.9559405916862</v>
      </c>
      <c r="Y58" s="56">
        <f t="shared" si="10"/>
        <v>189.23539047154193</v>
      </c>
      <c r="AA58" s="56">
        <f t="shared" si="22"/>
        <v>822.33831637119874</v>
      </c>
      <c r="AB58" s="56">
        <v>0</v>
      </c>
      <c r="AC58" s="56">
        <f t="shared" si="11"/>
        <v>0</v>
      </c>
      <c r="AE58" s="56">
        <v>0</v>
      </c>
      <c r="AF58" s="56">
        <f t="shared" si="12"/>
        <v>0</v>
      </c>
      <c r="AG58" s="56">
        <f t="shared" si="13"/>
        <v>0</v>
      </c>
      <c r="AI58" s="56">
        <f t="shared" si="14"/>
        <v>0</v>
      </c>
      <c r="AJ58" s="56">
        <f t="shared" si="15"/>
        <v>0</v>
      </c>
      <c r="AK58" s="56">
        <f t="shared" si="16"/>
        <v>0</v>
      </c>
      <c r="AM58" s="56">
        <f t="shared" si="17"/>
        <v>147214</v>
      </c>
      <c r="AN58" s="56">
        <f t="shared" si="18"/>
        <v>19503</v>
      </c>
      <c r="AO58" s="56">
        <f t="shared" si="19"/>
        <v>31494</v>
      </c>
      <c r="AP58" s="56"/>
      <c r="AQ58" s="56">
        <f t="shared" si="20"/>
        <v>198211</v>
      </c>
      <c r="AR58" s="1"/>
      <c r="AS58" s="56">
        <v>1169.4885796870144</v>
      </c>
      <c r="AT58" s="56">
        <v>154.9345562897268</v>
      </c>
      <c r="AU58" s="56">
        <v>250.19273526066021</v>
      </c>
      <c r="AV58" s="56"/>
      <c r="AW58" s="56">
        <v>1574.6158712374015</v>
      </c>
      <c r="AX58" s="1"/>
      <c r="AY58" s="16">
        <v>-2.2454800754927784E-2</v>
      </c>
      <c r="AZ58" s="16">
        <v>3.0621172466835489E-2</v>
      </c>
      <c r="BA58" s="16">
        <v>-5.2206600544167259E-2</v>
      </c>
      <c r="BB58" s="16">
        <f t="shared" si="21"/>
        <v>-2.2377020326036168E-2</v>
      </c>
      <c r="BC58" s="16"/>
      <c r="BD58" s="1"/>
      <c r="BE58" s="16">
        <f>AM58/'2019-20 disagg'!AM58-1</f>
        <v>4.242226832739715E-2</v>
      </c>
      <c r="BF58" s="16">
        <f>AN58/'2019-20 disagg'!AN58-1</f>
        <v>3.8498402555910527E-2</v>
      </c>
      <c r="BG58" s="16">
        <f>AO58/'2019-20 disagg'!AO58-1</f>
        <v>4.7147227024870286E-2</v>
      </c>
      <c r="BH58" s="16">
        <f>AQ58/'2019-20 disagg'!AQ58-1</f>
        <v>4.2782211606752885E-2</v>
      </c>
      <c r="BI58" s="1"/>
      <c r="BJ58" s="16">
        <f>AS58/'2019-20 disagg'!AS58-1</f>
        <v>3.8384420861432789E-2</v>
      </c>
      <c r="BK58" s="16">
        <f>AT58/'2019-20 disagg'!AT58-1</f>
        <v>3.4475754277399906E-2</v>
      </c>
      <c r="BL58" s="16">
        <f>AU58/'2019-20 disagg'!AU58-1</f>
        <v>4.3091077318937465E-2</v>
      </c>
      <c r="BM58" s="16">
        <f>AW58/'2019-20 disagg'!AW58-1</f>
        <v>3.8742969891929491E-2</v>
      </c>
    </row>
    <row r="59" spans="1:65" x14ac:dyDescent="0.2">
      <c r="A59" s="156" t="s">
        <v>163</v>
      </c>
      <c r="B59" s="156" t="s">
        <v>164</v>
      </c>
      <c r="D59" s="56">
        <f>VLOOKUP(A59,'2020-21'!$A$12:$AMX267,32,FALSE)</f>
        <v>613303</v>
      </c>
      <c r="E59" s="56">
        <v>1751.4655026517316</v>
      </c>
      <c r="F59" s="16">
        <f>VLOOKUP(A59,'2020-21'!$A$12:$AMX267,34,FALSE)</f>
        <v>3.8561904455481688E-2</v>
      </c>
      <c r="G59" s="16">
        <f>VLOOKUP(A59,'2020-21'!$A$12:$AMX267,35,FALSE)</f>
        <v>3.2455688910855596E-2</v>
      </c>
      <c r="H59" s="56"/>
      <c r="I59" s="56">
        <v>622687.23234054586</v>
      </c>
      <c r="J59" s="56">
        <v>1778.264913731304</v>
      </c>
      <c r="K59" s="16">
        <f t="shared" si="6"/>
        <v>-1.5070539193926535E-2</v>
      </c>
      <c r="L59" s="58">
        <f t="shared" si="6"/>
        <v>-1.5070539193926757E-2</v>
      </c>
      <c r="M59" s="10"/>
      <c r="N59" s="56">
        <v>475728</v>
      </c>
      <c r="O59" s="56">
        <v>53785</v>
      </c>
      <c r="P59" s="56">
        <v>83790</v>
      </c>
      <c r="R59" s="56">
        <f t="shared" si="7"/>
        <v>83790</v>
      </c>
      <c r="S59" s="56">
        <f t="shared" si="8"/>
        <v>0</v>
      </c>
      <c r="U59" s="16">
        <v>-1.7868374324106373E-2</v>
      </c>
      <c r="V59" s="16">
        <v>5.0355608151728459E-2</v>
      </c>
      <c r="W59" s="56">
        <f t="shared" si="9"/>
        <v>1</v>
      </c>
      <c r="X59" s="56">
        <f t="shared" si="10"/>
        <v>4843.8313924837576</v>
      </c>
      <c r="Y59" s="56">
        <f t="shared" si="10"/>
        <v>512.06467202706187</v>
      </c>
      <c r="AA59" s="56">
        <f t="shared" si="22"/>
        <v>0</v>
      </c>
      <c r="AB59" s="56">
        <v>0</v>
      </c>
      <c r="AC59" s="56">
        <f t="shared" si="11"/>
        <v>0</v>
      </c>
      <c r="AE59" s="56">
        <v>0</v>
      </c>
      <c r="AF59" s="56">
        <f t="shared" si="12"/>
        <v>0</v>
      </c>
      <c r="AG59" s="56">
        <f t="shared" si="13"/>
        <v>0</v>
      </c>
      <c r="AI59" s="56">
        <f t="shared" si="14"/>
        <v>0</v>
      </c>
      <c r="AJ59" s="56">
        <f t="shared" si="15"/>
        <v>0</v>
      </c>
      <c r="AK59" s="56">
        <f t="shared" si="16"/>
        <v>0</v>
      </c>
      <c r="AM59" s="56">
        <f t="shared" si="17"/>
        <v>475728</v>
      </c>
      <c r="AN59" s="56">
        <f t="shared" si="18"/>
        <v>53785</v>
      </c>
      <c r="AO59" s="56">
        <f t="shared" si="19"/>
        <v>83790</v>
      </c>
      <c r="AP59" s="56"/>
      <c r="AQ59" s="56">
        <f t="shared" si="20"/>
        <v>613303</v>
      </c>
      <c r="AR59" s="1"/>
      <c r="AS59" s="56">
        <v>1358.5799851712825</v>
      </c>
      <c r="AT59" s="56">
        <v>153.59874655777551</v>
      </c>
      <c r="AU59" s="56">
        <v>239.28677092267378</v>
      </c>
      <c r="AV59" s="56"/>
      <c r="AW59" s="56">
        <v>1751.4655026517316</v>
      </c>
      <c r="AX59" s="1"/>
      <c r="AY59" s="16">
        <v>-1.7868374324106373E-2</v>
      </c>
      <c r="AZ59" s="16">
        <v>5.0355608151728459E-2</v>
      </c>
      <c r="BA59" s="16">
        <v>-3.7976074039741348E-2</v>
      </c>
      <c r="BB59" s="16">
        <f t="shared" si="21"/>
        <v>-1.5070539193926535E-2</v>
      </c>
      <c r="BC59" s="16"/>
      <c r="BD59" s="1"/>
      <c r="BE59" s="16">
        <f>AM59/'2019-20 disagg'!AM59-1</f>
        <v>3.6600273243690307E-2</v>
      </c>
      <c r="BF59" s="16">
        <f>AN59/'2019-20 disagg'!AN59-1</f>
        <v>3.944418676561523E-2</v>
      </c>
      <c r="BG59" s="16">
        <f>AO59/'2019-20 disagg'!AO59-1</f>
        <v>4.9263674614305808E-2</v>
      </c>
      <c r="BH59" s="16">
        <f>AQ59/'2019-20 disagg'!AQ59-1</f>
        <v>3.8561904455481688E-2</v>
      </c>
      <c r="BI59" s="1"/>
      <c r="BJ59" s="16">
        <f>AS59/'2019-20 disagg'!AS59-1</f>
        <v>3.0505591092448991E-2</v>
      </c>
      <c r="BK59" s="16">
        <f>AT59/'2019-20 disagg'!AT59-1</f>
        <v>3.3332783849939318E-2</v>
      </c>
      <c r="BL59" s="16">
        <f>AU59/'2019-20 disagg'!AU59-1</f>
        <v>4.3094538106549507E-2</v>
      </c>
      <c r="BM59" s="16">
        <f>AW59/'2019-20 disagg'!AW59-1</f>
        <v>3.2455688910855596E-2</v>
      </c>
    </row>
    <row r="60" spans="1:65" x14ac:dyDescent="0.2">
      <c r="A60" s="156" t="s">
        <v>165</v>
      </c>
      <c r="B60" s="156" t="s">
        <v>166</v>
      </c>
      <c r="D60" s="56">
        <f>VLOOKUP(A60,'2020-21'!$A$12:$AMX268,32,FALSE)</f>
        <v>380930</v>
      </c>
      <c r="E60" s="56">
        <v>1692.7672104100536</v>
      </c>
      <c r="F60" s="16">
        <f>VLOOKUP(A60,'2020-21'!$A$12:$AMX268,34,FALSE)</f>
        <v>3.706627826252662E-2</v>
      </c>
      <c r="G60" s="16">
        <f>VLOOKUP(A60,'2020-21'!$A$12:$AMX268,35,FALSE)</f>
        <v>3.0528368506108627E-2</v>
      </c>
      <c r="H60" s="56"/>
      <c r="I60" s="56">
        <v>368788.69783872843</v>
      </c>
      <c r="J60" s="56">
        <v>1638.8139954091841</v>
      </c>
      <c r="K60" s="16">
        <f t="shared" si="6"/>
        <v>3.2922110228500001E-2</v>
      </c>
      <c r="L60" s="58">
        <f t="shared" si="6"/>
        <v>3.2922110228500001E-2</v>
      </c>
      <c r="M60" s="10"/>
      <c r="N60" s="56">
        <v>300093</v>
      </c>
      <c r="O60" s="56">
        <v>31557</v>
      </c>
      <c r="P60" s="56">
        <v>49280</v>
      </c>
      <c r="R60" s="56">
        <f t="shared" si="7"/>
        <v>49280</v>
      </c>
      <c r="S60" s="56">
        <f t="shared" si="8"/>
        <v>0</v>
      </c>
      <c r="U60" s="16">
        <v>5.0453712346916868E-2</v>
      </c>
      <c r="V60" s="16">
        <v>-2.0773921012794405E-3</v>
      </c>
      <c r="W60" s="56">
        <f t="shared" si="9"/>
        <v>3</v>
      </c>
      <c r="X60" s="56">
        <f t="shared" si="10"/>
        <v>2856.7941306955272</v>
      </c>
      <c r="Y60" s="56">
        <f t="shared" si="10"/>
        <v>316.22692732102854</v>
      </c>
      <c r="AA60" s="56">
        <f t="shared" si="22"/>
        <v>0</v>
      </c>
      <c r="AB60" s="56">
        <v>0</v>
      </c>
      <c r="AC60" s="56">
        <f t="shared" si="11"/>
        <v>0</v>
      </c>
      <c r="AE60" s="56">
        <v>0</v>
      </c>
      <c r="AF60" s="56">
        <f t="shared" si="12"/>
        <v>0</v>
      </c>
      <c r="AG60" s="56">
        <f t="shared" si="13"/>
        <v>0</v>
      </c>
      <c r="AI60" s="56">
        <f t="shared" si="14"/>
        <v>0</v>
      </c>
      <c r="AJ60" s="56">
        <f t="shared" si="15"/>
        <v>0</v>
      </c>
      <c r="AK60" s="56">
        <f t="shared" si="16"/>
        <v>0</v>
      </c>
      <c r="AM60" s="56">
        <f t="shared" si="17"/>
        <v>300093</v>
      </c>
      <c r="AN60" s="56">
        <f t="shared" si="18"/>
        <v>31557</v>
      </c>
      <c r="AO60" s="56">
        <f t="shared" si="19"/>
        <v>49280</v>
      </c>
      <c r="AP60" s="56"/>
      <c r="AQ60" s="56">
        <f t="shared" si="20"/>
        <v>380930</v>
      </c>
      <c r="AR60" s="1"/>
      <c r="AS60" s="56">
        <v>1333.5457708071935</v>
      </c>
      <c r="AT60" s="56">
        <v>140.23220764683816</v>
      </c>
      <c r="AU60" s="56">
        <v>218.98923195602194</v>
      </c>
      <c r="AV60" s="56"/>
      <c r="AW60" s="56">
        <v>1692.7672104100536</v>
      </c>
      <c r="AX60" s="1"/>
      <c r="AY60" s="16">
        <v>5.0453712346916868E-2</v>
      </c>
      <c r="AZ60" s="16">
        <v>-2.0773921012794405E-3</v>
      </c>
      <c r="BA60" s="16">
        <v>-4.2857605247672681E-2</v>
      </c>
      <c r="BB60" s="16">
        <f t="shared" si="21"/>
        <v>3.2922110228500001E-2</v>
      </c>
      <c r="BC60" s="16"/>
      <c r="BD60" s="1"/>
      <c r="BE60" s="16">
        <f>AM60/'2019-20 disagg'!AM60-1</f>
        <v>3.4600095843230871E-2</v>
      </c>
      <c r="BF60" s="16">
        <f>AN60/'2019-20 disagg'!AN60-1</f>
        <v>4.107284243863818E-2</v>
      </c>
      <c r="BG60" s="16">
        <f>AO60/'2019-20 disagg'!AO60-1</f>
        <v>4.9716695778128095E-2</v>
      </c>
      <c r="BH60" s="16">
        <f>AQ60/'2019-20 disagg'!AQ60-1</f>
        <v>3.706627826252662E-2</v>
      </c>
      <c r="BI60" s="1"/>
      <c r="BJ60" s="16">
        <f>AS60/'2019-20 disagg'!AS60-1</f>
        <v>2.8077733480878386E-2</v>
      </c>
      <c r="BK60" s="16">
        <f>AT60/'2019-20 disagg'!AT60-1</f>
        <v>3.450967435923169E-2</v>
      </c>
      <c r="BL60" s="16">
        <f>AU60/'2019-20 disagg'!AU60-1</f>
        <v>4.3099034814066295E-2</v>
      </c>
      <c r="BM60" s="16">
        <f>AW60/'2019-20 disagg'!AW60-1</f>
        <v>3.0528368506108627E-2</v>
      </c>
    </row>
    <row r="61" spans="1:65" x14ac:dyDescent="0.2">
      <c r="A61" s="156" t="s">
        <v>167</v>
      </c>
      <c r="B61" s="156" t="s">
        <v>168</v>
      </c>
      <c r="D61" s="56">
        <f>VLOOKUP(A61,'2020-21'!$A$12:$AMX269,32,FALSE)</f>
        <v>614964</v>
      </c>
      <c r="E61" s="56">
        <v>1935.7540872687034</v>
      </c>
      <c r="F61" s="16">
        <f>VLOOKUP(A61,'2020-21'!$A$12:$AMX269,34,FALSE)</f>
        <v>3.4937496213421682E-2</v>
      </c>
      <c r="G61" s="16">
        <f>VLOOKUP(A61,'2020-21'!$A$12:$AMX269,35,FALSE)</f>
        <v>3.245443300776385E-2</v>
      </c>
      <c r="H61" s="56"/>
      <c r="I61" s="56">
        <v>586467.85128782957</v>
      </c>
      <c r="J61" s="56">
        <v>1846.0552815808896</v>
      </c>
      <c r="K61" s="16">
        <f t="shared" si="6"/>
        <v>4.8589447229878902E-2</v>
      </c>
      <c r="L61" s="58">
        <f t="shared" si="6"/>
        <v>4.8589447229878902E-2</v>
      </c>
      <c r="M61" s="10"/>
      <c r="N61" s="56">
        <v>474642</v>
      </c>
      <c r="O61" s="56">
        <v>46103</v>
      </c>
      <c r="P61" s="56">
        <v>94219</v>
      </c>
      <c r="R61" s="56">
        <f t="shared" si="7"/>
        <v>94219</v>
      </c>
      <c r="S61" s="56">
        <f t="shared" si="8"/>
        <v>0</v>
      </c>
      <c r="U61" s="16">
        <v>5.2881171614123756E-2</v>
      </c>
      <c r="V61" s="16">
        <v>-4.0710647642491216E-3</v>
      </c>
      <c r="W61" s="56">
        <f t="shared" si="9"/>
        <v>3</v>
      </c>
      <c r="X61" s="56">
        <f t="shared" si="10"/>
        <v>4508.0300873112601</v>
      </c>
      <c r="Y61" s="56">
        <f t="shared" si="10"/>
        <v>462.91455513426519</v>
      </c>
      <c r="AA61" s="56">
        <f t="shared" si="22"/>
        <v>0</v>
      </c>
      <c r="AB61" s="56">
        <v>0</v>
      </c>
      <c r="AC61" s="56">
        <f t="shared" si="11"/>
        <v>0</v>
      </c>
      <c r="AE61" s="56">
        <v>0</v>
      </c>
      <c r="AF61" s="56">
        <f t="shared" si="12"/>
        <v>0</v>
      </c>
      <c r="AG61" s="56">
        <f t="shared" si="13"/>
        <v>0</v>
      </c>
      <c r="AI61" s="56">
        <f t="shared" si="14"/>
        <v>0</v>
      </c>
      <c r="AJ61" s="56">
        <f t="shared" si="15"/>
        <v>0</v>
      </c>
      <c r="AK61" s="56">
        <f t="shared" si="16"/>
        <v>0</v>
      </c>
      <c r="AM61" s="56">
        <f t="shared" si="17"/>
        <v>474642</v>
      </c>
      <c r="AN61" s="56">
        <f t="shared" si="18"/>
        <v>46103</v>
      </c>
      <c r="AO61" s="56">
        <f t="shared" si="19"/>
        <v>94219</v>
      </c>
      <c r="AP61" s="56"/>
      <c r="AQ61" s="56">
        <f t="shared" si="20"/>
        <v>614964</v>
      </c>
      <c r="AR61" s="1"/>
      <c r="AS61" s="56">
        <v>1494.0552479322237</v>
      </c>
      <c r="AT61" s="56">
        <v>145.12080493386449</v>
      </c>
      <c r="AU61" s="56">
        <v>296.5780344026154</v>
      </c>
      <c r="AV61" s="56"/>
      <c r="AW61" s="56">
        <v>1935.7540872687034</v>
      </c>
      <c r="AX61" s="1"/>
      <c r="AY61" s="16">
        <v>5.2881171614123756E-2</v>
      </c>
      <c r="AZ61" s="16">
        <v>-4.0710647642491216E-3</v>
      </c>
      <c r="BA61" s="16">
        <v>5.4217626936042373E-2</v>
      </c>
      <c r="BB61" s="16">
        <f t="shared" si="21"/>
        <v>4.8589447229878902E-2</v>
      </c>
      <c r="BC61" s="16"/>
      <c r="BD61" s="1"/>
      <c r="BE61" s="16">
        <f>AM61/'2019-20 disagg'!AM61-1</f>
        <v>3.264757329713075E-2</v>
      </c>
      <c r="BF61" s="16">
        <f>AN61/'2019-20 disagg'!AN61-1</f>
        <v>3.6977889741109715E-2</v>
      </c>
      <c r="BG61" s="16">
        <f>AO61/'2019-20 disagg'!AO61-1</f>
        <v>4.5611426161648705E-2</v>
      </c>
      <c r="BH61" s="16">
        <f>AQ61/'2019-20 disagg'!AQ61-1</f>
        <v>3.4937496213421682E-2</v>
      </c>
      <c r="BI61" s="1"/>
      <c r="BJ61" s="16">
        <f>AS61/'2019-20 disagg'!AS61-1</f>
        <v>3.017000416561566E-2</v>
      </c>
      <c r="BK61" s="16">
        <f>AT61/'2019-20 disagg'!AT61-1</f>
        <v>3.4489931142143604E-2</v>
      </c>
      <c r="BL61" s="16">
        <f>AU61/'2019-20 disagg'!AU61-1</f>
        <v>4.3102753638702529E-2</v>
      </c>
      <c r="BM61" s="16">
        <f>AW61/'2019-20 disagg'!AW61-1</f>
        <v>3.245443300776385E-2</v>
      </c>
    </row>
    <row r="62" spans="1:65" x14ac:dyDescent="0.2">
      <c r="A62" s="156" t="s">
        <v>169</v>
      </c>
      <c r="B62" s="156" t="s">
        <v>170</v>
      </c>
      <c r="D62" s="56">
        <f>VLOOKUP(A62,'2020-21'!$A$12:$AMX270,32,FALSE)</f>
        <v>536692</v>
      </c>
      <c r="E62" s="56">
        <v>1739.1847156808262</v>
      </c>
      <c r="F62" s="16">
        <f>VLOOKUP(A62,'2020-21'!$A$12:$AMX270,34,FALSE)</f>
        <v>3.8522864484968666E-2</v>
      </c>
      <c r="G62" s="16">
        <f>VLOOKUP(A62,'2020-21'!$A$12:$AMX270,35,FALSE)</f>
        <v>3.3671531515326203E-2</v>
      </c>
      <c r="H62" s="56"/>
      <c r="I62" s="56">
        <v>535566.60497011617</v>
      </c>
      <c r="J62" s="56">
        <v>1735.5378011840996</v>
      </c>
      <c r="K62" s="16">
        <f t="shared" si="6"/>
        <v>2.101316660598318E-3</v>
      </c>
      <c r="L62" s="58">
        <f t="shared" si="6"/>
        <v>2.1013166605985401E-3</v>
      </c>
      <c r="M62" s="10"/>
      <c r="N62" s="56">
        <v>414446</v>
      </c>
      <c r="O62" s="56">
        <v>40828</v>
      </c>
      <c r="P62" s="56">
        <v>81418</v>
      </c>
      <c r="R62" s="56">
        <f t="shared" si="7"/>
        <v>81418</v>
      </c>
      <c r="S62" s="56">
        <f t="shared" si="8"/>
        <v>0</v>
      </c>
      <c r="U62" s="16">
        <v>5.4455424881623138E-3</v>
      </c>
      <c r="V62" s="16">
        <v>-4.8358344674377829E-2</v>
      </c>
      <c r="W62" s="56">
        <f t="shared" si="9"/>
        <v>3</v>
      </c>
      <c r="X62" s="56">
        <f t="shared" si="10"/>
        <v>4122.0134008886862</v>
      </c>
      <c r="Y62" s="56">
        <f t="shared" si="10"/>
        <v>429.02703734663578</v>
      </c>
      <c r="AA62" s="56">
        <f t="shared" si="22"/>
        <v>0</v>
      </c>
      <c r="AB62" s="56">
        <v>0</v>
      </c>
      <c r="AC62" s="56">
        <f t="shared" si="11"/>
        <v>0</v>
      </c>
      <c r="AE62" s="56">
        <v>0</v>
      </c>
      <c r="AF62" s="56">
        <f t="shared" si="12"/>
        <v>0</v>
      </c>
      <c r="AG62" s="56">
        <f t="shared" si="13"/>
        <v>0</v>
      </c>
      <c r="AI62" s="56">
        <f t="shared" si="14"/>
        <v>0</v>
      </c>
      <c r="AJ62" s="56">
        <f t="shared" si="15"/>
        <v>0</v>
      </c>
      <c r="AK62" s="56">
        <f t="shared" si="16"/>
        <v>0</v>
      </c>
      <c r="AM62" s="56">
        <f t="shared" si="17"/>
        <v>414446</v>
      </c>
      <c r="AN62" s="56">
        <f t="shared" si="18"/>
        <v>40828</v>
      </c>
      <c r="AO62" s="56">
        <f t="shared" si="19"/>
        <v>81418</v>
      </c>
      <c r="AP62" s="56"/>
      <c r="AQ62" s="56">
        <f t="shared" si="20"/>
        <v>536692</v>
      </c>
      <c r="AR62" s="1"/>
      <c r="AS62" s="56">
        <v>1343.0387422861822</v>
      </c>
      <c r="AT62" s="56">
        <v>132.30574253355141</v>
      </c>
      <c r="AU62" s="56">
        <v>263.84023086109261</v>
      </c>
      <c r="AV62" s="56"/>
      <c r="AW62" s="56">
        <v>1739.1847156808262</v>
      </c>
      <c r="AX62" s="1"/>
      <c r="AY62" s="16">
        <v>5.4455424881623138E-3</v>
      </c>
      <c r="AZ62" s="16">
        <v>-4.8358344674377829E-2</v>
      </c>
      <c r="BA62" s="16">
        <v>1.1874328132253753E-2</v>
      </c>
      <c r="BB62" s="16">
        <f t="shared" si="21"/>
        <v>2.101316660598318E-3</v>
      </c>
      <c r="BC62" s="16"/>
      <c r="BD62" s="1"/>
      <c r="BE62" s="16">
        <f>AM62/'2019-20 disagg'!AM62-1</f>
        <v>3.6599610317823661E-2</v>
      </c>
      <c r="BF62" s="16">
        <f>AN62/'2019-20 disagg'!AN62-1</f>
        <v>3.9356448246016029E-2</v>
      </c>
      <c r="BG62" s="16">
        <f>AO62/'2019-20 disagg'!AO62-1</f>
        <v>4.7999073227870115E-2</v>
      </c>
      <c r="BH62" s="16">
        <f>AQ62/'2019-20 disagg'!AQ62-1</f>
        <v>3.8522864484968666E-2</v>
      </c>
      <c r="BI62" s="1"/>
      <c r="BJ62" s="16">
        <f>AS62/'2019-20 disagg'!AS62-1</f>
        <v>3.1757261595585895E-2</v>
      </c>
      <c r="BK62" s="16">
        <f>AT62/'2019-20 disagg'!AT62-1</f>
        <v>3.4501221291444395E-2</v>
      </c>
      <c r="BL62" s="16">
        <f>AU62/'2019-20 disagg'!AU62-1</f>
        <v>4.3103473304197282E-2</v>
      </c>
      <c r="BM62" s="16">
        <f>AW62/'2019-20 disagg'!AW62-1</f>
        <v>3.3671531515326203E-2</v>
      </c>
    </row>
    <row r="63" spans="1:65" x14ac:dyDescent="0.2">
      <c r="A63" s="156" t="s">
        <v>171</v>
      </c>
      <c r="B63" s="156" t="s">
        <v>172</v>
      </c>
      <c r="D63" s="56">
        <f>VLOOKUP(A63,'2020-21'!$A$12:$AMX271,32,FALSE)</f>
        <v>408844</v>
      </c>
      <c r="E63" s="56">
        <v>1618.5229940821</v>
      </c>
      <c r="F63" s="16">
        <f>VLOOKUP(A63,'2020-21'!$A$12:$AMX271,34,FALSE)</f>
        <v>3.866370276278186E-2</v>
      </c>
      <c r="G63" s="16">
        <f>VLOOKUP(A63,'2020-21'!$A$12:$AMX271,35,FALSE)</f>
        <v>3.2293047496330107E-2</v>
      </c>
      <c r="H63" s="56"/>
      <c r="I63" s="56">
        <v>398142.27787686919</v>
      </c>
      <c r="J63" s="56">
        <v>1576.1572425177765</v>
      </c>
      <c r="K63" s="16">
        <f t="shared" si="6"/>
        <v>2.6879140241520494E-2</v>
      </c>
      <c r="L63" s="58">
        <f t="shared" si="6"/>
        <v>2.6879140241520494E-2</v>
      </c>
      <c r="M63" s="10"/>
      <c r="N63" s="56">
        <v>319512</v>
      </c>
      <c r="O63" s="56">
        <v>35209</v>
      </c>
      <c r="P63" s="56">
        <v>54123</v>
      </c>
      <c r="R63" s="56">
        <f t="shared" si="7"/>
        <v>54123</v>
      </c>
      <c r="S63" s="56">
        <f t="shared" si="8"/>
        <v>0</v>
      </c>
      <c r="U63" s="16">
        <v>3.5496749271297423E-2</v>
      </c>
      <c r="V63" s="16">
        <v>-3.9727755143470489E-4</v>
      </c>
      <c r="W63" s="56">
        <f t="shared" si="9"/>
        <v>3</v>
      </c>
      <c r="X63" s="56">
        <f t="shared" si="10"/>
        <v>3085.5915310680389</v>
      </c>
      <c r="Y63" s="56">
        <f t="shared" si="10"/>
        <v>352.22993304534225</v>
      </c>
      <c r="AA63" s="56">
        <f t="shared" si="22"/>
        <v>0</v>
      </c>
      <c r="AB63" s="56">
        <v>0</v>
      </c>
      <c r="AC63" s="56">
        <f t="shared" si="11"/>
        <v>0</v>
      </c>
      <c r="AE63" s="56">
        <v>0</v>
      </c>
      <c r="AF63" s="56">
        <f t="shared" si="12"/>
        <v>0</v>
      </c>
      <c r="AG63" s="56">
        <f t="shared" si="13"/>
        <v>0</v>
      </c>
      <c r="AI63" s="56">
        <f t="shared" si="14"/>
        <v>0</v>
      </c>
      <c r="AJ63" s="56">
        <f t="shared" si="15"/>
        <v>0</v>
      </c>
      <c r="AK63" s="56">
        <f t="shared" si="16"/>
        <v>0</v>
      </c>
      <c r="AM63" s="56">
        <f t="shared" si="17"/>
        <v>319512</v>
      </c>
      <c r="AN63" s="56">
        <f t="shared" si="18"/>
        <v>35209</v>
      </c>
      <c r="AO63" s="56">
        <f t="shared" si="19"/>
        <v>54123</v>
      </c>
      <c r="AP63" s="56"/>
      <c r="AQ63" s="56">
        <f t="shared" si="20"/>
        <v>408844</v>
      </c>
      <c r="AR63" s="1"/>
      <c r="AS63" s="56">
        <v>1264.8773588096192</v>
      </c>
      <c r="AT63" s="56">
        <v>139.38464572951213</v>
      </c>
      <c r="AU63" s="56">
        <v>214.2609895429687</v>
      </c>
      <c r="AV63" s="56"/>
      <c r="AW63" s="56">
        <v>1618.5229940821</v>
      </c>
      <c r="AX63" s="1"/>
      <c r="AY63" s="16">
        <v>3.5496749271297423E-2</v>
      </c>
      <c r="AZ63" s="16">
        <v>-3.9727755143470489E-4</v>
      </c>
      <c r="BA63" s="16">
        <v>-4.3622312738780256E-3</v>
      </c>
      <c r="BB63" s="16">
        <f t="shared" si="21"/>
        <v>2.6879140241520494E-2</v>
      </c>
      <c r="BC63" s="16"/>
      <c r="BD63" s="1"/>
      <c r="BE63" s="16">
        <f>AM63/'2019-20 disagg'!AM63-1</f>
        <v>3.6599173996126222E-2</v>
      </c>
      <c r="BF63" s="16">
        <f>AN63/'2019-20 disagg'!AN63-1</f>
        <v>4.0885709217761468E-2</v>
      </c>
      <c r="BG63" s="16">
        <f>AO63/'2019-20 disagg'!AO63-1</f>
        <v>4.9546230220291587E-2</v>
      </c>
      <c r="BH63" s="16">
        <f>AQ63/'2019-20 disagg'!AQ63-1</f>
        <v>3.866370276278186E-2</v>
      </c>
      <c r="BI63" s="1"/>
      <c r="BJ63" s="16">
        <f>AS63/'2019-20 disagg'!AS63-1</f>
        <v>3.0241181539614859E-2</v>
      </c>
      <c r="BK63" s="16">
        <f>AT63/'2019-20 disagg'!AT63-1</f>
        <v>3.4501425250232698E-2</v>
      </c>
      <c r="BL63" s="16">
        <f>AU63/'2019-20 disagg'!AU63-1</f>
        <v>4.3108826851759208E-2</v>
      </c>
      <c r="BM63" s="16">
        <f>AW63/'2019-20 disagg'!AW63-1</f>
        <v>3.2293047496330107E-2</v>
      </c>
    </row>
    <row r="64" spans="1:65" x14ac:dyDescent="0.2">
      <c r="A64" s="156" t="s">
        <v>173</v>
      </c>
      <c r="B64" s="156" t="s">
        <v>174</v>
      </c>
      <c r="D64" s="56">
        <f>VLOOKUP(A64,'2020-21'!$A$12:$AMX272,32,FALSE)</f>
        <v>261285</v>
      </c>
      <c r="E64" s="56">
        <v>1804.3365556841366</v>
      </c>
      <c r="F64" s="16">
        <f>VLOOKUP(A64,'2020-21'!$A$12:$AMX272,34,FALSE)</f>
        <v>3.2669483319434534E-2</v>
      </c>
      <c r="G64" s="16">
        <f>VLOOKUP(A64,'2020-21'!$A$12:$AMX272,35,FALSE)</f>
        <v>3.0471693668504551E-2</v>
      </c>
      <c r="H64" s="56"/>
      <c r="I64" s="56">
        <v>246758.60126946875</v>
      </c>
      <c r="J64" s="56">
        <v>1704.0226752396366</v>
      </c>
      <c r="K64" s="16">
        <f t="shared" si="6"/>
        <v>5.8868864776340457E-2</v>
      </c>
      <c r="L64" s="58">
        <f t="shared" si="6"/>
        <v>5.8868864776340457E-2</v>
      </c>
      <c r="M64" s="10"/>
      <c r="N64" s="56">
        <v>199442</v>
      </c>
      <c r="O64" s="56">
        <v>21081</v>
      </c>
      <c r="P64" s="56">
        <v>40762</v>
      </c>
      <c r="R64" s="56">
        <f t="shared" si="7"/>
        <v>40762</v>
      </c>
      <c r="S64" s="56">
        <f t="shared" si="8"/>
        <v>0</v>
      </c>
      <c r="U64" s="16">
        <v>5.321354069542017E-2</v>
      </c>
      <c r="V64" s="16">
        <v>6.6008440449695005E-2</v>
      </c>
      <c r="W64" s="56">
        <f t="shared" si="9"/>
        <v>2</v>
      </c>
      <c r="X64" s="56">
        <f t="shared" si="10"/>
        <v>1893.6520685853661</v>
      </c>
      <c r="Y64" s="56">
        <f t="shared" si="10"/>
        <v>197.75640792400284</v>
      </c>
      <c r="AA64" s="56">
        <f t="shared" si="22"/>
        <v>0</v>
      </c>
      <c r="AB64" s="56">
        <v>0</v>
      </c>
      <c r="AC64" s="56">
        <f t="shared" si="11"/>
        <v>0</v>
      </c>
      <c r="AE64" s="56">
        <v>0</v>
      </c>
      <c r="AF64" s="56">
        <f t="shared" si="12"/>
        <v>0</v>
      </c>
      <c r="AG64" s="56">
        <f t="shared" si="13"/>
        <v>0</v>
      </c>
      <c r="AI64" s="56">
        <f t="shared" si="14"/>
        <v>0</v>
      </c>
      <c r="AJ64" s="56">
        <f t="shared" si="15"/>
        <v>0</v>
      </c>
      <c r="AK64" s="56">
        <f t="shared" si="16"/>
        <v>0</v>
      </c>
      <c r="AM64" s="56">
        <f t="shared" si="17"/>
        <v>199442</v>
      </c>
      <c r="AN64" s="56">
        <f t="shared" si="18"/>
        <v>21081</v>
      </c>
      <c r="AO64" s="56">
        <f t="shared" si="19"/>
        <v>40762</v>
      </c>
      <c r="AP64" s="56"/>
      <c r="AQ64" s="56">
        <f t="shared" si="20"/>
        <v>261285</v>
      </c>
      <c r="AR64" s="1"/>
      <c r="AS64" s="56">
        <v>1377.2719112798497</v>
      </c>
      <c r="AT64" s="56">
        <v>145.5775070531308</v>
      </c>
      <c r="AU64" s="56">
        <v>281.48713735115592</v>
      </c>
      <c r="AV64" s="56"/>
      <c r="AW64" s="56">
        <v>1804.3365556841366</v>
      </c>
      <c r="AX64" s="1"/>
      <c r="AY64" s="16">
        <v>5.321354069542017E-2</v>
      </c>
      <c r="AZ64" s="16">
        <v>6.6008440449695005E-2</v>
      </c>
      <c r="BA64" s="16">
        <v>8.3584108007958458E-2</v>
      </c>
      <c r="BB64" s="16">
        <f t="shared" si="21"/>
        <v>5.8868864776340457E-2</v>
      </c>
      <c r="BC64" s="16"/>
      <c r="BD64" s="1"/>
      <c r="BE64" s="16">
        <f>AM64/'2019-20 disagg'!AM64-1</f>
        <v>3.2377955038382478E-2</v>
      </c>
      <c r="BF64" s="16">
        <f>AN64/'2019-20 disagg'!AN64-1</f>
        <v>1.1709939050727147E-2</v>
      </c>
      <c r="BG64" s="16">
        <f>AO64/'2019-20 disagg'!AO64-1</f>
        <v>4.5313501730991135E-2</v>
      </c>
      <c r="BH64" s="16">
        <f>AQ64/'2019-20 disagg'!AQ64-1</f>
        <v>3.2669483319434534E-2</v>
      </c>
      <c r="BI64" s="1"/>
      <c r="BJ64" s="16">
        <f>AS64/'2019-20 disagg'!AS64-1</f>
        <v>3.0180785835571822E-2</v>
      </c>
      <c r="BK64" s="16">
        <f>AT64/'2019-20 disagg'!AT64-1</f>
        <v>9.5567567695566957E-3</v>
      </c>
      <c r="BL64" s="16">
        <f>AU64/'2019-20 disagg'!AU64-1</f>
        <v>4.3088802315359054E-2</v>
      </c>
      <c r="BM64" s="16">
        <f>AW64/'2019-20 disagg'!AW64-1</f>
        <v>3.0471693668504551E-2</v>
      </c>
    </row>
    <row r="65" spans="1:65" x14ac:dyDescent="0.2">
      <c r="A65" s="156" t="s">
        <v>175</v>
      </c>
      <c r="B65" s="156" t="s">
        <v>176</v>
      </c>
      <c r="D65" s="56">
        <f>VLOOKUP(A65,'2020-21'!$A$12:$AMX273,32,FALSE)</f>
        <v>270305</v>
      </c>
      <c r="E65" s="56">
        <v>1644.122371534286</v>
      </c>
      <c r="F65" s="16">
        <f>VLOOKUP(A65,'2020-21'!$A$12:$AMX273,34,FALSE)</f>
        <v>3.8149263361651808E-2</v>
      </c>
      <c r="G65" s="16">
        <f>VLOOKUP(A65,'2020-21'!$A$12:$AMX273,35,FALSE)</f>
        <v>3.4725392426245394E-2</v>
      </c>
      <c r="H65" s="56"/>
      <c r="I65" s="56">
        <v>263961.68464673212</v>
      </c>
      <c r="J65" s="56">
        <v>1605.5393387305839</v>
      </c>
      <c r="K65" s="16">
        <f t="shared" si="6"/>
        <v>2.4031197413205474E-2</v>
      </c>
      <c r="L65" s="58">
        <f t="shared" si="6"/>
        <v>2.4031197413205474E-2</v>
      </c>
      <c r="M65" s="10"/>
      <c r="N65" s="56">
        <v>208988</v>
      </c>
      <c r="O65" s="56">
        <v>21893</v>
      </c>
      <c r="P65" s="56">
        <v>39424</v>
      </c>
      <c r="R65" s="56">
        <f t="shared" si="7"/>
        <v>39424</v>
      </c>
      <c r="S65" s="56">
        <f t="shared" si="8"/>
        <v>0</v>
      </c>
      <c r="U65" s="16">
        <v>3.3069410383010034E-2</v>
      </c>
      <c r="V65" s="16">
        <v>3.151731896802934E-2</v>
      </c>
      <c r="W65" s="56">
        <f t="shared" si="9"/>
        <v>2</v>
      </c>
      <c r="X65" s="56">
        <f t="shared" si="10"/>
        <v>2022.9812043560344</v>
      </c>
      <c r="Y65" s="56">
        <f t="shared" si="10"/>
        <v>212.24074087192858</v>
      </c>
      <c r="AA65" s="56">
        <f t="shared" si="22"/>
        <v>0</v>
      </c>
      <c r="AB65" s="56">
        <v>0</v>
      </c>
      <c r="AC65" s="56">
        <f t="shared" si="11"/>
        <v>0</v>
      </c>
      <c r="AE65" s="56">
        <v>0</v>
      </c>
      <c r="AF65" s="56">
        <f t="shared" si="12"/>
        <v>0</v>
      </c>
      <c r="AG65" s="56">
        <f t="shared" si="13"/>
        <v>0</v>
      </c>
      <c r="AI65" s="56">
        <f t="shared" si="14"/>
        <v>0</v>
      </c>
      <c r="AJ65" s="56">
        <f t="shared" si="15"/>
        <v>0</v>
      </c>
      <c r="AK65" s="56">
        <f t="shared" si="16"/>
        <v>0</v>
      </c>
      <c r="AM65" s="56">
        <f t="shared" si="17"/>
        <v>208988</v>
      </c>
      <c r="AN65" s="56">
        <f t="shared" si="18"/>
        <v>21893</v>
      </c>
      <c r="AO65" s="56">
        <f t="shared" si="19"/>
        <v>39424</v>
      </c>
      <c r="AP65" s="56"/>
      <c r="AQ65" s="56">
        <f t="shared" si="20"/>
        <v>270305</v>
      </c>
      <c r="AR65" s="1"/>
      <c r="AS65" s="56">
        <v>1271.1634863661691</v>
      </c>
      <c r="AT65" s="56">
        <v>133.16354148092014</v>
      </c>
      <c r="AU65" s="56">
        <v>239.79534368719663</v>
      </c>
      <c r="AV65" s="56"/>
      <c r="AW65" s="56">
        <v>1644.122371534286</v>
      </c>
      <c r="AX65" s="1"/>
      <c r="AY65" s="16">
        <v>3.3069410383010034E-2</v>
      </c>
      <c r="AZ65" s="16">
        <v>3.151731896802934E-2</v>
      </c>
      <c r="BA65" s="16">
        <v>-2.5111348358339391E-2</v>
      </c>
      <c r="BB65" s="16">
        <f t="shared" si="21"/>
        <v>2.4031197413205474E-2</v>
      </c>
      <c r="BC65" s="16"/>
      <c r="BD65" s="1"/>
      <c r="BE65" s="16">
        <f>AM65/'2019-20 disagg'!AM65-1</f>
        <v>3.660054858662054E-2</v>
      </c>
      <c r="BF65" s="16">
        <f>AN65/'2019-20 disagg'!AN65-1</f>
        <v>3.7927274451239779E-2</v>
      </c>
      <c r="BG65" s="16">
        <f>AO65/'2019-20 disagg'!AO65-1</f>
        <v>4.6562251128218657E-2</v>
      </c>
      <c r="BH65" s="16">
        <f>AQ65/'2019-20 disagg'!AQ65-1</f>
        <v>3.8149263361651808E-2</v>
      </c>
      <c r="BI65" s="1"/>
      <c r="BJ65" s="16">
        <f>AS65/'2019-20 disagg'!AS65-1</f>
        <v>3.3181785394091445E-2</v>
      </c>
      <c r="BK65" s="16">
        <f>AT65/'2019-20 disagg'!AT65-1</f>
        <v>3.4504135646948875E-2</v>
      </c>
      <c r="BL65" s="16">
        <f>AU65/'2019-20 disagg'!AU65-1</f>
        <v>4.3110633716163527E-2</v>
      </c>
      <c r="BM65" s="16">
        <f>AW65/'2019-20 disagg'!AW65-1</f>
        <v>3.4725392426245394E-2</v>
      </c>
    </row>
    <row r="66" spans="1:65" x14ac:dyDescent="0.2">
      <c r="A66" s="156" t="s">
        <v>177</v>
      </c>
      <c r="B66" s="156" t="s">
        <v>178</v>
      </c>
      <c r="D66" s="56">
        <f>VLOOKUP(A66,'2020-21'!$A$12:$AMX274,32,FALSE)</f>
        <v>552730</v>
      </c>
      <c r="E66" s="56">
        <v>1873.4135126416998</v>
      </c>
      <c r="F66" s="16">
        <f>VLOOKUP(A66,'2020-21'!$A$12:$AMX274,34,FALSE)</f>
        <v>3.8015951563136863E-2</v>
      </c>
      <c r="G66" s="16">
        <f>VLOOKUP(A66,'2020-21'!$A$12:$AMX274,35,FALSE)</f>
        <v>3.5648639388863312E-2</v>
      </c>
      <c r="H66" s="56"/>
      <c r="I66" s="56">
        <v>541083.30700453243</v>
      </c>
      <c r="J66" s="56">
        <v>1833.9384126194495</v>
      </c>
      <c r="K66" s="16">
        <f t="shared" si="6"/>
        <v>2.1524768634878733E-2</v>
      </c>
      <c r="L66" s="58">
        <f t="shared" si="6"/>
        <v>2.1524768634878733E-2</v>
      </c>
      <c r="M66" s="10"/>
      <c r="N66" s="56">
        <v>420459</v>
      </c>
      <c r="O66" s="56">
        <v>44927</v>
      </c>
      <c r="P66" s="56">
        <v>87344</v>
      </c>
      <c r="R66" s="56">
        <f t="shared" si="7"/>
        <v>87344</v>
      </c>
      <c r="S66" s="56">
        <f t="shared" si="8"/>
        <v>0</v>
      </c>
      <c r="U66" s="16">
        <v>3.2151665737401913E-2</v>
      </c>
      <c r="V66" s="16">
        <v>-4.4485727676758513E-3</v>
      </c>
      <c r="W66" s="56">
        <f t="shared" si="9"/>
        <v>3</v>
      </c>
      <c r="X66" s="56">
        <f t="shared" si="10"/>
        <v>4073.6164456956112</v>
      </c>
      <c r="Y66" s="56">
        <f t="shared" si="10"/>
        <v>451.27754097946496</v>
      </c>
      <c r="AA66" s="56">
        <f t="shared" si="22"/>
        <v>0</v>
      </c>
      <c r="AB66" s="56">
        <v>0</v>
      </c>
      <c r="AC66" s="56">
        <f t="shared" si="11"/>
        <v>0</v>
      </c>
      <c r="AE66" s="56">
        <v>0</v>
      </c>
      <c r="AF66" s="56">
        <f t="shared" si="12"/>
        <v>0</v>
      </c>
      <c r="AG66" s="56">
        <f t="shared" si="13"/>
        <v>0</v>
      </c>
      <c r="AI66" s="56">
        <f t="shared" si="14"/>
        <v>0</v>
      </c>
      <c r="AJ66" s="56">
        <f t="shared" si="15"/>
        <v>0</v>
      </c>
      <c r="AK66" s="56">
        <f t="shared" si="16"/>
        <v>0</v>
      </c>
      <c r="AM66" s="56">
        <f t="shared" si="17"/>
        <v>420459</v>
      </c>
      <c r="AN66" s="56">
        <f t="shared" si="18"/>
        <v>44927</v>
      </c>
      <c r="AO66" s="56">
        <f t="shared" si="19"/>
        <v>87344</v>
      </c>
      <c r="AP66" s="56"/>
      <c r="AQ66" s="56">
        <f t="shared" si="20"/>
        <v>552730</v>
      </c>
      <c r="AR66" s="1"/>
      <c r="AS66" s="56">
        <v>1425.0964704499781</v>
      </c>
      <c r="AT66" s="56">
        <v>152.27479760905624</v>
      </c>
      <c r="AU66" s="56">
        <v>296.04224458266538</v>
      </c>
      <c r="AV66" s="56"/>
      <c r="AW66" s="56">
        <v>1873.4135126416998</v>
      </c>
      <c r="AX66" s="1"/>
      <c r="AY66" s="16">
        <v>3.2151665737401913E-2</v>
      </c>
      <c r="AZ66" s="16">
        <v>-4.4485727676758513E-3</v>
      </c>
      <c r="BA66" s="16">
        <v>-1.4108287584175261E-2</v>
      </c>
      <c r="BB66" s="16">
        <f t="shared" si="21"/>
        <v>2.1524768634878733E-2</v>
      </c>
      <c r="BC66" s="16"/>
      <c r="BD66" s="1"/>
      <c r="BE66" s="16">
        <f>AM66/'2019-20 disagg'!AM66-1</f>
        <v>3.6601390981058302E-2</v>
      </c>
      <c r="BF66" s="16">
        <f>AN66/'2019-20 disagg'!AN66-1</f>
        <v>3.6856681283175652E-2</v>
      </c>
      <c r="BG66" s="16">
        <f>AO66/'2019-20 disagg'!AO66-1</f>
        <v>4.5485013884899006E-2</v>
      </c>
      <c r="BH66" s="16">
        <f>AQ66/'2019-20 disagg'!AQ66-1</f>
        <v>3.8015951563136863E-2</v>
      </c>
      <c r="BI66" s="1"/>
      <c r="BJ66" s="16">
        <f>AS66/'2019-20 disagg'!AS66-1</f>
        <v>3.4237304871357566E-2</v>
      </c>
      <c r="BK66" s="16">
        <f>AT66/'2019-20 disagg'!AT66-1</f>
        <v>3.4492012955215978E-2</v>
      </c>
      <c r="BL66" s="16">
        <f>AU66/'2019-20 disagg'!AU66-1</f>
        <v>4.3100667673587889E-2</v>
      </c>
      <c r="BM66" s="16">
        <f>AW66/'2019-20 disagg'!AW66-1</f>
        <v>3.5648639388863312E-2</v>
      </c>
    </row>
    <row r="67" spans="1:65" x14ac:dyDescent="0.2">
      <c r="A67" s="156" t="s">
        <v>179</v>
      </c>
      <c r="B67" s="156" t="s">
        <v>180</v>
      </c>
      <c r="D67" s="56">
        <f>VLOOKUP(A67,'2020-21'!$A$12:$AMX275,32,FALSE)</f>
        <v>372480</v>
      </c>
      <c r="E67" s="56">
        <v>1693.9151946765514</v>
      </c>
      <c r="F67" s="16">
        <f>VLOOKUP(A67,'2020-21'!$A$12:$AMX275,34,FALSE)</f>
        <v>3.9564168973832192E-2</v>
      </c>
      <c r="G67" s="16">
        <f>VLOOKUP(A67,'2020-21'!$A$12:$AMX275,35,FALSE)</f>
        <v>3.1930237039792697E-2</v>
      </c>
      <c r="H67" s="56"/>
      <c r="I67" s="56">
        <v>362169.58681354992</v>
      </c>
      <c r="J67" s="56">
        <v>1647.0268635985842</v>
      </c>
      <c r="K67" s="16">
        <f t="shared" si="6"/>
        <v>2.8468467706422862E-2</v>
      </c>
      <c r="L67" s="58">
        <f t="shared" si="6"/>
        <v>2.8468467706422862E-2</v>
      </c>
      <c r="M67" s="10"/>
      <c r="N67" s="56">
        <v>276274</v>
      </c>
      <c r="O67" s="56">
        <v>29315</v>
      </c>
      <c r="P67" s="56">
        <v>66891</v>
      </c>
      <c r="R67" s="56">
        <f t="shared" si="7"/>
        <v>66891</v>
      </c>
      <c r="S67" s="56">
        <f t="shared" si="8"/>
        <v>0</v>
      </c>
      <c r="U67" s="16">
        <v>1.3982227913324374E-2</v>
      </c>
      <c r="V67" s="16">
        <v>-4.7765203812050405E-2</v>
      </c>
      <c r="W67" s="56">
        <f t="shared" si="9"/>
        <v>3</v>
      </c>
      <c r="X67" s="56">
        <f t="shared" si="10"/>
        <v>2724.6434147918421</v>
      </c>
      <c r="Y67" s="56">
        <f t="shared" si="10"/>
        <v>307.85474462134528</v>
      </c>
      <c r="AA67" s="56">
        <f t="shared" si="22"/>
        <v>0</v>
      </c>
      <c r="AB67" s="56">
        <v>0</v>
      </c>
      <c r="AC67" s="56">
        <f t="shared" si="11"/>
        <v>0</v>
      </c>
      <c r="AE67" s="56">
        <v>0</v>
      </c>
      <c r="AF67" s="56">
        <f t="shared" si="12"/>
        <v>0</v>
      </c>
      <c r="AG67" s="56">
        <f t="shared" si="13"/>
        <v>0</v>
      </c>
      <c r="AI67" s="56">
        <f t="shared" si="14"/>
        <v>0</v>
      </c>
      <c r="AJ67" s="56">
        <f t="shared" si="15"/>
        <v>0</v>
      </c>
      <c r="AK67" s="56">
        <f t="shared" si="16"/>
        <v>0</v>
      </c>
      <c r="AM67" s="56">
        <f t="shared" si="17"/>
        <v>276274</v>
      </c>
      <c r="AN67" s="56">
        <f t="shared" si="18"/>
        <v>29315</v>
      </c>
      <c r="AO67" s="56">
        <f t="shared" si="19"/>
        <v>66891</v>
      </c>
      <c r="AP67" s="56"/>
      <c r="AQ67" s="56">
        <f t="shared" si="20"/>
        <v>372480</v>
      </c>
      <c r="AR67" s="1"/>
      <c r="AS67" s="56">
        <v>1256.4022940669822</v>
      </c>
      <c r="AT67" s="56">
        <v>133.31487309907405</v>
      </c>
      <c r="AU67" s="56">
        <v>304.19802751049508</v>
      </c>
      <c r="AV67" s="56"/>
      <c r="AW67" s="56">
        <v>1693.9151946765514</v>
      </c>
      <c r="AX67" s="1"/>
      <c r="AY67" s="16">
        <v>1.3982227913324374E-2</v>
      </c>
      <c r="AZ67" s="16">
        <v>-4.7765203812050405E-2</v>
      </c>
      <c r="BA67" s="16">
        <v>0.13528954729057996</v>
      </c>
      <c r="BB67" s="16">
        <f t="shared" si="21"/>
        <v>2.8468467706422862E-2</v>
      </c>
      <c r="BC67" s="16"/>
      <c r="BD67" s="1"/>
      <c r="BE67" s="16">
        <f>AM67/'2019-20 disagg'!AM67-1</f>
        <v>3.6601518090642715E-2</v>
      </c>
      <c r="BF67" s="16">
        <f>AN67/'2019-20 disagg'!AN67-1</f>
        <v>4.2162892388638129E-2</v>
      </c>
      <c r="BG67" s="16">
        <f>AO67/'2019-20 disagg'!AO67-1</f>
        <v>5.0820032675631621E-2</v>
      </c>
      <c r="BH67" s="16">
        <f>AQ67/'2019-20 disagg'!AQ67-1</f>
        <v>3.9564168973832192E-2</v>
      </c>
      <c r="BI67" s="1"/>
      <c r="BJ67" s="16">
        <f>AS67/'2019-20 disagg'!AS67-1</f>
        <v>2.898934207688364E-2</v>
      </c>
      <c r="BK67" s="16">
        <f>AT67/'2019-20 disagg'!AT67-1</f>
        <v>3.4509876998034539E-2</v>
      </c>
      <c r="BL67" s="16">
        <f>AU67/'2019-20 disagg'!AU67-1</f>
        <v>4.3103444470894203E-2</v>
      </c>
      <c r="BM67" s="16">
        <f>AW67/'2019-20 disagg'!AW67-1</f>
        <v>3.1930237039792697E-2</v>
      </c>
    </row>
    <row r="68" spans="1:65" x14ac:dyDescent="0.2">
      <c r="A68" s="156" t="s">
        <v>181</v>
      </c>
      <c r="B68" s="156" t="s">
        <v>182</v>
      </c>
      <c r="D68" s="56">
        <f>VLOOKUP(A68,'2020-21'!$A$12:$AMX276,32,FALSE)</f>
        <v>545871</v>
      </c>
      <c r="E68" s="56">
        <v>1934.1834115826821</v>
      </c>
      <c r="F68" s="16">
        <f>VLOOKUP(A68,'2020-21'!$A$12:$AMX276,34,FALSE)</f>
        <v>3.9320740491109341E-2</v>
      </c>
      <c r="G68" s="16">
        <f>VLOOKUP(A68,'2020-21'!$A$12:$AMX276,35,FALSE)</f>
        <v>3.2995798475198956E-2</v>
      </c>
      <c r="H68" s="56"/>
      <c r="I68" s="56">
        <v>541448.11295804952</v>
      </c>
      <c r="J68" s="56">
        <v>1918.5118064821279</v>
      </c>
      <c r="K68" s="16">
        <f t="shared" si="6"/>
        <v>8.1686258315452065E-3</v>
      </c>
      <c r="L68" s="58">
        <f t="shared" si="6"/>
        <v>8.1686258315452065E-3</v>
      </c>
      <c r="M68" s="10"/>
      <c r="N68" s="56">
        <v>401316</v>
      </c>
      <c r="O68" s="56">
        <v>42180</v>
      </c>
      <c r="P68" s="56">
        <v>102375</v>
      </c>
      <c r="R68" s="56">
        <f t="shared" si="7"/>
        <v>102375</v>
      </c>
      <c r="S68" s="56">
        <f t="shared" si="8"/>
        <v>0</v>
      </c>
      <c r="U68" s="16">
        <v>-1.8252188125726931E-2</v>
      </c>
      <c r="V68" s="16">
        <v>-4.8103774231728624E-2</v>
      </c>
      <c r="W68" s="56">
        <f t="shared" si="9"/>
        <v>4</v>
      </c>
      <c r="X68" s="56">
        <f t="shared" si="10"/>
        <v>4087.7707609435879</v>
      </c>
      <c r="Y68" s="56">
        <f t="shared" si="10"/>
        <v>443.1155293840639</v>
      </c>
      <c r="AA68" s="56">
        <f t="shared" si="22"/>
        <v>0</v>
      </c>
      <c r="AB68" s="56">
        <v>0</v>
      </c>
      <c r="AC68" s="56">
        <f t="shared" si="11"/>
        <v>0</v>
      </c>
      <c r="AE68" s="56">
        <v>0</v>
      </c>
      <c r="AF68" s="56">
        <f t="shared" si="12"/>
        <v>0</v>
      </c>
      <c r="AG68" s="56">
        <f t="shared" si="13"/>
        <v>0</v>
      </c>
      <c r="AI68" s="56">
        <f t="shared" si="14"/>
        <v>0</v>
      </c>
      <c r="AJ68" s="56">
        <f t="shared" si="15"/>
        <v>0</v>
      </c>
      <c r="AK68" s="56">
        <f t="shared" si="16"/>
        <v>0</v>
      </c>
      <c r="AM68" s="56">
        <f t="shared" si="17"/>
        <v>401316</v>
      </c>
      <c r="AN68" s="56">
        <f t="shared" si="18"/>
        <v>42180</v>
      </c>
      <c r="AO68" s="56">
        <f t="shared" si="19"/>
        <v>102375</v>
      </c>
      <c r="AP68" s="56"/>
      <c r="AQ68" s="56">
        <f t="shared" si="20"/>
        <v>545871</v>
      </c>
      <c r="AR68" s="1"/>
      <c r="AS68" s="56">
        <v>1421.9820250621769</v>
      </c>
      <c r="AT68" s="56">
        <v>149.45629333772544</v>
      </c>
      <c r="AU68" s="56">
        <v>362.74509318277961</v>
      </c>
      <c r="AV68" s="56"/>
      <c r="AW68" s="56">
        <v>1934.1834115826821</v>
      </c>
      <c r="AX68" s="1"/>
      <c r="AY68" s="16">
        <v>-1.8252188125726931E-2</v>
      </c>
      <c r="AZ68" s="16">
        <v>-4.8103774231728624E-2</v>
      </c>
      <c r="BA68" s="16">
        <v>0.15861926136380688</v>
      </c>
      <c r="BB68" s="16">
        <f t="shared" si="21"/>
        <v>8.1686258315452065E-3</v>
      </c>
      <c r="BC68" s="16"/>
      <c r="BD68" s="1"/>
      <c r="BE68" s="16">
        <f>AM68/'2019-20 disagg'!AM68-1</f>
        <v>3.6601178883418628E-2</v>
      </c>
      <c r="BF68" s="16">
        <f>AN68/'2019-20 disagg'!AN68-1</f>
        <v>4.0838988278840249E-2</v>
      </c>
      <c r="BG68" s="16">
        <f>AO68/'2019-20 disagg'!AO68-1</f>
        <v>4.9483331283060705E-2</v>
      </c>
      <c r="BH68" s="16">
        <f>AQ68/'2019-20 disagg'!AQ68-1</f>
        <v>3.9320740491109341E-2</v>
      </c>
      <c r="BI68" s="1"/>
      <c r="BJ68" s="16">
        <f>AS68/'2019-20 disagg'!AS68-1</f>
        <v>3.0292787166955826E-2</v>
      </c>
      <c r="BK68" s="16">
        <f>AT68/'2019-20 disagg'!AT68-1</f>
        <v>3.4504806738643312E-2</v>
      </c>
      <c r="BL68" s="16">
        <f>AU68/'2019-20 disagg'!AU68-1</f>
        <v>4.3096543298926537E-2</v>
      </c>
      <c r="BM68" s="16">
        <f>AW68/'2019-20 disagg'!AW68-1</f>
        <v>3.2995798475198956E-2</v>
      </c>
    </row>
    <row r="69" spans="1:65" x14ac:dyDescent="0.2">
      <c r="A69" s="156" t="s">
        <v>183</v>
      </c>
      <c r="B69" s="156" t="s">
        <v>184</v>
      </c>
      <c r="D69" s="56">
        <f>VLOOKUP(A69,'2020-21'!$A$12:$AMX277,32,FALSE)</f>
        <v>597868</v>
      </c>
      <c r="E69" s="56">
        <v>1587.6461721665748</v>
      </c>
      <c r="F69" s="16">
        <f>VLOOKUP(A69,'2020-21'!$A$12:$AMX277,34,FALSE)</f>
        <v>3.8540441668215575E-2</v>
      </c>
      <c r="G69" s="16">
        <f>VLOOKUP(A69,'2020-21'!$A$12:$AMX277,35,FALSE)</f>
        <v>3.4258168838500414E-2</v>
      </c>
      <c r="H69" s="56"/>
      <c r="I69" s="56">
        <v>580673.71998052287</v>
      </c>
      <c r="J69" s="56">
        <v>1541.9865401807801</v>
      </c>
      <c r="K69" s="16">
        <f t="shared" si="6"/>
        <v>2.9610914749256922E-2</v>
      </c>
      <c r="L69" s="58">
        <f t="shared" si="6"/>
        <v>2.9610914749256922E-2</v>
      </c>
      <c r="M69" s="10"/>
      <c r="N69" s="56">
        <v>450506</v>
      </c>
      <c r="O69" s="56">
        <v>49315</v>
      </c>
      <c r="P69" s="56">
        <v>98047</v>
      </c>
      <c r="R69" s="56">
        <f t="shared" si="7"/>
        <v>98047</v>
      </c>
      <c r="S69" s="56">
        <f t="shared" si="8"/>
        <v>0</v>
      </c>
      <c r="U69" s="16">
        <v>1.1811454740209504E-2</v>
      </c>
      <c r="V69" s="16">
        <v>-4.8145226827120635E-2</v>
      </c>
      <c r="W69" s="56">
        <f t="shared" si="9"/>
        <v>3</v>
      </c>
      <c r="X69" s="56">
        <f t="shared" si="10"/>
        <v>4452.4698538392304</v>
      </c>
      <c r="Y69" s="56">
        <f t="shared" si="10"/>
        <v>518.09374066187752</v>
      </c>
      <c r="AA69" s="56">
        <f t="shared" si="22"/>
        <v>0</v>
      </c>
      <c r="AB69" s="56">
        <v>0</v>
      </c>
      <c r="AC69" s="56">
        <f t="shared" si="11"/>
        <v>0</v>
      </c>
      <c r="AE69" s="56">
        <v>0</v>
      </c>
      <c r="AF69" s="56">
        <f t="shared" si="12"/>
        <v>0</v>
      </c>
      <c r="AG69" s="56">
        <f t="shared" si="13"/>
        <v>0</v>
      </c>
      <c r="AI69" s="56">
        <f t="shared" si="14"/>
        <v>0</v>
      </c>
      <c r="AJ69" s="56">
        <f t="shared" si="15"/>
        <v>0</v>
      </c>
      <c r="AK69" s="56">
        <f t="shared" si="16"/>
        <v>0</v>
      </c>
      <c r="AM69" s="56">
        <f t="shared" si="17"/>
        <v>450506</v>
      </c>
      <c r="AN69" s="56">
        <f t="shared" si="18"/>
        <v>49315</v>
      </c>
      <c r="AO69" s="56">
        <f t="shared" si="19"/>
        <v>98047</v>
      </c>
      <c r="AP69" s="56"/>
      <c r="AQ69" s="56">
        <f t="shared" si="20"/>
        <v>597868</v>
      </c>
      <c r="AR69" s="1"/>
      <c r="AS69" s="56">
        <v>1196.3244837289751</v>
      </c>
      <c r="AT69" s="56">
        <v>130.95661748144178</v>
      </c>
      <c r="AU69" s="56">
        <v>260.36507095615781</v>
      </c>
      <c r="AV69" s="56"/>
      <c r="AW69" s="56">
        <v>1587.6461721665748</v>
      </c>
      <c r="AX69" s="1"/>
      <c r="AY69" s="16">
        <v>1.1811454740209504E-2</v>
      </c>
      <c r="AZ69" s="16">
        <v>-4.8145226827120635E-2</v>
      </c>
      <c r="BA69" s="16">
        <v>0.17256750725036185</v>
      </c>
      <c r="BB69" s="16">
        <f t="shared" si="21"/>
        <v>2.9610914749256922E-2</v>
      </c>
      <c r="BC69" s="16"/>
      <c r="BD69" s="1"/>
      <c r="BE69" s="16">
        <f>AM69/'2019-20 disagg'!AM69-1</f>
        <v>3.6601556837452476E-2</v>
      </c>
      <c r="BF69" s="16">
        <f>AN69/'2019-20 disagg'!AN69-1</f>
        <v>3.8779121203184941E-2</v>
      </c>
      <c r="BG69" s="16">
        <f>AO69/'2019-20 disagg'!AO69-1</f>
        <v>4.7421160584565358E-2</v>
      </c>
      <c r="BH69" s="16">
        <f>AQ69/'2019-20 disagg'!AQ69-1</f>
        <v>3.8540441668215575E-2</v>
      </c>
      <c r="BI69" s="1"/>
      <c r="BJ69" s="16">
        <f>AS69/'2019-20 disagg'!AS69-1</f>
        <v>3.2327278721758335E-2</v>
      </c>
      <c r="BK69" s="16">
        <f>AT69/'2019-20 disagg'!AT69-1</f>
        <v>3.4495864212577665E-2</v>
      </c>
      <c r="BL69" s="16">
        <f>AU69/'2019-20 disagg'!AU69-1</f>
        <v>4.3102269381797065E-2</v>
      </c>
      <c r="BM69" s="16">
        <f>AW69/'2019-20 disagg'!AW69-1</f>
        <v>3.4258168838500414E-2</v>
      </c>
    </row>
    <row r="70" spans="1:65" x14ac:dyDescent="0.2">
      <c r="A70" s="156" t="s">
        <v>185</v>
      </c>
      <c r="B70" s="156" t="s">
        <v>186</v>
      </c>
      <c r="D70" s="56">
        <f>VLOOKUP(A70,'2020-21'!$A$12:$AMX278,32,FALSE)</f>
        <v>318762</v>
      </c>
      <c r="E70" s="56">
        <v>1874.2584054486099</v>
      </c>
      <c r="F70" s="16">
        <f>VLOOKUP(A70,'2020-21'!$A$12:$AMX278,34,FALSE)</f>
        <v>3.5361753958587094E-2</v>
      </c>
      <c r="G70" s="16">
        <f>VLOOKUP(A70,'2020-21'!$A$12:$AMX278,35,FALSE)</f>
        <v>3.3888897842426324E-2</v>
      </c>
      <c r="H70" s="56"/>
      <c r="I70" s="56">
        <v>309086.7387331205</v>
      </c>
      <c r="J70" s="56">
        <v>1817.369755752723</v>
      </c>
      <c r="K70" s="16">
        <f t="shared" si="6"/>
        <v>3.130273821043339E-2</v>
      </c>
      <c r="L70" s="58">
        <f t="shared" si="6"/>
        <v>3.130273821043339E-2</v>
      </c>
      <c r="M70" s="10"/>
      <c r="N70" s="56">
        <v>243512</v>
      </c>
      <c r="O70" s="56">
        <v>28158</v>
      </c>
      <c r="P70" s="56">
        <v>47092</v>
      </c>
      <c r="R70" s="56">
        <f t="shared" si="7"/>
        <v>47092</v>
      </c>
      <c r="S70" s="56">
        <f t="shared" si="8"/>
        <v>0</v>
      </c>
      <c r="U70" s="16">
        <v>3.5559670783360087E-2</v>
      </c>
      <c r="V70" s="16">
        <v>0.12739138809925277</v>
      </c>
      <c r="W70" s="56">
        <f t="shared" si="9"/>
        <v>2</v>
      </c>
      <c r="X70" s="56">
        <f t="shared" si="10"/>
        <v>2351.5013849061229</v>
      </c>
      <c r="Y70" s="56">
        <f t="shared" si="10"/>
        <v>249.76241877697439</v>
      </c>
      <c r="AA70" s="56">
        <f t="shared" si="22"/>
        <v>0</v>
      </c>
      <c r="AB70" s="56">
        <v>0</v>
      </c>
      <c r="AC70" s="56">
        <f t="shared" si="11"/>
        <v>0</v>
      </c>
      <c r="AE70" s="56">
        <v>0</v>
      </c>
      <c r="AF70" s="56">
        <f t="shared" si="12"/>
        <v>0</v>
      </c>
      <c r="AG70" s="56">
        <f t="shared" si="13"/>
        <v>0</v>
      </c>
      <c r="AI70" s="56">
        <f t="shared" si="14"/>
        <v>0</v>
      </c>
      <c r="AJ70" s="56">
        <f t="shared" si="15"/>
        <v>0</v>
      </c>
      <c r="AK70" s="56">
        <f t="shared" si="16"/>
        <v>0</v>
      </c>
      <c r="AM70" s="56">
        <f t="shared" si="17"/>
        <v>243512</v>
      </c>
      <c r="AN70" s="56">
        <f t="shared" si="18"/>
        <v>28158</v>
      </c>
      <c r="AO70" s="56">
        <f t="shared" si="19"/>
        <v>47092</v>
      </c>
      <c r="AP70" s="56"/>
      <c r="AQ70" s="56">
        <f t="shared" si="20"/>
        <v>318762</v>
      </c>
      <c r="AR70" s="1"/>
      <c r="AS70" s="56">
        <v>1431.8030782452172</v>
      </c>
      <c r="AT70" s="56">
        <v>165.56354954675263</v>
      </c>
      <c r="AU70" s="56">
        <v>276.89177765664016</v>
      </c>
      <c r="AV70" s="56"/>
      <c r="AW70" s="56">
        <v>1874.2584054486099</v>
      </c>
      <c r="AX70" s="1"/>
      <c r="AY70" s="16">
        <v>3.5559670783360087E-2</v>
      </c>
      <c r="AZ70" s="16">
        <v>0.12739138809925277</v>
      </c>
      <c r="BA70" s="16">
        <v>-3.8160634995547671E-2</v>
      </c>
      <c r="BB70" s="16">
        <f t="shared" si="21"/>
        <v>3.130273821043339E-2</v>
      </c>
      <c r="BC70" s="16"/>
      <c r="BD70" s="1"/>
      <c r="BE70" s="16">
        <f>AM70/'2019-20 disagg'!AM70-1</f>
        <v>3.6600628315042849E-2</v>
      </c>
      <c r="BF70" s="16">
        <f>AN70/'2019-20 disagg'!AN70-1</f>
        <v>1.0007532551382869E-2</v>
      </c>
      <c r="BG70" s="16">
        <f>AO70/'2019-20 disagg'!AO70-1</f>
        <v>4.4585422119693074E-2</v>
      </c>
      <c r="BH70" s="16">
        <f>AQ70/'2019-20 disagg'!AQ70-1</f>
        <v>3.5361753958587094E-2</v>
      </c>
      <c r="BI70" s="1"/>
      <c r="BJ70" s="16">
        <f>AS70/'2019-20 disagg'!AS70-1</f>
        <v>3.5126009835470651E-2</v>
      </c>
      <c r="BK70" s="16">
        <f>AT70/'2019-20 disagg'!AT70-1</f>
        <v>8.5707441380586946E-3</v>
      </c>
      <c r="BL70" s="16">
        <f>AU70/'2019-20 disagg'!AU70-1</f>
        <v>4.3099444854317825E-2</v>
      </c>
      <c r="BM70" s="16">
        <f>AW70/'2019-20 disagg'!AW70-1</f>
        <v>3.3888897842426324E-2</v>
      </c>
    </row>
    <row r="71" spans="1:65" x14ac:dyDescent="0.2">
      <c r="A71" s="156" t="s">
        <v>187</v>
      </c>
      <c r="B71" s="156" t="s">
        <v>188</v>
      </c>
      <c r="D71" s="56">
        <f>VLOOKUP(A71,'2020-21'!$A$12:$AMX279,32,FALSE)</f>
        <v>340932</v>
      </c>
      <c r="E71" s="56">
        <v>1735.8934424266588</v>
      </c>
      <c r="F71" s="16">
        <f>VLOOKUP(A71,'2020-21'!$A$12:$AMX279,34,FALSE)</f>
        <v>3.8973862005284188E-2</v>
      </c>
      <c r="G71" s="16">
        <f>VLOOKUP(A71,'2020-21'!$A$12:$AMX279,35,FALSE)</f>
        <v>3.248800535598062E-2</v>
      </c>
      <c r="H71" s="56"/>
      <c r="I71" s="56">
        <v>327723.30523004389</v>
      </c>
      <c r="J71" s="56">
        <v>1668.6398944048183</v>
      </c>
      <c r="K71" s="16">
        <f t="shared" si="6"/>
        <v>4.0304410944117519E-2</v>
      </c>
      <c r="L71" s="58">
        <f t="shared" si="6"/>
        <v>4.0304410944117519E-2</v>
      </c>
      <c r="M71" s="10"/>
      <c r="N71" s="56">
        <v>260401</v>
      </c>
      <c r="O71" s="56">
        <v>27099</v>
      </c>
      <c r="P71" s="56">
        <v>53432</v>
      </c>
      <c r="R71" s="56">
        <f t="shared" si="7"/>
        <v>53432</v>
      </c>
      <c r="S71" s="56">
        <f t="shared" si="8"/>
        <v>0</v>
      </c>
      <c r="U71" s="16">
        <v>4.742617732522203E-2</v>
      </c>
      <c r="V71" s="16">
        <v>-4.5738056573417785E-3</v>
      </c>
      <c r="W71" s="56">
        <f t="shared" si="9"/>
        <v>3</v>
      </c>
      <c r="X71" s="56">
        <f t="shared" si="10"/>
        <v>2486.1036093730013</v>
      </c>
      <c r="Y71" s="56">
        <f t="shared" si="10"/>
        <v>272.23515067227214</v>
      </c>
      <c r="AA71" s="56">
        <f t="shared" si="22"/>
        <v>0</v>
      </c>
      <c r="AB71" s="56">
        <v>0</v>
      </c>
      <c r="AC71" s="56">
        <f t="shared" si="11"/>
        <v>0</v>
      </c>
      <c r="AE71" s="56">
        <v>0</v>
      </c>
      <c r="AF71" s="56">
        <f t="shared" si="12"/>
        <v>0</v>
      </c>
      <c r="AG71" s="56">
        <f t="shared" si="13"/>
        <v>0</v>
      </c>
      <c r="AI71" s="56">
        <f t="shared" si="14"/>
        <v>0</v>
      </c>
      <c r="AJ71" s="56">
        <f t="shared" si="15"/>
        <v>0</v>
      </c>
      <c r="AK71" s="56">
        <f t="shared" si="16"/>
        <v>0</v>
      </c>
      <c r="AM71" s="56">
        <f t="shared" si="17"/>
        <v>260401</v>
      </c>
      <c r="AN71" s="56">
        <f t="shared" si="18"/>
        <v>27099</v>
      </c>
      <c r="AO71" s="56">
        <f t="shared" si="19"/>
        <v>53432</v>
      </c>
      <c r="AP71" s="56"/>
      <c r="AQ71" s="56">
        <f t="shared" si="20"/>
        <v>340932</v>
      </c>
      <c r="AR71" s="1"/>
      <c r="AS71" s="56">
        <v>1325.8608411687503</v>
      </c>
      <c r="AT71" s="56">
        <v>137.97759200168957</v>
      </c>
      <c r="AU71" s="56">
        <v>272.05500925621891</v>
      </c>
      <c r="AV71" s="56"/>
      <c r="AW71" s="56">
        <v>1735.8934424266588</v>
      </c>
      <c r="AX71" s="1"/>
      <c r="AY71" s="16">
        <v>4.742617732522203E-2</v>
      </c>
      <c r="AZ71" s="16">
        <v>-4.5738056573417785E-3</v>
      </c>
      <c r="BA71" s="16">
        <v>2.972803512213007E-2</v>
      </c>
      <c r="BB71" s="16">
        <f t="shared" si="21"/>
        <v>4.0304410944117519E-2</v>
      </c>
      <c r="BC71" s="16"/>
      <c r="BD71" s="1"/>
      <c r="BE71" s="16">
        <f>AM71/'2019-20 disagg'!AM71-1</f>
        <v>3.6599298586424744E-2</v>
      </c>
      <c r="BF71" s="16">
        <f>AN71/'2019-20 disagg'!AN71-1</f>
        <v>4.0988014751075497E-2</v>
      </c>
      <c r="BG71" s="16">
        <f>AO71/'2019-20 disagg'!AO71-1</f>
        <v>4.9662109068049576E-2</v>
      </c>
      <c r="BH71" s="16">
        <f>AQ71/'2019-20 disagg'!AQ71-1</f>
        <v>3.8973862005284188E-2</v>
      </c>
      <c r="BI71" s="1"/>
      <c r="BJ71" s="16">
        <f>AS71/'2019-20 disagg'!AS71-1</f>
        <v>3.0128265291685219E-2</v>
      </c>
      <c r="BK71" s="16">
        <f>AT71/'2019-20 disagg'!AT71-1</f>
        <v>3.4489584632451109E-2</v>
      </c>
      <c r="BL71" s="16">
        <f>AU71/'2019-20 disagg'!AU71-1</f>
        <v>4.3109530395395224E-2</v>
      </c>
      <c r="BM71" s="16">
        <f>AW71/'2019-20 disagg'!AW71-1</f>
        <v>3.248800535598062E-2</v>
      </c>
    </row>
    <row r="72" spans="1:65" x14ac:dyDescent="0.2">
      <c r="A72" s="156" t="s">
        <v>189</v>
      </c>
      <c r="B72" s="156" t="s">
        <v>190</v>
      </c>
      <c r="D72" s="56">
        <f>VLOOKUP(A72,'2020-21'!$A$12:$AMX280,32,FALSE)</f>
        <v>305629</v>
      </c>
      <c r="E72" s="56">
        <v>1738.4809743898074</v>
      </c>
      <c r="F72" s="16">
        <f>VLOOKUP(A72,'2020-21'!$A$12:$AMX280,34,FALSE)</f>
        <v>3.8374771518071338E-2</v>
      </c>
      <c r="G72" s="16">
        <f>VLOOKUP(A72,'2020-21'!$A$12:$AMX280,35,FALSE)</f>
        <v>3.3592065861391296E-2</v>
      </c>
      <c r="H72" s="56"/>
      <c r="I72" s="56">
        <v>307247.64816515311</v>
      </c>
      <c r="J72" s="56">
        <v>1747.6881799866244</v>
      </c>
      <c r="K72" s="16">
        <f t="shared" si="6"/>
        <v>-5.2682198702560523E-3</v>
      </c>
      <c r="L72" s="58">
        <f t="shared" si="6"/>
        <v>-5.2682198702559413E-3</v>
      </c>
      <c r="M72" s="10"/>
      <c r="N72" s="56">
        <v>238949</v>
      </c>
      <c r="O72" s="56">
        <v>24158</v>
      </c>
      <c r="P72" s="56">
        <v>42522</v>
      </c>
      <c r="R72" s="56">
        <f t="shared" si="7"/>
        <v>42522</v>
      </c>
      <c r="S72" s="56">
        <f t="shared" si="8"/>
        <v>0</v>
      </c>
      <c r="U72" s="16">
        <v>1.2420175478695672E-2</v>
      </c>
      <c r="V72" s="16">
        <v>-4.812685139179862E-2</v>
      </c>
      <c r="W72" s="56">
        <f t="shared" si="9"/>
        <v>3</v>
      </c>
      <c r="X72" s="56">
        <f t="shared" si="10"/>
        <v>2360.1761974668216</v>
      </c>
      <c r="Y72" s="56">
        <f t="shared" si="10"/>
        <v>253.79432159971165</v>
      </c>
      <c r="AA72" s="56">
        <f t="shared" si="22"/>
        <v>0</v>
      </c>
      <c r="AB72" s="56">
        <v>0</v>
      </c>
      <c r="AC72" s="56">
        <f t="shared" si="11"/>
        <v>0</v>
      </c>
      <c r="AE72" s="56">
        <v>0</v>
      </c>
      <c r="AF72" s="56">
        <f t="shared" si="12"/>
        <v>0</v>
      </c>
      <c r="AG72" s="56">
        <f t="shared" si="13"/>
        <v>0</v>
      </c>
      <c r="AI72" s="56">
        <f t="shared" si="14"/>
        <v>0</v>
      </c>
      <c r="AJ72" s="56">
        <f t="shared" si="15"/>
        <v>0</v>
      </c>
      <c r="AK72" s="56">
        <f t="shared" si="16"/>
        <v>0</v>
      </c>
      <c r="AM72" s="56">
        <f t="shared" si="17"/>
        <v>238949</v>
      </c>
      <c r="AN72" s="56">
        <f t="shared" si="18"/>
        <v>24158</v>
      </c>
      <c r="AO72" s="56">
        <f t="shared" si="19"/>
        <v>42522</v>
      </c>
      <c r="AP72" s="56"/>
      <c r="AQ72" s="56">
        <f t="shared" si="20"/>
        <v>305629</v>
      </c>
      <c r="AR72" s="1"/>
      <c r="AS72" s="56">
        <v>1359.1913409704905</v>
      </c>
      <c r="AT72" s="56">
        <v>137.41570132189344</v>
      </c>
      <c r="AU72" s="56">
        <v>241.87393209742331</v>
      </c>
      <c r="AV72" s="56"/>
      <c r="AW72" s="56">
        <v>1738.4809743898074</v>
      </c>
      <c r="AX72" s="1"/>
      <c r="AY72" s="16">
        <v>1.2420175478695672E-2</v>
      </c>
      <c r="AZ72" s="16">
        <v>-4.812685139179862E-2</v>
      </c>
      <c r="BA72" s="16">
        <v>-7.2596575183746626E-2</v>
      </c>
      <c r="BB72" s="16">
        <f t="shared" si="21"/>
        <v>-5.2682198702560523E-3</v>
      </c>
      <c r="BC72" s="16"/>
      <c r="BD72" s="1"/>
      <c r="BE72" s="16">
        <f>AM72/'2019-20 disagg'!AM72-1</f>
        <v>3.6601131394460973E-2</v>
      </c>
      <c r="BF72" s="16">
        <f>AN72/'2019-20 disagg'!AN72-1</f>
        <v>3.9277263927726347E-2</v>
      </c>
      <c r="BG72" s="16">
        <f>AO72/'2019-20 disagg'!AO72-1</f>
        <v>4.7933558419794409E-2</v>
      </c>
      <c r="BH72" s="16">
        <f>AQ72/'2019-20 disagg'!AQ72-1</f>
        <v>3.8374771518071338E-2</v>
      </c>
      <c r="BI72" s="1"/>
      <c r="BJ72" s="16">
        <f>AS72/'2019-20 disagg'!AS72-1</f>
        <v>3.1826595041277939E-2</v>
      </c>
      <c r="BK72" s="16">
        <f>AT72/'2019-20 disagg'!AT72-1</f>
        <v>3.4490401433196594E-2</v>
      </c>
      <c r="BL72" s="16">
        <f>AU72/'2019-20 disagg'!AU72-1</f>
        <v>4.3106825437490004E-2</v>
      </c>
      <c r="BM72" s="16">
        <f>AW72/'2019-20 disagg'!AW72-1</f>
        <v>3.3592065861391296E-2</v>
      </c>
    </row>
    <row r="73" spans="1:65" x14ac:dyDescent="0.2">
      <c r="A73" s="156" t="s">
        <v>191</v>
      </c>
      <c r="B73" s="156" t="s">
        <v>192</v>
      </c>
      <c r="D73" s="56">
        <f>VLOOKUP(A73,'2020-21'!$A$12:$AMX281,32,FALSE)</f>
        <v>494216</v>
      </c>
      <c r="E73" s="56">
        <v>1871.9701425448861</v>
      </c>
      <c r="F73" s="16">
        <f>VLOOKUP(A73,'2020-21'!$A$12:$AMX281,34,FALSE)</f>
        <v>3.5890277157702988E-2</v>
      </c>
      <c r="G73" s="16">
        <f>VLOOKUP(A73,'2020-21'!$A$12:$AMX281,35,FALSE)</f>
        <v>3.2112249933286874E-2</v>
      </c>
      <c r="H73" s="56"/>
      <c r="I73" s="56">
        <v>474255.20114276966</v>
      </c>
      <c r="J73" s="56">
        <v>1796.3634857752158</v>
      </c>
      <c r="K73" s="16">
        <f t="shared" si="6"/>
        <v>4.2088729462813834E-2</v>
      </c>
      <c r="L73" s="58">
        <f t="shared" si="6"/>
        <v>4.2088729462813834E-2</v>
      </c>
      <c r="M73" s="10"/>
      <c r="N73" s="56">
        <v>383047</v>
      </c>
      <c r="O73" s="56">
        <v>39485</v>
      </c>
      <c r="P73" s="56">
        <v>71684</v>
      </c>
      <c r="R73" s="56">
        <f t="shared" si="7"/>
        <v>71684</v>
      </c>
      <c r="S73" s="56">
        <f t="shared" si="8"/>
        <v>0</v>
      </c>
      <c r="U73" s="16">
        <v>5.1695421744651693E-2</v>
      </c>
      <c r="V73" s="16">
        <v>3.2302543311956144E-2</v>
      </c>
      <c r="W73" s="56">
        <f t="shared" si="9"/>
        <v>2</v>
      </c>
      <c r="X73" s="56">
        <f t="shared" si="10"/>
        <v>3642.1856754360065</v>
      </c>
      <c r="Y73" s="56">
        <f t="shared" si="10"/>
        <v>382.49445626007582</v>
      </c>
      <c r="AA73" s="56">
        <f t="shared" si="22"/>
        <v>0</v>
      </c>
      <c r="AB73" s="56">
        <v>0</v>
      </c>
      <c r="AC73" s="56">
        <f t="shared" si="11"/>
        <v>0</v>
      </c>
      <c r="AE73" s="56">
        <v>0</v>
      </c>
      <c r="AF73" s="56">
        <f t="shared" si="12"/>
        <v>0</v>
      </c>
      <c r="AG73" s="56">
        <f t="shared" si="13"/>
        <v>0</v>
      </c>
      <c r="AI73" s="56">
        <f t="shared" si="14"/>
        <v>0</v>
      </c>
      <c r="AJ73" s="56">
        <f t="shared" si="15"/>
        <v>0</v>
      </c>
      <c r="AK73" s="56">
        <f t="shared" si="16"/>
        <v>0</v>
      </c>
      <c r="AM73" s="56">
        <f t="shared" si="17"/>
        <v>383047</v>
      </c>
      <c r="AN73" s="56">
        <f t="shared" si="18"/>
        <v>39485</v>
      </c>
      <c r="AO73" s="56">
        <f t="shared" si="19"/>
        <v>71684</v>
      </c>
      <c r="AP73" s="56"/>
      <c r="AQ73" s="56">
        <f t="shared" si="20"/>
        <v>494216</v>
      </c>
      <c r="AR73" s="1"/>
      <c r="AS73" s="56">
        <v>1450.8889780812256</v>
      </c>
      <c r="AT73" s="56">
        <v>149.55958746455968</v>
      </c>
      <c r="AU73" s="56">
        <v>271.52157699910083</v>
      </c>
      <c r="AV73" s="56"/>
      <c r="AW73" s="56">
        <v>1871.9701425448861</v>
      </c>
      <c r="AX73" s="1"/>
      <c r="AY73" s="16">
        <v>5.1695421744651693E-2</v>
      </c>
      <c r="AZ73" s="16">
        <v>3.2302543311956144E-2</v>
      </c>
      <c r="BA73" s="16">
        <v>-1.4374148935872855E-3</v>
      </c>
      <c r="BB73" s="16">
        <f t="shared" si="21"/>
        <v>4.2088729462813834E-2</v>
      </c>
      <c r="BC73" s="16"/>
      <c r="BD73" s="1"/>
      <c r="BE73" s="16">
        <f>AM73/'2019-20 disagg'!AM73-1</f>
        <v>3.3605599674035869E-2</v>
      </c>
      <c r="BF73" s="16">
        <f>AN73/'2019-20 disagg'!AN73-1</f>
        <v>3.8286570774934914E-2</v>
      </c>
      <c r="BG73" s="16">
        <f>AO73/'2019-20 disagg'!AO73-1</f>
        <v>4.6924975537088631E-2</v>
      </c>
      <c r="BH73" s="16">
        <f>AQ73/'2019-20 disagg'!AQ73-1</f>
        <v>3.5890277157702988E-2</v>
      </c>
      <c r="BI73" s="1"/>
      <c r="BJ73" s="16">
        <f>AS73/'2019-20 disagg'!AS73-1</f>
        <v>2.9835904966993843E-2</v>
      </c>
      <c r="BK73" s="16">
        <f>AT73/'2019-20 disagg'!AT73-1</f>
        <v>3.4499803954517905E-2</v>
      </c>
      <c r="BL73" s="16">
        <f>AU73/'2019-20 disagg'!AU73-1</f>
        <v>4.3106703325524798E-2</v>
      </c>
      <c r="BM73" s="16">
        <f>AW73/'2019-20 disagg'!AW73-1</f>
        <v>3.2112249933286874E-2</v>
      </c>
    </row>
    <row r="74" spans="1:65" x14ac:dyDescent="0.2">
      <c r="A74" s="156" t="s">
        <v>193</v>
      </c>
      <c r="B74" s="156" t="s">
        <v>194</v>
      </c>
      <c r="D74" s="56">
        <f>VLOOKUP(A74,'2020-21'!$A$12:$AMX282,32,FALSE)</f>
        <v>219136</v>
      </c>
      <c r="E74" s="56">
        <v>1832.0505682361422</v>
      </c>
      <c r="F74" s="16">
        <f>VLOOKUP(A74,'2020-21'!$A$12:$AMX282,34,FALSE)</f>
        <v>3.7497159306113081E-2</v>
      </c>
      <c r="G74" s="16">
        <f>VLOOKUP(A74,'2020-21'!$A$12:$AMX282,35,FALSE)</f>
        <v>3.6271540297797999E-2</v>
      </c>
      <c r="H74" s="56"/>
      <c r="I74" s="56">
        <v>213780.90875624382</v>
      </c>
      <c r="J74" s="56">
        <v>1787.2802066521035</v>
      </c>
      <c r="K74" s="16">
        <f t="shared" si="6"/>
        <v>2.5049436242513767E-2</v>
      </c>
      <c r="L74" s="58">
        <f t="shared" si="6"/>
        <v>2.5049436242513767E-2</v>
      </c>
      <c r="M74" s="10"/>
      <c r="N74" s="56">
        <v>174046</v>
      </c>
      <c r="O74" s="56">
        <v>17474</v>
      </c>
      <c r="P74" s="56">
        <v>27616</v>
      </c>
      <c r="R74" s="56">
        <f t="shared" si="7"/>
        <v>27616</v>
      </c>
      <c r="S74" s="56">
        <f t="shared" si="8"/>
        <v>0</v>
      </c>
      <c r="U74" s="16">
        <v>3.0633608193050277E-2</v>
      </c>
      <c r="V74" s="16">
        <v>-5.6504913844546145E-3</v>
      </c>
      <c r="W74" s="56">
        <f t="shared" si="9"/>
        <v>3</v>
      </c>
      <c r="X74" s="56">
        <f t="shared" si="10"/>
        <v>1688.7281631068163</v>
      </c>
      <c r="Y74" s="56">
        <f t="shared" si="10"/>
        <v>175.73297767632462</v>
      </c>
      <c r="AA74" s="56">
        <f t="shared" si="22"/>
        <v>0</v>
      </c>
      <c r="AB74" s="56">
        <v>0</v>
      </c>
      <c r="AC74" s="56">
        <f t="shared" si="11"/>
        <v>0</v>
      </c>
      <c r="AE74" s="56">
        <v>0</v>
      </c>
      <c r="AF74" s="56">
        <f t="shared" si="12"/>
        <v>0</v>
      </c>
      <c r="AG74" s="56">
        <f t="shared" si="13"/>
        <v>0</v>
      </c>
      <c r="AI74" s="56">
        <f t="shared" si="14"/>
        <v>0</v>
      </c>
      <c r="AJ74" s="56">
        <f t="shared" si="15"/>
        <v>0</v>
      </c>
      <c r="AK74" s="56">
        <f t="shared" si="16"/>
        <v>0</v>
      </c>
      <c r="AM74" s="56">
        <f t="shared" si="17"/>
        <v>174046</v>
      </c>
      <c r="AN74" s="56">
        <f t="shared" si="18"/>
        <v>17474</v>
      </c>
      <c r="AO74" s="56">
        <f t="shared" si="19"/>
        <v>27616</v>
      </c>
      <c r="AP74" s="56"/>
      <c r="AQ74" s="56">
        <f t="shared" si="20"/>
        <v>219136</v>
      </c>
      <c r="AR74" s="1"/>
      <c r="AS74" s="56">
        <v>1455.083022411779</v>
      </c>
      <c r="AT74" s="56">
        <v>146.0885095527816</v>
      </c>
      <c r="AU74" s="56">
        <v>230.87903627158158</v>
      </c>
      <c r="AV74" s="56"/>
      <c r="AW74" s="56">
        <v>1832.0505682361422</v>
      </c>
      <c r="AX74" s="1"/>
      <c r="AY74" s="16">
        <v>3.0633608193050277E-2</v>
      </c>
      <c r="AZ74" s="16">
        <v>-5.6504913844546145E-3</v>
      </c>
      <c r="BA74" s="16">
        <v>1.0287449581515284E-2</v>
      </c>
      <c r="BB74" s="16">
        <f t="shared" si="21"/>
        <v>2.5049436242513767E-2</v>
      </c>
      <c r="BC74" s="16"/>
      <c r="BD74" s="1"/>
      <c r="BE74" s="16">
        <f>AM74/'2019-20 disagg'!AM74-1</f>
        <v>3.6598948189707103E-2</v>
      </c>
      <c r="BF74" s="16">
        <f>AN74/'2019-20 disagg'!AN74-1</f>
        <v>3.5741805464999166E-2</v>
      </c>
      <c r="BG74" s="16">
        <f>AO74/'2019-20 disagg'!AO74-1</f>
        <v>4.4320072606262251E-2</v>
      </c>
      <c r="BH74" s="16">
        <f>AQ74/'2019-20 disagg'!AQ74-1</f>
        <v>3.7497159306113081E-2</v>
      </c>
      <c r="BI74" s="1"/>
      <c r="BJ74" s="16">
        <f>AS74/'2019-20 disagg'!AS74-1</f>
        <v>3.5374390258627431E-2</v>
      </c>
      <c r="BK74" s="16">
        <f>AT74/'2019-20 disagg'!AT74-1</f>
        <v>3.4518260096129127E-2</v>
      </c>
      <c r="BL74" s="16">
        <f>AU74/'2019-20 disagg'!AU74-1</f>
        <v>4.3086393535172185E-2</v>
      </c>
      <c r="BM74" s="16">
        <f>AW74/'2019-20 disagg'!AW74-1</f>
        <v>3.6271540297797999E-2</v>
      </c>
    </row>
    <row r="75" spans="1:65" x14ac:dyDescent="0.2">
      <c r="A75" s="156" t="s">
        <v>195</v>
      </c>
      <c r="B75" s="156" t="s">
        <v>196</v>
      </c>
      <c r="D75" s="56">
        <f>VLOOKUP(A75,'2020-21'!$A$12:$AMX283,32,FALSE)</f>
        <v>1099562</v>
      </c>
      <c r="E75" s="56">
        <v>1830.8212152050864</v>
      </c>
      <c r="F75" s="16">
        <f>VLOOKUP(A75,'2020-21'!$A$12:$AMX283,34,FALSE)</f>
        <v>3.7719128534959179E-2</v>
      </c>
      <c r="G75" s="16">
        <f>VLOOKUP(A75,'2020-21'!$A$12:$AMX283,35,FALSE)</f>
        <v>3.2949001308121506E-2</v>
      </c>
      <c r="H75" s="56"/>
      <c r="I75" s="56">
        <v>1039244.3911618625</v>
      </c>
      <c r="J75" s="56">
        <v>1730.3896270715352</v>
      </c>
      <c r="K75" s="16">
        <f t="shared" si="6"/>
        <v>5.8039869496628427E-2</v>
      </c>
      <c r="L75" s="58">
        <f t="shared" si="6"/>
        <v>5.8039869496628427E-2</v>
      </c>
      <c r="M75" s="10"/>
      <c r="N75" s="56">
        <v>803118</v>
      </c>
      <c r="O75" s="56">
        <v>83005</v>
      </c>
      <c r="P75" s="56">
        <v>213439</v>
      </c>
      <c r="R75" s="56">
        <f t="shared" si="7"/>
        <v>213439</v>
      </c>
      <c r="S75" s="56">
        <f t="shared" si="8"/>
        <v>0</v>
      </c>
      <c r="U75" s="16">
        <v>5.0100714358084941E-2</v>
      </c>
      <c r="V75" s="16">
        <v>-2.1471455768627412E-2</v>
      </c>
      <c r="W75" s="56">
        <f t="shared" si="9"/>
        <v>3</v>
      </c>
      <c r="X75" s="56">
        <f t="shared" si="10"/>
        <v>7648.0092720528928</v>
      </c>
      <c r="Y75" s="56">
        <f t="shared" si="10"/>
        <v>848.26345117198241</v>
      </c>
      <c r="AA75" s="56">
        <f t="shared" si="22"/>
        <v>0</v>
      </c>
      <c r="AB75" s="56">
        <v>0</v>
      </c>
      <c r="AC75" s="56">
        <f t="shared" si="11"/>
        <v>0</v>
      </c>
      <c r="AE75" s="56">
        <v>0</v>
      </c>
      <c r="AF75" s="56">
        <f t="shared" si="12"/>
        <v>0</v>
      </c>
      <c r="AG75" s="56">
        <f t="shared" si="13"/>
        <v>0</v>
      </c>
      <c r="AI75" s="56">
        <f t="shared" si="14"/>
        <v>0</v>
      </c>
      <c r="AJ75" s="56">
        <f t="shared" si="15"/>
        <v>0</v>
      </c>
      <c r="AK75" s="56">
        <f t="shared" si="16"/>
        <v>0</v>
      </c>
      <c r="AM75" s="56">
        <f t="shared" si="17"/>
        <v>803118</v>
      </c>
      <c r="AN75" s="56">
        <f t="shared" si="18"/>
        <v>83005</v>
      </c>
      <c r="AO75" s="56">
        <f t="shared" si="19"/>
        <v>213439</v>
      </c>
      <c r="AP75" s="56"/>
      <c r="AQ75" s="56">
        <f t="shared" si="20"/>
        <v>1099562</v>
      </c>
      <c r="AR75" s="1"/>
      <c r="AS75" s="56">
        <v>1337.2283442980738</v>
      </c>
      <c r="AT75" s="56">
        <v>138.20713608518503</v>
      </c>
      <c r="AU75" s="56">
        <v>355.38573482182767</v>
      </c>
      <c r="AV75" s="56"/>
      <c r="AW75" s="56">
        <v>1830.8212152050864</v>
      </c>
      <c r="AX75" s="1"/>
      <c r="AY75" s="16">
        <v>5.0100714358084941E-2</v>
      </c>
      <c r="AZ75" s="16">
        <v>-2.1471455768627412E-2</v>
      </c>
      <c r="BA75" s="16">
        <v>0.12563148995426232</v>
      </c>
      <c r="BB75" s="16">
        <f t="shared" si="21"/>
        <v>5.8039869496628427E-2</v>
      </c>
      <c r="BC75" s="16"/>
      <c r="BD75" s="1"/>
      <c r="BE75" s="16">
        <f>AM75/'2019-20 disagg'!AM75-1</f>
        <v>3.4881862977547806E-2</v>
      </c>
      <c r="BF75" s="16">
        <f>AN75/'2019-20 disagg'!AN75-1</f>
        <v>3.9277307557469721E-2</v>
      </c>
      <c r="BG75" s="16">
        <f>AO75/'2019-20 disagg'!AO75-1</f>
        <v>4.7918538484576167E-2</v>
      </c>
      <c r="BH75" s="16">
        <f>AQ75/'2019-20 disagg'!AQ75-1</f>
        <v>3.7719128534959179E-2</v>
      </c>
      <c r="BI75" s="1"/>
      <c r="BJ75" s="16">
        <f>AS75/'2019-20 disagg'!AS75-1</f>
        <v>3.0124777928803637E-2</v>
      </c>
      <c r="BK75" s="16">
        <f>AT75/'2019-20 disagg'!AT75-1</f>
        <v>3.4500017783489323E-2</v>
      </c>
      <c r="BL75" s="16">
        <f>AU75/'2019-20 disagg'!AU75-1</f>
        <v>4.3101527200424483E-2</v>
      </c>
      <c r="BM75" s="16">
        <f>AW75/'2019-20 disagg'!AW75-1</f>
        <v>3.2949001308121506E-2</v>
      </c>
    </row>
    <row r="76" spans="1:65" x14ac:dyDescent="0.2">
      <c r="A76" s="156" t="s">
        <v>197</v>
      </c>
      <c r="B76" s="156" t="s">
        <v>198</v>
      </c>
      <c r="D76" s="56">
        <f>VLOOKUP(A76,'2020-21'!$A$12:$AMX284,32,FALSE)</f>
        <v>563910</v>
      </c>
      <c r="E76" s="56">
        <v>1553.2546501420338</v>
      </c>
      <c r="F76" s="16">
        <f>VLOOKUP(A76,'2020-21'!$A$12:$AMX284,34,FALSE)</f>
        <v>3.8743582800523813E-2</v>
      </c>
      <c r="G76" s="16">
        <f>VLOOKUP(A76,'2020-21'!$A$12:$AMX284,35,FALSE)</f>
        <v>3.2939751424978514E-2</v>
      </c>
      <c r="H76" s="56"/>
      <c r="I76" s="56">
        <v>554397.27841698949</v>
      </c>
      <c r="J76" s="56">
        <v>1527.0524564687212</v>
      </c>
      <c r="K76" s="16">
        <f t="shared" si="6"/>
        <v>1.7158672946903542E-2</v>
      </c>
      <c r="L76" s="58">
        <f t="shared" si="6"/>
        <v>1.7158672946903764E-2</v>
      </c>
      <c r="M76" s="10"/>
      <c r="N76" s="56">
        <v>433741</v>
      </c>
      <c r="O76" s="56">
        <v>45176</v>
      </c>
      <c r="P76" s="56">
        <v>84993</v>
      </c>
      <c r="R76" s="56">
        <f t="shared" si="7"/>
        <v>84993</v>
      </c>
      <c r="S76" s="56">
        <f t="shared" si="8"/>
        <v>0</v>
      </c>
      <c r="U76" s="16">
        <v>1.9380501552810792E-2</v>
      </c>
      <c r="V76" s="16">
        <v>-4.8041447086274558E-2</v>
      </c>
      <c r="W76" s="56">
        <f t="shared" si="9"/>
        <v>3</v>
      </c>
      <c r="X76" s="56">
        <f t="shared" si="10"/>
        <v>4254.9469931913281</v>
      </c>
      <c r="Y76" s="56">
        <f t="shared" si="10"/>
        <v>474.55847590976191</v>
      </c>
      <c r="AA76" s="56">
        <f t="shared" si="22"/>
        <v>0</v>
      </c>
      <c r="AB76" s="56">
        <v>0</v>
      </c>
      <c r="AC76" s="56">
        <f t="shared" si="11"/>
        <v>0</v>
      </c>
      <c r="AE76" s="56">
        <v>0</v>
      </c>
      <c r="AF76" s="56">
        <f t="shared" si="12"/>
        <v>0</v>
      </c>
      <c r="AG76" s="56">
        <f t="shared" si="13"/>
        <v>0</v>
      </c>
      <c r="AI76" s="56">
        <f t="shared" si="14"/>
        <v>0</v>
      </c>
      <c r="AJ76" s="56">
        <f t="shared" si="15"/>
        <v>0</v>
      </c>
      <c r="AK76" s="56">
        <f t="shared" si="16"/>
        <v>0</v>
      </c>
      <c r="AM76" s="56">
        <f t="shared" si="17"/>
        <v>433741</v>
      </c>
      <c r="AN76" s="56">
        <f t="shared" si="18"/>
        <v>45176</v>
      </c>
      <c r="AO76" s="56">
        <f t="shared" si="19"/>
        <v>84993</v>
      </c>
      <c r="AP76" s="56"/>
      <c r="AQ76" s="56">
        <f t="shared" si="20"/>
        <v>563910</v>
      </c>
      <c r="AR76" s="1"/>
      <c r="AS76" s="56">
        <v>1194.7123214826051</v>
      </c>
      <c r="AT76" s="56">
        <v>124.43445243889364</v>
      </c>
      <c r="AU76" s="56">
        <v>234.10787622053496</v>
      </c>
      <c r="AV76" s="56"/>
      <c r="AW76" s="56">
        <v>1553.2546501420338</v>
      </c>
      <c r="AX76" s="1"/>
      <c r="AY76" s="16">
        <v>1.9380501552810792E-2</v>
      </c>
      <c r="AZ76" s="16">
        <v>-4.8041447086274558E-2</v>
      </c>
      <c r="BA76" s="16">
        <v>4.3540955266203385E-2</v>
      </c>
      <c r="BB76" s="16">
        <f t="shared" si="21"/>
        <v>1.7158672946903542E-2</v>
      </c>
      <c r="BC76" s="16"/>
      <c r="BD76" s="1"/>
      <c r="BE76" s="16">
        <f>AM76/'2019-20 disagg'!AM76-1</f>
        <v>3.6601454020543711E-2</v>
      </c>
      <c r="BF76" s="16">
        <f>AN76/'2019-20 disagg'!AN76-1</f>
        <v>4.0322394933793859E-2</v>
      </c>
      <c r="BG76" s="16">
        <f>AO76/'2019-20 disagg'!AO76-1</f>
        <v>4.895959321699217E-2</v>
      </c>
      <c r="BH76" s="16">
        <f>AQ76/'2019-20 disagg'!AQ76-1</f>
        <v>3.8743582800523813E-2</v>
      </c>
      <c r="BI76" s="1"/>
      <c r="BJ76" s="16">
        <f>AS76/'2019-20 disagg'!AS76-1</f>
        <v>3.0809591483535126E-2</v>
      </c>
      <c r="BK76" s="16">
        <f>AT76/'2019-20 disagg'!AT76-1</f>
        <v>3.4509742171000557E-2</v>
      </c>
      <c r="BL76" s="16">
        <f>AU76/'2019-20 disagg'!AU76-1</f>
        <v>4.3098681342688572E-2</v>
      </c>
      <c r="BM76" s="16">
        <f>AW76/'2019-20 disagg'!AW76-1</f>
        <v>3.2939751424978514E-2</v>
      </c>
    </row>
    <row r="77" spans="1:65" x14ac:dyDescent="0.2">
      <c r="A77" s="156" t="s">
        <v>199</v>
      </c>
      <c r="B77" s="156" t="s">
        <v>200</v>
      </c>
      <c r="D77" s="56">
        <f>VLOOKUP(A77,'2020-21'!$A$12:$AMX285,32,FALSE)</f>
        <v>691404</v>
      </c>
      <c r="E77" s="56">
        <v>1854.5651818191207</v>
      </c>
      <c r="F77" s="16">
        <f>VLOOKUP(A77,'2020-21'!$A$12:$AMX285,34,FALSE)</f>
        <v>3.5929184446468865E-2</v>
      </c>
      <c r="G77" s="16">
        <f>VLOOKUP(A77,'2020-21'!$A$12:$AMX285,35,FALSE)</f>
        <v>3.0616567120647753E-2</v>
      </c>
      <c r="H77" s="56"/>
      <c r="I77" s="56">
        <v>670564.94829949713</v>
      </c>
      <c r="J77" s="56">
        <v>1798.6682247493306</v>
      </c>
      <c r="K77" s="16">
        <f t="shared" ref="K77:L140" si="23">D77/I77-1</f>
        <v>3.1076858033437516E-2</v>
      </c>
      <c r="L77" s="58">
        <f t="shared" si="23"/>
        <v>3.1076858033437516E-2</v>
      </c>
      <c r="M77" s="10"/>
      <c r="N77" s="56">
        <v>538078</v>
      </c>
      <c r="O77" s="56">
        <v>58027</v>
      </c>
      <c r="P77" s="56">
        <v>95299</v>
      </c>
      <c r="R77" s="56">
        <f t="shared" ref="R77:R140" si="24">ROUND(P77,0)</f>
        <v>95299</v>
      </c>
      <c r="S77" s="56">
        <f t="shared" ref="S77:S140" si="25">D77-SUM(N77:P77)</f>
        <v>0</v>
      </c>
      <c r="U77" s="16">
        <v>2.6641576140231882E-2</v>
      </c>
      <c r="V77" s="16">
        <v>8.4125750847595882E-2</v>
      </c>
      <c r="W77" s="56">
        <f t="shared" ref="W77:W140" si="26">IF(AND(U77&lt;0,V77&gt;0),1,IF(AND(U77&gt;0,V77&gt;0),2,IF(AND(U77&gt;0,V77&lt;0),3,IF(AND(U77&lt;0,V77&lt;0),4,5))))</f>
        <v>2</v>
      </c>
      <c r="X77" s="56">
        <f t="shared" ref="X77:Y140" si="27">N77/(1+U77)/100</f>
        <v>5241.1475680048088</v>
      </c>
      <c r="Y77" s="56">
        <f t="shared" si="27"/>
        <v>535.24233655213038</v>
      </c>
      <c r="AA77" s="56">
        <f t="shared" si="22"/>
        <v>0</v>
      </c>
      <c r="AB77" s="56">
        <v>0</v>
      </c>
      <c r="AC77" s="56">
        <f t="shared" ref="AC77:AC140" si="28">S77-AA77-AB77</f>
        <v>0</v>
      </c>
      <c r="AE77" s="56">
        <v>0</v>
      </c>
      <c r="AF77" s="56">
        <f t="shared" ref="AF77:AF140" si="29">IF(W77=3,MIN(S77,-1*V77*O77),0)</f>
        <v>0</v>
      </c>
      <c r="AG77" s="56">
        <f t="shared" ref="AG77:AG140" si="30">AC77-AE77-AF77</f>
        <v>0</v>
      </c>
      <c r="AI77" s="56">
        <f t="shared" ref="AI77:AI140" si="31">AG77*X77/(X77+Y77)</f>
        <v>0</v>
      </c>
      <c r="AJ77" s="56">
        <f t="shared" ref="AJ77:AJ140" si="32">AG77*Y77/(X77+Y77)</f>
        <v>0</v>
      </c>
      <c r="AK77" s="56">
        <f t="shared" ref="AK77:AK140" si="33">S77-SUM(AA77:AB77)-SUM(AE77:AF77)-SUM(AI77:AJ77)</f>
        <v>0</v>
      </c>
      <c r="AM77" s="56">
        <f t="shared" ref="AM77:AM140" si="34">ROUND(N77+AA77+AE77+AI77,0)</f>
        <v>538078</v>
      </c>
      <c r="AN77" s="56">
        <f t="shared" ref="AN77:AN140" si="35">ROUND(O77+AB77+AF77+AJ77,0)</f>
        <v>58027</v>
      </c>
      <c r="AO77" s="56">
        <f t="shared" ref="AO77:AO140" si="36">R77</f>
        <v>95299</v>
      </c>
      <c r="AP77" s="56"/>
      <c r="AQ77" s="56">
        <f t="shared" ref="AQ77:AQ140" si="37">SUM(AM77:AP77)</f>
        <v>691404</v>
      </c>
      <c r="AR77" s="1"/>
      <c r="AS77" s="56">
        <v>1443.2961393090998</v>
      </c>
      <c r="AT77" s="56">
        <v>155.64684873882436</v>
      </c>
      <c r="AU77" s="56">
        <v>255.62219377119655</v>
      </c>
      <c r="AV77" s="56"/>
      <c r="AW77" s="56">
        <v>1854.5651818191207</v>
      </c>
      <c r="AX77" s="1"/>
      <c r="AY77" s="16">
        <v>2.6641576140231882E-2</v>
      </c>
      <c r="AZ77" s="16">
        <v>8.4125750847595882E-2</v>
      </c>
      <c r="BA77" s="16">
        <v>2.5536913595074484E-2</v>
      </c>
      <c r="BB77" s="16">
        <f t="shared" ref="BB77:BB140" si="38">SUM(AM77:AO77)/I77-1</f>
        <v>3.1076858033437516E-2</v>
      </c>
      <c r="BC77" s="16"/>
      <c r="BD77" s="1"/>
      <c r="BE77" s="16">
        <f>AM77/'2019-20 disagg'!AM77-1</f>
        <v>3.6601365110127793E-2</v>
      </c>
      <c r="BF77" s="16">
        <f>AN77/'2019-20 disagg'!AN77-1</f>
        <v>1.0008354800529196E-2</v>
      </c>
      <c r="BG77" s="16">
        <f>AO77/'2019-20 disagg'!AO77-1</f>
        <v>4.8474580000660072E-2</v>
      </c>
      <c r="BH77" s="16">
        <f>AQ77/'2019-20 disagg'!AQ77-1</f>
        <v>3.5929184446468865E-2</v>
      </c>
      <c r="BI77" s="1"/>
      <c r="BJ77" s="16">
        <f>AS77/'2019-20 disagg'!AS77-1</f>
        <v>3.1285300600180976E-2</v>
      </c>
      <c r="BK77" s="16">
        <f>AT77/'2019-20 disagg'!AT77-1</f>
        <v>4.8286688089576035E-3</v>
      </c>
      <c r="BL77" s="16">
        <f>AU77/'2019-20 disagg'!AU77-1</f>
        <v>4.3097625375744464E-2</v>
      </c>
      <c r="BM77" s="16">
        <f>AW77/'2019-20 disagg'!AW77-1</f>
        <v>3.0616567120647753E-2</v>
      </c>
    </row>
    <row r="78" spans="1:65" x14ac:dyDescent="0.2">
      <c r="A78" s="156" t="s">
        <v>201</v>
      </c>
      <c r="B78" s="156" t="s">
        <v>202</v>
      </c>
      <c r="D78" s="56">
        <f>VLOOKUP(A78,'2020-21'!$A$12:$AMX286,32,FALSE)</f>
        <v>1377478</v>
      </c>
      <c r="E78" s="56">
        <v>1852.8762504662395</v>
      </c>
      <c r="F78" s="16">
        <f>VLOOKUP(A78,'2020-21'!$A$12:$AMX286,34,FALSE)</f>
        <v>3.9722172740804362E-2</v>
      </c>
      <c r="G78" s="16">
        <f>VLOOKUP(A78,'2020-21'!$A$12:$AMX286,35,FALSE)</f>
        <v>3.2828717476558467E-2</v>
      </c>
      <c r="H78" s="56"/>
      <c r="I78" s="56">
        <v>1380578.6060372468</v>
      </c>
      <c r="J78" s="56">
        <v>1857.0469445088786</v>
      </c>
      <c r="K78" s="16">
        <f t="shared" si="23"/>
        <v>-2.245874319425134E-3</v>
      </c>
      <c r="L78" s="58">
        <f t="shared" si="23"/>
        <v>-2.245874319424912E-3</v>
      </c>
      <c r="M78" s="10"/>
      <c r="N78" s="56">
        <v>986687</v>
      </c>
      <c r="O78" s="56">
        <v>106511</v>
      </c>
      <c r="P78" s="56">
        <v>284280</v>
      </c>
      <c r="R78" s="56">
        <f t="shared" si="24"/>
        <v>284280</v>
      </c>
      <c r="S78" s="56">
        <f t="shared" si="25"/>
        <v>0</v>
      </c>
      <c r="U78" s="16">
        <v>-1.4214138533255816E-2</v>
      </c>
      <c r="V78" s="16">
        <v>-4.8436850087763106E-2</v>
      </c>
      <c r="W78" s="56">
        <f t="shared" si="26"/>
        <v>4</v>
      </c>
      <c r="X78" s="56">
        <f t="shared" si="27"/>
        <v>10009.141321340468</v>
      </c>
      <c r="Y78" s="56">
        <f t="shared" si="27"/>
        <v>1119.3266575090004</v>
      </c>
      <c r="AA78" s="56">
        <f t="shared" ref="AA78:AA141" si="39">IF(W78=1,MIN(S78,-1*U78*N78),0)</f>
        <v>0</v>
      </c>
      <c r="AB78" s="56">
        <v>0</v>
      </c>
      <c r="AC78" s="56">
        <f t="shared" si="28"/>
        <v>0</v>
      </c>
      <c r="AE78" s="56">
        <v>0</v>
      </c>
      <c r="AF78" s="56">
        <f t="shared" si="29"/>
        <v>0</v>
      </c>
      <c r="AG78" s="56">
        <f t="shared" si="30"/>
        <v>0</v>
      </c>
      <c r="AI78" s="56">
        <f t="shared" si="31"/>
        <v>0</v>
      </c>
      <c r="AJ78" s="56">
        <f t="shared" si="32"/>
        <v>0</v>
      </c>
      <c r="AK78" s="56">
        <f t="shared" si="33"/>
        <v>0</v>
      </c>
      <c r="AM78" s="56">
        <f t="shared" si="34"/>
        <v>986687</v>
      </c>
      <c r="AN78" s="56">
        <f t="shared" si="35"/>
        <v>106511</v>
      </c>
      <c r="AO78" s="56">
        <f t="shared" si="36"/>
        <v>284280</v>
      </c>
      <c r="AP78" s="56"/>
      <c r="AQ78" s="56">
        <f t="shared" si="37"/>
        <v>1377478</v>
      </c>
      <c r="AR78" s="1"/>
      <c r="AS78" s="56">
        <v>1327.2145972159137</v>
      </c>
      <c r="AT78" s="56">
        <v>143.27031162269716</v>
      </c>
      <c r="AU78" s="56">
        <v>382.39134162762855</v>
      </c>
      <c r="AV78" s="56"/>
      <c r="AW78" s="56">
        <v>1852.8762504662395</v>
      </c>
      <c r="AX78" s="1"/>
      <c r="AY78" s="16">
        <v>-1.4214138533255816E-2</v>
      </c>
      <c r="AZ78" s="16">
        <v>-4.8436850087763106E-2</v>
      </c>
      <c r="BA78" s="16">
        <v>6.1808837589766963E-2</v>
      </c>
      <c r="BB78" s="16">
        <f t="shared" si="38"/>
        <v>-2.245874319425134E-3</v>
      </c>
      <c r="BC78" s="16"/>
      <c r="BD78" s="1"/>
      <c r="BE78" s="16">
        <f>AM78/'2019-20 disagg'!AM78-1</f>
        <v>3.6600343121650614E-2</v>
      </c>
      <c r="BF78" s="16">
        <f>AN78/'2019-20 disagg'!AN78-1</f>
        <v>4.1407563846845852E-2</v>
      </c>
      <c r="BG78" s="16">
        <f>AO78/'2019-20 disagg'!AO78-1</f>
        <v>5.0061501069342818E-2</v>
      </c>
      <c r="BH78" s="16">
        <f>AQ78/'2019-20 disagg'!AQ78-1</f>
        <v>3.9722172740804362E-2</v>
      </c>
      <c r="BI78" s="1"/>
      <c r="BJ78" s="16">
        <f>AS78/'2019-20 disagg'!AS78-1</f>
        <v>2.9727585879805618E-2</v>
      </c>
      <c r="BK78" s="16">
        <f>AT78/'2019-20 disagg'!AT78-1</f>
        <v>3.4502934281909869E-2</v>
      </c>
      <c r="BL78" s="16">
        <f>AU78/'2019-20 disagg'!AU78-1</f>
        <v>4.3099495091104556E-2</v>
      </c>
      <c r="BM78" s="16">
        <f>AW78/'2019-20 disagg'!AW78-1</f>
        <v>3.2828717476558467E-2</v>
      </c>
    </row>
    <row r="79" spans="1:65" x14ac:dyDescent="0.2">
      <c r="A79" s="156" t="s">
        <v>203</v>
      </c>
      <c r="B79" s="156" t="s">
        <v>204</v>
      </c>
      <c r="D79" s="56">
        <f>VLOOKUP(A79,'2020-21'!$A$12:$AMX287,32,FALSE)</f>
        <v>529859.07856629579</v>
      </c>
      <c r="E79" s="56">
        <v>1747.1410585617914</v>
      </c>
      <c r="F79" s="16">
        <f>VLOOKUP(A79,'2020-21'!$A$12:$AMX287,34,FALSE)</f>
        <v>4.2024579768128678E-2</v>
      </c>
      <c r="G79" s="16">
        <f>VLOOKUP(A79,'2020-21'!$A$12:$AMX287,35,FALSE)</f>
        <v>3.56014373201472E-2</v>
      </c>
      <c r="H79" s="56"/>
      <c r="I79" s="56">
        <v>540510.23561394622</v>
      </c>
      <c r="J79" s="56">
        <v>1782.2618568115688</v>
      </c>
      <c r="K79" s="16">
        <f t="shared" si="23"/>
        <v>-1.9705745323309487E-2</v>
      </c>
      <c r="L79" s="58">
        <f t="shared" si="23"/>
        <v>-1.9705745323309487E-2</v>
      </c>
      <c r="M79" s="10"/>
      <c r="N79" s="56">
        <v>376359</v>
      </c>
      <c r="O79" s="56">
        <v>43976</v>
      </c>
      <c r="P79" s="56">
        <v>108287</v>
      </c>
      <c r="R79" s="56">
        <f t="shared" si="24"/>
        <v>108287</v>
      </c>
      <c r="S79" s="56">
        <f t="shared" si="25"/>
        <v>1237.0785662957933</v>
      </c>
      <c r="U79" s="16">
        <v>-3.8120843059056941E-2</v>
      </c>
      <c r="V79" s="16">
        <v>-1.9414433193712832E-2</v>
      </c>
      <c r="W79" s="56">
        <f t="shared" si="26"/>
        <v>4</v>
      </c>
      <c r="X79" s="56">
        <f t="shared" si="27"/>
        <v>3912.7472228105207</v>
      </c>
      <c r="Y79" s="56">
        <f t="shared" si="27"/>
        <v>448.46672731710089</v>
      </c>
      <c r="AA79" s="56">
        <f t="shared" si="39"/>
        <v>0</v>
      </c>
      <c r="AB79" s="56">
        <v>0</v>
      </c>
      <c r="AC79" s="56">
        <f t="shared" si="28"/>
        <v>1237.0785662957933</v>
      </c>
      <c r="AE79" s="56">
        <v>0</v>
      </c>
      <c r="AF79" s="56">
        <f t="shared" si="29"/>
        <v>0</v>
      </c>
      <c r="AG79" s="56">
        <f t="shared" si="30"/>
        <v>1237.0785662957933</v>
      </c>
      <c r="AI79" s="56">
        <f t="shared" si="31"/>
        <v>1109.8688988946856</v>
      </c>
      <c r="AJ79" s="56">
        <f t="shared" si="32"/>
        <v>127.20966740110764</v>
      </c>
      <c r="AK79" s="56">
        <f t="shared" si="33"/>
        <v>0</v>
      </c>
      <c r="AM79" s="56">
        <f t="shared" si="34"/>
        <v>377469</v>
      </c>
      <c r="AN79" s="56">
        <f t="shared" si="35"/>
        <v>44103</v>
      </c>
      <c r="AO79" s="56">
        <f t="shared" si="36"/>
        <v>108287</v>
      </c>
      <c r="AP79" s="56"/>
      <c r="AQ79" s="56">
        <f t="shared" si="37"/>
        <v>529859</v>
      </c>
      <c r="AR79" s="1"/>
      <c r="AS79" s="56">
        <v>1244.6546919960822</v>
      </c>
      <c r="AT79" s="56">
        <v>145.42387820219201</v>
      </c>
      <c r="AU79" s="56">
        <v>357.06222930142542</v>
      </c>
      <c r="AV79" s="56"/>
      <c r="AW79" s="56">
        <v>1747.1407994996996</v>
      </c>
      <c r="AX79" s="1"/>
      <c r="AY79" s="16">
        <v>-3.5283961612872727E-2</v>
      </c>
      <c r="AZ79" s="16">
        <v>-1.6582562014333169E-2</v>
      </c>
      <c r="BA79" s="16">
        <v>3.7342683148564149E-2</v>
      </c>
      <c r="BB79" s="16">
        <f t="shared" si="38"/>
        <v>-1.9705890679105997E-2</v>
      </c>
      <c r="BC79" s="16"/>
      <c r="BD79" s="1"/>
      <c r="BE79" s="16">
        <f>AM79/'2019-20 disagg'!AM79-1</f>
        <v>3.965901892197099E-2</v>
      </c>
      <c r="BF79" s="16">
        <f>AN79/'2019-20 disagg'!AN79-1</f>
        <v>4.3932113522853644E-2</v>
      </c>
      <c r="BG79" s="16">
        <f>AO79/'2019-20 disagg'!AO79-1</f>
        <v>4.9567231736985518E-2</v>
      </c>
      <c r="BH79" s="16">
        <f>AQ79/'2019-20 disagg'!AQ79-1</f>
        <v>4.202442525910044E-2</v>
      </c>
      <c r="BI79" s="1"/>
      <c r="BJ79" s="16">
        <f>AS79/'2019-20 disagg'!AS79-1</f>
        <v>3.3250458024731255E-2</v>
      </c>
      <c r="BK79" s="16">
        <f>AT79/'2019-20 disagg'!AT79-1</f>
        <v>3.7497212848368822E-2</v>
      </c>
      <c r="BL79" s="16">
        <f>AU79/'2019-20 disagg'!AU79-1</f>
        <v>4.3097595637153097E-2</v>
      </c>
      <c r="BM79" s="16">
        <f>AW79/'2019-20 disagg'!AW79-1</f>
        <v>3.560128376352778E-2</v>
      </c>
    </row>
    <row r="80" spans="1:65" x14ac:dyDescent="0.2">
      <c r="A80" s="156" t="s">
        <v>205</v>
      </c>
      <c r="B80" s="156" t="s">
        <v>206</v>
      </c>
      <c r="D80" s="56">
        <f>VLOOKUP(A80,'2020-21'!$A$12:$AMX288,32,FALSE)</f>
        <v>233373</v>
      </c>
      <c r="E80" s="56">
        <v>1743.7169596909278</v>
      </c>
      <c r="F80" s="16">
        <f>VLOOKUP(A80,'2020-21'!$A$12:$AMX288,34,FALSE)</f>
        <v>3.8071472417198216E-2</v>
      </c>
      <c r="G80" s="16">
        <f>VLOOKUP(A80,'2020-21'!$A$12:$AMX288,35,FALSE)</f>
        <v>3.4912224016249827E-2</v>
      </c>
      <c r="H80" s="56"/>
      <c r="I80" s="56">
        <v>234208.55227546758</v>
      </c>
      <c r="J80" s="56">
        <v>1749.9600412532386</v>
      </c>
      <c r="K80" s="16">
        <f t="shared" si="23"/>
        <v>-3.5675566385160451E-3</v>
      </c>
      <c r="L80" s="58">
        <f t="shared" si="23"/>
        <v>-3.5675566385160451E-3</v>
      </c>
      <c r="M80" s="10"/>
      <c r="N80" s="56">
        <v>180784</v>
      </c>
      <c r="O80" s="56">
        <v>18981</v>
      </c>
      <c r="P80" s="56">
        <v>33608</v>
      </c>
      <c r="R80" s="56">
        <f t="shared" si="24"/>
        <v>33608</v>
      </c>
      <c r="S80" s="56">
        <f t="shared" si="25"/>
        <v>0</v>
      </c>
      <c r="U80" s="16">
        <v>-4.5570920880377841E-3</v>
      </c>
      <c r="V80" s="16">
        <v>4.3987531206925556E-2</v>
      </c>
      <c r="W80" s="56">
        <f t="shared" si="26"/>
        <v>1</v>
      </c>
      <c r="X80" s="56">
        <f t="shared" si="27"/>
        <v>1816.1162088061074</v>
      </c>
      <c r="Y80" s="56">
        <f t="shared" si="27"/>
        <v>181.81251626690005</v>
      </c>
      <c r="AA80" s="56">
        <f t="shared" si="39"/>
        <v>0</v>
      </c>
      <c r="AB80" s="56">
        <v>0</v>
      </c>
      <c r="AC80" s="56">
        <f t="shared" si="28"/>
        <v>0</v>
      </c>
      <c r="AE80" s="56">
        <v>0</v>
      </c>
      <c r="AF80" s="56">
        <f t="shared" si="29"/>
        <v>0</v>
      </c>
      <c r="AG80" s="56">
        <f t="shared" si="30"/>
        <v>0</v>
      </c>
      <c r="AI80" s="56">
        <f t="shared" si="31"/>
        <v>0</v>
      </c>
      <c r="AJ80" s="56">
        <f t="shared" si="32"/>
        <v>0</v>
      </c>
      <c r="AK80" s="56">
        <f t="shared" si="33"/>
        <v>0</v>
      </c>
      <c r="AM80" s="56">
        <f t="shared" si="34"/>
        <v>180784</v>
      </c>
      <c r="AN80" s="56">
        <f t="shared" si="35"/>
        <v>18981</v>
      </c>
      <c r="AO80" s="56">
        <f t="shared" si="36"/>
        <v>33608</v>
      </c>
      <c r="AP80" s="56"/>
      <c r="AQ80" s="56">
        <f t="shared" si="37"/>
        <v>233373</v>
      </c>
      <c r="AR80" s="1"/>
      <c r="AS80" s="56">
        <v>1350.7823391770457</v>
      </c>
      <c r="AT80" s="56">
        <v>141.82228283431888</v>
      </c>
      <c r="AU80" s="56">
        <v>251.11233767956318</v>
      </c>
      <c r="AV80" s="56"/>
      <c r="AW80" s="56">
        <v>1743.7169596909278</v>
      </c>
      <c r="AX80" s="1"/>
      <c r="AY80" s="16">
        <v>-4.5570920880377841E-3</v>
      </c>
      <c r="AZ80" s="16">
        <v>4.3987531206925556E-2</v>
      </c>
      <c r="BA80" s="16">
        <v>-2.3468365977588279E-2</v>
      </c>
      <c r="BB80" s="16">
        <f t="shared" si="38"/>
        <v>-3.5675566385160451E-3</v>
      </c>
      <c r="BC80" s="16"/>
      <c r="BD80" s="1"/>
      <c r="BE80" s="16">
        <f>AM80/'2019-20 disagg'!AM80-1</f>
        <v>3.6599560782335061E-2</v>
      </c>
      <c r="BF80" s="16">
        <f>AN80/'2019-20 disagg'!AN80-1</f>
        <v>3.7666739558276818E-2</v>
      </c>
      <c r="BG80" s="16">
        <f>AO80/'2019-20 disagg'!AO80-1</f>
        <v>4.6293701939541076E-2</v>
      </c>
      <c r="BH80" s="16">
        <f>AQ80/'2019-20 disagg'!AQ80-1</f>
        <v>3.8071472417198216E-2</v>
      </c>
      <c r="BI80" s="1"/>
      <c r="BJ80" s="16">
        <f>AS80/'2019-20 disagg'!AS80-1</f>
        <v>3.3444791971282362E-2</v>
      </c>
      <c r="BK80" s="16">
        <f>AT80/'2019-20 disagg'!AT80-1</f>
        <v>3.4508722914169399E-2</v>
      </c>
      <c r="BL80" s="16">
        <f>AU80/'2019-20 disagg'!AU80-1</f>
        <v>4.3109430150356953E-2</v>
      </c>
      <c r="BM80" s="16">
        <f>AW80/'2019-20 disagg'!AW80-1</f>
        <v>3.4912224016249827E-2</v>
      </c>
    </row>
    <row r="81" spans="1:65" x14ac:dyDescent="0.2">
      <c r="A81" s="156" t="s">
        <v>207</v>
      </c>
      <c r="B81" s="156" t="s">
        <v>208</v>
      </c>
      <c r="D81" s="56">
        <f>VLOOKUP(A81,'2020-21'!$A$12:$AMX289,32,FALSE)</f>
        <v>873428.09706416924</v>
      </c>
      <c r="E81" s="56">
        <v>1696.4728367574505</v>
      </c>
      <c r="F81" s="16">
        <f>VLOOKUP(A81,'2020-21'!$A$12:$AMX289,34,FALSE)</f>
        <v>4.220731915787157E-2</v>
      </c>
      <c r="G81" s="16">
        <f>VLOOKUP(A81,'2020-21'!$A$12:$AMX289,35,FALSE)</f>
        <v>3.1516805923208713E-2</v>
      </c>
      <c r="H81" s="56"/>
      <c r="I81" s="56">
        <v>887274.57915004436</v>
      </c>
      <c r="J81" s="56">
        <v>1723.3670720382854</v>
      </c>
      <c r="K81" s="16">
        <f t="shared" si="23"/>
        <v>-1.5605633713905331E-2</v>
      </c>
      <c r="L81" s="58">
        <f t="shared" si="23"/>
        <v>-1.5605633713905331E-2</v>
      </c>
      <c r="M81" s="10"/>
      <c r="N81" s="56">
        <v>643405</v>
      </c>
      <c r="O81" s="56">
        <v>72318</v>
      </c>
      <c r="P81" s="56">
        <v>156168</v>
      </c>
      <c r="R81" s="56">
        <f t="shared" si="24"/>
        <v>156168</v>
      </c>
      <c r="S81" s="56">
        <f t="shared" si="25"/>
        <v>1537.0970641692402</v>
      </c>
      <c r="U81" s="16">
        <v>-3.1860110340044323E-2</v>
      </c>
      <c r="V81" s="16">
        <v>-4.8437706098768074E-2</v>
      </c>
      <c r="W81" s="56">
        <f t="shared" si="26"/>
        <v>4</v>
      </c>
      <c r="X81" s="56">
        <f t="shared" si="27"/>
        <v>6645.7854579877512</v>
      </c>
      <c r="Y81" s="56">
        <f t="shared" si="27"/>
        <v>759.99228283320667</v>
      </c>
      <c r="AA81" s="56">
        <f t="shared" si="39"/>
        <v>0</v>
      </c>
      <c r="AB81" s="56">
        <v>0</v>
      </c>
      <c r="AC81" s="56">
        <f t="shared" si="28"/>
        <v>1537.0970641692402</v>
      </c>
      <c r="AE81" s="56">
        <v>0</v>
      </c>
      <c r="AF81" s="56">
        <f t="shared" si="29"/>
        <v>0</v>
      </c>
      <c r="AG81" s="56">
        <f t="shared" si="30"/>
        <v>1537.0970641692402</v>
      </c>
      <c r="AI81" s="56">
        <f t="shared" si="31"/>
        <v>1379.3578033357517</v>
      </c>
      <c r="AJ81" s="56">
        <f t="shared" si="32"/>
        <v>157.7392608334886</v>
      </c>
      <c r="AK81" s="56">
        <f t="shared" si="33"/>
        <v>0</v>
      </c>
      <c r="AM81" s="56">
        <f t="shared" si="34"/>
        <v>644784</v>
      </c>
      <c r="AN81" s="56">
        <f t="shared" si="35"/>
        <v>72476</v>
      </c>
      <c r="AO81" s="56">
        <f t="shared" si="36"/>
        <v>156168</v>
      </c>
      <c r="AP81" s="56"/>
      <c r="AQ81" s="56">
        <f t="shared" si="37"/>
        <v>873428</v>
      </c>
      <c r="AR81" s="1"/>
      <c r="AS81" s="56">
        <v>1252.3738877333735</v>
      </c>
      <c r="AT81" s="56">
        <v>140.77125035262037</v>
      </c>
      <c r="AU81" s="56">
        <v>303.32751014222663</v>
      </c>
      <c r="AV81" s="56"/>
      <c r="AW81" s="56">
        <v>1696.4726482282204</v>
      </c>
      <c r="AX81" s="1"/>
      <c r="AY81" s="16">
        <v>-2.9785111066117143E-2</v>
      </c>
      <c r="AZ81" s="16">
        <v>-4.63587376201543E-2</v>
      </c>
      <c r="BA81" s="16">
        <v>6.4563062076671951E-2</v>
      </c>
      <c r="BB81" s="16">
        <f t="shared" si="38"/>
        <v>-1.5605743109769366E-2</v>
      </c>
      <c r="BC81" s="16"/>
      <c r="BD81" s="1"/>
      <c r="BE81" s="16">
        <f>AM81/'2019-20 disagg'!AM81-1</f>
        <v>3.8823110521083892E-2</v>
      </c>
      <c r="BF81" s="16">
        <f>AN81/'2019-20 disagg'!AN81-1</f>
        <v>4.7507551778461998E-2</v>
      </c>
      <c r="BG81" s="16">
        <f>AO81/'2019-20 disagg'!AO81-1</f>
        <v>5.390740990686993E-2</v>
      </c>
      <c r="BH81" s="16">
        <f>AQ81/'2019-20 disagg'!AQ81-1</f>
        <v>4.2207203337247146E-2</v>
      </c>
      <c r="BI81" s="1"/>
      <c r="BJ81" s="16">
        <f>AS81/'2019-20 disagg'!AS81-1</f>
        <v>2.8167311039198895E-2</v>
      </c>
      <c r="BK81" s="16">
        <f>AT81/'2019-20 disagg'!AT81-1</f>
        <v>3.6762671043268469E-2</v>
      </c>
      <c r="BL81" s="16">
        <f>AU81/'2019-20 disagg'!AU81-1</f>
        <v>4.3096882186893337E-2</v>
      </c>
      <c r="BM81" s="16">
        <f>AW81/'2019-20 disagg'!AW81-1</f>
        <v>3.1516691290622179E-2</v>
      </c>
    </row>
    <row r="82" spans="1:65" x14ac:dyDescent="0.2">
      <c r="A82" s="156" t="s">
        <v>209</v>
      </c>
      <c r="B82" s="156" t="s">
        <v>210</v>
      </c>
      <c r="D82" s="56">
        <f>VLOOKUP(A82,'2020-21'!$A$12:$AMX290,32,FALSE)</f>
        <v>583757</v>
      </c>
      <c r="E82" s="56">
        <v>1823.3821225817983</v>
      </c>
      <c r="F82" s="16">
        <f>VLOOKUP(A82,'2020-21'!$A$12:$AMX290,34,FALSE)</f>
        <v>3.8223969124878909E-2</v>
      </c>
      <c r="G82" s="16">
        <f>VLOOKUP(A82,'2020-21'!$A$12:$AMX290,35,FALSE)</f>
        <v>3.5071655833534443E-2</v>
      </c>
      <c r="H82" s="56"/>
      <c r="I82" s="56">
        <v>593148.14307516534</v>
      </c>
      <c r="J82" s="56">
        <v>1852.7156336041321</v>
      </c>
      <c r="K82" s="16">
        <f t="shared" si="23"/>
        <v>-1.5832710908403325E-2</v>
      </c>
      <c r="L82" s="58">
        <f t="shared" si="23"/>
        <v>-1.5832710908403436E-2</v>
      </c>
      <c r="M82" s="10"/>
      <c r="N82" s="56">
        <v>445775</v>
      </c>
      <c r="O82" s="56">
        <v>44158</v>
      </c>
      <c r="P82" s="56">
        <v>93824</v>
      </c>
      <c r="R82" s="56">
        <f t="shared" si="24"/>
        <v>93824</v>
      </c>
      <c r="S82" s="56">
        <f t="shared" si="25"/>
        <v>0</v>
      </c>
      <c r="U82" s="16">
        <v>-2.1834934888502522E-2</v>
      </c>
      <c r="V82" s="16">
        <v>-3.4812091095266284E-2</v>
      </c>
      <c r="W82" s="56">
        <f t="shared" si="26"/>
        <v>4</v>
      </c>
      <c r="X82" s="56">
        <f t="shared" si="27"/>
        <v>4557.2574190143232</v>
      </c>
      <c r="Y82" s="56">
        <f t="shared" si="27"/>
        <v>457.50676725850383</v>
      </c>
      <c r="AA82" s="56">
        <f t="shared" si="39"/>
        <v>0</v>
      </c>
      <c r="AB82" s="56">
        <v>0</v>
      </c>
      <c r="AC82" s="56">
        <f t="shared" si="28"/>
        <v>0</v>
      </c>
      <c r="AE82" s="56">
        <v>0</v>
      </c>
      <c r="AF82" s="56">
        <f t="shared" si="29"/>
        <v>0</v>
      </c>
      <c r="AG82" s="56">
        <f t="shared" si="30"/>
        <v>0</v>
      </c>
      <c r="AI82" s="56">
        <f t="shared" si="31"/>
        <v>0</v>
      </c>
      <c r="AJ82" s="56">
        <f t="shared" si="32"/>
        <v>0</v>
      </c>
      <c r="AK82" s="56">
        <f t="shared" si="33"/>
        <v>0</v>
      </c>
      <c r="AM82" s="56">
        <f t="shared" si="34"/>
        <v>445775</v>
      </c>
      <c r="AN82" s="56">
        <f t="shared" si="35"/>
        <v>44158</v>
      </c>
      <c r="AO82" s="56">
        <f t="shared" si="36"/>
        <v>93824</v>
      </c>
      <c r="AP82" s="56"/>
      <c r="AQ82" s="56">
        <f t="shared" si="37"/>
        <v>583757</v>
      </c>
      <c r="AR82" s="1"/>
      <c r="AS82" s="56">
        <v>1392.3912958540989</v>
      </c>
      <c r="AT82" s="56">
        <v>137.92880902321866</v>
      </c>
      <c r="AU82" s="56">
        <v>293.06201770448087</v>
      </c>
      <c r="AV82" s="56"/>
      <c r="AW82" s="56">
        <v>1823.3821225817983</v>
      </c>
      <c r="AX82" s="1"/>
      <c r="AY82" s="16">
        <v>-2.1834934888502522E-2</v>
      </c>
      <c r="AZ82" s="16">
        <v>-3.4812091095266284E-2</v>
      </c>
      <c r="BA82" s="16">
        <v>2.3478074238048707E-2</v>
      </c>
      <c r="BB82" s="16">
        <f t="shared" si="38"/>
        <v>-1.5832710908403325E-2</v>
      </c>
      <c r="BC82" s="16"/>
      <c r="BD82" s="1"/>
      <c r="BE82" s="16">
        <f>AM82/'2019-20 disagg'!AM82-1</f>
        <v>3.6601671956933757E-2</v>
      </c>
      <c r="BF82" s="16">
        <f>AN82/'2019-20 disagg'!AN82-1</f>
        <v>3.7644515461979555E-2</v>
      </c>
      <c r="BG82" s="16">
        <f>AO82/'2019-20 disagg'!AO82-1</f>
        <v>4.6278743002430955E-2</v>
      </c>
      <c r="BH82" s="16">
        <f>AQ82/'2019-20 disagg'!AQ82-1</f>
        <v>3.8223969124878909E-2</v>
      </c>
      <c r="BI82" s="1"/>
      <c r="BJ82" s="16">
        <f>AS82/'2019-20 disagg'!AS82-1</f>
        <v>3.3454284374373922E-2</v>
      </c>
      <c r="BK82" s="16">
        <f>AT82/'2019-20 disagg'!AT82-1</f>
        <v>3.4493961540036588E-2</v>
      </c>
      <c r="BL82" s="16">
        <f>AU82/'2019-20 disagg'!AU82-1</f>
        <v>4.3101973359173984E-2</v>
      </c>
      <c r="BM82" s="16">
        <f>AW82/'2019-20 disagg'!AW82-1</f>
        <v>3.5071655833534443E-2</v>
      </c>
    </row>
    <row r="83" spans="1:65" x14ac:dyDescent="0.2">
      <c r="A83" s="156" t="s">
        <v>211</v>
      </c>
      <c r="B83" s="156" t="s">
        <v>212</v>
      </c>
      <c r="D83" s="56">
        <f>VLOOKUP(A83,'2020-21'!$A$12:$AMX291,32,FALSE)</f>
        <v>226337.07357948215</v>
      </c>
      <c r="E83" s="56">
        <v>1585.2182481283528</v>
      </c>
      <c r="F83" s="16">
        <f>VLOOKUP(A83,'2020-21'!$A$12:$AMX291,34,FALSE)</f>
        <v>4.2384304528457761E-2</v>
      </c>
      <c r="G83" s="16">
        <f>VLOOKUP(A83,'2020-21'!$A$12:$AMX291,35,FALSE)</f>
        <v>3.581321783501723E-2</v>
      </c>
      <c r="H83" s="56"/>
      <c r="I83" s="56">
        <v>230810.92444455251</v>
      </c>
      <c r="J83" s="56">
        <v>1616.5521781759369</v>
      </c>
      <c r="K83" s="16">
        <f t="shared" si="23"/>
        <v>-1.9383185071662923E-2</v>
      </c>
      <c r="L83" s="58">
        <f t="shared" si="23"/>
        <v>-1.9383185071662923E-2</v>
      </c>
      <c r="M83" s="10"/>
      <c r="N83" s="56">
        <v>173437</v>
      </c>
      <c r="O83" s="56">
        <v>19607</v>
      </c>
      <c r="P83" s="56">
        <v>32528</v>
      </c>
      <c r="R83" s="56">
        <f t="shared" si="24"/>
        <v>32528</v>
      </c>
      <c r="S83" s="56">
        <f t="shared" si="25"/>
        <v>765.07357948215213</v>
      </c>
      <c r="U83" s="16">
        <v>-2.4949092734000922E-2</v>
      </c>
      <c r="V83" s="16">
        <v>1.0992402005901569E-2</v>
      </c>
      <c r="W83" s="56">
        <f t="shared" si="26"/>
        <v>1</v>
      </c>
      <c r="X83" s="56">
        <f t="shared" si="27"/>
        <v>1778.748152609897</v>
      </c>
      <c r="Y83" s="56">
        <f t="shared" si="27"/>
        <v>193.93815384861367</v>
      </c>
      <c r="AA83" s="56">
        <f t="shared" si="39"/>
        <v>765.07357948215213</v>
      </c>
      <c r="AB83" s="56">
        <v>0</v>
      </c>
      <c r="AC83" s="56">
        <f t="shared" si="28"/>
        <v>0</v>
      </c>
      <c r="AE83" s="56">
        <v>0</v>
      </c>
      <c r="AF83" s="56">
        <f t="shared" si="29"/>
        <v>0</v>
      </c>
      <c r="AG83" s="56">
        <f t="shared" si="30"/>
        <v>0</v>
      </c>
      <c r="AI83" s="56">
        <f t="shared" si="31"/>
        <v>0</v>
      </c>
      <c r="AJ83" s="56">
        <f t="shared" si="32"/>
        <v>0</v>
      </c>
      <c r="AK83" s="56">
        <f t="shared" si="33"/>
        <v>0</v>
      </c>
      <c r="AM83" s="56">
        <f t="shared" si="34"/>
        <v>174202</v>
      </c>
      <c r="AN83" s="56">
        <f t="shared" si="35"/>
        <v>19607</v>
      </c>
      <c r="AO83" s="56">
        <f t="shared" si="36"/>
        <v>32528</v>
      </c>
      <c r="AP83" s="56"/>
      <c r="AQ83" s="56">
        <f t="shared" si="37"/>
        <v>226337</v>
      </c>
      <c r="AR83" s="1"/>
      <c r="AS83" s="56">
        <v>1220.0749302499096</v>
      </c>
      <c r="AT83" s="56">
        <v>137.32338984288342</v>
      </c>
      <c r="AU83" s="56">
        <v>227.81941270002099</v>
      </c>
      <c r="AV83" s="56"/>
      <c r="AW83" s="56">
        <v>1585.2177327928139</v>
      </c>
      <c r="AX83" s="1"/>
      <c r="AY83" s="16">
        <v>-2.0648315252503324E-2</v>
      </c>
      <c r="AZ83" s="16">
        <v>1.0992402005901569E-2</v>
      </c>
      <c r="BA83" s="16">
        <v>-3.0239249730163453E-2</v>
      </c>
      <c r="BB83" s="16">
        <f t="shared" si="38"/>
        <v>-1.9383503858489526E-2</v>
      </c>
      <c r="BC83" s="16"/>
      <c r="BD83" s="1"/>
      <c r="BE83" s="16">
        <f>AM83/'2019-20 disagg'!AM83-1</f>
        <v>4.1174325963911906E-2</v>
      </c>
      <c r="BF83" s="16">
        <f>AN83/'2019-20 disagg'!AN83-1</f>
        <v>4.10427949453116E-2</v>
      </c>
      <c r="BG83" s="16">
        <f>AO83/'2019-20 disagg'!AO83-1</f>
        <v>4.97305321586472E-2</v>
      </c>
      <c r="BH83" s="16">
        <f>AQ83/'2019-20 disagg'!AQ83-1</f>
        <v>4.2383965661757284E-2</v>
      </c>
      <c r="BI83" s="1"/>
      <c r="BJ83" s="16">
        <f>AS83/'2019-20 disagg'!AS83-1</f>
        <v>3.4610866854664968E-2</v>
      </c>
      <c r="BK83" s="16">
        <f>AT83/'2019-20 disagg'!AT83-1</f>
        <v>3.4480164994487694E-2</v>
      </c>
      <c r="BL83" s="16">
        <f>AU83/'2019-20 disagg'!AU83-1</f>
        <v>4.3113135578902728E-2</v>
      </c>
      <c r="BM83" s="16">
        <f>AW83/'2019-20 disagg'!AW83-1</f>
        <v>3.5812881104498651E-2</v>
      </c>
    </row>
    <row r="84" spans="1:65" x14ac:dyDescent="0.2">
      <c r="A84" s="156" t="s">
        <v>213</v>
      </c>
      <c r="B84" s="156" t="s">
        <v>214</v>
      </c>
      <c r="D84" s="56">
        <f>VLOOKUP(A84,'2020-21'!$A$12:$AMX292,32,FALSE)</f>
        <v>327387</v>
      </c>
      <c r="E84" s="56">
        <v>1727.7531410549313</v>
      </c>
      <c r="F84" s="16">
        <f>VLOOKUP(A84,'2020-21'!$A$12:$AMX292,34,FALSE)</f>
        <v>3.884231435588581E-2</v>
      </c>
      <c r="G84" s="16">
        <f>VLOOKUP(A84,'2020-21'!$A$12:$AMX292,35,FALSE)</f>
        <v>3.3091676701271444E-2</v>
      </c>
      <c r="H84" s="56"/>
      <c r="I84" s="56">
        <v>327235.32716521394</v>
      </c>
      <c r="J84" s="56">
        <v>1726.952702379253</v>
      </c>
      <c r="K84" s="16">
        <f t="shared" si="23"/>
        <v>4.6349774060150395E-4</v>
      </c>
      <c r="L84" s="58">
        <f t="shared" si="23"/>
        <v>4.6349774060150395E-4</v>
      </c>
      <c r="M84" s="10"/>
      <c r="N84" s="56">
        <v>247902</v>
      </c>
      <c r="O84" s="56">
        <v>27527</v>
      </c>
      <c r="P84" s="56">
        <v>51958</v>
      </c>
      <c r="R84" s="56">
        <f t="shared" si="24"/>
        <v>51958</v>
      </c>
      <c r="S84" s="56">
        <f t="shared" si="25"/>
        <v>0</v>
      </c>
      <c r="U84" s="16">
        <v>1.8127953693707344E-3</v>
      </c>
      <c r="V84" s="16">
        <v>2.6405272973980765E-2</v>
      </c>
      <c r="W84" s="56">
        <f t="shared" si="26"/>
        <v>2</v>
      </c>
      <c r="X84" s="56">
        <f t="shared" si="27"/>
        <v>2474.5341759045705</v>
      </c>
      <c r="Y84" s="56">
        <f t="shared" si="27"/>
        <v>268.18841177852954</v>
      </c>
      <c r="AA84" s="56">
        <f t="shared" si="39"/>
        <v>0</v>
      </c>
      <c r="AB84" s="56">
        <v>0</v>
      </c>
      <c r="AC84" s="56">
        <f t="shared" si="28"/>
        <v>0</v>
      </c>
      <c r="AE84" s="56">
        <v>0</v>
      </c>
      <c r="AF84" s="56">
        <f t="shared" si="29"/>
        <v>0</v>
      </c>
      <c r="AG84" s="56">
        <f t="shared" si="30"/>
        <v>0</v>
      </c>
      <c r="AI84" s="56">
        <f t="shared" si="31"/>
        <v>0</v>
      </c>
      <c r="AJ84" s="56">
        <f t="shared" si="32"/>
        <v>0</v>
      </c>
      <c r="AK84" s="56">
        <f t="shared" si="33"/>
        <v>0</v>
      </c>
      <c r="AM84" s="56">
        <f t="shared" si="34"/>
        <v>247902</v>
      </c>
      <c r="AN84" s="56">
        <f t="shared" si="35"/>
        <v>27527</v>
      </c>
      <c r="AO84" s="56">
        <f t="shared" si="36"/>
        <v>51958</v>
      </c>
      <c r="AP84" s="56"/>
      <c r="AQ84" s="56">
        <f t="shared" si="37"/>
        <v>327387</v>
      </c>
      <c r="AR84" s="1"/>
      <c r="AS84" s="56">
        <v>1308.2787623631959</v>
      </c>
      <c r="AT84" s="56">
        <v>145.27107280930244</v>
      </c>
      <c r="AU84" s="56">
        <v>274.20330588243309</v>
      </c>
      <c r="AV84" s="56"/>
      <c r="AW84" s="56">
        <v>1727.7531410549313</v>
      </c>
      <c r="AX84" s="1"/>
      <c r="AY84" s="16">
        <v>1.8127953693707344E-3</v>
      </c>
      <c r="AZ84" s="16">
        <v>2.6405272973980765E-2</v>
      </c>
      <c r="BA84" s="16">
        <v>-1.8976778108322323E-2</v>
      </c>
      <c r="BB84" s="16">
        <f t="shared" si="38"/>
        <v>4.6349774060150395E-4</v>
      </c>
      <c r="BC84" s="16"/>
      <c r="BD84" s="1"/>
      <c r="BE84" s="16">
        <f>AM84/'2019-20 disagg'!AM84-1</f>
        <v>3.660061300695383E-2</v>
      </c>
      <c r="BF84" s="16">
        <f>AN84/'2019-20 disagg'!AN84-1</f>
        <v>4.0246391051318886E-2</v>
      </c>
      <c r="BG84" s="16">
        <f>AO84/'2019-20 disagg'!AO84-1</f>
        <v>4.8914908650449229E-2</v>
      </c>
      <c r="BH84" s="16">
        <f>AQ84/'2019-20 disagg'!AQ84-1</f>
        <v>3.884231435588581E-2</v>
      </c>
      <c r="BI84" s="1"/>
      <c r="BJ84" s="16">
        <f>AS84/'2019-20 disagg'!AS84-1</f>
        <v>3.0862384562100775E-2</v>
      </c>
      <c r="BK84" s="16">
        <f>AT84/'2019-20 disagg'!AT84-1</f>
        <v>3.4487980959826414E-2</v>
      </c>
      <c r="BL84" s="16">
        <f>AU84/'2019-20 disagg'!AU84-1</f>
        <v>4.3108512928196063E-2</v>
      </c>
      <c r="BM84" s="16">
        <f>AW84/'2019-20 disagg'!AW84-1</f>
        <v>3.3091676701271444E-2</v>
      </c>
    </row>
    <row r="85" spans="1:65" x14ac:dyDescent="0.2">
      <c r="A85" s="156" t="s">
        <v>215</v>
      </c>
      <c r="B85" s="156" t="s">
        <v>216</v>
      </c>
      <c r="D85" s="56">
        <f>VLOOKUP(A85,'2020-21'!$A$12:$AMX293,32,FALSE)</f>
        <v>401170</v>
      </c>
      <c r="E85" s="56">
        <v>1835.6239204452966</v>
      </c>
      <c r="F85" s="16">
        <f>VLOOKUP(A85,'2020-21'!$A$12:$AMX293,34,FALSE)</f>
        <v>3.8068819897634443E-2</v>
      </c>
      <c r="G85" s="16">
        <f>VLOOKUP(A85,'2020-21'!$A$12:$AMX293,35,FALSE)</f>
        <v>3.5967401338753424E-2</v>
      </c>
      <c r="H85" s="56"/>
      <c r="I85" s="56">
        <v>390454.89347601455</v>
      </c>
      <c r="J85" s="56">
        <v>1786.5950652329248</v>
      </c>
      <c r="K85" s="16">
        <f t="shared" si="23"/>
        <v>2.7442623214667616E-2</v>
      </c>
      <c r="L85" s="58">
        <f t="shared" si="23"/>
        <v>2.7442623214667616E-2</v>
      </c>
      <c r="M85" s="10"/>
      <c r="N85" s="56">
        <v>303145</v>
      </c>
      <c r="O85" s="56">
        <v>29285</v>
      </c>
      <c r="P85" s="56">
        <v>68740</v>
      </c>
      <c r="R85" s="56">
        <f t="shared" si="24"/>
        <v>68740</v>
      </c>
      <c r="S85" s="56">
        <f t="shared" si="25"/>
        <v>0</v>
      </c>
      <c r="U85" s="16">
        <v>2.2368516208901346E-2</v>
      </c>
      <c r="V85" s="16">
        <v>-1.6323540626546396E-2</v>
      </c>
      <c r="W85" s="56">
        <f t="shared" si="26"/>
        <v>3</v>
      </c>
      <c r="X85" s="56">
        <f t="shared" si="27"/>
        <v>2965.1245631478168</v>
      </c>
      <c r="Y85" s="56">
        <f t="shared" si="27"/>
        <v>297.70967599095434</v>
      </c>
      <c r="AA85" s="56">
        <f t="shared" si="39"/>
        <v>0</v>
      </c>
      <c r="AB85" s="56">
        <v>0</v>
      </c>
      <c r="AC85" s="56">
        <f t="shared" si="28"/>
        <v>0</v>
      </c>
      <c r="AE85" s="56">
        <v>0</v>
      </c>
      <c r="AF85" s="56">
        <f t="shared" si="29"/>
        <v>0</v>
      </c>
      <c r="AG85" s="56">
        <f t="shared" si="30"/>
        <v>0</v>
      </c>
      <c r="AI85" s="56">
        <f t="shared" si="31"/>
        <v>0</v>
      </c>
      <c r="AJ85" s="56">
        <f t="shared" si="32"/>
        <v>0</v>
      </c>
      <c r="AK85" s="56">
        <f t="shared" si="33"/>
        <v>0</v>
      </c>
      <c r="AM85" s="56">
        <f t="shared" si="34"/>
        <v>303145</v>
      </c>
      <c r="AN85" s="56">
        <f t="shared" si="35"/>
        <v>29285</v>
      </c>
      <c r="AO85" s="56">
        <f t="shared" si="36"/>
        <v>68740</v>
      </c>
      <c r="AP85" s="56"/>
      <c r="AQ85" s="56">
        <f t="shared" si="37"/>
        <v>401170</v>
      </c>
      <c r="AR85" s="1"/>
      <c r="AS85" s="56">
        <v>1387.0932855482449</v>
      </c>
      <c r="AT85" s="56">
        <v>133.99867016536757</v>
      </c>
      <c r="AU85" s="56">
        <v>314.53196473168401</v>
      </c>
      <c r="AV85" s="56"/>
      <c r="AW85" s="56">
        <v>1835.6239204452966</v>
      </c>
      <c r="AX85" s="1"/>
      <c r="AY85" s="16">
        <v>2.2368516208901346E-2</v>
      </c>
      <c r="AZ85" s="16">
        <v>-1.6323540626546396E-2</v>
      </c>
      <c r="BA85" s="16">
        <v>7.1192548168758307E-2</v>
      </c>
      <c r="BB85" s="16">
        <f t="shared" si="38"/>
        <v>2.7442623214667616E-2</v>
      </c>
      <c r="BC85" s="16"/>
      <c r="BD85" s="1"/>
      <c r="BE85" s="16">
        <f>AM85/'2019-20 disagg'!AM85-1</f>
        <v>3.6602254813791424E-2</v>
      </c>
      <c r="BF85" s="16">
        <f>AN85/'2019-20 disagg'!AN85-1</f>
        <v>3.6600474319493204E-2</v>
      </c>
      <c r="BG85" s="16">
        <f>AO85/'2019-20 disagg'!AO85-1</f>
        <v>4.5220934829547144E-2</v>
      </c>
      <c r="BH85" s="16">
        <f>AQ85/'2019-20 disagg'!AQ85-1</f>
        <v>3.8068819897634443E-2</v>
      </c>
      <c r="BI85" s="1"/>
      <c r="BJ85" s="16">
        <f>AS85/'2019-20 disagg'!AS85-1</f>
        <v>3.4503805101508966E-2</v>
      </c>
      <c r="BK85" s="16">
        <f>AT85/'2019-20 disagg'!AT85-1</f>
        <v>3.4502028211560898E-2</v>
      </c>
      <c r="BL85" s="16">
        <f>AU85/'2019-20 disagg'!AU85-1</f>
        <v>4.3105037859634932E-2</v>
      </c>
      <c r="BM85" s="16">
        <f>AW85/'2019-20 disagg'!AW85-1</f>
        <v>3.5967401338753424E-2</v>
      </c>
    </row>
    <row r="86" spans="1:65" x14ac:dyDescent="0.2">
      <c r="A86" s="156" t="s">
        <v>217</v>
      </c>
      <c r="B86" s="156" t="s">
        <v>218</v>
      </c>
      <c r="D86" s="56">
        <f>VLOOKUP(A86,'2020-21'!$A$12:$AMX294,32,FALSE)</f>
        <v>288348</v>
      </c>
      <c r="E86" s="56">
        <v>1619.5493679664216</v>
      </c>
      <c r="F86" s="16">
        <f>VLOOKUP(A86,'2020-21'!$A$12:$AMX294,34,FALSE)</f>
        <v>3.8575411146889005E-2</v>
      </c>
      <c r="G86" s="16">
        <f>VLOOKUP(A86,'2020-21'!$A$12:$AMX294,35,FALSE)</f>
        <v>3.4072248171480357E-2</v>
      </c>
      <c r="H86" s="56"/>
      <c r="I86" s="56">
        <v>291252.34672925953</v>
      </c>
      <c r="J86" s="56">
        <v>1635.8620627301366</v>
      </c>
      <c r="K86" s="16">
        <f t="shared" si="23"/>
        <v>-9.9719255891844716E-3</v>
      </c>
      <c r="L86" s="58">
        <f t="shared" si="23"/>
        <v>-9.9719255891845826E-3</v>
      </c>
      <c r="M86" s="10"/>
      <c r="N86" s="56">
        <v>217432</v>
      </c>
      <c r="O86" s="56">
        <v>24202</v>
      </c>
      <c r="P86" s="56">
        <v>46714</v>
      </c>
      <c r="R86" s="56">
        <f t="shared" si="24"/>
        <v>46714</v>
      </c>
      <c r="S86" s="56">
        <f t="shared" si="25"/>
        <v>0</v>
      </c>
      <c r="U86" s="16">
        <v>-1.1189228956065E-2</v>
      </c>
      <c r="V86" s="16">
        <v>1.255826520369574E-2</v>
      </c>
      <c r="W86" s="56">
        <f t="shared" si="26"/>
        <v>1</v>
      </c>
      <c r="X86" s="56">
        <f t="shared" si="27"/>
        <v>2198.9242670814215</v>
      </c>
      <c r="Y86" s="56">
        <f t="shared" si="27"/>
        <v>239.01834424443018</v>
      </c>
      <c r="AA86" s="56">
        <f t="shared" si="39"/>
        <v>0</v>
      </c>
      <c r="AB86" s="56">
        <v>0</v>
      </c>
      <c r="AC86" s="56">
        <f t="shared" si="28"/>
        <v>0</v>
      </c>
      <c r="AE86" s="56">
        <v>0</v>
      </c>
      <c r="AF86" s="56">
        <f t="shared" si="29"/>
        <v>0</v>
      </c>
      <c r="AG86" s="56">
        <f t="shared" si="30"/>
        <v>0</v>
      </c>
      <c r="AI86" s="56">
        <f t="shared" si="31"/>
        <v>0</v>
      </c>
      <c r="AJ86" s="56">
        <f t="shared" si="32"/>
        <v>0</v>
      </c>
      <c r="AK86" s="56">
        <f t="shared" si="33"/>
        <v>0</v>
      </c>
      <c r="AM86" s="56">
        <f t="shared" si="34"/>
        <v>217432</v>
      </c>
      <c r="AN86" s="56">
        <f t="shared" si="35"/>
        <v>24202</v>
      </c>
      <c r="AO86" s="56">
        <f t="shared" si="36"/>
        <v>46714</v>
      </c>
      <c r="AP86" s="56"/>
      <c r="AQ86" s="56">
        <f t="shared" si="37"/>
        <v>288348</v>
      </c>
      <c r="AR86" s="1"/>
      <c r="AS86" s="56">
        <v>1221.239121393854</v>
      </c>
      <c r="AT86" s="56">
        <v>135.93412752480799</v>
      </c>
      <c r="AU86" s="56">
        <v>262.37611904775974</v>
      </c>
      <c r="AV86" s="56"/>
      <c r="AW86" s="56">
        <v>1619.5493679664216</v>
      </c>
      <c r="AX86" s="1"/>
      <c r="AY86" s="16">
        <v>-1.1189228956065E-2</v>
      </c>
      <c r="AZ86" s="16">
        <v>1.255826520369574E-2</v>
      </c>
      <c r="BA86" s="16">
        <v>-1.56787950318521E-2</v>
      </c>
      <c r="BB86" s="16">
        <f t="shared" si="38"/>
        <v>-9.9719255891844716E-3</v>
      </c>
      <c r="BC86" s="16"/>
      <c r="BD86" s="1"/>
      <c r="BE86" s="16">
        <f>AM86/'2019-20 disagg'!AM86-1</f>
        <v>3.6599842673595395E-2</v>
      </c>
      <c r="BF86" s="16">
        <f>AN86/'2019-20 disagg'!AN86-1</f>
        <v>3.9024599665135495E-2</v>
      </c>
      <c r="BG86" s="16">
        <f>AO86/'2019-20 disagg'!AO86-1</f>
        <v>4.7633998654406762E-2</v>
      </c>
      <c r="BH86" s="16">
        <f>AQ86/'2019-20 disagg'!AQ86-1</f>
        <v>3.8575411146889005E-2</v>
      </c>
      <c r="BI86" s="1"/>
      <c r="BJ86" s="16">
        <f>AS86/'2019-20 disagg'!AS86-1</f>
        <v>3.2105245572854102E-2</v>
      </c>
      <c r="BK86" s="16">
        <f>AT86/'2019-20 disagg'!AT86-1</f>
        <v>3.4519489051565211E-2</v>
      </c>
      <c r="BL86" s="16">
        <f>AU86/'2019-20 disagg'!AU86-1</f>
        <v>4.3091558515842232E-2</v>
      </c>
      <c r="BM86" s="16">
        <f>AW86/'2019-20 disagg'!AW86-1</f>
        <v>3.4072248171480357E-2</v>
      </c>
    </row>
    <row r="87" spans="1:65" x14ac:dyDescent="0.2">
      <c r="A87" s="156" t="s">
        <v>219</v>
      </c>
      <c r="B87" s="156" t="s">
        <v>220</v>
      </c>
      <c r="D87" s="56">
        <f>VLOOKUP(A87,'2020-21'!$A$12:$AMX295,32,FALSE)</f>
        <v>1026705.9896899312</v>
      </c>
      <c r="E87" s="56">
        <v>1751.6860673519902</v>
      </c>
      <c r="F87" s="16">
        <f>VLOOKUP(A87,'2020-21'!$A$12:$AMX295,34,FALSE)</f>
        <v>4.3509625184273482E-2</v>
      </c>
      <c r="G87" s="16">
        <f>VLOOKUP(A87,'2020-21'!$A$12:$AMX295,35,FALSE)</f>
        <v>3.5526983706172466E-2</v>
      </c>
      <c r="H87" s="56"/>
      <c r="I87" s="56">
        <v>1047151.427238811</v>
      </c>
      <c r="J87" s="56">
        <v>1786.5684859362084</v>
      </c>
      <c r="K87" s="16">
        <f t="shared" si="23"/>
        <v>-1.952481467058842E-2</v>
      </c>
      <c r="L87" s="58">
        <f t="shared" si="23"/>
        <v>-1.952481467058842E-2</v>
      </c>
      <c r="M87" s="10"/>
      <c r="N87" s="56">
        <v>738327</v>
      </c>
      <c r="O87" s="56">
        <v>87056</v>
      </c>
      <c r="P87" s="56">
        <v>197751</v>
      </c>
      <c r="R87" s="56">
        <f t="shared" si="24"/>
        <v>197751</v>
      </c>
      <c r="S87" s="56">
        <f t="shared" si="25"/>
        <v>3571.989689931157</v>
      </c>
      <c r="U87" s="16">
        <v>-3.7285618212590799E-2</v>
      </c>
      <c r="V87" s="16">
        <v>-2.2438224282853914E-2</v>
      </c>
      <c r="W87" s="56">
        <f t="shared" si="26"/>
        <v>4</v>
      </c>
      <c r="X87" s="56">
        <f t="shared" si="27"/>
        <v>7669.2216712208683</v>
      </c>
      <c r="Y87" s="56">
        <f t="shared" si="27"/>
        <v>890.54218528680826</v>
      </c>
      <c r="AA87" s="56">
        <f t="shared" si="39"/>
        <v>0</v>
      </c>
      <c r="AB87" s="56">
        <v>0</v>
      </c>
      <c r="AC87" s="56">
        <f t="shared" si="28"/>
        <v>3571.989689931157</v>
      </c>
      <c r="AE87" s="56">
        <v>0</v>
      </c>
      <c r="AF87" s="56">
        <f t="shared" si="29"/>
        <v>0</v>
      </c>
      <c r="AG87" s="56">
        <f t="shared" si="30"/>
        <v>3571.989689931157</v>
      </c>
      <c r="AI87" s="56">
        <f t="shared" si="31"/>
        <v>3200.3664118106008</v>
      </c>
      <c r="AJ87" s="56">
        <f t="shared" si="32"/>
        <v>371.62327812055673</v>
      </c>
      <c r="AK87" s="56">
        <f t="shared" si="33"/>
        <v>0</v>
      </c>
      <c r="AM87" s="56">
        <f t="shared" si="34"/>
        <v>741527</v>
      </c>
      <c r="AN87" s="56">
        <f t="shared" si="35"/>
        <v>87428</v>
      </c>
      <c r="AO87" s="56">
        <f t="shared" si="36"/>
        <v>197751</v>
      </c>
      <c r="AP87" s="56"/>
      <c r="AQ87" s="56">
        <f t="shared" si="37"/>
        <v>1026706</v>
      </c>
      <c r="AR87" s="1"/>
      <c r="AS87" s="56">
        <v>1265.1358105523457</v>
      </c>
      <c r="AT87" s="56">
        <v>149.16286749500756</v>
      </c>
      <c r="AU87" s="56">
        <v>337.38740689487622</v>
      </c>
      <c r="AV87" s="56"/>
      <c r="AW87" s="56">
        <v>1751.6860849422294</v>
      </c>
      <c r="AX87" s="1"/>
      <c r="AY87" s="16">
        <v>-3.3113095710068596E-2</v>
      </c>
      <c r="AZ87" s="16">
        <v>-1.8260993758056343E-2</v>
      </c>
      <c r="BA87" s="16">
        <v>3.4397578038073195E-2</v>
      </c>
      <c r="BB87" s="16">
        <f t="shared" si="38"/>
        <v>-1.9524804824764153E-2</v>
      </c>
      <c r="BC87" s="16"/>
      <c r="BD87" s="1"/>
      <c r="BE87" s="16">
        <f>AM87/'2019-20 disagg'!AM87-1</f>
        <v>4.109325553380927E-2</v>
      </c>
      <c r="BF87" s="16">
        <f>AN87/'2019-20 disagg'!AN87-1</f>
        <v>4.6929073513034547E-2</v>
      </c>
      <c r="BG87" s="16">
        <f>AO87/'2019-20 disagg'!AO87-1</f>
        <v>5.1140169032052318E-2</v>
      </c>
      <c r="BH87" s="16">
        <f>AQ87/'2019-20 disagg'!AQ87-1</f>
        <v>4.3509635663082635E-2</v>
      </c>
      <c r="BI87" s="1"/>
      <c r="BJ87" s="16">
        <f>AS87/'2019-20 disagg'!AS87-1</f>
        <v>3.3129098803843737E-2</v>
      </c>
      <c r="BK87" s="16">
        <f>AT87/'2019-20 disagg'!AT87-1</f>
        <v>3.8920273934037519E-2</v>
      </c>
      <c r="BL87" s="16">
        <f>AU87/'2019-20 disagg'!AU87-1</f>
        <v>4.3099155408309553E-2</v>
      </c>
      <c r="BM87" s="16">
        <f>AW87/'2019-20 disagg'!AW87-1</f>
        <v>3.5526994104820853E-2</v>
      </c>
    </row>
    <row r="88" spans="1:65" x14ac:dyDescent="0.2">
      <c r="A88" s="156" t="s">
        <v>221</v>
      </c>
      <c r="B88" s="156" t="s">
        <v>222</v>
      </c>
      <c r="D88" s="56">
        <f>VLOOKUP(A88,'2020-21'!$A$12:$AMX296,32,FALSE)</f>
        <v>549488</v>
      </c>
      <c r="E88" s="56">
        <v>1769.9940299612731</v>
      </c>
      <c r="F88" s="16">
        <f>VLOOKUP(A88,'2020-21'!$A$12:$AMX296,34,FALSE)</f>
        <v>3.7739020405850754E-2</v>
      </c>
      <c r="G88" s="16">
        <f>VLOOKUP(A88,'2020-21'!$A$12:$AMX296,35,FALSE)</f>
        <v>3.3073432638202949E-2</v>
      </c>
      <c r="H88" s="56"/>
      <c r="I88" s="56">
        <v>558376.13933830836</v>
      </c>
      <c r="J88" s="56">
        <v>1798.6242340171757</v>
      </c>
      <c r="K88" s="16">
        <f t="shared" si="23"/>
        <v>-1.5917835151124216E-2</v>
      </c>
      <c r="L88" s="58">
        <f t="shared" si="23"/>
        <v>-1.5917835151124327E-2</v>
      </c>
      <c r="M88" s="10"/>
      <c r="N88" s="56">
        <v>414833</v>
      </c>
      <c r="O88" s="56">
        <v>45205</v>
      </c>
      <c r="P88" s="56">
        <v>89450</v>
      </c>
      <c r="R88" s="56">
        <f t="shared" si="24"/>
        <v>89450</v>
      </c>
      <c r="S88" s="56">
        <f t="shared" si="25"/>
        <v>0</v>
      </c>
      <c r="U88" s="16">
        <v>-1.7850390536281346E-2</v>
      </c>
      <c r="V88" s="16">
        <v>5.5472854821401629E-2</v>
      </c>
      <c r="W88" s="56">
        <f t="shared" si="26"/>
        <v>1</v>
      </c>
      <c r="X88" s="56">
        <f t="shared" si="27"/>
        <v>4223.7251433262854</v>
      </c>
      <c r="Y88" s="56">
        <f t="shared" si="27"/>
        <v>428.29145054279218</v>
      </c>
      <c r="AA88" s="56">
        <f t="shared" si="39"/>
        <v>0</v>
      </c>
      <c r="AB88" s="56">
        <v>0</v>
      </c>
      <c r="AC88" s="56">
        <f t="shared" si="28"/>
        <v>0</v>
      </c>
      <c r="AE88" s="56">
        <v>0</v>
      </c>
      <c r="AF88" s="56">
        <f t="shared" si="29"/>
        <v>0</v>
      </c>
      <c r="AG88" s="56">
        <f t="shared" si="30"/>
        <v>0</v>
      </c>
      <c r="AI88" s="56">
        <f t="shared" si="31"/>
        <v>0</v>
      </c>
      <c r="AJ88" s="56">
        <f t="shared" si="32"/>
        <v>0</v>
      </c>
      <c r="AK88" s="56">
        <f t="shared" si="33"/>
        <v>0</v>
      </c>
      <c r="AM88" s="56">
        <f t="shared" si="34"/>
        <v>414833</v>
      </c>
      <c r="AN88" s="56">
        <f t="shared" si="35"/>
        <v>45205</v>
      </c>
      <c r="AO88" s="56">
        <f t="shared" si="36"/>
        <v>89450</v>
      </c>
      <c r="AP88" s="56"/>
      <c r="AQ88" s="56">
        <f t="shared" si="37"/>
        <v>549488</v>
      </c>
      <c r="AR88" s="1"/>
      <c r="AS88" s="56">
        <v>1336.2474402187579</v>
      </c>
      <c r="AT88" s="56">
        <v>145.61297084631394</v>
      </c>
      <c r="AU88" s="56">
        <v>288.13361889620137</v>
      </c>
      <c r="AV88" s="56"/>
      <c r="AW88" s="56">
        <v>1769.9940299612731</v>
      </c>
      <c r="AX88" s="1"/>
      <c r="AY88" s="16">
        <v>-1.7850390536281346E-2</v>
      </c>
      <c r="AZ88" s="16">
        <v>5.5472854821401629E-2</v>
      </c>
      <c r="BA88" s="16">
        <v>-3.9973176704000135E-2</v>
      </c>
      <c r="BB88" s="16">
        <f t="shared" si="38"/>
        <v>-1.5917835151124216E-2</v>
      </c>
      <c r="BC88" s="16"/>
      <c r="BD88" s="1"/>
      <c r="BE88" s="16">
        <f>AM88/'2019-20 disagg'!AM88-1</f>
        <v>3.6600480776438848E-2</v>
      </c>
      <c r="BF88" s="16">
        <f>AN88/'2019-20 disagg'!AN88-1</f>
        <v>2.8531774021068879E-2</v>
      </c>
      <c r="BG88" s="16">
        <f>AO88/'2019-20 disagg'!AO88-1</f>
        <v>4.7816512041982895E-2</v>
      </c>
      <c r="BH88" s="16">
        <f>AQ88/'2019-20 disagg'!AQ88-1</f>
        <v>3.7739020405850754E-2</v>
      </c>
      <c r="BI88" s="1"/>
      <c r="BJ88" s="16">
        <f>AS88/'2019-20 disagg'!AS88-1</f>
        <v>3.1940011787658928E-2</v>
      </c>
      <c r="BK88" s="16">
        <f>AT88/'2019-20 disagg'!AT88-1</f>
        <v>2.390758126243786E-2</v>
      </c>
      <c r="BL88" s="16">
        <f>AU88/'2019-20 disagg'!AU88-1</f>
        <v>4.3105616715515938E-2</v>
      </c>
      <c r="BM88" s="16">
        <f>AW88/'2019-20 disagg'!AW88-1</f>
        <v>3.3073432638202949E-2</v>
      </c>
    </row>
    <row r="89" spans="1:65" x14ac:dyDescent="0.2">
      <c r="A89" s="156" t="s">
        <v>223</v>
      </c>
      <c r="B89" s="156" t="s">
        <v>224</v>
      </c>
      <c r="D89" s="56">
        <f>VLOOKUP(A89,'2020-21'!$A$12:$AMX297,32,FALSE)</f>
        <v>428727.6029852918</v>
      </c>
      <c r="E89" s="56">
        <v>1715.4056621953146</v>
      </c>
      <c r="F89" s="16">
        <f>VLOOKUP(A89,'2020-21'!$A$12:$AMX297,34,FALSE)</f>
        <v>4.1979324556249864E-2</v>
      </c>
      <c r="G89" s="16">
        <f>VLOOKUP(A89,'2020-21'!$A$12:$AMX297,35,FALSE)</f>
        <v>3.5953716601031305E-2</v>
      </c>
      <c r="H89" s="56"/>
      <c r="I89" s="56">
        <v>437322.4324267155</v>
      </c>
      <c r="J89" s="56">
        <v>1749.7949083897731</v>
      </c>
      <c r="K89" s="16">
        <f t="shared" si="23"/>
        <v>-1.9653301098072506E-2</v>
      </c>
      <c r="L89" s="58">
        <f t="shared" si="23"/>
        <v>-1.9653301098072617E-2</v>
      </c>
      <c r="M89" s="10"/>
      <c r="N89" s="56">
        <v>321680</v>
      </c>
      <c r="O89" s="56">
        <v>33914</v>
      </c>
      <c r="P89" s="56">
        <v>71910</v>
      </c>
      <c r="R89" s="56">
        <f t="shared" si="24"/>
        <v>71910</v>
      </c>
      <c r="S89" s="56">
        <f t="shared" si="25"/>
        <v>1223.6029852918</v>
      </c>
      <c r="U89" s="16">
        <v>-3.2423416476364708E-2</v>
      </c>
      <c r="V89" s="16">
        <v>-4.6034497657105655E-2</v>
      </c>
      <c r="W89" s="56">
        <f t="shared" si="26"/>
        <v>4</v>
      </c>
      <c r="X89" s="56">
        <f t="shared" si="27"/>
        <v>3324.5947191956016</v>
      </c>
      <c r="Y89" s="56">
        <f t="shared" si="27"/>
        <v>355.50551793234467</v>
      </c>
      <c r="AA89" s="56">
        <f t="shared" si="39"/>
        <v>0</v>
      </c>
      <c r="AB89" s="56">
        <v>0</v>
      </c>
      <c r="AC89" s="56">
        <f t="shared" si="28"/>
        <v>1223.6029852918</v>
      </c>
      <c r="AE89" s="56">
        <v>0</v>
      </c>
      <c r="AF89" s="56">
        <f t="shared" si="29"/>
        <v>0</v>
      </c>
      <c r="AG89" s="56">
        <f t="shared" si="30"/>
        <v>1223.6029852918</v>
      </c>
      <c r="AI89" s="56">
        <f t="shared" si="31"/>
        <v>1105.4003318311406</v>
      </c>
      <c r="AJ89" s="56">
        <f t="shared" si="32"/>
        <v>118.20265346065921</v>
      </c>
      <c r="AK89" s="56">
        <f t="shared" si="33"/>
        <v>0</v>
      </c>
      <c r="AM89" s="56">
        <f t="shared" si="34"/>
        <v>322785</v>
      </c>
      <c r="AN89" s="56">
        <f t="shared" si="35"/>
        <v>34032</v>
      </c>
      <c r="AO89" s="56">
        <f t="shared" si="36"/>
        <v>71910</v>
      </c>
      <c r="AP89" s="56"/>
      <c r="AQ89" s="56">
        <f t="shared" si="37"/>
        <v>428727</v>
      </c>
      <c r="AR89" s="1"/>
      <c r="AS89" s="56">
        <v>1291.5128692815015</v>
      </c>
      <c r="AT89" s="56">
        <v>136.16731250643016</v>
      </c>
      <c r="AU89" s="56">
        <v>287.72306776966951</v>
      </c>
      <c r="AV89" s="56"/>
      <c r="AW89" s="56">
        <v>1715.4032495576012</v>
      </c>
      <c r="AX89" s="1"/>
      <c r="AY89" s="16">
        <v>-2.9099703081706618E-2</v>
      </c>
      <c r="AZ89" s="16">
        <v>-4.2715280540974843E-2</v>
      </c>
      <c r="BA89" s="16">
        <v>3.7476569264825121E-2</v>
      </c>
      <c r="BB89" s="16">
        <f t="shared" si="38"/>
        <v>-1.9654679909784645E-2</v>
      </c>
      <c r="BC89" s="16"/>
      <c r="BD89" s="1"/>
      <c r="BE89" s="16">
        <f>AM89/'2019-20 disagg'!AM89-1</f>
        <v>4.016150965771037E-2</v>
      </c>
      <c r="BF89" s="16">
        <f>AN89/'2019-20 disagg'!AN89-1</f>
        <v>4.4150584481330357E-2</v>
      </c>
      <c r="BG89" s="16">
        <f>AO89/'2019-20 disagg'!AO89-1</f>
        <v>4.9168368835716292E-2</v>
      </c>
      <c r="BH89" s="16">
        <f>AQ89/'2019-20 disagg'!AQ89-1</f>
        <v>4.1977859061136602E-2</v>
      </c>
      <c r="BI89" s="1"/>
      <c r="BJ89" s="16">
        <f>AS89/'2019-20 disagg'!AS89-1</f>
        <v>3.4146413849571733E-2</v>
      </c>
      <c r="BK89" s="16">
        <f>AT89/'2019-20 disagg'!AT89-1</f>
        <v>3.811242046020058E-2</v>
      </c>
      <c r="BL89" s="16">
        <f>AU89/'2019-20 disagg'!AU89-1</f>
        <v>4.3101187730839374E-2</v>
      </c>
      <c r="BM89" s="16">
        <f>AW89/'2019-20 disagg'!AW89-1</f>
        <v>3.5952259580653623E-2</v>
      </c>
    </row>
    <row r="90" spans="1:65" x14ac:dyDescent="0.2">
      <c r="A90" s="156" t="s">
        <v>225</v>
      </c>
      <c r="B90" s="156" t="s">
        <v>226</v>
      </c>
      <c r="D90" s="56">
        <f>VLOOKUP(A90,'2020-21'!$A$12:$AMX298,32,FALSE)</f>
        <v>363987.81306458102</v>
      </c>
      <c r="E90" s="56">
        <v>1645.3946120539081</v>
      </c>
      <c r="F90" s="16">
        <f>VLOOKUP(A90,'2020-21'!$A$12:$AMX298,34,FALSE)</f>
        <v>4.1757002228349993E-2</v>
      </c>
      <c r="G90" s="16">
        <f>VLOOKUP(A90,'2020-21'!$A$12:$AMX298,35,FALSE)</f>
        <v>3.7287475221582822E-2</v>
      </c>
      <c r="H90" s="56"/>
      <c r="I90" s="56">
        <v>371789.31147381885</v>
      </c>
      <c r="J90" s="56">
        <v>1680.661022048326</v>
      </c>
      <c r="K90" s="16">
        <f t="shared" si="23"/>
        <v>-2.0983654366801829E-2</v>
      </c>
      <c r="L90" s="58">
        <f t="shared" si="23"/>
        <v>-2.0983654366801829E-2</v>
      </c>
      <c r="M90" s="10"/>
      <c r="N90" s="56">
        <v>273809</v>
      </c>
      <c r="O90" s="56">
        <v>28680</v>
      </c>
      <c r="P90" s="56">
        <v>60396</v>
      </c>
      <c r="R90" s="56">
        <f t="shared" si="24"/>
        <v>60396</v>
      </c>
      <c r="S90" s="56">
        <f t="shared" si="25"/>
        <v>1102.8130645810161</v>
      </c>
      <c r="U90" s="16">
        <v>-2.5160021851008185E-2</v>
      </c>
      <c r="V90" s="16">
        <v>-2.0445656862474348E-2</v>
      </c>
      <c r="W90" s="56">
        <f t="shared" si="26"/>
        <v>4</v>
      </c>
      <c r="X90" s="56">
        <f t="shared" si="27"/>
        <v>2808.7584233045454</v>
      </c>
      <c r="Y90" s="56">
        <f t="shared" si="27"/>
        <v>292.78620630824395</v>
      </c>
      <c r="AA90" s="56">
        <f t="shared" si="39"/>
        <v>0</v>
      </c>
      <c r="AB90" s="56">
        <v>0</v>
      </c>
      <c r="AC90" s="56">
        <f t="shared" si="28"/>
        <v>1102.8130645810161</v>
      </c>
      <c r="AE90" s="56">
        <v>0</v>
      </c>
      <c r="AF90" s="56">
        <f t="shared" si="29"/>
        <v>0</v>
      </c>
      <c r="AG90" s="56">
        <f t="shared" si="30"/>
        <v>1102.8130645810161</v>
      </c>
      <c r="AI90" s="56">
        <f t="shared" si="31"/>
        <v>998.70737144896054</v>
      </c>
      <c r="AJ90" s="56">
        <f t="shared" si="32"/>
        <v>104.10569313205561</v>
      </c>
      <c r="AK90" s="56">
        <f t="shared" si="33"/>
        <v>0</v>
      </c>
      <c r="AM90" s="56">
        <f t="shared" si="34"/>
        <v>274808</v>
      </c>
      <c r="AN90" s="56">
        <f t="shared" si="35"/>
        <v>28784</v>
      </c>
      <c r="AO90" s="56">
        <f t="shared" si="36"/>
        <v>60396</v>
      </c>
      <c r="AP90" s="56"/>
      <c r="AQ90" s="56">
        <f t="shared" si="37"/>
        <v>363988</v>
      </c>
      <c r="AR90" s="1"/>
      <c r="AS90" s="56">
        <v>1242.260279931636</v>
      </c>
      <c r="AT90" s="56">
        <v>130.1170995660687</v>
      </c>
      <c r="AU90" s="56">
        <v>273.01807759144958</v>
      </c>
      <c r="AV90" s="56"/>
      <c r="AW90" s="56">
        <v>1645.3954570891542</v>
      </c>
      <c r="AX90" s="1"/>
      <c r="AY90" s="16">
        <v>-2.160329019437579E-2</v>
      </c>
      <c r="AZ90" s="16">
        <v>-1.6893576957094147E-2</v>
      </c>
      <c r="BA90" s="16">
        <v>-2.0099806236853701E-2</v>
      </c>
      <c r="BB90" s="16">
        <f t="shared" si="38"/>
        <v>-2.0983151567465663E-2</v>
      </c>
      <c r="BC90" s="16"/>
      <c r="BD90" s="1"/>
      <c r="BE90" s="16">
        <f>AM90/'2019-20 disagg'!AM90-1</f>
        <v>4.0383734444860986E-2</v>
      </c>
      <c r="BF90" s="16">
        <f>AN90/'2019-20 disagg'!AN90-1</f>
        <v>4.2709654048179724E-2</v>
      </c>
      <c r="BG90" s="16">
        <f>AO90/'2019-20 disagg'!AO90-1</f>
        <v>4.7595920349684295E-2</v>
      </c>
      <c r="BH90" s="16">
        <f>AQ90/'2019-20 disagg'!AQ90-1</f>
        <v>4.1757537249783816E-2</v>
      </c>
      <c r="BI90" s="1"/>
      <c r="BJ90" s="16">
        <f>AS90/'2019-20 disagg'!AS90-1</f>
        <v>3.5920099270289496E-2</v>
      </c>
      <c r="BK90" s="16">
        <f>AT90/'2019-20 disagg'!AT90-1</f>
        <v>3.8236039808950961E-2</v>
      </c>
      <c r="BL90" s="16">
        <f>AU90/'2019-20 disagg'!AU90-1</f>
        <v>4.3101342201261605E-2</v>
      </c>
      <c r="BM90" s="16">
        <f>AW90/'2019-20 disagg'!AW90-1</f>
        <v>3.7288007947574808E-2</v>
      </c>
    </row>
    <row r="91" spans="1:65" x14ac:dyDescent="0.2">
      <c r="A91" s="156" t="s">
        <v>227</v>
      </c>
      <c r="B91" s="156" t="s">
        <v>228</v>
      </c>
      <c r="D91" s="56">
        <f>VLOOKUP(A91,'2020-21'!$A$12:$AMX299,32,FALSE)</f>
        <v>468792</v>
      </c>
      <c r="E91" s="56">
        <v>1643.6985199591936</v>
      </c>
      <c r="F91" s="16">
        <f>VLOOKUP(A91,'2020-21'!$A$12:$AMX299,34,FALSE)</f>
        <v>3.8973242879653869E-2</v>
      </c>
      <c r="G91" s="16">
        <f>VLOOKUP(A91,'2020-21'!$A$12:$AMX299,35,FALSE)</f>
        <v>3.3009739223301748E-2</v>
      </c>
      <c r="H91" s="56"/>
      <c r="I91" s="56">
        <v>470430.03365609777</v>
      </c>
      <c r="J91" s="56">
        <v>1649.4418634807794</v>
      </c>
      <c r="K91" s="16">
        <f t="shared" si="23"/>
        <v>-3.4819920900187595E-3</v>
      </c>
      <c r="L91" s="58">
        <f t="shared" si="23"/>
        <v>-3.4819920900186485E-3</v>
      </c>
      <c r="M91" s="10"/>
      <c r="N91" s="56">
        <v>352259</v>
      </c>
      <c r="O91" s="56">
        <v>38995</v>
      </c>
      <c r="P91" s="56">
        <v>77538</v>
      </c>
      <c r="R91" s="56">
        <f t="shared" si="24"/>
        <v>77538</v>
      </c>
      <c r="S91" s="56">
        <f t="shared" si="25"/>
        <v>0</v>
      </c>
      <c r="U91" s="16">
        <v>-2.7316831647921869E-2</v>
      </c>
      <c r="V91" s="16">
        <v>3.3884075322856422E-2</v>
      </c>
      <c r="W91" s="56">
        <f t="shared" si="26"/>
        <v>1</v>
      </c>
      <c r="X91" s="56">
        <f t="shared" si="27"/>
        <v>3621.5184086797549</v>
      </c>
      <c r="Y91" s="56">
        <f t="shared" si="27"/>
        <v>377.16994516839645</v>
      </c>
      <c r="AA91" s="56">
        <f t="shared" si="39"/>
        <v>0</v>
      </c>
      <c r="AB91" s="56">
        <v>0</v>
      </c>
      <c r="AC91" s="56">
        <f t="shared" si="28"/>
        <v>0</v>
      </c>
      <c r="AE91" s="56">
        <v>0</v>
      </c>
      <c r="AF91" s="56">
        <f t="shared" si="29"/>
        <v>0</v>
      </c>
      <c r="AG91" s="56">
        <f t="shared" si="30"/>
        <v>0</v>
      </c>
      <c r="AI91" s="56">
        <f t="shared" si="31"/>
        <v>0</v>
      </c>
      <c r="AJ91" s="56">
        <f t="shared" si="32"/>
        <v>0</v>
      </c>
      <c r="AK91" s="56">
        <f t="shared" si="33"/>
        <v>0</v>
      </c>
      <c r="AM91" s="56">
        <f t="shared" si="34"/>
        <v>352259</v>
      </c>
      <c r="AN91" s="56">
        <f t="shared" si="35"/>
        <v>38995</v>
      </c>
      <c r="AO91" s="56">
        <f t="shared" si="36"/>
        <v>77538</v>
      </c>
      <c r="AP91" s="56"/>
      <c r="AQ91" s="56">
        <f t="shared" si="37"/>
        <v>468792</v>
      </c>
      <c r="AR91" s="1"/>
      <c r="AS91" s="56">
        <v>1235.1055413537465</v>
      </c>
      <c r="AT91" s="56">
        <v>136.72593343275642</v>
      </c>
      <c r="AU91" s="56">
        <v>271.86704517269055</v>
      </c>
      <c r="AV91" s="56"/>
      <c r="AW91" s="56">
        <v>1643.6985199591936</v>
      </c>
      <c r="AX91" s="1"/>
      <c r="AY91" s="16">
        <v>-2.7316831647921869E-2</v>
      </c>
      <c r="AZ91" s="16">
        <v>3.3884075322856422E-2</v>
      </c>
      <c r="BA91" s="16">
        <v>9.8875896379962969E-2</v>
      </c>
      <c r="BB91" s="16">
        <f t="shared" si="38"/>
        <v>-3.4819920900187595E-3</v>
      </c>
      <c r="BC91" s="16"/>
      <c r="BD91" s="1"/>
      <c r="BE91" s="16">
        <f>AM91/'2019-20 disagg'!AM91-1</f>
        <v>3.6601622618966934E-2</v>
      </c>
      <c r="BF91" s="16">
        <f>AN91/'2019-20 disagg'!AN91-1</f>
        <v>4.0477079886866996E-2</v>
      </c>
      <c r="BG91" s="16">
        <f>AO91/'2019-20 disagg'!AO91-1</f>
        <v>4.9115116090274302E-2</v>
      </c>
      <c r="BH91" s="16">
        <f>AQ91/'2019-20 disagg'!AQ91-1</f>
        <v>3.8973242879653869E-2</v>
      </c>
      <c r="BI91" s="1"/>
      <c r="BJ91" s="16">
        <f>AS91/'2019-20 disagg'!AS91-1</f>
        <v>3.065173160008472E-2</v>
      </c>
      <c r="BK91" s="16">
        <f>AT91/'2019-20 disagg'!AT91-1</f>
        <v>3.45049444995702E-2</v>
      </c>
      <c r="BL91" s="16">
        <f>AU91/'2019-20 disagg'!AU91-1</f>
        <v>4.3093400060900899E-2</v>
      </c>
      <c r="BM91" s="16">
        <f>AW91/'2019-20 disagg'!AW91-1</f>
        <v>3.3009739223301748E-2</v>
      </c>
    </row>
    <row r="92" spans="1:65" x14ac:dyDescent="0.2">
      <c r="A92" s="156" t="s">
        <v>229</v>
      </c>
      <c r="B92" s="156" t="s">
        <v>230</v>
      </c>
      <c r="D92" s="56">
        <f>VLOOKUP(A92,'2020-21'!$A$12:$AMX300,32,FALSE)</f>
        <v>499295.47055238852</v>
      </c>
      <c r="E92" s="56">
        <v>1623.074517578101</v>
      </c>
      <c r="F92" s="16">
        <f>VLOOKUP(A92,'2020-21'!$A$12:$AMX300,34,FALSE)</f>
        <v>3.9525371170738399E-2</v>
      </c>
      <c r="G92" s="16">
        <f>VLOOKUP(A92,'2020-21'!$A$12:$AMX300,35,FALSE)</f>
        <v>3.4939342102452864E-2</v>
      </c>
      <c r="H92" s="56"/>
      <c r="I92" s="56">
        <v>508864.26087188179</v>
      </c>
      <c r="J92" s="56">
        <v>1654.1800665918645</v>
      </c>
      <c r="K92" s="16">
        <f t="shared" si="23"/>
        <v>-1.880420979673092E-2</v>
      </c>
      <c r="L92" s="58">
        <f t="shared" si="23"/>
        <v>-1.8804209796730809E-2</v>
      </c>
      <c r="M92" s="10"/>
      <c r="N92" s="56">
        <v>371369</v>
      </c>
      <c r="O92" s="56">
        <v>46639</v>
      </c>
      <c r="P92" s="56">
        <v>79498</v>
      </c>
      <c r="R92" s="56">
        <f t="shared" si="24"/>
        <v>79498</v>
      </c>
      <c r="S92" s="56">
        <f t="shared" si="25"/>
        <v>1789.4705523885204</v>
      </c>
      <c r="U92" s="16">
        <v>-2.6974103376098624E-2</v>
      </c>
      <c r="V92" s="16">
        <v>0.11242468278446527</v>
      </c>
      <c r="W92" s="56">
        <f t="shared" si="26"/>
        <v>1</v>
      </c>
      <c r="X92" s="56">
        <f t="shared" si="27"/>
        <v>3816.6404541599095</v>
      </c>
      <c r="Y92" s="56">
        <f t="shared" si="27"/>
        <v>419.25535024321653</v>
      </c>
      <c r="AA92" s="56">
        <f t="shared" si="39"/>
        <v>1789.4705523885204</v>
      </c>
      <c r="AB92" s="56">
        <v>0</v>
      </c>
      <c r="AC92" s="56">
        <f t="shared" si="28"/>
        <v>0</v>
      </c>
      <c r="AE92" s="56">
        <v>0</v>
      </c>
      <c r="AF92" s="56">
        <f t="shared" si="29"/>
        <v>0</v>
      </c>
      <c r="AG92" s="56">
        <f t="shared" si="30"/>
        <v>0</v>
      </c>
      <c r="AI92" s="56">
        <f t="shared" si="31"/>
        <v>0</v>
      </c>
      <c r="AJ92" s="56">
        <f t="shared" si="32"/>
        <v>0</v>
      </c>
      <c r="AK92" s="56">
        <f t="shared" si="33"/>
        <v>0</v>
      </c>
      <c r="AM92" s="56">
        <f t="shared" si="34"/>
        <v>373158</v>
      </c>
      <c r="AN92" s="56">
        <f t="shared" si="35"/>
        <v>46639</v>
      </c>
      <c r="AO92" s="56">
        <f t="shared" si="36"/>
        <v>79498</v>
      </c>
      <c r="AP92" s="56"/>
      <c r="AQ92" s="56">
        <f t="shared" si="37"/>
        <v>499295</v>
      </c>
      <c r="AR92" s="1"/>
      <c r="AS92" s="56">
        <v>1213.0357204329171</v>
      </c>
      <c r="AT92" s="56">
        <v>151.61077335946388</v>
      </c>
      <c r="AU92" s="56">
        <v>258.4264941471871</v>
      </c>
      <c r="AV92" s="56"/>
      <c r="AW92" s="56">
        <v>1623.0729879395681</v>
      </c>
      <c r="AX92" s="1"/>
      <c r="AY92" s="16">
        <v>-2.2286734939152675E-2</v>
      </c>
      <c r="AZ92" s="16">
        <v>0.11242468278446527</v>
      </c>
      <c r="BA92" s="16">
        <v>-6.7742035529583466E-2</v>
      </c>
      <c r="BB92" s="16">
        <f t="shared" si="38"/>
        <v>-1.8805134507748567E-2</v>
      </c>
      <c r="BC92" s="16"/>
      <c r="BD92" s="1"/>
      <c r="BE92" s="16">
        <f>AM92/'2019-20 disagg'!AM92-1</f>
        <v>4.1593046332660588E-2</v>
      </c>
      <c r="BF92" s="16">
        <f>AN92/'2019-20 disagg'!AN92-1</f>
        <v>1.0004980834614541E-2</v>
      </c>
      <c r="BG92" s="16">
        <f>AO92/'2019-20 disagg'!AO92-1</f>
        <v>4.7721971084782044E-2</v>
      </c>
      <c r="BH92" s="16">
        <f>AQ92/'2019-20 disagg'!AQ92-1</f>
        <v>3.9524391488015009E-2</v>
      </c>
      <c r="BI92" s="1"/>
      <c r="BJ92" s="16">
        <f>AS92/'2019-20 disagg'!AS92-1</f>
        <v>3.6997895391394087E-2</v>
      </c>
      <c r="BK92" s="16">
        <f>AT92/'2019-20 disagg'!AT92-1</f>
        <v>5.5491855941345314E-3</v>
      </c>
      <c r="BL92" s="16">
        <f>AU92/'2019-20 disagg'!AU92-1</f>
        <v>4.3099781431570339E-2</v>
      </c>
      <c r="BM92" s="16">
        <f>AW92/'2019-20 disagg'!AW92-1</f>
        <v>3.4938366741753324E-2</v>
      </c>
    </row>
    <row r="93" spans="1:65" x14ac:dyDescent="0.2">
      <c r="A93" s="156" t="s">
        <v>231</v>
      </c>
      <c r="B93" s="156" t="s">
        <v>232</v>
      </c>
      <c r="D93" s="56">
        <f>VLOOKUP(A93,'2020-21'!$A$12:$AMX301,32,FALSE)</f>
        <v>249529</v>
      </c>
      <c r="E93" s="56">
        <v>1671.5553356882913</v>
      </c>
      <c r="F93" s="16">
        <f>VLOOKUP(A93,'2020-21'!$A$12:$AMX301,34,FALSE)</f>
        <v>3.8505558168280718E-2</v>
      </c>
      <c r="G93" s="16">
        <f>VLOOKUP(A93,'2020-21'!$A$12:$AMX301,35,FALSE)</f>
        <v>3.4849673225273659E-2</v>
      </c>
      <c r="H93" s="56"/>
      <c r="I93" s="56">
        <v>250351.41444258802</v>
      </c>
      <c r="J93" s="56">
        <v>1677.0645600656387</v>
      </c>
      <c r="K93" s="16">
        <f t="shared" si="23"/>
        <v>-3.2850401281699915E-3</v>
      </c>
      <c r="L93" s="58">
        <f t="shared" si="23"/>
        <v>-3.2850401281699915E-3</v>
      </c>
      <c r="M93" s="10"/>
      <c r="N93" s="56">
        <v>185234</v>
      </c>
      <c r="O93" s="56">
        <v>20297</v>
      </c>
      <c r="P93" s="56">
        <v>43998</v>
      </c>
      <c r="R93" s="56">
        <f t="shared" si="24"/>
        <v>43998</v>
      </c>
      <c r="S93" s="56">
        <f t="shared" si="25"/>
        <v>0</v>
      </c>
      <c r="U93" s="16">
        <v>-2.2188672043507052E-2</v>
      </c>
      <c r="V93" s="16">
        <v>4.5387424524446329E-2</v>
      </c>
      <c r="W93" s="56">
        <f t="shared" si="26"/>
        <v>1</v>
      </c>
      <c r="X93" s="56">
        <f t="shared" si="27"/>
        <v>1894.3736353220268</v>
      </c>
      <c r="Y93" s="56">
        <f t="shared" si="27"/>
        <v>194.15768282494159</v>
      </c>
      <c r="AA93" s="56">
        <f t="shared" si="39"/>
        <v>0</v>
      </c>
      <c r="AB93" s="56">
        <v>0</v>
      </c>
      <c r="AC93" s="56">
        <f t="shared" si="28"/>
        <v>0</v>
      </c>
      <c r="AE93" s="56">
        <v>0</v>
      </c>
      <c r="AF93" s="56">
        <f t="shared" si="29"/>
        <v>0</v>
      </c>
      <c r="AG93" s="56">
        <f t="shared" si="30"/>
        <v>0</v>
      </c>
      <c r="AI93" s="56">
        <f t="shared" si="31"/>
        <v>0</v>
      </c>
      <c r="AJ93" s="56">
        <f t="shared" si="32"/>
        <v>0</v>
      </c>
      <c r="AK93" s="56">
        <f t="shared" si="33"/>
        <v>0</v>
      </c>
      <c r="AM93" s="56">
        <f t="shared" si="34"/>
        <v>185234</v>
      </c>
      <c r="AN93" s="56">
        <f t="shared" si="35"/>
        <v>20297</v>
      </c>
      <c r="AO93" s="56">
        <f t="shared" si="36"/>
        <v>43998</v>
      </c>
      <c r="AP93" s="56"/>
      <c r="AQ93" s="56">
        <f t="shared" si="37"/>
        <v>249529</v>
      </c>
      <c r="AR93" s="1"/>
      <c r="AS93" s="56">
        <v>1240.8532918053011</v>
      </c>
      <c r="AT93" s="56">
        <v>135.96639528257336</v>
      </c>
      <c r="AU93" s="56">
        <v>294.73564860041694</v>
      </c>
      <c r="AV93" s="56"/>
      <c r="AW93" s="56">
        <v>1671.5553356882913</v>
      </c>
      <c r="AX93" s="1"/>
      <c r="AY93" s="16">
        <v>-2.2188672043507052E-2</v>
      </c>
      <c r="AZ93" s="16">
        <v>4.5387424524446329E-2</v>
      </c>
      <c r="BA93" s="16">
        <v>6.0236646285423356E-2</v>
      </c>
      <c r="BB93" s="16">
        <f t="shared" si="38"/>
        <v>-3.2850401281699915E-3</v>
      </c>
      <c r="BC93" s="16"/>
      <c r="BD93" s="1"/>
      <c r="BE93" s="16">
        <f>AM93/'2019-20 disagg'!AM93-1</f>
        <v>3.6598878529777057E-2</v>
      </c>
      <c r="BF93" s="16">
        <f>AN93/'2019-20 disagg'!AN93-1</f>
        <v>3.8156616029870527E-2</v>
      </c>
      <c r="BG93" s="16">
        <f>AO93/'2019-20 disagg'!AO93-1</f>
        <v>4.6773886562619049E-2</v>
      </c>
      <c r="BH93" s="16">
        <f>AQ93/'2019-20 disagg'!AQ93-1</f>
        <v>3.8505558168280718E-2</v>
      </c>
      <c r="BI93" s="1"/>
      <c r="BJ93" s="16">
        <f>AS93/'2019-20 disagg'!AS93-1</f>
        <v>3.2949705733206658E-2</v>
      </c>
      <c r="BK93" s="16">
        <f>AT93/'2019-20 disagg'!AT93-1</f>
        <v>3.4501959479239286E-2</v>
      </c>
      <c r="BL93" s="16">
        <f>AU93/'2019-20 disagg'!AU93-1</f>
        <v>4.3088894353846108E-2</v>
      </c>
      <c r="BM93" s="16">
        <f>AW93/'2019-20 disagg'!AW93-1</f>
        <v>3.4849673225273659E-2</v>
      </c>
    </row>
    <row r="94" spans="1:65" x14ac:dyDescent="0.2">
      <c r="A94" s="156" t="s">
        <v>233</v>
      </c>
      <c r="B94" s="156" t="s">
        <v>234</v>
      </c>
      <c r="D94" s="56">
        <f>VLOOKUP(A94,'2020-21'!$A$12:$AMX302,32,FALSE)</f>
        <v>554825</v>
      </c>
      <c r="E94" s="56">
        <v>1917.3624781678727</v>
      </c>
      <c r="F94" s="16">
        <f>VLOOKUP(A94,'2020-21'!$A$12:$AMX302,34,FALSE)</f>
        <v>3.8288435806985932E-2</v>
      </c>
      <c r="G94" s="16">
        <f>VLOOKUP(A94,'2020-21'!$A$12:$AMX302,35,FALSE)</f>
        <v>3.5339388293212703E-2</v>
      </c>
      <c r="H94" s="56"/>
      <c r="I94" s="56">
        <v>546559.54143922986</v>
      </c>
      <c r="J94" s="56">
        <v>1888.7987326458215</v>
      </c>
      <c r="K94" s="16">
        <f t="shared" si="23"/>
        <v>1.5122704726744152E-2</v>
      </c>
      <c r="L94" s="58">
        <f t="shared" si="23"/>
        <v>1.5122704726744152E-2</v>
      </c>
      <c r="M94" s="10"/>
      <c r="N94" s="56">
        <v>417341</v>
      </c>
      <c r="O94" s="56">
        <v>41640</v>
      </c>
      <c r="P94" s="56">
        <v>95844</v>
      </c>
      <c r="R94" s="56">
        <f t="shared" si="24"/>
        <v>95844</v>
      </c>
      <c r="S94" s="56">
        <f t="shared" si="25"/>
        <v>0</v>
      </c>
      <c r="U94" s="16">
        <v>4.2160540572926397E-3</v>
      </c>
      <c r="V94" s="16">
        <v>-3.2024134382576785E-2</v>
      </c>
      <c r="W94" s="56">
        <f t="shared" si="26"/>
        <v>3</v>
      </c>
      <c r="X94" s="56">
        <f t="shared" si="27"/>
        <v>4155.8885492204026</v>
      </c>
      <c r="Y94" s="56">
        <f t="shared" si="27"/>
        <v>430.17601449639386</v>
      </c>
      <c r="AA94" s="56">
        <f t="shared" si="39"/>
        <v>0</v>
      </c>
      <c r="AB94" s="56">
        <v>0</v>
      </c>
      <c r="AC94" s="56">
        <f t="shared" si="28"/>
        <v>0</v>
      </c>
      <c r="AE94" s="56">
        <v>0</v>
      </c>
      <c r="AF94" s="56">
        <f t="shared" si="29"/>
        <v>0</v>
      </c>
      <c r="AG94" s="56">
        <f t="shared" si="30"/>
        <v>0</v>
      </c>
      <c r="AI94" s="56">
        <f t="shared" si="31"/>
        <v>0</v>
      </c>
      <c r="AJ94" s="56">
        <f t="shared" si="32"/>
        <v>0</v>
      </c>
      <c r="AK94" s="56">
        <f t="shared" si="33"/>
        <v>0</v>
      </c>
      <c r="AM94" s="56">
        <f t="shared" si="34"/>
        <v>417341</v>
      </c>
      <c r="AN94" s="56">
        <f t="shared" si="35"/>
        <v>41640</v>
      </c>
      <c r="AO94" s="56">
        <f t="shared" si="36"/>
        <v>95844</v>
      </c>
      <c r="AP94" s="56"/>
      <c r="AQ94" s="56">
        <f t="shared" si="37"/>
        <v>554825</v>
      </c>
      <c r="AR94" s="1"/>
      <c r="AS94" s="56">
        <v>1442.2457063056968</v>
      </c>
      <c r="AT94" s="56">
        <v>143.89938014853371</v>
      </c>
      <c r="AU94" s="56">
        <v>331.21739171364231</v>
      </c>
      <c r="AV94" s="56"/>
      <c r="AW94" s="56">
        <v>1917.3624781678727</v>
      </c>
      <c r="AX94" s="1"/>
      <c r="AY94" s="16">
        <v>4.2160540572926397E-3</v>
      </c>
      <c r="AZ94" s="16">
        <v>-3.2024134382576785E-2</v>
      </c>
      <c r="BA94" s="16">
        <v>8.9717318345222896E-2</v>
      </c>
      <c r="BB94" s="16">
        <f t="shared" si="38"/>
        <v>1.5122704726744152E-2</v>
      </c>
      <c r="BC94" s="16"/>
      <c r="BD94" s="1"/>
      <c r="BE94" s="16">
        <f>AM94/'2019-20 disagg'!AM94-1</f>
        <v>3.6601631872430707E-2</v>
      </c>
      <c r="BF94" s="16">
        <f>AN94/'2019-20 disagg'!AN94-1</f>
        <v>3.7446744898721906E-2</v>
      </c>
      <c r="BG94" s="16">
        <f>AO94/'2019-20 disagg'!AO94-1</f>
        <v>4.6069218427687408E-2</v>
      </c>
      <c r="BH94" s="16">
        <f>AQ94/'2019-20 disagg'!AQ94-1</f>
        <v>3.8288435806985932E-2</v>
      </c>
      <c r="BI94" s="1"/>
      <c r="BJ94" s="16">
        <f>AS94/'2019-20 disagg'!AS94-1</f>
        <v>3.3657375382787125E-2</v>
      </c>
      <c r="BK94" s="16">
        <f>AT94/'2019-20 disagg'!AT94-1</f>
        <v>3.4500088037097587E-2</v>
      </c>
      <c r="BL94" s="16">
        <f>AU94/'2019-20 disagg'!AU94-1</f>
        <v>4.3098071180495579E-2</v>
      </c>
      <c r="BM94" s="16">
        <f>AW94/'2019-20 disagg'!AW94-1</f>
        <v>3.5339388293212703E-2</v>
      </c>
    </row>
    <row r="95" spans="1:65" x14ac:dyDescent="0.2">
      <c r="A95" s="156" t="s">
        <v>235</v>
      </c>
      <c r="B95" s="156" t="s">
        <v>236</v>
      </c>
      <c r="D95" s="56">
        <f>VLOOKUP(A95,'2020-21'!$A$12:$AMX303,32,FALSE)</f>
        <v>301986.70157024026</v>
      </c>
      <c r="E95" s="56">
        <v>1655.722232229683</v>
      </c>
      <c r="F95" s="16">
        <f>VLOOKUP(A95,'2020-21'!$A$12:$AMX303,34,FALSE)</f>
        <v>3.9612715402920218E-2</v>
      </c>
      <c r="G95" s="16">
        <f>VLOOKUP(A95,'2020-21'!$A$12:$AMX303,35,FALSE)</f>
        <v>3.5819425864562104E-2</v>
      </c>
      <c r="H95" s="56"/>
      <c r="I95" s="56">
        <v>308020.64612081042</v>
      </c>
      <c r="J95" s="56">
        <v>1688.8049345091949</v>
      </c>
      <c r="K95" s="16">
        <f t="shared" si="23"/>
        <v>-1.9589415925721942E-2</v>
      </c>
      <c r="L95" s="58">
        <f t="shared" si="23"/>
        <v>-1.9589415925721831E-2</v>
      </c>
      <c r="M95" s="10"/>
      <c r="N95" s="56">
        <v>226245</v>
      </c>
      <c r="O95" s="56">
        <v>24972</v>
      </c>
      <c r="P95" s="56">
        <v>50432</v>
      </c>
      <c r="R95" s="56">
        <f t="shared" si="24"/>
        <v>50432</v>
      </c>
      <c r="S95" s="56">
        <f t="shared" si="25"/>
        <v>337.70157024025684</v>
      </c>
      <c r="U95" s="16">
        <v>-2.6996578252126646E-2</v>
      </c>
      <c r="V95" s="16">
        <v>2.873194912119903E-3</v>
      </c>
      <c r="W95" s="56">
        <f t="shared" si="26"/>
        <v>1</v>
      </c>
      <c r="X95" s="56">
        <f t="shared" si="27"/>
        <v>2325.2230664675408</v>
      </c>
      <c r="Y95" s="56">
        <f t="shared" si="27"/>
        <v>249.00456136120235</v>
      </c>
      <c r="AA95" s="56">
        <f t="shared" si="39"/>
        <v>337.70157024025684</v>
      </c>
      <c r="AB95" s="56">
        <v>0</v>
      </c>
      <c r="AC95" s="56">
        <f t="shared" si="28"/>
        <v>0</v>
      </c>
      <c r="AE95" s="56">
        <v>0</v>
      </c>
      <c r="AF95" s="56">
        <f t="shared" si="29"/>
        <v>0</v>
      </c>
      <c r="AG95" s="56">
        <f t="shared" si="30"/>
        <v>0</v>
      </c>
      <c r="AI95" s="56">
        <f t="shared" si="31"/>
        <v>0</v>
      </c>
      <c r="AJ95" s="56">
        <f t="shared" si="32"/>
        <v>0</v>
      </c>
      <c r="AK95" s="56">
        <f t="shared" si="33"/>
        <v>0</v>
      </c>
      <c r="AM95" s="56">
        <f t="shared" si="34"/>
        <v>226583</v>
      </c>
      <c r="AN95" s="56">
        <f t="shared" si="35"/>
        <v>24972</v>
      </c>
      <c r="AO95" s="56">
        <f t="shared" si="36"/>
        <v>50432</v>
      </c>
      <c r="AP95" s="56"/>
      <c r="AQ95" s="56">
        <f t="shared" si="37"/>
        <v>301987</v>
      </c>
      <c r="AR95" s="1"/>
      <c r="AS95" s="56">
        <v>1242.3014278264127</v>
      </c>
      <c r="AT95" s="56">
        <v>136.91561703958894</v>
      </c>
      <c r="AU95" s="56">
        <v>276.50682358403606</v>
      </c>
      <c r="AV95" s="56"/>
      <c r="AW95" s="56">
        <v>1655.7238684500376</v>
      </c>
      <c r="AX95" s="1"/>
      <c r="AY95" s="16">
        <v>-2.5542954275681762E-2</v>
      </c>
      <c r="AZ95" s="16">
        <v>2.873194912119903E-3</v>
      </c>
      <c r="BA95" s="16">
        <v>-3.2784639789804615E-3</v>
      </c>
      <c r="BB95" s="16">
        <f t="shared" si="38"/>
        <v>-1.9588447062876213E-2</v>
      </c>
      <c r="BC95" s="16"/>
      <c r="BD95" s="1"/>
      <c r="BE95" s="16">
        <f>AM95/'2019-20 disagg'!AM95-1</f>
        <v>3.8147688275748326E-2</v>
      </c>
      <c r="BF95" s="16">
        <f>AN95/'2019-20 disagg'!AN95-1</f>
        <v>3.8293626044655138E-2</v>
      </c>
      <c r="BG95" s="16">
        <f>AO95/'2019-20 disagg'!AO95-1</f>
        <v>4.6915220460018281E-2</v>
      </c>
      <c r="BH95" s="16">
        <f>AQ95/'2019-20 disagg'!AQ95-1</f>
        <v>3.9613742770586713E-2</v>
      </c>
      <c r="BI95" s="1"/>
      <c r="BJ95" s="16">
        <f>AS95/'2019-20 disagg'!AS95-1</f>
        <v>3.4359744258845026E-2</v>
      </c>
      <c r="BK95" s="16">
        <f>AT95/'2019-20 disagg'!AT95-1</f>
        <v>3.4505149536946611E-2</v>
      </c>
      <c r="BL95" s="16">
        <f>AU95/'2019-20 disagg'!AU95-1</f>
        <v>4.3095285887767565E-2</v>
      </c>
      <c r="BM95" s="16">
        <f>AW95/'2019-20 disagg'!AW95-1</f>
        <v>3.5820449483618066E-2</v>
      </c>
    </row>
    <row r="96" spans="1:65" x14ac:dyDescent="0.2">
      <c r="A96" s="156" t="s">
        <v>237</v>
      </c>
      <c r="B96" s="156" t="s">
        <v>238</v>
      </c>
      <c r="D96" s="56">
        <f>VLOOKUP(A96,'2020-21'!$A$12:$AMX304,32,FALSE)</f>
        <v>533507</v>
      </c>
      <c r="E96" s="56">
        <v>1869.5152562912438</v>
      </c>
      <c r="F96" s="16">
        <f>VLOOKUP(A96,'2020-21'!$A$12:$AMX304,34,FALSE)</f>
        <v>3.7243049979488685E-2</v>
      </c>
      <c r="G96" s="16">
        <f>VLOOKUP(A96,'2020-21'!$A$12:$AMX304,35,FALSE)</f>
        <v>3.2041766667168181E-2</v>
      </c>
      <c r="H96" s="56"/>
      <c r="I96" s="56">
        <v>514420.29904838826</v>
      </c>
      <c r="J96" s="56">
        <v>1802.6316378545471</v>
      </c>
      <c r="K96" s="16">
        <f t="shared" si="23"/>
        <v>3.7103319964083337E-2</v>
      </c>
      <c r="L96" s="58">
        <f t="shared" si="23"/>
        <v>3.7103319964083337E-2</v>
      </c>
      <c r="M96" s="10"/>
      <c r="N96" s="56">
        <v>404409</v>
      </c>
      <c r="O96" s="56">
        <v>41664</v>
      </c>
      <c r="P96" s="56">
        <v>87434</v>
      </c>
      <c r="R96" s="56">
        <f t="shared" si="24"/>
        <v>87434</v>
      </c>
      <c r="S96" s="56">
        <f t="shared" si="25"/>
        <v>0</v>
      </c>
      <c r="U96" s="16">
        <v>5.0432424929873765E-2</v>
      </c>
      <c r="V96" s="16">
        <v>-1.7253985473324462E-2</v>
      </c>
      <c r="W96" s="56">
        <f t="shared" si="26"/>
        <v>3</v>
      </c>
      <c r="X96" s="56">
        <f t="shared" si="27"/>
        <v>3849.9287569783282</v>
      </c>
      <c r="Y96" s="56">
        <f t="shared" si="27"/>
        <v>423.9549118911138</v>
      </c>
      <c r="AA96" s="56">
        <f t="shared" si="39"/>
        <v>0</v>
      </c>
      <c r="AB96" s="56">
        <v>0</v>
      </c>
      <c r="AC96" s="56">
        <f t="shared" si="28"/>
        <v>0</v>
      </c>
      <c r="AE96" s="56">
        <v>0</v>
      </c>
      <c r="AF96" s="56">
        <f t="shared" si="29"/>
        <v>0</v>
      </c>
      <c r="AG96" s="56">
        <f t="shared" si="30"/>
        <v>0</v>
      </c>
      <c r="AI96" s="56">
        <f t="shared" si="31"/>
        <v>0</v>
      </c>
      <c r="AJ96" s="56">
        <f t="shared" si="32"/>
        <v>0</v>
      </c>
      <c r="AK96" s="56">
        <f t="shared" si="33"/>
        <v>0</v>
      </c>
      <c r="AM96" s="56">
        <f t="shared" si="34"/>
        <v>404409</v>
      </c>
      <c r="AN96" s="56">
        <f t="shared" si="35"/>
        <v>41664</v>
      </c>
      <c r="AO96" s="56">
        <f t="shared" si="36"/>
        <v>87434</v>
      </c>
      <c r="AP96" s="56"/>
      <c r="AQ96" s="56">
        <f t="shared" si="37"/>
        <v>533507</v>
      </c>
      <c r="AR96" s="1"/>
      <c r="AS96" s="56">
        <v>1417.130038184102</v>
      </c>
      <c r="AT96" s="56">
        <v>145.99899090006014</v>
      </c>
      <c r="AU96" s="56">
        <v>306.38622720708184</v>
      </c>
      <c r="AV96" s="56"/>
      <c r="AW96" s="56">
        <v>1869.5152562912438</v>
      </c>
      <c r="AX96" s="1"/>
      <c r="AY96" s="16">
        <v>5.0432424929873765E-2</v>
      </c>
      <c r="AZ96" s="16">
        <v>-1.7253985473324462E-2</v>
      </c>
      <c r="BA96" s="16">
        <v>4.619773783834491E-3</v>
      </c>
      <c r="BB96" s="16">
        <f t="shared" si="38"/>
        <v>3.7103319964083337E-2</v>
      </c>
      <c r="BC96" s="16"/>
      <c r="BD96" s="1"/>
      <c r="BE96" s="16">
        <f>AM96/'2019-20 disagg'!AM96-1</f>
        <v>3.4619586212542464E-2</v>
      </c>
      <c r="BF96" s="16">
        <f>AN96/'2019-20 disagg'!AN96-1</f>
        <v>3.9702542859281875E-2</v>
      </c>
      <c r="BG96" s="16">
        <f>AO96/'2019-20 disagg'!AO96-1</f>
        <v>4.8356734331722606E-2</v>
      </c>
      <c r="BH96" s="16">
        <f>AQ96/'2019-20 disagg'!AQ96-1</f>
        <v>3.7243049979488685E-2</v>
      </c>
      <c r="BI96" s="1"/>
      <c r="BJ96" s="16">
        <f>AS96/'2019-20 disagg'!AS96-1</f>
        <v>2.9431458330197335E-2</v>
      </c>
      <c r="BK96" s="16">
        <f>AT96/'2019-20 disagg'!AT96-1</f>
        <v>3.4488926353431815E-2</v>
      </c>
      <c r="BL96" s="16">
        <f>AU96/'2019-20 disagg'!AU96-1</f>
        <v>4.3099721148798453E-2</v>
      </c>
      <c r="BM96" s="16">
        <f>AW96/'2019-20 disagg'!AW96-1</f>
        <v>3.2041766667168181E-2</v>
      </c>
    </row>
    <row r="97" spans="1:65" x14ac:dyDescent="0.2">
      <c r="A97" s="156" t="s">
        <v>239</v>
      </c>
      <c r="B97" s="156" t="s">
        <v>240</v>
      </c>
      <c r="D97" s="56">
        <f>VLOOKUP(A97,'2020-21'!$A$12:$AMX305,32,FALSE)</f>
        <v>329232.25772182102</v>
      </c>
      <c r="E97" s="56">
        <v>1722.8297195201374</v>
      </c>
      <c r="F97" s="16">
        <f>VLOOKUP(A97,'2020-21'!$A$12:$AMX305,34,FALSE)</f>
        <v>4.0629429738543887E-2</v>
      </c>
      <c r="G97" s="16">
        <f>VLOOKUP(A97,'2020-21'!$A$12:$AMX305,35,FALSE)</f>
        <v>3.5215791398511609E-2</v>
      </c>
      <c r="H97" s="56"/>
      <c r="I97" s="56">
        <v>335571.32424656168</v>
      </c>
      <c r="J97" s="56">
        <v>1756.0012327807428</v>
      </c>
      <c r="K97" s="16">
        <f t="shared" si="23"/>
        <v>-1.8890370144032387E-2</v>
      </c>
      <c r="L97" s="58">
        <f t="shared" si="23"/>
        <v>-1.8890370144032387E-2</v>
      </c>
      <c r="M97" s="10"/>
      <c r="N97" s="56">
        <v>252345</v>
      </c>
      <c r="O97" s="56">
        <v>25387</v>
      </c>
      <c r="P97" s="56">
        <v>50886</v>
      </c>
      <c r="R97" s="56">
        <f t="shared" si="24"/>
        <v>50886</v>
      </c>
      <c r="S97" s="56">
        <f t="shared" si="25"/>
        <v>614.25772182102082</v>
      </c>
      <c r="U97" s="16">
        <v>-2.1014274496928387E-2</v>
      </c>
      <c r="V97" s="16">
        <v>-4.7809044466947559E-2</v>
      </c>
      <c r="W97" s="56">
        <f t="shared" si="26"/>
        <v>4</v>
      </c>
      <c r="X97" s="56">
        <f t="shared" si="27"/>
        <v>2577.6167458450673</v>
      </c>
      <c r="Y97" s="56">
        <f t="shared" si="27"/>
        <v>266.61668914706223</v>
      </c>
      <c r="AA97" s="56">
        <f t="shared" si="39"/>
        <v>0</v>
      </c>
      <c r="AB97" s="56">
        <v>0</v>
      </c>
      <c r="AC97" s="56">
        <f t="shared" si="28"/>
        <v>614.25772182102082</v>
      </c>
      <c r="AE97" s="56">
        <v>0</v>
      </c>
      <c r="AF97" s="56">
        <f t="shared" si="29"/>
        <v>0</v>
      </c>
      <c r="AG97" s="56">
        <f t="shared" si="30"/>
        <v>614.25772182102082</v>
      </c>
      <c r="AI97" s="56">
        <f t="shared" si="31"/>
        <v>556.6775815765227</v>
      </c>
      <c r="AJ97" s="56">
        <f t="shared" si="32"/>
        <v>57.580140244498224</v>
      </c>
      <c r="AK97" s="56">
        <f t="shared" si="33"/>
        <v>0</v>
      </c>
      <c r="AM97" s="56">
        <f t="shared" si="34"/>
        <v>252902</v>
      </c>
      <c r="AN97" s="56">
        <f t="shared" si="35"/>
        <v>25445</v>
      </c>
      <c r="AO97" s="56">
        <f t="shared" si="36"/>
        <v>50886</v>
      </c>
      <c r="AP97" s="56"/>
      <c r="AQ97" s="56">
        <f t="shared" si="37"/>
        <v>329233</v>
      </c>
      <c r="AR97" s="1"/>
      <c r="AS97" s="56">
        <v>1323.4033771205518</v>
      </c>
      <c r="AT97" s="56">
        <v>133.15038604215243</v>
      </c>
      <c r="AU97" s="56">
        <v>266.27984060290703</v>
      </c>
      <c r="AV97" s="56"/>
      <c r="AW97" s="56">
        <v>1722.8336037656111</v>
      </c>
      <c r="AX97" s="1"/>
      <c r="AY97" s="16">
        <v>-1.8853363644305121E-2</v>
      </c>
      <c r="AZ97" s="16">
        <v>-4.5633636761392871E-2</v>
      </c>
      <c r="BA97" s="16">
        <v>-5.1220154446125488E-3</v>
      </c>
      <c r="BB97" s="16">
        <f t="shared" si="38"/>
        <v>-1.8888158160691337E-2</v>
      </c>
      <c r="BC97" s="16"/>
      <c r="BD97" s="1"/>
      <c r="BE97" s="16">
        <f>AM97/'2019-20 disagg'!AM97-1</f>
        <v>3.8889231211617137E-2</v>
      </c>
      <c r="BF97" s="16">
        <f>AN97/'2019-20 disagg'!AN97-1</f>
        <v>4.2272559701798329E-2</v>
      </c>
      <c r="BG97" s="16">
        <f>AO97/'2019-20 disagg'!AO97-1</f>
        <v>4.8547290335874793E-2</v>
      </c>
      <c r="BH97" s="16">
        <f>AQ97/'2019-20 disagg'!AQ97-1</f>
        <v>4.0631775913622326E-2</v>
      </c>
      <c r="BI97" s="1"/>
      <c r="BJ97" s="16">
        <f>AS97/'2019-20 disagg'!AS97-1</f>
        <v>3.3484645859320317E-2</v>
      </c>
      <c r="BK97" s="16">
        <f>AT97/'2019-20 disagg'!AT97-1</f>
        <v>3.6850373351194232E-2</v>
      </c>
      <c r="BL97" s="16">
        <f>AU97/'2019-20 disagg'!AU97-1</f>
        <v>4.3092461123783954E-2</v>
      </c>
      <c r="BM97" s="16">
        <f>AW97/'2019-20 disagg'!AW97-1</f>
        <v>3.5218125368146946E-2</v>
      </c>
    </row>
    <row r="98" spans="1:65" x14ac:dyDescent="0.2">
      <c r="A98" s="156" t="s">
        <v>241</v>
      </c>
      <c r="B98" s="156" t="s">
        <v>242</v>
      </c>
      <c r="D98" s="56">
        <f>VLOOKUP(A98,'2020-21'!$A$12:$AMX306,32,FALSE)</f>
        <v>498132</v>
      </c>
      <c r="E98" s="56">
        <v>1825.9153813917621</v>
      </c>
      <c r="F98" s="16">
        <f>VLOOKUP(A98,'2020-21'!$A$12:$AMX306,34,FALSE)</f>
        <v>3.8547419643359726E-2</v>
      </c>
      <c r="G98" s="16">
        <f>VLOOKUP(A98,'2020-21'!$A$12:$AMX306,35,FALSE)</f>
        <v>3.4688658524356208E-2</v>
      </c>
      <c r="H98" s="56"/>
      <c r="I98" s="56">
        <v>505782.36257812433</v>
      </c>
      <c r="J98" s="56">
        <v>1853.9579779417152</v>
      </c>
      <c r="K98" s="16">
        <f t="shared" si="23"/>
        <v>-1.5125799442922694E-2</v>
      </c>
      <c r="L98" s="58">
        <f t="shared" si="23"/>
        <v>-1.5125799442922805E-2</v>
      </c>
      <c r="M98" s="10"/>
      <c r="N98" s="56">
        <v>371468</v>
      </c>
      <c r="O98" s="56">
        <v>39301</v>
      </c>
      <c r="P98" s="56">
        <v>87363</v>
      </c>
      <c r="R98" s="56">
        <f t="shared" si="24"/>
        <v>87363</v>
      </c>
      <c r="S98" s="56">
        <f t="shared" si="25"/>
        <v>0</v>
      </c>
      <c r="U98" s="16">
        <v>-1.5153352027647893E-2</v>
      </c>
      <c r="V98" s="16">
        <v>-4.8200821034099617E-2</v>
      </c>
      <c r="W98" s="56">
        <f t="shared" si="26"/>
        <v>4</v>
      </c>
      <c r="X98" s="56">
        <f t="shared" si="27"/>
        <v>3771.8359580630704</v>
      </c>
      <c r="Y98" s="56">
        <f t="shared" si="27"/>
        <v>412.91273273317267</v>
      </c>
      <c r="AA98" s="56">
        <f t="shared" si="39"/>
        <v>0</v>
      </c>
      <c r="AB98" s="56">
        <v>0</v>
      </c>
      <c r="AC98" s="56">
        <f t="shared" si="28"/>
        <v>0</v>
      </c>
      <c r="AE98" s="56">
        <v>0</v>
      </c>
      <c r="AF98" s="56">
        <f t="shared" si="29"/>
        <v>0</v>
      </c>
      <c r="AG98" s="56">
        <f t="shared" si="30"/>
        <v>0</v>
      </c>
      <c r="AI98" s="56">
        <f t="shared" si="31"/>
        <v>0</v>
      </c>
      <c r="AJ98" s="56">
        <f t="shared" si="32"/>
        <v>0</v>
      </c>
      <c r="AK98" s="56">
        <f t="shared" si="33"/>
        <v>0</v>
      </c>
      <c r="AM98" s="56">
        <f t="shared" si="34"/>
        <v>371468</v>
      </c>
      <c r="AN98" s="56">
        <f t="shared" si="35"/>
        <v>39301</v>
      </c>
      <c r="AO98" s="56">
        <f t="shared" si="36"/>
        <v>87363</v>
      </c>
      <c r="AP98" s="56"/>
      <c r="AQ98" s="56">
        <f t="shared" si="37"/>
        <v>498132</v>
      </c>
      <c r="AR98" s="1"/>
      <c r="AS98" s="56">
        <v>1361.6253019176345</v>
      </c>
      <c r="AT98" s="56">
        <v>144.05880450177392</v>
      </c>
      <c r="AU98" s="56">
        <v>320.23127497235373</v>
      </c>
      <c r="AV98" s="56"/>
      <c r="AW98" s="56">
        <v>1825.9153813917621</v>
      </c>
      <c r="AX98" s="1"/>
      <c r="AY98" s="16">
        <v>-1.5153352027647893E-2</v>
      </c>
      <c r="AZ98" s="16">
        <v>-4.8200821034099617E-2</v>
      </c>
      <c r="BA98" s="16">
        <v>6.3575873359522639E-4</v>
      </c>
      <c r="BB98" s="16">
        <f t="shared" si="38"/>
        <v>-1.5125799442922694E-2</v>
      </c>
      <c r="BC98" s="16"/>
      <c r="BD98" s="1"/>
      <c r="BE98" s="16">
        <f>AM98/'2019-20 disagg'!AM98-1</f>
        <v>3.6600884046970483E-2</v>
      </c>
      <c r="BF98" s="16">
        <f>AN98/'2019-20 disagg'!AN98-1</f>
        <v>3.8362968638537387E-2</v>
      </c>
      <c r="BG98" s="16">
        <f>AO98/'2019-20 disagg'!AO98-1</f>
        <v>4.6990724095779202E-2</v>
      </c>
      <c r="BH98" s="16">
        <f>AQ98/'2019-20 disagg'!AQ98-1</f>
        <v>3.8547419643359726E-2</v>
      </c>
      <c r="BI98" s="1"/>
      <c r="BJ98" s="16">
        <f>AS98/'2019-20 disagg'!AS98-1</f>
        <v>3.2749355352538201E-2</v>
      </c>
      <c r="BK98" s="16">
        <f>AT98/'2019-20 disagg'!AT98-1</f>
        <v>3.450489285402325E-2</v>
      </c>
      <c r="BL98" s="16">
        <f>AU98/'2019-20 disagg'!AU98-1</f>
        <v>4.310059156867152E-2</v>
      </c>
      <c r="BM98" s="16">
        <f>AW98/'2019-20 disagg'!AW98-1</f>
        <v>3.4688658524356208E-2</v>
      </c>
    </row>
    <row r="99" spans="1:65" x14ac:dyDescent="0.2">
      <c r="A99" s="156" t="s">
        <v>243</v>
      </c>
      <c r="B99" s="156" t="s">
        <v>244</v>
      </c>
      <c r="D99" s="56">
        <f>VLOOKUP(A99,'2020-21'!$A$12:$AMX307,32,FALSE)</f>
        <v>195826</v>
      </c>
      <c r="E99" s="56">
        <v>1698.5867007852373</v>
      </c>
      <c r="F99" s="16">
        <f>VLOOKUP(A99,'2020-21'!$A$12:$AMX307,34,FALSE)</f>
        <v>3.7901152775937419E-2</v>
      </c>
      <c r="G99" s="16">
        <f>VLOOKUP(A99,'2020-21'!$A$12:$AMX307,35,FALSE)</f>
        <v>3.5675695929654916E-2</v>
      </c>
      <c r="H99" s="56"/>
      <c r="I99" s="56">
        <v>198949.7754762441</v>
      </c>
      <c r="J99" s="56">
        <v>1725.6822012815314</v>
      </c>
      <c r="K99" s="16">
        <f t="shared" si="23"/>
        <v>-1.5701326974440821E-2</v>
      </c>
      <c r="L99" s="58">
        <f t="shared" si="23"/>
        <v>-1.5701326974440821E-2</v>
      </c>
      <c r="M99" s="10"/>
      <c r="N99" s="56">
        <v>149903</v>
      </c>
      <c r="O99" s="56">
        <v>16797</v>
      </c>
      <c r="P99" s="56">
        <v>29126</v>
      </c>
      <c r="R99" s="56">
        <f t="shared" si="24"/>
        <v>29126</v>
      </c>
      <c r="S99" s="56">
        <f t="shared" si="25"/>
        <v>0</v>
      </c>
      <c r="U99" s="16">
        <v>-1.151670607330646E-2</v>
      </c>
      <c r="V99" s="16">
        <v>3.9930846266685194E-2</v>
      </c>
      <c r="W99" s="56">
        <f t="shared" si="26"/>
        <v>1</v>
      </c>
      <c r="X99" s="56">
        <f t="shared" si="27"/>
        <v>1516.4950274932708</v>
      </c>
      <c r="Y99" s="56">
        <f t="shared" si="27"/>
        <v>161.52035551499057</v>
      </c>
      <c r="AA99" s="56">
        <f t="shared" si="39"/>
        <v>0</v>
      </c>
      <c r="AB99" s="56">
        <v>0</v>
      </c>
      <c r="AC99" s="56">
        <f t="shared" si="28"/>
        <v>0</v>
      </c>
      <c r="AE99" s="56">
        <v>0</v>
      </c>
      <c r="AF99" s="56">
        <f t="shared" si="29"/>
        <v>0</v>
      </c>
      <c r="AG99" s="56">
        <f t="shared" si="30"/>
        <v>0</v>
      </c>
      <c r="AI99" s="56">
        <f t="shared" si="31"/>
        <v>0</v>
      </c>
      <c r="AJ99" s="56">
        <f t="shared" si="32"/>
        <v>0</v>
      </c>
      <c r="AK99" s="56">
        <f t="shared" si="33"/>
        <v>0</v>
      </c>
      <c r="AM99" s="56">
        <f t="shared" si="34"/>
        <v>149903</v>
      </c>
      <c r="AN99" s="56">
        <f t="shared" si="35"/>
        <v>16797</v>
      </c>
      <c r="AO99" s="56">
        <f t="shared" si="36"/>
        <v>29126</v>
      </c>
      <c r="AP99" s="56"/>
      <c r="AQ99" s="56">
        <f t="shared" si="37"/>
        <v>195826</v>
      </c>
      <c r="AR99" s="1"/>
      <c r="AS99" s="56">
        <v>1300.2524803029701</v>
      </c>
      <c r="AT99" s="56">
        <v>145.69648980773559</v>
      </c>
      <c r="AU99" s="56">
        <v>252.63773067453158</v>
      </c>
      <c r="AV99" s="56"/>
      <c r="AW99" s="56">
        <v>1698.5867007852373</v>
      </c>
      <c r="AX99" s="1"/>
      <c r="AY99" s="16">
        <v>-1.151670607330646E-2</v>
      </c>
      <c r="AZ99" s="16">
        <v>3.9930846266685194E-2</v>
      </c>
      <c r="BA99" s="16">
        <v>-6.4923005563021996E-2</v>
      </c>
      <c r="BB99" s="16">
        <f t="shared" si="38"/>
        <v>-1.5701326974440821E-2</v>
      </c>
      <c r="BC99" s="16"/>
      <c r="BD99" s="1"/>
      <c r="BE99" s="16">
        <f>AM99/'2019-20 disagg'!AM99-1</f>
        <v>3.660189475140041E-2</v>
      </c>
      <c r="BF99" s="16">
        <f>AN99/'2019-20 disagg'!AN99-1</f>
        <v>3.6723861251697354E-2</v>
      </c>
      <c r="BG99" s="16">
        <f>AO99/'2019-20 disagg'!AO99-1</f>
        <v>4.5328930840182302E-2</v>
      </c>
      <c r="BH99" s="16">
        <f>AQ99/'2019-20 disagg'!AQ99-1</f>
        <v>3.7901152775937419E-2</v>
      </c>
      <c r="BI99" s="1"/>
      <c r="BJ99" s="16">
        <f>AS99/'2019-20 disagg'!AS99-1</f>
        <v>3.4379223760647504E-2</v>
      </c>
      <c r="BK99" s="16">
        <f>AT99/'2019-20 disagg'!AT99-1</f>
        <v>3.4500928741644454E-2</v>
      </c>
      <c r="BL99" s="16">
        <f>AU99/'2019-20 disagg'!AU99-1</f>
        <v>4.3087547429504491E-2</v>
      </c>
      <c r="BM99" s="16">
        <f>AW99/'2019-20 disagg'!AW99-1</f>
        <v>3.5675695929654916E-2</v>
      </c>
    </row>
    <row r="100" spans="1:65" x14ac:dyDescent="0.2">
      <c r="A100" s="156" t="s">
        <v>245</v>
      </c>
      <c r="B100" s="156" t="s">
        <v>246</v>
      </c>
      <c r="D100" s="56">
        <f>VLOOKUP(A100,'2020-21'!$A$12:$AMX308,32,FALSE)</f>
        <v>135874.78659000021</v>
      </c>
      <c r="E100" s="56">
        <v>1694.567483853205</v>
      </c>
      <c r="F100" s="16">
        <f>VLOOKUP(A100,'2020-21'!$A$12:$AMX308,34,FALSE)</f>
        <v>5.36196230614161E-2</v>
      </c>
      <c r="G100" s="16">
        <f>VLOOKUP(A100,'2020-21'!$A$12:$AMX308,35,FALSE)</f>
        <v>3.9506971088504539E-2</v>
      </c>
      <c r="H100" s="56"/>
      <c r="I100" s="56">
        <v>139015.07805140753</v>
      </c>
      <c r="J100" s="56">
        <v>1733.7317462882954</v>
      </c>
      <c r="K100" s="16">
        <f t="shared" si="23"/>
        <v>-2.2589574493826148E-2</v>
      </c>
      <c r="L100" s="58">
        <f t="shared" si="23"/>
        <v>-2.2589574493825926E-2</v>
      </c>
      <c r="M100" s="10"/>
      <c r="N100" s="56">
        <v>107178</v>
      </c>
      <c r="O100" s="56">
        <v>11455</v>
      </c>
      <c r="P100" s="56">
        <v>15479</v>
      </c>
      <c r="R100" s="56">
        <f t="shared" si="24"/>
        <v>15479</v>
      </c>
      <c r="S100" s="56">
        <f t="shared" si="25"/>
        <v>1762.7865900002071</v>
      </c>
      <c r="U100" s="16">
        <v>-3.1657014615356971E-2</v>
      </c>
      <c r="V100" s="16">
        <v>-3.0822271150964031E-2</v>
      </c>
      <c r="W100" s="56">
        <f t="shared" si="26"/>
        <v>4</v>
      </c>
      <c r="X100" s="56">
        <f t="shared" si="27"/>
        <v>1106.8185717008832</v>
      </c>
      <c r="Y100" s="56">
        <f t="shared" si="27"/>
        <v>118.19297595296155</v>
      </c>
      <c r="AA100" s="56">
        <f t="shared" si="39"/>
        <v>0</v>
      </c>
      <c r="AB100" s="56">
        <v>0</v>
      </c>
      <c r="AC100" s="56">
        <f t="shared" si="28"/>
        <v>1762.7865900002071</v>
      </c>
      <c r="AE100" s="56">
        <v>0</v>
      </c>
      <c r="AF100" s="56">
        <f t="shared" si="29"/>
        <v>0</v>
      </c>
      <c r="AG100" s="56">
        <f t="shared" si="30"/>
        <v>1762.7865900002071</v>
      </c>
      <c r="AI100" s="56">
        <f t="shared" si="31"/>
        <v>1592.7073826318112</v>
      </c>
      <c r="AJ100" s="56">
        <f t="shared" si="32"/>
        <v>170.07920736839566</v>
      </c>
      <c r="AK100" s="56">
        <f t="shared" si="33"/>
        <v>0</v>
      </c>
      <c r="AM100" s="56">
        <f t="shared" si="34"/>
        <v>108771</v>
      </c>
      <c r="AN100" s="56">
        <f t="shared" si="35"/>
        <v>11625</v>
      </c>
      <c r="AO100" s="56">
        <f t="shared" si="36"/>
        <v>15479</v>
      </c>
      <c r="AP100" s="56"/>
      <c r="AQ100" s="56">
        <f t="shared" si="37"/>
        <v>135875</v>
      </c>
      <c r="AR100" s="1"/>
      <c r="AS100" s="56">
        <v>1356.5415954792165</v>
      </c>
      <c r="AT100" s="56">
        <v>144.98162237587127</v>
      </c>
      <c r="AU100" s="56">
        <v>193.04692754891281</v>
      </c>
      <c r="AV100" s="56"/>
      <c r="AW100" s="56">
        <v>1694.5701454040006</v>
      </c>
      <c r="AX100" s="1"/>
      <c r="AY100" s="16">
        <v>-1.7264411882354502E-2</v>
      </c>
      <c r="AZ100" s="16">
        <v>-1.6439013717150286E-2</v>
      </c>
      <c r="BA100" s="16">
        <v>-6.2669740442536703E-2</v>
      </c>
      <c r="BB100" s="16">
        <f t="shared" si="38"/>
        <v>-2.258803933661313E-2</v>
      </c>
      <c r="BC100" s="16"/>
      <c r="BD100" s="1"/>
      <c r="BE100" s="16">
        <f>AM100/'2019-20 disagg'!AM100-1</f>
        <v>5.2004951931446719E-2</v>
      </c>
      <c r="BF100" s="16">
        <f>AN100/'2019-20 disagg'!AN100-1</f>
        <v>6.4073226544622441E-2</v>
      </c>
      <c r="BG100" s="16">
        <f>AO100/'2019-20 disagg'!AO100-1</f>
        <v>5.7236527559592965E-2</v>
      </c>
      <c r="BH100" s="16">
        <f>AQ100/'2019-20 disagg'!AQ100-1</f>
        <v>5.3621277915632648E-2</v>
      </c>
      <c r="BI100" s="1"/>
      <c r="BJ100" s="16">
        <f>AS100/'2019-20 disagg'!AS100-1</f>
        <v>3.7913927585061069E-2</v>
      </c>
      <c r="BK100" s="16">
        <f>AT100/'2019-20 disagg'!AT100-1</f>
        <v>4.9820554336141853E-2</v>
      </c>
      <c r="BL100" s="16">
        <f>AU100/'2019-20 disagg'!AU100-1</f>
        <v>4.3075429151853806E-2</v>
      </c>
      <c r="BM100" s="16">
        <f>AW100/'2019-20 disagg'!AW100-1</f>
        <v>3.9508603776864604E-2</v>
      </c>
    </row>
    <row r="101" spans="1:65" x14ac:dyDescent="0.2">
      <c r="A101" s="156" t="s">
        <v>247</v>
      </c>
      <c r="B101" s="156" t="s">
        <v>248</v>
      </c>
      <c r="D101" s="56">
        <f>VLOOKUP(A101,'2020-21'!$A$12:$AMX309,32,FALSE)</f>
        <v>520586.41554210003</v>
      </c>
      <c r="E101" s="56">
        <v>1562.7118546693493</v>
      </c>
      <c r="F101" s="16">
        <f>VLOOKUP(A101,'2020-21'!$A$12:$AMX309,34,FALSE)</f>
        <v>3.9241919597587716E-2</v>
      </c>
      <c r="G101" s="16">
        <f>VLOOKUP(A101,'2020-21'!$A$12:$AMX309,35,FALSE)</f>
        <v>3.3346989665355764E-2</v>
      </c>
      <c r="H101" s="56"/>
      <c r="I101" s="56">
        <v>529722.97373222269</v>
      </c>
      <c r="J101" s="56">
        <v>1590.1382479987126</v>
      </c>
      <c r="K101" s="16">
        <f t="shared" si="23"/>
        <v>-1.7247804311279924E-2</v>
      </c>
      <c r="L101" s="58">
        <f t="shared" si="23"/>
        <v>-1.7247804311279924E-2</v>
      </c>
      <c r="M101" s="10"/>
      <c r="N101" s="56">
        <v>393683</v>
      </c>
      <c r="O101" s="56">
        <v>44945</v>
      </c>
      <c r="P101" s="56">
        <v>81742</v>
      </c>
      <c r="R101" s="56">
        <f t="shared" si="24"/>
        <v>81742</v>
      </c>
      <c r="S101" s="56">
        <f t="shared" si="25"/>
        <v>216.41554210003233</v>
      </c>
      <c r="U101" s="16">
        <v>-1.9221797381868022E-2</v>
      </c>
      <c r="V101" s="16">
        <v>4.9797388980405755E-2</v>
      </c>
      <c r="W101" s="56">
        <f t="shared" si="26"/>
        <v>1</v>
      </c>
      <c r="X101" s="56">
        <f t="shared" si="27"/>
        <v>4013.986026087096</v>
      </c>
      <c r="Y101" s="56">
        <f t="shared" si="27"/>
        <v>428.13023228846009</v>
      </c>
      <c r="AA101" s="56">
        <f t="shared" si="39"/>
        <v>216.41554210003233</v>
      </c>
      <c r="AB101" s="56">
        <v>0</v>
      </c>
      <c r="AC101" s="56">
        <f t="shared" si="28"/>
        <v>0</v>
      </c>
      <c r="AE101" s="56">
        <v>0</v>
      </c>
      <c r="AF101" s="56">
        <f t="shared" si="29"/>
        <v>0</v>
      </c>
      <c r="AG101" s="56">
        <f t="shared" si="30"/>
        <v>0</v>
      </c>
      <c r="AI101" s="56">
        <f t="shared" si="31"/>
        <v>0</v>
      </c>
      <c r="AJ101" s="56">
        <f t="shared" si="32"/>
        <v>0</v>
      </c>
      <c r="AK101" s="56">
        <f t="shared" si="33"/>
        <v>0</v>
      </c>
      <c r="AM101" s="56">
        <f t="shared" si="34"/>
        <v>393899</v>
      </c>
      <c r="AN101" s="56">
        <f t="shared" si="35"/>
        <v>44945</v>
      </c>
      <c r="AO101" s="56">
        <f t="shared" si="36"/>
        <v>81742</v>
      </c>
      <c r="AP101" s="56"/>
      <c r="AQ101" s="56">
        <f t="shared" si="37"/>
        <v>520586</v>
      </c>
      <c r="AR101" s="1"/>
      <c r="AS101" s="56">
        <v>1182.4177859143967</v>
      </c>
      <c r="AT101" s="56">
        <v>134.9172437297951</v>
      </c>
      <c r="AU101" s="56">
        <v>245.37557763846726</v>
      </c>
      <c r="AV101" s="56"/>
      <c r="AW101" s="56">
        <v>1562.7106072826591</v>
      </c>
      <c r="AX101" s="1"/>
      <c r="AY101" s="16">
        <v>-1.8683678916591395E-2</v>
      </c>
      <c r="AZ101" s="16">
        <v>4.9797388980405755E-2</v>
      </c>
      <c r="BA101" s="16">
        <v>-4.40800898064444E-2</v>
      </c>
      <c r="BB101" s="16">
        <f t="shared" si="38"/>
        <v>-1.7248588763004058E-2</v>
      </c>
      <c r="BC101" s="16"/>
      <c r="BD101" s="1"/>
      <c r="BE101" s="16">
        <f>AM101/'2019-20 disagg'!AM101-1</f>
        <v>3.7168593644265169E-2</v>
      </c>
      <c r="BF101" s="16">
        <f>AN101/'2019-20 disagg'!AN101-1</f>
        <v>3.9767732383287901E-2</v>
      </c>
      <c r="BG101" s="16">
        <f>AO101/'2019-20 disagg'!AO101-1</f>
        <v>4.9050308008213639E-2</v>
      </c>
      <c r="BH101" s="16">
        <f>AQ101/'2019-20 disagg'!AQ101-1</f>
        <v>3.9241090054678462E-2</v>
      </c>
      <c r="BI101" s="1"/>
      <c r="BJ101" s="16">
        <f>AS101/'2019-20 disagg'!AS101-1</f>
        <v>3.1285424314632992E-2</v>
      </c>
      <c r="BK101" s="16">
        <f>AT101/'2019-20 disagg'!AT101-1</f>
        <v>3.3869819863969308E-2</v>
      </c>
      <c r="BL101" s="16">
        <f>AU101/'2019-20 disagg'!AU101-1</f>
        <v>4.3099741595833407E-2</v>
      </c>
      <c r="BM101" s="16">
        <f>AW101/'2019-20 disagg'!AW101-1</f>
        <v>3.3346164827892766E-2</v>
      </c>
    </row>
    <row r="102" spans="1:65" x14ac:dyDescent="0.2">
      <c r="A102" s="156" t="s">
        <v>249</v>
      </c>
      <c r="B102" s="156" t="s">
        <v>250</v>
      </c>
      <c r="D102" s="56">
        <f>VLOOKUP(A102,'2020-21'!$A$12:$AMX310,32,FALSE)</f>
        <v>176006</v>
      </c>
      <c r="E102" s="56">
        <v>1758.6353667351605</v>
      </c>
      <c r="F102" s="16">
        <f>VLOOKUP(A102,'2020-21'!$A$12:$AMX310,34,FALSE)</f>
        <v>3.8518273758245902E-2</v>
      </c>
      <c r="G102" s="16">
        <f>VLOOKUP(A102,'2020-21'!$A$12:$AMX310,35,FALSE)</f>
        <v>3.2867164689642347E-2</v>
      </c>
      <c r="H102" s="56"/>
      <c r="I102" s="56">
        <v>175756.44327327958</v>
      </c>
      <c r="J102" s="56">
        <v>1756.1418194378116</v>
      </c>
      <c r="K102" s="16">
        <f t="shared" si="23"/>
        <v>1.4199008700488402E-3</v>
      </c>
      <c r="L102" s="58">
        <f t="shared" si="23"/>
        <v>1.4199008700488402E-3</v>
      </c>
      <c r="M102" s="10"/>
      <c r="N102" s="56">
        <v>138370</v>
      </c>
      <c r="O102" s="56">
        <v>13806</v>
      </c>
      <c r="P102" s="56">
        <v>23830</v>
      </c>
      <c r="R102" s="56">
        <f t="shared" si="24"/>
        <v>23830</v>
      </c>
      <c r="S102" s="56">
        <f t="shared" si="25"/>
        <v>0</v>
      </c>
      <c r="U102" s="16">
        <v>1.3770944585038025E-2</v>
      </c>
      <c r="V102" s="16">
        <v>2.1851678231726623E-2</v>
      </c>
      <c r="W102" s="56">
        <f t="shared" si="26"/>
        <v>2</v>
      </c>
      <c r="X102" s="56">
        <f t="shared" si="27"/>
        <v>1364.9039828877549</v>
      </c>
      <c r="Y102" s="56">
        <f t="shared" si="27"/>
        <v>135.10767065422576</v>
      </c>
      <c r="AA102" s="56">
        <f t="shared" si="39"/>
        <v>0</v>
      </c>
      <c r="AB102" s="56">
        <v>0</v>
      </c>
      <c r="AC102" s="56">
        <f t="shared" si="28"/>
        <v>0</v>
      </c>
      <c r="AE102" s="56">
        <v>0</v>
      </c>
      <c r="AF102" s="56">
        <f t="shared" si="29"/>
        <v>0</v>
      </c>
      <c r="AG102" s="56">
        <f t="shared" si="30"/>
        <v>0</v>
      </c>
      <c r="AI102" s="56">
        <f t="shared" si="31"/>
        <v>0</v>
      </c>
      <c r="AJ102" s="56">
        <f t="shared" si="32"/>
        <v>0</v>
      </c>
      <c r="AK102" s="56">
        <f t="shared" si="33"/>
        <v>0</v>
      </c>
      <c r="AM102" s="56">
        <f t="shared" si="34"/>
        <v>138370</v>
      </c>
      <c r="AN102" s="56">
        <f t="shared" si="35"/>
        <v>13806</v>
      </c>
      <c r="AO102" s="56">
        <f t="shared" si="36"/>
        <v>23830</v>
      </c>
      <c r="AP102" s="56"/>
      <c r="AQ102" s="56">
        <f t="shared" si="37"/>
        <v>176006</v>
      </c>
      <c r="AR102" s="1"/>
      <c r="AS102" s="56">
        <v>1382.5800012223683</v>
      </c>
      <c r="AT102" s="56">
        <v>137.94825104340549</v>
      </c>
      <c r="AU102" s="56">
        <v>238.10711446938669</v>
      </c>
      <c r="AV102" s="56"/>
      <c r="AW102" s="56">
        <v>1758.6353667351605</v>
      </c>
      <c r="AX102" s="1"/>
      <c r="AY102" s="16">
        <v>1.3770944585038025E-2</v>
      </c>
      <c r="AZ102" s="16">
        <v>2.1851678231726623E-2</v>
      </c>
      <c r="BA102" s="16">
        <v>-7.475275262532155E-2</v>
      </c>
      <c r="BB102" s="16">
        <f t="shared" si="38"/>
        <v>1.4199008700488402E-3</v>
      </c>
      <c r="BC102" s="16"/>
      <c r="BD102" s="1"/>
      <c r="BE102" s="16">
        <f>AM102/'2019-20 disagg'!AM102-1</f>
        <v>3.6603637889185192E-2</v>
      </c>
      <c r="BF102" s="16">
        <f>AN102/'2019-20 disagg'!AN102-1</f>
        <v>4.0156709108716937E-2</v>
      </c>
      <c r="BG102" s="16">
        <f>AO102/'2019-20 disagg'!AO102-1</f>
        <v>4.8809471414110295E-2</v>
      </c>
      <c r="BH102" s="16">
        <f>AQ102/'2019-20 disagg'!AQ102-1</f>
        <v>3.8518273758245902E-2</v>
      </c>
      <c r="BI102" s="1"/>
      <c r="BJ102" s="16">
        <f>AS102/'2019-20 disagg'!AS102-1</f>
        <v>3.0962947333568858E-2</v>
      </c>
      <c r="BK102" s="16">
        <f>AT102/'2019-20 disagg'!AT102-1</f>
        <v>3.449668447540799E-2</v>
      </c>
      <c r="BL102" s="16">
        <f>AU102/'2019-20 disagg'!AU102-1</f>
        <v>4.3102362675718098E-2</v>
      </c>
      <c r="BM102" s="16">
        <f>AW102/'2019-20 disagg'!AW102-1</f>
        <v>3.2867164689642347E-2</v>
      </c>
    </row>
    <row r="103" spans="1:65" x14ac:dyDescent="0.2">
      <c r="A103" s="156" t="s">
        <v>251</v>
      </c>
      <c r="B103" s="156" t="s">
        <v>252</v>
      </c>
      <c r="D103" s="56">
        <f>VLOOKUP(A103,'2020-21'!$A$12:$AMX311,32,FALSE)</f>
        <v>196613</v>
      </c>
      <c r="E103" s="56">
        <v>1878.2676438305525</v>
      </c>
      <c r="F103" s="16">
        <f>VLOOKUP(A103,'2020-21'!$A$12:$AMX311,34,FALSE)</f>
        <v>3.8138233275252231E-2</v>
      </c>
      <c r="G103" s="16">
        <f>VLOOKUP(A103,'2020-21'!$A$12:$AMX311,35,FALSE)</f>
        <v>3.3568622328721931E-2</v>
      </c>
      <c r="H103" s="56"/>
      <c r="I103" s="56">
        <v>194509.74402250344</v>
      </c>
      <c r="J103" s="56">
        <v>1858.1749864313724</v>
      </c>
      <c r="K103" s="16">
        <f t="shared" si="23"/>
        <v>1.0813113698063592E-2</v>
      </c>
      <c r="L103" s="58">
        <f t="shared" si="23"/>
        <v>1.0813113698063592E-2</v>
      </c>
      <c r="M103" s="10"/>
      <c r="N103" s="56">
        <v>157867</v>
      </c>
      <c r="O103" s="56">
        <v>14539</v>
      </c>
      <c r="P103" s="56">
        <v>24207</v>
      </c>
      <c r="R103" s="56">
        <f t="shared" si="24"/>
        <v>24207</v>
      </c>
      <c r="S103" s="56">
        <f t="shared" si="25"/>
        <v>0</v>
      </c>
      <c r="U103" s="16">
        <v>2.5223700048807141E-2</v>
      </c>
      <c r="V103" s="16">
        <v>-2.1320357447006E-2</v>
      </c>
      <c r="W103" s="56">
        <f t="shared" si="26"/>
        <v>3</v>
      </c>
      <c r="X103" s="56">
        <f t="shared" si="27"/>
        <v>1539.8297951216359</v>
      </c>
      <c r="Y103" s="56">
        <f t="shared" si="27"/>
        <v>148.55729462271648</v>
      </c>
      <c r="AA103" s="56">
        <f t="shared" si="39"/>
        <v>0</v>
      </c>
      <c r="AB103" s="56">
        <v>0</v>
      </c>
      <c r="AC103" s="56">
        <f t="shared" si="28"/>
        <v>0</v>
      </c>
      <c r="AE103" s="56">
        <v>0</v>
      </c>
      <c r="AF103" s="56">
        <f t="shared" si="29"/>
        <v>0</v>
      </c>
      <c r="AG103" s="56">
        <f t="shared" si="30"/>
        <v>0</v>
      </c>
      <c r="AI103" s="56">
        <f t="shared" si="31"/>
        <v>0</v>
      </c>
      <c r="AJ103" s="56">
        <f t="shared" si="32"/>
        <v>0</v>
      </c>
      <c r="AK103" s="56">
        <f t="shared" si="33"/>
        <v>0</v>
      </c>
      <c r="AM103" s="56">
        <f t="shared" si="34"/>
        <v>157867</v>
      </c>
      <c r="AN103" s="56">
        <f t="shared" si="35"/>
        <v>14539</v>
      </c>
      <c r="AO103" s="56">
        <f t="shared" si="36"/>
        <v>24207</v>
      </c>
      <c r="AP103" s="56"/>
      <c r="AQ103" s="56">
        <f t="shared" si="37"/>
        <v>196613</v>
      </c>
      <c r="AR103" s="1"/>
      <c r="AS103" s="56">
        <v>1508.1224442361279</v>
      </c>
      <c r="AT103" s="56">
        <v>138.89281621079178</v>
      </c>
      <c r="AU103" s="56">
        <v>231.25238338363275</v>
      </c>
      <c r="AV103" s="56"/>
      <c r="AW103" s="56">
        <v>1878.2676438305525</v>
      </c>
      <c r="AX103" s="1"/>
      <c r="AY103" s="16">
        <v>2.5223700048807141E-2</v>
      </c>
      <c r="AZ103" s="16">
        <v>-2.1320357447006E-2</v>
      </c>
      <c r="BA103" s="16">
        <v>-5.7030620126023779E-2</v>
      </c>
      <c r="BB103" s="16">
        <f t="shared" si="38"/>
        <v>1.0813113698063592E-2</v>
      </c>
      <c r="BC103" s="16"/>
      <c r="BD103" s="1"/>
      <c r="BE103" s="16">
        <f>AM103/'2019-20 disagg'!AM103-1</f>
        <v>3.6600500351296583E-2</v>
      </c>
      <c r="BF103" s="16">
        <f>AN103/'2019-20 disagg'!AN103-1</f>
        <v>3.9093767867352858E-2</v>
      </c>
      <c r="BG103" s="16">
        <f>AO103/'2019-20 disagg'!AO103-1</f>
        <v>4.7695304046743159E-2</v>
      </c>
      <c r="BH103" s="16">
        <f>AQ103/'2019-20 disagg'!AQ103-1</f>
        <v>3.8138233275252231E-2</v>
      </c>
      <c r="BI103" s="1"/>
      <c r="BJ103" s="16">
        <f>AS103/'2019-20 disagg'!AS103-1</f>
        <v>3.2037658099894673E-2</v>
      </c>
      <c r="BK103" s="16">
        <f>AT103/'2019-20 disagg'!AT103-1</f>
        <v>3.4519950909337904E-2</v>
      </c>
      <c r="BL103" s="16">
        <f>AU103/'2019-20 disagg'!AU103-1</f>
        <v>4.3083625393028679E-2</v>
      </c>
      <c r="BM103" s="16">
        <f>AW103/'2019-20 disagg'!AW103-1</f>
        <v>3.3568622328721931E-2</v>
      </c>
    </row>
    <row r="104" spans="1:65" x14ac:dyDescent="0.2">
      <c r="A104" s="156" t="s">
        <v>253</v>
      </c>
      <c r="B104" s="156" t="s">
        <v>254</v>
      </c>
      <c r="D104" s="56">
        <f>VLOOKUP(A104,'2020-21'!$A$12:$AMX312,32,FALSE)</f>
        <v>636548.72009981109</v>
      </c>
      <c r="E104" s="56">
        <v>1603.8074091471706</v>
      </c>
      <c r="F104" s="16">
        <f>VLOOKUP(A104,'2020-21'!$A$12:$AMX312,34,FALSE)</f>
        <v>4.0615592018053093E-2</v>
      </c>
      <c r="G104" s="16">
        <f>VLOOKUP(A104,'2020-21'!$A$12:$AMX312,35,FALSE)</f>
        <v>3.5526121218798945E-2</v>
      </c>
      <c r="H104" s="56"/>
      <c r="I104" s="56">
        <v>649186.70179534343</v>
      </c>
      <c r="J104" s="56">
        <v>1635.6492588594485</v>
      </c>
      <c r="K104" s="16">
        <f t="shared" si="23"/>
        <v>-1.9467406927131559E-2</v>
      </c>
      <c r="L104" s="58">
        <f t="shared" si="23"/>
        <v>-1.9467406927131559E-2</v>
      </c>
      <c r="M104" s="10"/>
      <c r="N104" s="56">
        <v>471107</v>
      </c>
      <c r="O104" s="56">
        <v>55357</v>
      </c>
      <c r="P104" s="56">
        <v>108997</v>
      </c>
      <c r="R104" s="56">
        <f t="shared" si="24"/>
        <v>108997</v>
      </c>
      <c r="S104" s="56">
        <f t="shared" si="25"/>
        <v>1087.720099811093</v>
      </c>
      <c r="U104" s="16">
        <v>-1.1255529263945796E-2</v>
      </c>
      <c r="V104" s="16">
        <v>-4.7991380596936417E-2</v>
      </c>
      <c r="W104" s="56">
        <f t="shared" si="26"/>
        <v>4</v>
      </c>
      <c r="X104" s="56">
        <f t="shared" si="27"/>
        <v>4764.6992114079012</v>
      </c>
      <c r="Y104" s="56">
        <f t="shared" si="27"/>
        <v>581.47582775784542</v>
      </c>
      <c r="AA104" s="56">
        <f t="shared" si="39"/>
        <v>0</v>
      </c>
      <c r="AB104" s="56">
        <v>0</v>
      </c>
      <c r="AC104" s="56">
        <f t="shared" si="28"/>
        <v>1087.720099811093</v>
      </c>
      <c r="AE104" s="56">
        <v>0</v>
      </c>
      <c r="AF104" s="56">
        <f t="shared" si="29"/>
        <v>0</v>
      </c>
      <c r="AG104" s="56">
        <f t="shared" si="30"/>
        <v>1087.720099811093</v>
      </c>
      <c r="AI104" s="56">
        <f t="shared" si="31"/>
        <v>969.41440634371293</v>
      </c>
      <c r="AJ104" s="56">
        <f t="shared" si="32"/>
        <v>118.30569346738008</v>
      </c>
      <c r="AK104" s="56">
        <f t="shared" si="33"/>
        <v>0</v>
      </c>
      <c r="AM104" s="56">
        <f t="shared" si="34"/>
        <v>472076</v>
      </c>
      <c r="AN104" s="56">
        <f t="shared" si="35"/>
        <v>55475</v>
      </c>
      <c r="AO104" s="56">
        <f t="shared" si="36"/>
        <v>108997</v>
      </c>
      <c r="AP104" s="56"/>
      <c r="AQ104" s="56">
        <f t="shared" si="37"/>
        <v>636548</v>
      </c>
      <c r="AR104" s="1"/>
      <c r="AS104" s="56">
        <v>1189.4124716201504</v>
      </c>
      <c r="AT104" s="56">
        <v>139.77125899882191</v>
      </c>
      <c r="AU104" s="56">
        <v>274.62186421080833</v>
      </c>
      <c r="AV104" s="56"/>
      <c r="AW104" s="56">
        <v>1603.8055948297808</v>
      </c>
      <c r="AX104" s="1"/>
      <c r="AY104" s="16">
        <v>-9.2218227129006181E-3</v>
      </c>
      <c r="AZ104" s="16">
        <v>-4.5962061502882179E-2</v>
      </c>
      <c r="BA104" s="16">
        <v>-4.8636090519416642E-2</v>
      </c>
      <c r="BB104" s="16">
        <f t="shared" si="38"/>
        <v>-1.9468516160899063E-2</v>
      </c>
      <c r="BC104" s="16"/>
      <c r="BD104" s="1"/>
      <c r="BE104" s="16">
        <f>AM104/'2019-20 disagg'!AM104-1</f>
        <v>3.8732774004176296E-2</v>
      </c>
      <c r="BF104" s="16">
        <f>AN104/'2019-20 disagg'!AN104-1</f>
        <v>4.180360194557653E-2</v>
      </c>
      <c r="BG104" s="16">
        <f>AO104/'2019-20 disagg'!AO104-1</f>
        <v>4.8229501259833496E-2</v>
      </c>
      <c r="BH104" s="16">
        <f>AQ104/'2019-20 disagg'!AQ104-1</f>
        <v>4.0614414815008493E-2</v>
      </c>
      <c r="BI104" s="1"/>
      <c r="BJ104" s="16">
        <f>AS104/'2019-20 disagg'!AS104-1</f>
        <v>3.365251174203765E-2</v>
      </c>
      <c r="BK104" s="16">
        <f>AT104/'2019-20 disagg'!AT104-1</f>
        <v>3.6708320795332483E-2</v>
      </c>
      <c r="BL104" s="16">
        <f>AU104/'2019-20 disagg'!AU104-1</f>
        <v>4.3102792147938773E-2</v>
      </c>
      <c r="BM104" s="16">
        <f>AW104/'2019-20 disagg'!AW104-1</f>
        <v>3.5524949773251047E-2</v>
      </c>
    </row>
    <row r="105" spans="1:65" x14ac:dyDescent="0.2">
      <c r="A105" s="156" t="s">
        <v>255</v>
      </c>
      <c r="B105" s="156" t="s">
        <v>256</v>
      </c>
      <c r="D105" s="56">
        <f>VLOOKUP(A105,'2020-21'!$A$12:$AMX313,32,FALSE)</f>
        <v>479693.3154656291</v>
      </c>
      <c r="E105" s="56">
        <v>1887.3659192975631</v>
      </c>
      <c r="F105" s="16">
        <f>VLOOKUP(A105,'2020-21'!$A$12:$AMX313,34,FALSE)</f>
        <v>4.1722276197343922E-2</v>
      </c>
      <c r="G105" s="16">
        <f>VLOOKUP(A105,'2020-21'!$A$12:$AMX313,35,FALSE)</f>
        <v>3.4785167655489779E-2</v>
      </c>
      <c r="H105" s="56"/>
      <c r="I105" s="56">
        <v>488776.1355859515</v>
      </c>
      <c r="J105" s="56">
        <v>1923.1025130617825</v>
      </c>
      <c r="K105" s="16">
        <f t="shared" si="23"/>
        <v>-1.8582781480183774E-2</v>
      </c>
      <c r="L105" s="58">
        <f t="shared" si="23"/>
        <v>-1.8582781480183774E-2</v>
      </c>
      <c r="M105" s="10"/>
      <c r="N105" s="56">
        <v>370595</v>
      </c>
      <c r="O105" s="56">
        <v>39730</v>
      </c>
      <c r="P105" s="56">
        <v>68061</v>
      </c>
      <c r="R105" s="56">
        <f t="shared" si="24"/>
        <v>68061</v>
      </c>
      <c r="S105" s="56">
        <f t="shared" si="25"/>
        <v>1307.3154656291008</v>
      </c>
      <c r="U105" s="16">
        <v>-3.7610714472690043E-3</v>
      </c>
      <c r="V105" s="16">
        <v>5.0571120462803432E-2</v>
      </c>
      <c r="W105" s="56">
        <f t="shared" si="26"/>
        <v>1</v>
      </c>
      <c r="X105" s="56">
        <f t="shared" si="27"/>
        <v>3719.940963744265</v>
      </c>
      <c r="Y105" s="56">
        <f t="shared" si="27"/>
        <v>378.1752536896114</v>
      </c>
      <c r="AA105" s="56">
        <f t="shared" si="39"/>
        <v>1307.3154656291008</v>
      </c>
      <c r="AB105" s="56">
        <v>0</v>
      </c>
      <c r="AC105" s="56">
        <f t="shared" si="28"/>
        <v>0</v>
      </c>
      <c r="AE105" s="56">
        <v>0</v>
      </c>
      <c r="AF105" s="56">
        <f t="shared" si="29"/>
        <v>0</v>
      </c>
      <c r="AG105" s="56">
        <f t="shared" si="30"/>
        <v>0</v>
      </c>
      <c r="AI105" s="56">
        <f t="shared" si="31"/>
        <v>0</v>
      </c>
      <c r="AJ105" s="56">
        <f t="shared" si="32"/>
        <v>0</v>
      </c>
      <c r="AK105" s="56">
        <f t="shared" si="33"/>
        <v>0</v>
      </c>
      <c r="AM105" s="56">
        <f t="shared" si="34"/>
        <v>371902</v>
      </c>
      <c r="AN105" s="56">
        <f t="shared" si="35"/>
        <v>39730</v>
      </c>
      <c r="AO105" s="56">
        <f t="shared" si="36"/>
        <v>68061</v>
      </c>
      <c r="AP105" s="56"/>
      <c r="AQ105" s="56">
        <f t="shared" si="37"/>
        <v>479693</v>
      </c>
      <c r="AR105" s="1"/>
      <c r="AS105" s="56">
        <v>1463.2581640985902</v>
      </c>
      <c r="AT105" s="56">
        <v>156.31872606126612</v>
      </c>
      <c r="AU105" s="56">
        <v>267.78778792992279</v>
      </c>
      <c r="AV105" s="56"/>
      <c r="AW105" s="56">
        <v>1887.3646780897793</v>
      </c>
      <c r="AX105" s="1"/>
      <c r="AY105" s="16">
        <v>-2.4757482799886432E-4</v>
      </c>
      <c r="AZ105" s="16">
        <v>5.0571120462803432E-2</v>
      </c>
      <c r="BA105" s="16">
        <v>-0.13808118751041498</v>
      </c>
      <c r="BB105" s="16">
        <f t="shared" si="38"/>
        <v>-1.8583426899642985E-2</v>
      </c>
      <c r="BC105" s="16"/>
      <c r="BD105" s="1"/>
      <c r="BE105" s="16">
        <f>AM105/'2019-20 disagg'!AM105-1</f>
        <v>4.0256216609325657E-2</v>
      </c>
      <c r="BF105" s="16">
        <f>AN105/'2019-20 disagg'!AN105-1</f>
        <v>4.1224414917315322E-2</v>
      </c>
      <c r="BG105" s="16">
        <f>AO105/'2019-20 disagg'!AO105-1</f>
        <v>5.0097201221958265E-2</v>
      </c>
      <c r="BH105" s="16">
        <f>AQ105/'2019-20 disagg'!AQ105-1</f>
        <v>4.1721591118851764E-2</v>
      </c>
      <c r="BI105" s="1"/>
      <c r="BJ105" s="16">
        <f>AS105/'2019-20 disagg'!AS105-1</f>
        <v>3.3328870952189726E-2</v>
      </c>
      <c r="BK105" s="16">
        <f>AT105/'2019-20 disagg'!AT105-1</f>
        <v>3.429062176749742E-2</v>
      </c>
      <c r="BL105" s="16">
        <f>AU105/'2019-20 disagg'!AU105-1</f>
        <v>4.3104321804071866E-2</v>
      </c>
      <c r="BM105" s="16">
        <f>AW105/'2019-20 disagg'!AW105-1</f>
        <v>3.4784487139119635E-2</v>
      </c>
    </row>
    <row r="106" spans="1:65" x14ac:dyDescent="0.2">
      <c r="A106" s="156" t="s">
        <v>257</v>
      </c>
      <c r="B106" s="156" t="s">
        <v>258</v>
      </c>
      <c r="D106" s="56">
        <f>VLOOKUP(A106,'2020-21'!$A$12:$AMX314,32,FALSE)</f>
        <v>406538</v>
      </c>
      <c r="E106" s="56">
        <v>1689.7173256212454</v>
      </c>
      <c r="F106" s="16">
        <f>VLOOKUP(A106,'2020-21'!$A$12:$AMX314,34,FALSE)</f>
        <v>3.8790669388818921E-2</v>
      </c>
      <c r="G106" s="16">
        <f>VLOOKUP(A106,'2020-21'!$A$12:$AMX314,35,FALSE)</f>
        <v>3.3428417904032282E-2</v>
      </c>
      <c r="H106" s="56"/>
      <c r="I106" s="56">
        <v>410204.57914614421</v>
      </c>
      <c r="J106" s="56">
        <v>1704.956939898389</v>
      </c>
      <c r="K106" s="16">
        <f t="shared" si="23"/>
        <v>-8.9384159332797086E-3</v>
      </c>
      <c r="L106" s="58">
        <f t="shared" si="23"/>
        <v>-8.9384159332797086E-3</v>
      </c>
      <c r="M106" s="10"/>
      <c r="N106" s="56">
        <v>307211</v>
      </c>
      <c r="O106" s="56">
        <v>32949</v>
      </c>
      <c r="P106" s="56">
        <v>66378</v>
      </c>
      <c r="R106" s="56">
        <f t="shared" si="24"/>
        <v>66378</v>
      </c>
      <c r="S106" s="56">
        <f t="shared" si="25"/>
        <v>0</v>
      </c>
      <c r="U106" s="16">
        <v>1.1140256953233285E-2</v>
      </c>
      <c r="V106" s="16">
        <v>-9.3493368141350786E-3</v>
      </c>
      <c r="W106" s="56">
        <f t="shared" si="26"/>
        <v>3</v>
      </c>
      <c r="X106" s="56">
        <f t="shared" si="27"/>
        <v>3038.2629698246596</v>
      </c>
      <c r="Y106" s="56">
        <f t="shared" si="27"/>
        <v>332.59958554954443</v>
      </c>
      <c r="AA106" s="56">
        <f t="shared" si="39"/>
        <v>0</v>
      </c>
      <c r="AB106" s="56">
        <v>0</v>
      </c>
      <c r="AC106" s="56">
        <f t="shared" si="28"/>
        <v>0</v>
      </c>
      <c r="AE106" s="56">
        <v>0</v>
      </c>
      <c r="AF106" s="56">
        <f t="shared" si="29"/>
        <v>0</v>
      </c>
      <c r="AG106" s="56">
        <f t="shared" si="30"/>
        <v>0</v>
      </c>
      <c r="AI106" s="56">
        <f t="shared" si="31"/>
        <v>0</v>
      </c>
      <c r="AJ106" s="56">
        <f t="shared" si="32"/>
        <v>0</v>
      </c>
      <c r="AK106" s="56">
        <f t="shared" si="33"/>
        <v>0</v>
      </c>
      <c r="AM106" s="56">
        <f t="shared" si="34"/>
        <v>307211</v>
      </c>
      <c r="AN106" s="56">
        <f t="shared" si="35"/>
        <v>32949</v>
      </c>
      <c r="AO106" s="56">
        <f t="shared" si="36"/>
        <v>66378</v>
      </c>
      <c r="AP106" s="56"/>
      <c r="AQ106" s="56">
        <f t="shared" si="37"/>
        <v>406538</v>
      </c>
      <c r="AR106" s="1"/>
      <c r="AS106" s="56">
        <v>1276.8787894893674</v>
      </c>
      <c r="AT106" s="56">
        <v>136.94782815356601</v>
      </c>
      <c r="AU106" s="56">
        <v>275.89070797831209</v>
      </c>
      <c r="AV106" s="56"/>
      <c r="AW106" s="56">
        <v>1689.7173256212454</v>
      </c>
      <c r="AX106" s="1"/>
      <c r="AY106" s="16">
        <v>1.1140256953233285E-2</v>
      </c>
      <c r="AZ106" s="16">
        <v>-9.3493368141350786E-3</v>
      </c>
      <c r="BA106" s="16">
        <v>-9.2183782067996156E-2</v>
      </c>
      <c r="BB106" s="16">
        <f t="shared" si="38"/>
        <v>-8.9384159332797086E-3</v>
      </c>
      <c r="BC106" s="16"/>
      <c r="BD106" s="1"/>
      <c r="BE106" s="16">
        <f>AM106/'2019-20 disagg'!AM106-1</f>
        <v>3.6600261840169512E-2</v>
      </c>
      <c r="BF106" s="16">
        <f>AN106/'2019-20 disagg'!AN106-1</f>
        <v>3.9859875023669833E-2</v>
      </c>
      <c r="BG106" s="16">
        <f>AO106/'2019-20 disagg'!AO106-1</f>
        <v>4.8509643483342968E-2</v>
      </c>
      <c r="BH106" s="16">
        <f>AQ106/'2019-20 disagg'!AQ106-1</f>
        <v>3.8790669388818921E-2</v>
      </c>
      <c r="BI106" s="1"/>
      <c r="BJ106" s="16">
        <f>AS106/'2019-20 disagg'!AS106-1</f>
        <v>3.124931726877378E-2</v>
      </c>
      <c r="BK106" s="16">
        <f>AT106/'2019-20 disagg'!AT106-1</f>
        <v>3.4492104284935099E-2</v>
      </c>
      <c r="BL106" s="16">
        <f>AU106/'2019-20 disagg'!AU106-1</f>
        <v>4.3097222522833656E-2</v>
      </c>
      <c r="BM106" s="16">
        <f>AW106/'2019-20 disagg'!AW106-1</f>
        <v>3.3428417904032282E-2</v>
      </c>
    </row>
    <row r="107" spans="1:65" x14ac:dyDescent="0.2">
      <c r="A107" s="156" t="s">
        <v>259</v>
      </c>
      <c r="B107" s="156" t="s">
        <v>260</v>
      </c>
      <c r="D107" s="56">
        <f>VLOOKUP(A107,'2020-21'!$A$12:$AMX315,32,FALSE)</f>
        <v>361312.1240372858</v>
      </c>
      <c r="E107" s="56">
        <v>1862.5907211977508</v>
      </c>
      <c r="F107" s="16">
        <f>VLOOKUP(A107,'2020-21'!$A$12:$AMX315,34,FALSE)</f>
        <v>3.9765072309984717E-2</v>
      </c>
      <c r="G107" s="16">
        <f>VLOOKUP(A107,'2020-21'!$A$12:$AMX315,35,FALSE)</f>
        <v>3.4752832015342738E-2</v>
      </c>
      <c r="H107" s="56"/>
      <c r="I107" s="56">
        <v>368135.90736523119</v>
      </c>
      <c r="J107" s="56">
        <v>1897.7678289240982</v>
      </c>
      <c r="K107" s="16">
        <f t="shared" si="23"/>
        <v>-1.8536043867015239E-2</v>
      </c>
      <c r="L107" s="58">
        <f t="shared" si="23"/>
        <v>-1.8536043867015239E-2</v>
      </c>
      <c r="M107" s="10"/>
      <c r="N107" s="56">
        <v>277995</v>
      </c>
      <c r="O107" s="56">
        <v>28515</v>
      </c>
      <c r="P107" s="56">
        <v>54382</v>
      </c>
      <c r="R107" s="56">
        <f t="shared" si="24"/>
        <v>54382</v>
      </c>
      <c r="S107" s="56">
        <f t="shared" si="25"/>
        <v>420.12403728580102</v>
      </c>
      <c r="U107" s="16">
        <v>-1.1202341280379446E-2</v>
      </c>
      <c r="V107" s="16">
        <v>1.9635954993540983E-2</v>
      </c>
      <c r="W107" s="56">
        <f t="shared" si="26"/>
        <v>1</v>
      </c>
      <c r="X107" s="56">
        <f t="shared" si="27"/>
        <v>2811.4447637342873</v>
      </c>
      <c r="Y107" s="56">
        <f t="shared" si="27"/>
        <v>279.65863561746045</v>
      </c>
      <c r="AA107" s="56">
        <f t="shared" si="39"/>
        <v>420.12403728580102</v>
      </c>
      <c r="AB107" s="56">
        <v>0</v>
      </c>
      <c r="AC107" s="56">
        <f t="shared" si="28"/>
        <v>0</v>
      </c>
      <c r="AE107" s="56">
        <v>0</v>
      </c>
      <c r="AF107" s="56">
        <f t="shared" si="29"/>
        <v>0</v>
      </c>
      <c r="AG107" s="56">
        <f t="shared" si="30"/>
        <v>0</v>
      </c>
      <c r="AI107" s="56">
        <f t="shared" si="31"/>
        <v>0</v>
      </c>
      <c r="AJ107" s="56">
        <f t="shared" si="32"/>
        <v>0</v>
      </c>
      <c r="AK107" s="56">
        <f t="shared" si="33"/>
        <v>0</v>
      </c>
      <c r="AM107" s="56">
        <f t="shared" si="34"/>
        <v>278415</v>
      </c>
      <c r="AN107" s="56">
        <f t="shared" si="35"/>
        <v>28515</v>
      </c>
      <c r="AO107" s="56">
        <f t="shared" si="36"/>
        <v>54382</v>
      </c>
      <c r="AP107" s="56"/>
      <c r="AQ107" s="56">
        <f t="shared" si="37"/>
        <v>361312</v>
      </c>
      <c r="AR107" s="1"/>
      <c r="AS107" s="56">
        <v>1435.2499159113668</v>
      </c>
      <c r="AT107" s="56">
        <v>146.99693390159518</v>
      </c>
      <c r="AU107" s="56">
        <v>280.34323196340699</v>
      </c>
      <c r="AV107" s="56"/>
      <c r="AW107" s="56">
        <v>1862.5900817763691</v>
      </c>
      <c r="AX107" s="1"/>
      <c r="AY107" s="16">
        <v>-9.7084474453743574E-3</v>
      </c>
      <c r="AZ107" s="16">
        <v>1.9635954993540983E-2</v>
      </c>
      <c r="BA107" s="16">
        <v>-7.8670441170412442E-2</v>
      </c>
      <c r="BB107" s="16">
        <f t="shared" si="38"/>
        <v>-1.853638080042308E-2</v>
      </c>
      <c r="BC107" s="16"/>
      <c r="BD107" s="1"/>
      <c r="BE107" s="16">
        <f>AM107/'2019-20 disagg'!AM107-1</f>
        <v>3.8168536686317811E-2</v>
      </c>
      <c r="BF107" s="16">
        <f>AN107/'2019-20 disagg'!AN107-1</f>
        <v>3.9517334402683124E-2</v>
      </c>
      <c r="BG107" s="16">
        <f>AO107/'2019-20 disagg'!AO107-1</f>
        <v>4.8145863850127313E-2</v>
      </c>
      <c r="BH107" s="16">
        <f>AQ107/'2019-20 disagg'!AQ107-1</f>
        <v>3.9764715361991776E-2</v>
      </c>
      <c r="BI107" s="1"/>
      <c r="BJ107" s="16">
        <f>AS107/'2019-20 disagg'!AS107-1</f>
        <v>3.3163992572667E-2</v>
      </c>
      <c r="BK107" s="16">
        <f>AT107/'2019-20 disagg'!AT107-1</f>
        <v>3.4506288341194846E-2</v>
      </c>
      <c r="BL107" s="16">
        <f>AU107/'2019-20 disagg'!AU107-1</f>
        <v>4.3093223524577118E-2</v>
      </c>
      <c r="BM107" s="16">
        <f>AW107/'2019-20 disagg'!AW107-1</f>
        <v>3.4752476788035835E-2</v>
      </c>
    </row>
    <row r="108" spans="1:65" x14ac:dyDescent="0.2">
      <c r="A108" s="156" t="s">
        <v>261</v>
      </c>
      <c r="B108" s="156" t="s">
        <v>262</v>
      </c>
      <c r="D108" s="56">
        <f>VLOOKUP(A108,'2020-21'!$A$12:$AMX316,32,FALSE)</f>
        <v>466386.57263050333</v>
      </c>
      <c r="E108" s="56">
        <v>1546.1107440113049</v>
      </c>
      <c r="F108" s="16">
        <f>VLOOKUP(A108,'2020-21'!$A$12:$AMX316,34,FALSE)</f>
        <v>5.0091463777113265E-2</v>
      </c>
      <c r="G108" s="16">
        <f>VLOOKUP(A108,'2020-21'!$A$12:$AMX316,35,FALSE)</f>
        <v>3.7296618703198225E-2</v>
      </c>
      <c r="H108" s="56"/>
      <c r="I108" s="56">
        <v>476500.4730763429</v>
      </c>
      <c r="J108" s="56">
        <v>1579.6391752759027</v>
      </c>
      <c r="K108" s="16">
        <f t="shared" si="23"/>
        <v>-2.1225373357014798E-2</v>
      </c>
      <c r="L108" s="58">
        <f t="shared" si="23"/>
        <v>-2.1225373357014687E-2</v>
      </c>
      <c r="M108" s="10"/>
      <c r="N108" s="56">
        <v>332509</v>
      </c>
      <c r="O108" s="56">
        <v>37290</v>
      </c>
      <c r="P108" s="56">
        <v>92675</v>
      </c>
      <c r="R108" s="56">
        <f t="shared" si="24"/>
        <v>92675</v>
      </c>
      <c r="S108" s="56">
        <f t="shared" si="25"/>
        <v>3912.5726305033313</v>
      </c>
      <c r="U108" s="16">
        <v>-4.6397274724249371E-2</v>
      </c>
      <c r="V108" s="16">
        <v>-4.2747341431803143E-2</v>
      </c>
      <c r="W108" s="56">
        <f t="shared" si="26"/>
        <v>4</v>
      </c>
      <c r="X108" s="56">
        <f t="shared" si="27"/>
        <v>3486.8713268814254</v>
      </c>
      <c r="Y108" s="56">
        <f t="shared" si="27"/>
        <v>389.55232629780551</v>
      </c>
      <c r="AA108" s="56">
        <f t="shared" si="39"/>
        <v>0</v>
      </c>
      <c r="AB108" s="56">
        <v>0</v>
      </c>
      <c r="AC108" s="56">
        <f t="shared" si="28"/>
        <v>3912.5726305033313</v>
      </c>
      <c r="AE108" s="56">
        <v>0</v>
      </c>
      <c r="AF108" s="56">
        <f t="shared" si="29"/>
        <v>0</v>
      </c>
      <c r="AG108" s="56">
        <f t="shared" si="30"/>
        <v>3912.5726305033313</v>
      </c>
      <c r="AI108" s="56">
        <f t="shared" si="31"/>
        <v>3519.3875954332684</v>
      </c>
      <c r="AJ108" s="56">
        <f t="shared" si="32"/>
        <v>393.18503507006284</v>
      </c>
      <c r="AK108" s="56">
        <f t="shared" si="33"/>
        <v>0</v>
      </c>
      <c r="AM108" s="56">
        <f t="shared" si="34"/>
        <v>336028</v>
      </c>
      <c r="AN108" s="56">
        <f t="shared" si="35"/>
        <v>37683</v>
      </c>
      <c r="AO108" s="56">
        <f t="shared" si="36"/>
        <v>92675</v>
      </c>
      <c r="AP108" s="56"/>
      <c r="AQ108" s="56">
        <f t="shared" si="37"/>
        <v>466386</v>
      </c>
      <c r="AR108" s="1"/>
      <c r="AS108" s="56">
        <v>1113.9611034647767</v>
      </c>
      <c r="AT108" s="56">
        <v>124.92231677676617</v>
      </c>
      <c r="AU108" s="56">
        <v>307.22542545144506</v>
      </c>
      <c r="AV108" s="56"/>
      <c r="AW108" s="56">
        <v>1546.1088456929879</v>
      </c>
      <c r="AX108" s="1"/>
      <c r="AY108" s="16">
        <v>-3.6305132886749081E-2</v>
      </c>
      <c r="AZ108" s="16">
        <v>-3.2658837950513275E-2</v>
      </c>
      <c r="BA108" s="16">
        <v>4.295491247638572E-2</v>
      </c>
      <c r="BB108" s="16">
        <f t="shared" si="38"/>
        <v>-2.1226575098745815E-2</v>
      </c>
      <c r="BC108" s="16"/>
      <c r="BD108" s="1"/>
      <c r="BE108" s="16">
        <f>AM108/'2019-20 disagg'!AM108-1</f>
        <v>4.7570058203878718E-2</v>
      </c>
      <c r="BF108" s="16">
        <f>AN108/'2019-20 disagg'!AN108-1</f>
        <v>5.8303142640492078E-2</v>
      </c>
      <c r="BG108" s="16">
        <f>AO108/'2019-20 disagg'!AO108-1</f>
        <v>5.5968916285906278E-2</v>
      </c>
      <c r="BH108" s="16">
        <f>AQ108/'2019-20 disagg'!AQ108-1</f>
        <v>5.0090174472406268E-2</v>
      </c>
      <c r="BI108" s="1"/>
      <c r="BJ108" s="16">
        <f>AS108/'2019-20 disagg'!AS108-1</f>
        <v>3.4805935209697436E-2</v>
      </c>
      <c r="BK108" s="16">
        <f>AT108/'2019-20 disagg'!AT108-1</f>
        <v>4.5408242321412162E-2</v>
      </c>
      <c r="BL108" s="16">
        <f>AU108/'2019-20 disagg'!AU108-1</f>
        <v>4.3102457360366442E-2</v>
      </c>
      <c r="BM108" s="16">
        <f>AW108/'2019-20 disagg'!AW108-1</f>
        <v>3.7295345108031119E-2</v>
      </c>
    </row>
    <row r="109" spans="1:65" x14ac:dyDescent="0.2">
      <c r="A109" s="156" t="s">
        <v>263</v>
      </c>
      <c r="B109" s="156" t="s">
        <v>264</v>
      </c>
      <c r="D109" s="56">
        <f>VLOOKUP(A109,'2020-21'!$A$12:$AMX317,32,FALSE)</f>
        <v>1123584.8999451529</v>
      </c>
      <c r="E109" s="56">
        <v>1636.5497464486491</v>
      </c>
      <c r="F109" s="16">
        <f>VLOOKUP(A109,'2020-21'!$A$12:$AMX317,34,FALSE)</f>
        <v>4.4256881672053661E-2</v>
      </c>
      <c r="G109" s="16">
        <f>VLOOKUP(A109,'2020-21'!$A$12:$AMX317,35,FALSE)</f>
        <v>3.6426537157288053E-2</v>
      </c>
      <c r="H109" s="56"/>
      <c r="I109" s="56">
        <v>1146672.8596585873</v>
      </c>
      <c r="J109" s="56">
        <v>1670.1783530780917</v>
      </c>
      <c r="K109" s="16">
        <f t="shared" si="23"/>
        <v>-2.0134739842284755E-2</v>
      </c>
      <c r="L109" s="58">
        <f t="shared" si="23"/>
        <v>-2.0134739842284533E-2</v>
      </c>
      <c r="M109" s="10"/>
      <c r="N109" s="56">
        <v>846375</v>
      </c>
      <c r="O109" s="56">
        <v>91519</v>
      </c>
      <c r="P109" s="56">
        <v>180423</v>
      </c>
      <c r="R109" s="56">
        <f t="shared" si="24"/>
        <v>180423</v>
      </c>
      <c r="S109" s="56">
        <f t="shared" si="25"/>
        <v>5267.8999451529235</v>
      </c>
      <c r="U109" s="16">
        <v>-2.4657341437408609E-2</v>
      </c>
      <c r="V109" s="16">
        <v>-1.938370742656581E-2</v>
      </c>
      <c r="W109" s="56">
        <f t="shared" si="26"/>
        <v>4</v>
      </c>
      <c r="X109" s="56">
        <f t="shared" si="27"/>
        <v>8677.7194924227224</v>
      </c>
      <c r="Y109" s="56">
        <f t="shared" si="27"/>
        <v>933.28043489698121</v>
      </c>
      <c r="AA109" s="56">
        <f t="shared" si="39"/>
        <v>0</v>
      </c>
      <c r="AB109" s="56">
        <v>0</v>
      </c>
      <c r="AC109" s="56">
        <f t="shared" si="28"/>
        <v>5267.8999451529235</v>
      </c>
      <c r="AE109" s="56">
        <v>0</v>
      </c>
      <c r="AF109" s="56">
        <f t="shared" si="29"/>
        <v>0</v>
      </c>
      <c r="AG109" s="56">
        <f t="shared" si="30"/>
        <v>5267.8999451529235</v>
      </c>
      <c r="AI109" s="56">
        <f t="shared" si="31"/>
        <v>4756.3581712495716</v>
      </c>
      <c r="AJ109" s="56">
        <f t="shared" si="32"/>
        <v>511.54177390335155</v>
      </c>
      <c r="AK109" s="56">
        <f t="shared" si="33"/>
        <v>0</v>
      </c>
      <c r="AM109" s="56">
        <f t="shared" si="34"/>
        <v>851131</v>
      </c>
      <c r="AN109" s="56">
        <f t="shared" si="35"/>
        <v>92031</v>
      </c>
      <c r="AO109" s="56">
        <f t="shared" si="36"/>
        <v>180423</v>
      </c>
      <c r="AP109" s="56"/>
      <c r="AQ109" s="56">
        <f t="shared" si="37"/>
        <v>1123585</v>
      </c>
      <c r="AR109" s="1"/>
      <c r="AS109" s="56">
        <v>1239.7089194706866</v>
      </c>
      <c r="AT109" s="56">
        <v>134.04711092394325</v>
      </c>
      <c r="AU109" s="56">
        <v>262.79386178820846</v>
      </c>
      <c r="AV109" s="56"/>
      <c r="AW109" s="56">
        <v>1636.5498921828382</v>
      </c>
      <c r="AX109" s="1"/>
      <c r="AY109" s="16">
        <v>-1.9176638812539393E-2</v>
      </c>
      <c r="AZ109" s="16">
        <v>-1.3897682209970341E-2</v>
      </c>
      <c r="BA109" s="16">
        <v>-2.7751184814390095E-2</v>
      </c>
      <c r="BB109" s="16">
        <f t="shared" si="38"/>
        <v>-2.013465258562197E-2</v>
      </c>
      <c r="BC109" s="16"/>
      <c r="BD109" s="1"/>
      <c r="BE109" s="16">
        <f>AM109/'2019-20 disagg'!AM109-1</f>
        <v>4.2425452331991353E-2</v>
      </c>
      <c r="BF109" s="16">
        <f>AN109/'2019-20 disagg'!AN109-1</f>
        <v>4.8141314746480868E-2</v>
      </c>
      <c r="BG109" s="16">
        <f>AO109/'2019-20 disagg'!AO109-1</f>
        <v>5.0981237366823695E-2</v>
      </c>
      <c r="BH109" s="16">
        <f>AQ109/'2019-20 disagg'!AQ109-1</f>
        <v>4.4256974662768123E-2</v>
      </c>
      <c r="BI109" s="1"/>
      <c r="BJ109" s="16">
        <f>AS109/'2019-20 disagg'!AS109-1</f>
        <v>3.4608840762575532E-2</v>
      </c>
      <c r="BK109" s="16">
        <f>AT109/'2019-20 disagg'!AT109-1</f>
        <v>4.0281842868753692E-2</v>
      </c>
      <c r="BL109" s="16">
        <f>AU109/'2019-20 disagg'!AU109-1</f>
        <v>4.3100470372058997E-2</v>
      </c>
      <c r="BM109" s="16">
        <f>AW109/'2019-20 disagg'!AW109-1</f>
        <v>3.6426629450712955E-2</v>
      </c>
    </row>
    <row r="110" spans="1:65" x14ac:dyDescent="0.2">
      <c r="A110" s="156" t="s">
        <v>265</v>
      </c>
      <c r="B110" s="156" t="s">
        <v>266</v>
      </c>
      <c r="D110" s="56">
        <f>VLOOKUP(A110,'2020-21'!$A$12:$AMX318,32,FALSE)</f>
        <v>232397.25183378925</v>
      </c>
      <c r="E110" s="56">
        <v>1721.0857725958433</v>
      </c>
      <c r="F110" s="16">
        <f>VLOOKUP(A110,'2020-21'!$A$12:$AMX318,34,FALSE)</f>
        <v>4.0898532843286706E-2</v>
      </c>
      <c r="G110" s="16">
        <f>VLOOKUP(A110,'2020-21'!$A$12:$AMX318,35,FALSE)</f>
        <v>3.4740350887189964E-2</v>
      </c>
      <c r="H110" s="56"/>
      <c r="I110" s="56">
        <v>236751.16138214883</v>
      </c>
      <c r="J110" s="56">
        <v>1753.3299222995161</v>
      </c>
      <c r="K110" s="16">
        <f t="shared" si="23"/>
        <v>-1.8390235228167517E-2</v>
      </c>
      <c r="L110" s="58">
        <f t="shared" si="23"/>
        <v>-1.8390235228167517E-2</v>
      </c>
      <c r="M110" s="10"/>
      <c r="N110" s="56">
        <v>181478</v>
      </c>
      <c r="O110" s="56">
        <v>18704</v>
      </c>
      <c r="P110" s="56">
        <v>31713</v>
      </c>
      <c r="R110" s="56">
        <f t="shared" si="24"/>
        <v>31713</v>
      </c>
      <c r="S110" s="56">
        <f t="shared" si="25"/>
        <v>502.25183378925431</v>
      </c>
      <c r="U110" s="16">
        <v>-1.0282445139516705E-2</v>
      </c>
      <c r="V110" s="16">
        <v>1.5914745401980568E-2</v>
      </c>
      <c r="W110" s="56">
        <f t="shared" si="26"/>
        <v>1</v>
      </c>
      <c r="X110" s="56">
        <f t="shared" si="27"/>
        <v>1833.6342435148808</v>
      </c>
      <c r="Y110" s="56">
        <f t="shared" si="27"/>
        <v>184.1099372231194</v>
      </c>
      <c r="AA110" s="56">
        <f t="shared" si="39"/>
        <v>502.25183378925431</v>
      </c>
      <c r="AB110" s="56">
        <v>0</v>
      </c>
      <c r="AC110" s="56">
        <f t="shared" si="28"/>
        <v>0</v>
      </c>
      <c r="AE110" s="56">
        <v>0</v>
      </c>
      <c r="AF110" s="56">
        <f t="shared" si="29"/>
        <v>0</v>
      </c>
      <c r="AG110" s="56">
        <f t="shared" si="30"/>
        <v>0</v>
      </c>
      <c r="AI110" s="56">
        <f t="shared" si="31"/>
        <v>0</v>
      </c>
      <c r="AJ110" s="56">
        <f t="shared" si="32"/>
        <v>0</v>
      </c>
      <c r="AK110" s="56">
        <f t="shared" si="33"/>
        <v>0</v>
      </c>
      <c r="AM110" s="56">
        <f t="shared" si="34"/>
        <v>181980</v>
      </c>
      <c r="AN110" s="56">
        <f t="shared" si="35"/>
        <v>18704</v>
      </c>
      <c r="AO110" s="56">
        <f t="shared" si="36"/>
        <v>31713</v>
      </c>
      <c r="AP110" s="56"/>
      <c r="AQ110" s="56">
        <f t="shared" si="37"/>
        <v>232397</v>
      </c>
      <c r="AR110" s="1"/>
      <c r="AS110" s="56">
        <v>1347.7060783876859</v>
      </c>
      <c r="AT110" s="56">
        <v>138.51793873042794</v>
      </c>
      <c r="AU110" s="56">
        <v>234.85989044899813</v>
      </c>
      <c r="AV110" s="56"/>
      <c r="AW110" s="56">
        <v>1721.083907567112</v>
      </c>
      <c r="AX110" s="1"/>
      <c r="AY110" s="16">
        <v>-7.5447126731021941E-3</v>
      </c>
      <c r="AZ110" s="16">
        <v>1.5914745401980568E-2</v>
      </c>
      <c r="BA110" s="16">
        <v>-9.3311812354175072E-2</v>
      </c>
      <c r="BB110" s="16">
        <f t="shared" si="38"/>
        <v>-1.8391298934836597E-2</v>
      </c>
      <c r="BC110" s="16"/>
      <c r="BD110" s="1"/>
      <c r="BE110" s="16">
        <f>AM110/'2019-20 disagg'!AM110-1</f>
        <v>3.9469926315188308E-2</v>
      </c>
      <c r="BF110" s="16">
        <f>AN110/'2019-20 disagg'!AN110-1</f>
        <v>4.0672119290046105E-2</v>
      </c>
      <c r="BG110" s="16">
        <f>AO110/'2019-20 disagg'!AO110-1</f>
        <v>4.9300201833041069E-2</v>
      </c>
      <c r="BH110" s="16">
        <f>AQ110/'2019-20 disagg'!AQ110-1</f>
        <v>4.0897404889235212E-2</v>
      </c>
      <c r="BI110" s="1"/>
      <c r="BJ110" s="16">
        <f>AS110/'2019-20 disagg'!AS110-1</f>
        <v>3.3320196305814731E-2</v>
      </c>
      <c r="BK110" s="16">
        <f>AT110/'2019-20 disagg'!AT110-1</f>
        <v>3.451527684574085E-2</v>
      </c>
      <c r="BL110" s="16">
        <f>AU110/'2019-20 disagg'!AU110-1</f>
        <v>4.3092313777126412E-2</v>
      </c>
      <c r="BM110" s="16">
        <f>AW110/'2019-20 disagg'!AW110-1</f>
        <v>3.4739229606359778E-2</v>
      </c>
    </row>
    <row r="111" spans="1:65" x14ac:dyDescent="0.2">
      <c r="A111" s="156" t="s">
        <v>267</v>
      </c>
      <c r="B111" s="156" t="s">
        <v>268</v>
      </c>
      <c r="D111" s="56">
        <f>VLOOKUP(A111,'2020-21'!$A$12:$AMX319,32,FALSE)</f>
        <v>545401</v>
      </c>
      <c r="E111" s="56">
        <v>1838.2598972811206</v>
      </c>
      <c r="F111" s="16">
        <f>VLOOKUP(A111,'2020-21'!$A$12:$AMX319,34,FALSE)</f>
        <v>3.5679019847629778E-2</v>
      </c>
      <c r="G111" s="16">
        <f>VLOOKUP(A111,'2020-21'!$A$12:$AMX319,35,FALSE)</f>
        <v>3.1502014712335269E-2</v>
      </c>
      <c r="H111" s="56"/>
      <c r="I111" s="56">
        <v>517908.54288466752</v>
      </c>
      <c r="J111" s="56">
        <v>1745.5972850144824</v>
      </c>
      <c r="K111" s="16">
        <f t="shared" si="23"/>
        <v>5.3083613879400193E-2</v>
      </c>
      <c r="L111" s="58">
        <f t="shared" si="23"/>
        <v>5.3083613879400193E-2</v>
      </c>
      <c r="M111" s="10"/>
      <c r="N111" s="56">
        <v>420824</v>
      </c>
      <c r="O111" s="56">
        <v>41984</v>
      </c>
      <c r="P111" s="56">
        <v>82593</v>
      </c>
      <c r="R111" s="56">
        <f t="shared" si="24"/>
        <v>82593</v>
      </c>
      <c r="S111" s="56">
        <f t="shared" si="25"/>
        <v>0</v>
      </c>
      <c r="U111" s="16">
        <v>5.2292174175576855E-2</v>
      </c>
      <c r="V111" s="16">
        <v>4.2808791520570155E-2</v>
      </c>
      <c r="W111" s="56">
        <f t="shared" si="26"/>
        <v>2</v>
      </c>
      <c r="X111" s="56">
        <f t="shared" si="27"/>
        <v>3999.1174535693617</v>
      </c>
      <c r="Y111" s="56">
        <f t="shared" si="27"/>
        <v>402.60496786549993</v>
      </c>
      <c r="AA111" s="56">
        <f t="shared" si="39"/>
        <v>0</v>
      </c>
      <c r="AB111" s="56">
        <v>0</v>
      </c>
      <c r="AC111" s="56">
        <f t="shared" si="28"/>
        <v>0</v>
      </c>
      <c r="AE111" s="56">
        <v>0</v>
      </c>
      <c r="AF111" s="56">
        <f t="shared" si="29"/>
        <v>0</v>
      </c>
      <c r="AG111" s="56">
        <f t="shared" si="30"/>
        <v>0</v>
      </c>
      <c r="AI111" s="56">
        <f t="shared" si="31"/>
        <v>0</v>
      </c>
      <c r="AJ111" s="56">
        <f t="shared" si="32"/>
        <v>0</v>
      </c>
      <c r="AK111" s="56">
        <f t="shared" si="33"/>
        <v>0</v>
      </c>
      <c r="AM111" s="56">
        <f t="shared" si="34"/>
        <v>420824</v>
      </c>
      <c r="AN111" s="56">
        <f t="shared" si="35"/>
        <v>41984</v>
      </c>
      <c r="AO111" s="56">
        <f t="shared" si="36"/>
        <v>82593</v>
      </c>
      <c r="AP111" s="56"/>
      <c r="AQ111" s="56">
        <f t="shared" si="37"/>
        <v>545401</v>
      </c>
      <c r="AR111" s="1"/>
      <c r="AS111" s="56">
        <v>1418.3763561369162</v>
      </c>
      <c r="AT111" s="56">
        <v>141.50598097079134</v>
      </c>
      <c r="AU111" s="56">
        <v>278.37756017341292</v>
      </c>
      <c r="AV111" s="56"/>
      <c r="AW111" s="56">
        <v>1838.2598972811206</v>
      </c>
      <c r="AX111" s="1"/>
      <c r="AY111" s="16">
        <v>5.2292174175576855E-2</v>
      </c>
      <c r="AZ111" s="16">
        <v>4.2808791520570155E-2</v>
      </c>
      <c r="BA111" s="16">
        <v>6.247659346421397E-2</v>
      </c>
      <c r="BB111" s="16">
        <f t="shared" si="38"/>
        <v>5.3083613879400193E-2</v>
      </c>
      <c r="BC111" s="16"/>
      <c r="BD111" s="1"/>
      <c r="BE111" s="16">
        <f>AM111/'2019-20 disagg'!AM111-1</f>
        <v>3.3125394335319358E-2</v>
      </c>
      <c r="BF111" s="16">
        <f>AN111/'2019-20 disagg'!AN111-1</f>
        <v>3.869371598218696E-2</v>
      </c>
      <c r="BG111" s="16">
        <f>AO111/'2019-20 disagg'!AO111-1</f>
        <v>4.732377220679429E-2</v>
      </c>
      <c r="BH111" s="16">
        <f>AQ111/'2019-20 disagg'!AQ111-1</f>
        <v>3.5679019847629778E-2</v>
      </c>
      <c r="BI111" s="1"/>
      <c r="BJ111" s="16">
        <f>AS111/'2019-20 disagg'!AS111-1</f>
        <v>2.8958688247002096E-2</v>
      </c>
      <c r="BK111" s="16">
        <f>AT111/'2019-20 disagg'!AT111-1</f>
        <v>3.4504552252391685E-2</v>
      </c>
      <c r="BL111" s="16">
        <f>AU111/'2019-20 disagg'!AU111-1</f>
        <v>4.309980252990786E-2</v>
      </c>
      <c r="BM111" s="16">
        <f>AW111/'2019-20 disagg'!AW111-1</f>
        <v>3.1502014712335269E-2</v>
      </c>
    </row>
    <row r="112" spans="1:65" x14ac:dyDescent="0.2">
      <c r="A112" s="156" t="s">
        <v>269</v>
      </c>
      <c r="B112" s="156" t="s">
        <v>270</v>
      </c>
      <c r="D112" s="56">
        <f>VLOOKUP(A112,'2020-21'!$A$12:$AMX320,32,FALSE)</f>
        <v>640998</v>
      </c>
      <c r="E112" s="56">
        <v>1762.5831318976545</v>
      </c>
      <c r="F112" s="16">
        <f>VLOOKUP(A112,'2020-21'!$A$12:$AMX320,34,FALSE)</f>
        <v>3.8724617202046341E-2</v>
      </c>
      <c r="G112" s="16">
        <f>VLOOKUP(A112,'2020-21'!$A$12:$AMX320,35,FALSE)</f>
        <v>3.5056260016191665E-2</v>
      </c>
      <c r="H112" s="56"/>
      <c r="I112" s="56">
        <v>641663.0549490503</v>
      </c>
      <c r="J112" s="56">
        <v>1764.4118655832217</v>
      </c>
      <c r="K112" s="16">
        <f t="shared" si="23"/>
        <v>-1.0364551050910942E-3</v>
      </c>
      <c r="L112" s="58">
        <f t="shared" si="23"/>
        <v>-1.0364551050912052E-3</v>
      </c>
      <c r="M112" s="10"/>
      <c r="N112" s="56">
        <v>462576</v>
      </c>
      <c r="O112" s="56">
        <v>51942</v>
      </c>
      <c r="P112" s="56">
        <v>126480</v>
      </c>
      <c r="R112" s="56">
        <f t="shared" si="24"/>
        <v>126480</v>
      </c>
      <c r="S112" s="56">
        <f t="shared" si="25"/>
        <v>0</v>
      </c>
      <c r="U112" s="16">
        <v>4.6504971721663679E-3</v>
      </c>
      <c r="V112" s="16">
        <v>-4.8112952419845478E-2</v>
      </c>
      <c r="W112" s="56">
        <f t="shared" si="26"/>
        <v>3</v>
      </c>
      <c r="X112" s="56">
        <f t="shared" si="27"/>
        <v>4604.347494994855</v>
      </c>
      <c r="Y112" s="56">
        <f t="shared" si="27"/>
        <v>545.67398655170985</v>
      </c>
      <c r="AA112" s="56">
        <f t="shared" si="39"/>
        <v>0</v>
      </c>
      <c r="AB112" s="56">
        <v>0</v>
      </c>
      <c r="AC112" s="56">
        <f t="shared" si="28"/>
        <v>0</v>
      </c>
      <c r="AE112" s="56">
        <v>0</v>
      </c>
      <c r="AF112" s="56">
        <f t="shared" si="29"/>
        <v>0</v>
      </c>
      <c r="AG112" s="56">
        <f t="shared" si="30"/>
        <v>0</v>
      </c>
      <c r="AI112" s="56">
        <f t="shared" si="31"/>
        <v>0</v>
      </c>
      <c r="AJ112" s="56">
        <f t="shared" si="32"/>
        <v>0</v>
      </c>
      <c r="AK112" s="56">
        <f t="shared" si="33"/>
        <v>0</v>
      </c>
      <c r="AM112" s="56">
        <f t="shared" si="34"/>
        <v>462576</v>
      </c>
      <c r="AN112" s="56">
        <f t="shared" si="35"/>
        <v>51942</v>
      </c>
      <c r="AO112" s="56">
        <f t="shared" si="36"/>
        <v>126480</v>
      </c>
      <c r="AP112" s="56"/>
      <c r="AQ112" s="56">
        <f t="shared" si="37"/>
        <v>640998</v>
      </c>
      <c r="AR112" s="1"/>
      <c r="AS112" s="56">
        <v>1271.9675487609782</v>
      </c>
      <c r="AT112" s="56">
        <v>142.82742385628032</v>
      </c>
      <c r="AU112" s="56">
        <v>347.78815928039609</v>
      </c>
      <c r="AV112" s="56"/>
      <c r="AW112" s="56">
        <v>1762.5831318976545</v>
      </c>
      <c r="AX112" s="1"/>
      <c r="AY112" s="16">
        <v>4.6504971721663679E-3</v>
      </c>
      <c r="AZ112" s="16">
        <v>-4.8112952419845478E-2</v>
      </c>
      <c r="BA112" s="16">
        <v>-1.4282764822421967E-3</v>
      </c>
      <c r="BB112" s="16">
        <f t="shared" si="38"/>
        <v>-1.0364551050910942E-3</v>
      </c>
      <c r="BC112" s="16"/>
      <c r="BD112" s="1"/>
      <c r="BE112" s="16">
        <f>AM112/'2019-20 disagg'!AM112-1</f>
        <v>3.6601134359530496E-2</v>
      </c>
      <c r="BF112" s="16">
        <f>AN112/'2019-20 disagg'!AN112-1</f>
        <v>3.8175567636712593E-2</v>
      </c>
      <c r="BG112" s="16">
        <f>AO112/'2019-20 disagg'!AO112-1</f>
        <v>4.6794564083889156E-2</v>
      </c>
      <c r="BH112" s="16">
        <f>AQ112/'2019-20 disagg'!AQ112-1</f>
        <v>3.8724617202046341E-2</v>
      </c>
      <c r="BI112" s="1"/>
      <c r="BJ112" s="16">
        <f>AS112/'2019-20 disagg'!AS112-1</f>
        <v>3.2940276460219797E-2</v>
      </c>
      <c r="BK112" s="16">
        <f>AT112/'2019-20 disagg'!AT112-1</f>
        <v>3.450914947289041E-2</v>
      </c>
      <c r="BL112" s="16">
        <f>AU112/'2019-20 disagg'!AU112-1</f>
        <v>4.3097707094387649E-2</v>
      </c>
      <c r="BM112" s="16">
        <f>AW112/'2019-20 disagg'!AW112-1</f>
        <v>3.5056260016191665E-2</v>
      </c>
    </row>
    <row r="113" spans="1:65" x14ac:dyDescent="0.2">
      <c r="A113" s="156" t="s">
        <v>271</v>
      </c>
      <c r="B113" s="156" t="s">
        <v>272</v>
      </c>
      <c r="D113" s="56">
        <f>VLOOKUP(A113,'2020-21'!$A$12:$AMX321,32,FALSE)</f>
        <v>264182.53757528774</v>
      </c>
      <c r="E113" s="56">
        <v>1707.8069527706716</v>
      </c>
      <c r="F113" s="16">
        <f>VLOOKUP(A113,'2020-21'!$A$12:$AMX321,34,FALSE)</f>
        <v>4.1786761001347594E-2</v>
      </c>
      <c r="G113" s="16">
        <f>VLOOKUP(A113,'2020-21'!$A$12:$AMX321,35,FALSE)</f>
        <v>3.5615477927582351E-2</v>
      </c>
      <c r="H113" s="56"/>
      <c r="I113" s="56">
        <v>269392.18504985503</v>
      </c>
      <c r="J113" s="56">
        <v>1741.4846979396334</v>
      </c>
      <c r="K113" s="16">
        <f t="shared" si="23"/>
        <v>-1.9338524885579633E-2</v>
      </c>
      <c r="L113" s="58">
        <f t="shared" si="23"/>
        <v>-1.9338524885579633E-2</v>
      </c>
      <c r="M113" s="10"/>
      <c r="N113" s="56">
        <v>202040</v>
      </c>
      <c r="O113" s="56">
        <v>20929</v>
      </c>
      <c r="P113" s="56">
        <v>40471</v>
      </c>
      <c r="R113" s="56">
        <f t="shared" si="24"/>
        <v>40471</v>
      </c>
      <c r="S113" s="56">
        <f t="shared" si="25"/>
        <v>742.5375752877444</v>
      </c>
      <c r="U113" s="16">
        <v>-1.7099791317081392E-2</v>
      </c>
      <c r="V113" s="16">
        <v>3.2620661374842541E-3</v>
      </c>
      <c r="W113" s="56">
        <f t="shared" si="26"/>
        <v>1</v>
      </c>
      <c r="X113" s="56">
        <f t="shared" si="27"/>
        <v>2055.549466926379</v>
      </c>
      <c r="Y113" s="56">
        <f t="shared" si="27"/>
        <v>208.60950200754374</v>
      </c>
      <c r="AA113" s="56">
        <f t="shared" si="39"/>
        <v>742.5375752877444</v>
      </c>
      <c r="AB113" s="56">
        <v>0</v>
      </c>
      <c r="AC113" s="56">
        <f t="shared" si="28"/>
        <v>0</v>
      </c>
      <c r="AE113" s="56">
        <v>0</v>
      </c>
      <c r="AF113" s="56">
        <f t="shared" si="29"/>
        <v>0</v>
      </c>
      <c r="AG113" s="56">
        <f t="shared" si="30"/>
        <v>0</v>
      </c>
      <c r="AI113" s="56">
        <f t="shared" si="31"/>
        <v>0</v>
      </c>
      <c r="AJ113" s="56">
        <f t="shared" si="32"/>
        <v>0</v>
      </c>
      <c r="AK113" s="56">
        <f t="shared" si="33"/>
        <v>0</v>
      </c>
      <c r="AM113" s="56">
        <f t="shared" si="34"/>
        <v>202783</v>
      </c>
      <c r="AN113" s="56">
        <f t="shared" si="35"/>
        <v>20929</v>
      </c>
      <c r="AO113" s="56">
        <f t="shared" si="36"/>
        <v>40471</v>
      </c>
      <c r="AP113" s="56"/>
      <c r="AQ113" s="56">
        <f t="shared" si="37"/>
        <v>264183</v>
      </c>
      <c r="AR113" s="1"/>
      <c r="AS113" s="56">
        <v>1310.8898887951711</v>
      </c>
      <c r="AT113" s="56">
        <v>135.29543641525245</v>
      </c>
      <c r="AU113" s="56">
        <v>261.62461690294242</v>
      </c>
      <c r="AV113" s="56"/>
      <c r="AW113" s="56">
        <v>1707.8099421133661</v>
      </c>
      <c r="AX113" s="1"/>
      <c r="AY113" s="16">
        <v>-1.3485186015896433E-2</v>
      </c>
      <c r="AZ113" s="16">
        <v>3.2620661374842541E-3</v>
      </c>
      <c r="BA113" s="16">
        <v>-5.8294661170871898E-2</v>
      </c>
      <c r="BB113" s="16">
        <f t="shared" si="38"/>
        <v>-1.9336808337224065E-2</v>
      </c>
      <c r="BC113" s="16"/>
      <c r="BD113" s="1"/>
      <c r="BE113" s="16">
        <f>AM113/'2019-20 disagg'!AM113-1</f>
        <v>4.0414353585831009E-2</v>
      </c>
      <c r="BF113" s="16">
        <f>AN113/'2019-20 disagg'!AN113-1</f>
        <v>4.0674257868827945E-2</v>
      </c>
      <c r="BG113" s="16">
        <f>AO113/'2019-20 disagg'!AO113-1</f>
        <v>4.9314216080271756E-2</v>
      </c>
      <c r="BH113" s="16">
        <f>AQ113/'2019-20 disagg'!AQ113-1</f>
        <v>4.1788584543310803E-2</v>
      </c>
      <c r="BI113" s="1"/>
      <c r="BJ113" s="16">
        <f>AS113/'2019-20 disagg'!AS113-1</f>
        <v>3.4251200308844432E-2</v>
      </c>
      <c r="BK113" s="16">
        <f>AT113/'2019-20 disagg'!AT113-1</f>
        <v>3.4509564984157137E-2</v>
      </c>
      <c r="BL113" s="16">
        <f>AU113/'2019-20 disagg'!AU113-1</f>
        <v>4.3098342253526933E-2</v>
      </c>
      <c r="BM113" s="16">
        <f>AW113/'2019-20 disagg'!AW113-1</f>
        <v>3.5617290667340873E-2</v>
      </c>
    </row>
    <row r="114" spans="1:65" x14ac:dyDescent="0.2">
      <c r="A114" s="156" t="s">
        <v>273</v>
      </c>
      <c r="B114" s="156" t="s">
        <v>274</v>
      </c>
      <c r="D114" s="56">
        <f>VLOOKUP(A114,'2020-21'!$A$12:$AMX322,32,FALSE)</f>
        <v>167781</v>
      </c>
      <c r="E114" s="56">
        <v>1714.3775880768067</v>
      </c>
      <c r="F114" s="16">
        <f>VLOOKUP(A114,'2020-21'!$A$12:$AMX322,34,FALSE)</f>
        <v>3.8962406108155934E-2</v>
      </c>
      <c r="G114" s="16">
        <f>VLOOKUP(A114,'2020-21'!$A$12:$AMX322,35,FALSE)</f>
        <v>3.2208082361291357E-2</v>
      </c>
      <c r="H114" s="56"/>
      <c r="I114" s="56">
        <v>168289.52145075877</v>
      </c>
      <c r="J114" s="56">
        <v>1719.5736339832986</v>
      </c>
      <c r="K114" s="16">
        <f t="shared" si="23"/>
        <v>-3.0217059646673317E-3</v>
      </c>
      <c r="L114" s="58">
        <f t="shared" si="23"/>
        <v>-3.0217059646673317E-3</v>
      </c>
      <c r="M114" s="10"/>
      <c r="N114" s="56">
        <v>128998</v>
      </c>
      <c r="O114" s="56">
        <v>13539</v>
      </c>
      <c r="P114" s="56">
        <v>25244</v>
      </c>
      <c r="R114" s="56">
        <f t="shared" si="24"/>
        <v>25244</v>
      </c>
      <c r="S114" s="56">
        <f t="shared" si="25"/>
        <v>0</v>
      </c>
      <c r="U114" s="16">
        <v>5.0577099519961699E-3</v>
      </c>
      <c r="V114" s="16">
        <v>2.4791034641165055E-2</v>
      </c>
      <c r="W114" s="56">
        <f t="shared" si="26"/>
        <v>2</v>
      </c>
      <c r="X114" s="56">
        <f t="shared" si="27"/>
        <v>1283.4884875034811</v>
      </c>
      <c r="Y114" s="56">
        <f t="shared" si="27"/>
        <v>132.1147389305639</v>
      </c>
      <c r="AA114" s="56">
        <f t="shared" si="39"/>
        <v>0</v>
      </c>
      <c r="AB114" s="56">
        <v>0</v>
      </c>
      <c r="AC114" s="56">
        <f t="shared" si="28"/>
        <v>0</v>
      </c>
      <c r="AE114" s="56">
        <v>0</v>
      </c>
      <c r="AF114" s="56">
        <f t="shared" si="29"/>
        <v>0</v>
      </c>
      <c r="AG114" s="56">
        <f t="shared" si="30"/>
        <v>0</v>
      </c>
      <c r="AI114" s="56">
        <f t="shared" si="31"/>
        <v>0</v>
      </c>
      <c r="AJ114" s="56">
        <f t="shared" si="32"/>
        <v>0</v>
      </c>
      <c r="AK114" s="56">
        <f t="shared" si="33"/>
        <v>0</v>
      </c>
      <c r="AM114" s="56">
        <f t="shared" si="34"/>
        <v>128998</v>
      </c>
      <c r="AN114" s="56">
        <f t="shared" si="35"/>
        <v>13539</v>
      </c>
      <c r="AO114" s="56">
        <f t="shared" si="36"/>
        <v>25244</v>
      </c>
      <c r="AP114" s="56"/>
      <c r="AQ114" s="56">
        <f t="shared" si="37"/>
        <v>167781</v>
      </c>
      <c r="AR114" s="1"/>
      <c r="AS114" s="56">
        <v>1318.0948981513516</v>
      </c>
      <c r="AT114" s="56">
        <v>138.34080238508463</v>
      </c>
      <c r="AU114" s="56">
        <v>257.94188754037054</v>
      </c>
      <c r="AV114" s="56"/>
      <c r="AW114" s="56">
        <v>1714.3775880768067</v>
      </c>
      <c r="AX114" s="1"/>
      <c r="AY114" s="16">
        <v>5.0577099519961699E-3</v>
      </c>
      <c r="AZ114" s="16">
        <v>2.4791034641165055E-2</v>
      </c>
      <c r="BA114" s="16">
        <v>-5.5564658636368613E-2</v>
      </c>
      <c r="BB114" s="16">
        <f t="shared" si="38"/>
        <v>-3.0217059646673317E-3</v>
      </c>
      <c r="BC114" s="16"/>
      <c r="BD114" s="1"/>
      <c r="BE114" s="16">
        <f>AM114/'2019-20 disagg'!AM114-1</f>
        <v>3.660310342887918E-2</v>
      </c>
      <c r="BF114" s="16">
        <f>AN114/'2019-20 disagg'!AN114-1</f>
        <v>4.1301338255653075E-2</v>
      </c>
      <c r="BG114" s="16">
        <f>AO114/'2019-20 disagg'!AO114-1</f>
        <v>4.990850108135092E-2</v>
      </c>
      <c r="BH114" s="16">
        <f>AQ114/'2019-20 disagg'!AQ114-1</f>
        <v>3.8962406108155934E-2</v>
      </c>
      <c r="BI114" s="1"/>
      <c r="BJ114" s="16">
        <f>AS114/'2019-20 disagg'!AS114-1</f>
        <v>2.9864117574915028E-2</v>
      </c>
      <c r="BK114" s="16">
        <f>AT114/'2019-20 disagg'!AT114-1</f>
        <v>3.4531809045285966E-2</v>
      </c>
      <c r="BL114" s="16">
        <f>AU114/'2019-20 disagg'!AU114-1</f>
        <v>4.3083016464007917E-2</v>
      </c>
      <c r="BM114" s="16">
        <f>AW114/'2019-20 disagg'!AW114-1</f>
        <v>3.2208082361291357E-2</v>
      </c>
    </row>
    <row r="115" spans="1:65" x14ac:dyDescent="0.2">
      <c r="A115" s="156" t="s">
        <v>275</v>
      </c>
      <c r="B115" s="156" t="s">
        <v>276</v>
      </c>
      <c r="D115" s="56">
        <f>VLOOKUP(A115,'2020-21'!$A$12:$AMX323,32,FALSE)</f>
        <v>198336.1222640686</v>
      </c>
      <c r="E115" s="56">
        <v>1543.9057715876386</v>
      </c>
      <c r="F115" s="16">
        <f>VLOOKUP(A115,'2020-21'!$A$12:$AMX323,34,FALSE)</f>
        <v>4.1391431293120062E-2</v>
      </c>
      <c r="G115" s="16">
        <f>VLOOKUP(A115,'2020-21'!$A$12:$AMX323,35,FALSE)</f>
        <v>3.4289928986501517E-2</v>
      </c>
      <c r="H115" s="56"/>
      <c r="I115" s="56">
        <v>201978.73949446599</v>
      </c>
      <c r="J115" s="56">
        <v>1572.2609582349171</v>
      </c>
      <c r="K115" s="16">
        <f t="shared" si="23"/>
        <v>-1.8034656714436936E-2</v>
      </c>
      <c r="L115" s="58">
        <f t="shared" si="23"/>
        <v>-1.8034656714437047E-2</v>
      </c>
      <c r="M115" s="10"/>
      <c r="N115" s="56">
        <v>151507</v>
      </c>
      <c r="O115" s="56">
        <v>17051</v>
      </c>
      <c r="P115" s="56">
        <v>29329</v>
      </c>
      <c r="R115" s="56">
        <f t="shared" si="24"/>
        <v>29329</v>
      </c>
      <c r="S115" s="56">
        <f t="shared" si="25"/>
        <v>449.12226406860282</v>
      </c>
      <c r="U115" s="16">
        <v>-2.1142167901536668E-2</v>
      </c>
      <c r="V115" s="16">
        <v>4.7847644223116825E-2</v>
      </c>
      <c r="W115" s="56">
        <f t="shared" si="26"/>
        <v>1</v>
      </c>
      <c r="X115" s="56">
        <f t="shared" si="27"/>
        <v>1547.7937145908224</v>
      </c>
      <c r="Y115" s="56">
        <f t="shared" si="27"/>
        <v>162.72403811760014</v>
      </c>
      <c r="AA115" s="56">
        <f t="shared" si="39"/>
        <v>449.12226406860282</v>
      </c>
      <c r="AB115" s="56">
        <v>0</v>
      </c>
      <c r="AC115" s="56">
        <f t="shared" si="28"/>
        <v>0</v>
      </c>
      <c r="AE115" s="56">
        <v>0</v>
      </c>
      <c r="AF115" s="56">
        <f t="shared" si="29"/>
        <v>0</v>
      </c>
      <c r="AG115" s="56">
        <f t="shared" si="30"/>
        <v>0</v>
      </c>
      <c r="AI115" s="56">
        <f t="shared" si="31"/>
        <v>0</v>
      </c>
      <c r="AJ115" s="56">
        <f t="shared" si="32"/>
        <v>0</v>
      </c>
      <c r="AK115" s="56">
        <f t="shared" si="33"/>
        <v>0</v>
      </c>
      <c r="AM115" s="56">
        <f t="shared" si="34"/>
        <v>151956</v>
      </c>
      <c r="AN115" s="56">
        <f t="shared" si="35"/>
        <v>17051</v>
      </c>
      <c r="AO115" s="56">
        <f t="shared" si="36"/>
        <v>29329</v>
      </c>
      <c r="AP115" s="56"/>
      <c r="AQ115" s="56">
        <f t="shared" si="37"/>
        <v>198336</v>
      </c>
      <c r="AR115" s="1"/>
      <c r="AS115" s="56">
        <v>1182.8694780823259</v>
      </c>
      <c r="AT115" s="56">
        <v>132.72991833676684</v>
      </c>
      <c r="AU115" s="56">
        <v>228.30542342965424</v>
      </c>
      <c r="AV115" s="56"/>
      <c r="AW115" s="56">
        <v>1543.9048198487471</v>
      </c>
      <c r="AX115" s="1"/>
      <c r="AY115" s="16">
        <v>-1.8241264533294888E-2</v>
      </c>
      <c r="AZ115" s="16">
        <v>4.7847644223116825E-2</v>
      </c>
      <c r="BA115" s="16">
        <v>-5.1668964728297517E-2</v>
      </c>
      <c r="BB115" s="16">
        <f t="shared" si="38"/>
        <v>-1.8035262045814515E-2</v>
      </c>
      <c r="BC115" s="16"/>
      <c r="BD115" s="1"/>
      <c r="BE115" s="16">
        <f>AM115/'2019-20 disagg'!AM115-1</f>
        <v>3.9669398869716321E-2</v>
      </c>
      <c r="BF115" s="16">
        <f>AN115/'2019-20 disagg'!AN115-1</f>
        <v>4.1600488698839255E-2</v>
      </c>
      <c r="BG115" s="16">
        <f>AO115/'2019-20 disagg'!AO115-1</f>
        <v>5.0277529095792195E-2</v>
      </c>
      <c r="BH115" s="16">
        <f>AQ115/'2019-20 disagg'!AQ115-1</f>
        <v>4.1390789328600741E-2</v>
      </c>
      <c r="BI115" s="1"/>
      <c r="BJ115" s="16">
        <f>AS115/'2019-20 disagg'!AS115-1</f>
        <v>3.2579639522430481E-2</v>
      </c>
      <c r="BK115" s="16">
        <f>AT115/'2019-20 disagg'!AT115-1</f>
        <v>3.4497560778753877E-2</v>
      </c>
      <c r="BL115" s="16">
        <f>AU115/'2019-20 disagg'!AU115-1</f>
        <v>4.311543031973275E-2</v>
      </c>
      <c r="BM115" s="16">
        <f>AW115/'2019-20 disagg'!AW115-1</f>
        <v>3.4289291399695054E-2</v>
      </c>
    </row>
    <row r="116" spans="1:65" x14ac:dyDescent="0.2">
      <c r="A116" s="156" t="s">
        <v>277</v>
      </c>
      <c r="B116" s="156" t="s">
        <v>278</v>
      </c>
      <c r="D116" s="56">
        <f>VLOOKUP(A116,'2020-21'!$A$12:$AMX324,32,FALSE)</f>
        <v>280340.11075802485</v>
      </c>
      <c r="E116" s="56">
        <v>1645.3401937661511</v>
      </c>
      <c r="F116" s="16">
        <f>VLOOKUP(A116,'2020-21'!$A$12:$AMX324,34,FALSE)</f>
        <v>4.2951359802172018E-2</v>
      </c>
      <c r="G116" s="16">
        <f>VLOOKUP(A116,'2020-21'!$A$12:$AMX324,35,FALSE)</f>
        <v>3.4102509823775051E-2</v>
      </c>
      <c r="H116" s="56"/>
      <c r="I116" s="56">
        <v>285404.76578565413</v>
      </c>
      <c r="J116" s="56">
        <v>1675.0650892225524</v>
      </c>
      <c r="K116" s="16">
        <f t="shared" si="23"/>
        <v>-1.774551666538382E-2</v>
      </c>
      <c r="L116" s="58">
        <f t="shared" si="23"/>
        <v>-1.7745516665383709E-2</v>
      </c>
      <c r="M116" s="10"/>
      <c r="N116" s="56">
        <v>222759</v>
      </c>
      <c r="O116" s="56">
        <v>24377</v>
      </c>
      <c r="P116" s="56">
        <v>31722</v>
      </c>
      <c r="R116" s="56">
        <f t="shared" si="24"/>
        <v>31722</v>
      </c>
      <c r="S116" s="56">
        <f t="shared" si="25"/>
        <v>1482.1107580248499</v>
      </c>
      <c r="U116" s="16">
        <v>4.847664922666306E-3</v>
      </c>
      <c r="V116" s="16">
        <v>6.0286286351671547E-2</v>
      </c>
      <c r="W116" s="56">
        <f t="shared" si="26"/>
        <v>2</v>
      </c>
      <c r="X116" s="56">
        <f t="shared" si="27"/>
        <v>2216.8434855958358</v>
      </c>
      <c r="Y116" s="56">
        <f t="shared" si="27"/>
        <v>229.90960379086459</v>
      </c>
      <c r="AA116" s="56">
        <f t="shared" si="39"/>
        <v>0</v>
      </c>
      <c r="AB116" s="56">
        <v>0</v>
      </c>
      <c r="AC116" s="56">
        <f t="shared" si="28"/>
        <v>1482.1107580248499</v>
      </c>
      <c r="AE116" s="56">
        <v>0</v>
      </c>
      <c r="AF116" s="56">
        <f t="shared" si="29"/>
        <v>0</v>
      </c>
      <c r="AG116" s="56">
        <f t="shared" si="30"/>
        <v>1482.1107580248499</v>
      </c>
      <c r="AI116" s="56">
        <f t="shared" si="31"/>
        <v>1342.8439482148401</v>
      </c>
      <c r="AJ116" s="56">
        <f t="shared" si="32"/>
        <v>139.26680981000968</v>
      </c>
      <c r="AK116" s="56">
        <f t="shared" si="33"/>
        <v>0</v>
      </c>
      <c r="AM116" s="56">
        <f t="shared" si="34"/>
        <v>224102</v>
      </c>
      <c r="AN116" s="56">
        <f t="shared" si="35"/>
        <v>24516</v>
      </c>
      <c r="AO116" s="56">
        <f t="shared" si="36"/>
        <v>31722</v>
      </c>
      <c r="AP116" s="56"/>
      <c r="AQ116" s="56">
        <f t="shared" si="37"/>
        <v>280340</v>
      </c>
      <c r="AR116" s="1"/>
      <c r="AS116" s="56">
        <v>1315.2738903697073</v>
      </c>
      <c r="AT116" s="56">
        <v>143.88651014405826</v>
      </c>
      <c r="AU116" s="56">
        <v>186.17914320402252</v>
      </c>
      <c r="AV116" s="56"/>
      <c r="AW116" s="56">
        <v>1645.339543717788</v>
      </c>
      <c r="AX116" s="1"/>
      <c r="AY116" s="16">
        <v>1.0905828292007813E-2</v>
      </c>
      <c r="AZ116" s="16">
        <v>6.6332140796553141E-2</v>
      </c>
      <c r="BA116" s="16">
        <v>-0.22115337508241506</v>
      </c>
      <c r="BB116" s="16">
        <f t="shared" si="38"/>
        <v>-1.7745904738878493E-2</v>
      </c>
      <c r="BC116" s="16"/>
      <c r="BD116" s="1"/>
      <c r="BE116" s="16">
        <f>AM116/'2019-20 disagg'!AM116-1</f>
        <v>4.2849032546278698E-2</v>
      </c>
      <c r="BF116" s="16">
        <f>AN116/'2019-20 disagg'!AN116-1</f>
        <v>3.233956543708949E-2</v>
      </c>
      <c r="BG116" s="16">
        <f>AO116/'2019-20 disagg'!AO116-1</f>
        <v>5.2034623420555093E-2</v>
      </c>
      <c r="BH116" s="16">
        <f>AQ116/'2019-20 disagg'!AQ116-1</f>
        <v>4.2950947748284118E-2</v>
      </c>
      <c r="BI116" s="1"/>
      <c r="BJ116" s="16">
        <f>AS116/'2019-20 disagg'!AS116-1</f>
        <v>3.4001050756534479E-2</v>
      </c>
      <c r="BK116" s="16">
        <f>AT116/'2019-20 disagg'!AT116-1</f>
        <v>2.3580750507264714E-2</v>
      </c>
      <c r="BL116" s="16">
        <f>AU116/'2019-20 disagg'!AU116-1</f>
        <v>4.3108707108893363E-2</v>
      </c>
      <c r="BM116" s="16">
        <f>AW116/'2019-20 disagg'!AW116-1</f>
        <v>3.4102101265930163E-2</v>
      </c>
    </row>
    <row r="117" spans="1:65" x14ac:dyDescent="0.2">
      <c r="A117" s="156" t="s">
        <v>279</v>
      </c>
      <c r="B117" s="156" t="s">
        <v>280</v>
      </c>
      <c r="D117" s="56">
        <f>VLOOKUP(A117,'2020-21'!$A$12:$AMX325,32,FALSE)</f>
        <v>225094</v>
      </c>
      <c r="E117" s="56">
        <v>1639.187574304817</v>
      </c>
      <c r="F117" s="16">
        <f>VLOOKUP(A117,'2020-21'!$A$12:$AMX325,34,FALSE)</f>
        <v>3.7667743853809776E-2</v>
      </c>
      <c r="G117" s="16">
        <f>VLOOKUP(A117,'2020-21'!$A$12:$AMX325,35,FALSE)</f>
        <v>2.9770832401343927E-2</v>
      </c>
      <c r="H117" s="56"/>
      <c r="I117" s="56">
        <v>226936.02342850756</v>
      </c>
      <c r="J117" s="56">
        <v>1652.6016231714591</v>
      </c>
      <c r="K117" s="16">
        <f t="shared" si="23"/>
        <v>-8.1169282896501604E-3</v>
      </c>
      <c r="L117" s="58">
        <f t="shared" si="23"/>
        <v>-8.1169282896501604E-3</v>
      </c>
      <c r="M117" s="10"/>
      <c r="N117" s="56">
        <v>173266</v>
      </c>
      <c r="O117" s="56">
        <v>19555</v>
      </c>
      <c r="P117" s="56">
        <v>32273</v>
      </c>
      <c r="R117" s="56">
        <f t="shared" si="24"/>
        <v>32273</v>
      </c>
      <c r="S117" s="56">
        <f t="shared" si="25"/>
        <v>0</v>
      </c>
      <c r="U117" s="16">
        <v>8.4393743385002828E-3</v>
      </c>
      <c r="V117" s="16">
        <v>6.0135211351324269E-2</v>
      </c>
      <c r="W117" s="56">
        <f t="shared" si="26"/>
        <v>2</v>
      </c>
      <c r="X117" s="56">
        <f t="shared" si="27"/>
        <v>1718.1598062219282</v>
      </c>
      <c r="Y117" s="56">
        <f t="shared" si="27"/>
        <v>184.45760305493292</v>
      </c>
      <c r="AA117" s="56">
        <f t="shared" si="39"/>
        <v>0</v>
      </c>
      <c r="AB117" s="56">
        <v>0</v>
      </c>
      <c r="AC117" s="56">
        <f t="shared" si="28"/>
        <v>0</v>
      </c>
      <c r="AE117" s="56">
        <v>0</v>
      </c>
      <c r="AF117" s="56">
        <f t="shared" si="29"/>
        <v>0</v>
      </c>
      <c r="AG117" s="56">
        <f t="shared" si="30"/>
        <v>0</v>
      </c>
      <c r="AI117" s="56">
        <f t="shared" si="31"/>
        <v>0</v>
      </c>
      <c r="AJ117" s="56">
        <f t="shared" si="32"/>
        <v>0</v>
      </c>
      <c r="AK117" s="56">
        <f t="shared" si="33"/>
        <v>0</v>
      </c>
      <c r="AM117" s="56">
        <f t="shared" si="34"/>
        <v>173266</v>
      </c>
      <c r="AN117" s="56">
        <f t="shared" si="35"/>
        <v>19555</v>
      </c>
      <c r="AO117" s="56">
        <f t="shared" si="36"/>
        <v>32273</v>
      </c>
      <c r="AP117" s="56"/>
      <c r="AQ117" s="56">
        <f t="shared" si="37"/>
        <v>225094</v>
      </c>
      <c r="AR117" s="1"/>
      <c r="AS117" s="56">
        <v>1261.7638597630253</v>
      </c>
      <c r="AT117" s="56">
        <v>142.40412012550621</v>
      </c>
      <c r="AU117" s="56">
        <v>235.01959441628546</v>
      </c>
      <c r="AV117" s="56"/>
      <c r="AW117" s="56">
        <v>1639.187574304817</v>
      </c>
      <c r="AX117" s="1"/>
      <c r="AY117" s="16">
        <v>8.4393743385002828E-3</v>
      </c>
      <c r="AZ117" s="16">
        <v>6.0135211351324269E-2</v>
      </c>
      <c r="BA117" s="16">
        <v>-0.12001005065942016</v>
      </c>
      <c r="BB117" s="16">
        <f t="shared" si="38"/>
        <v>-8.1169282896501604E-3</v>
      </c>
      <c r="BC117" s="16"/>
      <c r="BD117" s="1"/>
      <c r="BE117" s="16">
        <f>AM117/'2019-20 disagg'!AM117-1</f>
        <v>3.6602292579031692E-2</v>
      </c>
      <c r="BF117" s="16">
        <f>AN117/'2019-20 disagg'!AN117-1</f>
        <v>2.5378847464736953E-2</v>
      </c>
      <c r="BG117" s="16">
        <f>AO117/'2019-20 disagg'!AO117-1</f>
        <v>5.1100833767587339E-2</v>
      </c>
      <c r="BH117" s="16">
        <f>AQ117/'2019-20 disagg'!AQ117-1</f>
        <v>3.7667743853809776E-2</v>
      </c>
      <c r="BI117" s="1"/>
      <c r="BJ117" s="16">
        <f>AS117/'2019-20 disagg'!AS117-1</f>
        <v>2.8713489477647958E-2</v>
      </c>
      <c r="BK117" s="16">
        <f>AT117/'2019-20 disagg'!AT117-1</f>
        <v>1.7575457591994192E-2</v>
      </c>
      <c r="BL117" s="16">
        <f>AU117/'2019-20 disagg'!AU117-1</f>
        <v>4.3101693136070152E-2</v>
      </c>
      <c r="BM117" s="16">
        <f>AW117/'2019-20 disagg'!AW117-1</f>
        <v>2.9770832401343927E-2</v>
      </c>
    </row>
    <row r="118" spans="1:65" x14ac:dyDescent="0.2">
      <c r="A118" s="156" t="s">
        <v>281</v>
      </c>
      <c r="B118" s="156" t="s">
        <v>282</v>
      </c>
      <c r="D118" s="56">
        <f>VLOOKUP(A118,'2020-21'!$A$12:$AMX326,32,FALSE)</f>
        <v>938901</v>
      </c>
      <c r="E118" s="56">
        <v>1667.8776580080532</v>
      </c>
      <c r="F118" s="16">
        <f>VLOOKUP(A118,'2020-21'!$A$12:$AMX326,34,FALSE)</f>
        <v>3.8880811541091465E-2</v>
      </c>
      <c r="G118" s="16">
        <f>VLOOKUP(A118,'2020-21'!$A$12:$AMX326,35,FALSE)</f>
        <v>3.187153759303829E-2</v>
      </c>
      <c r="H118" s="56"/>
      <c r="I118" s="56">
        <v>952523.91708663385</v>
      </c>
      <c r="J118" s="56">
        <v>1692.0776099153286</v>
      </c>
      <c r="K118" s="16">
        <f t="shared" si="23"/>
        <v>-1.4301916038287565E-2</v>
      </c>
      <c r="L118" s="58">
        <f t="shared" si="23"/>
        <v>-1.4301916038287565E-2</v>
      </c>
      <c r="M118" s="10"/>
      <c r="N118" s="56">
        <v>731530</v>
      </c>
      <c r="O118" s="56">
        <v>75697</v>
      </c>
      <c r="P118" s="56">
        <v>131674</v>
      </c>
      <c r="R118" s="56">
        <f t="shared" si="24"/>
        <v>131674</v>
      </c>
      <c r="S118" s="56">
        <f t="shared" si="25"/>
        <v>0</v>
      </c>
      <c r="U118" s="16">
        <v>-7.7442089141482873E-3</v>
      </c>
      <c r="V118" s="16">
        <v>-1.2433373278445847E-2</v>
      </c>
      <c r="W118" s="56">
        <f t="shared" si="26"/>
        <v>4</v>
      </c>
      <c r="X118" s="56">
        <f t="shared" si="27"/>
        <v>7372.393354333235</v>
      </c>
      <c r="Y118" s="56">
        <f t="shared" si="27"/>
        <v>766.50018289189188</v>
      </c>
      <c r="AA118" s="56">
        <f t="shared" si="39"/>
        <v>0</v>
      </c>
      <c r="AB118" s="56">
        <v>0</v>
      </c>
      <c r="AC118" s="56">
        <f t="shared" si="28"/>
        <v>0</v>
      </c>
      <c r="AE118" s="56">
        <v>0</v>
      </c>
      <c r="AF118" s="56">
        <f t="shared" si="29"/>
        <v>0</v>
      </c>
      <c r="AG118" s="56">
        <f t="shared" si="30"/>
        <v>0</v>
      </c>
      <c r="AI118" s="56">
        <f t="shared" si="31"/>
        <v>0</v>
      </c>
      <c r="AJ118" s="56">
        <f t="shared" si="32"/>
        <v>0</v>
      </c>
      <c r="AK118" s="56">
        <f t="shared" si="33"/>
        <v>0</v>
      </c>
      <c r="AM118" s="56">
        <f t="shared" si="34"/>
        <v>731530</v>
      </c>
      <c r="AN118" s="56">
        <f t="shared" si="35"/>
        <v>75697</v>
      </c>
      <c r="AO118" s="56">
        <f t="shared" si="36"/>
        <v>131674</v>
      </c>
      <c r="AP118" s="56"/>
      <c r="AQ118" s="56">
        <f t="shared" si="37"/>
        <v>938901</v>
      </c>
      <c r="AR118" s="1"/>
      <c r="AS118" s="56">
        <v>1299.5007388027398</v>
      </c>
      <c r="AT118" s="56">
        <v>134.46927320157889</v>
      </c>
      <c r="AU118" s="56">
        <v>233.90764600373458</v>
      </c>
      <c r="AV118" s="56"/>
      <c r="AW118" s="56">
        <v>1667.8776580080532</v>
      </c>
      <c r="AX118" s="1"/>
      <c r="AY118" s="16">
        <v>-7.7442089141482873E-3</v>
      </c>
      <c r="AZ118" s="16">
        <v>-1.2433373278445847E-2</v>
      </c>
      <c r="BA118" s="16">
        <v>-5.020799427801681E-2</v>
      </c>
      <c r="BB118" s="16">
        <f t="shared" si="38"/>
        <v>-1.4301916038287565E-2</v>
      </c>
      <c r="BC118" s="16"/>
      <c r="BD118" s="1"/>
      <c r="BE118" s="16">
        <f>AM118/'2019-20 disagg'!AM118-1</f>
        <v>3.6600486608351135E-2</v>
      </c>
      <c r="BF118" s="16">
        <f>AN118/'2019-20 disagg'!AN118-1</f>
        <v>4.152506226007513E-2</v>
      </c>
      <c r="BG118" s="16">
        <f>AO118/'2019-20 disagg'!AO118-1</f>
        <v>5.0182641846516995E-2</v>
      </c>
      <c r="BH118" s="16">
        <f>AQ118/'2019-20 disagg'!AQ118-1</f>
        <v>3.8880811541091465E-2</v>
      </c>
      <c r="BI118" s="1"/>
      <c r="BJ118" s="16">
        <f>AS118/'2019-20 disagg'!AS118-1</f>
        <v>2.9606597892142039E-2</v>
      </c>
      <c r="BK118" s="16">
        <f>AT118/'2019-20 disagg'!AT118-1</f>
        <v>3.4497947692125219E-2</v>
      </c>
      <c r="BL118" s="16">
        <f>AU118/'2019-20 disagg'!AU118-1</f>
        <v>4.3097115046505152E-2</v>
      </c>
      <c r="BM118" s="16">
        <f>AW118/'2019-20 disagg'!AW118-1</f>
        <v>3.187153759303829E-2</v>
      </c>
    </row>
    <row r="119" spans="1:65" x14ac:dyDescent="0.2">
      <c r="A119" s="156" t="s">
        <v>283</v>
      </c>
      <c r="B119" s="156" t="s">
        <v>284</v>
      </c>
      <c r="D119" s="56">
        <f>VLOOKUP(A119,'2020-21'!$A$12:$AMX327,32,FALSE)</f>
        <v>595841.50324738654</v>
      </c>
      <c r="E119" s="56">
        <v>1522.5939635189984</v>
      </c>
      <c r="F119" s="16">
        <f>VLOOKUP(A119,'2020-21'!$A$12:$AMX327,34,FALSE)</f>
        <v>4.0505833005707759E-2</v>
      </c>
      <c r="G119" s="16">
        <f>VLOOKUP(A119,'2020-21'!$A$12:$AMX327,35,FALSE)</f>
        <v>3.3950172209290086E-2</v>
      </c>
      <c r="H119" s="56"/>
      <c r="I119" s="56">
        <v>606603.05977119855</v>
      </c>
      <c r="J119" s="56">
        <v>1550.0936944238149</v>
      </c>
      <c r="K119" s="16">
        <f t="shared" si="23"/>
        <v>-1.7740689484604832E-2</v>
      </c>
      <c r="L119" s="58">
        <f t="shared" si="23"/>
        <v>-1.774068948460461E-2</v>
      </c>
      <c r="M119" s="10"/>
      <c r="N119" s="56">
        <v>455434</v>
      </c>
      <c r="O119" s="56">
        <v>50481</v>
      </c>
      <c r="P119" s="56">
        <v>89019</v>
      </c>
      <c r="R119" s="56">
        <f t="shared" si="24"/>
        <v>89019</v>
      </c>
      <c r="S119" s="56">
        <f t="shared" si="25"/>
        <v>907.50324738654308</v>
      </c>
      <c r="U119" s="16">
        <v>-1.4303793157691369E-2</v>
      </c>
      <c r="V119" s="16">
        <v>-6.2344631808568529E-3</v>
      </c>
      <c r="W119" s="56">
        <f t="shared" si="26"/>
        <v>4</v>
      </c>
      <c r="X119" s="56">
        <f t="shared" si="27"/>
        <v>4620.4296703036844</v>
      </c>
      <c r="Y119" s="56">
        <f t="shared" si="27"/>
        <v>507.97696367676622</v>
      </c>
      <c r="AA119" s="56">
        <f t="shared" si="39"/>
        <v>0</v>
      </c>
      <c r="AB119" s="56">
        <v>0</v>
      </c>
      <c r="AC119" s="56">
        <f t="shared" si="28"/>
        <v>907.50324738654308</v>
      </c>
      <c r="AE119" s="56">
        <v>0</v>
      </c>
      <c r="AF119" s="56">
        <f t="shared" si="29"/>
        <v>0</v>
      </c>
      <c r="AG119" s="56">
        <f t="shared" si="30"/>
        <v>907.50324738654308</v>
      </c>
      <c r="AI119" s="56">
        <f t="shared" si="31"/>
        <v>817.61358437118668</v>
      </c>
      <c r="AJ119" s="56">
        <f t="shared" si="32"/>
        <v>89.889663015356504</v>
      </c>
      <c r="AK119" s="56">
        <f t="shared" si="33"/>
        <v>0</v>
      </c>
      <c r="AM119" s="56">
        <f t="shared" si="34"/>
        <v>456252</v>
      </c>
      <c r="AN119" s="56">
        <f t="shared" si="35"/>
        <v>50571</v>
      </c>
      <c r="AO119" s="56">
        <f t="shared" si="36"/>
        <v>89019</v>
      </c>
      <c r="AP119" s="56"/>
      <c r="AQ119" s="56">
        <f t="shared" si="37"/>
        <v>595842</v>
      </c>
      <c r="AR119" s="1"/>
      <c r="AS119" s="56">
        <v>1165.8914950660028</v>
      </c>
      <c r="AT119" s="56">
        <v>129.22748568112101</v>
      </c>
      <c r="AU119" s="56">
        <v>227.47625215731765</v>
      </c>
      <c r="AV119" s="56"/>
      <c r="AW119" s="56">
        <v>1522.5952329044414</v>
      </c>
      <c r="AX119" s="1"/>
      <c r="AY119" s="16">
        <v>-1.2533395038102135E-2</v>
      </c>
      <c r="AZ119" s="16">
        <v>-4.4627292945684793E-3</v>
      </c>
      <c r="BA119" s="16">
        <v>-5.0589538627787256E-2</v>
      </c>
      <c r="BB119" s="16">
        <f t="shared" si="38"/>
        <v>-1.7739870575755878E-2</v>
      </c>
      <c r="BC119" s="16"/>
      <c r="BD119" s="1"/>
      <c r="BE119" s="16">
        <f>AM119/'2019-20 disagg'!AM119-1</f>
        <v>3.8463376829110052E-2</v>
      </c>
      <c r="BF119" s="16">
        <f>AN119/'2019-20 disagg'!AN119-1</f>
        <v>4.2916065168076001E-2</v>
      </c>
      <c r="BG119" s="16">
        <f>AO119/'2019-20 disagg'!AO119-1</f>
        <v>4.971522233883241E-2</v>
      </c>
      <c r="BH119" s="16">
        <f>AQ119/'2019-20 disagg'!AQ119-1</f>
        <v>4.050670047463889E-2</v>
      </c>
      <c r="BI119" s="1"/>
      <c r="BJ119" s="16">
        <f>AS119/'2019-20 disagg'!AS119-1</f>
        <v>3.1920584437136412E-2</v>
      </c>
      <c r="BK119" s="16">
        <f>AT119/'2019-20 disagg'!AT119-1</f>
        <v>3.6345218810947433E-2</v>
      </c>
      <c r="BL119" s="16">
        <f>AU119/'2019-20 disagg'!AU119-1</f>
        <v>4.3101538193871081E-2</v>
      </c>
      <c r="BM119" s="16">
        <f>AW119/'2019-20 disagg'!AW119-1</f>
        <v>3.3951034212771569E-2</v>
      </c>
    </row>
    <row r="120" spans="1:65" x14ac:dyDescent="0.2">
      <c r="A120" s="156" t="s">
        <v>285</v>
      </c>
      <c r="B120" s="156" t="s">
        <v>286</v>
      </c>
      <c r="D120" s="56">
        <f>VLOOKUP(A120,'2020-21'!$A$12:$AMX328,32,FALSE)</f>
        <v>480124.27611342294</v>
      </c>
      <c r="E120" s="56">
        <v>1696.2844498632385</v>
      </c>
      <c r="F120" s="16">
        <f>VLOOKUP(A120,'2020-21'!$A$12:$AMX328,34,FALSE)</f>
        <v>4.4195614455371013E-2</v>
      </c>
      <c r="G120" s="16">
        <f>VLOOKUP(A120,'2020-21'!$A$12:$AMX328,35,FALSE)</f>
        <v>3.6682210673594673E-2</v>
      </c>
      <c r="H120" s="56"/>
      <c r="I120" s="56">
        <v>490136.9043033098</v>
      </c>
      <c r="J120" s="56">
        <v>1731.6591775030363</v>
      </c>
      <c r="K120" s="16">
        <f t="shared" si="23"/>
        <v>-2.042822750537221E-2</v>
      </c>
      <c r="L120" s="58">
        <f t="shared" si="23"/>
        <v>-2.042822750537221E-2</v>
      </c>
      <c r="M120" s="10"/>
      <c r="N120" s="56">
        <v>369480</v>
      </c>
      <c r="O120" s="56">
        <v>36960</v>
      </c>
      <c r="P120" s="56">
        <v>71339</v>
      </c>
      <c r="R120" s="56">
        <f t="shared" si="24"/>
        <v>71339</v>
      </c>
      <c r="S120" s="56">
        <f t="shared" si="25"/>
        <v>2345.2761134229368</v>
      </c>
      <c r="U120" s="16">
        <v>-4.4747894984531467E-4</v>
      </c>
      <c r="V120" s="16">
        <v>-4.0785145754327345E-2</v>
      </c>
      <c r="W120" s="56">
        <f t="shared" si="26"/>
        <v>4</v>
      </c>
      <c r="X120" s="56">
        <f t="shared" si="27"/>
        <v>3696.4540853922826</v>
      </c>
      <c r="Y120" s="56">
        <f t="shared" si="27"/>
        <v>385.31513389735164</v>
      </c>
      <c r="AA120" s="56">
        <f t="shared" si="39"/>
        <v>0</v>
      </c>
      <c r="AB120" s="56">
        <v>0</v>
      </c>
      <c r="AC120" s="56">
        <f t="shared" si="28"/>
        <v>2345.2761134229368</v>
      </c>
      <c r="AE120" s="56">
        <v>0</v>
      </c>
      <c r="AF120" s="56">
        <f t="shared" si="29"/>
        <v>0</v>
      </c>
      <c r="AG120" s="56">
        <f t="shared" si="30"/>
        <v>2345.2761134229368</v>
      </c>
      <c r="AI120" s="56">
        <f t="shared" si="31"/>
        <v>2123.8842778925859</v>
      </c>
      <c r="AJ120" s="56">
        <f t="shared" si="32"/>
        <v>221.39183553035087</v>
      </c>
      <c r="AK120" s="56">
        <f t="shared" si="33"/>
        <v>0</v>
      </c>
      <c r="AM120" s="56">
        <f t="shared" si="34"/>
        <v>371604</v>
      </c>
      <c r="AN120" s="56">
        <f t="shared" si="35"/>
        <v>37181</v>
      </c>
      <c r="AO120" s="56">
        <f t="shared" si="36"/>
        <v>71339</v>
      </c>
      <c r="AP120" s="56"/>
      <c r="AQ120" s="56">
        <f t="shared" si="37"/>
        <v>480124</v>
      </c>
      <c r="AR120" s="1"/>
      <c r="AS120" s="56">
        <v>1312.881097805744</v>
      </c>
      <c r="AT120" s="56">
        <v>131.36088981150732</v>
      </c>
      <c r="AU120" s="56">
        <v>252.04148673416856</v>
      </c>
      <c r="AV120" s="56"/>
      <c r="AW120" s="56">
        <v>1696.28347435142</v>
      </c>
      <c r="AX120" s="1"/>
      <c r="AY120" s="16">
        <v>5.2985683455712973E-3</v>
      </c>
      <c r="AZ120" s="16">
        <v>-3.5049580743821473E-2</v>
      </c>
      <c r="BA120" s="16">
        <v>-0.12958741652524775</v>
      </c>
      <c r="BB120" s="16">
        <f t="shared" si="38"/>
        <v>-2.0428790844758682E-2</v>
      </c>
      <c r="BC120" s="16"/>
      <c r="BD120" s="1"/>
      <c r="BE120" s="16">
        <f>AM120/'2019-20 disagg'!AM120-1</f>
        <v>4.2560474028852546E-2</v>
      </c>
      <c r="BF120" s="16">
        <f>AN120/'2019-20 disagg'!AN120-1</f>
        <v>4.8237947561319494E-2</v>
      </c>
      <c r="BG120" s="16">
        <f>AO120/'2019-20 disagg'!AO120-1</f>
        <v>5.0663485471067249E-2</v>
      </c>
      <c r="BH120" s="16">
        <f>AQ120/'2019-20 disagg'!AQ120-1</f>
        <v>4.4195013951627171E-2</v>
      </c>
      <c r="BI120" s="1"/>
      <c r="BJ120" s="16">
        <f>AS120/'2019-20 disagg'!AS120-1</f>
        <v>3.5058835734399052E-2</v>
      </c>
      <c r="BK120" s="16">
        <f>AT120/'2019-20 disagg'!AT120-1</f>
        <v>4.0695457581109595E-2</v>
      </c>
      <c r="BL120" s="16">
        <f>AU120/'2019-20 disagg'!AU120-1</f>
        <v>4.3103542778500037E-2</v>
      </c>
      <c r="BM120" s="16">
        <f>AW120/'2019-20 disagg'!AW120-1</f>
        <v>3.668161449071472E-2</v>
      </c>
    </row>
    <row r="121" spans="1:65" x14ac:dyDescent="0.2">
      <c r="A121" s="156" t="s">
        <v>287</v>
      </c>
      <c r="B121" s="156" t="s">
        <v>288</v>
      </c>
      <c r="D121" s="56">
        <f>VLOOKUP(A121,'2020-21'!$A$12:$AMX329,32,FALSE)</f>
        <v>801553.08170391666</v>
      </c>
      <c r="E121" s="56">
        <v>1634.9740624830933</v>
      </c>
      <c r="F121" s="16">
        <f>VLOOKUP(A121,'2020-21'!$A$12:$AMX329,34,FALSE)</f>
        <v>5.212646957031275E-2</v>
      </c>
      <c r="G121" s="16">
        <f>VLOOKUP(A121,'2020-21'!$A$12:$AMX329,35,FALSE)</f>
        <v>4.0600000000000191E-2</v>
      </c>
      <c r="H121" s="56"/>
      <c r="I121" s="56">
        <v>822047.17498998134</v>
      </c>
      <c r="J121" s="56">
        <v>1676.7770468663555</v>
      </c>
      <c r="K121" s="16">
        <f t="shared" si="23"/>
        <v>-2.4930556188961339E-2</v>
      </c>
      <c r="L121" s="58">
        <f t="shared" si="23"/>
        <v>-2.4930556188961228E-2</v>
      </c>
      <c r="M121" s="10"/>
      <c r="N121" s="56">
        <v>608667</v>
      </c>
      <c r="O121" s="56">
        <v>65759</v>
      </c>
      <c r="P121" s="56">
        <v>117905</v>
      </c>
      <c r="R121" s="56">
        <f t="shared" si="24"/>
        <v>117905</v>
      </c>
      <c r="S121" s="56">
        <f t="shared" si="25"/>
        <v>9222.0817039166577</v>
      </c>
      <c r="U121" s="16">
        <v>-1.4855719716827753E-2</v>
      </c>
      <c r="V121" s="16">
        <v>4.6332716056756151E-3</v>
      </c>
      <c r="W121" s="56">
        <f t="shared" si="26"/>
        <v>1</v>
      </c>
      <c r="X121" s="56">
        <f t="shared" si="27"/>
        <v>6178.4554017310365</v>
      </c>
      <c r="Y121" s="56">
        <f t="shared" si="27"/>
        <v>654.55725844018025</v>
      </c>
      <c r="AA121" s="56">
        <f t="shared" si="39"/>
        <v>9042.1863528823978</v>
      </c>
      <c r="AB121" s="56">
        <v>0</v>
      </c>
      <c r="AC121" s="56">
        <f t="shared" si="28"/>
        <v>179.89535103425987</v>
      </c>
      <c r="AE121" s="56">
        <v>0</v>
      </c>
      <c r="AF121" s="56">
        <f t="shared" si="29"/>
        <v>0</v>
      </c>
      <c r="AG121" s="56">
        <f t="shared" si="30"/>
        <v>179.89535103425987</v>
      </c>
      <c r="AI121" s="56">
        <f t="shared" si="31"/>
        <v>162.66257046801277</v>
      </c>
      <c r="AJ121" s="56">
        <f t="shared" si="32"/>
        <v>17.232780566247108</v>
      </c>
      <c r="AK121" s="56">
        <f t="shared" si="33"/>
        <v>0</v>
      </c>
      <c r="AM121" s="56">
        <f t="shared" si="34"/>
        <v>617872</v>
      </c>
      <c r="AN121" s="56">
        <f t="shared" si="35"/>
        <v>65776</v>
      </c>
      <c r="AO121" s="56">
        <f t="shared" si="36"/>
        <v>117905</v>
      </c>
      <c r="AP121" s="56"/>
      <c r="AQ121" s="56">
        <f t="shared" si="37"/>
        <v>801553</v>
      </c>
      <c r="AR121" s="1"/>
      <c r="AS121" s="56">
        <v>1260.3091635392282</v>
      </c>
      <c r="AT121" s="56">
        <v>134.1671018284633</v>
      </c>
      <c r="AU121" s="56">
        <v>240.49763045920949</v>
      </c>
      <c r="AV121" s="56"/>
      <c r="AW121" s="56">
        <v>1634.9738958269008</v>
      </c>
      <c r="AX121" s="1"/>
      <c r="AY121" s="16">
        <v>4.2825957583092489E-5</v>
      </c>
      <c r="AZ121" s="16">
        <v>4.892989144222204E-3</v>
      </c>
      <c r="BA121" s="16">
        <v>-0.15020917825358238</v>
      </c>
      <c r="BB121" s="16">
        <f t="shared" si="38"/>
        <v>-2.4930655579749605E-2</v>
      </c>
      <c r="BC121" s="16"/>
      <c r="BD121" s="1"/>
      <c r="BE121" s="16">
        <f>AM121/'2019-20 disagg'!AM121-1</f>
        <v>5.2277341035737113E-2</v>
      </c>
      <c r="BF121" s="16">
        <f>AN121/'2019-20 disagg'!AN121-1</f>
        <v>4.6222363607443917E-2</v>
      </c>
      <c r="BG121" s="16">
        <f>AO121/'2019-20 disagg'!AO121-1</f>
        <v>5.465360704861566E-2</v>
      </c>
      <c r="BH121" s="16">
        <f>AQ121/'2019-20 disagg'!AQ121-1</f>
        <v>5.2126362324947051E-2</v>
      </c>
      <c r="BI121" s="1"/>
      <c r="BJ121" s="16">
        <f>AS121/'2019-20 disagg'!AS121-1</f>
        <v>4.074921860770675E-2</v>
      </c>
      <c r="BK121" s="16">
        <f>AT121/'2019-20 disagg'!AT121-1</f>
        <v>3.4760575897809787E-2</v>
      </c>
      <c r="BL121" s="16">
        <f>AU121/'2019-20 disagg'!AU121-1</f>
        <v>4.3099451668577426E-2</v>
      </c>
      <c r="BM121" s="16">
        <f>AW121/'2019-20 disagg'!AW121-1</f>
        <v>4.0599893929550435E-2</v>
      </c>
    </row>
    <row r="122" spans="1:65" x14ac:dyDescent="0.2">
      <c r="A122" s="156" t="s">
        <v>289</v>
      </c>
      <c r="B122" s="156" t="s">
        <v>290</v>
      </c>
      <c r="D122" s="56">
        <f>VLOOKUP(A122,'2020-21'!$A$12:$AMX330,32,FALSE)</f>
        <v>1469292.9216558866</v>
      </c>
      <c r="E122" s="56">
        <v>1521.7477729470643</v>
      </c>
      <c r="F122" s="16">
        <f>VLOOKUP(A122,'2020-21'!$A$12:$AMX330,34,FALSE)</f>
        <v>4.4586877980379747E-2</v>
      </c>
      <c r="G122" s="16">
        <f>VLOOKUP(A122,'2020-21'!$A$12:$AMX330,35,FALSE)</f>
        <v>3.5660962572643617E-2</v>
      </c>
      <c r="H122" s="56"/>
      <c r="I122" s="56">
        <v>1498485.154738266</v>
      </c>
      <c r="J122" s="56">
        <v>1551.9821904860787</v>
      </c>
      <c r="K122" s="16">
        <f t="shared" si="23"/>
        <v>-1.9481162686245224E-2</v>
      </c>
      <c r="L122" s="58">
        <f t="shared" si="23"/>
        <v>-1.9481162686245113E-2</v>
      </c>
      <c r="M122" s="10"/>
      <c r="N122" s="56">
        <v>1105555</v>
      </c>
      <c r="O122" s="56">
        <v>135022</v>
      </c>
      <c r="P122" s="56">
        <v>221627</v>
      </c>
      <c r="R122" s="56">
        <f t="shared" si="24"/>
        <v>221627</v>
      </c>
      <c r="S122" s="56">
        <f t="shared" si="25"/>
        <v>7088.9216558865737</v>
      </c>
      <c r="U122" s="16">
        <v>-1.2309017559015256E-2</v>
      </c>
      <c r="V122" s="16">
        <v>4.609533075602501E-2</v>
      </c>
      <c r="W122" s="56">
        <f t="shared" si="26"/>
        <v>1</v>
      </c>
      <c r="X122" s="56">
        <f t="shared" si="27"/>
        <v>11193.328881749285</v>
      </c>
      <c r="Y122" s="56">
        <f t="shared" si="27"/>
        <v>1290.7236657142716</v>
      </c>
      <c r="AA122" s="56">
        <f t="shared" si="39"/>
        <v>7088.9216558865737</v>
      </c>
      <c r="AB122" s="56">
        <v>0</v>
      </c>
      <c r="AC122" s="56">
        <f t="shared" si="28"/>
        <v>0</v>
      </c>
      <c r="AE122" s="56">
        <v>0</v>
      </c>
      <c r="AF122" s="56">
        <f t="shared" si="29"/>
        <v>0</v>
      </c>
      <c r="AG122" s="56">
        <f t="shared" si="30"/>
        <v>0</v>
      </c>
      <c r="AI122" s="56">
        <f t="shared" si="31"/>
        <v>0</v>
      </c>
      <c r="AJ122" s="56">
        <f t="shared" si="32"/>
        <v>0</v>
      </c>
      <c r="AK122" s="56">
        <f t="shared" si="33"/>
        <v>0</v>
      </c>
      <c r="AM122" s="56">
        <f t="shared" si="34"/>
        <v>1112644</v>
      </c>
      <c r="AN122" s="56">
        <f t="shared" si="35"/>
        <v>135022</v>
      </c>
      <c r="AO122" s="56">
        <f t="shared" si="36"/>
        <v>221627</v>
      </c>
      <c r="AP122" s="56"/>
      <c r="AQ122" s="56">
        <f t="shared" si="37"/>
        <v>1469293</v>
      </c>
      <c r="AR122" s="1"/>
      <c r="AS122" s="56">
        <v>1152.3662192387926</v>
      </c>
      <c r="AT122" s="56">
        <v>139.84238593302103</v>
      </c>
      <c r="AU122" s="56">
        <v>229.53924891630734</v>
      </c>
      <c r="AV122" s="56"/>
      <c r="AW122" s="56">
        <v>1521.7478540881209</v>
      </c>
      <c r="AX122" s="1"/>
      <c r="AY122" s="16">
        <v>-5.9757809723921529E-3</v>
      </c>
      <c r="AZ122" s="16">
        <v>4.609533075602501E-2</v>
      </c>
      <c r="BA122" s="16">
        <v>-0.11377523740544881</v>
      </c>
      <c r="BB122" s="16">
        <f t="shared" si="38"/>
        <v>-1.948111040403655E-2</v>
      </c>
      <c r="BC122" s="16"/>
      <c r="BD122" s="1"/>
      <c r="BE122" s="16">
        <f>AM122/'2019-20 disagg'!AM122-1</f>
        <v>4.3247196489517359E-2</v>
      </c>
      <c r="BF122" s="16">
        <f>AN122/'2019-20 disagg'!AN122-1</f>
        <v>4.3414423047201112E-2</v>
      </c>
      <c r="BG122" s="16">
        <f>AO122/'2019-20 disagg'!AO122-1</f>
        <v>5.2090157319585773E-2</v>
      </c>
      <c r="BH122" s="16">
        <f>AQ122/'2019-20 disagg'!AQ122-1</f>
        <v>4.4586933678757878E-2</v>
      </c>
      <c r="BI122" s="1"/>
      <c r="BJ122" s="16">
        <f>AS122/'2019-20 disagg'!AS122-1</f>
        <v>3.433272855820757E-2</v>
      </c>
      <c r="BK122" s="16">
        <f>AT122/'2019-20 disagg'!AT122-1</f>
        <v>3.4498526177677125E-2</v>
      </c>
      <c r="BL122" s="16">
        <f>AU122/'2019-20 disagg'!AU122-1</f>
        <v>4.3100126960691432E-2</v>
      </c>
      <c r="BM122" s="16">
        <f>AW122/'2019-20 disagg'!AW122-1</f>
        <v>3.5661017795083572E-2</v>
      </c>
    </row>
    <row r="123" spans="1:65" x14ac:dyDescent="0.2">
      <c r="A123" s="156" t="s">
        <v>291</v>
      </c>
      <c r="B123" s="156" t="s">
        <v>292</v>
      </c>
      <c r="D123" s="56">
        <f>VLOOKUP(A123,'2020-21'!$A$12:$AMX331,32,FALSE)</f>
        <v>318646.32975851122</v>
      </c>
      <c r="E123" s="56">
        <v>1700.1893324580308</v>
      </c>
      <c r="F123" s="16">
        <f>VLOOKUP(A123,'2020-21'!$A$12:$AMX331,34,FALSE)</f>
        <v>4.2360015827800801E-2</v>
      </c>
      <c r="G123" s="16">
        <f>VLOOKUP(A123,'2020-21'!$A$12:$AMX331,35,FALSE)</f>
        <v>3.7011452203558504E-2</v>
      </c>
      <c r="H123" s="56"/>
      <c r="I123" s="56">
        <v>325378.33698205283</v>
      </c>
      <c r="J123" s="56">
        <v>1736.1090522180857</v>
      </c>
      <c r="K123" s="16">
        <f t="shared" si="23"/>
        <v>-2.0689783118268634E-2</v>
      </c>
      <c r="L123" s="58">
        <f t="shared" si="23"/>
        <v>-2.0689783118268523E-2</v>
      </c>
      <c r="M123" s="10"/>
      <c r="N123" s="56">
        <v>252235</v>
      </c>
      <c r="O123" s="56">
        <v>25320</v>
      </c>
      <c r="P123" s="56">
        <v>39861</v>
      </c>
      <c r="R123" s="56">
        <f t="shared" si="24"/>
        <v>39861</v>
      </c>
      <c r="S123" s="56">
        <f t="shared" si="25"/>
        <v>1230.3297585112159</v>
      </c>
      <c r="U123" s="16">
        <v>2.0665077609249627E-2</v>
      </c>
      <c r="V123" s="16">
        <v>3.9804511262506725E-3</v>
      </c>
      <c r="W123" s="56">
        <f t="shared" si="26"/>
        <v>2</v>
      </c>
      <c r="X123" s="56">
        <f t="shared" si="27"/>
        <v>2471.2807906666262</v>
      </c>
      <c r="Y123" s="56">
        <f t="shared" si="27"/>
        <v>252.19614556833642</v>
      </c>
      <c r="AA123" s="56">
        <f t="shared" si="39"/>
        <v>0</v>
      </c>
      <c r="AB123" s="56">
        <v>0</v>
      </c>
      <c r="AC123" s="56">
        <f t="shared" si="28"/>
        <v>1230.3297585112159</v>
      </c>
      <c r="AE123" s="56">
        <v>0</v>
      </c>
      <c r="AF123" s="56">
        <f t="shared" si="29"/>
        <v>0</v>
      </c>
      <c r="AG123" s="56">
        <f t="shared" si="30"/>
        <v>1230.3297585112159</v>
      </c>
      <c r="AI123" s="56">
        <f t="shared" si="31"/>
        <v>1116.4002374837678</v>
      </c>
      <c r="AJ123" s="56">
        <f t="shared" si="32"/>
        <v>113.92952102744799</v>
      </c>
      <c r="AK123" s="56">
        <f t="shared" si="33"/>
        <v>0</v>
      </c>
      <c r="AM123" s="56">
        <f t="shared" si="34"/>
        <v>253351</v>
      </c>
      <c r="AN123" s="56">
        <f t="shared" si="35"/>
        <v>25434</v>
      </c>
      <c r="AO123" s="56">
        <f t="shared" si="36"/>
        <v>39861</v>
      </c>
      <c r="AP123" s="56"/>
      <c r="AQ123" s="56">
        <f t="shared" si="37"/>
        <v>318646</v>
      </c>
      <c r="AR123" s="1"/>
      <c r="AS123" s="56">
        <v>1351.7954777449279</v>
      </c>
      <c r="AT123" s="56">
        <v>135.70724481436622</v>
      </c>
      <c r="AU123" s="56">
        <v>212.684850418552</v>
      </c>
      <c r="AV123" s="56"/>
      <c r="AW123" s="56">
        <v>1700.1875729778462</v>
      </c>
      <c r="AX123" s="1"/>
      <c r="AY123" s="16">
        <v>2.5180954575618086E-2</v>
      </c>
      <c r="AZ123" s="16">
        <v>8.5007422569138846E-3</v>
      </c>
      <c r="BA123" s="16">
        <v>-0.24834025243692615</v>
      </c>
      <c r="BB123" s="16">
        <f t="shared" si="38"/>
        <v>-2.0690796580056792E-2</v>
      </c>
      <c r="BC123" s="16"/>
      <c r="BD123" s="1"/>
      <c r="BE123" s="16">
        <f>AM123/'2019-20 disagg'!AM123-1</f>
        <v>4.1187034837606662E-2</v>
      </c>
      <c r="BF123" s="16">
        <f>AN123/'2019-20 disagg'!AN123-1</f>
        <v>4.4517453798768036E-2</v>
      </c>
      <c r="BG123" s="16">
        <f>AO123/'2019-20 disagg'!AO123-1</f>
        <v>4.8477037192908634E-2</v>
      </c>
      <c r="BH123" s="16">
        <f>AQ123/'2019-20 disagg'!AQ123-1</f>
        <v>4.2358937117472628E-2</v>
      </c>
      <c r="BI123" s="1"/>
      <c r="BJ123" s="16">
        <f>AS123/'2019-20 disagg'!AS123-1</f>
        <v>3.584449002007295E-2</v>
      </c>
      <c r="BK123" s="16">
        <f>AT123/'2019-20 disagg'!AT123-1</f>
        <v>3.9157819916574521E-2</v>
      </c>
      <c r="BL123" s="16">
        <f>AU123/'2019-20 disagg'!AU123-1</f>
        <v>4.3097085873949004E-2</v>
      </c>
      <c r="BM123" s="16">
        <f>AW123/'2019-20 disagg'!AW123-1</f>
        <v>3.7010379028314722E-2</v>
      </c>
    </row>
    <row r="124" spans="1:65" x14ac:dyDescent="0.2">
      <c r="A124" s="156" t="s">
        <v>293</v>
      </c>
      <c r="B124" s="156" t="s">
        <v>294</v>
      </c>
      <c r="D124" s="56">
        <f>VLOOKUP(A124,'2020-21'!$A$12:$AMX332,32,FALSE)</f>
        <v>1019027.5711849838</v>
      </c>
      <c r="E124" s="56">
        <v>1658.0870429246559</v>
      </c>
      <c r="F124" s="16">
        <f>VLOOKUP(A124,'2020-21'!$A$12:$AMX332,34,FALSE)</f>
        <v>4.7522272028708734E-2</v>
      </c>
      <c r="G124" s="16">
        <f>VLOOKUP(A124,'2020-21'!$A$12:$AMX332,35,FALSE)</f>
        <v>3.7750139665691407E-2</v>
      </c>
      <c r="H124" s="56"/>
      <c r="I124" s="56">
        <v>1041269.6463158907</v>
      </c>
      <c r="J124" s="56">
        <v>1694.2777188446685</v>
      </c>
      <c r="K124" s="16">
        <f t="shared" si="23"/>
        <v>-2.1360533469501841E-2</v>
      </c>
      <c r="L124" s="58">
        <f t="shared" si="23"/>
        <v>-2.136053346950173E-2</v>
      </c>
      <c r="M124" s="10"/>
      <c r="N124" s="56">
        <v>783464</v>
      </c>
      <c r="O124" s="56">
        <v>77981</v>
      </c>
      <c r="P124" s="56">
        <v>149852</v>
      </c>
      <c r="R124" s="56">
        <f t="shared" si="24"/>
        <v>149852</v>
      </c>
      <c r="S124" s="56">
        <f t="shared" si="25"/>
        <v>7730.5711849838262</v>
      </c>
      <c r="U124" s="16">
        <v>-1.2362427450004709E-2</v>
      </c>
      <c r="V124" s="16">
        <v>-3.6194270533475237E-2</v>
      </c>
      <c r="W124" s="56">
        <f t="shared" si="26"/>
        <v>4</v>
      </c>
      <c r="X124" s="56">
        <f t="shared" si="27"/>
        <v>7932.7075212131031</v>
      </c>
      <c r="Y124" s="56">
        <f t="shared" si="27"/>
        <v>809.09458842046092</v>
      </c>
      <c r="AA124" s="56">
        <f t="shared" si="39"/>
        <v>0</v>
      </c>
      <c r="AB124" s="56">
        <v>0</v>
      </c>
      <c r="AC124" s="56">
        <f t="shared" si="28"/>
        <v>7730.5711849838262</v>
      </c>
      <c r="AE124" s="56">
        <v>0</v>
      </c>
      <c r="AF124" s="56">
        <f t="shared" si="29"/>
        <v>0</v>
      </c>
      <c r="AG124" s="56">
        <f t="shared" si="30"/>
        <v>7730.5711849838262</v>
      </c>
      <c r="AI124" s="56">
        <f t="shared" si="31"/>
        <v>7015.0707386540316</v>
      </c>
      <c r="AJ124" s="56">
        <f t="shared" si="32"/>
        <v>715.50044632979564</v>
      </c>
      <c r="AK124" s="56">
        <f t="shared" si="33"/>
        <v>0</v>
      </c>
      <c r="AM124" s="56">
        <f t="shared" si="34"/>
        <v>790479</v>
      </c>
      <c r="AN124" s="56">
        <f t="shared" si="35"/>
        <v>78697</v>
      </c>
      <c r="AO124" s="56">
        <f t="shared" si="36"/>
        <v>149852</v>
      </c>
      <c r="AP124" s="56"/>
      <c r="AQ124" s="56">
        <f t="shared" si="37"/>
        <v>1019028</v>
      </c>
      <c r="AR124" s="1"/>
      <c r="AS124" s="56">
        <v>1286.2095439477673</v>
      </c>
      <c r="AT124" s="56">
        <v>128.04999561032923</v>
      </c>
      <c r="AU124" s="56">
        <v>243.82820110295253</v>
      </c>
      <c r="AV124" s="56"/>
      <c r="AW124" s="56">
        <v>1658.0877406610491</v>
      </c>
      <c r="AX124" s="1"/>
      <c r="AY124" s="16">
        <v>-3.5192928944434154E-3</v>
      </c>
      <c r="AZ124" s="16">
        <v>-2.7344872573740964E-2</v>
      </c>
      <c r="BA124" s="16">
        <v>-0.10316292778275171</v>
      </c>
      <c r="BB124" s="16">
        <f t="shared" si="38"/>
        <v>-2.1360121650125574E-2</v>
      </c>
      <c r="BC124" s="16"/>
      <c r="BD124" s="1"/>
      <c r="BE124" s="16">
        <f>AM124/'2019-20 disagg'!AM124-1</f>
        <v>4.5882447893029976E-2</v>
      </c>
      <c r="BF124" s="16">
        <f>AN124/'2019-20 disagg'!AN124-1</f>
        <v>5.3831835772727876E-2</v>
      </c>
      <c r="BG124" s="16">
        <f>AO124/'2019-20 disagg'!AO124-1</f>
        <v>5.2922990444069784E-2</v>
      </c>
      <c r="BH124" s="16">
        <f>AQ124/'2019-20 disagg'!AQ124-1</f>
        <v>4.7522712834524805E-2</v>
      </c>
      <c r="BI124" s="1"/>
      <c r="BJ124" s="16">
        <f>AS124/'2019-20 disagg'!AS124-1</f>
        <v>3.6125613131728462E-2</v>
      </c>
      <c r="BK124" s="16">
        <f>AT124/'2019-20 disagg'!AT124-1</f>
        <v>4.4000842711751309E-2</v>
      </c>
      <c r="BL124" s="16">
        <f>AU124/'2019-20 disagg'!AU124-1</f>
        <v>4.3100475825114115E-2</v>
      </c>
      <c r="BM124" s="16">
        <f>AW124/'2019-20 disagg'!AW124-1</f>
        <v>3.7750576359315335E-2</v>
      </c>
    </row>
    <row r="125" spans="1:65" x14ac:dyDescent="0.2">
      <c r="A125" s="156" t="s">
        <v>295</v>
      </c>
      <c r="B125" s="156" t="s">
        <v>296</v>
      </c>
      <c r="D125" s="56">
        <f>VLOOKUP(A125,'2020-21'!$A$12:$AMX333,32,FALSE)</f>
        <v>443220.05725517578</v>
      </c>
      <c r="E125" s="56">
        <v>1837.9505935116922</v>
      </c>
      <c r="F125" s="16">
        <f>VLOOKUP(A125,'2020-21'!$A$12:$AMX333,34,FALSE)</f>
        <v>3.8969088447092348E-2</v>
      </c>
      <c r="G125" s="16">
        <f>VLOOKUP(A125,'2020-21'!$A$12:$AMX333,35,FALSE)</f>
        <v>3.4679941572946849E-2</v>
      </c>
      <c r="H125" s="56"/>
      <c r="I125" s="56">
        <v>451518.77523076261</v>
      </c>
      <c r="J125" s="56">
        <v>1872.3638231905886</v>
      </c>
      <c r="K125" s="16">
        <f t="shared" si="23"/>
        <v>-1.8379563444168023E-2</v>
      </c>
      <c r="L125" s="58">
        <f t="shared" si="23"/>
        <v>-1.8379563444168023E-2</v>
      </c>
      <c r="M125" s="10"/>
      <c r="N125" s="56">
        <v>351686</v>
      </c>
      <c r="O125" s="56">
        <v>36075</v>
      </c>
      <c r="P125" s="56">
        <v>55093</v>
      </c>
      <c r="R125" s="56">
        <f t="shared" si="24"/>
        <v>55093</v>
      </c>
      <c r="S125" s="56">
        <f t="shared" si="25"/>
        <v>366.05725517577957</v>
      </c>
      <c r="U125" s="16">
        <v>1.4105746124684959E-2</v>
      </c>
      <c r="V125" s="16">
        <v>-8.7129158033301124E-3</v>
      </c>
      <c r="W125" s="56">
        <f t="shared" si="26"/>
        <v>3</v>
      </c>
      <c r="X125" s="56">
        <f t="shared" si="27"/>
        <v>3467.9420893130405</v>
      </c>
      <c r="Y125" s="56">
        <f t="shared" si="27"/>
        <v>363.92081138870941</v>
      </c>
      <c r="AA125" s="56">
        <f t="shared" si="39"/>
        <v>0</v>
      </c>
      <c r="AB125" s="56">
        <v>0</v>
      </c>
      <c r="AC125" s="56">
        <f t="shared" si="28"/>
        <v>366.05725517577957</v>
      </c>
      <c r="AE125" s="56">
        <v>0</v>
      </c>
      <c r="AF125" s="56">
        <f t="shared" si="29"/>
        <v>314.31843760513379</v>
      </c>
      <c r="AG125" s="56">
        <f t="shared" si="30"/>
        <v>51.738817570645779</v>
      </c>
      <c r="AI125" s="56">
        <f t="shared" si="31"/>
        <v>46.825063358000641</v>
      </c>
      <c r="AJ125" s="56">
        <f t="shared" si="32"/>
        <v>4.9137542126451343</v>
      </c>
      <c r="AK125" s="56">
        <f t="shared" si="33"/>
        <v>0</v>
      </c>
      <c r="AM125" s="56">
        <f t="shared" si="34"/>
        <v>351733</v>
      </c>
      <c r="AN125" s="56">
        <f t="shared" si="35"/>
        <v>36394</v>
      </c>
      <c r="AO125" s="56">
        <f t="shared" si="36"/>
        <v>55093</v>
      </c>
      <c r="AP125" s="56"/>
      <c r="AQ125" s="56">
        <f t="shared" si="37"/>
        <v>443220</v>
      </c>
      <c r="AR125" s="1"/>
      <c r="AS125" s="56">
        <v>1458.570896161985</v>
      </c>
      <c r="AT125" s="56">
        <v>150.91910396499412</v>
      </c>
      <c r="AU125" s="56">
        <v>228.460355958219</v>
      </c>
      <c r="AV125" s="56"/>
      <c r="AW125" s="56">
        <v>1837.9503560851981</v>
      </c>
      <c r="AX125" s="1"/>
      <c r="AY125" s="16">
        <v>1.4241273185949366E-2</v>
      </c>
      <c r="AZ125" s="16">
        <v>5.2727435997379501E-5</v>
      </c>
      <c r="BA125" s="16">
        <v>-0.1937509682177303</v>
      </c>
      <c r="BB125" s="16">
        <f t="shared" si="38"/>
        <v>-1.8379690249915481E-2</v>
      </c>
      <c r="BC125" s="16"/>
      <c r="BD125" s="1"/>
      <c r="BE125" s="16">
        <f>AM125/'2019-20 disagg'!AM125-1</f>
        <v>3.6737809820525991E-2</v>
      </c>
      <c r="BF125" s="16">
        <f>AN125/'2019-20 disagg'!AN125-1</f>
        <v>4.797281732319747E-2</v>
      </c>
      <c r="BG125" s="16">
        <f>AO125/'2019-20 disagg'!AO125-1</f>
        <v>4.7415350101712939E-2</v>
      </c>
      <c r="BH125" s="16">
        <f>AQ125/'2019-20 disagg'!AQ125-1</f>
        <v>3.8968954233044917E-2</v>
      </c>
      <c r="BI125" s="1"/>
      <c r="BJ125" s="16">
        <f>AS125/'2019-20 disagg'!AS125-1</f>
        <v>3.2457874271195619E-2</v>
      </c>
      <c r="BK125" s="16">
        <f>AT125/'2019-20 disagg'!AT125-1</f>
        <v>4.364650060829911E-2</v>
      </c>
      <c r="BL125" s="16">
        <f>AU125/'2019-20 disagg'!AU125-1</f>
        <v>4.3091334763070366E-2</v>
      </c>
      <c r="BM125" s="16">
        <f>AW125/'2019-20 disagg'!AW125-1</f>
        <v>3.4679807912971539E-2</v>
      </c>
    </row>
    <row r="126" spans="1:65" x14ac:dyDescent="0.2">
      <c r="A126" s="156" t="s">
        <v>297</v>
      </c>
      <c r="B126" s="156" t="s">
        <v>298</v>
      </c>
      <c r="D126" s="56">
        <f>VLOOKUP(A126,'2020-21'!$A$12:$AMX334,32,FALSE)</f>
        <v>1098258.5464111667</v>
      </c>
      <c r="E126" s="56">
        <v>1648.7046065280817</v>
      </c>
      <c r="F126" s="16">
        <f>VLOOKUP(A126,'2020-21'!$A$12:$AMX334,34,FALSE)</f>
        <v>4.8777236397913093E-2</v>
      </c>
      <c r="G126" s="16">
        <f>VLOOKUP(A126,'2020-21'!$A$12:$AMX334,35,FALSE)</f>
        <v>3.7771364572424693E-2</v>
      </c>
      <c r="H126" s="56"/>
      <c r="I126" s="56">
        <v>1122344.9370208494</v>
      </c>
      <c r="J126" s="56">
        <v>1684.863071474779</v>
      </c>
      <c r="K126" s="16">
        <f t="shared" si="23"/>
        <v>-2.1460773613518169E-2</v>
      </c>
      <c r="L126" s="58">
        <f t="shared" si="23"/>
        <v>-2.146077361351828E-2</v>
      </c>
      <c r="M126" s="10"/>
      <c r="N126" s="56">
        <v>827972</v>
      </c>
      <c r="O126" s="56">
        <v>84297</v>
      </c>
      <c r="P126" s="56">
        <v>176900</v>
      </c>
      <c r="R126" s="56">
        <f t="shared" si="24"/>
        <v>176900</v>
      </c>
      <c r="S126" s="56">
        <f t="shared" si="25"/>
        <v>9089.5464111666661</v>
      </c>
      <c r="U126" s="16">
        <v>-2.1922983893758352E-2</v>
      </c>
      <c r="V126" s="16">
        <v>-3.7219902878917188E-2</v>
      </c>
      <c r="W126" s="56">
        <f t="shared" si="26"/>
        <v>4</v>
      </c>
      <c r="X126" s="56">
        <f t="shared" si="27"/>
        <v>8465.3047394589139</v>
      </c>
      <c r="Y126" s="56">
        <f t="shared" si="27"/>
        <v>875.55819082743767</v>
      </c>
      <c r="AA126" s="56">
        <f t="shared" si="39"/>
        <v>0</v>
      </c>
      <c r="AB126" s="56">
        <v>0</v>
      </c>
      <c r="AC126" s="56">
        <f t="shared" si="28"/>
        <v>9089.5464111666661</v>
      </c>
      <c r="AE126" s="56">
        <v>0</v>
      </c>
      <c r="AF126" s="56">
        <f t="shared" si="29"/>
        <v>0</v>
      </c>
      <c r="AG126" s="56">
        <f t="shared" si="30"/>
        <v>9089.5464111666661</v>
      </c>
      <c r="AI126" s="56">
        <f t="shared" si="31"/>
        <v>8237.5451698895777</v>
      </c>
      <c r="AJ126" s="56">
        <f t="shared" si="32"/>
        <v>852.00124127708852</v>
      </c>
      <c r="AK126" s="56">
        <f t="shared" si="33"/>
        <v>0</v>
      </c>
      <c r="AM126" s="56">
        <f t="shared" si="34"/>
        <v>836210</v>
      </c>
      <c r="AN126" s="56">
        <f t="shared" si="35"/>
        <v>85149</v>
      </c>
      <c r="AO126" s="56">
        <f t="shared" si="36"/>
        <v>176900</v>
      </c>
      <c r="AP126" s="56"/>
      <c r="AQ126" s="56">
        <f t="shared" si="37"/>
        <v>1098259</v>
      </c>
      <c r="AR126" s="1"/>
      <c r="AS126" s="56">
        <v>1255.3175966897529</v>
      </c>
      <c r="AT126" s="56">
        <v>127.82559170607357</v>
      </c>
      <c r="AU126" s="56">
        <v>265.56209905934787</v>
      </c>
      <c r="AV126" s="56"/>
      <c r="AW126" s="56">
        <v>1648.7052874551746</v>
      </c>
      <c r="AX126" s="1"/>
      <c r="AY126" s="16">
        <v>-1.2191497250872763E-2</v>
      </c>
      <c r="AZ126" s="16">
        <v>-2.7488967700356137E-2</v>
      </c>
      <c r="BA126" s="16">
        <v>-6.033531184195795E-2</v>
      </c>
      <c r="BB126" s="16">
        <f t="shared" si="38"/>
        <v>-2.1460369469641916E-2</v>
      </c>
      <c r="BC126" s="16"/>
      <c r="BD126" s="1"/>
      <c r="BE126" s="16">
        <f>AM126/'2019-20 disagg'!AM126-1</f>
        <v>4.6914006845799161E-2</v>
      </c>
      <c r="BF126" s="16">
        <f>AN126/'2019-20 disagg'!AN126-1</f>
        <v>5.6033039401718998E-2</v>
      </c>
      <c r="BG126" s="16">
        <f>AO126/'2019-20 disagg'!AO126-1</f>
        <v>5.4162122864412909E-2</v>
      </c>
      <c r="BH126" s="16">
        <f>AQ126/'2019-20 disagg'!AQ126-1</f>
        <v>4.8777669550602587E-2</v>
      </c>
      <c r="BI126" s="1"/>
      <c r="BJ126" s="16">
        <f>AS126/'2019-20 disagg'!AS126-1</f>
        <v>3.592768775746058E-2</v>
      </c>
      <c r="BK126" s="16">
        <f>AT126/'2019-20 disagg'!AT126-1</f>
        <v>4.4951025155247848E-2</v>
      </c>
      <c r="BL126" s="16">
        <f>AU126/'2019-20 disagg'!AU126-1</f>
        <v>4.3099742022339793E-2</v>
      </c>
      <c r="BM126" s="16">
        <f>AW126/'2019-20 disagg'!AW126-1</f>
        <v>3.7771793179608437E-2</v>
      </c>
    </row>
    <row r="127" spans="1:65" x14ac:dyDescent="0.2">
      <c r="A127" s="156" t="s">
        <v>299</v>
      </c>
      <c r="B127" s="156" t="s">
        <v>300</v>
      </c>
      <c r="D127" s="56">
        <f>VLOOKUP(A127,'2020-21'!$A$12:$AMX335,32,FALSE)</f>
        <v>668782.52805269137</v>
      </c>
      <c r="E127" s="56">
        <v>1628.9032788894149</v>
      </c>
      <c r="F127" s="16">
        <f>VLOOKUP(A127,'2020-21'!$A$12:$AMX335,34,FALSE)</f>
        <v>4.2625164360699408E-2</v>
      </c>
      <c r="G127" s="16">
        <f>VLOOKUP(A127,'2020-21'!$A$12:$AMX335,35,FALSE)</f>
        <v>3.6729228393719726E-2</v>
      </c>
      <c r="H127" s="56"/>
      <c r="I127" s="56">
        <v>682670.62271732569</v>
      </c>
      <c r="J127" s="56">
        <v>1662.7294660097925</v>
      </c>
      <c r="K127" s="16">
        <f t="shared" si="23"/>
        <v>-2.0343770776826031E-2</v>
      </c>
      <c r="L127" s="58">
        <f t="shared" si="23"/>
        <v>-2.0343770776826031E-2</v>
      </c>
      <c r="M127" s="10"/>
      <c r="N127" s="56">
        <v>511366</v>
      </c>
      <c r="O127" s="56">
        <v>58418</v>
      </c>
      <c r="P127" s="56">
        <v>96400</v>
      </c>
      <c r="R127" s="56">
        <f t="shared" si="24"/>
        <v>96400</v>
      </c>
      <c r="S127" s="56">
        <f t="shared" si="25"/>
        <v>2598.5280526913702</v>
      </c>
      <c r="U127" s="16">
        <v>-1.9110110733097097E-2</v>
      </c>
      <c r="V127" s="16">
        <v>5.0405949112291681E-2</v>
      </c>
      <c r="W127" s="56">
        <f t="shared" si="26"/>
        <v>1</v>
      </c>
      <c r="X127" s="56">
        <f t="shared" si="27"/>
        <v>5213.2864819534889</v>
      </c>
      <c r="Y127" s="56">
        <f t="shared" si="27"/>
        <v>556.14688825181941</v>
      </c>
      <c r="AA127" s="56">
        <f t="shared" si="39"/>
        <v>2598.5280526913702</v>
      </c>
      <c r="AB127" s="56">
        <v>0</v>
      </c>
      <c r="AC127" s="56">
        <f t="shared" si="28"/>
        <v>0</v>
      </c>
      <c r="AE127" s="56">
        <v>0</v>
      </c>
      <c r="AF127" s="56">
        <f t="shared" si="29"/>
        <v>0</v>
      </c>
      <c r="AG127" s="56">
        <f t="shared" si="30"/>
        <v>0</v>
      </c>
      <c r="AI127" s="56">
        <f t="shared" si="31"/>
        <v>0</v>
      </c>
      <c r="AJ127" s="56">
        <f t="shared" si="32"/>
        <v>0</v>
      </c>
      <c r="AK127" s="56">
        <f t="shared" si="33"/>
        <v>0</v>
      </c>
      <c r="AM127" s="56">
        <f t="shared" si="34"/>
        <v>513965</v>
      </c>
      <c r="AN127" s="56">
        <f t="shared" si="35"/>
        <v>58418</v>
      </c>
      <c r="AO127" s="56">
        <f t="shared" si="36"/>
        <v>96400</v>
      </c>
      <c r="AP127" s="56"/>
      <c r="AQ127" s="56">
        <f t="shared" si="37"/>
        <v>668783</v>
      </c>
      <c r="AR127" s="1"/>
      <c r="AS127" s="56">
        <v>1251.8258755534321</v>
      </c>
      <c r="AT127" s="56">
        <v>142.28432675003239</v>
      </c>
      <c r="AU127" s="56">
        <v>234.79422607249688</v>
      </c>
      <c r="AV127" s="56"/>
      <c r="AW127" s="56">
        <v>1628.9044283759615</v>
      </c>
      <c r="AX127" s="1"/>
      <c r="AY127" s="16">
        <v>-1.4124771813018855E-2</v>
      </c>
      <c r="AZ127" s="16">
        <v>5.0405949112291681E-2</v>
      </c>
      <c r="BA127" s="16">
        <v>-8.8220232225990625E-2</v>
      </c>
      <c r="BB127" s="16">
        <f t="shared" si="38"/>
        <v>-2.0343079451766832E-2</v>
      </c>
      <c r="BC127" s="16"/>
      <c r="BD127" s="1"/>
      <c r="BE127" s="16">
        <f>AM127/'2019-20 disagg'!AM127-1</f>
        <v>4.1868111596943924E-2</v>
      </c>
      <c r="BF127" s="16">
        <f>AN127/'2019-20 disagg'!AN127-1</f>
        <v>3.8800768191194157E-2</v>
      </c>
      <c r="BG127" s="16">
        <f>AO127/'2019-20 disagg'!AO127-1</f>
        <v>4.903475743791752E-2</v>
      </c>
      <c r="BH127" s="16">
        <f>AQ127/'2019-20 disagg'!AQ127-1</f>
        <v>4.2625900121757043E-2</v>
      </c>
      <c r="BI127" s="1"/>
      <c r="BJ127" s="16">
        <f>AS127/'2019-20 disagg'!AS127-1</f>
        <v>3.5976456683953106E-2</v>
      </c>
      <c r="BK127" s="16">
        <f>AT127/'2019-20 disagg'!AT127-1</f>
        <v>3.2926458783498536E-2</v>
      </c>
      <c r="BL127" s="16">
        <f>AU127/'2019-20 disagg'!AU127-1</f>
        <v>4.3102575894244266E-2</v>
      </c>
      <c r="BM127" s="16">
        <f>AW127/'2019-20 disagg'!AW127-1</f>
        <v>3.6729959994125982E-2</v>
      </c>
    </row>
    <row r="128" spans="1:65" x14ac:dyDescent="0.2">
      <c r="A128" s="156" t="s">
        <v>301</v>
      </c>
      <c r="B128" s="156" t="s">
        <v>302</v>
      </c>
      <c r="D128" s="56">
        <f>VLOOKUP(A128,'2020-21'!$A$12:$AMX336,32,FALSE)</f>
        <v>404816.23554690054</v>
      </c>
      <c r="E128" s="56">
        <v>1684.6253292048493</v>
      </c>
      <c r="F128" s="16">
        <f>VLOOKUP(A128,'2020-21'!$A$12:$AMX336,34,FALSE)</f>
        <v>4.9665861679140111E-2</v>
      </c>
      <c r="G128" s="16">
        <f>VLOOKUP(A128,'2020-21'!$A$12:$AMX336,35,FALSE)</f>
        <v>3.8705696097014686E-2</v>
      </c>
      <c r="H128" s="56"/>
      <c r="I128" s="56">
        <v>414112.04188094899</v>
      </c>
      <c r="J128" s="56">
        <v>1723.3094269030669</v>
      </c>
      <c r="K128" s="16">
        <f t="shared" si="23"/>
        <v>-2.2447563446418295E-2</v>
      </c>
      <c r="L128" s="58">
        <f t="shared" si="23"/>
        <v>-2.2447563446418406E-2</v>
      </c>
      <c r="M128" s="10"/>
      <c r="N128" s="56">
        <v>296918</v>
      </c>
      <c r="O128" s="56">
        <v>32545</v>
      </c>
      <c r="P128" s="56">
        <v>71781</v>
      </c>
      <c r="R128" s="56">
        <f t="shared" si="24"/>
        <v>71781</v>
      </c>
      <c r="S128" s="56">
        <f t="shared" si="25"/>
        <v>3572.2355469005415</v>
      </c>
      <c r="U128" s="16">
        <v>-3.389908346893078E-2</v>
      </c>
      <c r="V128" s="16">
        <v>-3.6298278661176853E-2</v>
      </c>
      <c r="W128" s="56">
        <f t="shared" si="26"/>
        <v>4</v>
      </c>
      <c r="X128" s="56">
        <f t="shared" si="27"/>
        <v>3073.364230582958</v>
      </c>
      <c r="Y128" s="56">
        <f t="shared" si="27"/>
        <v>337.70822734224072</v>
      </c>
      <c r="AA128" s="56">
        <f t="shared" si="39"/>
        <v>0</v>
      </c>
      <c r="AB128" s="56">
        <v>0</v>
      </c>
      <c r="AC128" s="56">
        <f t="shared" si="28"/>
        <v>3572.2355469005415</v>
      </c>
      <c r="AE128" s="56">
        <v>0</v>
      </c>
      <c r="AF128" s="56">
        <f t="shared" si="29"/>
        <v>0</v>
      </c>
      <c r="AG128" s="56">
        <f t="shared" si="30"/>
        <v>3572.2355469005415</v>
      </c>
      <c r="AI128" s="56">
        <f t="shared" si="31"/>
        <v>3218.571604233518</v>
      </c>
      <c r="AJ128" s="56">
        <f t="shared" si="32"/>
        <v>353.66394266702389</v>
      </c>
      <c r="AK128" s="56">
        <f t="shared" si="33"/>
        <v>0</v>
      </c>
      <c r="AM128" s="56">
        <f t="shared" si="34"/>
        <v>300137</v>
      </c>
      <c r="AN128" s="56">
        <f t="shared" si="35"/>
        <v>32899</v>
      </c>
      <c r="AO128" s="56">
        <f t="shared" si="36"/>
        <v>71781</v>
      </c>
      <c r="AP128" s="56"/>
      <c r="AQ128" s="56">
        <f t="shared" si="37"/>
        <v>404817</v>
      </c>
      <c r="AR128" s="1"/>
      <c r="AS128" s="56">
        <v>1249.0071989046417</v>
      </c>
      <c r="AT128" s="56">
        <v>136.90777157352744</v>
      </c>
      <c r="AU128" s="56">
        <v>298.7135399653294</v>
      </c>
      <c r="AV128" s="56"/>
      <c r="AW128" s="56">
        <v>1684.6285104434985</v>
      </c>
      <c r="AX128" s="1"/>
      <c r="AY128" s="16">
        <v>-2.3425219134961428E-2</v>
      </c>
      <c r="AZ128" s="16">
        <v>-2.5815857110894402E-2</v>
      </c>
      <c r="BA128" s="16">
        <v>-1.6763228637016403E-2</v>
      </c>
      <c r="BB128" s="16">
        <f t="shared" si="38"/>
        <v>-2.2445717440936375E-2</v>
      </c>
      <c r="BC128" s="16"/>
      <c r="BD128" s="1"/>
      <c r="BE128" s="16">
        <f>AM128/'2019-20 disagg'!AM128-1</f>
        <v>4.7839991062513576E-2</v>
      </c>
      <c r="BF128" s="16">
        <f>AN128/'2019-20 disagg'!AN128-1</f>
        <v>5.6792264944910187E-2</v>
      </c>
      <c r="BG128" s="16">
        <f>AO128/'2019-20 disagg'!AO128-1</f>
        <v>5.4099299528613587E-2</v>
      </c>
      <c r="BH128" s="16">
        <f>AQ128/'2019-20 disagg'!AQ128-1</f>
        <v>4.966784386327916E-2</v>
      </c>
      <c r="BI128" s="1"/>
      <c r="BJ128" s="16">
        <f>AS128/'2019-20 disagg'!AS128-1</f>
        <v>3.6898890446698251E-2</v>
      </c>
      <c r="BK128" s="16">
        <f>AT128/'2019-20 disagg'!AT128-1</f>
        <v>4.5757688483428316E-2</v>
      </c>
      <c r="BL128" s="16">
        <f>AU128/'2019-20 disagg'!AU128-1</f>
        <v>4.3092841869454501E-2</v>
      </c>
      <c r="BM128" s="16">
        <f>AW128/'2019-20 disagg'!AW128-1</f>
        <v>3.8707657584028166E-2</v>
      </c>
    </row>
    <row r="129" spans="1:65" x14ac:dyDescent="0.2">
      <c r="A129" s="156" t="s">
        <v>303</v>
      </c>
      <c r="B129" s="156" t="s">
        <v>304</v>
      </c>
      <c r="D129" s="56">
        <f>VLOOKUP(A129,'2020-21'!$A$12:$AMX337,32,FALSE)</f>
        <v>635170.83060337265</v>
      </c>
      <c r="E129" s="56">
        <v>1600.3077713068481</v>
      </c>
      <c r="F129" s="16">
        <f>VLOOKUP(A129,'2020-21'!$A$12:$AMX337,34,FALSE)</f>
        <v>4.3292090200574673E-2</v>
      </c>
      <c r="G129" s="16">
        <f>VLOOKUP(A129,'2020-21'!$A$12:$AMX337,35,FALSE)</f>
        <v>3.5805278396597862E-2</v>
      </c>
      <c r="H129" s="56"/>
      <c r="I129" s="56">
        <v>647785.17925210844</v>
      </c>
      <c r="J129" s="56">
        <v>1632.0895207196315</v>
      </c>
      <c r="K129" s="16">
        <f t="shared" si="23"/>
        <v>-1.9473042997525059E-2</v>
      </c>
      <c r="L129" s="58">
        <f t="shared" si="23"/>
        <v>-1.9473042997525059E-2</v>
      </c>
      <c r="M129" s="10"/>
      <c r="N129" s="56">
        <v>491812</v>
      </c>
      <c r="O129" s="56">
        <v>51943</v>
      </c>
      <c r="P129" s="56">
        <v>88797</v>
      </c>
      <c r="R129" s="56">
        <f t="shared" si="24"/>
        <v>88797</v>
      </c>
      <c r="S129" s="56">
        <f t="shared" si="25"/>
        <v>2618.8306033726549</v>
      </c>
      <c r="U129" s="16">
        <v>-8.9073088019488988E-3</v>
      </c>
      <c r="V129" s="16">
        <v>1.9438386480313818E-2</v>
      </c>
      <c r="W129" s="56">
        <f t="shared" si="26"/>
        <v>1</v>
      </c>
      <c r="X129" s="56">
        <f t="shared" si="27"/>
        <v>4962.3209248520297</v>
      </c>
      <c r="Y129" s="56">
        <f t="shared" si="27"/>
        <v>509.52564361772801</v>
      </c>
      <c r="AA129" s="56">
        <f t="shared" si="39"/>
        <v>2618.8306033726549</v>
      </c>
      <c r="AB129" s="56">
        <v>0</v>
      </c>
      <c r="AC129" s="56">
        <f t="shared" si="28"/>
        <v>0</v>
      </c>
      <c r="AE129" s="56">
        <v>0</v>
      </c>
      <c r="AF129" s="56">
        <f t="shared" si="29"/>
        <v>0</v>
      </c>
      <c r="AG129" s="56">
        <f t="shared" si="30"/>
        <v>0</v>
      </c>
      <c r="AI129" s="56">
        <f t="shared" si="31"/>
        <v>0</v>
      </c>
      <c r="AJ129" s="56">
        <f t="shared" si="32"/>
        <v>0</v>
      </c>
      <c r="AK129" s="56">
        <f t="shared" si="33"/>
        <v>0</v>
      </c>
      <c r="AM129" s="56">
        <f t="shared" si="34"/>
        <v>494431</v>
      </c>
      <c r="AN129" s="56">
        <f t="shared" si="35"/>
        <v>51943</v>
      </c>
      <c r="AO129" s="56">
        <f t="shared" si="36"/>
        <v>88797</v>
      </c>
      <c r="AP129" s="56"/>
      <c r="AQ129" s="56">
        <f t="shared" si="37"/>
        <v>635171</v>
      </c>
      <c r="AR129" s="1"/>
      <c r="AS129" s="56">
        <v>1245.7149062141061</v>
      </c>
      <c r="AT129" s="56">
        <v>130.86996845561728</v>
      </c>
      <c r="AU129" s="56">
        <v>223.72332343055749</v>
      </c>
      <c r="AV129" s="56"/>
      <c r="AW129" s="56">
        <v>1600.3081981002808</v>
      </c>
      <c r="AX129" s="1"/>
      <c r="AY129" s="16">
        <v>-3.6295364860076118E-3</v>
      </c>
      <c r="AZ129" s="16">
        <v>1.9438386480313818E-2</v>
      </c>
      <c r="BA129" s="16">
        <v>-0.11733062734603095</v>
      </c>
      <c r="BB129" s="16">
        <f t="shared" si="38"/>
        <v>-1.9472781496285507E-2</v>
      </c>
      <c r="BC129" s="16"/>
      <c r="BD129" s="1"/>
      <c r="BE129" s="16">
        <f>AM129/'2019-20 disagg'!AM129-1</f>
        <v>4.2120616212137474E-2</v>
      </c>
      <c r="BF129" s="16">
        <f>AN129/'2019-20 disagg'!AN129-1</f>
        <v>4.1985957873620805E-2</v>
      </c>
      <c r="BG129" s="16">
        <f>AO129/'2019-20 disagg'!AO129-1</f>
        <v>5.064069950424166E-2</v>
      </c>
      <c r="BH129" s="16">
        <f>AQ129/'2019-20 disagg'!AQ129-1</f>
        <v>4.3292368440936091E-2</v>
      </c>
      <c r="BI129" s="1"/>
      <c r="BJ129" s="16">
        <f>AS129/'2019-20 disagg'!AS129-1</f>
        <v>3.4642211071421514E-2</v>
      </c>
      <c r="BK129" s="16">
        <f>AT129/'2019-20 disagg'!AT129-1</f>
        <v>3.4508519060213905E-2</v>
      </c>
      <c r="BL129" s="16">
        <f>AU129/'2019-20 disagg'!AU129-1</f>
        <v>4.3101153039095674E-2</v>
      </c>
      <c r="BM129" s="16">
        <f>AW129/'2019-20 disagg'!AW129-1</f>
        <v>3.5805554640267134E-2</v>
      </c>
    </row>
    <row r="130" spans="1:65" x14ac:dyDescent="0.2">
      <c r="A130" s="156" t="s">
        <v>305</v>
      </c>
      <c r="B130" s="156" t="s">
        <v>306</v>
      </c>
      <c r="D130" s="56">
        <f>VLOOKUP(A130,'2020-21'!$A$12:$AMX338,32,FALSE)</f>
        <v>638535.22000552167</v>
      </c>
      <c r="E130" s="56">
        <v>1805.9997415302942</v>
      </c>
      <c r="F130" s="16">
        <f>VLOOKUP(A130,'2020-21'!$A$12:$AMX338,34,FALSE)</f>
        <v>4.453415692752416E-2</v>
      </c>
      <c r="G130" s="16">
        <f>VLOOKUP(A130,'2020-21'!$A$12:$AMX338,35,FALSE)</f>
        <v>3.5760687670336244E-2</v>
      </c>
      <c r="H130" s="56"/>
      <c r="I130" s="56">
        <v>651119.31122922036</v>
      </c>
      <c r="J130" s="56">
        <v>1841.5919293773434</v>
      </c>
      <c r="K130" s="16">
        <f t="shared" si="23"/>
        <v>-1.9326859158794951E-2</v>
      </c>
      <c r="L130" s="58">
        <f t="shared" si="23"/>
        <v>-1.932685915879484E-2</v>
      </c>
      <c r="M130" s="10"/>
      <c r="N130" s="56">
        <v>497433</v>
      </c>
      <c r="O130" s="56">
        <v>51567</v>
      </c>
      <c r="P130" s="56">
        <v>86272</v>
      </c>
      <c r="R130" s="56">
        <f t="shared" si="24"/>
        <v>86272</v>
      </c>
      <c r="S130" s="56">
        <f t="shared" si="25"/>
        <v>3263.2200055216672</v>
      </c>
      <c r="U130" s="16">
        <v>-1.451019020203459E-2</v>
      </c>
      <c r="V130" s="16">
        <v>1.2275349859882656E-3</v>
      </c>
      <c r="W130" s="56">
        <f t="shared" si="26"/>
        <v>1</v>
      </c>
      <c r="X130" s="56">
        <f t="shared" si="27"/>
        <v>5047.571218437849</v>
      </c>
      <c r="Y130" s="56">
        <f t="shared" si="27"/>
        <v>515.0377731143966</v>
      </c>
      <c r="AA130" s="56">
        <f t="shared" si="39"/>
        <v>3263.2200055216672</v>
      </c>
      <c r="AB130" s="56">
        <v>0</v>
      </c>
      <c r="AC130" s="56">
        <f t="shared" si="28"/>
        <v>0</v>
      </c>
      <c r="AE130" s="56">
        <v>0</v>
      </c>
      <c r="AF130" s="56">
        <f t="shared" si="29"/>
        <v>0</v>
      </c>
      <c r="AG130" s="56">
        <f t="shared" si="30"/>
        <v>0</v>
      </c>
      <c r="AI130" s="56">
        <f t="shared" si="31"/>
        <v>0</v>
      </c>
      <c r="AJ130" s="56">
        <f t="shared" si="32"/>
        <v>0</v>
      </c>
      <c r="AK130" s="56">
        <f t="shared" si="33"/>
        <v>0</v>
      </c>
      <c r="AM130" s="56">
        <f t="shared" si="34"/>
        <v>500696</v>
      </c>
      <c r="AN130" s="56">
        <f t="shared" si="35"/>
        <v>51567</v>
      </c>
      <c r="AO130" s="56">
        <f t="shared" si="36"/>
        <v>86272</v>
      </c>
      <c r="AP130" s="56"/>
      <c r="AQ130" s="56">
        <f t="shared" si="37"/>
        <v>638535</v>
      </c>
      <c r="AR130" s="1"/>
      <c r="AS130" s="56">
        <v>1416.1424746115533</v>
      </c>
      <c r="AT130" s="56">
        <v>145.84941559008655</v>
      </c>
      <c r="AU130" s="56">
        <v>244.00722907650137</v>
      </c>
      <c r="AV130" s="56"/>
      <c r="AW130" s="56">
        <v>1805.9991192781413</v>
      </c>
      <c r="AX130" s="1"/>
      <c r="AY130" s="16">
        <v>-8.0456949848480841E-3</v>
      </c>
      <c r="AZ130" s="16">
        <v>1.2275349859882656E-3</v>
      </c>
      <c r="BA130" s="16">
        <v>-9.0518193234120692E-2</v>
      </c>
      <c r="BB130" s="16">
        <f t="shared" si="38"/>
        <v>-1.9327197046978939E-2</v>
      </c>
      <c r="BC130" s="16"/>
      <c r="BD130" s="1"/>
      <c r="BE130" s="16">
        <f>AM130/'2019-20 disagg'!AM130-1</f>
        <v>4.3401428306475198E-2</v>
      </c>
      <c r="BF130" s="16">
        <f>AN130/'2019-20 disagg'!AN130-1</f>
        <v>4.3253960225778432E-2</v>
      </c>
      <c r="BG130" s="16">
        <f>AO130/'2019-20 disagg'!AO130-1</f>
        <v>5.1930791459890546E-2</v>
      </c>
      <c r="BH130" s="16">
        <f>AQ130/'2019-20 disagg'!AQ130-1</f>
        <v>4.4533797036205858E-2</v>
      </c>
      <c r="BI130" s="1"/>
      <c r="BJ130" s="16">
        <f>AS130/'2019-20 disagg'!AS130-1</f>
        <v>3.463747329989153E-2</v>
      </c>
      <c r="BK130" s="16">
        <f>AT130/'2019-20 disagg'!AT130-1</f>
        <v>3.4491243863870702E-2</v>
      </c>
      <c r="BL130" s="16">
        <f>AU130/'2019-20 disagg'!AU130-1</f>
        <v>4.3095194846458629E-2</v>
      </c>
      <c r="BM130" s="16">
        <f>AW130/'2019-20 disagg'!AW130-1</f>
        <v>3.5760330801892337E-2</v>
      </c>
    </row>
    <row r="131" spans="1:65" x14ac:dyDescent="0.2">
      <c r="A131" s="156" t="s">
        <v>307</v>
      </c>
      <c r="B131" s="156" t="s">
        <v>308</v>
      </c>
      <c r="D131" s="56">
        <f>VLOOKUP(A131,'2020-21'!$A$12:$AMX339,32,FALSE)</f>
        <v>327080</v>
      </c>
      <c r="E131" s="56">
        <v>1861.8361571521564</v>
      </c>
      <c r="F131" s="16">
        <f>VLOOKUP(A131,'2020-21'!$A$12:$AMX339,34,FALSE)</f>
        <v>3.6033753135848778E-2</v>
      </c>
      <c r="G131" s="16">
        <f>VLOOKUP(A131,'2020-21'!$A$12:$AMX339,35,FALSE)</f>
        <v>3.0307391980873399E-2</v>
      </c>
      <c r="H131" s="56"/>
      <c r="I131" s="56">
        <v>325169.25161962659</v>
      </c>
      <c r="J131" s="56">
        <v>1850.959611897787</v>
      </c>
      <c r="K131" s="16">
        <f t="shared" si="23"/>
        <v>5.8761656302255272E-3</v>
      </c>
      <c r="L131" s="58">
        <f t="shared" si="23"/>
        <v>5.8761656302255272E-3</v>
      </c>
      <c r="M131" s="10"/>
      <c r="N131" s="56">
        <v>249658</v>
      </c>
      <c r="O131" s="56">
        <v>28561</v>
      </c>
      <c r="P131" s="56">
        <v>48861</v>
      </c>
      <c r="R131" s="56">
        <f t="shared" si="24"/>
        <v>48861</v>
      </c>
      <c r="S131" s="56">
        <f t="shared" si="25"/>
        <v>0</v>
      </c>
      <c r="U131" s="16">
        <v>2.5554724777493876E-2</v>
      </c>
      <c r="V131" s="16">
        <v>0.139540412354211</v>
      </c>
      <c r="W131" s="56">
        <f t="shared" si="26"/>
        <v>2</v>
      </c>
      <c r="X131" s="56">
        <f t="shared" si="27"/>
        <v>2434.3703360556037</v>
      </c>
      <c r="Y131" s="56">
        <f t="shared" si="27"/>
        <v>250.63613093804165</v>
      </c>
      <c r="AA131" s="56">
        <f t="shared" si="39"/>
        <v>0</v>
      </c>
      <c r="AB131" s="56">
        <v>0</v>
      </c>
      <c r="AC131" s="56">
        <f t="shared" si="28"/>
        <v>0</v>
      </c>
      <c r="AE131" s="56">
        <v>0</v>
      </c>
      <c r="AF131" s="56">
        <f t="shared" si="29"/>
        <v>0</v>
      </c>
      <c r="AG131" s="56">
        <f t="shared" si="30"/>
        <v>0</v>
      </c>
      <c r="AI131" s="56">
        <f t="shared" si="31"/>
        <v>0</v>
      </c>
      <c r="AJ131" s="56">
        <f t="shared" si="32"/>
        <v>0</v>
      </c>
      <c r="AK131" s="56">
        <f t="shared" si="33"/>
        <v>0</v>
      </c>
      <c r="AM131" s="56">
        <f t="shared" si="34"/>
        <v>249658</v>
      </c>
      <c r="AN131" s="56">
        <f t="shared" si="35"/>
        <v>28561</v>
      </c>
      <c r="AO131" s="56">
        <f t="shared" si="36"/>
        <v>48861</v>
      </c>
      <c r="AP131" s="56"/>
      <c r="AQ131" s="56">
        <f t="shared" si="37"/>
        <v>327080</v>
      </c>
      <c r="AR131" s="1"/>
      <c r="AS131" s="56">
        <v>1421.1272206258195</v>
      </c>
      <c r="AT131" s="56">
        <v>162.5776644381275</v>
      </c>
      <c r="AU131" s="56">
        <v>278.13127208820936</v>
      </c>
      <c r="AV131" s="56"/>
      <c r="AW131" s="56">
        <v>1861.8361571521564</v>
      </c>
      <c r="AX131" s="1"/>
      <c r="AY131" s="16">
        <v>2.5554724777493876E-2</v>
      </c>
      <c r="AZ131" s="16">
        <v>0.139540412354211</v>
      </c>
      <c r="BA131" s="16">
        <v>-0.1377765507241282</v>
      </c>
      <c r="BB131" s="16">
        <f t="shared" si="38"/>
        <v>5.8761656302255272E-3</v>
      </c>
      <c r="BC131" s="16"/>
      <c r="BD131" s="1"/>
      <c r="BE131" s="16">
        <f>AM131/'2019-20 disagg'!AM131-1</f>
        <v>3.6600607034458221E-2</v>
      </c>
      <c r="BF131" s="16">
        <f>AN131/'2019-20 disagg'!AN131-1</f>
        <v>1.0007779899568581E-2</v>
      </c>
      <c r="BG131" s="16">
        <f>AO131/'2019-20 disagg'!AO131-1</f>
        <v>4.8901959942468265E-2</v>
      </c>
      <c r="BH131" s="16">
        <f>AQ131/'2019-20 disagg'!AQ131-1</f>
        <v>3.6033753135848778E-2</v>
      </c>
      <c r="BI131" s="1"/>
      <c r="BJ131" s="16">
        <f>AS131/'2019-20 disagg'!AS131-1</f>
        <v>3.0871112767134168E-2</v>
      </c>
      <c r="BK131" s="16">
        <f>AT131/'2019-20 disagg'!AT131-1</f>
        <v>4.4252693881747796E-3</v>
      </c>
      <c r="BL131" s="16">
        <f>AU131/'2019-20 disagg'!AU131-1</f>
        <v>4.3104473692032963E-2</v>
      </c>
      <c r="BM131" s="16">
        <f>AW131/'2019-20 disagg'!AW131-1</f>
        <v>3.0307391980873399E-2</v>
      </c>
    </row>
    <row r="132" spans="1:65" x14ac:dyDescent="0.2">
      <c r="A132" s="156" t="s">
        <v>309</v>
      </c>
      <c r="B132" s="156" t="s">
        <v>310</v>
      </c>
      <c r="D132" s="56">
        <f>VLOOKUP(A132,'2020-21'!$A$12:$AMX340,32,FALSE)</f>
        <v>350127.40185977821</v>
      </c>
      <c r="E132" s="56">
        <v>1568.9846266906256</v>
      </c>
      <c r="F132" s="16">
        <f>VLOOKUP(A132,'2020-21'!$A$12:$AMX340,34,FALSE)</f>
        <v>4.0639736367462431E-2</v>
      </c>
      <c r="G132" s="16">
        <f>VLOOKUP(A132,'2020-21'!$A$12:$AMX340,35,FALSE)</f>
        <v>3.4498871869338199E-2</v>
      </c>
      <c r="H132" s="56"/>
      <c r="I132" s="56">
        <v>356709.57069101877</v>
      </c>
      <c r="J132" s="56">
        <v>1598.4805234746041</v>
      </c>
      <c r="K132" s="16">
        <f t="shared" si="23"/>
        <v>-1.8452459289190259E-2</v>
      </c>
      <c r="L132" s="58">
        <f t="shared" si="23"/>
        <v>-1.8452459289190148E-2</v>
      </c>
      <c r="M132" s="10"/>
      <c r="N132" s="56">
        <v>263919</v>
      </c>
      <c r="O132" s="56">
        <v>31942</v>
      </c>
      <c r="P132" s="56">
        <v>53304</v>
      </c>
      <c r="R132" s="56">
        <f t="shared" si="24"/>
        <v>53304</v>
      </c>
      <c r="S132" s="56">
        <f t="shared" si="25"/>
        <v>962.40185977821238</v>
      </c>
      <c r="U132" s="16">
        <v>-3.8051736681540271E-3</v>
      </c>
      <c r="V132" s="16">
        <v>5.693387881037637E-2</v>
      </c>
      <c r="W132" s="56">
        <f t="shared" si="26"/>
        <v>1</v>
      </c>
      <c r="X132" s="56">
        <f t="shared" si="27"/>
        <v>2649.2709360054937</v>
      </c>
      <c r="Y132" s="56">
        <f t="shared" si="27"/>
        <v>302.21379634412011</v>
      </c>
      <c r="AA132" s="56">
        <f t="shared" si="39"/>
        <v>962.40185977821238</v>
      </c>
      <c r="AB132" s="56">
        <v>0</v>
      </c>
      <c r="AC132" s="56">
        <f t="shared" si="28"/>
        <v>0</v>
      </c>
      <c r="AE132" s="56">
        <v>0</v>
      </c>
      <c r="AF132" s="56">
        <f t="shared" si="29"/>
        <v>0</v>
      </c>
      <c r="AG132" s="56">
        <f t="shared" si="30"/>
        <v>0</v>
      </c>
      <c r="AI132" s="56">
        <f t="shared" si="31"/>
        <v>0</v>
      </c>
      <c r="AJ132" s="56">
        <f t="shared" si="32"/>
        <v>0</v>
      </c>
      <c r="AK132" s="56">
        <f t="shared" si="33"/>
        <v>0</v>
      </c>
      <c r="AM132" s="56">
        <f t="shared" si="34"/>
        <v>264881</v>
      </c>
      <c r="AN132" s="56">
        <f t="shared" si="35"/>
        <v>31942</v>
      </c>
      <c r="AO132" s="56">
        <f t="shared" si="36"/>
        <v>53304</v>
      </c>
      <c r="AP132" s="56"/>
      <c r="AQ132" s="56">
        <f t="shared" si="37"/>
        <v>350127</v>
      </c>
      <c r="AR132" s="1"/>
      <c r="AS132" s="56">
        <v>1186.9799812723027</v>
      </c>
      <c r="AT132" s="56">
        <v>143.13791688267523</v>
      </c>
      <c r="AU132" s="56">
        <v>238.86492772882474</v>
      </c>
      <c r="AV132" s="56"/>
      <c r="AW132" s="56">
        <v>1568.9828258838027</v>
      </c>
      <c r="AX132" s="1"/>
      <c r="AY132" s="16">
        <v>-1.7398598204110272E-4</v>
      </c>
      <c r="AZ132" s="16">
        <v>5.693387881037637E-2</v>
      </c>
      <c r="BA132" s="16">
        <v>-0.13412849668496152</v>
      </c>
      <c r="BB132" s="16">
        <f t="shared" si="38"/>
        <v>-1.8453585863331345E-2</v>
      </c>
      <c r="BC132" s="16"/>
      <c r="BD132" s="1"/>
      <c r="BE132" s="16">
        <f>AM132/'2019-20 disagg'!AM132-1</f>
        <v>4.038098978790261E-2</v>
      </c>
      <c r="BF132" s="16">
        <f>AN132/'2019-20 disagg'!AN132-1</f>
        <v>2.8595350035422129E-2</v>
      </c>
      <c r="BG132" s="16">
        <f>AO132/'2019-20 disagg'!AO132-1</f>
        <v>4.9291338582677202E-2</v>
      </c>
      <c r="BH132" s="16">
        <f>AQ132/'2019-20 disagg'!AQ132-1</f>
        <v>4.0638541970076103E-2</v>
      </c>
      <c r="BI132" s="1"/>
      <c r="BJ132" s="16">
        <f>AS132/'2019-20 disagg'!AS132-1</f>
        <v>3.4241652165630354E-2</v>
      </c>
      <c r="BK132" s="16">
        <f>AT132/'2019-20 disagg'!AT132-1</f>
        <v>2.2525560032959691E-2</v>
      </c>
      <c r="BL132" s="16">
        <f>AU132/'2019-20 disagg'!AU132-1</f>
        <v>4.3099420569067348E-2</v>
      </c>
      <c r="BM132" s="16">
        <f>AW132/'2019-20 disagg'!AW132-1</f>
        <v>3.4497684520147454E-2</v>
      </c>
    </row>
    <row r="133" spans="1:65" x14ac:dyDescent="0.2">
      <c r="A133" s="156" t="s">
        <v>311</v>
      </c>
      <c r="B133" s="156" t="s">
        <v>312</v>
      </c>
      <c r="D133" s="56">
        <f>VLOOKUP(A133,'2020-21'!$A$12:$AMX341,32,FALSE)</f>
        <v>393381.99044431065</v>
      </c>
      <c r="E133" s="56">
        <v>1606.6444496893714</v>
      </c>
      <c r="F133" s="16">
        <f>VLOOKUP(A133,'2020-21'!$A$12:$AMX341,34,FALSE)</f>
        <v>4.4320590952994454E-2</v>
      </c>
      <c r="G133" s="16">
        <f>VLOOKUP(A133,'2020-21'!$A$12:$AMX341,35,FALSE)</f>
        <v>3.4680427073622289E-2</v>
      </c>
      <c r="H133" s="56"/>
      <c r="I133" s="56">
        <v>400848.29591515288</v>
      </c>
      <c r="J133" s="56">
        <v>1637.1382153822681</v>
      </c>
      <c r="K133" s="16">
        <f t="shared" si="23"/>
        <v>-1.8626262221712486E-2</v>
      </c>
      <c r="L133" s="58">
        <f t="shared" si="23"/>
        <v>-1.8626262221712597E-2</v>
      </c>
      <c r="M133" s="10"/>
      <c r="N133" s="56">
        <v>297295</v>
      </c>
      <c r="O133" s="56">
        <v>34814</v>
      </c>
      <c r="P133" s="56">
        <v>58347</v>
      </c>
      <c r="R133" s="56">
        <f t="shared" si="24"/>
        <v>58347</v>
      </c>
      <c r="S133" s="56">
        <f t="shared" si="25"/>
        <v>2925.9904443106498</v>
      </c>
      <c r="U133" s="16">
        <v>-4.6868263600992055E-3</v>
      </c>
      <c r="V133" s="16">
        <v>7.0131259885647834E-2</v>
      </c>
      <c r="W133" s="56">
        <f t="shared" si="26"/>
        <v>1</v>
      </c>
      <c r="X133" s="56">
        <f t="shared" si="27"/>
        <v>2986.9493127753958</v>
      </c>
      <c r="Y133" s="56">
        <f t="shared" si="27"/>
        <v>325.32457750762421</v>
      </c>
      <c r="AA133" s="56">
        <f t="shared" si="39"/>
        <v>1393.3700427256933</v>
      </c>
      <c r="AB133" s="56">
        <v>0</v>
      </c>
      <c r="AC133" s="56">
        <f t="shared" si="28"/>
        <v>1532.6204015849564</v>
      </c>
      <c r="AE133" s="56">
        <v>0</v>
      </c>
      <c r="AF133" s="56">
        <f t="shared" si="29"/>
        <v>0</v>
      </c>
      <c r="AG133" s="56">
        <f t="shared" si="30"/>
        <v>1532.6204015849564</v>
      </c>
      <c r="AI133" s="56">
        <f t="shared" si="31"/>
        <v>1382.0896480479691</v>
      </c>
      <c r="AJ133" s="56">
        <f t="shared" si="32"/>
        <v>150.53075353698725</v>
      </c>
      <c r="AK133" s="56">
        <f t="shared" si="33"/>
        <v>0</v>
      </c>
      <c r="AM133" s="56">
        <f t="shared" si="34"/>
        <v>300070</v>
      </c>
      <c r="AN133" s="56">
        <f t="shared" si="35"/>
        <v>34965</v>
      </c>
      <c r="AO133" s="56">
        <f t="shared" si="36"/>
        <v>58347</v>
      </c>
      <c r="AP133" s="56"/>
      <c r="AQ133" s="56">
        <f t="shared" si="37"/>
        <v>393382</v>
      </c>
      <c r="AR133" s="1"/>
      <c r="AS133" s="56">
        <v>1225.541106937226</v>
      </c>
      <c r="AT133" s="56">
        <v>142.80349519798747</v>
      </c>
      <c r="AU133" s="56">
        <v>238.29988658135207</v>
      </c>
      <c r="AV133" s="56"/>
      <c r="AW133" s="56">
        <v>1606.6444887165655</v>
      </c>
      <c r="AX133" s="1"/>
      <c r="AY133" s="16">
        <v>4.6035890752451625E-3</v>
      </c>
      <c r="AZ133" s="16">
        <v>7.4772778247305105E-2</v>
      </c>
      <c r="BA133" s="16">
        <v>-0.16193277839907261</v>
      </c>
      <c r="BB133" s="16">
        <f t="shared" si="38"/>
        <v>-1.8626238383044669E-2</v>
      </c>
      <c r="BC133" s="16"/>
      <c r="BD133" s="1"/>
      <c r="BE133" s="16">
        <f>AM133/'2019-20 disagg'!AM133-1</f>
        <v>4.6276473336634094E-2</v>
      </c>
      <c r="BF133" s="16">
        <f>AN133/'2019-20 disagg'!AN133-1</f>
        <v>1.4389741506861231E-2</v>
      </c>
      <c r="BG133" s="16">
        <f>AO133/'2019-20 disagg'!AO133-1</f>
        <v>5.2814868278599825E-2</v>
      </c>
      <c r="BH133" s="16">
        <f>AQ133/'2019-20 disagg'!AQ133-1</f>
        <v>4.4320616320711936E-2</v>
      </c>
      <c r="BI133" s="1"/>
      <c r="BJ133" s="16">
        <f>AS133/'2019-20 disagg'!AS133-1</f>
        <v>3.661825463111934E-2</v>
      </c>
      <c r="BK133" s="16">
        <f>AT133/'2019-20 disagg'!AT133-1</f>
        <v>5.0258704596033432E-3</v>
      </c>
      <c r="BL133" s="16">
        <f>AU133/'2019-20 disagg'!AU133-1</f>
        <v>4.3096293395781915E-2</v>
      </c>
      <c r="BM133" s="16">
        <f>AW133/'2019-20 disagg'!AW133-1</f>
        <v>3.468045220716931E-2</v>
      </c>
    </row>
    <row r="134" spans="1:65" x14ac:dyDescent="0.2">
      <c r="A134" s="156" t="s">
        <v>313</v>
      </c>
      <c r="B134" s="156" t="s">
        <v>314</v>
      </c>
      <c r="D134" s="56">
        <f>VLOOKUP(A134,'2020-21'!$A$12:$AMX342,32,FALSE)</f>
        <v>340729.3836233578</v>
      </c>
      <c r="E134" s="56">
        <v>1771.0707765954051</v>
      </c>
      <c r="F134" s="16">
        <f>VLOOKUP(A134,'2020-21'!$A$12:$AMX342,34,FALSE)</f>
        <v>4.2862908021601642E-2</v>
      </c>
      <c r="G134" s="16">
        <f>VLOOKUP(A134,'2020-21'!$A$12:$AMX342,35,FALSE)</f>
        <v>3.4920644966057734E-2</v>
      </c>
      <c r="H134" s="56"/>
      <c r="I134" s="56">
        <v>347199.83368211746</v>
      </c>
      <c r="J134" s="56">
        <v>1804.7034057764465</v>
      </c>
      <c r="K134" s="16">
        <f t="shared" si="23"/>
        <v>-1.8636097806094432E-2</v>
      </c>
      <c r="L134" s="58">
        <f t="shared" si="23"/>
        <v>-1.8636097806094321E-2</v>
      </c>
      <c r="M134" s="10"/>
      <c r="N134" s="56">
        <v>264555</v>
      </c>
      <c r="O134" s="56">
        <v>26708</v>
      </c>
      <c r="P134" s="56">
        <v>48235</v>
      </c>
      <c r="R134" s="56">
        <f t="shared" si="24"/>
        <v>48235</v>
      </c>
      <c r="S134" s="56">
        <f t="shared" si="25"/>
        <v>1231.383623357804</v>
      </c>
      <c r="U134" s="16">
        <v>-6.2324709583754245E-3</v>
      </c>
      <c r="V134" s="16">
        <v>-2.2030078144524068E-2</v>
      </c>
      <c r="W134" s="56">
        <f t="shared" si="26"/>
        <v>4</v>
      </c>
      <c r="X134" s="56">
        <f t="shared" si="27"/>
        <v>2662.1417209629813</v>
      </c>
      <c r="Y134" s="56">
        <f t="shared" si="27"/>
        <v>273.09633356951952</v>
      </c>
      <c r="AA134" s="56">
        <f t="shared" si="39"/>
        <v>0</v>
      </c>
      <c r="AB134" s="56">
        <v>0</v>
      </c>
      <c r="AC134" s="56">
        <f t="shared" si="28"/>
        <v>1231.383623357804</v>
      </c>
      <c r="AE134" s="56">
        <v>0</v>
      </c>
      <c r="AF134" s="56">
        <f t="shared" si="29"/>
        <v>0</v>
      </c>
      <c r="AG134" s="56">
        <f t="shared" si="30"/>
        <v>1231.383623357804</v>
      </c>
      <c r="AI134" s="56">
        <f t="shared" si="31"/>
        <v>1116.8149422120673</v>
      </c>
      <c r="AJ134" s="56">
        <f t="shared" si="32"/>
        <v>114.56868114573663</v>
      </c>
      <c r="AK134" s="56">
        <f t="shared" si="33"/>
        <v>0</v>
      </c>
      <c r="AM134" s="56">
        <f t="shared" si="34"/>
        <v>265672</v>
      </c>
      <c r="AN134" s="56">
        <f t="shared" si="35"/>
        <v>26823</v>
      </c>
      <c r="AO134" s="56">
        <f t="shared" si="36"/>
        <v>48235</v>
      </c>
      <c r="AP134" s="56"/>
      <c r="AQ134" s="56">
        <f t="shared" si="37"/>
        <v>340730</v>
      </c>
      <c r="AR134" s="1"/>
      <c r="AS134" s="56">
        <v>1380.9314311435244</v>
      </c>
      <c r="AT134" s="56">
        <v>139.4227610646314</v>
      </c>
      <c r="AU134" s="56">
        <v>250.71978823966356</v>
      </c>
      <c r="AV134" s="56"/>
      <c r="AW134" s="56">
        <v>1771.0739804478192</v>
      </c>
      <c r="AX134" s="1"/>
      <c r="AY134" s="16">
        <v>-2.0366011772732229E-3</v>
      </c>
      <c r="AZ134" s="16">
        <v>-1.7819109857367343E-2</v>
      </c>
      <c r="BA134" s="16">
        <v>-0.10136793664515542</v>
      </c>
      <c r="BB134" s="16">
        <f t="shared" si="38"/>
        <v>-1.8634322526896674E-2</v>
      </c>
      <c r="BC134" s="16"/>
      <c r="BD134" s="1"/>
      <c r="BE134" s="16">
        <f>AM134/'2019-20 disagg'!AM134-1</f>
        <v>4.097737584928729E-2</v>
      </c>
      <c r="BF134" s="16">
        <f>AN134/'2019-20 disagg'!AN134-1</f>
        <v>4.6914640334100977E-2</v>
      </c>
      <c r="BG134" s="16">
        <f>AO134/'2019-20 disagg'!AO134-1</f>
        <v>5.1100457616038319E-2</v>
      </c>
      <c r="BH134" s="16">
        <f>AQ134/'2019-20 disagg'!AQ134-1</f>
        <v>4.2864794551993324E-2</v>
      </c>
      <c r="BI134" s="1"/>
      <c r="BJ134" s="16">
        <f>AS134/'2019-20 disagg'!AS134-1</f>
        <v>3.3049472679780978E-2</v>
      </c>
      <c r="BK134" s="16">
        <f>AT134/'2019-20 disagg'!AT134-1</f>
        <v>3.8941519987911066E-2</v>
      </c>
      <c r="BL134" s="16">
        <f>AU134/'2019-20 disagg'!AU134-1</f>
        <v>4.3095458811328147E-2</v>
      </c>
      <c r="BM134" s="16">
        <f>AW134/'2019-20 disagg'!AW134-1</f>
        <v>3.4922517128960884E-2</v>
      </c>
    </row>
    <row r="135" spans="1:65" x14ac:dyDescent="0.2">
      <c r="A135" s="156" t="s">
        <v>315</v>
      </c>
      <c r="B135" s="156" t="s">
        <v>316</v>
      </c>
      <c r="D135" s="56">
        <f>VLOOKUP(A135,'2020-21'!$A$12:$AMX343,32,FALSE)</f>
        <v>293473.05818438058</v>
      </c>
      <c r="E135" s="56">
        <v>1633.9942168498078</v>
      </c>
      <c r="F135" s="16">
        <f>VLOOKUP(A135,'2020-21'!$A$12:$AMX343,34,FALSE)</f>
        <v>4.5929084788195462E-2</v>
      </c>
      <c r="G135" s="16">
        <f>VLOOKUP(A135,'2020-21'!$A$12:$AMX343,35,FALSE)</f>
        <v>3.5189992950938942E-2</v>
      </c>
      <c r="H135" s="56"/>
      <c r="I135" s="56">
        <v>299155.60285221844</v>
      </c>
      <c r="J135" s="56">
        <v>1665.6333907545011</v>
      </c>
      <c r="K135" s="16">
        <f t="shared" si="23"/>
        <v>-1.899528076244994E-2</v>
      </c>
      <c r="L135" s="58">
        <f t="shared" si="23"/>
        <v>-1.899528076244994E-2</v>
      </c>
      <c r="M135" s="10"/>
      <c r="N135" s="56">
        <v>224459</v>
      </c>
      <c r="O135" s="56">
        <v>23288</v>
      </c>
      <c r="P135" s="56">
        <v>44024</v>
      </c>
      <c r="R135" s="56">
        <f t="shared" si="24"/>
        <v>44024</v>
      </c>
      <c r="S135" s="56">
        <f t="shared" si="25"/>
        <v>1702.0581843805849</v>
      </c>
      <c r="U135" s="16">
        <v>-6.6214839882210441E-3</v>
      </c>
      <c r="V135" s="16">
        <v>-3.6042471834127232E-2</v>
      </c>
      <c r="W135" s="56">
        <f t="shared" si="26"/>
        <v>4</v>
      </c>
      <c r="X135" s="56">
        <f t="shared" si="27"/>
        <v>2259.5515846382418</v>
      </c>
      <c r="Y135" s="56">
        <f t="shared" si="27"/>
        <v>241.58740732395341</v>
      </c>
      <c r="AA135" s="56">
        <f t="shared" si="39"/>
        <v>0</v>
      </c>
      <c r="AB135" s="56">
        <v>0</v>
      </c>
      <c r="AC135" s="56">
        <f t="shared" si="28"/>
        <v>1702.0581843805849</v>
      </c>
      <c r="AE135" s="56">
        <v>0</v>
      </c>
      <c r="AF135" s="56">
        <f t="shared" si="29"/>
        <v>0</v>
      </c>
      <c r="AG135" s="56">
        <f t="shared" si="30"/>
        <v>1702.0581843805849</v>
      </c>
      <c r="AI135" s="56">
        <f t="shared" si="31"/>
        <v>1537.654756502141</v>
      </c>
      <c r="AJ135" s="56">
        <f t="shared" si="32"/>
        <v>164.40342787844401</v>
      </c>
      <c r="AK135" s="56">
        <f t="shared" si="33"/>
        <v>0</v>
      </c>
      <c r="AM135" s="56">
        <f t="shared" si="34"/>
        <v>225997</v>
      </c>
      <c r="AN135" s="56">
        <f t="shared" si="35"/>
        <v>23452</v>
      </c>
      <c r="AO135" s="56">
        <f t="shared" si="36"/>
        <v>44024</v>
      </c>
      <c r="AP135" s="56"/>
      <c r="AQ135" s="56">
        <f t="shared" si="37"/>
        <v>293473</v>
      </c>
      <c r="AR135" s="1"/>
      <c r="AS135" s="56">
        <v>1258.3021872944789</v>
      </c>
      <c r="AT135" s="56">
        <v>130.575639926327</v>
      </c>
      <c r="AU135" s="56">
        <v>245.11606567101398</v>
      </c>
      <c r="AV135" s="56"/>
      <c r="AW135" s="56">
        <v>1633.99389289182</v>
      </c>
      <c r="AX135" s="1"/>
      <c r="AY135" s="16">
        <v>1.8517628214520521E-4</v>
      </c>
      <c r="AZ135" s="16">
        <v>-2.9254038537184446E-2</v>
      </c>
      <c r="BA135" s="16">
        <v>-0.1023150356112299</v>
      </c>
      <c r="BB135" s="16">
        <f t="shared" si="38"/>
        <v>-1.8995475257822969E-2</v>
      </c>
      <c r="BC135" s="16"/>
      <c r="BD135" s="1"/>
      <c r="BE135" s="16">
        <f>AM135/'2019-20 disagg'!AM135-1</f>
        <v>4.3702143774187796E-2</v>
      </c>
      <c r="BF135" s="16">
        <f>AN135/'2019-20 disagg'!AN135-1</f>
        <v>5.2603231597845523E-2</v>
      </c>
      <c r="BG135" s="16">
        <f>AO135/'2019-20 disagg'!AO135-1</f>
        <v>5.3911711194101208E-2</v>
      </c>
      <c r="BH135" s="16">
        <f>AQ135/'2019-20 disagg'!AQ135-1</f>
        <v>4.5928877420826408E-2</v>
      </c>
      <c r="BI135" s="1"/>
      <c r="BJ135" s="16">
        <f>AS135/'2019-20 disagg'!AS135-1</f>
        <v>3.2985917085643024E-2</v>
      </c>
      <c r="BK135" s="16">
        <f>AT135/'2019-20 disagg'!AT135-1</f>
        <v>4.1795612862765452E-2</v>
      </c>
      <c r="BL135" s="16">
        <f>AU135/'2019-20 disagg'!AU135-1</f>
        <v>4.3090657626052131E-2</v>
      </c>
      <c r="BM135" s="16">
        <f>AW135/'2019-20 disagg'!AW135-1</f>
        <v>3.5189787712717413E-2</v>
      </c>
    </row>
    <row r="136" spans="1:65" x14ac:dyDescent="0.2">
      <c r="A136" s="156" t="s">
        <v>317</v>
      </c>
      <c r="B136" s="156" t="s">
        <v>318</v>
      </c>
      <c r="D136" s="56">
        <f>VLOOKUP(A136,'2020-21'!$A$12:$AMX344,32,FALSE)</f>
        <v>549207.40239507984</v>
      </c>
      <c r="E136" s="56">
        <v>1719.6137990160285</v>
      </c>
      <c r="F136" s="16">
        <f>VLOOKUP(A136,'2020-21'!$A$12:$AMX344,34,FALSE)</f>
        <v>4.868811190008171E-2</v>
      </c>
      <c r="G136" s="16">
        <f>VLOOKUP(A136,'2020-21'!$A$12:$AMX344,35,FALSE)</f>
        <v>3.7666350312102859E-2</v>
      </c>
      <c r="H136" s="56"/>
      <c r="I136" s="56">
        <v>561211.6850743317</v>
      </c>
      <c r="J136" s="56">
        <v>1757.2002008971908</v>
      </c>
      <c r="K136" s="16">
        <f t="shared" si="23"/>
        <v>-2.1389937163660333E-2</v>
      </c>
      <c r="L136" s="58">
        <f t="shared" si="23"/>
        <v>-2.1389937163660444E-2</v>
      </c>
      <c r="M136" s="10"/>
      <c r="N136" s="56">
        <v>420684</v>
      </c>
      <c r="O136" s="56">
        <v>44042</v>
      </c>
      <c r="P136" s="56">
        <v>79857</v>
      </c>
      <c r="R136" s="56">
        <f t="shared" si="24"/>
        <v>79857</v>
      </c>
      <c r="S136" s="56">
        <f t="shared" si="25"/>
        <v>4624.4023950798437</v>
      </c>
      <c r="U136" s="16">
        <v>-2.5336058431314479E-3</v>
      </c>
      <c r="V136" s="16">
        <v>3.6657180507269072E-3</v>
      </c>
      <c r="W136" s="56">
        <f t="shared" si="26"/>
        <v>1</v>
      </c>
      <c r="X136" s="56">
        <f t="shared" si="27"/>
        <v>4217.5255473703737</v>
      </c>
      <c r="Y136" s="56">
        <f t="shared" si="27"/>
        <v>438.81144097993433</v>
      </c>
      <c r="AA136" s="56">
        <f t="shared" si="39"/>
        <v>1065.84744051191</v>
      </c>
      <c r="AB136" s="56">
        <v>0</v>
      </c>
      <c r="AC136" s="56">
        <f t="shared" si="28"/>
        <v>3558.5549545679337</v>
      </c>
      <c r="AE136" s="56">
        <v>0</v>
      </c>
      <c r="AF136" s="56">
        <f t="shared" si="29"/>
        <v>0</v>
      </c>
      <c r="AG136" s="56">
        <f t="shared" si="30"/>
        <v>3558.5549545679337</v>
      </c>
      <c r="AI136" s="56">
        <f t="shared" si="31"/>
        <v>3223.198078266445</v>
      </c>
      <c r="AJ136" s="56">
        <f t="shared" si="32"/>
        <v>335.35687630148851</v>
      </c>
      <c r="AK136" s="56">
        <f t="shared" si="33"/>
        <v>0</v>
      </c>
      <c r="AM136" s="56">
        <f t="shared" si="34"/>
        <v>424973</v>
      </c>
      <c r="AN136" s="56">
        <f t="shared" si="35"/>
        <v>44377</v>
      </c>
      <c r="AO136" s="56">
        <f t="shared" si="36"/>
        <v>79857</v>
      </c>
      <c r="AP136" s="56"/>
      <c r="AQ136" s="56">
        <f t="shared" si="37"/>
        <v>549207</v>
      </c>
      <c r="AR136" s="1"/>
      <c r="AS136" s="56">
        <v>1330.6256103291473</v>
      </c>
      <c r="AT136" s="56">
        <v>138.94805719322537</v>
      </c>
      <c r="AU136" s="56">
        <v>250.03887156138089</v>
      </c>
      <c r="AV136" s="56"/>
      <c r="AW136" s="56">
        <v>1719.6125390837535</v>
      </c>
      <c r="AX136" s="1"/>
      <c r="AY136" s="16">
        <v>7.6358642687310851E-3</v>
      </c>
      <c r="AZ136" s="16">
        <v>1.1299976611804929E-2</v>
      </c>
      <c r="BA136" s="16">
        <v>-0.16448333824422534</v>
      </c>
      <c r="BB136" s="16">
        <f t="shared" si="38"/>
        <v>-2.1390654174888946E-2</v>
      </c>
      <c r="BC136" s="16"/>
      <c r="BD136" s="1"/>
      <c r="BE136" s="16">
        <f>AM136/'2019-20 disagg'!AM136-1</f>
        <v>4.7169997289505439E-2</v>
      </c>
      <c r="BF136" s="16">
        <f>AN136/'2019-20 disagg'!AN136-1</f>
        <v>5.3434933295352094E-2</v>
      </c>
      <c r="BG136" s="16">
        <f>AO136/'2019-20 disagg'!AO136-1</f>
        <v>5.4176072234763062E-2</v>
      </c>
      <c r="BH136" s="16">
        <f>AQ136/'2019-20 disagg'!AQ136-1</f>
        <v>4.8687343543838191E-2</v>
      </c>
      <c r="BI136" s="1"/>
      <c r="BJ136" s="16">
        <f>AS136/'2019-20 disagg'!AS136-1</f>
        <v>3.6164191157787906E-2</v>
      </c>
      <c r="BK136" s="16">
        <f>AT136/'2019-20 disagg'!AT136-1</f>
        <v>4.2363282390305734E-2</v>
      </c>
      <c r="BL136" s="16">
        <f>AU136/'2019-20 disagg'!AU136-1</f>
        <v>4.3096631924457895E-2</v>
      </c>
      <c r="BM136" s="16">
        <f>AW136/'2019-20 disagg'!AW136-1</f>
        <v>3.7665590031319862E-2</v>
      </c>
    </row>
    <row r="137" spans="1:65" x14ac:dyDescent="0.2">
      <c r="A137" s="156" t="s">
        <v>319</v>
      </c>
      <c r="B137" s="156" t="s">
        <v>320</v>
      </c>
      <c r="D137" s="56">
        <f>VLOOKUP(A137,'2020-21'!$A$12:$AMX345,32,FALSE)</f>
        <v>333250.65077476861</v>
      </c>
      <c r="E137" s="56">
        <v>1878.6268575888275</v>
      </c>
      <c r="F137" s="16">
        <f>VLOOKUP(A137,'2020-21'!$A$12:$AMX345,34,FALSE)</f>
        <v>4.2088897982646811E-2</v>
      </c>
      <c r="G137" s="16">
        <f>VLOOKUP(A137,'2020-21'!$A$12:$AMX345,35,FALSE)</f>
        <v>3.5404737549412202E-2</v>
      </c>
      <c r="H137" s="56"/>
      <c r="I137" s="56">
        <v>339738.70967528218</v>
      </c>
      <c r="J137" s="56">
        <v>1915.2018550443042</v>
      </c>
      <c r="K137" s="16">
        <f t="shared" si="23"/>
        <v>-1.9097202396261448E-2</v>
      </c>
      <c r="L137" s="58">
        <f t="shared" si="23"/>
        <v>-1.9097202396261559E-2</v>
      </c>
      <c r="M137" s="10"/>
      <c r="N137" s="56">
        <v>261746</v>
      </c>
      <c r="O137" s="56">
        <v>29098</v>
      </c>
      <c r="P137" s="56">
        <v>40396</v>
      </c>
      <c r="R137" s="56">
        <f t="shared" si="24"/>
        <v>40396</v>
      </c>
      <c r="S137" s="56">
        <f t="shared" si="25"/>
        <v>2010.6507747686119</v>
      </c>
      <c r="U137" s="16">
        <v>3.6264673132961889E-3</v>
      </c>
      <c r="V137" s="16">
        <v>0.11746705354940223</v>
      </c>
      <c r="W137" s="56">
        <f t="shared" si="26"/>
        <v>2</v>
      </c>
      <c r="X137" s="56">
        <f t="shared" si="27"/>
        <v>2608.0021653941922</v>
      </c>
      <c r="Y137" s="56">
        <f t="shared" si="27"/>
        <v>260.39246443621079</v>
      </c>
      <c r="AA137" s="56">
        <f t="shared" si="39"/>
        <v>0</v>
      </c>
      <c r="AB137" s="56">
        <v>0</v>
      </c>
      <c r="AC137" s="56">
        <f t="shared" si="28"/>
        <v>2010.6507747686119</v>
      </c>
      <c r="AE137" s="56">
        <v>0</v>
      </c>
      <c r="AF137" s="56">
        <f t="shared" si="29"/>
        <v>0</v>
      </c>
      <c r="AG137" s="56">
        <f t="shared" si="30"/>
        <v>2010.6507747686119</v>
      </c>
      <c r="AI137" s="56">
        <f t="shared" si="31"/>
        <v>1828.1241778639412</v>
      </c>
      <c r="AJ137" s="56">
        <f t="shared" si="32"/>
        <v>182.52659690467047</v>
      </c>
      <c r="AK137" s="56">
        <f t="shared" si="33"/>
        <v>0</v>
      </c>
      <c r="AM137" s="56">
        <f t="shared" si="34"/>
        <v>263574</v>
      </c>
      <c r="AN137" s="56">
        <f t="shared" si="35"/>
        <v>29281</v>
      </c>
      <c r="AO137" s="56">
        <f t="shared" si="36"/>
        <v>40396</v>
      </c>
      <c r="AP137" s="56"/>
      <c r="AQ137" s="56">
        <f t="shared" si="37"/>
        <v>333251</v>
      </c>
      <c r="AR137" s="1"/>
      <c r="AS137" s="56">
        <v>1485.840145280843</v>
      </c>
      <c r="AT137" s="56">
        <v>165.06516308121576</v>
      </c>
      <c r="AU137" s="56">
        <v>227.72351790679252</v>
      </c>
      <c r="AV137" s="56"/>
      <c r="AW137" s="56">
        <v>1878.6288262688513</v>
      </c>
      <c r="AX137" s="1"/>
      <c r="AY137" s="16">
        <v>1.0635663947623719E-2</v>
      </c>
      <c r="AZ137" s="16">
        <v>0.12449490669393226</v>
      </c>
      <c r="BA137" s="16">
        <v>-0.23635963598845711</v>
      </c>
      <c r="BB137" s="16">
        <f t="shared" si="38"/>
        <v>-1.9096174473268168E-2</v>
      </c>
      <c r="BC137" s="16"/>
      <c r="BD137" s="1"/>
      <c r="BE137" s="16">
        <f>AM137/'2019-20 disagg'!AM137-1</f>
        <v>4.3840889649272796E-2</v>
      </c>
      <c r="BF137" s="16">
        <f>AN137/'2019-20 disagg'!AN137-1</f>
        <v>1.6383768961088618E-2</v>
      </c>
      <c r="BG137" s="16">
        <f>AO137/'2019-20 disagg'!AO137-1</f>
        <v>4.9846665627111486E-2</v>
      </c>
      <c r="BH137" s="16">
        <f>AQ137/'2019-20 disagg'!AQ137-1</f>
        <v>4.2089990024734902E-2</v>
      </c>
      <c r="BI137" s="1"/>
      <c r="BJ137" s="16">
        <f>AS137/'2019-20 disagg'!AS137-1</f>
        <v>3.7145491601473957E-2</v>
      </c>
      <c r="BK137" s="16">
        <f>AT137/'2019-20 disagg'!AT137-1</f>
        <v>9.8644862140762068E-3</v>
      </c>
      <c r="BL137" s="16">
        <f>AU137/'2019-20 disagg'!AU137-1</f>
        <v>4.3112745366630234E-2</v>
      </c>
      <c r="BM137" s="16">
        <f>AW137/'2019-20 disagg'!AW137-1</f>
        <v>3.540582258693048E-2</v>
      </c>
    </row>
    <row r="138" spans="1:65" x14ac:dyDescent="0.2">
      <c r="A138" s="156" t="s">
        <v>321</v>
      </c>
      <c r="B138" s="156" t="s">
        <v>322</v>
      </c>
      <c r="D138" s="56">
        <f>VLOOKUP(A138,'2020-21'!$A$12:$AMX346,32,FALSE)</f>
        <v>440813.63780726987</v>
      </c>
      <c r="E138" s="56">
        <v>1732.7542740655235</v>
      </c>
      <c r="F138" s="16">
        <f>VLOOKUP(A138,'2020-21'!$A$12:$AMX346,34,FALSE)</f>
        <v>4.4356875193429568E-2</v>
      </c>
      <c r="G138" s="16">
        <f>VLOOKUP(A138,'2020-21'!$A$12:$AMX346,35,FALSE)</f>
        <v>3.685538279964784E-2</v>
      </c>
      <c r="H138" s="56"/>
      <c r="I138" s="56">
        <v>450193.87732195487</v>
      </c>
      <c r="J138" s="56">
        <v>1769.6262052328052</v>
      </c>
      <c r="K138" s="16">
        <f t="shared" si="23"/>
        <v>-2.0835999748563316E-2</v>
      </c>
      <c r="L138" s="58">
        <f t="shared" si="23"/>
        <v>-2.0835999748563205E-2</v>
      </c>
      <c r="M138" s="10"/>
      <c r="N138" s="56">
        <v>327100</v>
      </c>
      <c r="O138" s="56">
        <v>36953</v>
      </c>
      <c r="P138" s="56">
        <v>74676</v>
      </c>
      <c r="R138" s="56">
        <f t="shared" si="24"/>
        <v>74676</v>
      </c>
      <c r="S138" s="56">
        <f t="shared" si="25"/>
        <v>2084.6378072698717</v>
      </c>
      <c r="U138" s="16">
        <v>-6.8679749283472313E-3</v>
      </c>
      <c r="V138" s="16">
        <v>4.0562614455548207E-2</v>
      </c>
      <c r="W138" s="56">
        <f t="shared" si="26"/>
        <v>1</v>
      </c>
      <c r="X138" s="56">
        <f t="shared" si="27"/>
        <v>3293.6205030383576</v>
      </c>
      <c r="Y138" s="56">
        <f t="shared" si="27"/>
        <v>355.12519368509942</v>
      </c>
      <c r="AA138" s="56">
        <f t="shared" si="39"/>
        <v>2084.6378072698717</v>
      </c>
      <c r="AB138" s="56">
        <v>0</v>
      </c>
      <c r="AC138" s="56">
        <f t="shared" si="28"/>
        <v>0</v>
      </c>
      <c r="AE138" s="56">
        <v>0</v>
      </c>
      <c r="AF138" s="56">
        <f t="shared" si="29"/>
        <v>0</v>
      </c>
      <c r="AG138" s="56">
        <f t="shared" si="30"/>
        <v>0</v>
      </c>
      <c r="AI138" s="56">
        <f t="shared" si="31"/>
        <v>0</v>
      </c>
      <c r="AJ138" s="56">
        <f t="shared" si="32"/>
        <v>0</v>
      </c>
      <c r="AK138" s="56">
        <f t="shared" si="33"/>
        <v>0</v>
      </c>
      <c r="AM138" s="56">
        <f t="shared" si="34"/>
        <v>329185</v>
      </c>
      <c r="AN138" s="56">
        <f t="shared" si="35"/>
        <v>36953</v>
      </c>
      <c r="AO138" s="56">
        <f t="shared" si="36"/>
        <v>74676</v>
      </c>
      <c r="AP138" s="56"/>
      <c r="AQ138" s="56">
        <f t="shared" si="37"/>
        <v>440814</v>
      </c>
      <c r="AR138" s="1"/>
      <c r="AS138" s="56">
        <v>1293.9634049109095</v>
      </c>
      <c r="AT138" s="56">
        <v>145.25518994386999</v>
      </c>
      <c r="AU138" s="56">
        <v>293.537102921236</v>
      </c>
      <c r="AV138" s="56"/>
      <c r="AW138" s="56">
        <v>1732.7556977760155</v>
      </c>
      <c r="AX138" s="1"/>
      <c r="AY138" s="16">
        <v>-5.3755526379695162E-4</v>
      </c>
      <c r="AZ138" s="16">
        <v>4.0562614455548207E-2</v>
      </c>
      <c r="BA138" s="16">
        <v>-0.12474676533146878</v>
      </c>
      <c r="BB138" s="16">
        <f t="shared" si="38"/>
        <v>-2.0835195222450587E-2</v>
      </c>
      <c r="BC138" s="16"/>
      <c r="BD138" s="1"/>
      <c r="BE138" s="16">
        <f>AM138/'2019-20 disagg'!AM138-1</f>
        <v>4.3206961790645648E-2</v>
      </c>
      <c r="BF138" s="16">
        <f>AN138/'2019-20 disagg'!AN138-1</f>
        <v>4.1986239566884631E-2</v>
      </c>
      <c r="BG138" s="16">
        <f>AO138/'2019-20 disagg'!AO138-1</f>
        <v>5.0650008441668115E-2</v>
      </c>
      <c r="BH138" s="16">
        <f>AQ138/'2019-20 disagg'!AQ138-1</f>
        <v>4.4357733285002476E-2</v>
      </c>
      <c r="BI138" s="1"/>
      <c r="BJ138" s="16">
        <f>AS138/'2019-20 disagg'!AS138-1</f>
        <v>3.5713729089358992E-2</v>
      </c>
      <c r="BK138" s="16">
        <f>AT138/'2019-20 disagg'!AT138-1</f>
        <v>3.4501775169512472E-2</v>
      </c>
      <c r="BL138" s="16">
        <f>AU138/'2019-20 disagg'!AU138-1</f>
        <v>4.310331321318861E-2</v>
      </c>
      <c r="BM138" s="16">
        <f>AW138/'2019-20 disagg'!AW138-1</f>
        <v>3.6856234727649984E-2</v>
      </c>
    </row>
    <row r="139" spans="1:65" x14ac:dyDescent="0.2">
      <c r="A139" s="156" t="s">
        <v>323</v>
      </c>
      <c r="B139" s="156" t="s">
        <v>324</v>
      </c>
      <c r="D139" s="56">
        <f>VLOOKUP(A139,'2020-21'!$A$12:$AMX347,32,FALSE)</f>
        <v>399324.98959109053</v>
      </c>
      <c r="E139" s="56">
        <v>1701.9980498345726</v>
      </c>
      <c r="F139" s="16">
        <f>VLOOKUP(A139,'2020-21'!$A$12:$AMX347,34,FALSE)</f>
        <v>4.9866151339239773E-2</v>
      </c>
      <c r="G139" s="16">
        <f>VLOOKUP(A139,'2020-21'!$A$12:$AMX347,35,FALSE)</f>
        <v>3.1994311791487817E-2</v>
      </c>
      <c r="H139" s="56"/>
      <c r="I139" s="56">
        <v>405900.01442625874</v>
      </c>
      <c r="J139" s="56">
        <v>1730.0220396643335</v>
      </c>
      <c r="K139" s="16">
        <f t="shared" si="23"/>
        <v>-1.6198631686332954E-2</v>
      </c>
      <c r="L139" s="58">
        <f t="shared" si="23"/>
        <v>-1.6198631686332843E-2</v>
      </c>
      <c r="M139" s="10"/>
      <c r="N139" s="56">
        <v>298056</v>
      </c>
      <c r="O139" s="56">
        <v>34004</v>
      </c>
      <c r="P139" s="56">
        <v>64217</v>
      </c>
      <c r="R139" s="56">
        <f t="shared" si="24"/>
        <v>64217</v>
      </c>
      <c r="S139" s="56">
        <f t="shared" si="25"/>
        <v>3047.9895910905325</v>
      </c>
      <c r="U139" s="16">
        <v>-9.8356389157150392E-4</v>
      </c>
      <c r="V139" s="16">
        <v>-2.4486794341789131E-2</v>
      </c>
      <c r="W139" s="56">
        <f t="shared" si="26"/>
        <v>4</v>
      </c>
      <c r="X139" s="56">
        <f t="shared" si="27"/>
        <v>2983.4944574190213</v>
      </c>
      <c r="Y139" s="56">
        <f t="shared" si="27"/>
        <v>348.57549649526663</v>
      </c>
      <c r="AA139" s="56">
        <f t="shared" si="39"/>
        <v>0</v>
      </c>
      <c r="AB139" s="56">
        <v>0</v>
      </c>
      <c r="AC139" s="56">
        <f t="shared" si="28"/>
        <v>3047.9895910905325</v>
      </c>
      <c r="AE139" s="56">
        <v>0</v>
      </c>
      <c r="AF139" s="56">
        <f t="shared" si="29"/>
        <v>0</v>
      </c>
      <c r="AG139" s="56">
        <f t="shared" si="30"/>
        <v>3047.9895910905325</v>
      </c>
      <c r="AI139" s="56">
        <f t="shared" si="31"/>
        <v>2729.1323942964832</v>
      </c>
      <c r="AJ139" s="56">
        <f t="shared" si="32"/>
        <v>318.85719679404934</v>
      </c>
      <c r="AK139" s="56">
        <f t="shared" si="33"/>
        <v>0</v>
      </c>
      <c r="AM139" s="56">
        <f t="shared" si="34"/>
        <v>300785</v>
      </c>
      <c r="AN139" s="56">
        <f t="shared" si="35"/>
        <v>34323</v>
      </c>
      <c r="AO139" s="56">
        <f t="shared" si="36"/>
        <v>64217</v>
      </c>
      <c r="AP139" s="56"/>
      <c r="AQ139" s="56">
        <f t="shared" si="37"/>
        <v>399325</v>
      </c>
      <c r="AR139" s="1"/>
      <c r="AS139" s="56">
        <v>1282.0021204876625</v>
      </c>
      <c r="AT139" s="56">
        <v>146.29106764465664</v>
      </c>
      <c r="AU139" s="56">
        <v>273.70490606697882</v>
      </c>
      <c r="AV139" s="56"/>
      <c r="AW139" s="56">
        <v>1701.9980941992981</v>
      </c>
      <c r="AX139" s="1"/>
      <c r="AY139" s="16">
        <v>8.1634281305313916E-3</v>
      </c>
      <c r="AZ139" s="16">
        <v>-1.5335261798412825E-2</v>
      </c>
      <c r="BA139" s="16">
        <v>-0.11660017904564968</v>
      </c>
      <c r="BB139" s="16">
        <f t="shared" si="38"/>
        <v>-1.6198606042309605E-2</v>
      </c>
      <c r="BC139" s="16"/>
      <c r="BD139" s="1"/>
      <c r="BE139" s="16">
        <f>AM139/'2019-20 disagg'!AM139-1</f>
        <v>4.6092261035293403E-2</v>
      </c>
      <c r="BF139" s="16">
        <f>AN139/'2019-20 disagg'!AN139-1</f>
        <v>6.2302692664809589E-2</v>
      </c>
      <c r="BG139" s="16">
        <f>AO139/'2019-20 disagg'!AO139-1</f>
        <v>6.1157379866481509E-2</v>
      </c>
      <c r="BH139" s="16">
        <f>AQ139/'2019-20 disagg'!AQ139-1</f>
        <v>4.9866178705324948E-2</v>
      </c>
      <c r="BI139" s="1"/>
      <c r="BJ139" s="16">
        <f>AS139/'2019-20 disagg'!AS139-1</f>
        <v>2.8284664307349328E-2</v>
      </c>
      <c r="BK139" s="16">
        <f>AT139/'2019-20 disagg'!AT139-1</f>
        <v>4.421914625250567E-2</v>
      </c>
      <c r="BL139" s="16">
        <f>AU139/'2019-20 disagg'!AU139-1</f>
        <v>4.3093330079092329E-2</v>
      </c>
      <c r="BM139" s="16">
        <f>AW139/'2019-20 disagg'!AW139-1</f>
        <v>3.1994338691720969E-2</v>
      </c>
    </row>
    <row r="140" spans="1:65" x14ac:dyDescent="0.2">
      <c r="A140" s="156" t="s">
        <v>325</v>
      </c>
      <c r="B140" s="156" t="s">
        <v>326</v>
      </c>
      <c r="D140" s="56">
        <f>VLOOKUP(A140,'2020-21'!$A$12:$AMX348,32,FALSE)</f>
        <v>722974.37390597153</v>
      </c>
      <c r="E140" s="56">
        <v>1672.925069785319</v>
      </c>
      <c r="F140" s="16">
        <f>VLOOKUP(A140,'2020-21'!$A$12:$AMX348,34,FALSE)</f>
        <v>5.0289855272731332E-2</v>
      </c>
      <c r="G140" s="16">
        <f>VLOOKUP(A140,'2020-21'!$A$12:$AMX348,35,FALSE)</f>
        <v>3.5799922602658629E-2</v>
      </c>
      <c r="H140" s="56"/>
      <c r="I140" s="56">
        <v>737763.07599323371</v>
      </c>
      <c r="J140" s="56">
        <v>1707.1453566506805</v>
      </c>
      <c r="K140" s="16">
        <f t="shared" si="23"/>
        <v>-2.0045326973503585E-2</v>
      </c>
      <c r="L140" s="58">
        <f t="shared" si="23"/>
        <v>-2.0045326973503697E-2</v>
      </c>
      <c r="M140" s="10"/>
      <c r="N140" s="56">
        <v>515280</v>
      </c>
      <c r="O140" s="56">
        <v>56038</v>
      </c>
      <c r="P140" s="56">
        <v>145802</v>
      </c>
      <c r="R140" s="56">
        <f t="shared" si="24"/>
        <v>145802</v>
      </c>
      <c r="S140" s="56">
        <f t="shared" si="25"/>
        <v>5854.3739059715299</v>
      </c>
      <c r="U140" s="16">
        <v>-1.9759988706625209E-2</v>
      </c>
      <c r="V140" s="16">
        <v>-4.6794627227959795E-2</v>
      </c>
      <c r="W140" s="56">
        <f t="shared" si="26"/>
        <v>4</v>
      </c>
      <c r="X140" s="56">
        <f t="shared" si="27"/>
        <v>5256.6717749065892</v>
      </c>
      <c r="Y140" s="56">
        <f t="shared" si="27"/>
        <v>587.8900979862766</v>
      </c>
      <c r="AA140" s="56">
        <f t="shared" si="39"/>
        <v>0</v>
      </c>
      <c r="AB140" s="56">
        <v>0</v>
      </c>
      <c r="AC140" s="56">
        <f t="shared" si="28"/>
        <v>5854.3739059715299</v>
      </c>
      <c r="AE140" s="56">
        <v>0</v>
      </c>
      <c r="AF140" s="56">
        <f t="shared" si="29"/>
        <v>0</v>
      </c>
      <c r="AG140" s="56">
        <f t="shared" si="30"/>
        <v>5854.3739059715299</v>
      </c>
      <c r="AI140" s="56">
        <f t="shared" si="31"/>
        <v>5265.4968397208204</v>
      </c>
      <c r="AJ140" s="56">
        <f t="shared" si="32"/>
        <v>588.87706625070962</v>
      </c>
      <c r="AK140" s="56">
        <f t="shared" si="33"/>
        <v>0</v>
      </c>
      <c r="AM140" s="56">
        <f t="shared" si="34"/>
        <v>520545</v>
      </c>
      <c r="AN140" s="56">
        <f t="shared" si="35"/>
        <v>56627</v>
      </c>
      <c r="AO140" s="56">
        <f t="shared" si="36"/>
        <v>145802</v>
      </c>
      <c r="AP140" s="56"/>
      <c r="AQ140" s="56">
        <f t="shared" si="37"/>
        <v>722974</v>
      </c>
      <c r="AR140" s="1"/>
      <c r="AS140" s="56">
        <v>1204.5140351885523</v>
      </c>
      <c r="AT140" s="56">
        <v>131.03193051632837</v>
      </c>
      <c r="AU140" s="56">
        <v>337.3782388814825</v>
      </c>
      <c r="AV140" s="56"/>
      <c r="AW140" s="56">
        <v>1672.9242045863632</v>
      </c>
      <c r="AX140" s="1"/>
      <c r="AY140" s="16">
        <v>-9.7441455544368116E-3</v>
      </c>
      <c r="AZ140" s="16">
        <v>-3.6775747814655757E-2</v>
      </c>
      <c r="BA140" s="16">
        <v>-4.8953369071626174E-2</v>
      </c>
      <c r="BB140" s="16">
        <f t="shared" si="38"/>
        <v>-2.0045833783865485E-2</v>
      </c>
      <c r="BC140" s="16"/>
      <c r="BD140" s="1"/>
      <c r="BE140" s="16">
        <f>AM140/'2019-20 disagg'!AM140-1</f>
        <v>4.7193041043199768E-2</v>
      </c>
      <c r="BF140" s="16">
        <f>AN140/'2019-20 disagg'!AN140-1</f>
        <v>5.9994009958444172E-2</v>
      </c>
      <c r="BG140" s="16">
        <f>AO140/'2019-20 disagg'!AO140-1</f>
        <v>5.769356324674102E-2</v>
      </c>
      <c r="BH140" s="16">
        <f>AQ140/'2019-20 disagg'!AQ140-1</f>
        <v>5.0289312086606142E-2</v>
      </c>
      <c r="BI140" s="1"/>
      <c r="BJ140" s="16">
        <f>AS140/'2019-20 disagg'!AS140-1</f>
        <v>3.2745832416830156E-2</v>
      </c>
      <c r="BK140" s="16">
        <f>AT140/'2019-20 disagg'!AT140-1</f>
        <v>4.5370197533834977E-2</v>
      </c>
      <c r="BL140" s="16">
        <f>AU140/'2019-20 disagg'!AU140-1</f>
        <v>4.3101488078086891E-2</v>
      </c>
      <c r="BM140" s="16">
        <f>AW140/'2019-20 disagg'!AW140-1</f>
        <v>3.5799386910398523E-2</v>
      </c>
    </row>
    <row r="141" spans="1:65" x14ac:dyDescent="0.2">
      <c r="A141" s="156" t="s">
        <v>327</v>
      </c>
      <c r="B141" s="156" t="s">
        <v>328</v>
      </c>
      <c r="D141" s="56">
        <f>VLOOKUP(A141,'2020-21'!$A$12:$AMX349,32,FALSE)</f>
        <v>444742.538150576</v>
      </c>
      <c r="E141" s="56">
        <v>1807.738404897111</v>
      </c>
      <c r="F141" s="16">
        <f>VLOOKUP(A141,'2020-21'!$A$12:$AMX349,34,FALSE)</f>
        <v>4.7093605854348519E-2</v>
      </c>
      <c r="G141" s="16">
        <f>VLOOKUP(A141,'2020-21'!$A$12:$AMX349,35,FALSE)</f>
        <v>3.6937788838794283E-2</v>
      </c>
      <c r="H141" s="56"/>
      <c r="I141" s="56">
        <v>454196.71542002447</v>
      </c>
      <c r="J141" s="56">
        <v>1846.1666591580085</v>
      </c>
      <c r="K141" s="16">
        <f t="shared" ref="K141:L163" si="40">D141/I141-1</f>
        <v>-2.0815159926257043E-2</v>
      </c>
      <c r="L141" s="58">
        <f t="shared" si="40"/>
        <v>-2.0815159926257043E-2</v>
      </c>
      <c r="M141" s="10"/>
      <c r="N141" s="56">
        <v>329174</v>
      </c>
      <c r="O141" s="56">
        <v>31828</v>
      </c>
      <c r="P141" s="56">
        <v>80811</v>
      </c>
      <c r="R141" s="56">
        <f t="shared" ref="R141:R204" si="41">ROUND(P141,0)</f>
        <v>80811</v>
      </c>
      <c r="S141" s="56">
        <f t="shared" ref="S141:S204" si="42">D141-SUM(N141:P141)</f>
        <v>2929.5381505760015</v>
      </c>
      <c r="U141" s="16">
        <v>-2.8043881155813022E-2</v>
      </c>
      <c r="V141" s="16">
        <v>-3.4133504628524047E-2</v>
      </c>
      <c r="W141" s="56">
        <f t="shared" ref="W141:W204" si="43">IF(AND(U141&lt;0,V141&gt;0),1,IF(AND(U141&gt;0,V141&gt;0),2,IF(AND(U141&gt;0,V141&lt;0),3,IF(AND(U141&lt;0,V141&lt;0),4,5))))</f>
        <v>4</v>
      </c>
      <c r="X141" s="56">
        <f t="shared" ref="X141:Y204" si="44">N141/(1+U141)/100</f>
        <v>3386.7166800847049</v>
      </c>
      <c r="Y141" s="56">
        <f t="shared" si="44"/>
        <v>329.52794358767801</v>
      </c>
      <c r="AA141" s="56">
        <f t="shared" si="39"/>
        <v>0</v>
      </c>
      <c r="AB141" s="56">
        <v>0</v>
      </c>
      <c r="AC141" s="56">
        <f t="shared" ref="AC141:AC204" si="45">S141-AA141-AB141</f>
        <v>2929.5381505760015</v>
      </c>
      <c r="AE141" s="56">
        <v>0</v>
      </c>
      <c r="AF141" s="56">
        <f t="shared" ref="AF141:AF204" si="46">IF(W141=3,MIN(S141,-1*V141*O141),0)</f>
        <v>0</v>
      </c>
      <c r="AG141" s="56">
        <f t="shared" ref="AG141:AG204" si="47">AC141-AE141-AF141</f>
        <v>2929.5381505760015</v>
      </c>
      <c r="AI141" s="56">
        <f t="shared" ref="AI141:AI204" si="48">AG141*X141/(X141+Y141)</f>
        <v>2669.7692763012537</v>
      </c>
      <c r="AJ141" s="56">
        <f t="shared" ref="AJ141:AJ204" si="49">AG141*Y141/(X141+Y141)</f>
        <v>259.76887427474799</v>
      </c>
      <c r="AK141" s="56">
        <f t="shared" ref="AK141:AK204" si="50">S141-SUM(AA141:AB141)-SUM(AE141:AF141)-SUM(AI141:AJ141)</f>
        <v>0</v>
      </c>
      <c r="AM141" s="56">
        <f t="shared" ref="AM141:AM204" si="51">ROUND(N141+AA141+AE141+AI141,0)</f>
        <v>331844</v>
      </c>
      <c r="AN141" s="56">
        <f t="shared" ref="AN141:AN204" si="52">ROUND(O141+AB141+AF141+AJ141,0)</f>
        <v>32088</v>
      </c>
      <c r="AO141" s="56">
        <f t="shared" ref="AO141:AO204" si="53">R141</f>
        <v>80811</v>
      </c>
      <c r="AP141" s="56"/>
      <c r="AQ141" s="56">
        <f t="shared" ref="AQ141:AQ204" si="54">SUM(AM141:AP141)</f>
        <v>444743</v>
      </c>
      <c r="AR141" s="1"/>
      <c r="AS141" s="56">
        <v>1348.841389738109</v>
      </c>
      <c r="AT141" s="56">
        <v>130.42761813959703</v>
      </c>
      <c r="AU141" s="56">
        <v>328.47127429191528</v>
      </c>
      <c r="AV141" s="56"/>
      <c r="AW141" s="56">
        <v>1807.7402821696212</v>
      </c>
      <c r="AX141" s="1"/>
      <c r="AY141" s="16">
        <v>-2.0160139313158409E-2</v>
      </c>
      <c r="AZ141" s="16">
        <v>-2.6243430203596874E-2</v>
      </c>
      <c r="BA141" s="16">
        <v>-2.1329841292574092E-2</v>
      </c>
      <c r="BB141" s="16">
        <f t="shared" ref="BB141:BB204" si="55">SUM(AM141:AO141)/I141-1</f>
        <v>-2.0814143077371283E-2</v>
      </c>
      <c r="BC141" s="16"/>
      <c r="BD141" s="1"/>
      <c r="BE141" s="16">
        <f>AM141/'2019-20 disagg'!AM141-1</f>
        <v>4.5010092866972551E-2</v>
      </c>
      <c r="BF141" s="16">
        <f>AN141/'2019-20 disagg'!AN141-1</f>
        <v>5.3170539582512832E-2</v>
      </c>
      <c r="BG141" s="16">
        <f>AO141/'2019-20 disagg'!AO141-1</f>
        <v>5.3310045489501023E-2</v>
      </c>
      <c r="BH141" s="16">
        <f>AQ141/'2019-20 disagg'!AQ141-1</f>
        <v>4.7094693224090101E-2</v>
      </c>
      <c r="BI141" s="1"/>
      <c r="BJ141" s="16">
        <f>AS141/'2019-20 disagg'!AS141-1</f>
        <v>3.4874483955575242E-2</v>
      </c>
      <c r="BK141" s="16">
        <f>AT141/'2019-20 disagg'!AT141-1</f>
        <v>4.2955782060957848E-2</v>
      </c>
      <c r="BL141" s="16">
        <f>AU141/'2019-20 disagg'!AU141-1</f>
        <v>4.3093934892675767E-2</v>
      </c>
      <c r="BM141" s="16">
        <f>AW141/'2019-20 disagg'!AW141-1</f>
        <v>3.6938865662078157E-2</v>
      </c>
    </row>
    <row r="142" spans="1:65" x14ac:dyDescent="0.2">
      <c r="A142" s="156" t="s">
        <v>329</v>
      </c>
      <c r="B142" s="156" t="s">
        <v>330</v>
      </c>
      <c r="D142" s="56">
        <f>VLOOKUP(A142,'2020-21'!$A$12:$AMX350,32,FALSE)</f>
        <v>623019</v>
      </c>
      <c r="E142" s="56">
        <v>1615.376123739464</v>
      </c>
      <c r="F142" s="16">
        <f>VLOOKUP(A142,'2020-21'!$A$12:$AMX350,34,FALSE)</f>
        <v>3.994571749058573E-2</v>
      </c>
      <c r="G142" s="16">
        <f>VLOOKUP(A142,'2020-21'!$A$12:$AMX350,35,FALSE)</f>
        <v>3.1887019553882956E-2</v>
      </c>
      <c r="H142" s="56"/>
      <c r="I142" s="56">
        <v>628149.81710807676</v>
      </c>
      <c r="J142" s="56">
        <v>1628.679408954941</v>
      </c>
      <c r="K142" s="16">
        <f t="shared" si="40"/>
        <v>-8.1681423258203045E-3</v>
      </c>
      <c r="L142" s="58">
        <f t="shared" si="40"/>
        <v>-8.1681423258204156E-3</v>
      </c>
      <c r="M142" s="10"/>
      <c r="N142" s="56">
        <v>448336</v>
      </c>
      <c r="O142" s="56">
        <v>52386</v>
      </c>
      <c r="P142" s="56">
        <v>122297</v>
      </c>
      <c r="R142" s="56">
        <f t="shared" si="41"/>
        <v>122297</v>
      </c>
      <c r="S142" s="56">
        <f t="shared" si="42"/>
        <v>0</v>
      </c>
      <c r="U142" s="16">
        <v>9.7640681976010057E-3</v>
      </c>
      <c r="V142" s="16">
        <v>-4.8594233397594389E-2</v>
      </c>
      <c r="W142" s="56">
        <f t="shared" si="43"/>
        <v>3</v>
      </c>
      <c r="X142" s="56">
        <f t="shared" si="44"/>
        <v>4440.0074643205171</v>
      </c>
      <c r="Y142" s="56">
        <f t="shared" si="44"/>
        <v>550.61680135781864</v>
      </c>
      <c r="AA142" s="56">
        <f t="shared" ref="AA142:AA205" si="56">IF(W142=1,MIN(S142,-1*U142*N142),0)</f>
        <v>0</v>
      </c>
      <c r="AB142" s="56">
        <v>0</v>
      </c>
      <c r="AC142" s="56">
        <f t="shared" si="45"/>
        <v>0</v>
      </c>
      <c r="AE142" s="56">
        <v>0</v>
      </c>
      <c r="AF142" s="56">
        <f t="shared" si="46"/>
        <v>0</v>
      </c>
      <c r="AG142" s="56">
        <f t="shared" si="47"/>
        <v>0</v>
      </c>
      <c r="AI142" s="56">
        <f t="shared" si="48"/>
        <v>0</v>
      </c>
      <c r="AJ142" s="56">
        <f t="shared" si="49"/>
        <v>0</v>
      </c>
      <c r="AK142" s="56">
        <f t="shared" si="50"/>
        <v>0</v>
      </c>
      <c r="AM142" s="56">
        <f t="shared" si="51"/>
        <v>448336</v>
      </c>
      <c r="AN142" s="56">
        <f t="shared" si="52"/>
        <v>52386</v>
      </c>
      <c r="AO142" s="56">
        <f t="shared" si="53"/>
        <v>122297</v>
      </c>
      <c r="AP142" s="56"/>
      <c r="AQ142" s="56">
        <f t="shared" si="54"/>
        <v>623019</v>
      </c>
      <c r="AR142" s="1"/>
      <c r="AS142" s="56">
        <v>1162.4545476347532</v>
      </c>
      <c r="AT142" s="56">
        <v>135.82746853340839</v>
      </c>
      <c r="AU142" s="56">
        <v>317.09410757130235</v>
      </c>
      <c r="AV142" s="56"/>
      <c r="AW142" s="56">
        <v>1615.376123739464</v>
      </c>
      <c r="AX142" s="1"/>
      <c r="AY142" s="16">
        <v>9.7640681976010057E-3</v>
      </c>
      <c r="AZ142" s="16">
        <v>-4.8594233397594389E-2</v>
      </c>
      <c r="BA142" s="16">
        <v>-5.2603050629691173E-2</v>
      </c>
      <c r="BB142" s="16">
        <f t="shared" si="55"/>
        <v>-8.1681423258203045E-3</v>
      </c>
      <c r="BC142" s="16"/>
      <c r="BD142" s="1"/>
      <c r="BE142" s="16">
        <f>AM142/'2019-20 disagg'!AM142-1</f>
        <v>3.6600648314705442E-2</v>
      </c>
      <c r="BF142" s="16">
        <f>AN142/'2019-20 disagg'!AN142-1</f>
        <v>4.2569705654068812E-2</v>
      </c>
      <c r="BG142" s="16">
        <f>AO142/'2019-20 disagg'!AO142-1</f>
        <v>5.124854944771573E-2</v>
      </c>
      <c r="BH142" s="16">
        <f>AQ142/'2019-20 disagg'!AQ142-1</f>
        <v>3.994571749058573E-2</v>
      </c>
      <c r="BI142" s="1"/>
      <c r="BJ142" s="16">
        <f>AS142/'2019-20 disagg'!AS142-1</f>
        <v>2.8567871829105584E-2</v>
      </c>
      <c r="BK142" s="16">
        <f>AT142/'2019-20 disagg'!AT142-1</f>
        <v>3.4490674032979118E-2</v>
      </c>
      <c r="BL142" s="16">
        <f>AU142/'2019-20 disagg'!AU142-1</f>
        <v>4.3102264142711011E-2</v>
      </c>
      <c r="BM142" s="16">
        <f>AW142/'2019-20 disagg'!AW142-1</f>
        <v>3.1887019553882956E-2</v>
      </c>
    </row>
    <row r="143" spans="1:65" x14ac:dyDescent="0.2">
      <c r="A143" s="156" t="s">
        <v>331</v>
      </c>
      <c r="B143" s="156" t="s">
        <v>332</v>
      </c>
      <c r="D143" s="56">
        <f>VLOOKUP(A143,'2020-21'!$A$12:$AMX351,32,FALSE)</f>
        <v>636107.67187807465</v>
      </c>
      <c r="E143" s="56">
        <v>1769.5905279593705</v>
      </c>
      <c r="F143" s="16">
        <f>VLOOKUP(A143,'2020-21'!$A$12:$AMX351,34,FALSE)</f>
        <v>4.726148274052E-2</v>
      </c>
      <c r="G143" s="16">
        <f>VLOOKUP(A143,'2020-21'!$A$12:$AMX351,35,FALSE)</f>
        <v>3.5686912078451316E-2</v>
      </c>
      <c r="H143" s="56"/>
      <c r="I143" s="56">
        <v>648838.80117021955</v>
      </c>
      <c r="J143" s="56">
        <v>1805.0073084850485</v>
      </c>
      <c r="K143" s="16">
        <f t="shared" si="40"/>
        <v>-1.9621405608270526E-2</v>
      </c>
      <c r="L143" s="58">
        <f t="shared" si="40"/>
        <v>-1.9621405608270637E-2</v>
      </c>
      <c r="M143" s="10"/>
      <c r="N143" s="56">
        <v>470059</v>
      </c>
      <c r="O143" s="56">
        <v>47737</v>
      </c>
      <c r="P143" s="56">
        <v>114234</v>
      </c>
      <c r="R143" s="56">
        <f t="shared" si="41"/>
        <v>114234</v>
      </c>
      <c r="S143" s="56">
        <f t="shared" si="42"/>
        <v>4077.6718780746451</v>
      </c>
      <c r="U143" s="16">
        <v>-2.578140480253166E-2</v>
      </c>
      <c r="V143" s="16">
        <v>-4.515737655635943E-2</v>
      </c>
      <c r="W143" s="56">
        <f t="shared" si="43"/>
        <v>4</v>
      </c>
      <c r="X143" s="56">
        <f t="shared" si="44"/>
        <v>4824.9848885785414</v>
      </c>
      <c r="Y143" s="56">
        <f t="shared" si="44"/>
        <v>499.94626159268506</v>
      </c>
      <c r="AA143" s="56">
        <f t="shared" si="56"/>
        <v>0</v>
      </c>
      <c r="AB143" s="56">
        <v>0</v>
      </c>
      <c r="AC143" s="56">
        <f t="shared" si="45"/>
        <v>4077.6718780746451</v>
      </c>
      <c r="AE143" s="56">
        <v>0</v>
      </c>
      <c r="AF143" s="56">
        <f t="shared" si="46"/>
        <v>0</v>
      </c>
      <c r="AG143" s="56">
        <f t="shared" si="47"/>
        <v>4077.6718780746451</v>
      </c>
      <c r="AI143" s="56">
        <f t="shared" si="48"/>
        <v>3694.8280902484894</v>
      </c>
      <c r="AJ143" s="56">
        <f t="shared" si="49"/>
        <v>382.84378782615602</v>
      </c>
      <c r="AK143" s="56">
        <f t="shared" si="50"/>
        <v>0</v>
      </c>
      <c r="AM143" s="56">
        <f t="shared" si="51"/>
        <v>473754</v>
      </c>
      <c r="AN143" s="56">
        <f t="shared" si="52"/>
        <v>48120</v>
      </c>
      <c r="AO143" s="56">
        <f t="shared" si="53"/>
        <v>114234</v>
      </c>
      <c r="AP143" s="56"/>
      <c r="AQ143" s="56">
        <f t="shared" si="54"/>
        <v>636108</v>
      </c>
      <c r="AR143" s="1"/>
      <c r="AS143" s="56">
        <v>1317.9381856968921</v>
      </c>
      <c r="AT143" s="56">
        <v>133.86522434794102</v>
      </c>
      <c r="AU143" s="56">
        <v>317.78803071826047</v>
      </c>
      <c r="AV143" s="56"/>
      <c r="AW143" s="56">
        <v>1769.5914407630935</v>
      </c>
      <c r="AX143" s="1"/>
      <c r="AY143" s="16">
        <v>-1.8123349730179816E-2</v>
      </c>
      <c r="AZ143" s="16">
        <v>-3.7496553195467186E-2</v>
      </c>
      <c r="BA143" s="16">
        <v>-1.8150102706155136E-2</v>
      </c>
      <c r="BB143" s="16">
        <f t="shared" si="55"/>
        <v>-1.9620899901884425E-2</v>
      </c>
      <c r="BC143" s="16"/>
      <c r="BD143" s="1"/>
      <c r="BE143" s="16">
        <f>AM143/'2019-20 disagg'!AM143-1</f>
        <v>4.4749063868637196E-2</v>
      </c>
      <c r="BF143" s="16">
        <f>AN143/'2019-20 disagg'!AN143-1</f>
        <v>5.4453818341185567E-2</v>
      </c>
      <c r="BG143" s="16">
        <f>AO143/'2019-20 disagg'!AO143-1</f>
        <v>5.4753287043876497E-2</v>
      </c>
      <c r="BH143" s="16">
        <f>AQ143/'2019-20 disagg'!AQ143-1</f>
        <v>4.7262022946949367E-2</v>
      </c>
      <c r="BI143" s="1"/>
      <c r="BJ143" s="16">
        <f>AS143/'2019-20 disagg'!AS143-1</f>
        <v>3.3202261027924118E-2</v>
      </c>
      <c r="BK143" s="16">
        <f>AT143/'2019-20 disagg'!AT143-1</f>
        <v>4.2799756360084151E-2</v>
      </c>
      <c r="BL143" s="16">
        <f>AU143/'2019-20 disagg'!AU143-1</f>
        <v>4.3095915266971874E-2</v>
      </c>
      <c r="BM143" s="16">
        <f>AW143/'2019-20 disagg'!AW143-1</f>
        <v>3.568744631439702E-2</v>
      </c>
    </row>
    <row r="144" spans="1:65" x14ac:dyDescent="0.2">
      <c r="A144" s="156" t="s">
        <v>333</v>
      </c>
      <c r="B144" s="156" t="s">
        <v>334</v>
      </c>
      <c r="D144" s="56">
        <f>VLOOKUP(A144,'2020-21'!$A$12:$AMX352,32,FALSE)</f>
        <v>521249.06391818839</v>
      </c>
      <c r="E144" s="56">
        <v>1889.2105021484567</v>
      </c>
      <c r="F144" s="16">
        <f>VLOOKUP(A144,'2020-21'!$A$12:$AMX352,34,FALSE)</f>
        <v>2.9253691336261767E-2</v>
      </c>
      <c r="G144" s="16">
        <f>VLOOKUP(A144,'2020-21'!$A$12:$AMX352,35,FALSE)</f>
        <v>1.9461031242061333E-2</v>
      </c>
      <c r="H144" s="56"/>
      <c r="I144" s="56">
        <v>497241.47260006756</v>
      </c>
      <c r="J144" s="56">
        <v>1802.1976002766548</v>
      </c>
      <c r="K144" s="16">
        <f t="shared" si="40"/>
        <v>4.8281554618896827E-2</v>
      </c>
      <c r="L144" s="58">
        <f t="shared" si="40"/>
        <v>4.8281554618896605E-2</v>
      </c>
      <c r="M144" s="10"/>
      <c r="N144" s="56">
        <v>360710</v>
      </c>
      <c r="O144" s="56">
        <v>40761</v>
      </c>
      <c r="P144" s="56">
        <v>117831</v>
      </c>
      <c r="R144" s="56">
        <f t="shared" si="41"/>
        <v>117831</v>
      </c>
      <c r="S144" s="56">
        <f t="shared" si="42"/>
        <v>1947.0639181883889</v>
      </c>
      <c r="U144" s="16">
        <v>8.0017065118478392E-2</v>
      </c>
      <c r="V144" s="16">
        <v>-4.567763434586658E-2</v>
      </c>
      <c r="W144" s="56">
        <f t="shared" si="43"/>
        <v>3</v>
      </c>
      <c r="X144" s="56">
        <f t="shared" si="44"/>
        <v>3339.8546342453392</v>
      </c>
      <c r="Y144" s="56">
        <f t="shared" si="44"/>
        <v>427.11982310150159</v>
      </c>
      <c r="AA144" s="56">
        <f t="shared" si="56"/>
        <v>0</v>
      </c>
      <c r="AB144" s="56">
        <v>0</v>
      </c>
      <c r="AC144" s="56">
        <f t="shared" si="45"/>
        <v>1947.0639181883889</v>
      </c>
      <c r="AE144" s="56">
        <v>0</v>
      </c>
      <c r="AF144" s="56">
        <f t="shared" si="46"/>
        <v>1861.8660535718677</v>
      </c>
      <c r="AG144" s="56">
        <f t="shared" si="47"/>
        <v>85.197864616521201</v>
      </c>
      <c r="AI144" s="56">
        <f t="shared" si="48"/>
        <v>75.537672524519536</v>
      </c>
      <c r="AJ144" s="56">
        <f t="shared" si="49"/>
        <v>9.6601920920016671</v>
      </c>
      <c r="AK144" s="56">
        <f t="shared" si="50"/>
        <v>0</v>
      </c>
      <c r="AM144" s="56">
        <f t="shared" si="51"/>
        <v>360786</v>
      </c>
      <c r="AN144" s="56">
        <f t="shared" si="52"/>
        <v>42633</v>
      </c>
      <c r="AO144" s="56">
        <f t="shared" si="53"/>
        <v>117831</v>
      </c>
      <c r="AP144" s="56"/>
      <c r="AQ144" s="56">
        <f t="shared" si="54"/>
        <v>521250</v>
      </c>
      <c r="AR144" s="1"/>
      <c r="AS144" s="56">
        <v>1307.629590937956</v>
      </c>
      <c r="AT144" s="56">
        <v>154.51866854716613</v>
      </c>
      <c r="AU144" s="56">
        <v>427.06563538998267</v>
      </c>
      <c r="AV144" s="56"/>
      <c r="AW144" s="56">
        <v>1889.2138948751046</v>
      </c>
      <c r="AX144" s="1"/>
      <c r="AY144" s="16">
        <v>8.0244619932453576E-2</v>
      </c>
      <c r="AZ144" s="16">
        <v>-1.849183902929985E-3</v>
      </c>
      <c r="BA144" s="16">
        <v>-2.2506522603672918E-2</v>
      </c>
      <c r="BB144" s="16">
        <f t="shared" si="55"/>
        <v>4.8283437168650245E-2</v>
      </c>
      <c r="BC144" s="16"/>
      <c r="BD144" s="1"/>
      <c r="BE144" s="16">
        <f>AM144/'2019-20 disagg'!AM144-1</f>
        <v>1.481496066314314E-2</v>
      </c>
      <c r="BF144" s="16">
        <f>AN144/'2019-20 disagg'!AN144-1</f>
        <v>9.2397570912445159E-2</v>
      </c>
      <c r="BG144" s="16">
        <f>AO144/'2019-20 disagg'!AO144-1</f>
        <v>5.3115615615615619E-2</v>
      </c>
      <c r="BH144" s="16">
        <f>AQ144/'2019-20 disagg'!AQ144-1</f>
        <v>2.9255539714948098E-2</v>
      </c>
      <c r="BI144" s="1"/>
      <c r="BJ144" s="16">
        <f>AS144/'2019-20 disagg'!AS144-1</f>
        <v>5.1596754288667501E-3</v>
      </c>
      <c r="BK144" s="16">
        <f>AT144/'2019-20 disagg'!AT144-1</f>
        <v>8.200413906010251E-2</v>
      </c>
      <c r="BL144" s="16">
        <f>AU144/'2019-20 disagg'!AU144-1</f>
        <v>4.309592528035E-2</v>
      </c>
      <c r="BM144" s="16">
        <f>AW144/'2019-20 disagg'!AW144-1</f>
        <v>1.9462862034661299E-2</v>
      </c>
    </row>
    <row r="145" spans="1:65" x14ac:dyDescent="0.2">
      <c r="A145" s="156" t="s">
        <v>335</v>
      </c>
      <c r="B145" s="156" t="s">
        <v>336</v>
      </c>
      <c r="D145" s="56">
        <f>VLOOKUP(A145,'2020-21'!$A$12:$AMX353,32,FALSE)</f>
        <v>377589</v>
      </c>
      <c r="E145" s="56">
        <v>1696.3836725092931</v>
      </c>
      <c r="F145" s="16">
        <f>VLOOKUP(A145,'2020-21'!$A$12:$AMX353,34,FALSE)</f>
        <v>2.4306280840628469E-2</v>
      </c>
      <c r="G145" s="16">
        <f>VLOOKUP(A145,'2020-21'!$A$12:$AMX353,35,FALSE)</f>
        <v>1.5000486085163134E-2</v>
      </c>
      <c r="H145" s="56"/>
      <c r="I145" s="56">
        <v>355412.37203043507</v>
      </c>
      <c r="J145" s="56">
        <v>1596.7513484773885</v>
      </c>
      <c r="K145" s="16">
        <f t="shared" si="40"/>
        <v>6.2396893622110206E-2</v>
      </c>
      <c r="L145" s="58">
        <f t="shared" si="40"/>
        <v>6.2396893622110206E-2</v>
      </c>
      <c r="M145" s="10"/>
      <c r="N145" s="56">
        <v>271592</v>
      </c>
      <c r="O145" s="56">
        <v>31857</v>
      </c>
      <c r="P145" s="56">
        <v>74140</v>
      </c>
      <c r="R145" s="56">
        <f t="shared" si="41"/>
        <v>74140</v>
      </c>
      <c r="S145" s="56">
        <f t="shared" si="42"/>
        <v>0</v>
      </c>
      <c r="U145" s="16">
        <v>9.3720672104293357E-2</v>
      </c>
      <c r="V145" s="16">
        <v>-4.8083501097777703E-2</v>
      </c>
      <c r="W145" s="56">
        <f t="shared" si="43"/>
        <v>3</v>
      </c>
      <c r="X145" s="56">
        <f t="shared" si="44"/>
        <v>2483.1934416807107</v>
      </c>
      <c r="Y145" s="56">
        <f t="shared" si="44"/>
        <v>334.66170653348706</v>
      </c>
      <c r="AA145" s="56">
        <f t="shared" si="56"/>
        <v>0</v>
      </c>
      <c r="AB145" s="56">
        <v>0</v>
      </c>
      <c r="AC145" s="56">
        <f t="shared" si="45"/>
        <v>0</v>
      </c>
      <c r="AE145" s="56">
        <v>0</v>
      </c>
      <c r="AF145" s="56">
        <f t="shared" si="46"/>
        <v>0</v>
      </c>
      <c r="AG145" s="56">
        <f t="shared" si="47"/>
        <v>0</v>
      </c>
      <c r="AI145" s="56">
        <f t="shared" si="48"/>
        <v>0</v>
      </c>
      <c r="AJ145" s="56">
        <f t="shared" si="49"/>
        <v>0</v>
      </c>
      <c r="AK145" s="56">
        <f t="shared" si="50"/>
        <v>0</v>
      </c>
      <c r="AM145" s="56">
        <f t="shared" si="51"/>
        <v>271592</v>
      </c>
      <c r="AN145" s="56">
        <f t="shared" si="52"/>
        <v>31857</v>
      </c>
      <c r="AO145" s="56">
        <f t="shared" si="53"/>
        <v>74140</v>
      </c>
      <c r="AP145" s="56"/>
      <c r="AQ145" s="56">
        <f t="shared" si="54"/>
        <v>377589</v>
      </c>
      <c r="AR145" s="1"/>
      <c r="AS145" s="56">
        <v>1220.1738779046634</v>
      </c>
      <c r="AT145" s="56">
        <v>143.12306411237762</v>
      </c>
      <c r="AU145" s="56">
        <v>333.08673049225212</v>
      </c>
      <c r="AV145" s="56"/>
      <c r="AW145" s="56">
        <v>1696.3836725092931</v>
      </c>
      <c r="AX145" s="1"/>
      <c r="AY145" s="16">
        <v>9.3720672104293357E-2</v>
      </c>
      <c r="AZ145" s="16">
        <v>-4.8083501097777703E-2</v>
      </c>
      <c r="BA145" s="16">
        <v>6.9695055640897063E-3</v>
      </c>
      <c r="BB145" s="16">
        <f t="shared" si="55"/>
        <v>6.2396893622110206E-2</v>
      </c>
      <c r="BC145" s="16"/>
      <c r="BD145" s="1"/>
      <c r="BE145" s="16">
        <f>AM145/'2019-20 disagg'!AM145-1</f>
        <v>1.4603093958152069E-2</v>
      </c>
      <c r="BF145" s="16">
        <f>AN145/'2019-20 disagg'!AN145-1</f>
        <v>4.3978371292806795E-2</v>
      </c>
      <c r="BG145" s="16">
        <f>AO145/'2019-20 disagg'!AO145-1</f>
        <v>5.2661470091295071E-2</v>
      </c>
      <c r="BH145" s="16">
        <f>AQ145/'2019-20 disagg'!AQ145-1</f>
        <v>2.4306280840628469E-2</v>
      </c>
      <c r="BI145" s="1"/>
      <c r="BJ145" s="16">
        <f>AS145/'2019-20 disagg'!AS145-1</f>
        <v>5.3854523921097464E-3</v>
      </c>
      <c r="BK145" s="16">
        <f>AT145/'2019-20 disagg'!AT145-1</f>
        <v>3.4493856129604872E-2</v>
      </c>
      <c r="BL145" s="16">
        <f>AU145/'2019-20 disagg'!AU145-1</f>
        <v>4.3098069211221501E-2</v>
      </c>
      <c r="BM145" s="16">
        <f>AW145/'2019-20 disagg'!AW145-1</f>
        <v>1.5000486085163134E-2</v>
      </c>
    </row>
    <row r="146" spans="1:65" x14ac:dyDescent="0.2">
      <c r="A146" s="156" t="s">
        <v>337</v>
      </c>
      <c r="B146" s="156" t="s">
        <v>338</v>
      </c>
      <c r="D146" s="56">
        <f>VLOOKUP(A146,'2020-21'!$A$12:$AMX354,32,FALSE)</f>
        <v>582208</v>
      </c>
      <c r="E146" s="56">
        <v>1832.0022301212987</v>
      </c>
      <c r="F146" s="16">
        <f>VLOOKUP(A146,'2020-21'!$A$12:$AMX354,34,FALSE)</f>
        <v>4.1306497970893252E-2</v>
      </c>
      <c r="G146" s="16">
        <f>VLOOKUP(A146,'2020-21'!$A$12:$AMX354,35,FALSE)</f>
        <v>2.900778970493012E-2</v>
      </c>
      <c r="H146" s="56"/>
      <c r="I146" s="56">
        <v>571152.13610284124</v>
      </c>
      <c r="J146" s="56">
        <v>1797.213344850893</v>
      </c>
      <c r="K146" s="16">
        <f t="shared" si="40"/>
        <v>1.9357126058560326E-2</v>
      </c>
      <c r="L146" s="58">
        <f t="shared" si="40"/>
        <v>1.9357126058560326E-2</v>
      </c>
      <c r="M146" s="10"/>
      <c r="N146" s="56">
        <v>413166</v>
      </c>
      <c r="O146" s="56">
        <v>49687</v>
      </c>
      <c r="P146" s="56">
        <v>119355</v>
      </c>
      <c r="R146" s="56">
        <f t="shared" si="41"/>
        <v>119355</v>
      </c>
      <c r="S146" s="56">
        <f t="shared" si="42"/>
        <v>0</v>
      </c>
      <c r="U146" s="16">
        <v>4.1515252995348195E-2</v>
      </c>
      <c r="V146" s="16">
        <v>-4.8197040860284757E-2</v>
      </c>
      <c r="W146" s="56">
        <f t="shared" si="43"/>
        <v>3</v>
      </c>
      <c r="X146" s="56">
        <f t="shared" si="44"/>
        <v>3966.9702273850939</v>
      </c>
      <c r="Y146" s="56">
        <f t="shared" si="44"/>
        <v>522.03031649438742</v>
      </c>
      <c r="AA146" s="56">
        <f t="shared" si="56"/>
        <v>0</v>
      </c>
      <c r="AB146" s="56">
        <v>0</v>
      </c>
      <c r="AC146" s="56">
        <f t="shared" si="45"/>
        <v>0</v>
      </c>
      <c r="AE146" s="56">
        <v>0</v>
      </c>
      <c r="AF146" s="56">
        <f t="shared" si="46"/>
        <v>0</v>
      </c>
      <c r="AG146" s="56">
        <f t="shared" si="47"/>
        <v>0</v>
      </c>
      <c r="AI146" s="56">
        <f t="shared" si="48"/>
        <v>0</v>
      </c>
      <c r="AJ146" s="56">
        <f t="shared" si="49"/>
        <v>0</v>
      </c>
      <c r="AK146" s="56">
        <f t="shared" si="50"/>
        <v>0</v>
      </c>
      <c r="AM146" s="56">
        <f t="shared" si="51"/>
        <v>413166</v>
      </c>
      <c r="AN146" s="56">
        <f t="shared" si="52"/>
        <v>49687</v>
      </c>
      <c r="AO146" s="56">
        <f t="shared" si="53"/>
        <v>119355</v>
      </c>
      <c r="AP146" s="56"/>
      <c r="AQ146" s="56">
        <f t="shared" si="54"/>
        <v>582208</v>
      </c>
      <c r="AR146" s="1"/>
      <c r="AS146" s="56">
        <v>1300.0869679054504</v>
      </c>
      <c r="AT146" s="56">
        <v>156.34737895741208</v>
      </c>
      <c r="AU146" s="56">
        <v>375.56788325843615</v>
      </c>
      <c r="AV146" s="56"/>
      <c r="AW146" s="56">
        <v>1832.0022301212987</v>
      </c>
      <c r="AX146" s="1"/>
      <c r="AY146" s="16">
        <v>4.1515252995348195E-2</v>
      </c>
      <c r="AZ146" s="16">
        <v>-4.8197040860284757E-2</v>
      </c>
      <c r="BA146" s="16">
        <v>-2.3697606406813621E-2</v>
      </c>
      <c r="BB146" s="16">
        <f t="shared" si="55"/>
        <v>1.9357126058560326E-2</v>
      </c>
      <c r="BC146" s="16"/>
      <c r="BD146" s="1"/>
      <c r="BE146" s="16">
        <f>AM146/'2019-20 disagg'!AM146-1</f>
        <v>3.6600113403148171E-2</v>
      </c>
      <c r="BF146" s="16">
        <f>AN146/'2019-20 disagg'!AN146-1</f>
        <v>4.6857552198554586E-2</v>
      </c>
      <c r="BG146" s="16">
        <f>AO146/'2019-20 disagg'!AO146-1</f>
        <v>5.5566364794113587E-2</v>
      </c>
      <c r="BH146" s="16">
        <f>AQ146/'2019-20 disagg'!AQ146-1</f>
        <v>4.1306497970893252E-2</v>
      </c>
      <c r="BI146" s="1"/>
      <c r="BJ146" s="16">
        <f>AS146/'2019-20 disagg'!AS146-1</f>
        <v>2.435699150959203E-2</v>
      </c>
      <c r="BK146" s="16">
        <f>AT146/'2019-20 disagg'!AT146-1</f>
        <v>3.4493281298873635E-2</v>
      </c>
      <c r="BL146" s="16">
        <f>AU146/'2019-20 disagg'!AU146-1</f>
        <v>4.3099235470265729E-2</v>
      </c>
      <c r="BM146" s="16">
        <f>AW146/'2019-20 disagg'!AW146-1</f>
        <v>2.900778970493012E-2</v>
      </c>
    </row>
    <row r="147" spans="1:65" x14ac:dyDescent="0.2">
      <c r="A147" s="156" t="s">
        <v>339</v>
      </c>
      <c r="B147" s="156" t="s">
        <v>340</v>
      </c>
      <c r="D147" s="56">
        <f>VLOOKUP(A147,'2020-21'!$A$12:$AMX355,32,FALSE)</f>
        <v>731764.66819491051</v>
      </c>
      <c r="E147" s="56">
        <v>1731.5935789145844</v>
      </c>
      <c r="F147" s="16">
        <f>VLOOKUP(A147,'2020-21'!$A$12:$AMX355,34,FALSE)</f>
        <v>4.8753585748001038E-2</v>
      </c>
      <c r="G147" s="16">
        <f>VLOOKUP(A147,'2020-21'!$A$12:$AMX355,35,FALSE)</f>
        <v>3.7611771196066179E-2</v>
      </c>
      <c r="H147" s="56"/>
      <c r="I147" s="56">
        <v>747897.68409208185</v>
      </c>
      <c r="J147" s="56">
        <v>1769.7695498930411</v>
      </c>
      <c r="K147" s="16">
        <f t="shared" si="40"/>
        <v>-2.1571153702335866E-2</v>
      </c>
      <c r="L147" s="58">
        <f t="shared" si="40"/>
        <v>-2.1571153702335977E-2</v>
      </c>
      <c r="M147" s="10"/>
      <c r="N147" s="56">
        <v>524758</v>
      </c>
      <c r="O147" s="56">
        <v>56896</v>
      </c>
      <c r="P147" s="56">
        <v>144548</v>
      </c>
      <c r="R147" s="56">
        <f t="shared" si="41"/>
        <v>144548</v>
      </c>
      <c r="S147" s="56">
        <f t="shared" si="42"/>
        <v>5562.6681949105114</v>
      </c>
      <c r="U147" s="16">
        <v>-3.7963097716983363E-2</v>
      </c>
      <c r="V147" s="16">
        <v>-4.0570020087024483E-2</v>
      </c>
      <c r="W147" s="56">
        <f t="shared" si="43"/>
        <v>4</v>
      </c>
      <c r="X147" s="56">
        <f t="shared" si="44"/>
        <v>5454.6556244848098</v>
      </c>
      <c r="Y147" s="56">
        <f t="shared" si="44"/>
        <v>593.01878397796906</v>
      </c>
      <c r="AA147" s="56">
        <f t="shared" si="56"/>
        <v>0</v>
      </c>
      <c r="AB147" s="56">
        <v>0</v>
      </c>
      <c r="AC147" s="56">
        <f t="shared" si="45"/>
        <v>5562.6681949105114</v>
      </c>
      <c r="AE147" s="56">
        <v>0</v>
      </c>
      <c r="AF147" s="56">
        <f t="shared" si="46"/>
        <v>0</v>
      </c>
      <c r="AG147" s="56">
        <f t="shared" si="47"/>
        <v>5562.6681949105114</v>
      </c>
      <c r="AI147" s="56">
        <f t="shared" si="48"/>
        <v>5017.207823564685</v>
      </c>
      <c r="AJ147" s="56">
        <f t="shared" si="49"/>
        <v>545.46037134582593</v>
      </c>
      <c r="AK147" s="56">
        <f t="shared" si="50"/>
        <v>0</v>
      </c>
      <c r="AM147" s="56">
        <f t="shared" si="51"/>
        <v>529775</v>
      </c>
      <c r="AN147" s="56">
        <f t="shared" si="52"/>
        <v>57441</v>
      </c>
      <c r="AO147" s="56">
        <f t="shared" si="53"/>
        <v>144548</v>
      </c>
      <c r="AP147" s="56"/>
      <c r="AQ147" s="56">
        <f t="shared" si="54"/>
        <v>731764</v>
      </c>
      <c r="AR147" s="1"/>
      <c r="AS147" s="56">
        <v>1253.6202253825272</v>
      </c>
      <c r="AT147" s="56">
        <v>135.92411753328818</v>
      </c>
      <c r="AU147" s="56">
        <v>342.04765483194478</v>
      </c>
      <c r="AV147" s="56"/>
      <c r="AW147" s="56">
        <v>1731.5919977477602</v>
      </c>
      <c r="AX147" s="1"/>
      <c r="AY147" s="16">
        <v>-2.8765450156100325E-2</v>
      </c>
      <c r="AZ147" s="16">
        <v>-3.1379754707163587E-2</v>
      </c>
      <c r="BA147" s="16">
        <v>9.9053611734678526E-3</v>
      </c>
      <c r="BB147" s="16">
        <f t="shared" si="55"/>
        <v>-2.1572047133248562E-2</v>
      </c>
      <c r="BC147" s="16"/>
      <c r="BD147" s="1"/>
      <c r="BE147" s="16">
        <f>AM147/'2019-20 disagg'!AM147-1</f>
        <v>4.6510479426347784E-2</v>
      </c>
      <c r="BF147" s="16">
        <f>AN147/'2019-20 disagg'!AN147-1</f>
        <v>5.5629066049178499E-2</v>
      </c>
      <c r="BG147" s="16">
        <f>AO147/'2019-20 disagg'!AO147-1</f>
        <v>5.4302239921810713E-2</v>
      </c>
      <c r="BH147" s="16">
        <f>AQ147/'2019-20 disagg'!AQ147-1</f>
        <v>4.8752628101589757E-2</v>
      </c>
      <c r="BI147" s="1"/>
      <c r="BJ147" s="16">
        <f>AS147/'2019-20 disagg'!AS147-1</f>
        <v>3.5392495328959495E-2</v>
      </c>
      <c r="BK147" s="16">
        <f>AT147/'2019-20 disagg'!AT147-1</f>
        <v>4.4414207335571776E-2</v>
      </c>
      <c r="BL147" s="16">
        <f>AU147/'2019-20 disagg'!AU147-1</f>
        <v>4.3101477227378115E-2</v>
      </c>
      <c r="BM147" s="16">
        <f>AW147/'2019-20 disagg'!AW147-1</f>
        <v>3.7610823723559283E-2</v>
      </c>
    </row>
    <row r="148" spans="1:65" x14ac:dyDescent="0.2">
      <c r="A148" s="156" t="s">
        <v>341</v>
      </c>
      <c r="B148" s="156" t="s">
        <v>342</v>
      </c>
      <c r="D148" s="56">
        <f>VLOOKUP(A148,'2020-21'!$A$12:$AMX356,32,FALSE)</f>
        <v>732398.17764651764</v>
      </c>
      <c r="E148" s="56">
        <v>1635.5727022414749</v>
      </c>
      <c r="F148" s="16">
        <f>VLOOKUP(A148,'2020-21'!$A$12:$AMX356,34,FALSE)</f>
        <v>4.2913012019043739E-2</v>
      </c>
      <c r="G148" s="16">
        <f>VLOOKUP(A148,'2020-21'!$A$12:$AMX356,35,FALSE)</f>
        <v>3.3427820530155028E-2</v>
      </c>
      <c r="H148" s="56"/>
      <c r="I148" s="56">
        <v>745530.26982694911</v>
      </c>
      <c r="J148" s="56">
        <v>1664.898951471984</v>
      </c>
      <c r="K148" s="16">
        <f t="shared" si="40"/>
        <v>-1.7614431917673423E-2</v>
      </c>
      <c r="L148" s="58">
        <f t="shared" si="40"/>
        <v>-1.7614431917673423E-2</v>
      </c>
      <c r="M148" s="10"/>
      <c r="N148" s="56">
        <v>526538</v>
      </c>
      <c r="O148" s="56">
        <v>59771</v>
      </c>
      <c r="P148" s="56">
        <v>144283</v>
      </c>
      <c r="R148" s="56">
        <f t="shared" si="41"/>
        <v>144283</v>
      </c>
      <c r="S148" s="56">
        <f t="shared" si="42"/>
        <v>1806.1776465176372</v>
      </c>
      <c r="U148" s="16">
        <v>-3.0468297683479029E-2</v>
      </c>
      <c r="V148" s="16">
        <v>-4.8628494817932966E-2</v>
      </c>
      <c r="W148" s="56">
        <f t="shared" si="43"/>
        <v>4</v>
      </c>
      <c r="X148" s="56">
        <f t="shared" si="44"/>
        <v>5430.8487153326969</v>
      </c>
      <c r="Y148" s="56">
        <f t="shared" si="44"/>
        <v>628.26140655286315</v>
      </c>
      <c r="AA148" s="56">
        <f t="shared" si="56"/>
        <v>0</v>
      </c>
      <c r="AB148" s="56">
        <v>0</v>
      </c>
      <c r="AC148" s="56">
        <f t="shared" si="45"/>
        <v>1806.1776465176372</v>
      </c>
      <c r="AE148" s="56">
        <v>0</v>
      </c>
      <c r="AF148" s="56">
        <f t="shared" si="46"/>
        <v>0</v>
      </c>
      <c r="AG148" s="56">
        <f t="shared" si="47"/>
        <v>1806.1776465176372</v>
      </c>
      <c r="AI148" s="56">
        <f t="shared" si="48"/>
        <v>1618.8973882191822</v>
      </c>
      <c r="AJ148" s="56">
        <f t="shared" si="49"/>
        <v>187.28025829845498</v>
      </c>
      <c r="AK148" s="56">
        <f t="shared" si="50"/>
        <v>0</v>
      </c>
      <c r="AM148" s="56">
        <f t="shared" si="51"/>
        <v>528157</v>
      </c>
      <c r="AN148" s="56">
        <f t="shared" si="52"/>
        <v>59958</v>
      </c>
      <c r="AO148" s="56">
        <f t="shared" si="53"/>
        <v>144283</v>
      </c>
      <c r="AP148" s="56"/>
      <c r="AQ148" s="56">
        <f t="shared" si="54"/>
        <v>732398</v>
      </c>
      <c r="AR148" s="1"/>
      <c r="AS148" s="56">
        <v>1179.4665771474261</v>
      </c>
      <c r="AT148" s="56">
        <v>133.89665768437297</v>
      </c>
      <c r="AU148" s="56">
        <v>322.20907069405894</v>
      </c>
      <c r="AV148" s="56"/>
      <c r="AW148" s="56">
        <v>1635.5723055258579</v>
      </c>
      <c r="AX148" s="1"/>
      <c r="AY148" s="16">
        <v>-2.7487179841935938E-2</v>
      </c>
      <c r="AZ148" s="16">
        <v>-4.5652026773746912E-2</v>
      </c>
      <c r="BA148" s="16">
        <v>3.3403288632901873E-2</v>
      </c>
      <c r="BB148" s="16">
        <f t="shared" si="55"/>
        <v>-1.7614670199772475E-2</v>
      </c>
      <c r="BC148" s="16"/>
      <c r="BD148" s="1"/>
      <c r="BE148" s="16">
        <f>AM148/'2019-20 disagg'!AM148-1</f>
        <v>3.9787615637064455E-2</v>
      </c>
      <c r="BF148" s="16">
        <f>AN148/'2019-20 disagg'!AN148-1</f>
        <v>4.7264724376441025E-2</v>
      </c>
      <c r="BG148" s="16">
        <f>AO148/'2019-20 disagg'!AO148-1</f>
        <v>5.2676506424053082E-2</v>
      </c>
      <c r="BH148" s="16">
        <f>AQ148/'2019-20 disagg'!AQ148-1</f>
        <v>4.2912759055736993E-2</v>
      </c>
      <c r="BI148" s="1"/>
      <c r="BJ148" s="16">
        <f>AS148/'2019-20 disagg'!AS148-1</f>
        <v>3.0330849321531739E-2</v>
      </c>
      <c r="BK148" s="16">
        <f>AT148/'2019-20 disagg'!AT148-1</f>
        <v>3.773995449075529E-2</v>
      </c>
      <c r="BL148" s="16">
        <f>AU148/'2019-20 disagg'!AU148-1</f>
        <v>4.3102516911777133E-2</v>
      </c>
      <c r="BM148" s="16">
        <f>AW148/'2019-20 disagg'!AW148-1</f>
        <v>3.342756986752482E-2</v>
      </c>
    </row>
    <row r="149" spans="1:65" x14ac:dyDescent="0.2">
      <c r="A149" s="156" t="s">
        <v>343</v>
      </c>
      <c r="B149" s="156" t="s">
        <v>344</v>
      </c>
      <c r="D149" s="56">
        <f>VLOOKUP(A149,'2020-21'!$A$12:$AMX357,32,FALSE)</f>
        <v>616370.62930227595</v>
      </c>
      <c r="E149" s="56">
        <v>1773.92664583598</v>
      </c>
      <c r="F149" s="16">
        <f>VLOOKUP(A149,'2020-21'!$A$12:$AMX357,34,FALSE)</f>
        <v>5.0885519461703943E-2</v>
      </c>
      <c r="G149" s="16">
        <f>VLOOKUP(A149,'2020-21'!$A$12:$AMX357,35,FALSE)</f>
        <v>3.7258020959233251E-2</v>
      </c>
      <c r="H149" s="56"/>
      <c r="I149" s="56">
        <v>629877.57320983347</v>
      </c>
      <c r="J149" s="56">
        <v>1812.7998928116692</v>
      </c>
      <c r="K149" s="16">
        <f t="shared" si="40"/>
        <v>-2.1443760632287034E-2</v>
      </c>
      <c r="L149" s="58">
        <f t="shared" si="40"/>
        <v>-2.1443760632287145E-2</v>
      </c>
      <c r="M149" s="10"/>
      <c r="N149" s="56">
        <v>436029</v>
      </c>
      <c r="O149" s="56">
        <v>46528</v>
      </c>
      <c r="P149" s="56">
        <v>128400</v>
      </c>
      <c r="R149" s="56">
        <f t="shared" si="41"/>
        <v>128400</v>
      </c>
      <c r="S149" s="56">
        <f t="shared" si="42"/>
        <v>5413.6293022759492</v>
      </c>
      <c r="U149" s="16">
        <v>-2.7923837129180673E-2</v>
      </c>
      <c r="V149" s="16">
        <v>-4.2635956151030885E-2</v>
      </c>
      <c r="W149" s="56">
        <f t="shared" si="43"/>
        <v>4</v>
      </c>
      <c r="X149" s="56">
        <f t="shared" si="44"/>
        <v>4485.5435886040186</v>
      </c>
      <c r="Y149" s="56">
        <f t="shared" si="44"/>
        <v>486.00112255041108</v>
      </c>
      <c r="AA149" s="56">
        <f t="shared" si="56"/>
        <v>0</v>
      </c>
      <c r="AB149" s="56">
        <v>0</v>
      </c>
      <c r="AC149" s="56">
        <f t="shared" si="45"/>
        <v>5413.6293022759492</v>
      </c>
      <c r="AE149" s="56">
        <v>0</v>
      </c>
      <c r="AF149" s="56">
        <f t="shared" si="46"/>
        <v>0</v>
      </c>
      <c r="AG149" s="56">
        <f t="shared" si="47"/>
        <v>5413.6293022759492</v>
      </c>
      <c r="AI149" s="56">
        <f t="shared" si="48"/>
        <v>4884.41150965009</v>
      </c>
      <c r="AJ149" s="56">
        <f t="shared" si="49"/>
        <v>529.21779262585881</v>
      </c>
      <c r="AK149" s="56">
        <f t="shared" si="50"/>
        <v>0</v>
      </c>
      <c r="AM149" s="56">
        <f t="shared" si="51"/>
        <v>440913</v>
      </c>
      <c r="AN149" s="56">
        <f t="shared" si="52"/>
        <v>47057</v>
      </c>
      <c r="AO149" s="56">
        <f t="shared" si="53"/>
        <v>128400</v>
      </c>
      <c r="AP149" s="56"/>
      <c r="AQ149" s="56">
        <f t="shared" si="54"/>
        <v>616370</v>
      </c>
      <c r="AR149" s="1"/>
      <c r="AS149" s="56">
        <v>1268.9561799543576</v>
      </c>
      <c r="AT149" s="56">
        <v>135.43096021235982</v>
      </c>
      <c r="AU149" s="56">
        <v>369.53769452508664</v>
      </c>
      <c r="AV149" s="56"/>
      <c r="AW149" s="56">
        <v>1773.9248346918041</v>
      </c>
      <c r="AX149" s="1"/>
      <c r="AY149" s="16">
        <v>-1.7035524701656146E-2</v>
      </c>
      <c r="AZ149" s="16">
        <v>-3.1751207629794109E-2</v>
      </c>
      <c r="BA149" s="16">
        <v>-3.257234065638337E-2</v>
      </c>
      <c r="BB149" s="16">
        <f t="shared" si="55"/>
        <v>-2.1444759718939332E-2</v>
      </c>
      <c r="BC149" s="16"/>
      <c r="BD149" s="1"/>
      <c r="BE149" s="16">
        <f>AM149/'2019-20 disagg'!AM149-1</f>
        <v>4.82105583476371E-2</v>
      </c>
      <c r="BF149" s="16">
        <f>AN149/'2019-20 disagg'!AN149-1</f>
        <v>6.0009460951050864E-2</v>
      </c>
      <c r="BG149" s="16">
        <f>AO149/'2019-20 disagg'!AO149-1</f>
        <v>5.6807519465341016E-2</v>
      </c>
      <c r="BH149" s="16">
        <f>AQ149/'2019-20 disagg'!AQ149-1</f>
        <v>5.0884446528280947E-2</v>
      </c>
      <c r="BI149" s="1"/>
      <c r="BJ149" s="16">
        <f>AS149/'2019-20 disagg'!AS149-1</f>
        <v>3.4617747761120254E-2</v>
      </c>
      <c r="BK149" s="16">
        <f>AT149/'2019-20 disagg'!AT149-1</f>
        <v>4.6263646517225032E-2</v>
      </c>
      <c r="BL149" s="16">
        <f>AU149/'2019-20 disagg'!AU149-1</f>
        <v>4.3103226635908376E-2</v>
      </c>
      <c r="BM149" s="16">
        <f>AW149/'2019-20 disagg'!AW149-1</f>
        <v>3.7256961939217792E-2</v>
      </c>
    </row>
    <row r="150" spans="1:65" x14ac:dyDescent="0.2">
      <c r="A150" s="156" t="s">
        <v>345</v>
      </c>
      <c r="B150" s="156" t="s">
        <v>346</v>
      </c>
      <c r="D150" s="56">
        <f>VLOOKUP(A150,'2020-21'!$A$12:$AMX358,32,FALSE)</f>
        <v>562058.06798426039</v>
      </c>
      <c r="E150" s="56">
        <v>1859.6170965111953</v>
      </c>
      <c r="F150" s="16">
        <f>VLOOKUP(A150,'2020-21'!$A$12:$AMX358,34,FALSE)</f>
        <v>4.7140814681298604E-2</v>
      </c>
      <c r="G150" s="16">
        <f>VLOOKUP(A150,'2020-21'!$A$12:$AMX358,35,FALSE)</f>
        <v>3.619760432885788E-2</v>
      </c>
      <c r="H150" s="56"/>
      <c r="I150" s="56">
        <v>573749.56506604969</v>
      </c>
      <c r="J150" s="56">
        <v>1898.2994126197063</v>
      </c>
      <c r="K150" s="16">
        <f t="shared" si="40"/>
        <v>-2.0377352408874394E-2</v>
      </c>
      <c r="L150" s="58">
        <f t="shared" si="40"/>
        <v>-2.0377352408874394E-2</v>
      </c>
      <c r="M150" s="10"/>
      <c r="N150" s="56">
        <v>400787</v>
      </c>
      <c r="O150" s="56">
        <v>42379</v>
      </c>
      <c r="P150" s="56">
        <v>115511</v>
      </c>
      <c r="R150" s="56">
        <f t="shared" si="41"/>
        <v>115511</v>
      </c>
      <c r="S150" s="56">
        <f t="shared" si="42"/>
        <v>3381.0679842603859</v>
      </c>
      <c r="U150" s="16">
        <v>-2.7270777855063377E-2</v>
      </c>
      <c r="V150" s="16">
        <v>-4.567842636025099E-2</v>
      </c>
      <c r="W150" s="56">
        <f t="shared" si="43"/>
        <v>4</v>
      </c>
      <c r="X150" s="56">
        <f t="shared" si="44"/>
        <v>4120.2319296652395</v>
      </c>
      <c r="Y150" s="56">
        <f t="shared" si="44"/>
        <v>444.0746302985479</v>
      </c>
      <c r="AA150" s="56">
        <f t="shared" si="56"/>
        <v>0</v>
      </c>
      <c r="AB150" s="56">
        <v>0</v>
      </c>
      <c r="AC150" s="56">
        <f t="shared" si="45"/>
        <v>3381.0679842603859</v>
      </c>
      <c r="AE150" s="56">
        <v>0</v>
      </c>
      <c r="AF150" s="56">
        <f t="shared" si="46"/>
        <v>0</v>
      </c>
      <c r="AG150" s="56">
        <f t="shared" si="47"/>
        <v>3381.0679842603859</v>
      </c>
      <c r="AI150" s="56">
        <f t="shared" si="48"/>
        <v>3052.1140686109079</v>
      </c>
      <c r="AJ150" s="56">
        <f t="shared" si="49"/>
        <v>328.95391564947812</v>
      </c>
      <c r="AK150" s="56">
        <f t="shared" si="50"/>
        <v>0</v>
      </c>
      <c r="AM150" s="56">
        <f t="shared" si="51"/>
        <v>403839</v>
      </c>
      <c r="AN150" s="56">
        <f t="shared" si="52"/>
        <v>42708</v>
      </c>
      <c r="AO150" s="56">
        <f t="shared" si="53"/>
        <v>115511</v>
      </c>
      <c r="AP150" s="56"/>
      <c r="AQ150" s="56">
        <f t="shared" si="54"/>
        <v>562058</v>
      </c>
      <c r="AR150" s="1"/>
      <c r="AS150" s="56">
        <v>1336.13580413726</v>
      </c>
      <c r="AT150" s="56">
        <v>141.30306365431301</v>
      </c>
      <c r="AU150" s="56">
        <v>382.17800378789332</v>
      </c>
      <c r="AV150" s="56"/>
      <c r="AW150" s="56">
        <v>1859.6168715794665</v>
      </c>
      <c r="AX150" s="1"/>
      <c r="AY150" s="16">
        <v>-1.9863427851230075E-2</v>
      </c>
      <c r="AZ150" s="16">
        <v>-3.8269761745053033E-2</v>
      </c>
      <c r="BA150" s="16">
        <v>-1.5410210374503297E-2</v>
      </c>
      <c r="BB150" s="16">
        <f t="shared" si="55"/>
        <v>-2.0377470900049821E-2</v>
      </c>
      <c r="BC150" s="16"/>
      <c r="BD150" s="1"/>
      <c r="BE150" s="16">
        <f>AM150/'2019-20 disagg'!AM150-1</f>
        <v>4.449404607951668E-2</v>
      </c>
      <c r="BF150" s="16">
        <f>AN150/'2019-20 disagg'!AN150-1</f>
        <v>5.3530021214662771E-2</v>
      </c>
      <c r="BG150" s="16">
        <f>AO150/'2019-20 disagg'!AO150-1</f>
        <v>5.4115220704319178E-2</v>
      </c>
      <c r="BH150" s="16">
        <f>AQ150/'2019-20 disagg'!AQ150-1</f>
        <v>4.7140688023399768E-2</v>
      </c>
      <c r="BI150" s="1"/>
      <c r="BJ150" s="16">
        <f>AS150/'2019-20 disagg'!AS150-1</f>
        <v>3.3578495947322651E-2</v>
      </c>
      <c r="BK150" s="16">
        <f>AT150/'2019-20 disagg'!AT150-1</f>
        <v>4.2520040061103881E-2</v>
      </c>
      <c r="BL150" s="16">
        <f>AU150/'2019-20 disagg'!AU150-1</f>
        <v>4.3099123887017976E-2</v>
      </c>
      <c r="BM150" s="16">
        <f>AW150/'2019-20 disagg'!AW150-1</f>
        <v>3.6197478994605348E-2</v>
      </c>
    </row>
    <row r="151" spans="1:65" x14ac:dyDescent="0.2">
      <c r="A151" s="156" t="s">
        <v>347</v>
      </c>
      <c r="B151" s="156" t="s">
        <v>348</v>
      </c>
      <c r="D151" s="56">
        <f>VLOOKUP(A151,'2020-21'!$A$12:$AMX359,32,FALSE)</f>
        <v>377713</v>
      </c>
      <c r="E151" s="56">
        <v>1770.4958353433333</v>
      </c>
      <c r="F151" s="16">
        <f>VLOOKUP(A151,'2020-21'!$A$12:$AMX359,34,FALSE)</f>
        <v>3.4583537622539184E-2</v>
      </c>
      <c r="G151" s="16">
        <f>VLOOKUP(A151,'2020-21'!$A$12:$AMX359,35,FALSE)</f>
        <v>3.126647871243815E-2</v>
      </c>
      <c r="H151" s="56"/>
      <c r="I151" s="56">
        <v>363962.9521518987</v>
      </c>
      <c r="J151" s="56">
        <v>1706.0437183898925</v>
      </c>
      <c r="K151" s="16">
        <f t="shared" si="40"/>
        <v>3.7778701834363604E-2</v>
      </c>
      <c r="L151" s="58">
        <f t="shared" si="40"/>
        <v>3.7778701834363604E-2</v>
      </c>
      <c r="M151" s="10"/>
      <c r="N151" s="56">
        <v>275602</v>
      </c>
      <c r="O151" s="56">
        <v>31111</v>
      </c>
      <c r="P151" s="56">
        <v>71000</v>
      </c>
      <c r="R151" s="56">
        <f t="shared" si="41"/>
        <v>71000</v>
      </c>
      <c r="S151" s="56">
        <f t="shared" si="42"/>
        <v>0</v>
      </c>
      <c r="U151" s="16">
        <v>5.4663310373165519E-2</v>
      </c>
      <c r="V151" s="16">
        <v>-1.8977724385431549E-2</v>
      </c>
      <c r="W151" s="56">
        <f t="shared" si="43"/>
        <v>3</v>
      </c>
      <c r="X151" s="56">
        <f t="shared" si="44"/>
        <v>2613.1751933466362</v>
      </c>
      <c r="Y151" s="56">
        <f t="shared" si="44"/>
        <v>317.12837489352921</v>
      </c>
      <c r="AA151" s="56">
        <f t="shared" si="56"/>
        <v>0</v>
      </c>
      <c r="AB151" s="56">
        <v>0</v>
      </c>
      <c r="AC151" s="56">
        <f t="shared" si="45"/>
        <v>0</v>
      </c>
      <c r="AE151" s="56">
        <v>0</v>
      </c>
      <c r="AF151" s="56">
        <f>IF(W151=3,MIN(S151,-1*V151*O151),0)</f>
        <v>0</v>
      </c>
      <c r="AG151" s="56">
        <f t="shared" si="47"/>
        <v>0</v>
      </c>
      <c r="AI151" s="56">
        <f t="shared" si="48"/>
        <v>0</v>
      </c>
      <c r="AJ151" s="56">
        <f t="shared" si="49"/>
        <v>0</v>
      </c>
      <c r="AK151" s="56">
        <f t="shared" si="50"/>
        <v>0</v>
      </c>
      <c r="AM151" s="56">
        <f t="shared" si="51"/>
        <v>275602</v>
      </c>
      <c r="AN151" s="56">
        <f t="shared" si="52"/>
        <v>31111</v>
      </c>
      <c r="AO151" s="56">
        <f t="shared" si="53"/>
        <v>71000</v>
      </c>
      <c r="AP151" s="56"/>
      <c r="AQ151" s="56">
        <f t="shared" si="54"/>
        <v>377713</v>
      </c>
      <c r="AR151" s="1"/>
      <c r="AS151" s="56">
        <v>1291.8596744414233</v>
      </c>
      <c r="AT151" s="56">
        <v>145.83002420717963</v>
      </c>
      <c r="AU151" s="56">
        <v>332.8061366947303</v>
      </c>
      <c r="AV151" s="56"/>
      <c r="AW151" s="56">
        <v>1770.4958353433333</v>
      </c>
      <c r="AX151" s="1"/>
      <c r="AY151" s="16">
        <v>5.4663310373165519E-2</v>
      </c>
      <c r="AZ151" s="16">
        <v>-1.8977724385431549E-2</v>
      </c>
      <c r="BA151" s="16">
        <v>9.5026372299300554E-4</v>
      </c>
      <c r="BB151" s="16">
        <f t="shared" si="55"/>
        <v>3.7778701834363604E-2</v>
      </c>
      <c r="BC151" s="16"/>
      <c r="BD151" s="1"/>
      <c r="BE151" s="16">
        <f>AM151/'2019-20 disagg'!AM151-1</f>
        <v>3.1205334091640502E-2</v>
      </c>
      <c r="BF151" s="16">
        <f>AN151/'2019-20 disagg'!AN151-1</f>
        <v>3.7829002235046927E-2</v>
      </c>
      <c r="BG151" s="16">
        <f>AO151/'2019-20 disagg'!AO151-1</f>
        <v>4.6456785756396668E-2</v>
      </c>
      <c r="BH151" s="16">
        <f>AQ151/'2019-20 disagg'!AQ151-1</f>
        <v>3.4583537622539184E-2</v>
      </c>
      <c r="BI151" s="1"/>
      <c r="BJ151" s="16">
        <f>AS151/'2019-20 disagg'!AS151-1</f>
        <v>2.7899106303159504E-2</v>
      </c>
      <c r="BK151" s="16">
        <f>AT151/'2019-20 disagg'!AT151-1</f>
        <v>3.4501537787916536E-2</v>
      </c>
      <c r="BL151" s="16">
        <f>AU151/'2019-20 disagg'!AU151-1</f>
        <v>4.3101659100113432E-2</v>
      </c>
      <c r="BM151" s="16">
        <f>AW151/'2019-20 disagg'!AW151-1</f>
        <v>3.126647871243815E-2</v>
      </c>
    </row>
    <row r="152" spans="1:65" x14ac:dyDescent="0.2">
      <c r="A152" s="156" t="s">
        <v>349</v>
      </c>
      <c r="B152" s="156" t="s">
        <v>350</v>
      </c>
      <c r="D152" s="56">
        <f>VLOOKUP(A152,'2020-21'!$A$12:$AMX360,32,FALSE)</f>
        <v>557208.27257725014</v>
      </c>
      <c r="E152" s="56">
        <v>1736.7639017516005</v>
      </c>
      <c r="F152" s="16">
        <f>VLOOKUP(A152,'2020-21'!$A$12:$AMX360,34,FALSE)</f>
        <v>4.7634064104119078E-2</v>
      </c>
      <c r="G152" s="16">
        <f>VLOOKUP(A152,'2020-21'!$A$12:$AMX360,35,FALSE)</f>
        <v>3.6083964396921964E-2</v>
      </c>
      <c r="H152" s="56"/>
      <c r="I152" s="56">
        <v>568854.19243184431</v>
      </c>
      <c r="J152" s="56">
        <v>1773.0630993794452</v>
      </c>
      <c r="K152" s="16">
        <f t="shared" si="40"/>
        <v>-2.047259211505148E-2</v>
      </c>
      <c r="L152" s="58">
        <f t="shared" si="40"/>
        <v>-2.0472592115051702E-2</v>
      </c>
      <c r="M152" s="10"/>
      <c r="N152" s="56">
        <v>383857</v>
      </c>
      <c r="O152" s="56">
        <v>46632</v>
      </c>
      <c r="P152" s="56">
        <v>123392</v>
      </c>
      <c r="R152" s="56">
        <f t="shared" si="41"/>
        <v>123392</v>
      </c>
      <c r="S152" s="56">
        <f t="shared" si="42"/>
        <v>3327.2725772501435</v>
      </c>
      <c r="U152" s="16">
        <v>-2.5886565217674185E-2</v>
      </c>
      <c r="V152" s="16">
        <v>-4.8152057760033506E-2</v>
      </c>
      <c r="W152" s="56">
        <f t="shared" si="43"/>
        <v>4</v>
      </c>
      <c r="X152" s="56">
        <f t="shared" si="44"/>
        <v>3940.578030173418</v>
      </c>
      <c r="Y152" s="56">
        <f t="shared" si="44"/>
        <v>489.91018345074912</v>
      </c>
      <c r="AA152" s="56">
        <f t="shared" si="56"/>
        <v>0</v>
      </c>
      <c r="AB152" s="56">
        <v>0</v>
      </c>
      <c r="AC152" s="56">
        <f t="shared" si="45"/>
        <v>3327.2725772501435</v>
      </c>
      <c r="AE152" s="56">
        <v>0</v>
      </c>
      <c r="AF152" s="56">
        <f t="shared" si="46"/>
        <v>0</v>
      </c>
      <c r="AG152" s="56">
        <f t="shared" si="47"/>
        <v>3327.2725772501435</v>
      </c>
      <c r="AI152" s="56">
        <f t="shared" si="48"/>
        <v>2959.3526911981594</v>
      </c>
      <c r="AJ152" s="56">
        <f t="shared" si="49"/>
        <v>367.91988605198469</v>
      </c>
      <c r="AK152" s="56">
        <f t="shared" si="50"/>
        <v>0</v>
      </c>
      <c r="AM152" s="56">
        <f t="shared" si="51"/>
        <v>386816</v>
      </c>
      <c r="AN152" s="56">
        <f t="shared" si="52"/>
        <v>47000</v>
      </c>
      <c r="AO152" s="56">
        <f t="shared" si="53"/>
        <v>123392</v>
      </c>
      <c r="AP152" s="56"/>
      <c r="AQ152" s="56">
        <f t="shared" si="54"/>
        <v>557208</v>
      </c>
      <c r="AR152" s="1"/>
      <c r="AS152" s="56">
        <v>1205.6677879397585</v>
      </c>
      <c r="AT152" s="56">
        <v>146.49442120586701</v>
      </c>
      <c r="AU152" s="56">
        <v>384.60084300924132</v>
      </c>
      <c r="AV152" s="56"/>
      <c r="AW152" s="56">
        <v>1736.7630521548667</v>
      </c>
      <c r="AX152" s="1"/>
      <c r="AY152" s="16">
        <v>-1.8377514572457621E-2</v>
      </c>
      <c r="AZ152" s="16">
        <v>-4.0640476812523141E-2</v>
      </c>
      <c r="BA152" s="16">
        <v>-1.9183370701206237E-2</v>
      </c>
      <c r="BB152" s="16">
        <f t="shared" si="55"/>
        <v>-2.0473071283973465E-2</v>
      </c>
      <c r="BC152" s="16"/>
      <c r="BD152" s="1"/>
      <c r="BE152" s="16">
        <f>AM152/'2019-20 disagg'!AM152-1</f>
        <v>4.4590390597995189E-2</v>
      </c>
      <c r="BF152" s="16">
        <f>AN152/'2019-20 disagg'!AN152-1</f>
        <v>5.4284432480933065E-2</v>
      </c>
      <c r="BG152" s="16">
        <f>AO152/'2019-20 disagg'!AO152-1</f>
        <v>5.4731641436374323E-2</v>
      </c>
      <c r="BH152" s="16">
        <f>AQ152/'2019-20 disagg'!AQ152-1</f>
        <v>4.763355161852556E-2</v>
      </c>
      <c r="BI152" s="1"/>
      <c r="BJ152" s="16">
        <f>AS152/'2019-20 disagg'!AS152-1</f>
        <v>3.3073847199891482E-2</v>
      </c>
      <c r="BK152" s="16">
        <f>AT152/'2019-20 disagg'!AT152-1</f>
        <v>4.2661012880393923E-2</v>
      </c>
      <c r="BL152" s="16">
        <f>AU152/'2019-20 disagg'!AU152-1</f>
        <v>4.3103291385210962E-2</v>
      </c>
      <c r="BM152" s="16">
        <f>AW152/'2019-20 disagg'!AW152-1</f>
        <v>3.6083457561449706E-2</v>
      </c>
    </row>
    <row r="153" spans="1:65" x14ac:dyDescent="0.2">
      <c r="A153" s="156" t="s">
        <v>351</v>
      </c>
      <c r="B153" s="156" t="s">
        <v>352</v>
      </c>
      <c r="D153" s="56">
        <f>VLOOKUP(A153,'2020-21'!$A$12:$AMX361,32,FALSE)</f>
        <v>442791.86129021755</v>
      </c>
      <c r="E153" s="56">
        <v>1612.7306938251163</v>
      </c>
      <c r="F153" s="16">
        <f>VLOOKUP(A153,'2020-21'!$A$12:$AMX361,34,FALSE)</f>
        <v>4.9513539376958571E-2</v>
      </c>
      <c r="G153" s="16">
        <f>VLOOKUP(A153,'2020-21'!$A$12:$AMX361,35,FALSE)</f>
        <v>3.813353407208675E-2</v>
      </c>
      <c r="H153" s="56"/>
      <c r="I153" s="56">
        <v>452838.14056629443</v>
      </c>
      <c r="J153" s="56">
        <v>1649.3211200810522</v>
      </c>
      <c r="K153" s="16">
        <f t="shared" si="40"/>
        <v>-2.21851438209546E-2</v>
      </c>
      <c r="L153" s="58">
        <f t="shared" si="40"/>
        <v>-2.2185143820954489E-2</v>
      </c>
      <c r="M153" s="10"/>
      <c r="N153" s="56">
        <v>317026</v>
      </c>
      <c r="O153" s="56">
        <v>34762</v>
      </c>
      <c r="P153" s="56">
        <v>87349</v>
      </c>
      <c r="R153" s="56">
        <f t="shared" si="41"/>
        <v>87349</v>
      </c>
      <c r="S153" s="56">
        <f t="shared" si="42"/>
        <v>3654.8612902175519</v>
      </c>
      <c r="U153" s="16">
        <v>-2.4751092262300323E-2</v>
      </c>
      <c r="V153" s="16">
        <v>-3.8963881746496343E-2</v>
      </c>
      <c r="W153" s="56">
        <f t="shared" si="43"/>
        <v>4</v>
      </c>
      <c r="X153" s="56">
        <f t="shared" si="44"/>
        <v>3250.7188419765603</v>
      </c>
      <c r="Y153" s="56">
        <f t="shared" si="44"/>
        <v>361.71377266416562</v>
      </c>
      <c r="AA153" s="56">
        <f t="shared" si="56"/>
        <v>0</v>
      </c>
      <c r="AB153" s="56">
        <v>0</v>
      </c>
      <c r="AC153" s="56">
        <f t="shared" si="45"/>
        <v>3654.8612902175519</v>
      </c>
      <c r="AE153" s="56">
        <v>0</v>
      </c>
      <c r="AF153" s="56">
        <f t="shared" si="46"/>
        <v>0</v>
      </c>
      <c r="AG153" s="56">
        <f t="shared" si="47"/>
        <v>3654.8612902175519</v>
      </c>
      <c r="AI153" s="56">
        <f t="shared" si="48"/>
        <v>3288.8991237564096</v>
      </c>
      <c r="AJ153" s="56">
        <f t="shared" si="49"/>
        <v>365.96216646114283</v>
      </c>
      <c r="AK153" s="56">
        <f t="shared" si="50"/>
        <v>0</v>
      </c>
      <c r="AM153" s="56">
        <f t="shared" si="51"/>
        <v>320315</v>
      </c>
      <c r="AN153" s="56">
        <f t="shared" si="52"/>
        <v>35128</v>
      </c>
      <c r="AO153" s="56">
        <f t="shared" si="53"/>
        <v>87349</v>
      </c>
      <c r="AP153" s="56"/>
      <c r="AQ153" s="56">
        <f t="shared" si="54"/>
        <v>442792</v>
      </c>
      <c r="AR153" s="1"/>
      <c r="AS153" s="56">
        <v>1166.6470803852708</v>
      </c>
      <c r="AT153" s="56">
        <v>127.94273961498459</v>
      </c>
      <c r="AU153" s="56">
        <v>318.14137903180625</v>
      </c>
      <c r="AV153" s="56"/>
      <c r="AW153" s="56">
        <v>1612.7311990320616</v>
      </c>
      <c r="AX153" s="1"/>
      <c r="AY153" s="16">
        <v>-1.4633330130647826E-2</v>
      </c>
      <c r="AZ153" s="16">
        <v>-2.8845383982248451E-2</v>
      </c>
      <c r="BA153" s="16">
        <v>-4.6354983420889728E-2</v>
      </c>
      <c r="BB153" s="16">
        <f t="shared" si="55"/>
        <v>-2.2184837508897326E-2</v>
      </c>
      <c r="BC153" s="16"/>
      <c r="BD153" s="1"/>
      <c r="BE153" s="16">
        <f>AM153/'2019-20 disagg'!AM153-1</f>
        <v>4.7356064767584805E-2</v>
      </c>
      <c r="BF153" s="16">
        <f>AN153/'2019-20 disagg'!AN153-1</f>
        <v>5.6862627113544839E-2</v>
      </c>
      <c r="BG153" s="16">
        <f>AO153/'2019-20 disagg'!AO153-1</f>
        <v>5.4532064902453214E-2</v>
      </c>
      <c r="BH153" s="16">
        <f>AQ153/'2019-20 disagg'!AQ153-1</f>
        <v>4.9513868149475559E-2</v>
      </c>
      <c r="BI153" s="1"/>
      <c r="BJ153" s="16">
        <f>AS153/'2019-20 disagg'!AS153-1</f>
        <v>3.5999453227136824E-2</v>
      </c>
      <c r="BK153" s="16">
        <f>AT153/'2019-20 disagg'!AT153-1</f>
        <v>4.5402934740054413E-2</v>
      </c>
      <c r="BL153" s="16">
        <f>AU153/'2019-20 disagg'!AU153-1</f>
        <v>4.3097643103691574E-2</v>
      </c>
      <c r="BM153" s="16">
        <f>AW153/'2019-20 disagg'!AW153-1</f>
        <v>3.8133859279682492E-2</v>
      </c>
    </row>
    <row r="154" spans="1:65" x14ac:dyDescent="0.2">
      <c r="A154" s="156" t="s">
        <v>353</v>
      </c>
      <c r="B154" s="156" t="s">
        <v>354</v>
      </c>
      <c r="D154" s="56">
        <f>VLOOKUP(A154,'2020-21'!$A$12:$AMX362,32,FALSE)</f>
        <v>514219.7112030235</v>
      </c>
      <c r="E154" s="56">
        <v>1824.1361051272663</v>
      </c>
      <c r="F154" s="16">
        <f>VLOOKUP(A154,'2020-21'!$A$12:$AMX362,34,FALSE)</f>
        <v>5.0152372867454442E-2</v>
      </c>
      <c r="G154" s="16">
        <f>VLOOKUP(A154,'2020-21'!$A$12:$AMX362,35,FALSE)</f>
        <v>3.8230365023985691E-2</v>
      </c>
      <c r="H154" s="56"/>
      <c r="I154" s="56">
        <v>525782.7362689249</v>
      </c>
      <c r="J154" s="56">
        <v>1865.1546251249849</v>
      </c>
      <c r="K154" s="16">
        <f t="shared" si="40"/>
        <v>-2.1992021168202092E-2</v>
      </c>
      <c r="L154" s="58">
        <f t="shared" si="40"/>
        <v>-2.1992021168202092E-2</v>
      </c>
      <c r="M154" s="10"/>
      <c r="N154" s="56">
        <v>388253</v>
      </c>
      <c r="O154" s="56">
        <v>37911</v>
      </c>
      <c r="P154" s="56">
        <v>83232</v>
      </c>
      <c r="R154" s="56">
        <f t="shared" si="41"/>
        <v>83232</v>
      </c>
      <c r="S154" s="56">
        <f t="shared" si="42"/>
        <v>4823.7112030235003</v>
      </c>
      <c r="U154" s="16">
        <v>-1.324598814113831E-2</v>
      </c>
      <c r="V154" s="16">
        <v>-2.9955167272623373E-2</v>
      </c>
      <c r="W154" s="56">
        <f t="shared" si="43"/>
        <v>4</v>
      </c>
      <c r="X154" s="56">
        <f t="shared" si="44"/>
        <v>3934.6483047847287</v>
      </c>
      <c r="Y154" s="56">
        <f t="shared" si="44"/>
        <v>390.81698825619731</v>
      </c>
      <c r="AA154" s="56">
        <f t="shared" si="56"/>
        <v>0</v>
      </c>
      <c r="AB154" s="56">
        <v>0</v>
      </c>
      <c r="AC154" s="56">
        <f t="shared" si="45"/>
        <v>4823.7112030235003</v>
      </c>
      <c r="AE154" s="56">
        <v>0</v>
      </c>
      <c r="AF154" s="56">
        <f t="shared" si="46"/>
        <v>0</v>
      </c>
      <c r="AG154" s="56">
        <f t="shared" si="47"/>
        <v>4823.7112030235003</v>
      </c>
      <c r="AI154" s="56">
        <f t="shared" si="48"/>
        <v>4387.8764067956063</v>
      </c>
      <c r="AJ154" s="56">
        <f t="shared" si="49"/>
        <v>435.83479622789469</v>
      </c>
      <c r="AK154" s="56">
        <f t="shared" si="50"/>
        <v>0</v>
      </c>
      <c r="AM154" s="56">
        <f t="shared" si="51"/>
        <v>392641</v>
      </c>
      <c r="AN154" s="56">
        <f t="shared" si="52"/>
        <v>38347</v>
      </c>
      <c r="AO154" s="56">
        <f t="shared" si="53"/>
        <v>83232</v>
      </c>
      <c r="AP154" s="56"/>
      <c r="AQ154" s="56">
        <f t="shared" si="54"/>
        <v>514220</v>
      </c>
      <c r="AR154" s="1"/>
      <c r="AS154" s="56">
        <v>1392.8494160164425</v>
      </c>
      <c r="AT154" s="56">
        <v>136.03163336478494</v>
      </c>
      <c r="AU154" s="56">
        <v>295.25608022055906</v>
      </c>
      <c r="AV154" s="56"/>
      <c r="AW154" s="56">
        <v>1824.1371296017865</v>
      </c>
      <c r="AX154" s="1"/>
      <c r="AY154" s="16">
        <v>-2.09378428428042E-3</v>
      </c>
      <c r="AZ154" s="16">
        <v>-1.8799050391793637E-2</v>
      </c>
      <c r="BA154" s="16">
        <v>-0.10729959197724304</v>
      </c>
      <c r="BB154" s="16">
        <f t="shared" si="55"/>
        <v>-2.1991471897644943E-2</v>
      </c>
      <c r="BC154" s="16"/>
      <c r="BD154" s="1"/>
      <c r="BE154" s="16">
        <f>AM154/'2019-20 disagg'!AM154-1</f>
        <v>4.8317420650177301E-2</v>
      </c>
      <c r="BF154" s="16">
        <f>AN154/'2019-20 disagg'!AN154-1</f>
        <v>5.8403025033810785E-2</v>
      </c>
      <c r="BG154" s="16">
        <f>AO154/'2019-20 disagg'!AO154-1</f>
        <v>5.5078783576508084E-2</v>
      </c>
      <c r="BH154" s="16">
        <f>AQ154/'2019-20 disagg'!AQ154-1</f>
        <v>5.0152962655872768E-2</v>
      </c>
      <c r="BI154" s="1"/>
      <c r="BJ154" s="16">
        <f>AS154/'2019-20 disagg'!AS154-1</f>
        <v>3.6416244369148476E-2</v>
      </c>
      <c r="BK154" s="16">
        <f>AT154/'2019-20 disagg'!AT154-1</f>
        <v>4.6387350459320409E-2</v>
      </c>
      <c r="BL154" s="16">
        <f>AU154/'2019-20 disagg'!AU154-1</f>
        <v>4.3100847937577402E-2</v>
      </c>
      <c r="BM154" s="16">
        <f>AW154/'2019-20 disagg'!AW154-1</f>
        <v>3.8230948116744878E-2</v>
      </c>
    </row>
    <row r="155" spans="1:65" x14ac:dyDescent="0.2">
      <c r="A155" s="156" t="s">
        <v>355</v>
      </c>
      <c r="B155" s="156" t="s">
        <v>356</v>
      </c>
      <c r="D155" s="56">
        <f>VLOOKUP(A155,'2020-21'!$A$12:$AMX363,32,FALSE)</f>
        <v>538257.12541306834</v>
      </c>
      <c r="E155" s="56">
        <v>1645.4373856018906</v>
      </c>
      <c r="F155" s="16">
        <f>VLOOKUP(A155,'2020-21'!$A$12:$AMX363,34,FALSE)</f>
        <v>5.0606299480936867E-2</v>
      </c>
      <c r="G155" s="16">
        <f>VLOOKUP(A155,'2020-21'!$A$12:$AMX363,35,FALSE)</f>
        <v>3.6968160763258151E-2</v>
      </c>
      <c r="H155" s="56"/>
      <c r="I155" s="56">
        <v>549729.61836106656</v>
      </c>
      <c r="J155" s="56">
        <v>1680.5084843601348</v>
      </c>
      <c r="K155" s="16">
        <f t="shared" si="40"/>
        <v>-2.0869337515780351E-2</v>
      </c>
      <c r="L155" s="58">
        <f t="shared" si="40"/>
        <v>-2.0869337515780462E-2</v>
      </c>
      <c r="M155" s="10"/>
      <c r="N155" s="56">
        <v>387605</v>
      </c>
      <c r="O155" s="56">
        <v>44062</v>
      </c>
      <c r="P155" s="56">
        <v>101847</v>
      </c>
      <c r="R155" s="56">
        <f t="shared" si="41"/>
        <v>101847</v>
      </c>
      <c r="S155" s="56">
        <f t="shared" si="42"/>
        <v>4743.1254130683374</v>
      </c>
      <c r="U155" s="16">
        <v>-3.9915508004048306E-2</v>
      </c>
      <c r="V155" s="16">
        <v>-4.2893227015044277E-2</v>
      </c>
      <c r="W155" s="56">
        <f t="shared" si="43"/>
        <v>4</v>
      </c>
      <c r="X155" s="56">
        <f t="shared" si="44"/>
        <v>4037.1967595705564</v>
      </c>
      <c r="Y155" s="56">
        <f t="shared" si="44"/>
        <v>460.36660949104566</v>
      </c>
      <c r="AA155" s="56">
        <f t="shared" si="56"/>
        <v>0</v>
      </c>
      <c r="AB155" s="56">
        <v>0</v>
      </c>
      <c r="AC155" s="56">
        <f t="shared" si="45"/>
        <v>4743.1254130683374</v>
      </c>
      <c r="AE155" s="56">
        <v>0</v>
      </c>
      <c r="AF155" s="56">
        <f t="shared" si="46"/>
        <v>0</v>
      </c>
      <c r="AG155" s="56">
        <f t="shared" si="47"/>
        <v>4743.1254130683374</v>
      </c>
      <c r="AI155" s="56">
        <f t="shared" si="48"/>
        <v>4257.6232898907647</v>
      </c>
      <c r="AJ155" s="56">
        <f t="shared" si="49"/>
        <v>485.50212317757291</v>
      </c>
      <c r="AK155" s="56">
        <f t="shared" si="50"/>
        <v>0</v>
      </c>
      <c r="AM155" s="56">
        <f t="shared" si="51"/>
        <v>391863</v>
      </c>
      <c r="AN155" s="56">
        <f t="shared" si="52"/>
        <v>44548</v>
      </c>
      <c r="AO155" s="56">
        <f t="shared" si="53"/>
        <v>101847</v>
      </c>
      <c r="AP155" s="56"/>
      <c r="AQ155" s="56">
        <f t="shared" si="54"/>
        <v>538258</v>
      </c>
      <c r="AR155" s="1"/>
      <c r="AS155" s="56">
        <v>1197.9145278184533</v>
      </c>
      <c r="AT155" s="56">
        <v>136.18202378192493</v>
      </c>
      <c r="AU155" s="56">
        <v>311.34350758996385</v>
      </c>
      <c r="AV155" s="56"/>
      <c r="AW155" s="56">
        <v>1645.440059190342</v>
      </c>
      <c r="AX155" s="1"/>
      <c r="AY155" s="16">
        <v>-2.936858583607127E-2</v>
      </c>
      <c r="AZ155" s="16">
        <v>-3.2336423155240213E-2</v>
      </c>
      <c r="BA155" s="16">
        <v>1.8742193092249337E-2</v>
      </c>
      <c r="BB155" s="16">
        <f t="shared" si="55"/>
        <v>-2.0867746575611856E-2</v>
      </c>
      <c r="BC155" s="16"/>
      <c r="BD155" s="1"/>
      <c r="BE155" s="16">
        <f>AM155/'2019-20 disagg'!AM155-1</f>
        <v>4.7989002965882932E-2</v>
      </c>
      <c r="BF155" s="16">
        <f>AN155/'2019-20 disagg'!AN155-1</f>
        <v>5.965746907706948E-2</v>
      </c>
      <c r="BG155" s="16">
        <f>AO155/'2019-20 disagg'!AO155-1</f>
        <v>5.6822073030268427E-2</v>
      </c>
      <c r="BH155" s="16">
        <f>AQ155/'2019-20 disagg'!AQ155-1</f>
        <v>5.0608006558273022E-2</v>
      </c>
      <c r="BI155" s="1"/>
      <c r="BJ155" s="16">
        <f>AS155/'2019-20 disagg'!AS155-1</f>
        <v>3.438483991821073E-2</v>
      </c>
      <c r="BK155" s="16">
        <f>AT155/'2019-20 disagg'!AT155-1</f>
        <v>4.5901835245788281E-2</v>
      </c>
      <c r="BL155" s="16">
        <f>AU155/'2019-20 disagg'!AU155-1</f>
        <v>4.3103246064341905E-2</v>
      </c>
      <c r="BM155" s="16">
        <f>AW155/'2019-20 disagg'!AW155-1</f>
        <v>3.6969845680668856E-2</v>
      </c>
    </row>
    <row r="156" spans="1:65" x14ac:dyDescent="0.2">
      <c r="A156" s="156" t="s">
        <v>357</v>
      </c>
      <c r="B156" s="156" t="s">
        <v>358</v>
      </c>
      <c r="D156" s="56">
        <f>VLOOKUP(A156,'2020-21'!$A$12:$AMX364,32,FALSE)</f>
        <v>513017.09836477606</v>
      </c>
      <c r="E156" s="56">
        <v>1563.2649080403439</v>
      </c>
      <c r="F156" s="16">
        <f>VLOOKUP(A156,'2020-21'!$A$12:$AMX364,34,FALSE)</f>
        <v>4.9393700502743165E-2</v>
      </c>
      <c r="G156" s="16">
        <f>VLOOKUP(A156,'2020-21'!$A$12:$AMX364,35,FALSE)</f>
        <v>3.6203116048563411E-2</v>
      </c>
      <c r="H156" s="56"/>
      <c r="I156" s="56">
        <v>523530.52201951348</v>
      </c>
      <c r="J156" s="56">
        <v>1595.3013963273797</v>
      </c>
      <c r="K156" s="16">
        <f t="shared" si="40"/>
        <v>-2.0081777876449269E-2</v>
      </c>
      <c r="L156" s="58">
        <f t="shared" si="40"/>
        <v>-2.0081777876449269E-2</v>
      </c>
      <c r="M156" s="10"/>
      <c r="N156" s="56">
        <v>371976</v>
      </c>
      <c r="O156" s="56">
        <v>43147</v>
      </c>
      <c r="P156" s="56">
        <v>93853</v>
      </c>
      <c r="R156" s="56">
        <f t="shared" si="41"/>
        <v>93853</v>
      </c>
      <c r="S156" s="56">
        <f t="shared" si="42"/>
        <v>4041.0983647760586</v>
      </c>
      <c r="U156" s="16">
        <v>-3.7981973983380879E-2</v>
      </c>
      <c r="V156" s="16">
        <v>-4.4096527389206219E-2</v>
      </c>
      <c r="W156" s="56">
        <f t="shared" si="43"/>
        <v>4</v>
      </c>
      <c r="X156" s="56">
        <f t="shared" si="44"/>
        <v>3866.6219336889435</v>
      </c>
      <c r="Y156" s="56">
        <f t="shared" si="44"/>
        <v>451.37402715104224</v>
      </c>
      <c r="AA156" s="56">
        <f t="shared" si="56"/>
        <v>0</v>
      </c>
      <c r="AB156" s="56">
        <v>0</v>
      </c>
      <c r="AC156" s="56">
        <f t="shared" si="45"/>
        <v>4041.0983647760586</v>
      </c>
      <c r="AE156" s="56">
        <v>0</v>
      </c>
      <c r="AF156" s="56">
        <f t="shared" si="46"/>
        <v>0</v>
      </c>
      <c r="AG156" s="56">
        <f t="shared" si="47"/>
        <v>4041.0983647760586</v>
      </c>
      <c r="AI156" s="56">
        <f t="shared" si="48"/>
        <v>3618.6693352992393</v>
      </c>
      <c r="AJ156" s="56">
        <f t="shared" si="49"/>
        <v>422.42902947681932</v>
      </c>
      <c r="AK156" s="56">
        <f t="shared" si="50"/>
        <v>0</v>
      </c>
      <c r="AM156" s="56">
        <f t="shared" si="51"/>
        <v>375595</v>
      </c>
      <c r="AN156" s="56">
        <f t="shared" si="52"/>
        <v>43569</v>
      </c>
      <c r="AO156" s="56">
        <f t="shared" si="53"/>
        <v>93853</v>
      </c>
      <c r="AP156" s="56"/>
      <c r="AQ156" s="56">
        <f t="shared" si="54"/>
        <v>513017</v>
      </c>
      <c r="AR156" s="1"/>
      <c r="AS156" s="56">
        <v>1144.5125026182309</v>
      </c>
      <c r="AT156" s="56">
        <v>132.76338935974573</v>
      </c>
      <c r="AU156" s="56">
        <v>285.98871632537396</v>
      </c>
      <c r="AV156" s="56"/>
      <c r="AW156" s="56">
        <v>1563.2646083033505</v>
      </c>
      <c r="AX156" s="1"/>
      <c r="AY156" s="16">
        <v>-2.862238294483499E-2</v>
      </c>
      <c r="AZ156" s="16">
        <v>-3.4747296493854218E-2</v>
      </c>
      <c r="BA156" s="16">
        <v>2.3133681938159567E-2</v>
      </c>
      <c r="BB156" s="16">
        <f t="shared" si="55"/>
        <v>-2.0081965763825371E-2</v>
      </c>
      <c r="BC156" s="16"/>
      <c r="BD156" s="1"/>
      <c r="BE156" s="16">
        <f>AM156/'2019-20 disagg'!AM156-1</f>
        <v>4.6686285328919164E-2</v>
      </c>
      <c r="BF156" s="16">
        <f>AN156/'2019-20 disagg'!AN156-1</f>
        <v>5.7910839160839167E-2</v>
      </c>
      <c r="BG156" s="16">
        <f>AO156/'2019-20 disagg'!AO156-1</f>
        <v>5.6379721759488577E-2</v>
      </c>
      <c r="BH156" s="16">
        <f>AQ156/'2019-20 disagg'!AQ156-1</f>
        <v>4.9393499294290821E-2</v>
      </c>
      <c r="BI156" s="1"/>
      <c r="BJ156" s="16">
        <f>AS156/'2019-20 disagg'!AS156-1</f>
        <v>3.3529732324028449E-2</v>
      </c>
      <c r="BK156" s="16">
        <f>AT156/'2019-20 disagg'!AT156-1</f>
        <v>4.461319666283492E-2</v>
      </c>
      <c r="BL156" s="16">
        <f>AU156/'2019-20 disagg'!AU156-1</f>
        <v>4.310132497773167E-2</v>
      </c>
      <c r="BM156" s="16">
        <f>AW156/'2019-20 disagg'!AW156-1</f>
        <v>3.620291736924508E-2</v>
      </c>
    </row>
    <row r="157" spans="1:65" x14ac:dyDescent="0.2">
      <c r="A157" s="156" t="s">
        <v>359</v>
      </c>
      <c r="B157" s="156" t="s">
        <v>360</v>
      </c>
      <c r="D157" s="56">
        <f>VLOOKUP(A157,'2020-21'!$A$12:$AMX365,32,FALSE)</f>
        <v>517088</v>
      </c>
      <c r="E157" s="56">
        <v>2048.6093113478573</v>
      </c>
      <c r="F157" s="16">
        <f>VLOOKUP(A157,'2020-21'!$A$12:$AMX365,34,FALSE)</f>
        <v>4.1512413440273344E-2</v>
      </c>
      <c r="G157" s="16">
        <f>VLOOKUP(A157,'2020-21'!$A$12:$AMX365,35,FALSE)</f>
        <v>2.8675523939842407E-2</v>
      </c>
      <c r="H157" s="56"/>
      <c r="I157" s="56">
        <v>502900.61957434355</v>
      </c>
      <c r="J157" s="56">
        <v>1992.4014712053013</v>
      </c>
      <c r="K157" s="16">
        <f t="shared" si="40"/>
        <v>2.8211101504835412E-2</v>
      </c>
      <c r="L157" s="58">
        <f t="shared" si="40"/>
        <v>2.8211101504835412E-2</v>
      </c>
      <c r="M157" s="10"/>
      <c r="N157" s="56">
        <v>367234</v>
      </c>
      <c r="O157" s="56">
        <v>40490</v>
      </c>
      <c r="P157" s="56">
        <v>109364</v>
      </c>
      <c r="R157" s="56">
        <f t="shared" si="41"/>
        <v>109364</v>
      </c>
      <c r="S157" s="56">
        <f t="shared" si="42"/>
        <v>0</v>
      </c>
      <c r="U157" s="16">
        <v>4.5114976695383113E-2</v>
      </c>
      <c r="V157" s="16">
        <v>-4.9401769825966668E-2</v>
      </c>
      <c r="W157" s="56">
        <f t="shared" si="43"/>
        <v>3</v>
      </c>
      <c r="X157" s="56">
        <f t="shared" si="44"/>
        <v>3513.8143475962906</v>
      </c>
      <c r="Y157" s="56">
        <f t="shared" si="44"/>
        <v>425.94230364375056</v>
      </c>
      <c r="AA157" s="56">
        <f t="shared" si="56"/>
        <v>0</v>
      </c>
      <c r="AB157" s="56">
        <v>0</v>
      </c>
      <c r="AC157" s="56">
        <f t="shared" si="45"/>
        <v>0</v>
      </c>
      <c r="AE157" s="56">
        <v>0</v>
      </c>
      <c r="AF157" s="56">
        <f t="shared" si="46"/>
        <v>0</v>
      </c>
      <c r="AG157" s="56">
        <f t="shared" si="47"/>
        <v>0</v>
      </c>
      <c r="AI157" s="56">
        <f t="shared" si="48"/>
        <v>0</v>
      </c>
      <c r="AJ157" s="56">
        <f t="shared" si="49"/>
        <v>0</v>
      </c>
      <c r="AK157" s="56">
        <f t="shared" si="50"/>
        <v>0</v>
      </c>
      <c r="AM157" s="56">
        <f t="shared" si="51"/>
        <v>367234</v>
      </c>
      <c r="AN157" s="56">
        <f t="shared" si="52"/>
        <v>40490</v>
      </c>
      <c r="AO157" s="56">
        <f t="shared" si="53"/>
        <v>109364</v>
      </c>
      <c r="AP157" s="56"/>
      <c r="AQ157" s="56">
        <f t="shared" si="54"/>
        <v>517088</v>
      </c>
      <c r="AR157" s="1"/>
      <c r="AS157" s="56">
        <v>1454.9148149706027</v>
      </c>
      <c r="AT157" s="56">
        <v>160.41407075096453</v>
      </c>
      <c r="AU157" s="56">
        <v>433.28042562629008</v>
      </c>
      <c r="AV157" s="56"/>
      <c r="AW157" s="56">
        <v>2048.6093113478573</v>
      </c>
      <c r="AX157" s="1"/>
      <c r="AY157" s="16">
        <v>4.5114976695383113E-2</v>
      </c>
      <c r="AZ157" s="16">
        <v>-4.9401769825966668E-2</v>
      </c>
      <c r="BA157" s="16">
        <v>4.0307159353523137E-3</v>
      </c>
      <c r="BB157" s="16">
        <f t="shared" si="55"/>
        <v>2.8211101504835412E-2</v>
      </c>
      <c r="BC157" s="16"/>
      <c r="BD157" s="1"/>
      <c r="BE157" s="16">
        <f>AM157/'2019-20 disagg'!AM157-1</f>
        <v>3.6599410615692163E-2</v>
      </c>
      <c r="BF157" s="16">
        <f>AN157/'2019-20 disagg'!AN157-1</f>
        <v>4.7417026670460771E-2</v>
      </c>
      <c r="BG157" s="16">
        <f>AO157/'2019-20 disagg'!AO157-1</f>
        <v>5.6116191708593721E-2</v>
      </c>
      <c r="BH157" s="16">
        <f>AQ157/'2019-20 disagg'!AQ157-1</f>
        <v>4.1512413440273344E-2</v>
      </c>
      <c r="BI157" s="1"/>
      <c r="BJ157" s="16">
        <f>AS157/'2019-20 disagg'!AS157-1</f>
        <v>2.3823075049674625E-2</v>
      </c>
      <c r="BK157" s="16">
        <f>AT157/'2019-20 disagg'!AT157-1</f>
        <v>3.4507361400292869E-2</v>
      </c>
      <c r="BL157" s="16">
        <f>AU157/'2019-20 disagg'!AU157-1</f>
        <v>4.3099307149534694E-2</v>
      </c>
      <c r="BM157" s="16">
        <f>AW157/'2019-20 disagg'!AW157-1</f>
        <v>2.8675523939842407E-2</v>
      </c>
    </row>
    <row r="158" spans="1:65" x14ac:dyDescent="0.2">
      <c r="A158" s="156" t="s">
        <v>361</v>
      </c>
      <c r="B158" s="156" t="s">
        <v>362</v>
      </c>
      <c r="D158" s="56">
        <f>VLOOKUP(A158,'2020-21'!$A$12:$AMX366,32,FALSE)</f>
        <v>333666.58909028524</v>
      </c>
      <c r="E158" s="56">
        <v>1530.5907972744694</v>
      </c>
      <c r="F158" s="16">
        <f>VLOOKUP(A158,'2020-21'!$A$12:$AMX366,34,FALSE)</f>
        <v>4.2884077595235492E-2</v>
      </c>
      <c r="G158" s="16">
        <f>VLOOKUP(A158,'2020-21'!$A$12:$AMX366,35,FALSE)</f>
        <v>2.9402256693060291E-2</v>
      </c>
      <c r="H158" s="56"/>
      <c r="I158" s="56">
        <v>338352.39375061513</v>
      </c>
      <c r="J158" s="56">
        <v>1552.0854560908667</v>
      </c>
      <c r="K158" s="16">
        <f t="shared" si="40"/>
        <v>-1.3848888752900579E-2</v>
      </c>
      <c r="L158" s="58">
        <f t="shared" si="40"/>
        <v>-1.3848888752900579E-2</v>
      </c>
      <c r="M158" s="10"/>
      <c r="N158" s="56">
        <v>244089</v>
      </c>
      <c r="O158" s="56">
        <v>28148</v>
      </c>
      <c r="P158" s="56">
        <v>60887</v>
      </c>
      <c r="R158" s="56">
        <f t="shared" si="41"/>
        <v>60887</v>
      </c>
      <c r="S158" s="56">
        <f t="shared" si="42"/>
        <v>542.58909028524067</v>
      </c>
      <c r="U158" s="16">
        <v>-1.7540549115517168E-2</v>
      </c>
      <c r="V158" s="16">
        <v>4.8313174221017441E-3</v>
      </c>
      <c r="W158" s="56">
        <f t="shared" si="43"/>
        <v>1</v>
      </c>
      <c r="X158" s="56">
        <f t="shared" si="44"/>
        <v>2484.4689496370866</v>
      </c>
      <c r="Y158" s="56">
        <f t="shared" si="44"/>
        <v>280.12661938337862</v>
      </c>
      <c r="AA158" s="56">
        <f t="shared" si="56"/>
        <v>542.58909028524067</v>
      </c>
      <c r="AB158" s="56">
        <v>0</v>
      </c>
      <c r="AC158" s="56">
        <f t="shared" si="45"/>
        <v>0</v>
      </c>
      <c r="AE158" s="56">
        <v>0</v>
      </c>
      <c r="AF158" s="56">
        <f t="shared" si="46"/>
        <v>0</v>
      </c>
      <c r="AG158" s="56">
        <f t="shared" si="47"/>
        <v>0</v>
      </c>
      <c r="AI158" s="56">
        <f t="shared" si="48"/>
        <v>0</v>
      </c>
      <c r="AJ158" s="56">
        <f t="shared" si="49"/>
        <v>0</v>
      </c>
      <c r="AK158" s="56">
        <f t="shared" si="50"/>
        <v>0</v>
      </c>
      <c r="AM158" s="56">
        <f t="shared" si="51"/>
        <v>244632</v>
      </c>
      <c r="AN158" s="56">
        <f t="shared" si="52"/>
        <v>28148</v>
      </c>
      <c r="AO158" s="56">
        <f t="shared" si="53"/>
        <v>60887</v>
      </c>
      <c r="AP158" s="56"/>
      <c r="AQ158" s="56">
        <f t="shared" si="54"/>
        <v>333667</v>
      </c>
      <c r="AR158" s="1"/>
      <c r="AS158" s="56">
        <v>1122.1725523664354</v>
      </c>
      <c r="AT158" s="56">
        <v>129.12011921584431</v>
      </c>
      <c r="AU158" s="56">
        <v>279.30001061159271</v>
      </c>
      <c r="AV158" s="56"/>
      <c r="AW158" s="56">
        <v>1530.5926821938724</v>
      </c>
      <c r="AX158" s="1"/>
      <c r="AY158" s="16">
        <v>-1.5354971388416572E-2</v>
      </c>
      <c r="AZ158" s="16">
        <v>4.8313174221017441E-3</v>
      </c>
      <c r="BA158" s="16">
        <v>-1.6251264278441702E-2</v>
      </c>
      <c r="BB158" s="16">
        <f t="shared" si="55"/>
        <v>-1.3847674309845459E-2</v>
      </c>
      <c r="BC158" s="16"/>
      <c r="BD158" s="1"/>
      <c r="BE158" s="16">
        <f>AM158/'2019-20 disagg'!AM158-1</f>
        <v>3.8905003163871577E-2</v>
      </c>
      <c r="BF158" s="16">
        <f>AN158/'2019-20 disagg'!AN158-1</f>
        <v>4.8030382009084827E-2</v>
      </c>
      <c r="BG158" s="16">
        <f>AO158/'2019-20 disagg'!AO158-1</f>
        <v>5.6754082996337996E-2</v>
      </c>
      <c r="BH158" s="16">
        <f>AQ158/'2019-20 disagg'!AQ158-1</f>
        <v>4.2885361904821506E-2</v>
      </c>
      <c r="BI158" s="1"/>
      <c r="BJ158" s="16">
        <f>AS158/'2019-20 disagg'!AS158-1</f>
        <v>2.5474621505992667E-2</v>
      </c>
      <c r="BK158" s="16">
        <f>AT158/'2019-20 disagg'!AT158-1</f>
        <v>3.4482032567538567E-2</v>
      </c>
      <c r="BL158" s="16">
        <f>AU158/'2019-20 disagg'!AU158-1</f>
        <v>4.3092958437363826E-2</v>
      </c>
      <c r="BM158" s="16">
        <f>AW158/'2019-20 disagg'!AW158-1</f>
        <v>2.9403524399811642E-2</v>
      </c>
    </row>
    <row r="159" spans="1:65" x14ac:dyDescent="0.2">
      <c r="A159" s="156" t="s">
        <v>363</v>
      </c>
      <c r="B159" s="156" t="s">
        <v>364</v>
      </c>
      <c r="D159" s="56">
        <f>VLOOKUP(A159,'2020-21'!$A$12:$AMX367,32,FALSE)</f>
        <v>749382</v>
      </c>
      <c r="E159" s="56">
        <v>1852.9926585791552</v>
      </c>
      <c r="F159" s="16">
        <f>VLOOKUP(A159,'2020-21'!$A$12:$AMX367,34,FALSE)</f>
        <v>4.1250864950937549E-2</v>
      </c>
      <c r="G159" s="16">
        <f>VLOOKUP(A159,'2020-21'!$A$12:$AMX367,35,FALSE)</f>
        <v>3.1624230387375718E-2</v>
      </c>
      <c r="H159" s="56"/>
      <c r="I159" s="56">
        <v>759646.70735311275</v>
      </c>
      <c r="J159" s="56">
        <v>1878.3741427458169</v>
      </c>
      <c r="K159" s="16">
        <f t="shared" si="40"/>
        <v>-1.3512475277986491E-2</v>
      </c>
      <c r="L159" s="58">
        <f t="shared" si="40"/>
        <v>-1.351247527798638E-2</v>
      </c>
      <c r="M159" s="10"/>
      <c r="N159" s="56">
        <v>500612</v>
      </c>
      <c r="O159" s="56">
        <v>59822</v>
      </c>
      <c r="P159" s="56">
        <v>188948</v>
      </c>
      <c r="R159" s="56">
        <f t="shared" si="41"/>
        <v>188948</v>
      </c>
      <c r="S159" s="56">
        <f t="shared" si="42"/>
        <v>0</v>
      </c>
      <c r="U159" s="16">
        <v>-2.5092683827178885E-2</v>
      </c>
      <c r="V159" s="16">
        <v>-3.9758283369705105E-2</v>
      </c>
      <c r="W159" s="56">
        <f t="shared" si="43"/>
        <v>4</v>
      </c>
      <c r="X159" s="56">
        <f t="shared" si="44"/>
        <v>5134.9701832708051</v>
      </c>
      <c r="Y159" s="56">
        <f t="shared" si="44"/>
        <v>622.98897208849576</v>
      </c>
      <c r="AA159" s="56">
        <f t="shared" si="56"/>
        <v>0</v>
      </c>
      <c r="AB159" s="56">
        <v>0</v>
      </c>
      <c r="AC159" s="56">
        <f t="shared" si="45"/>
        <v>0</v>
      </c>
      <c r="AE159" s="56">
        <v>0</v>
      </c>
      <c r="AF159" s="56">
        <f t="shared" si="46"/>
        <v>0</v>
      </c>
      <c r="AG159" s="56">
        <f t="shared" si="47"/>
        <v>0</v>
      </c>
      <c r="AI159" s="56">
        <f t="shared" si="48"/>
        <v>0</v>
      </c>
      <c r="AJ159" s="56">
        <f t="shared" si="49"/>
        <v>0</v>
      </c>
      <c r="AK159" s="56">
        <f t="shared" si="50"/>
        <v>0</v>
      </c>
      <c r="AM159" s="56">
        <f t="shared" si="51"/>
        <v>500612</v>
      </c>
      <c r="AN159" s="56">
        <f t="shared" si="52"/>
        <v>59822</v>
      </c>
      <c r="AO159" s="56">
        <f t="shared" si="53"/>
        <v>188948</v>
      </c>
      <c r="AP159" s="56"/>
      <c r="AQ159" s="56">
        <f t="shared" si="54"/>
        <v>749382</v>
      </c>
      <c r="AR159" s="1"/>
      <c r="AS159" s="56">
        <v>1237.8604780961218</v>
      </c>
      <c r="AT159" s="56">
        <v>147.92152309706159</v>
      </c>
      <c r="AU159" s="56">
        <v>467.21065738597167</v>
      </c>
      <c r="AV159" s="56"/>
      <c r="AW159" s="56">
        <v>1852.9926585791552</v>
      </c>
      <c r="AX159" s="1"/>
      <c r="AY159" s="16">
        <v>-2.5092683827178885E-2</v>
      </c>
      <c r="AZ159" s="16">
        <v>-3.9758283369705105E-2</v>
      </c>
      <c r="BA159" s="16">
        <v>2.7724700733875229E-2</v>
      </c>
      <c r="BB159" s="16">
        <f t="shared" si="55"/>
        <v>-1.3512475277986491E-2</v>
      </c>
      <c r="BC159" s="16"/>
      <c r="BD159" s="1"/>
      <c r="BE159" s="16">
        <f>AM159/'2019-20 disagg'!AM159-1</f>
        <v>3.6601123130187041E-2</v>
      </c>
      <c r="BF159" s="16">
        <f>AN159/'2019-20 disagg'!AN159-1</f>
        <v>4.4159743070585789E-2</v>
      </c>
      <c r="BG159" s="16">
        <f>AO159/'2019-20 disagg'!AO159-1</f>
        <v>5.2834520187667877E-2</v>
      </c>
      <c r="BH159" s="16">
        <f>AQ159/'2019-20 disagg'!AQ159-1</f>
        <v>4.1250864950937549E-2</v>
      </c>
      <c r="BI159" s="1"/>
      <c r="BJ159" s="16">
        <f>AS159/'2019-20 disagg'!AS159-1</f>
        <v>2.7017476636868265E-2</v>
      </c>
      <c r="BK159" s="16">
        <f>AT159/'2019-20 disagg'!AT159-1</f>
        <v>3.4506215173639498E-2</v>
      </c>
      <c r="BL159" s="16">
        <f>AU159/'2019-20 disagg'!AU159-1</f>
        <v>4.3100791724232534E-2</v>
      </c>
      <c r="BM159" s="16">
        <f>AW159/'2019-20 disagg'!AW159-1</f>
        <v>3.1624230387375718E-2</v>
      </c>
    </row>
    <row r="160" spans="1:65" x14ac:dyDescent="0.2">
      <c r="A160" s="156" t="s">
        <v>365</v>
      </c>
      <c r="B160" s="156" t="s">
        <v>366</v>
      </c>
      <c r="D160" s="56">
        <f>VLOOKUP(A160,'2020-21'!$A$12:$AMX368,32,FALSE)</f>
        <v>636826</v>
      </c>
      <c r="E160" s="56">
        <v>1902.8792350939134</v>
      </c>
      <c r="F160" s="16">
        <f>VLOOKUP(A160,'2020-21'!$A$12:$AMX368,34,FALSE)</f>
        <v>4.1537120417906248E-2</v>
      </c>
      <c r="G160" s="16">
        <f>VLOOKUP(A160,'2020-21'!$A$12:$AMX368,35,FALSE)</f>
        <v>2.8523852918109993E-2</v>
      </c>
      <c r="H160" s="56"/>
      <c r="I160" s="56">
        <v>634664.92583444575</v>
      </c>
      <c r="J160" s="56">
        <v>1896.4217990672262</v>
      </c>
      <c r="K160" s="16">
        <f t="shared" si="40"/>
        <v>3.4050631720554669E-3</v>
      </c>
      <c r="L160" s="58">
        <f t="shared" si="40"/>
        <v>3.405063172055689E-3</v>
      </c>
      <c r="M160" s="10"/>
      <c r="N160" s="56">
        <v>453601</v>
      </c>
      <c r="O160" s="56">
        <v>48840</v>
      </c>
      <c r="P160" s="56">
        <v>134385</v>
      </c>
      <c r="R160" s="56">
        <f t="shared" si="41"/>
        <v>134385</v>
      </c>
      <c r="S160" s="56">
        <f t="shared" si="42"/>
        <v>0</v>
      </c>
      <c r="U160" s="16">
        <v>1.1028489017035126E-2</v>
      </c>
      <c r="V160" s="16">
        <v>-4.8209773952937351E-2</v>
      </c>
      <c r="W160" s="56">
        <f t="shared" si="43"/>
        <v>3</v>
      </c>
      <c r="X160" s="56">
        <f t="shared" si="44"/>
        <v>4486.5303493179517</v>
      </c>
      <c r="Y160" s="56">
        <f t="shared" si="44"/>
        <v>513.13828050998529</v>
      </c>
      <c r="AA160" s="56">
        <f t="shared" si="56"/>
        <v>0</v>
      </c>
      <c r="AB160" s="56">
        <v>0</v>
      </c>
      <c r="AC160" s="56">
        <f t="shared" si="45"/>
        <v>0</v>
      </c>
      <c r="AE160" s="56">
        <v>0</v>
      </c>
      <c r="AF160" s="56">
        <f t="shared" si="46"/>
        <v>0</v>
      </c>
      <c r="AG160" s="56">
        <f t="shared" si="47"/>
        <v>0</v>
      </c>
      <c r="AI160" s="56">
        <f t="shared" si="48"/>
        <v>0</v>
      </c>
      <c r="AJ160" s="56">
        <f t="shared" si="49"/>
        <v>0</v>
      </c>
      <c r="AK160" s="56">
        <f t="shared" si="50"/>
        <v>0</v>
      </c>
      <c r="AM160" s="56">
        <f t="shared" si="51"/>
        <v>453601</v>
      </c>
      <c r="AN160" s="56">
        <f t="shared" si="52"/>
        <v>48840</v>
      </c>
      <c r="AO160" s="56">
        <f t="shared" si="53"/>
        <v>134385</v>
      </c>
      <c r="AP160" s="56"/>
      <c r="AQ160" s="56">
        <f t="shared" si="54"/>
        <v>636826</v>
      </c>
      <c r="AR160" s="1"/>
      <c r="AS160" s="56">
        <v>1355.3905209866341</v>
      </c>
      <c r="AT160" s="56">
        <v>145.93722907354086</v>
      </c>
      <c r="AU160" s="56">
        <v>401.55148503373852</v>
      </c>
      <c r="AV160" s="56"/>
      <c r="AW160" s="56">
        <v>1902.8792350939134</v>
      </c>
      <c r="AX160" s="1"/>
      <c r="AY160" s="16">
        <v>1.1028489017035126E-2</v>
      </c>
      <c r="AZ160" s="16">
        <v>-4.8209773952937351E-2</v>
      </c>
      <c r="BA160" s="16">
        <v>-2.3241822861009842E-3</v>
      </c>
      <c r="BB160" s="16">
        <f t="shared" si="55"/>
        <v>3.4050631720554669E-3</v>
      </c>
      <c r="BC160" s="16"/>
      <c r="BD160" s="1"/>
      <c r="BE160" s="16">
        <f>AM160/'2019-20 disagg'!AM160-1</f>
        <v>3.660088897014302E-2</v>
      </c>
      <c r="BF160" s="16">
        <f>AN160/'2019-20 disagg'!AN160-1</f>
        <v>4.7596576650007494E-2</v>
      </c>
      <c r="BG160" s="16">
        <f>AO160/'2019-20 disagg'!AO160-1</f>
        <v>5.629485234588083E-2</v>
      </c>
      <c r="BH160" s="16">
        <f>AQ160/'2019-20 disagg'!AQ160-1</f>
        <v>4.1537120417906248E-2</v>
      </c>
      <c r="BI160" s="1"/>
      <c r="BJ160" s="16">
        <f>AS160/'2019-20 disagg'!AS160-1</f>
        <v>2.364929618074485E-2</v>
      </c>
      <c r="BK160" s="16">
        <f>AT160/'2019-20 disagg'!AT160-1</f>
        <v>3.4507600542898365E-2</v>
      </c>
      <c r="BL160" s="16">
        <f>AU160/'2019-20 disagg'!AU160-1</f>
        <v>4.3097197454119218E-2</v>
      </c>
      <c r="BM160" s="16">
        <f>AW160/'2019-20 disagg'!AW160-1</f>
        <v>2.8523852918109993E-2</v>
      </c>
    </row>
    <row r="161" spans="1:65" x14ac:dyDescent="0.2">
      <c r="A161" s="156" t="s">
        <v>367</v>
      </c>
      <c r="B161" s="156" t="s">
        <v>368</v>
      </c>
      <c r="D161" s="56">
        <f>VLOOKUP(A161,'2020-21'!$A$12:$AMX369,32,FALSE)</f>
        <v>365787</v>
      </c>
      <c r="E161" s="56">
        <v>1557.1520413038152</v>
      </c>
      <c r="F161" s="16">
        <f>VLOOKUP(A161,'2020-21'!$A$12:$AMX369,34,FALSE)</f>
        <v>4.0933059763291757E-2</v>
      </c>
      <c r="G161" s="16">
        <f>VLOOKUP(A161,'2020-21'!$A$12:$AMX369,35,FALSE)</f>
        <v>2.8922960818869692E-2</v>
      </c>
      <c r="H161" s="56"/>
      <c r="I161" s="56">
        <v>369475.43903364899</v>
      </c>
      <c r="J161" s="56">
        <v>1572.8536938241921</v>
      </c>
      <c r="K161" s="16">
        <f t="shared" si="40"/>
        <v>-9.9829072354470361E-3</v>
      </c>
      <c r="L161" s="58">
        <f t="shared" si="40"/>
        <v>-9.982907235446925E-3</v>
      </c>
      <c r="M161" s="10"/>
      <c r="N161" s="56">
        <v>265179</v>
      </c>
      <c r="O161" s="56">
        <v>31638</v>
      </c>
      <c r="P161" s="56">
        <v>68970</v>
      </c>
      <c r="R161" s="56">
        <f t="shared" si="41"/>
        <v>68970</v>
      </c>
      <c r="S161" s="56">
        <f t="shared" si="42"/>
        <v>0</v>
      </c>
      <c r="U161" s="16">
        <v>-1.264528999473935E-2</v>
      </c>
      <c r="V161" s="16">
        <v>3.8459925514980453E-2</v>
      </c>
      <c r="W161" s="56">
        <f t="shared" si="43"/>
        <v>1</v>
      </c>
      <c r="X161" s="56">
        <f t="shared" si="44"/>
        <v>2685.7521143398112</v>
      </c>
      <c r="Y161" s="56">
        <f t="shared" si="44"/>
        <v>304.66269542669608</v>
      </c>
      <c r="AA161" s="56">
        <f t="shared" si="56"/>
        <v>0</v>
      </c>
      <c r="AB161" s="56">
        <v>0</v>
      </c>
      <c r="AC161" s="56">
        <f t="shared" si="45"/>
        <v>0</v>
      </c>
      <c r="AE161" s="56">
        <v>0</v>
      </c>
      <c r="AF161" s="56">
        <f t="shared" si="46"/>
        <v>0</v>
      </c>
      <c r="AG161" s="56">
        <f t="shared" si="47"/>
        <v>0</v>
      </c>
      <c r="AI161" s="56">
        <f t="shared" si="48"/>
        <v>0</v>
      </c>
      <c r="AJ161" s="56">
        <f t="shared" si="49"/>
        <v>0</v>
      </c>
      <c r="AK161" s="56">
        <f t="shared" si="50"/>
        <v>0</v>
      </c>
      <c r="AM161" s="56">
        <f t="shared" si="51"/>
        <v>265179</v>
      </c>
      <c r="AN161" s="56">
        <f t="shared" si="52"/>
        <v>31638</v>
      </c>
      <c r="AO161" s="56">
        <f t="shared" si="53"/>
        <v>68970</v>
      </c>
      <c r="AP161" s="56"/>
      <c r="AQ161" s="56">
        <f t="shared" si="54"/>
        <v>365787</v>
      </c>
      <c r="AR161" s="1"/>
      <c r="AS161" s="56">
        <v>1128.8646703160703</v>
      </c>
      <c r="AT161" s="56">
        <v>134.68268769193574</v>
      </c>
      <c r="AU161" s="56">
        <v>293.60468329580908</v>
      </c>
      <c r="AV161" s="56"/>
      <c r="AW161" s="56">
        <v>1557.1520413038152</v>
      </c>
      <c r="AX161" s="1"/>
      <c r="AY161" s="16">
        <v>-1.264528999473935E-2</v>
      </c>
      <c r="AZ161" s="16">
        <v>3.8459925514980453E-2</v>
      </c>
      <c r="BA161" s="16">
        <v>-2.0784833017811755E-2</v>
      </c>
      <c r="BB161" s="16">
        <f t="shared" si="55"/>
        <v>-9.9829072354470361E-3</v>
      </c>
      <c r="BC161" s="16"/>
      <c r="BD161" s="1"/>
      <c r="BE161" s="16">
        <f>AM161/'2019-20 disagg'!AM161-1</f>
        <v>3.6600525377615156E-2</v>
      </c>
      <c r="BF161" s="16">
        <f>AN161/'2019-20 disagg'!AN161-1</f>
        <v>4.6576248759510497E-2</v>
      </c>
      <c r="BG161" s="16">
        <f>AO161/'2019-20 disagg'!AO161-1</f>
        <v>5.5280995149716183E-2</v>
      </c>
      <c r="BH161" s="16">
        <f>AQ161/'2019-20 disagg'!AQ161-1</f>
        <v>4.0933059763291757E-2</v>
      </c>
      <c r="BI161" s="1"/>
      <c r="BJ161" s="16">
        <f>AS161/'2019-20 disagg'!AS161-1</f>
        <v>2.464041443786269E-2</v>
      </c>
      <c r="BK161" s="16">
        <f>AT161/'2019-20 disagg'!AT161-1</f>
        <v>3.4501039712597992E-2</v>
      </c>
      <c r="BL161" s="16">
        <f>AU161/'2019-20 disagg'!AU161-1</f>
        <v>4.310535230021495E-2</v>
      </c>
      <c r="BM161" s="16">
        <f>AW161/'2019-20 disagg'!AW161-1</f>
        <v>2.8922960818869692E-2</v>
      </c>
    </row>
    <row r="162" spans="1:65" x14ac:dyDescent="0.2">
      <c r="A162" s="156" t="s">
        <v>369</v>
      </c>
      <c r="B162" s="156" t="s">
        <v>370</v>
      </c>
      <c r="D162" s="56">
        <f>VLOOKUP(A162,'2020-21'!$A$12:$AMX370,32,FALSE)</f>
        <v>643214</v>
      </c>
      <c r="E162" s="56">
        <v>1610.3498145307283</v>
      </c>
      <c r="F162" s="16">
        <f>VLOOKUP(A162,'2020-21'!$A$12:$AMX370,34,FALSE)</f>
        <v>4.1116067671071566E-2</v>
      </c>
      <c r="G162" s="16">
        <f>VLOOKUP(A162,'2020-21'!$A$12:$AMX370,35,FALSE)</f>
        <v>2.7968135785721326E-2</v>
      </c>
      <c r="H162" s="56"/>
      <c r="I162" s="56">
        <v>633456.44738581812</v>
      </c>
      <c r="J162" s="56">
        <v>1585.920817272395</v>
      </c>
      <c r="K162" s="16">
        <f t="shared" si="40"/>
        <v>1.5403667694045664E-2</v>
      </c>
      <c r="L162" s="58">
        <f t="shared" si="40"/>
        <v>1.5403667694045664E-2</v>
      </c>
      <c r="M162" s="10"/>
      <c r="N162" s="56">
        <v>469627</v>
      </c>
      <c r="O162" s="56">
        <v>57707</v>
      </c>
      <c r="P162" s="56">
        <v>115880</v>
      </c>
      <c r="R162" s="56">
        <f t="shared" si="41"/>
        <v>115880</v>
      </c>
      <c r="S162" s="56">
        <f t="shared" si="42"/>
        <v>0</v>
      </c>
      <c r="U162" s="16">
        <v>3.0511257094143707E-2</v>
      </c>
      <c r="V162" s="16">
        <v>-4.0657290169946458E-2</v>
      </c>
      <c r="W162" s="56">
        <f t="shared" si="43"/>
        <v>3</v>
      </c>
      <c r="X162" s="56">
        <f t="shared" si="44"/>
        <v>4557.2233856451376</v>
      </c>
      <c r="Y162" s="56">
        <f t="shared" si="44"/>
        <v>601.52643480475012</v>
      </c>
      <c r="AA162" s="56">
        <f t="shared" si="56"/>
        <v>0</v>
      </c>
      <c r="AB162" s="56">
        <v>0</v>
      </c>
      <c r="AC162" s="56">
        <f t="shared" si="45"/>
        <v>0</v>
      </c>
      <c r="AE162" s="56">
        <v>0</v>
      </c>
      <c r="AF162" s="56">
        <f t="shared" si="46"/>
        <v>0</v>
      </c>
      <c r="AG162" s="56">
        <f t="shared" si="47"/>
        <v>0</v>
      </c>
      <c r="AI162" s="56">
        <f t="shared" si="48"/>
        <v>0</v>
      </c>
      <c r="AJ162" s="56">
        <f t="shared" si="49"/>
        <v>0</v>
      </c>
      <c r="AK162" s="56">
        <f t="shared" si="50"/>
        <v>0</v>
      </c>
      <c r="AM162" s="56">
        <f t="shared" si="51"/>
        <v>469627</v>
      </c>
      <c r="AN162" s="56">
        <f t="shared" si="52"/>
        <v>57707</v>
      </c>
      <c r="AO162" s="56">
        <f t="shared" si="53"/>
        <v>115880</v>
      </c>
      <c r="AP162" s="56"/>
      <c r="AQ162" s="56">
        <f t="shared" si="54"/>
        <v>643214</v>
      </c>
      <c r="AR162" s="1"/>
      <c r="AS162" s="56">
        <v>1175.7576053205034</v>
      </c>
      <c r="AT162" s="56">
        <v>144.47517738594735</v>
      </c>
      <c r="AU162" s="56">
        <v>290.11703182427743</v>
      </c>
      <c r="AV162" s="56"/>
      <c r="AW162" s="56">
        <v>1610.3498145307283</v>
      </c>
      <c r="AX162" s="1"/>
      <c r="AY162" s="16">
        <v>3.0511257094143707E-2</v>
      </c>
      <c r="AZ162" s="16">
        <v>-4.0657290169946458E-2</v>
      </c>
      <c r="BA162" s="16">
        <v>-1.4470523359251031E-2</v>
      </c>
      <c r="BB162" s="16">
        <f t="shared" si="55"/>
        <v>1.5403667694045664E-2</v>
      </c>
      <c r="BC162" s="16"/>
      <c r="BD162" s="1"/>
      <c r="BE162" s="16">
        <f>AM162/'2019-20 disagg'!AM162-1</f>
        <v>3.6601220629297382E-2</v>
      </c>
      <c r="BF162" s="16">
        <f>AN162/'2019-20 disagg'!AN162-1</f>
        <v>4.7732306910200029E-2</v>
      </c>
      <c r="BG162" s="16">
        <f>AO162/'2019-20 disagg'!AO162-1</f>
        <v>5.644139339405041E-2</v>
      </c>
      <c r="BH162" s="16">
        <f>AQ162/'2019-20 disagg'!AQ162-1</f>
        <v>4.1116067671071566E-2</v>
      </c>
      <c r="BI162" s="1"/>
      <c r="BJ162" s="16">
        <f>AS162/'2019-20 disagg'!AS162-1</f>
        <v>2.3510305346822857E-2</v>
      </c>
      <c r="BK162" s="16">
        <f>AT162/'2019-20 disagg'!AT162-1</f>
        <v>3.4500820591723436E-2</v>
      </c>
      <c r="BL162" s="16">
        <f>AU162/'2019-20 disagg'!AU162-1</f>
        <v>4.3099922723752737E-2</v>
      </c>
      <c r="BM162" s="16">
        <f>AW162/'2019-20 disagg'!AW162-1</f>
        <v>2.7968135785721326E-2</v>
      </c>
    </row>
    <row r="163" spans="1:65" x14ac:dyDescent="0.2">
      <c r="A163" s="156" t="s">
        <v>371</v>
      </c>
      <c r="B163" s="156" t="s">
        <v>372</v>
      </c>
      <c r="D163" s="56">
        <f>VLOOKUP(A163,'2020-21'!$A$12:$AMX371,32,FALSE)</f>
        <v>520393.41758138593</v>
      </c>
      <c r="E163" s="56">
        <v>1587.665363859998</v>
      </c>
      <c r="F163" s="16">
        <f>VLOOKUP(A163,'2020-21'!$A$12:$AMX371,34,FALSE)</f>
        <v>5.301656960213097E-2</v>
      </c>
      <c r="G163" s="16">
        <f>VLOOKUP(A163,'2020-21'!$A$12:$AMX371,35,FALSE)</f>
        <v>3.6137950459120605E-2</v>
      </c>
      <c r="H163" s="56"/>
      <c r="I163" s="56">
        <v>531050.66493853845</v>
      </c>
      <c r="J163" s="56">
        <v>1620.1795001488056</v>
      </c>
      <c r="K163" s="16">
        <f t="shared" si="40"/>
        <v>-2.0068230887887006E-2</v>
      </c>
      <c r="L163" s="58">
        <f t="shared" si="40"/>
        <v>-2.0068230887887006E-2</v>
      </c>
      <c r="M163" s="10"/>
      <c r="N163" s="56">
        <v>381589</v>
      </c>
      <c r="O163" s="56">
        <v>42217</v>
      </c>
      <c r="P163" s="56">
        <v>91085</v>
      </c>
      <c r="R163" s="56">
        <f t="shared" si="41"/>
        <v>91085</v>
      </c>
      <c r="S163" s="56">
        <f t="shared" si="42"/>
        <v>5502.4175813859329</v>
      </c>
      <c r="U163" s="16">
        <v>-2.4542659352219443E-2</v>
      </c>
      <c r="V163" s="16">
        <v>-4.4207987633960832E-2</v>
      </c>
      <c r="W163" s="56">
        <f t="shared" si="43"/>
        <v>4</v>
      </c>
      <c r="X163" s="56">
        <f t="shared" si="44"/>
        <v>3911.8983895963593</v>
      </c>
      <c r="Y163" s="56">
        <f t="shared" si="44"/>
        <v>441.69651403021118</v>
      </c>
      <c r="AA163" s="56">
        <f t="shared" si="56"/>
        <v>0</v>
      </c>
      <c r="AB163" s="56">
        <v>0</v>
      </c>
      <c r="AC163" s="56">
        <f t="shared" si="45"/>
        <v>5502.4175813859329</v>
      </c>
      <c r="AE163" s="56">
        <v>0</v>
      </c>
      <c r="AF163" s="56">
        <f t="shared" si="46"/>
        <v>0</v>
      </c>
      <c r="AG163" s="56">
        <f t="shared" si="47"/>
        <v>5502.4175813859329</v>
      </c>
      <c r="AI163" s="56">
        <f t="shared" si="48"/>
        <v>4944.1665915172671</v>
      </c>
      <c r="AJ163" s="56">
        <f t="shared" si="49"/>
        <v>558.25098986866601</v>
      </c>
      <c r="AK163" s="56">
        <f t="shared" si="50"/>
        <v>0</v>
      </c>
      <c r="AM163" s="56">
        <f t="shared" si="51"/>
        <v>386533</v>
      </c>
      <c r="AN163" s="56">
        <f t="shared" si="52"/>
        <v>42775</v>
      </c>
      <c r="AO163" s="56">
        <f t="shared" si="53"/>
        <v>91085</v>
      </c>
      <c r="AP163" s="56"/>
      <c r="AQ163" s="56">
        <f t="shared" si="54"/>
        <v>520393</v>
      </c>
      <c r="AR163" s="1"/>
      <c r="AS163" s="56">
        <v>1179.2713653856326</v>
      </c>
      <c r="AT163" s="56">
        <v>130.50200798992694</v>
      </c>
      <c r="AU163" s="56">
        <v>277.89071648772637</v>
      </c>
      <c r="AV163" s="56"/>
      <c r="AW163" s="56">
        <v>1587.6640898632859</v>
      </c>
      <c r="AX163" s="1"/>
      <c r="AY163" s="16">
        <v>-1.190429427313533E-2</v>
      </c>
      <c r="AZ163" s="16">
        <v>-3.1574879101846975E-2</v>
      </c>
      <c r="BA163" s="16">
        <v>-4.8135834848894832E-2</v>
      </c>
      <c r="BB163" s="16">
        <f t="shared" si="55"/>
        <v>-2.0069017218483198E-2</v>
      </c>
      <c r="BC163" s="16"/>
      <c r="BD163" s="1"/>
      <c r="BE163" s="16">
        <f>AM163/'2019-20 disagg'!AM163-1</f>
        <v>5.0030425192058914E-2</v>
      </c>
      <c r="BF163" s="16">
        <f>AN163/'2019-20 disagg'!AN163-1</f>
        <v>6.5247167226995417E-2</v>
      </c>
      <c r="BG163" s="16">
        <f>AO163/'2019-20 disagg'!AO163-1</f>
        <v>6.0089383394241302E-2</v>
      </c>
      <c r="BH163" s="16">
        <f>AQ163/'2019-20 disagg'!AQ163-1</f>
        <v>5.3015724625804062E-2</v>
      </c>
      <c r="BI163" s="1"/>
      <c r="BJ163" s="16">
        <f>AS163/'2019-20 disagg'!AS163-1</f>
        <v>3.3199670437566997E-2</v>
      </c>
      <c r="BK163" s="16">
        <f>AT163/'2019-20 disagg'!AT163-1</f>
        <v>4.8172505965407897E-2</v>
      </c>
      <c r="BL163" s="16">
        <f>AU163/'2019-20 disagg'!AU163-1</f>
        <v>4.3097395351146428E-2</v>
      </c>
      <c r="BM163" s="16">
        <f>AW163/'2019-20 disagg'!AW163-1</f>
        <v>3.6137119026771858E-2</v>
      </c>
    </row>
    <row r="164" spans="1:65" x14ac:dyDescent="0.2">
      <c r="A164" s="156" t="s">
        <v>373</v>
      </c>
      <c r="B164" s="156" t="s">
        <v>374</v>
      </c>
      <c r="D164" s="56">
        <f>VLOOKUP(A164,'2020-21'!$A$12:$AMX372,32,FALSE)</f>
        <v>340206</v>
      </c>
      <c r="E164" s="56">
        <v>1525.2326910321788</v>
      </c>
      <c r="F164" s="16">
        <f>VLOOKUP(A164,'2020-21'!$A$12:$AMX372,34,FALSE)</f>
        <v>4.0655827967514435E-2</v>
      </c>
      <c r="G164" s="16">
        <f>VLOOKUP(A164,'2020-21'!$A$12:$AMX372,35,FALSE)</f>
        <v>2.8749685232180688E-2</v>
      </c>
      <c r="H164" s="56"/>
      <c r="I164" s="56">
        <v>336121.02401841839</v>
      </c>
      <c r="J164" s="56">
        <v>1506.9186727338843</v>
      </c>
      <c r="K164" s="16">
        <f t="shared" ref="K164:L220" si="57">D164/I164-1</f>
        <v>1.2153289112191157E-2</v>
      </c>
      <c r="L164" s="58">
        <f t="shared" si="57"/>
        <v>1.2153289112191379E-2</v>
      </c>
      <c r="M164" s="10"/>
      <c r="N164" s="56">
        <v>251988</v>
      </c>
      <c r="O164" s="56">
        <v>27747</v>
      </c>
      <c r="P164" s="56">
        <v>60471</v>
      </c>
      <c r="R164" s="56">
        <f t="shared" si="41"/>
        <v>60471</v>
      </c>
      <c r="S164" s="56">
        <f t="shared" si="42"/>
        <v>0</v>
      </c>
      <c r="U164" s="16">
        <v>1.7941106506665028E-2</v>
      </c>
      <c r="V164" s="16">
        <v>-4.8127899583689793E-2</v>
      </c>
      <c r="W164" s="56">
        <f t="shared" si="43"/>
        <v>3</v>
      </c>
      <c r="X164" s="56">
        <f t="shared" si="44"/>
        <v>2475.4673761507056</v>
      </c>
      <c r="Y164" s="56">
        <f t="shared" si="44"/>
        <v>291.49924646246683</v>
      </c>
      <c r="AA164" s="56">
        <f t="shared" si="56"/>
        <v>0</v>
      </c>
      <c r="AB164" s="56">
        <v>0</v>
      </c>
      <c r="AC164" s="56">
        <f t="shared" si="45"/>
        <v>0</v>
      </c>
      <c r="AE164" s="56">
        <v>0</v>
      </c>
      <c r="AF164" s="56">
        <f t="shared" si="46"/>
        <v>0</v>
      </c>
      <c r="AG164" s="56">
        <f t="shared" si="47"/>
        <v>0</v>
      </c>
      <c r="AI164" s="56">
        <f t="shared" si="48"/>
        <v>0</v>
      </c>
      <c r="AJ164" s="56">
        <f t="shared" si="49"/>
        <v>0</v>
      </c>
      <c r="AK164" s="56">
        <f t="shared" si="50"/>
        <v>0</v>
      </c>
      <c r="AM164" s="56">
        <f t="shared" si="51"/>
        <v>251988</v>
      </c>
      <c r="AN164" s="56">
        <f t="shared" si="52"/>
        <v>27747</v>
      </c>
      <c r="AO164" s="56">
        <f t="shared" si="53"/>
        <v>60471</v>
      </c>
      <c r="AP164" s="56"/>
      <c r="AQ164" s="56">
        <f t="shared" si="54"/>
        <v>340206</v>
      </c>
      <c r="AR164" s="1"/>
      <c r="AS164" s="56">
        <v>1129.7282686014257</v>
      </c>
      <c r="AT164" s="56">
        <v>124.39707553091323</v>
      </c>
      <c r="AU164" s="56">
        <v>271.10734689983974</v>
      </c>
      <c r="AV164" s="56"/>
      <c r="AW164" s="56">
        <v>1525.2326910321788</v>
      </c>
      <c r="AX164" s="1"/>
      <c r="AY164" s="16">
        <v>1.7941106506665028E-2</v>
      </c>
      <c r="AZ164" s="16">
        <v>-4.8127899583689793E-2</v>
      </c>
      <c r="BA164" s="16">
        <v>1.7612948830262543E-2</v>
      </c>
      <c r="BB164" s="16">
        <f t="shared" si="55"/>
        <v>1.2153289112191157E-2</v>
      </c>
      <c r="BC164" s="16"/>
      <c r="BD164" s="1"/>
      <c r="BE164" s="16">
        <f>AM164/'2019-20 disagg'!AM164-1</f>
        <v>3.6599462752631817E-2</v>
      </c>
      <c r="BF164" s="16">
        <f>AN164/'2019-20 disagg'!AN164-1</f>
        <v>4.6464265510088643E-2</v>
      </c>
      <c r="BG164" s="16">
        <f>AO164/'2019-20 disagg'!AO164-1</f>
        <v>5.5174579908914723E-2</v>
      </c>
      <c r="BH164" s="16">
        <f>AQ164/'2019-20 disagg'!AQ164-1</f>
        <v>4.0655827967514435E-2</v>
      </c>
      <c r="BI164" s="1"/>
      <c r="BJ164" s="16">
        <f>AS164/'2019-20 disagg'!AS164-1</f>
        <v>2.4739728889412005E-2</v>
      </c>
      <c r="BK164" s="16">
        <f>AT164/'2019-20 disagg'!AT164-1</f>
        <v>3.449166844413698E-2</v>
      </c>
      <c r="BL164" s="16">
        <f>AU164/'2019-20 disagg'!AU164-1</f>
        <v>4.3102328140885104E-2</v>
      </c>
      <c r="BM164" s="16">
        <f>AW164/'2019-20 disagg'!AW164-1</f>
        <v>2.8749685232180688E-2</v>
      </c>
    </row>
    <row r="165" spans="1:65" x14ac:dyDescent="0.2">
      <c r="A165" s="156" t="s">
        <v>375</v>
      </c>
      <c r="B165" s="156" t="s">
        <v>376</v>
      </c>
      <c r="D165" s="56">
        <f>VLOOKUP(A165,'2020-21'!$A$12:$AMX373,32,FALSE)</f>
        <v>628776</v>
      </c>
      <c r="E165" s="56">
        <v>1890.1001389952912</v>
      </c>
      <c r="F165" s="16">
        <f>VLOOKUP(A165,'2020-21'!$A$12:$AMX373,34,FALSE)</f>
        <v>4.1361240936598431E-2</v>
      </c>
      <c r="G165" s="16">
        <f>VLOOKUP(A165,'2020-21'!$A$12:$AMX373,35,FALSE)</f>
        <v>2.9776115564261296E-2</v>
      </c>
      <c r="H165" s="56"/>
      <c r="I165" s="56">
        <v>623427.45217246423</v>
      </c>
      <c r="J165" s="56">
        <v>1874.0224086235082</v>
      </c>
      <c r="K165" s="16">
        <f t="shared" si="57"/>
        <v>8.5792626052920706E-3</v>
      </c>
      <c r="L165" s="58">
        <f t="shared" si="57"/>
        <v>8.5792626052920706E-3</v>
      </c>
      <c r="M165" s="10"/>
      <c r="N165" s="56">
        <v>439530</v>
      </c>
      <c r="O165" s="56">
        <v>48613</v>
      </c>
      <c r="P165" s="56">
        <v>140633</v>
      </c>
      <c r="R165" s="56">
        <f t="shared" si="41"/>
        <v>140633</v>
      </c>
      <c r="S165" s="56">
        <f t="shared" si="42"/>
        <v>0</v>
      </c>
      <c r="U165" s="16">
        <v>1.4819733541545199E-2</v>
      </c>
      <c r="V165" s="16">
        <v>-4.8019826059787829E-2</v>
      </c>
      <c r="W165" s="56">
        <f t="shared" si="43"/>
        <v>3</v>
      </c>
      <c r="X165" s="56">
        <f t="shared" si="44"/>
        <v>4331.1140439309002</v>
      </c>
      <c r="Y165" s="56">
        <f t="shared" si="44"/>
        <v>510.65139097164717</v>
      </c>
      <c r="AA165" s="56">
        <f t="shared" si="56"/>
        <v>0</v>
      </c>
      <c r="AB165" s="56">
        <v>0</v>
      </c>
      <c r="AC165" s="56">
        <f t="shared" si="45"/>
        <v>0</v>
      </c>
      <c r="AE165" s="56">
        <v>0</v>
      </c>
      <c r="AF165" s="56">
        <f t="shared" si="46"/>
        <v>0</v>
      </c>
      <c r="AG165" s="56">
        <f t="shared" si="47"/>
        <v>0</v>
      </c>
      <c r="AI165" s="56">
        <f t="shared" si="48"/>
        <v>0</v>
      </c>
      <c r="AJ165" s="56">
        <f t="shared" si="49"/>
        <v>0</v>
      </c>
      <c r="AK165" s="56">
        <f t="shared" si="50"/>
        <v>0</v>
      </c>
      <c r="AM165" s="56">
        <f t="shared" si="51"/>
        <v>439530</v>
      </c>
      <c r="AN165" s="56">
        <f t="shared" si="52"/>
        <v>48613</v>
      </c>
      <c r="AO165" s="56">
        <f t="shared" si="53"/>
        <v>140633</v>
      </c>
      <c r="AP165" s="56"/>
      <c r="AQ165" s="56">
        <f t="shared" si="54"/>
        <v>628776</v>
      </c>
      <c r="AR165" s="1"/>
      <c r="AS165" s="56">
        <v>1321.2268186009014</v>
      </c>
      <c r="AT165" s="56">
        <v>146.13063802845224</v>
      </c>
      <c r="AU165" s="56">
        <v>422.74268236593764</v>
      </c>
      <c r="AV165" s="56"/>
      <c r="AW165" s="56">
        <v>1890.1001389952912</v>
      </c>
      <c r="AX165" s="1"/>
      <c r="AY165" s="16">
        <v>1.4819733541545199E-2</v>
      </c>
      <c r="AZ165" s="16">
        <v>-4.8019826059787829E-2</v>
      </c>
      <c r="BA165" s="16">
        <v>9.9251870660650443E-3</v>
      </c>
      <c r="BB165" s="16">
        <f t="shared" si="55"/>
        <v>8.5792626052920706E-3</v>
      </c>
      <c r="BC165" s="16"/>
      <c r="BD165" s="1"/>
      <c r="BE165" s="16">
        <f>AM165/'2019-20 disagg'!AM165-1</f>
        <v>3.6600465553959793E-2</v>
      </c>
      <c r="BF165" s="16">
        <f>AN165/'2019-20 disagg'!AN165-1</f>
        <v>4.6138285738879681E-2</v>
      </c>
      <c r="BG165" s="16">
        <f>AO165/'2019-20 disagg'!AO165-1</f>
        <v>5.4837161158698411E-2</v>
      </c>
      <c r="BH165" s="16">
        <f>AQ165/'2019-20 disagg'!AQ165-1</f>
        <v>4.1361240936598431E-2</v>
      </c>
      <c r="BI165" s="1"/>
      <c r="BJ165" s="16">
        <f>AS165/'2019-20 disagg'!AS165-1</f>
        <v>2.5068303723484231E-2</v>
      </c>
      <c r="BK165" s="16">
        <f>AT165/'2019-20 disagg'!AT165-1</f>
        <v>3.4500015827675368E-2</v>
      </c>
      <c r="BL165" s="16">
        <f>AU165/'2019-20 disagg'!AU165-1</f>
        <v>4.3102116412427005E-2</v>
      </c>
      <c r="BM165" s="16">
        <f>AW165/'2019-20 disagg'!AW165-1</f>
        <v>2.9776115564261296E-2</v>
      </c>
    </row>
    <row r="166" spans="1:65" x14ac:dyDescent="0.2">
      <c r="A166" s="156" t="s">
        <v>377</v>
      </c>
      <c r="B166" s="156" t="s">
        <v>378</v>
      </c>
      <c r="D166" s="56">
        <f>VLOOKUP(A166,'2020-21'!$A$12:$AMX374,32,FALSE)</f>
        <v>356446.73655828979</v>
      </c>
      <c r="E166" s="56">
        <v>1749.7243714215647</v>
      </c>
      <c r="F166" s="16">
        <f>VLOOKUP(A166,'2020-21'!$A$12:$AMX374,34,FALSE)</f>
        <v>4.4400959170829202E-2</v>
      </c>
      <c r="G166" s="16">
        <f>VLOOKUP(A166,'2020-21'!$A$12:$AMX374,35,FALSE)</f>
        <v>3.0799368540961991E-2</v>
      </c>
      <c r="H166" s="56"/>
      <c r="I166" s="56">
        <v>361888.79491842957</v>
      </c>
      <c r="J166" s="56">
        <v>1776.438326598646</v>
      </c>
      <c r="K166" s="16">
        <f t="shared" si="57"/>
        <v>-1.5037929984448528E-2</v>
      </c>
      <c r="L166" s="58">
        <f t="shared" si="57"/>
        <v>-1.5037929984448528E-2</v>
      </c>
      <c r="M166" s="10"/>
      <c r="N166" s="56">
        <v>261774</v>
      </c>
      <c r="O166" s="56">
        <v>28448</v>
      </c>
      <c r="P166" s="56">
        <v>65125</v>
      </c>
      <c r="R166" s="56">
        <f t="shared" si="41"/>
        <v>65125</v>
      </c>
      <c r="S166" s="56">
        <f t="shared" si="42"/>
        <v>1099.736558289791</v>
      </c>
      <c r="U166" s="16">
        <v>-3.258131865893843E-2</v>
      </c>
      <c r="V166" s="16">
        <v>2.6388196637419981E-2</v>
      </c>
      <c r="W166" s="56">
        <f t="shared" si="43"/>
        <v>1</v>
      </c>
      <c r="X166" s="56">
        <f t="shared" si="44"/>
        <v>2705.9018504492997</v>
      </c>
      <c r="Y166" s="56">
        <f t="shared" si="44"/>
        <v>277.16608680028975</v>
      </c>
      <c r="AA166" s="56">
        <f t="shared" si="56"/>
        <v>1099.736558289791</v>
      </c>
      <c r="AB166" s="56">
        <v>0</v>
      </c>
      <c r="AC166" s="56">
        <f t="shared" si="45"/>
        <v>0</v>
      </c>
      <c r="AE166" s="56">
        <v>0</v>
      </c>
      <c r="AF166" s="56">
        <f t="shared" si="46"/>
        <v>0</v>
      </c>
      <c r="AG166" s="56">
        <f t="shared" si="47"/>
        <v>0</v>
      </c>
      <c r="AI166" s="56">
        <f t="shared" si="48"/>
        <v>0</v>
      </c>
      <c r="AJ166" s="56">
        <f t="shared" si="49"/>
        <v>0</v>
      </c>
      <c r="AK166" s="56">
        <f t="shared" si="50"/>
        <v>0</v>
      </c>
      <c r="AM166" s="56">
        <f t="shared" si="51"/>
        <v>262874</v>
      </c>
      <c r="AN166" s="56">
        <f t="shared" si="52"/>
        <v>28448</v>
      </c>
      <c r="AO166" s="56">
        <f t="shared" si="53"/>
        <v>65125</v>
      </c>
      <c r="AP166" s="56"/>
      <c r="AQ166" s="56">
        <f t="shared" si="54"/>
        <v>356447</v>
      </c>
      <c r="AR166" s="1"/>
      <c r="AS166" s="56">
        <v>1290.3948815866227</v>
      </c>
      <c r="AT166" s="56">
        <v>139.64543314050167</v>
      </c>
      <c r="AU166" s="56">
        <v>319.68534987609576</v>
      </c>
      <c r="AV166" s="56"/>
      <c r="AW166" s="56">
        <v>1749.7256646032199</v>
      </c>
      <c r="AX166" s="1"/>
      <c r="AY166" s="16">
        <v>-2.8516130559756769E-2</v>
      </c>
      <c r="AZ166" s="16">
        <v>2.6388196637419981E-2</v>
      </c>
      <c r="BA166" s="16">
        <v>2.42678553295963E-2</v>
      </c>
      <c r="BB166" s="16">
        <f t="shared" si="55"/>
        <v>-1.5037202021289886E-2</v>
      </c>
      <c r="BC166" s="16"/>
      <c r="BD166" s="1"/>
      <c r="BE166" s="16">
        <f>AM166/'2019-20 disagg'!AM166-1</f>
        <v>4.0957347810763878E-2</v>
      </c>
      <c r="BF166" s="16">
        <f>AN166/'2019-20 disagg'!AN166-1</f>
        <v>4.8155926458126164E-2</v>
      </c>
      <c r="BG166" s="16">
        <f>AO166/'2019-20 disagg'!AO166-1</f>
        <v>5.6863731520098604E-2</v>
      </c>
      <c r="BH166" s="16">
        <f>AQ166/'2019-20 disagg'!AQ166-1</f>
        <v>4.4401731063924643E-2</v>
      </c>
      <c r="BI166" s="1"/>
      <c r="BJ166" s="16">
        <f>AS166/'2019-20 disagg'!AS166-1</f>
        <v>2.7400604508541093E-2</v>
      </c>
      <c r="BK166" s="16">
        <f>AT166/'2019-20 disagg'!AT166-1</f>
        <v>3.4505433605964031E-2</v>
      </c>
      <c r="BL166" s="16">
        <f>AU166/'2019-20 disagg'!AU166-1</f>
        <v>4.3099833946600885E-2</v>
      </c>
      <c r="BM166" s="16">
        <f>AW166/'2019-20 disagg'!AW166-1</f>
        <v>3.0800130381429813E-2</v>
      </c>
    </row>
    <row r="167" spans="1:65" x14ac:dyDescent="0.2">
      <c r="A167" s="156" t="s">
        <v>379</v>
      </c>
      <c r="B167" s="156" t="s">
        <v>380</v>
      </c>
      <c r="D167" s="56">
        <f>VLOOKUP(A167,'2020-21'!$A$12:$AMX375,32,FALSE)</f>
        <v>606410</v>
      </c>
      <c r="E167" s="56">
        <v>1867.0829958535689</v>
      </c>
      <c r="F167" s="16">
        <f>VLOOKUP(A167,'2020-21'!$A$12:$AMX375,34,FALSE)</f>
        <v>4.3849924948703434E-2</v>
      </c>
      <c r="G167" s="16">
        <f>VLOOKUP(A167,'2020-21'!$A$12:$AMX375,35,FALSE)</f>
        <v>2.6636600617547801E-2</v>
      </c>
      <c r="H167" s="56"/>
      <c r="I167" s="56">
        <v>567771.95960605796</v>
      </c>
      <c r="J167" s="56">
        <v>1748.11987154389</v>
      </c>
      <c r="K167" s="16">
        <f t="shared" si="57"/>
        <v>6.8052040507161626E-2</v>
      </c>
      <c r="L167" s="58">
        <f t="shared" si="57"/>
        <v>6.8052040507161626E-2</v>
      </c>
      <c r="M167" s="10"/>
      <c r="N167" s="56">
        <v>402340</v>
      </c>
      <c r="O167" s="56">
        <v>49826</v>
      </c>
      <c r="P167" s="56">
        <v>154244</v>
      </c>
      <c r="R167" s="56">
        <f t="shared" si="41"/>
        <v>154244</v>
      </c>
      <c r="S167" s="56">
        <f t="shared" si="42"/>
        <v>0</v>
      </c>
      <c r="U167" s="16">
        <v>3.0516904138889522E-2</v>
      </c>
      <c r="V167" s="16">
        <v>-4.2494226558937753E-2</v>
      </c>
      <c r="W167" s="56">
        <f t="shared" si="43"/>
        <v>3</v>
      </c>
      <c r="X167" s="56">
        <f t="shared" si="44"/>
        <v>3904.254247398294</v>
      </c>
      <c r="Y167" s="56">
        <f t="shared" si="44"/>
        <v>520.37284141834959</v>
      </c>
      <c r="AA167" s="56">
        <f t="shared" si="56"/>
        <v>0</v>
      </c>
      <c r="AB167" s="56">
        <v>0</v>
      </c>
      <c r="AC167" s="56">
        <f t="shared" si="45"/>
        <v>0</v>
      </c>
      <c r="AE167" s="56">
        <v>0</v>
      </c>
      <c r="AF167" s="56">
        <f t="shared" si="46"/>
        <v>0</v>
      </c>
      <c r="AG167" s="56">
        <f t="shared" si="47"/>
        <v>0</v>
      </c>
      <c r="AI167" s="56">
        <f t="shared" si="48"/>
        <v>0</v>
      </c>
      <c r="AJ167" s="56">
        <f t="shared" si="49"/>
        <v>0</v>
      </c>
      <c r="AK167" s="56">
        <f t="shared" si="50"/>
        <v>0</v>
      </c>
      <c r="AM167" s="56">
        <f t="shared" si="51"/>
        <v>402340</v>
      </c>
      <c r="AN167" s="56">
        <f t="shared" si="52"/>
        <v>49826</v>
      </c>
      <c r="AO167" s="56">
        <f t="shared" si="53"/>
        <v>154244</v>
      </c>
      <c r="AP167" s="56"/>
      <c r="AQ167" s="56">
        <f t="shared" si="54"/>
        <v>606410</v>
      </c>
      <c r="AR167" s="1"/>
      <c r="AS167" s="56">
        <v>1238.7694341315691</v>
      </c>
      <c r="AT167" s="56">
        <v>153.40986684157571</v>
      </c>
      <c r="AU167" s="56">
        <v>474.90369488042393</v>
      </c>
      <c r="AV167" s="56"/>
      <c r="AW167" s="56">
        <v>1867.0829958535689</v>
      </c>
      <c r="AX167" s="1"/>
      <c r="AY167" s="16">
        <v>3.0516904138889522E-2</v>
      </c>
      <c r="AZ167" s="16">
        <v>-4.2494226558937753E-2</v>
      </c>
      <c r="BA167" s="16">
        <v>0.23090672961763814</v>
      </c>
      <c r="BB167" s="16">
        <f t="shared" si="55"/>
        <v>6.8052040507161626E-2</v>
      </c>
      <c r="BC167" s="16"/>
      <c r="BD167" s="1"/>
      <c r="BE167" s="16">
        <f>AM167/'2019-20 disagg'!AM167-1</f>
        <v>3.6600761592645803E-2</v>
      </c>
      <c r="BF167" s="16">
        <f>AN167/'2019-20 disagg'!AN167-1</f>
        <v>5.1847160650200452E-2</v>
      </c>
      <c r="BG167" s="16">
        <f>AO167/'2019-20 disagg'!AO167-1</f>
        <v>6.0591891743220216E-2</v>
      </c>
      <c r="BH167" s="16">
        <f>AQ167/'2019-20 disagg'!AQ167-1</f>
        <v>4.3849924948703434E-2</v>
      </c>
      <c r="BI167" s="1"/>
      <c r="BJ167" s="16">
        <f>AS167/'2019-20 disagg'!AS167-1</f>
        <v>1.950697762547815E-2</v>
      </c>
      <c r="BK167" s="16">
        <f>AT167/'2019-20 disagg'!AT167-1</f>
        <v>3.4501960070752347E-2</v>
      </c>
      <c r="BL167" s="16">
        <f>AU167/'2019-20 disagg'!AU167-1</f>
        <v>4.310248854527754E-2</v>
      </c>
      <c r="BM167" s="16">
        <f>AW167/'2019-20 disagg'!AW167-1</f>
        <v>2.6636600617547801E-2</v>
      </c>
    </row>
    <row r="168" spans="1:65" x14ac:dyDescent="0.2">
      <c r="A168" s="156" t="s">
        <v>381</v>
      </c>
      <c r="B168" s="156" t="s">
        <v>382</v>
      </c>
      <c r="D168" s="56">
        <f>VLOOKUP(A168,'2020-21'!$A$12:$AMX376,32,FALSE)</f>
        <v>535326.51094812306</v>
      </c>
      <c r="E168" s="56">
        <v>1693.6946307475903</v>
      </c>
      <c r="F168" s="16">
        <f>VLOOKUP(A168,'2020-21'!$A$12:$AMX376,34,FALSE)</f>
        <v>4.7540097191806074E-2</v>
      </c>
      <c r="G168" s="16">
        <f>VLOOKUP(A168,'2020-21'!$A$12:$AMX376,35,FALSE)</f>
        <v>3.5845901055865603E-2</v>
      </c>
      <c r="H168" s="56"/>
      <c r="I168" s="56">
        <v>546270.02604133647</v>
      </c>
      <c r="J168" s="56">
        <v>1728.3183087755162</v>
      </c>
      <c r="K168" s="16">
        <f t="shared" si="57"/>
        <v>-2.0033160472885503E-2</v>
      </c>
      <c r="L168" s="58">
        <f t="shared" si="57"/>
        <v>-2.0033160472885503E-2</v>
      </c>
      <c r="M168" s="10"/>
      <c r="N168" s="56">
        <v>377886</v>
      </c>
      <c r="O168" s="56">
        <v>43703</v>
      </c>
      <c r="P168" s="56">
        <v>110461</v>
      </c>
      <c r="R168" s="56">
        <f t="shared" si="41"/>
        <v>110461</v>
      </c>
      <c r="S168" s="56">
        <f t="shared" si="42"/>
        <v>3276.5109481230611</v>
      </c>
      <c r="U168" s="16">
        <v>-3.1383598806425939E-2</v>
      </c>
      <c r="V168" s="16">
        <v>-4.6986511592617464E-2</v>
      </c>
      <c r="W168" s="56">
        <f t="shared" si="43"/>
        <v>4</v>
      </c>
      <c r="X168" s="56">
        <f t="shared" si="44"/>
        <v>3901.2967314444745</v>
      </c>
      <c r="Y168" s="56">
        <f t="shared" si="44"/>
        <v>458.57693024926397</v>
      </c>
      <c r="AA168" s="56">
        <f t="shared" si="56"/>
        <v>0</v>
      </c>
      <c r="AB168" s="56">
        <v>0</v>
      </c>
      <c r="AC168" s="56">
        <f t="shared" si="45"/>
        <v>3276.5109481230611</v>
      </c>
      <c r="AE168" s="56">
        <v>0</v>
      </c>
      <c r="AF168" s="56">
        <f t="shared" si="46"/>
        <v>0</v>
      </c>
      <c r="AG168" s="56">
        <f t="shared" si="47"/>
        <v>3276.5109481230611</v>
      </c>
      <c r="AI168" s="56">
        <f t="shared" si="48"/>
        <v>2931.8834545055811</v>
      </c>
      <c r="AJ168" s="56">
        <f t="shared" si="49"/>
        <v>344.62749361748018</v>
      </c>
      <c r="AK168" s="56">
        <f t="shared" si="50"/>
        <v>0</v>
      </c>
      <c r="AM168" s="56">
        <f t="shared" si="51"/>
        <v>380818</v>
      </c>
      <c r="AN168" s="56">
        <f t="shared" si="52"/>
        <v>44048</v>
      </c>
      <c r="AO168" s="56">
        <f t="shared" si="53"/>
        <v>110461</v>
      </c>
      <c r="AP168" s="56"/>
      <c r="AQ168" s="56">
        <f t="shared" si="54"/>
        <v>535327</v>
      </c>
      <c r="AR168" s="1"/>
      <c r="AS168" s="56">
        <v>1204.8523446927513</v>
      </c>
      <c r="AT168" s="56">
        <v>139.3614169472722</v>
      </c>
      <c r="AU168" s="56">
        <v>349.48241639603697</v>
      </c>
      <c r="AV168" s="56"/>
      <c r="AW168" s="56">
        <v>1693.6961780360605</v>
      </c>
      <c r="AX168" s="1"/>
      <c r="AY168" s="16">
        <v>-2.3868148939800715E-2</v>
      </c>
      <c r="AZ168" s="16">
        <v>-3.9463237366579307E-2</v>
      </c>
      <c r="BA168" s="16">
        <v>1.6171184866637933E-3</v>
      </c>
      <c r="BB168" s="16">
        <f t="shared" si="55"/>
        <v>-2.0032265216229139E-2</v>
      </c>
      <c r="BC168" s="16"/>
      <c r="BD168" s="1"/>
      <c r="BE168" s="16">
        <f>AM168/'2019-20 disagg'!AM168-1</f>
        <v>4.4644939005823669E-2</v>
      </c>
      <c r="BF168" s="16">
        <f>AN168/'2019-20 disagg'!AN168-1</f>
        <v>5.443577344759909E-2</v>
      </c>
      <c r="BG168" s="16">
        <f>AO168/'2019-20 disagg'!AO168-1</f>
        <v>5.4872749844816937E-2</v>
      </c>
      <c r="BH168" s="16">
        <f>AQ168/'2019-20 disagg'!AQ168-1</f>
        <v>4.7541054180560094E-2</v>
      </c>
      <c r="BI168" s="1"/>
      <c r="BJ168" s="16">
        <f>AS168/'2019-20 disagg'!AS168-1</f>
        <v>3.2983062919265782E-2</v>
      </c>
      <c r="BK168" s="16">
        <f>AT168/'2019-20 disagg'!AT168-1</f>
        <v>4.2664597546548277E-2</v>
      </c>
      <c r="BL168" s="16">
        <f>AU168/'2019-20 disagg'!AU168-1</f>
        <v>4.3096695765155735E-2</v>
      </c>
      <c r="BM168" s="16">
        <f>AW168/'2019-20 disagg'!AW168-1</f>
        <v>3.5846847361291845E-2</v>
      </c>
    </row>
    <row r="169" spans="1:65" x14ac:dyDescent="0.2">
      <c r="A169" s="156" t="s">
        <v>383</v>
      </c>
      <c r="B169" s="156" t="s">
        <v>384</v>
      </c>
      <c r="D169" s="56">
        <f>VLOOKUP(A169,'2020-21'!$A$12:$AMX377,32,FALSE)</f>
        <v>632416</v>
      </c>
      <c r="E169" s="56">
        <v>1575.6599272011504</v>
      </c>
      <c r="F169" s="16">
        <f>VLOOKUP(A169,'2020-21'!$A$12:$AMX377,34,FALSE)</f>
        <v>4.0198955221916632E-2</v>
      </c>
      <c r="G169" s="16">
        <f>VLOOKUP(A169,'2020-21'!$A$12:$AMX377,35,FALSE)</f>
        <v>3.1492294603956195E-2</v>
      </c>
      <c r="H169" s="56"/>
      <c r="I169" s="56">
        <v>617036.27438275726</v>
      </c>
      <c r="J169" s="56">
        <v>1537.341451156208</v>
      </c>
      <c r="K169" s="16">
        <f t="shared" si="57"/>
        <v>2.4925156357505251E-2</v>
      </c>
      <c r="L169" s="58">
        <f t="shared" si="57"/>
        <v>2.4925156357505251E-2</v>
      </c>
      <c r="M169" s="10"/>
      <c r="N169" s="56">
        <v>452275</v>
      </c>
      <c r="O169" s="56">
        <v>52823</v>
      </c>
      <c r="P169" s="56">
        <v>127318</v>
      </c>
      <c r="R169" s="56">
        <f t="shared" si="41"/>
        <v>127318</v>
      </c>
      <c r="S169" s="56">
        <f t="shared" si="42"/>
        <v>0</v>
      </c>
      <c r="U169" s="16">
        <v>4.1278666004421982E-2</v>
      </c>
      <c r="V169" s="16">
        <v>-4.7593842570277989E-2</v>
      </c>
      <c r="W169" s="56">
        <f t="shared" si="43"/>
        <v>3</v>
      </c>
      <c r="X169" s="56">
        <f t="shared" si="44"/>
        <v>4343.4578539428112</v>
      </c>
      <c r="Y169" s="56">
        <f t="shared" si="44"/>
        <v>554.62682163410727</v>
      </c>
      <c r="AA169" s="56">
        <f t="shared" si="56"/>
        <v>0</v>
      </c>
      <c r="AB169" s="56">
        <v>0</v>
      </c>
      <c r="AC169" s="56">
        <f t="shared" si="45"/>
        <v>0</v>
      </c>
      <c r="AE169" s="56">
        <v>0</v>
      </c>
      <c r="AF169" s="56">
        <f t="shared" si="46"/>
        <v>0</v>
      </c>
      <c r="AG169" s="56">
        <f t="shared" si="47"/>
        <v>0</v>
      </c>
      <c r="AI169" s="56">
        <f t="shared" si="48"/>
        <v>0</v>
      </c>
      <c r="AJ169" s="56">
        <f t="shared" si="49"/>
        <v>0</v>
      </c>
      <c r="AK169" s="56">
        <f t="shared" si="50"/>
        <v>0</v>
      </c>
      <c r="AM169" s="56">
        <f t="shared" si="51"/>
        <v>452275</v>
      </c>
      <c r="AN169" s="56">
        <f t="shared" si="52"/>
        <v>52823</v>
      </c>
      <c r="AO169" s="56">
        <f t="shared" si="53"/>
        <v>127318</v>
      </c>
      <c r="AP169" s="56"/>
      <c r="AQ169" s="56">
        <f t="shared" si="54"/>
        <v>632416</v>
      </c>
      <c r="AR169" s="1"/>
      <c r="AS169" s="56">
        <v>1126.8399179889507</v>
      </c>
      <c r="AT169" s="56">
        <v>131.60812556062206</v>
      </c>
      <c r="AU169" s="56">
        <v>317.21188365157752</v>
      </c>
      <c r="AV169" s="56"/>
      <c r="AW169" s="56">
        <v>1575.6599272011504</v>
      </c>
      <c r="AX169" s="1"/>
      <c r="AY169" s="16">
        <v>4.1278666004421982E-2</v>
      </c>
      <c r="AZ169" s="16">
        <v>-4.7593842570277989E-2</v>
      </c>
      <c r="BA169" s="16">
        <v>7.0891086772140177E-4</v>
      </c>
      <c r="BB169" s="16">
        <f t="shared" si="55"/>
        <v>2.4925156357505251E-2</v>
      </c>
      <c r="BC169" s="16"/>
      <c r="BD169" s="1"/>
      <c r="BE169" s="16">
        <f>AM169/'2019-20 disagg'!AM169-1</f>
        <v>3.6600459310667244E-2</v>
      </c>
      <c r="BF169" s="16">
        <f>AN169/'2019-20 disagg'!AN169-1</f>
        <v>4.3231820515858832E-2</v>
      </c>
      <c r="BG169" s="16">
        <f>AO169/'2019-20 disagg'!AO169-1</f>
        <v>5.1901913480286943E-2</v>
      </c>
      <c r="BH169" s="16">
        <f>AQ169/'2019-20 disagg'!AQ169-1</f>
        <v>4.0198955221916632E-2</v>
      </c>
      <c r="BI169" s="1"/>
      <c r="BJ169" s="16">
        <f>AS169/'2019-20 disagg'!AS169-1</f>
        <v>2.7923918779327872E-2</v>
      </c>
      <c r="BK169" s="16">
        <f>AT169/'2019-20 disagg'!AT169-1</f>
        <v>3.4499774245776882E-2</v>
      </c>
      <c r="BL169" s="16">
        <f>AU169/'2019-20 disagg'!AU169-1</f>
        <v>4.3097296903737536E-2</v>
      </c>
      <c r="BM169" s="16">
        <f>AW169/'2019-20 disagg'!AW169-1</f>
        <v>3.1492294603956195E-2</v>
      </c>
    </row>
    <row r="170" spans="1:65" x14ac:dyDescent="0.2">
      <c r="A170" s="156" t="s">
        <v>385</v>
      </c>
      <c r="B170" s="156" t="s">
        <v>386</v>
      </c>
      <c r="D170" s="56">
        <f>VLOOKUP(A170,'2020-21'!$A$12:$AMX378,32,FALSE)</f>
        <v>488389</v>
      </c>
      <c r="E170" s="56">
        <v>1957.8460299084697</v>
      </c>
      <c r="F170" s="16">
        <f>VLOOKUP(A170,'2020-21'!$A$12:$AMX378,34,FALSE)</f>
        <v>2.2279668023736487E-2</v>
      </c>
      <c r="G170" s="16">
        <f>VLOOKUP(A170,'2020-21'!$A$12:$AMX378,35,FALSE)</f>
        <v>1.8480066473749002E-2</v>
      </c>
      <c r="H170" s="56"/>
      <c r="I170" s="56">
        <v>421640.95237025275</v>
      </c>
      <c r="J170" s="56">
        <v>1690.2675216782636</v>
      </c>
      <c r="K170" s="16">
        <f t="shared" si="57"/>
        <v>0.15830541899339567</v>
      </c>
      <c r="L170" s="58">
        <f t="shared" si="57"/>
        <v>0.15830541899339567</v>
      </c>
      <c r="M170" s="10"/>
      <c r="N170" s="56">
        <v>359540</v>
      </c>
      <c r="O170" s="56">
        <v>39510</v>
      </c>
      <c r="P170" s="56">
        <v>89339</v>
      </c>
      <c r="R170" s="56">
        <f t="shared" si="41"/>
        <v>89339</v>
      </c>
      <c r="S170" s="56">
        <f>D170-SUM(N170:P170)</f>
        <v>0</v>
      </c>
      <c r="U170" s="16">
        <v>0.21317102068579907</v>
      </c>
      <c r="V170" s="16">
        <v>4.6967133133134054E-2</v>
      </c>
      <c r="W170" s="56">
        <f t="shared" si="43"/>
        <v>2</v>
      </c>
      <c r="X170" s="56">
        <f t="shared" si="44"/>
        <v>2963.6382164548731</v>
      </c>
      <c r="Y170" s="56">
        <f t="shared" si="44"/>
        <v>377.37574322665819</v>
      </c>
      <c r="AA170" s="56">
        <f t="shared" si="56"/>
        <v>0</v>
      </c>
      <c r="AB170" s="56">
        <v>0</v>
      </c>
      <c r="AC170" s="56">
        <f t="shared" si="45"/>
        <v>0</v>
      </c>
      <c r="AE170" s="56">
        <v>0</v>
      </c>
      <c r="AF170" s="56">
        <f t="shared" si="46"/>
        <v>0</v>
      </c>
      <c r="AG170" s="56">
        <f t="shared" si="47"/>
        <v>0</v>
      </c>
      <c r="AI170" s="56">
        <f t="shared" si="48"/>
        <v>0</v>
      </c>
      <c r="AJ170" s="56">
        <f t="shared" si="49"/>
        <v>0</v>
      </c>
      <c r="AK170" s="56">
        <f t="shared" si="50"/>
        <v>0</v>
      </c>
      <c r="AM170" s="56">
        <f t="shared" si="51"/>
        <v>359540</v>
      </c>
      <c r="AN170" s="56">
        <f t="shared" si="52"/>
        <v>39510</v>
      </c>
      <c r="AO170" s="56">
        <f t="shared" si="53"/>
        <v>89339</v>
      </c>
      <c r="AP170" s="56"/>
      <c r="AQ170" s="56">
        <f t="shared" si="54"/>
        <v>488389</v>
      </c>
      <c r="AR170" s="1"/>
      <c r="AS170" s="56">
        <v>1441.3182147699706</v>
      </c>
      <c r="AT170" s="56">
        <v>158.38705753340807</v>
      </c>
      <c r="AU170" s="56">
        <v>358.14075760509098</v>
      </c>
      <c r="AV170" s="56"/>
      <c r="AW170" s="56">
        <v>1957.8460299084697</v>
      </c>
      <c r="AX170" s="1"/>
      <c r="AY170" s="16">
        <v>0.21317102068579907</v>
      </c>
      <c r="AZ170" s="16">
        <v>4.6967133133134054E-2</v>
      </c>
      <c r="BA170" s="16">
        <v>2.0555776975095919E-2</v>
      </c>
      <c r="BB170" s="16">
        <f t="shared" si="55"/>
        <v>0.15830541899339567</v>
      </c>
      <c r="BC170" s="16"/>
      <c r="BD170" s="1"/>
      <c r="BE170" s="16">
        <f>AM170/'2019-20 disagg'!AM170-1</f>
        <v>1.4600723545712624E-2</v>
      </c>
      <c r="BF170" s="16">
        <f>AN170/'2019-20 disagg'!AN170-1</f>
        <v>3.8370565045992011E-2</v>
      </c>
      <c r="BG170" s="16">
        <f>AO170/'2019-20 disagg'!AO170-1</f>
        <v>4.6994573943208051E-2</v>
      </c>
      <c r="BH170" s="16">
        <f>AQ170/'2019-20 disagg'!AQ170-1</f>
        <v>2.2279668023736487E-2</v>
      </c>
      <c r="BI170" s="1"/>
      <c r="BJ170" s="16">
        <f>AS170/'2019-20 disagg'!AS170-1</f>
        <v>1.0829663040072823E-2</v>
      </c>
      <c r="BK170" s="16">
        <f>AT170/'2019-20 disagg'!AT170-1</f>
        <v>3.4511156968320522E-2</v>
      </c>
      <c r="BL170" s="16">
        <f>AU170/'2019-20 disagg'!AU170-1</f>
        <v>4.3103112212707684E-2</v>
      </c>
      <c r="BM170" s="16">
        <f>AW170/'2019-20 disagg'!AW170-1</f>
        <v>1.8480066473749002E-2</v>
      </c>
    </row>
    <row r="171" spans="1:65" x14ac:dyDescent="0.2">
      <c r="A171" s="156" t="s">
        <v>387</v>
      </c>
      <c r="B171" s="156" t="s">
        <v>388</v>
      </c>
      <c r="D171" s="56">
        <f>VLOOKUP(A171,'2020-21'!$A$12:$AMX379,32,FALSE)</f>
        <v>212705</v>
      </c>
      <c r="E171" s="56">
        <v>1580.6379119589571</v>
      </c>
      <c r="F171" s="16">
        <f>VLOOKUP(A171,'2020-21'!$A$12:$AMX379,34,FALSE)</f>
        <v>4.0188373833055513E-2</v>
      </c>
      <c r="G171" s="16">
        <f>VLOOKUP(A171,'2020-21'!$A$12:$AMX379,35,FALSE)</f>
        <v>2.9765757435581186E-2</v>
      </c>
      <c r="H171" s="56"/>
      <c r="I171" s="56">
        <v>213284.07041269451</v>
      </c>
      <c r="J171" s="56">
        <v>1584.9410578558502</v>
      </c>
      <c r="K171" s="16">
        <f t="shared" si="57"/>
        <v>-2.7150195116495413E-3</v>
      </c>
      <c r="L171" s="58">
        <f t="shared" si="57"/>
        <v>-2.7150195116495413E-3</v>
      </c>
      <c r="M171" s="10"/>
      <c r="N171" s="56">
        <v>158202</v>
      </c>
      <c r="O171" s="56">
        <v>18088</v>
      </c>
      <c r="P171" s="56">
        <v>36415</v>
      </c>
      <c r="R171" s="56">
        <f t="shared" si="41"/>
        <v>36415</v>
      </c>
      <c r="S171" s="56">
        <f t="shared" si="42"/>
        <v>0</v>
      </c>
      <c r="U171" s="16">
        <v>1.3024438052357423E-2</v>
      </c>
      <c r="V171" s="16">
        <v>2.897181214742095E-2</v>
      </c>
      <c r="W171" s="56">
        <f t="shared" si="43"/>
        <v>2</v>
      </c>
      <c r="X171" s="56">
        <f t="shared" si="44"/>
        <v>1561.6799956391915</v>
      </c>
      <c r="Y171" s="56">
        <f t="shared" si="44"/>
        <v>175.78712833980461</v>
      </c>
      <c r="AA171" s="56">
        <f t="shared" si="56"/>
        <v>0</v>
      </c>
      <c r="AB171" s="56">
        <v>0</v>
      </c>
      <c r="AC171" s="56">
        <f t="shared" si="45"/>
        <v>0</v>
      </c>
      <c r="AE171" s="56">
        <v>0</v>
      </c>
      <c r="AF171" s="56">
        <f t="shared" si="46"/>
        <v>0</v>
      </c>
      <c r="AG171" s="56">
        <f t="shared" si="47"/>
        <v>0</v>
      </c>
      <c r="AI171" s="56">
        <f t="shared" si="48"/>
        <v>0</v>
      </c>
      <c r="AJ171" s="56">
        <f t="shared" si="49"/>
        <v>0</v>
      </c>
      <c r="AK171" s="56">
        <f t="shared" si="50"/>
        <v>0</v>
      </c>
      <c r="AM171" s="56">
        <f t="shared" si="51"/>
        <v>158202</v>
      </c>
      <c r="AN171" s="56">
        <f t="shared" si="52"/>
        <v>18088</v>
      </c>
      <c r="AO171" s="56">
        <f t="shared" si="53"/>
        <v>36415</v>
      </c>
      <c r="AP171" s="56"/>
      <c r="AQ171" s="56">
        <f t="shared" si="54"/>
        <v>212705</v>
      </c>
      <c r="AR171" s="1"/>
      <c r="AS171" s="56">
        <v>1175.6191859511105</v>
      </c>
      <c r="AT171" s="56">
        <v>134.41422886868489</v>
      </c>
      <c r="AU171" s="56">
        <v>270.60449713916188</v>
      </c>
      <c r="AV171" s="56"/>
      <c r="AW171" s="56">
        <v>1580.6379119589571</v>
      </c>
      <c r="AX171" s="1"/>
      <c r="AY171" s="16">
        <v>1.3024438052357423E-2</v>
      </c>
      <c r="AZ171" s="16">
        <v>2.897181214742095E-2</v>
      </c>
      <c r="BA171" s="16">
        <v>-7.8972348471704201E-2</v>
      </c>
      <c r="BB171" s="16">
        <f t="shared" si="55"/>
        <v>-2.7150195116495413E-3</v>
      </c>
      <c r="BC171" s="16"/>
      <c r="BD171" s="1"/>
      <c r="BE171" s="16">
        <f>AM171/'2019-20 disagg'!AM171-1</f>
        <v>3.6601666928762322E-2</v>
      </c>
      <c r="BF171" s="16">
        <f>AN171/'2019-20 disagg'!AN171-1</f>
        <v>4.4945118428654007E-2</v>
      </c>
      <c r="BG171" s="16">
        <f>AO171/'2019-20 disagg'!AO171-1</f>
        <v>5.3644281126124849E-2</v>
      </c>
      <c r="BH171" s="16">
        <f>AQ171/'2019-20 disagg'!AQ171-1</f>
        <v>4.0188373833055513E-2</v>
      </c>
      <c r="BI171" s="1"/>
      <c r="BJ171" s="16">
        <f>AS171/'2019-20 disagg'!AS171-1</f>
        <v>2.621498908927844E-2</v>
      </c>
      <c r="BK171" s="16">
        <f>AT171/'2019-20 disagg'!AT171-1</f>
        <v>3.4474839775507915E-2</v>
      </c>
      <c r="BL171" s="16">
        <f>AU171/'2019-20 disagg'!AU171-1</f>
        <v>4.308683745743358E-2</v>
      </c>
      <c r="BM171" s="16">
        <f>AW171/'2019-20 disagg'!AW171-1</f>
        <v>2.9765757435581186E-2</v>
      </c>
    </row>
    <row r="172" spans="1:65" x14ac:dyDescent="0.2">
      <c r="A172" s="156" t="s">
        <v>389</v>
      </c>
      <c r="B172" s="156" t="s">
        <v>390</v>
      </c>
      <c r="D172" s="56">
        <f>VLOOKUP(A172,'2020-21'!$A$12:$AMX380,32,FALSE)</f>
        <v>342902</v>
      </c>
      <c r="E172" s="56">
        <v>1570.8201480971702</v>
      </c>
      <c r="F172" s="16">
        <f>VLOOKUP(A172,'2020-21'!$A$12:$AMX380,34,FALSE)</f>
        <v>4.4318562509517268E-2</v>
      </c>
      <c r="G172" s="16">
        <f>VLOOKUP(A172,'2020-21'!$A$12:$AMX380,35,FALSE)</f>
        <v>3.4061866421160492E-2</v>
      </c>
      <c r="H172" s="56"/>
      <c r="I172" s="56">
        <v>348364.24844611768</v>
      </c>
      <c r="J172" s="56">
        <v>1595.8424865876839</v>
      </c>
      <c r="K172" s="16">
        <f t="shared" si="57"/>
        <v>-1.5679704419963025E-2</v>
      </c>
      <c r="L172" s="58">
        <f t="shared" si="57"/>
        <v>-1.5679704419963025E-2</v>
      </c>
      <c r="M172" s="10"/>
      <c r="N172" s="56">
        <v>251379</v>
      </c>
      <c r="O172" s="56">
        <v>29187</v>
      </c>
      <c r="P172" s="56">
        <v>62336</v>
      </c>
      <c r="R172" s="56">
        <f t="shared" si="41"/>
        <v>62336</v>
      </c>
      <c r="S172" s="56">
        <f t="shared" si="42"/>
        <v>0</v>
      </c>
      <c r="U172" s="16">
        <v>-4.7846664444433973E-2</v>
      </c>
      <c r="V172" s="16">
        <v>-9.5054436252195451E-4</v>
      </c>
      <c r="W172" s="56">
        <f t="shared" si="43"/>
        <v>4</v>
      </c>
      <c r="X172" s="56">
        <f t="shared" si="44"/>
        <v>2640.1104802444916</v>
      </c>
      <c r="Y172" s="56">
        <f t="shared" si="44"/>
        <v>292.14769934863961</v>
      </c>
      <c r="AA172" s="56">
        <f t="shared" si="56"/>
        <v>0</v>
      </c>
      <c r="AB172" s="56">
        <v>0</v>
      </c>
      <c r="AC172" s="56">
        <f t="shared" si="45"/>
        <v>0</v>
      </c>
      <c r="AE172" s="56">
        <v>0</v>
      </c>
      <c r="AF172" s="56">
        <f t="shared" si="46"/>
        <v>0</v>
      </c>
      <c r="AG172" s="56">
        <f t="shared" si="47"/>
        <v>0</v>
      </c>
      <c r="AI172" s="56">
        <f t="shared" si="48"/>
        <v>0</v>
      </c>
      <c r="AJ172" s="56">
        <f t="shared" si="49"/>
        <v>0</v>
      </c>
      <c r="AK172" s="56">
        <f t="shared" si="50"/>
        <v>0</v>
      </c>
      <c r="AM172" s="56">
        <f t="shared" si="51"/>
        <v>251379</v>
      </c>
      <c r="AN172" s="56">
        <f t="shared" si="52"/>
        <v>29187</v>
      </c>
      <c r="AO172" s="56">
        <f t="shared" si="53"/>
        <v>62336</v>
      </c>
      <c r="AP172" s="56"/>
      <c r="AQ172" s="56">
        <f t="shared" si="54"/>
        <v>342902</v>
      </c>
      <c r="AR172" s="1"/>
      <c r="AS172" s="56">
        <v>1151.5569988175005</v>
      </c>
      <c r="AT172" s="56">
        <v>133.70446268179279</v>
      </c>
      <c r="AU172" s="56">
        <v>285.55868659787694</v>
      </c>
      <c r="AV172" s="56"/>
      <c r="AW172" s="56">
        <v>1570.8201480971702</v>
      </c>
      <c r="AX172" s="1"/>
      <c r="AY172" s="16">
        <v>-4.7846664444433973E-2</v>
      </c>
      <c r="AZ172" s="16">
        <v>-9.5054436252195451E-4</v>
      </c>
      <c r="BA172" s="16">
        <v>0.13053635095612526</v>
      </c>
      <c r="BB172" s="16">
        <f t="shared" si="55"/>
        <v>-1.5679704419963025E-2</v>
      </c>
      <c r="BC172" s="16"/>
      <c r="BD172" s="1"/>
      <c r="BE172" s="16">
        <f>AM172/'2019-20 disagg'!AM172-1</f>
        <v>4.2028685126844545E-2</v>
      </c>
      <c r="BF172" s="16">
        <f>AN172/'2019-20 disagg'!AN172-1</f>
        <v>4.4743530085549654E-2</v>
      </c>
      <c r="BG172" s="16">
        <f>AO172/'2019-20 disagg'!AO172-1</f>
        <v>5.3453433153634267E-2</v>
      </c>
      <c r="BH172" s="16">
        <f>AQ172/'2019-20 disagg'!AQ172-1</f>
        <v>4.4318562509517268E-2</v>
      </c>
      <c r="BI172" s="1"/>
      <c r="BJ172" s="16">
        <f>AS172/'2019-20 disagg'!AS172-1</f>
        <v>3.1794478896694622E-2</v>
      </c>
      <c r="BK172" s="16">
        <f>AT172/'2019-20 disagg'!AT172-1</f>
        <v>3.4482660210159555E-2</v>
      </c>
      <c r="BL172" s="16">
        <f>AU172/'2019-20 disagg'!AU172-1</f>
        <v>4.3107019621418052E-2</v>
      </c>
      <c r="BM172" s="16">
        <f>AW172/'2019-20 disagg'!AW172-1</f>
        <v>3.4061866421160492E-2</v>
      </c>
    </row>
    <row r="173" spans="1:65" x14ac:dyDescent="0.2">
      <c r="A173" s="156" t="s">
        <v>391</v>
      </c>
      <c r="B173" s="156" t="s">
        <v>392</v>
      </c>
      <c r="D173" s="56">
        <f>VLOOKUP(A173,'2020-21'!$A$12:$AMX381,32,FALSE)</f>
        <v>226320.64542399455</v>
      </c>
      <c r="E173" s="56">
        <v>1541.3762798393791</v>
      </c>
      <c r="F173" s="16">
        <f>VLOOKUP(A173,'2020-21'!$A$12:$AMX381,34,FALSE)</f>
        <v>4.5259561077191313E-2</v>
      </c>
      <c r="G173" s="16">
        <f>VLOOKUP(A173,'2020-21'!$A$12:$AMX381,35,FALSE)</f>
        <v>3.5517620459637245E-2</v>
      </c>
      <c r="H173" s="56"/>
      <c r="I173" s="56">
        <v>230770.97671372702</v>
      </c>
      <c r="J173" s="56">
        <v>1571.6856450082951</v>
      </c>
      <c r="K173" s="16">
        <f t="shared" si="57"/>
        <v>-1.928462301935463E-2</v>
      </c>
      <c r="L173" s="58">
        <f t="shared" si="57"/>
        <v>-1.9284623019354519E-2</v>
      </c>
      <c r="M173" s="10"/>
      <c r="N173" s="56">
        <v>171353</v>
      </c>
      <c r="O173" s="56">
        <v>18419</v>
      </c>
      <c r="P173" s="56">
        <v>35356</v>
      </c>
      <c r="R173" s="56">
        <f t="shared" si="41"/>
        <v>35356</v>
      </c>
      <c r="S173" s="56">
        <f t="shared" si="42"/>
        <v>1192.6454239945451</v>
      </c>
      <c r="U173" s="16">
        <v>-1.6305649769069119E-2</v>
      </c>
      <c r="V173" s="16">
        <v>-4.2835591396218953E-2</v>
      </c>
      <c r="W173" s="56">
        <f t="shared" si="43"/>
        <v>4</v>
      </c>
      <c r="X173" s="56">
        <f t="shared" si="44"/>
        <v>1741.933355211132</v>
      </c>
      <c r="Y173" s="56">
        <f t="shared" si="44"/>
        <v>192.43298052492213</v>
      </c>
      <c r="AA173" s="56">
        <f t="shared" si="56"/>
        <v>0</v>
      </c>
      <c r="AB173" s="56">
        <v>0</v>
      </c>
      <c r="AC173" s="56">
        <f t="shared" si="45"/>
        <v>1192.6454239945451</v>
      </c>
      <c r="AE173" s="56">
        <v>0</v>
      </c>
      <c r="AF173" s="56">
        <f t="shared" si="46"/>
        <v>0</v>
      </c>
      <c r="AG173" s="56">
        <f t="shared" si="47"/>
        <v>1192.6454239945451</v>
      </c>
      <c r="AI173" s="56">
        <f t="shared" si="48"/>
        <v>1073.9996900357032</v>
      </c>
      <c r="AJ173" s="56">
        <f t="shared" si="49"/>
        <v>118.64573395884193</v>
      </c>
      <c r="AK173" s="56">
        <f t="shared" si="50"/>
        <v>0</v>
      </c>
      <c r="AM173" s="56">
        <f t="shared" si="51"/>
        <v>172427</v>
      </c>
      <c r="AN173" s="56">
        <f t="shared" si="52"/>
        <v>18538</v>
      </c>
      <c r="AO173" s="56">
        <f t="shared" si="53"/>
        <v>35356</v>
      </c>
      <c r="AP173" s="56"/>
      <c r="AQ173" s="56">
        <f t="shared" si="54"/>
        <v>226321</v>
      </c>
      <c r="AR173" s="1"/>
      <c r="AS173" s="56">
        <v>1174.3289583942089</v>
      </c>
      <c r="AT173" s="56">
        <v>126.25464823207413</v>
      </c>
      <c r="AU173" s="56">
        <v>240.79508808356957</v>
      </c>
      <c r="AV173" s="56"/>
      <c r="AW173" s="56">
        <v>1541.3786947098527</v>
      </c>
      <c r="AX173" s="1"/>
      <c r="AY173" s="16">
        <v>-1.0140086679143456E-2</v>
      </c>
      <c r="AZ173" s="16">
        <v>-3.6651620245567451E-2</v>
      </c>
      <c r="BA173" s="16">
        <v>-5.2989900818572577E-2</v>
      </c>
      <c r="BB173" s="16">
        <f t="shared" si="55"/>
        <v>-1.9283086534955585E-2</v>
      </c>
      <c r="BC173" s="16"/>
      <c r="BD173" s="1"/>
      <c r="BE173" s="16">
        <f>AM173/'2019-20 disagg'!AM173-1</f>
        <v>4.3096616516336672E-2</v>
      </c>
      <c r="BF173" s="16">
        <f>AN173/'2019-20 disagg'!AN173-1</f>
        <v>5.0966608084358489E-2</v>
      </c>
      <c r="BG173" s="16">
        <f>AO173/'2019-20 disagg'!AO173-1</f>
        <v>5.2919979749248114E-2</v>
      </c>
      <c r="BH173" s="16">
        <f>AQ173/'2019-20 disagg'!AQ173-1</f>
        <v>4.5261198682806647E-2</v>
      </c>
      <c r="BI173" s="1"/>
      <c r="BJ173" s="16">
        <f>AS173/'2019-20 disagg'!AS173-1</f>
        <v>3.3374834793525654E-2</v>
      </c>
      <c r="BK173" s="16">
        <f>AT173/'2019-20 disagg'!AT173-1</f>
        <v>4.117147712527025E-2</v>
      </c>
      <c r="BL173" s="16">
        <f>AU173/'2019-20 disagg'!AU173-1</f>
        <v>4.3106643139169343E-2</v>
      </c>
      <c r="BM173" s="16">
        <f>AW173/'2019-20 disagg'!AW173-1</f>
        <v>3.5519242802577899E-2</v>
      </c>
    </row>
    <row r="174" spans="1:65" x14ac:dyDescent="0.2">
      <c r="A174" s="156" t="s">
        <v>393</v>
      </c>
      <c r="B174" s="156" t="s">
        <v>394</v>
      </c>
      <c r="D174" s="56">
        <f>VLOOKUP(A174,'2020-21'!$A$12:$AMX382,32,FALSE)</f>
        <v>549244</v>
      </c>
      <c r="E174" s="56">
        <v>1710.4224494303205</v>
      </c>
      <c r="F174" s="16">
        <f>VLOOKUP(A174,'2020-21'!$A$12:$AMX382,34,FALSE)</f>
        <v>3.9441486895418931E-2</v>
      </c>
      <c r="G174" s="16">
        <f>VLOOKUP(A174,'2020-21'!$A$12:$AMX382,35,FALSE)</f>
        <v>3.3207885843461682E-2</v>
      </c>
      <c r="H174" s="56"/>
      <c r="I174" s="56">
        <v>534472.74834539415</v>
      </c>
      <c r="J174" s="56">
        <v>1664.4227108146549</v>
      </c>
      <c r="K174" s="16">
        <f t="shared" si="57"/>
        <v>2.7637052965439723E-2</v>
      </c>
      <c r="L174" s="58">
        <f t="shared" si="57"/>
        <v>2.7637052965439945E-2</v>
      </c>
      <c r="M174" s="10"/>
      <c r="N174" s="56">
        <v>395609</v>
      </c>
      <c r="O174" s="56">
        <v>45233</v>
      </c>
      <c r="P174" s="56">
        <v>108402</v>
      </c>
      <c r="R174" s="56">
        <f t="shared" si="41"/>
        <v>108402</v>
      </c>
      <c r="S174" s="56">
        <f t="shared" si="42"/>
        <v>0</v>
      </c>
      <c r="U174" s="16">
        <v>4.5146867201237617E-2</v>
      </c>
      <c r="V174" s="16">
        <v>-4.8594836678556574E-2</v>
      </c>
      <c r="W174" s="56">
        <f t="shared" si="43"/>
        <v>3</v>
      </c>
      <c r="X174" s="56">
        <f t="shared" si="44"/>
        <v>3785.2000748888768</v>
      </c>
      <c r="Y174" s="56">
        <f t="shared" si="44"/>
        <v>475.43361907021199</v>
      </c>
      <c r="AA174" s="56">
        <f t="shared" si="56"/>
        <v>0</v>
      </c>
      <c r="AB174" s="56">
        <v>0</v>
      </c>
      <c r="AC174" s="56">
        <f t="shared" si="45"/>
        <v>0</v>
      </c>
      <c r="AE174" s="56">
        <v>0</v>
      </c>
      <c r="AF174" s="56">
        <f t="shared" si="46"/>
        <v>0</v>
      </c>
      <c r="AG174" s="56">
        <f t="shared" si="47"/>
        <v>0</v>
      </c>
      <c r="AI174" s="56">
        <f t="shared" si="48"/>
        <v>0</v>
      </c>
      <c r="AJ174" s="56">
        <f t="shared" si="49"/>
        <v>0</v>
      </c>
      <c r="AK174" s="56">
        <f t="shared" si="50"/>
        <v>0</v>
      </c>
      <c r="AM174" s="56">
        <f t="shared" si="51"/>
        <v>395609</v>
      </c>
      <c r="AN174" s="56">
        <f t="shared" si="52"/>
        <v>45233</v>
      </c>
      <c r="AO174" s="56">
        <f t="shared" si="53"/>
        <v>108402</v>
      </c>
      <c r="AP174" s="56"/>
      <c r="AQ174" s="56">
        <f t="shared" si="54"/>
        <v>549244</v>
      </c>
      <c r="AR174" s="1"/>
      <c r="AS174" s="56">
        <v>1231.9816234618488</v>
      </c>
      <c r="AT174" s="56">
        <v>140.86187314760232</v>
      </c>
      <c r="AU174" s="56">
        <v>337.5789528208694</v>
      </c>
      <c r="AV174" s="56"/>
      <c r="AW174" s="56">
        <v>1710.4224494303205</v>
      </c>
      <c r="AX174" s="1"/>
      <c r="AY174" s="16">
        <v>4.5146867201237617E-2</v>
      </c>
      <c r="AZ174" s="16">
        <v>-4.8594836678556574E-2</v>
      </c>
      <c r="BA174" s="16">
        <v>-6.8065600566824536E-5</v>
      </c>
      <c r="BB174" s="16">
        <f t="shared" si="55"/>
        <v>2.7637052965439723E-2</v>
      </c>
      <c r="BC174" s="16"/>
      <c r="BD174" s="1"/>
      <c r="BE174" s="16">
        <f>AM174/'2019-20 disagg'!AM174-1</f>
        <v>3.6599841212029194E-2</v>
      </c>
      <c r="BF174" s="16">
        <f>AN174/'2019-20 disagg'!AN174-1</f>
        <v>4.0748239841700729E-2</v>
      </c>
      <c r="BG174" s="16">
        <f>AO174/'2019-20 disagg'!AO174-1</f>
        <v>4.9390125847047495E-2</v>
      </c>
      <c r="BH174" s="16">
        <f>AQ174/'2019-20 disagg'!AQ174-1</f>
        <v>3.9441486895418931E-2</v>
      </c>
      <c r="BI174" s="1"/>
      <c r="BJ174" s="16">
        <f>AS174/'2019-20 disagg'!AS174-1</f>
        <v>3.0383281701846787E-2</v>
      </c>
      <c r="BK174" s="16">
        <f>AT174/'2019-20 disagg'!AT174-1</f>
        <v>3.4506802103751122E-2</v>
      </c>
      <c r="BL174" s="16">
        <f>AU174/'2019-20 disagg'!AU174-1</f>
        <v>4.3096862132962377E-2</v>
      </c>
      <c r="BM174" s="16">
        <f>AW174/'2019-20 disagg'!AW174-1</f>
        <v>3.3207885843461682E-2</v>
      </c>
    </row>
    <row r="175" spans="1:65" x14ac:dyDescent="0.2">
      <c r="A175" s="156" t="s">
        <v>395</v>
      </c>
      <c r="B175" s="156" t="s">
        <v>396</v>
      </c>
      <c r="D175" s="56">
        <f>VLOOKUP(A175,'2020-21'!$A$12:$AMX383,32,FALSE)</f>
        <v>370291</v>
      </c>
      <c r="E175" s="56">
        <v>1657.0290344660748</v>
      </c>
      <c r="F175" s="16">
        <f>VLOOKUP(A175,'2020-21'!$A$12:$AMX383,34,FALSE)</f>
        <v>3.8728137228775328E-2</v>
      </c>
      <c r="G175" s="16">
        <f>VLOOKUP(A175,'2020-21'!$A$12:$AMX383,35,FALSE)</f>
        <v>3.3359175203990343E-2</v>
      </c>
      <c r="H175" s="56"/>
      <c r="I175" s="56">
        <v>370741.68180770328</v>
      </c>
      <c r="J175" s="56">
        <v>1659.0458073303084</v>
      </c>
      <c r="K175" s="16">
        <f t="shared" si="57"/>
        <v>-1.2156221698779168E-3</v>
      </c>
      <c r="L175" s="58">
        <f t="shared" si="57"/>
        <v>-1.2156221698779168E-3</v>
      </c>
      <c r="M175" s="10"/>
      <c r="N175" s="56">
        <v>282339</v>
      </c>
      <c r="O175" s="56">
        <v>29320</v>
      </c>
      <c r="P175" s="56">
        <v>58632</v>
      </c>
      <c r="R175" s="56">
        <f t="shared" si="41"/>
        <v>58632</v>
      </c>
      <c r="S175" s="56">
        <f t="shared" si="42"/>
        <v>0</v>
      </c>
      <c r="U175" s="16">
        <v>1.9095238530674408E-2</v>
      </c>
      <c r="V175" s="16">
        <v>-4.7817232303652202E-2</v>
      </c>
      <c r="W175" s="56">
        <f t="shared" si="43"/>
        <v>3</v>
      </c>
      <c r="X175" s="56">
        <f t="shared" si="44"/>
        <v>2770.4868919520686</v>
      </c>
      <c r="Y175" s="56">
        <f t="shared" si="44"/>
        <v>307.92407712791316</v>
      </c>
      <c r="AA175" s="56">
        <f t="shared" si="56"/>
        <v>0</v>
      </c>
      <c r="AB175" s="56">
        <v>0</v>
      </c>
      <c r="AC175" s="56">
        <f t="shared" si="45"/>
        <v>0</v>
      </c>
      <c r="AE175" s="56">
        <v>0</v>
      </c>
      <c r="AF175" s="56">
        <f t="shared" si="46"/>
        <v>0</v>
      </c>
      <c r="AG175" s="56">
        <f t="shared" si="47"/>
        <v>0</v>
      </c>
      <c r="AI175" s="56">
        <f t="shared" si="48"/>
        <v>0</v>
      </c>
      <c r="AJ175" s="56">
        <f t="shared" si="49"/>
        <v>0</v>
      </c>
      <c r="AK175" s="56">
        <f t="shared" si="50"/>
        <v>0</v>
      </c>
      <c r="AM175" s="56">
        <f t="shared" si="51"/>
        <v>282339</v>
      </c>
      <c r="AN175" s="56">
        <f t="shared" si="52"/>
        <v>29320</v>
      </c>
      <c r="AO175" s="56">
        <f t="shared" si="53"/>
        <v>58632</v>
      </c>
      <c r="AP175" s="56"/>
      <c r="AQ175" s="56">
        <f t="shared" si="54"/>
        <v>370291</v>
      </c>
      <c r="AR175" s="1"/>
      <c r="AS175" s="56">
        <v>1263.4493427118593</v>
      </c>
      <c r="AT175" s="56">
        <v>131.20516375106419</v>
      </c>
      <c r="AU175" s="56">
        <v>262.37452800315128</v>
      </c>
      <c r="AV175" s="56"/>
      <c r="AW175" s="56">
        <v>1657.0290344660748</v>
      </c>
      <c r="AX175" s="1"/>
      <c r="AY175" s="16">
        <v>1.9095238530674408E-2</v>
      </c>
      <c r="AZ175" s="16">
        <v>-4.7817232303652202E-2</v>
      </c>
      <c r="BA175" s="16">
        <v>-6.7862403926948978E-2</v>
      </c>
      <c r="BB175" s="16">
        <f t="shared" si="55"/>
        <v>-1.2156221698779168E-3</v>
      </c>
      <c r="BC175" s="16"/>
      <c r="BD175" s="1"/>
      <c r="BE175" s="16">
        <f>AM175/'2019-20 disagg'!AM175-1</f>
        <v>3.6600947240885473E-2</v>
      </c>
      <c r="BF175" s="16">
        <f>AN175/'2019-20 disagg'!AN175-1</f>
        <v>3.9863810469570105E-2</v>
      </c>
      <c r="BG175" s="16">
        <f>AO175/'2019-20 disagg'!AO175-1</f>
        <v>4.8516604374184036E-2</v>
      </c>
      <c r="BH175" s="16">
        <f>AQ175/'2019-20 disagg'!AQ175-1</f>
        <v>3.8728137228775328E-2</v>
      </c>
      <c r="BI175" s="1"/>
      <c r="BJ175" s="16">
        <f>AS175/'2019-20 disagg'!AS175-1</f>
        <v>3.1242980203003645E-2</v>
      </c>
      <c r="BK175" s="16">
        <f>AT175/'2019-20 disagg'!AT175-1</f>
        <v>3.4488978394399572E-2</v>
      </c>
      <c r="BL175" s="16">
        <f>AU175/'2019-20 disagg'!AU175-1</f>
        <v>4.3097047870920058E-2</v>
      </c>
      <c r="BM175" s="16">
        <f>AW175/'2019-20 disagg'!AW175-1</f>
        <v>3.3359175203990343E-2</v>
      </c>
    </row>
    <row r="176" spans="1:65" x14ac:dyDescent="0.2">
      <c r="A176" s="156" t="s">
        <v>397</v>
      </c>
      <c r="B176" s="156" t="s">
        <v>398</v>
      </c>
      <c r="D176" s="56">
        <f>VLOOKUP(A176,'2020-21'!$A$12:$AMX384,32,FALSE)</f>
        <v>531835.49219988112</v>
      </c>
      <c r="E176" s="56">
        <v>1528.6352683570672</v>
      </c>
      <c r="F176" s="16">
        <f>VLOOKUP(A176,'2020-21'!$A$12:$AMX384,34,FALSE)</f>
        <v>4.2589818274256785E-2</v>
      </c>
      <c r="G176" s="16">
        <f>VLOOKUP(A176,'2020-21'!$A$12:$AMX384,35,FALSE)</f>
        <v>3.6224693279937936E-2</v>
      </c>
      <c r="H176" s="56"/>
      <c r="I176" s="56">
        <v>542658.21466957056</v>
      </c>
      <c r="J176" s="56">
        <v>1559.7426229985847</v>
      </c>
      <c r="K176" s="16">
        <f t="shared" si="57"/>
        <v>-1.9943902399560121E-2</v>
      </c>
      <c r="L176" s="58">
        <f t="shared" si="57"/>
        <v>-1.994390239956001E-2</v>
      </c>
      <c r="M176" s="10"/>
      <c r="N176" s="56">
        <v>391762</v>
      </c>
      <c r="O176" s="56">
        <v>44688</v>
      </c>
      <c r="P176" s="56">
        <v>93664</v>
      </c>
      <c r="R176" s="56">
        <f t="shared" si="41"/>
        <v>93664</v>
      </c>
      <c r="S176" s="56">
        <f t="shared" si="42"/>
        <v>1721.4921998811187</v>
      </c>
      <c r="U176" s="16">
        <v>-4.1283567687298128E-2</v>
      </c>
      <c r="V176" s="16">
        <v>-4.4775992054402858E-2</v>
      </c>
      <c r="W176" s="56">
        <f t="shared" si="43"/>
        <v>4</v>
      </c>
      <c r="X176" s="56">
        <f t="shared" si="44"/>
        <v>4086.3177765187202</v>
      </c>
      <c r="Y176" s="56">
        <f t="shared" si="44"/>
        <v>467.82743763015969</v>
      </c>
      <c r="AA176" s="56">
        <f t="shared" si="56"/>
        <v>0</v>
      </c>
      <c r="AB176" s="56">
        <v>0</v>
      </c>
      <c r="AC176" s="56">
        <f t="shared" si="45"/>
        <v>1721.4921998811187</v>
      </c>
      <c r="AE176" s="56">
        <v>0</v>
      </c>
      <c r="AF176" s="56">
        <f t="shared" si="46"/>
        <v>0</v>
      </c>
      <c r="AG176" s="56">
        <f t="shared" si="47"/>
        <v>1721.4921998811187</v>
      </c>
      <c r="AI176" s="56">
        <f t="shared" si="48"/>
        <v>1544.6508285808397</v>
      </c>
      <c r="AJ176" s="56">
        <f t="shared" si="49"/>
        <v>176.84137130027895</v>
      </c>
      <c r="AK176" s="56">
        <f t="shared" si="50"/>
        <v>0</v>
      </c>
      <c r="AM176" s="56">
        <f t="shared" si="51"/>
        <v>393307</v>
      </c>
      <c r="AN176" s="56">
        <f t="shared" si="52"/>
        <v>44865</v>
      </c>
      <c r="AO176" s="56">
        <f t="shared" si="53"/>
        <v>93664</v>
      </c>
      <c r="AP176" s="56"/>
      <c r="AQ176" s="56">
        <f t="shared" si="54"/>
        <v>531836</v>
      </c>
      <c r="AR176" s="1"/>
      <c r="AS176" s="56">
        <v>1130.4678990204623</v>
      </c>
      <c r="AT176" s="56">
        <v>128.95382561091725</v>
      </c>
      <c r="AU176" s="56">
        <v>269.21500327696322</v>
      </c>
      <c r="AV176" s="56"/>
      <c r="AW176" s="56">
        <v>1528.6367279083427</v>
      </c>
      <c r="AX176" s="1"/>
      <c r="AY176" s="16">
        <v>-3.7502657624752245E-2</v>
      </c>
      <c r="AZ176" s="16">
        <v>-4.0992545728624763E-2</v>
      </c>
      <c r="BA176" s="16">
        <v>7.3590496983835907E-2</v>
      </c>
      <c r="BB176" s="16">
        <f t="shared" si="55"/>
        <v>-1.9942966635380754E-2</v>
      </c>
      <c r="BC176" s="16"/>
      <c r="BD176" s="1"/>
      <c r="BE176" s="16">
        <f>AM176/'2019-20 disagg'!AM176-1</f>
        <v>4.0687428888947608E-2</v>
      </c>
      <c r="BF176" s="16">
        <f>AN176/'2019-20 disagg'!AN176-1</f>
        <v>4.4976009689290608E-2</v>
      </c>
      <c r="BG176" s="16">
        <f>AO176/'2019-20 disagg'!AO176-1</f>
        <v>4.9503619209824601E-2</v>
      </c>
      <c r="BH176" s="16">
        <f>AQ176/'2019-20 disagg'!AQ176-1</f>
        <v>4.2590813746054668E-2</v>
      </c>
      <c r="BI176" s="1"/>
      <c r="BJ176" s="16">
        <f>AS176/'2019-20 disagg'!AS176-1</f>
        <v>3.4333918190120105E-2</v>
      </c>
      <c r="BK176" s="16">
        <f>AT176/'2019-20 disagg'!AT176-1</f>
        <v>3.8596316735117542E-2</v>
      </c>
      <c r="BL176" s="16">
        <f>AU176/'2019-20 disagg'!AU176-1</f>
        <v>4.3096284703798116E-2</v>
      </c>
      <c r="BM176" s="16">
        <f>AW176/'2019-20 disagg'!AW176-1</f>
        <v>3.6225682674271731E-2</v>
      </c>
    </row>
    <row r="177" spans="1:65" x14ac:dyDescent="0.2">
      <c r="A177" s="156" t="s">
        <v>399</v>
      </c>
      <c r="B177" s="156" t="s">
        <v>400</v>
      </c>
      <c r="D177" s="56">
        <f>VLOOKUP(A177,'2020-21'!$A$12:$AMX385,32,FALSE)</f>
        <v>971651.84855176148</v>
      </c>
      <c r="E177" s="56">
        <v>1852.1399218176741</v>
      </c>
      <c r="F177" s="16">
        <f>VLOOKUP(A177,'2020-21'!$A$12:$AMX385,34,FALSE)</f>
        <v>4.327810698695056E-2</v>
      </c>
      <c r="G177" s="16">
        <f>VLOOKUP(A177,'2020-21'!$A$12:$AMX385,35,FALSE)</f>
        <v>3.4872704815847255E-2</v>
      </c>
      <c r="H177" s="56"/>
      <c r="I177" s="56">
        <v>989998.50626011915</v>
      </c>
      <c r="J177" s="56">
        <v>1887.1118896312701</v>
      </c>
      <c r="K177" s="16">
        <f t="shared" si="57"/>
        <v>-1.8532005444801269E-2</v>
      </c>
      <c r="L177" s="58">
        <f t="shared" si="57"/>
        <v>-1.8532005444801269E-2</v>
      </c>
      <c r="M177" s="10"/>
      <c r="N177" s="56">
        <v>746343</v>
      </c>
      <c r="O177" s="56">
        <v>73709</v>
      </c>
      <c r="P177" s="56">
        <v>147932</v>
      </c>
      <c r="R177" s="56">
        <f t="shared" si="41"/>
        <v>147932</v>
      </c>
      <c r="S177" s="56">
        <f t="shared" si="42"/>
        <v>3667.8485517614754</v>
      </c>
      <c r="U177" s="16">
        <v>-2.4459809958489398E-2</v>
      </c>
      <c r="V177" s="16">
        <v>-4.3741657528907241E-2</v>
      </c>
      <c r="W177" s="56">
        <f t="shared" si="43"/>
        <v>4</v>
      </c>
      <c r="X177" s="56">
        <f t="shared" si="44"/>
        <v>7650.5612748588246</v>
      </c>
      <c r="Y177" s="56">
        <f t="shared" si="44"/>
        <v>770.80634726308995</v>
      </c>
      <c r="AA177" s="56">
        <f t="shared" si="56"/>
        <v>0</v>
      </c>
      <c r="AB177" s="56">
        <v>0</v>
      </c>
      <c r="AC177" s="56">
        <f t="shared" si="45"/>
        <v>3667.8485517614754</v>
      </c>
      <c r="AE177" s="56">
        <v>0</v>
      </c>
      <c r="AF177" s="56">
        <f t="shared" si="46"/>
        <v>0</v>
      </c>
      <c r="AG177" s="56">
        <f t="shared" si="47"/>
        <v>3667.8485517614754</v>
      </c>
      <c r="AI177" s="56">
        <f t="shared" si="48"/>
        <v>3332.1309971601586</v>
      </c>
      <c r="AJ177" s="56">
        <f t="shared" si="49"/>
        <v>335.71755460131709</v>
      </c>
      <c r="AK177" s="56">
        <f t="shared" si="50"/>
        <v>0</v>
      </c>
      <c r="AM177" s="56">
        <f t="shared" si="51"/>
        <v>749675</v>
      </c>
      <c r="AN177" s="56">
        <f t="shared" si="52"/>
        <v>74045</v>
      </c>
      <c r="AO177" s="56">
        <f t="shared" si="53"/>
        <v>147932</v>
      </c>
      <c r="AP177" s="56"/>
      <c r="AQ177" s="56">
        <f t="shared" si="54"/>
        <v>971652</v>
      </c>
      <c r="AR177" s="1"/>
      <c r="AS177" s="56">
        <v>1429.0128691240759</v>
      </c>
      <c r="AT177" s="56">
        <v>141.14283908932831</v>
      </c>
      <c r="AU177" s="56">
        <v>281.98450229134329</v>
      </c>
      <c r="AV177" s="56"/>
      <c r="AW177" s="56">
        <v>1852.1402105047475</v>
      </c>
      <c r="AX177" s="1"/>
      <c r="AY177" s="16">
        <v>-2.0104573943388604E-2</v>
      </c>
      <c r="AZ177" s="16">
        <v>-3.938258600344513E-2</v>
      </c>
      <c r="BA177" s="16">
        <v>4.7514624235422964E-4</v>
      </c>
      <c r="BB177" s="16">
        <f t="shared" si="55"/>
        <v>-1.8531852466551757E-2</v>
      </c>
      <c r="BC177" s="16"/>
      <c r="BD177" s="1"/>
      <c r="BE177" s="16">
        <f>AM177/'2019-20 disagg'!AM177-1</f>
        <v>4.1228293131441829E-2</v>
      </c>
      <c r="BF177" s="16">
        <f>AN177/'2019-20 disagg'!AN177-1</f>
        <v>4.7653409171300343E-2</v>
      </c>
      <c r="BG177" s="16">
        <f>AO177/'2019-20 disagg'!AO177-1</f>
        <v>5.1572040916425532E-2</v>
      </c>
      <c r="BH177" s="16">
        <f>AQ177/'2019-20 disagg'!AQ177-1</f>
        <v>4.3278269599342778E-2</v>
      </c>
      <c r="BI177" s="1"/>
      <c r="BJ177" s="16">
        <f>AS177/'2019-20 disagg'!AS177-1</f>
        <v>3.2839405741695415E-2</v>
      </c>
      <c r="BK177" s="16">
        <f>AT177/'2019-20 disagg'!AT177-1</f>
        <v>3.9212756404758187E-2</v>
      </c>
      <c r="BL177" s="16">
        <f>AU177/'2019-20 disagg'!AU177-1</f>
        <v>4.3099816821435155E-2</v>
      </c>
      <c r="BM177" s="16">
        <f>AW177/'2019-20 disagg'!AW177-1</f>
        <v>3.4872866118116574E-2</v>
      </c>
    </row>
    <row r="178" spans="1:65" x14ac:dyDescent="0.2">
      <c r="A178" s="156" t="s">
        <v>401</v>
      </c>
      <c r="B178" s="156" t="s">
        <v>402</v>
      </c>
      <c r="D178" s="56">
        <f>VLOOKUP(A178,'2020-21'!$A$12:$AMX386,32,FALSE)</f>
        <v>227026.55837816512</v>
      </c>
      <c r="E178" s="56">
        <v>1669.3355493940805</v>
      </c>
      <c r="F178" s="16">
        <f>VLOOKUP(A178,'2020-21'!$A$12:$AMX386,34,FALSE)</f>
        <v>4.1468337002505296E-2</v>
      </c>
      <c r="G178" s="16">
        <f>VLOOKUP(A178,'2020-21'!$A$12:$AMX386,35,FALSE)</f>
        <v>3.1323489256755099E-2</v>
      </c>
      <c r="H178" s="56"/>
      <c r="I178" s="56">
        <v>230600.22490377622</v>
      </c>
      <c r="J178" s="56">
        <v>1695.6128652090217</v>
      </c>
      <c r="K178" s="16">
        <f t="shared" si="57"/>
        <v>-1.5497237815367715E-2</v>
      </c>
      <c r="L178" s="58">
        <f t="shared" si="57"/>
        <v>-1.5497237815367715E-2</v>
      </c>
      <c r="M178" s="10"/>
      <c r="N178" s="56">
        <v>171155</v>
      </c>
      <c r="O178" s="56">
        <v>17562</v>
      </c>
      <c r="P178" s="56">
        <v>37988</v>
      </c>
      <c r="R178" s="56">
        <f t="shared" si="41"/>
        <v>37988</v>
      </c>
      <c r="S178" s="56">
        <f t="shared" si="42"/>
        <v>321.55837816512212</v>
      </c>
      <c r="U178" s="16">
        <v>-9.0265805299272195E-3</v>
      </c>
      <c r="V178" s="16">
        <v>-1.9975373713420841E-2</v>
      </c>
      <c r="W178" s="56">
        <f t="shared" si="43"/>
        <v>4</v>
      </c>
      <c r="X178" s="56">
        <f t="shared" si="44"/>
        <v>1727.1401698294376</v>
      </c>
      <c r="Y178" s="56">
        <f t="shared" si="44"/>
        <v>179.19957855084056</v>
      </c>
      <c r="AA178" s="56">
        <f t="shared" si="56"/>
        <v>0</v>
      </c>
      <c r="AB178" s="56">
        <v>0</v>
      </c>
      <c r="AC178" s="56">
        <f t="shared" si="45"/>
        <v>321.55837816512212</v>
      </c>
      <c r="AE178" s="56">
        <v>0</v>
      </c>
      <c r="AF178" s="56">
        <f t="shared" si="46"/>
        <v>0</v>
      </c>
      <c r="AG178" s="56">
        <f t="shared" si="47"/>
        <v>321.55837816512212</v>
      </c>
      <c r="AI178" s="56">
        <f t="shared" si="48"/>
        <v>291.33127625653458</v>
      </c>
      <c r="AJ178" s="56">
        <f t="shared" si="49"/>
        <v>30.227101908587485</v>
      </c>
      <c r="AK178" s="56">
        <f t="shared" si="50"/>
        <v>0</v>
      </c>
      <c r="AM178" s="56">
        <f t="shared" si="51"/>
        <v>171446</v>
      </c>
      <c r="AN178" s="56">
        <f t="shared" si="52"/>
        <v>17592</v>
      </c>
      <c r="AO178" s="56">
        <f t="shared" si="53"/>
        <v>37988</v>
      </c>
      <c r="AP178" s="56"/>
      <c r="AQ178" s="56">
        <f t="shared" si="54"/>
        <v>227026</v>
      </c>
      <c r="AR178" s="1"/>
      <c r="AS178" s="56">
        <v>1260.6494352290003</v>
      </c>
      <c r="AT178" s="56">
        <v>129.3546939826451</v>
      </c>
      <c r="AU178" s="56">
        <v>279.32731440499788</v>
      </c>
      <c r="AV178" s="56"/>
      <c r="AW178" s="56">
        <v>1669.3314436166434</v>
      </c>
      <c r="AX178" s="1"/>
      <c r="AY178" s="16">
        <v>-7.3417143848201194E-3</v>
      </c>
      <c r="AZ178" s="16">
        <v>-1.8301262633327653E-2</v>
      </c>
      <c r="BA178" s="16">
        <v>-4.9498015512938642E-2</v>
      </c>
      <c r="BB178" s="16">
        <f t="shared" si="55"/>
        <v>-1.5499659227425577E-2</v>
      </c>
      <c r="BC178" s="16"/>
      <c r="BD178" s="1"/>
      <c r="BE178" s="16">
        <f>AM178/'2019-20 disagg'!AM178-1</f>
        <v>3.8361839236397133E-2</v>
      </c>
      <c r="BF178" s="16">
        <f>AN178/'2019-20 disagg'!AN178-1</f>
        <v>4.6457676521325375E-2</v>
      </c>
      <c r="BG178" s="16">
        <f>AO178/'2019-20 disagg'!AO178-1</f>
        <v>5.3349600709849065E-2</v>
      </c>
      <c r="BH178" s="16">
        <f>AQ178/'2019-20 disagg'!AQ178-1</f>
        <v>4.1465775482024236E-2</v>
      </c>
      <c r="BI178" s="1"/>
      <c r="BJ178" s="16">
        <f>AS178/'2019-20 disagg'!AS178-1</f>
        <v>2.8247251601050793E-2</v>
      </c>
      <c r="BK178" s="16">
        <f>AT178/'2019-20 disagg'!AT178-1</f>
        <v>3.6264228075993721E-2</v>
      </c>
      <c r="BL178" s="16">
        <f>AU178/'2019-20 disagg'!AU178-1</f>
        <v>4.3089018661810918E-2</v>
      </c>
      <c r="BM178" s="16">
        <f>AW178/'2019-20 disagg'!AW178-1</f>
        <v>3.1320952687810655E-2</v>
      </c>
    </row>
    <row r="179" spans="1:65" x14ac:dyDescent="0.2">
      <c r="A179" s="156" t="s">
        <v>403</v>
      </c>
      <c r="B179" s="156" t="s">
        <v>404</v>
      </c>
      <c r="D179" s="56">
        <f>VLOOKUP(A179,'2020-21'!$A$12:$AMX387,32,FALSE)</f>
        <v>464059.93729687715</v>
      </c>
      <c r="E179" s="56">
        <v>1706.317204104942</v>
      </c>
      <c r="F179" s="16">
        <f>VLOOKUP(A179,'2020-21'!$A$12:$AMX387,34,FALSE)</f>
        <v>4.5719385216422825E-2</v>
      </c>
      <c r="G179" s="16">
        <f>VLOOKUP(A179,'2020-21'!$A$12:$AMX387,35,FALSE)</f>
        <v>3.5665582559861075E-2</v>
      </c>
      <c r="H179" s="56"/>
      <c r="I179" s="56">
        <v>473304.02895787021</v>
      </c>
      <c r="J179" s="56">
        <v>1740.3071079293366</v>
      </c>
      <c r="K179" s="16">
        <f t="shared" si="57"/>
        <v>-1.9530980290505595E-2</v>
      </c>
      <c r="L179" s="58">
        <f t="shared" si="57"/>
        <v>-1.9530980290505484E-2</v>
      </c>
      <c r="M179" s="10"/>
      <c r="N179" s="56">
        <v>342804</v>
      </c>
      <c r="O179" s="56">
        <v>36258</v>
      </c>
      <c r="P179" s="56">
        <v>82530</v>
      </c>
      <c r="R179" s="56">
        <f t="shared" si="41"/>
        <v>82530</v>
      </c>
      <c r="S179" s="56">
        <f t="shared" si="42"/>
        <v>2467.9372968771495</v>
      </c>
      <c r="U179" s="16">
        <v>-3.3076399481627661E-2</v>
      </c>
      <c r="V179" s="16">
        <v>-2.1836217595897045E-2</v>
      </c>
      <c r="W179" s="56">
        <f t="shared" si="43"/>
        <v>4</v>
      </c>
      <c r="X179" s="56">
        <f t="shared" si="44"/>
        <v>3545.3059560881661</v>
      </c>
      <c r="Y179" s="56">
        <f t="shared" si="44"/>
        <v>370.67412075804037</v>
      </c>
      <c r="AA179" s="56">
        <f t="shared" si="56"/>
        <v>0</v>
      </c>
      <c r="AB179" s="56">
        <v>0</v>
      </c>
      <c r="AC179" s="56">
        <f t="shared" si="45"/>
        <v>2467.9372968771495</v>
      </c>
      <c r="AE179" s="56">
        <v>0</v>
      </c>
      <c r="AF179" s="56">
        <f t="shared" si="46"/>
        <v>0</v>
      </c>
      <c r="AG179" s="56">
        <f t="shared" si="47"/>
        <v>2467.9372968771495</v>
      </c>
      <c r="AI179" s="56">
        <f t="shared" si="48"/>
        <v>2234.33026373242</v>
      </c>
      <c r="AJ179" s="56">
        <f t="shared" si="49"/>
        <v>233.60703314472954</v>
      </c>
      <c r="AK179" s="56">
        <f t="shared" si="50"/>
        <v>0</v>
      </c>
      <c r="AM179" s="56">
        <f t="shared" si="51"/>
        <v>345038</v>
      </c>
      <c r="AN179" s="56">
        <f t="shared" si="52"/>
        <v>36492</v>
      </c>
      <c r="AO179" s="56">
        <f t="shared" si="53"/>
        <v>82530</v>
      </c>
      <c r="AP179" s="56"/>
      <c r="AQ179" s="56">
        <f t="shared" si="54"/>
        <v>464060</v>
      </c>
      <c r="AR179" s="1"/>
      <c r="AS179" s="56">
        <v>1268.6815390687743</v>
      </c>
      <c r="AT179" s="56">
        <v>134.17863169766144</v>
      </c>
      <c r="AU179" s="56">
        <v>303.4572638936753</v>
      </c>
      <c r="AV179" s="56"/>
      <c r="AW179" s="56">
        <v>1706.3174346601111</v>
      </c>
      <c r="AX179" s="1"/>
      <c r="AY179" s="16">
        <v>-2.6775109754675674E-2</v>
      </c>
      <c r="AZ179" s="16">
        <v>-1.5523394906213017E-2</v>
      </c>
      <c r="BA179" s="16">
        <v>1.0084675693542877E-2</v>
      </c>
      <c r="BB179" s="16">
        <f t="shared" si="55"/>
        <v>-1.9530847810917407E-2</v>
      </c>
      <c r="BC179" s="16"/>
      <c r="BD179" s="1"/>
      <c r="BE179" s="16">
        <f>AM179/'2019-20 disagg'!AM179-1</f>
        <v>4.3356516480193452E-2</v>
      </c>
      <c r="BF179" s="16">
        <f>AN179/'2019-20 disagg'!AN179-1</f>
        <v>5.1279096566029025E-2</v>
      </c>
      <c r="BG179" s="16">
        <f>AO179/'2019-20 disagg'!AO179-1</f>
        <v>5.3229367398767158E-2</v>
      </c>
      <c r="BH179" s="16">
        <f>AQ179/'2019-20 disagg'!AQ179-1</f>
        <v>4.571952651254807E-2</v>
      </c>
      <c r="BI179" s="1"/>
      <c r="BJ179" s="16">
        <f>AS179/'2019-20 disagg'!AS179-1</f>
        <v>3.3325431023210728E-2</v>
      </c>
      <c r="BK179" s="16">
        <f>AT179/'2019-20 disagg'!AT179-1</f>
        <v>4.1171841480903248E-2</v>
      </c>
      <c r="BL179" s="16">
        <f>AU179/'2019-20 disagg'!AU179-1</f>
        <v>4.3103361931506212E-2</v>
      </c>
      <c r="BM179" s="16">
        <f>AW179/'2019-20 disagg'!AW179-1</f>
        <v>3.5665722497530972E-2</v>
      </c>
    </row>
    <row r="180" spans="1:65" x14ac:dyDescent="0.2">
      <c r="A180" s="156" t="s">
        <v>405</v>
      </c>
      <c r="B180" s="156" t="s">
        <v>406</v>
      </c>
      <c r="D180" s="56">
        <f>VLOOKUP(A180,'2020-21'!$A$12:$AMX388,32,FALSE)</f>
        <v>316427.79992011294</v>
      </c>
      <c r="E180" s="56">
        <v>1672.7681338432199</v>
      </c>
      <c r="F180" s="16">
        <f>VLOOKUP(A180,'2020-21'!$A$12:$AMX388,34,FALSE)</f>
        <v>4.8715237581117288E-2</v>
      </c>
      <c r="G180" s="16">
        <f>VLOOKUP(A180,'2020-21'!$A$12:$AMX388,35,FALSE)</f>
        <v>3.7501696073920732E-2</v>
      </c>
      <c r="H180" s="56"/>
      <c r="I180" s="56">
        <v>323291.61841546767</v>
      </c>
      <c r="J180" s="56">
        <v>1709.0531153094873</v>
      </c>
      <c r="K180" s="16">
        <f t="shared" si="57"/>
        <v>-2.123104375237439E-2</v>
      </c>
      <c r="L180" s="58">
        <f t="shared" si="57"/>
        <v>-2.123104375237439E-2</v>
      </c>
      <c r="M180" s="10"/>
      <c r="N180" s="56">
        <v>236767</v>
      </c>
      <c r="O180" s="56">
        <v>23843</v>
      </c>
      <c r="P180" s="56">
        <v>53268</v>
      </c>
      <c r="R180" s="56">
        <f t="shared" si="41"/>
        <v>53268</v>
      </c>
      <c r="S180" s="56">
        <f t="shared" si="42"/>
        <v>2549.7999201129423</v>
      </c>
      <c r="U180" s="16">
        <v>-2.7869055247294994E-2</v>
      </c>
      <c r="V180" s="16">
        <v>-3.256928264120007E-2</v>
      </c>
      <c r="W180" s="56">
        <f t="shared" si="43"/>
        <v>4</v>
      </c>
      <c r="X180" s="56">
        <f t="shared" si="44"/>
        <v>2435.5463765247164</v>
      </c>
      <c r="Y180" s="56">
        <f t="shared" si="44"/>
        <v>246.45692525759577</v>
      </c>
      <c r="AA180" s="56">
        <f t="shared" si="56"/>
        <v>0</v>
      </c>
      <c r="AB180" s="56">
        <v>0</v>
      </c>
      <c r="AC180" s="56">
        <f t="shared" si="45"/>
        <v>2549.7999201129423</v>
      </c>
      <c r="AE180" s="56">
        <v>0</v>
      </c>
      <c r="AF180" s="56">
        <f t="shared" si="46"/>
        <v>0</v>
      </c>
      <c r="AG180" s="56">
        <f t="shared" si="47"/>
        <v>2549.7999201129423</v>
      </c>
      <c r="AI180" s="56">
        <f t="shared" si="48"/>
        <v>2315.4915402852635</v>
      </c>
      <c r="AJ180" s="56">
        <f t="shared" si="49"/>
        <v>234.30837982767895</v>
      </c>
      <c r="AK180" s="56">
        <f t="shared" si="50"/>
        <v>0</v>
      </c>
      <c r="AM180" s="56">
        <f t="shared" si="51"/>
        <v>239082</v>
      </c>
      <c r="AN180" s="56">
        <f t="shared" si="52"/>
        <v>24077</v>
      </c>
      <c r="AO180" s="56">
        <f t="shared" si="53"/>
        <v>53268</v>
      </c>
      <c r="AP180" s="56"/>
      <c r="AQ180" s="56">
        <f t="shared" si="54"/>
        <v>316427</v>
      </c>
      <c r="AR180" s="1"/>
      <c r="AS180" s="56">
        <v>1263.8862675039072</v>
      </c>
      <c r="AT180" s="56">
        <v>127.28097331748761</v>
      </c>
      <c r="AU180" s="56">
        <v>281.59666431349132</v>
      </c>
      <c r="AV180" s="56"/>
      <c r="AW180" s="56">
        <v>1672.763905134886</v>
      </c>
      <c r="AX180" s="1"/>
      <c r="AY180" s="16">
        <v>-1.8364001176826905E-2</v>
      </c>
      <c r="AZ180" s="16">
        <v>-2.3074722901991085E-2</v>
      </c>
      <c r="BA180" s="16">
        <v>-3.309576333348585E-2</v>
      </c>
      <c r="BB180" s="16">
        <f t="shared" si="55"/>
        <v>-2.1233518051327338E-2</v>
      </c>
      <c r="BC180" s="16"/>
      <c r="BD180" s="1"/>
      <c r="BE180" s="16">
        <f>AM180/'2019-20 disagg'!AM180-1</f>
        <v>4.6736746246831329E-2</v>
      </c>
      <c r="BF180" s="16">
        <f>AN180/'2019-20 disagg'!AN180-1</f>
        <v>5.596245778693909E-2</v>
      </c>
      <c r="BG180" s="16">
        <f>AO180/'2019-20 disagg'!AO180-1</f>
        <v>5.4373428871162588E-2</v>
      </c>
      <c r="BH180" s="16">
        <f>AQ180/'2019-20 disagg'!AQ180-1</f>
        <v>4.871258646003529E-2</v>
      </c>
      <c r="BI180" s="1"/>
      <c r="BJ180" s="16">
        <f>AS180/'2019-20 disagg'!AS180-1</f>
        <v>3.5544360048438861E-2</v>
      </c>
      <c r="BK180" s="16">
        <f>AT180/'2019-20 disagg'!AT180-1</f>
        <v>4.4671424314643327E-2</v>
      </c>
      <c r="BL180" s="16">
        <f>AU180/'2019-20 disagg'!AU180-1</f>
        <v>4.3099386323633082E-2</v>
      </c>
      <c r="BM180" s="16">
        <f>AW180/'2019-20 disagg'!AW180-1</f>
        <v>3.7499073300339747E-2</v>
      </c>
    </row>
    <row r="181" spans="1:65" x14ac:dyDescent="0.2">
      <c r="A181" s="156" t="s">
        <v>407</v>
      </c>
      <c r="B181" s="156" t="s">
        <v>408</v>
      </c>
      <c r="D181" s="56">
        <f>VLOOKUP(A181,'2020-21'!$A$12:$AMX389,32,FALSE)</f>
        <v>373461.97620616923</v>
      </c>
      <c r="E181" s="56">
        <v>1871.545142627584</v>
      </c>
      <c r="F181" s="16">
        <f>VLOOKUP(A181,'2020-21'!$A$12:$AMX389,34,FALSE)</f>
        <v>4.0678296530633373E-2</v>
      </c>
      <c r="G181" s="16">
        <f>VLOOKUP(A181,'2020-21'!$A$12:$AMX389,35,FALSE)</f>
        <v>3.2819432123157855E-2</v>
      </c>
      <c r="H181" s="56"/>
      <c r="I181" s="56">
        <v>379803.44614068297</v>
      </c>
      <c r="J181" s="56">
        <v>1903.3244080125721</v>
      </c>
      <c r="K181" s="16">
        <f t="shared" si="57"/>
        <v>-1.669671510080184E-2</v>
      </c>
      <c r="L181" s="58">
        <f t="shared" si="57"/>
        <v>-1.6696715100801729E-2</v>
      </c>
      <c r="M181" s="10"/>
      <c r="N181" s="56">
        <v>285324</v>
      </c>
      <c r="O181" s="56">
        <v>28216</v>
      </c>
      <c r="P181" s="56">
        <v>59431</v>
      </c>
      <c r="R181" s="56">
        <f t="shared" si="41"/>
        <v>59431</v>
      </c>
      <c r="S181" s="56">
        <f t="shared" si="42"/>
        <v>490.97620616923086</v>
      </c>
      <c r="U181" s="16">
        <v>-1.8666495187458221E-2</v>
      </c>
      <c r="V181" s="16">
        <v>-4.7867923662467837E-2</v>
      </c>
      <c r="W181" s="56">
        <f t="shared" si="43"/>
        <v>4</v>
      </c>
      <c r="X181" s="56">
        <f t="shared" si="44"/>
        <v>2907.513078894659</v>
      </c>
      <c r="Y181" s="56">
        <f t="shared" si="44"/>
        <v>296.34544094486938</v>
      </c>
      <c r="AA181" s="56">
        <f t="shared" si="56"/>
        <v>0</v>
      </c>
      <c r="AB181" s="56">
        <v>0</v>
      </c>
      <c r="AC181" s="56">
        <f t="shared" si="45"/>
        <v>490.97620616923086</v>
      </c>
      <c r="AE181" s="56">
        <v>0</v>
      </c>
      <c r="AF181" s="56">
        <f t="shared" si="46"/>
        <v>0</v>
      </c>
      <c r="AG181" s="56">
        <f t="shared" si="47"/>
        <v>490.97620616923086</v>
      </c>
      <c r="AI181" s="56">
        <f t="shared" si="48"/>
        <v>445.56266514996406</v>
      </c>
      <c r="AJ181" s="56">
        <f t="shared" si="49"/>
        <v>45.413541019266788</v>
      </c>
      <c r="AK181" s="56">
        <f t="shared" si="50"/>
        <v>0</v>
      </c>
      <c r="AM181" s="56">
        <f t="shared" si="51"/>
        <v>285770</v>
      </c>
      <c r="AN181" s="56">
        <f t="shared" si="52"/>
        <v>28261</v>
      </c>
      <c r="AO181" s="56">
        <f t="shared" si="53"/>
        <v>59431</v>
      </c>
      <c r="AP181" s="56"/>
      <c r="AQ181" s="56">
        <f t="shared" si="54"/>
        <v>373462</v>
      </c>
      <c r="AR181" s="1"/>
      <c r="AS181" s="56">
        <v>1432.09078697059</v>
      </c>
      <c r="AT181" s="56">
        <v>141.6254950854738</v>
      </c>
      <c r="AU181" s="56">
        <v>297.82897981050894</v>
      </c>
      <c r="AV181" s="56"/>
      <c r="AW181" s="56">
        <v>1871.5452618665729</v>
      </c>
      <c r="AX181" s="1"/>
      <c r="AY181" s="16">
        <v>-1.713253820120253E-2</v>
      </c>
      <c r="AZ181" s="16">
        <v>-4.6349425525411214E-2</v>
      </c>
      <c r="BA181" s="16">
        <v>2.2562076873211545E-4</v>
      </c>
      <c r="BB181" s="16">
        <f t="shared" si="55"/>
        <v>-1.6696652453053407E-2</v>
      </c>
      <c r="BC181" s="16"/>
      <c r="BD181" s="1"/>
      <c r="BE181" s="16">
        <f>AM181/'2019-20 disagg'!AM181-1</f>
        <v>3.8219800181652941E-2</v>
      </c>
      <c r="BF181" s="16">
        <f>AN181/'2019-20 disagg'!AN181-1</f>
        <v>4.4035612693487103E-2</v>
      </c>
      <c r="BG181" s="16">
        <f>AO181/'2019-20 disagg'!AO181-1</f>
        <v>5.1038995490317429E-2</v>
      </c>
      <c r="BH181" s="16">
        <f>AQ181/'2019-20 disagg'!AQ181-1</f>
        <v>4.0678362833831194E-2</v>
      </c>
      <c r="BI181" s="1"/>
      <c r="BJ181" s="16">
        <f>AS181/'2019-20 disagg'!AS181-1</f>
        <v>3.037950153990665E-2</v>
      </c>
      <c r="BK181" s="16">
        <f>AT181/'2019-20 disagg'!AT181-1</f>
        <v>3.6151394925049818E-2</v>
      </c>
      <c r="BL181" s="16">
        <f>AU181/'2019-20 disagg'!AU181-1</f>
        <v>4.3101890450206071E-2</v>
      </c>
      <c r="BM181" s="16">
        <f>AW181/'2019-20 disagg'!AW181-1</f>
        <v>3.2819497925655527E-2</v>
      </c>
    </row>
    <row r="182" spans="1:65" x14ac:dyDescent="0.2">
      <c r="A182" s="156" t="s">
        <v>409</v>
      </c>
      <c r="B182" s="156" t="s">
        <v>410</v>
      </c>
      <c r="D182" s="56">
        <f>VLOOKUP(A182,'2020-21'!$A$12:$AMX390,32,FALSE)</f>
        <v>337883.41532998346</v>
      </c>
      <c r="E182" s="56">
        <v>1619.4888573786593</v>
      </c>
      <c r="F182" s="16">
        <f>VLOOKUP(A182,'2020-21'!$A$12:$AMX390,34,FALSE)</f>
        <v>4.1259234595243166E-2</v>
      </c>
      <c r="G182" s="16">
        <f>VLOOKUP(A182,'2020-21'!$A$12:$AMX390,35,FALSE)</f>
        <v>3.5474345868350632E-2</v>
      </c>
      <c r="H182" s="56"/>
      <c r="I182" s="56">
        <v>344426.36834930186</v>
      </c>
      <c r="J182" s="56">
        <v>1650.8494954815676</v>
      </c>
      <c r="K182" s="16">
        <f t="shared" si="57"/>
        <v>-1.8996666981904387E-2</v>
      </c>
      <c r="L182" s="58">
        <f t="shared" si="57"/>
        <v>-1.8996666981904387E-2</v>
      </c>
      <c r="M182" s="10"/>
      <c r="N182" s="56">
        <v>258938</v>
      </c>
      <c r="O182" s="56">
        <v>27375</v>
      </c>
      <c r="P182" s="56">
        <v>50752</v>
      </c>
      <c r="R182" s="56">
        <f t="shared" si="41"/>
        <v>50752</v>
      </c>
      <c r="S182" s="56">
        <f t="shared" si="42"/>
        <v>818.41532998345792</v>
      </c>
      <c r="U182" s="16">
        <v>-3.4381084549969798E-2</v>
      </c>
      <c r="V182" s="16">
        <v>-3.0034171056597447E-2</v>
      </c>
      <c r="W182" s="56">
        <f t="shared" si="43"/>
        <v>4</v>
      </c>
      <c r="X182" s="56">
        <f t="shared" si="44"/>
        <v>2681.575473066629</v>
      </c>
      <c r="Y182" s="56">
        <f t="shared" si="44"/>
        <v>282.22643708820107</v>
      </c>
      <c r="AA182" s="56">
        <f t="shared" si="56"/>
        <v>0</v>
      </c>
      <c r="AB182" s="56">
        <v>0</v>
      </c>
      <c r="AC182" s="56">
        <f t="shared" si="45"/>
        <v>818.41532998345792</v>
      </c>
      <c r="AE182" s="56">
        <v>0</v>
      </c>
      <c r="AF182" s="56">
        <f t="shared" si="46"/>
        <v>0</v>
      </c>
      <c r="AG182" s="56">
        <f t="shared" si="47"/>
        <v>818.41532998345792</v>
      </c>
      <c r="AI182" s="56">
        <f t="shared" si="48"/>
        <v>740.48217195147276</v>
      </c>
      <c r="AJ182" s="56">
        <f t="shared" si="49"/>
        <v>77.933158031985101</v>
      </c>
      <c r="AK182" s="56">
        <f t="shared" si="50"/>
        <v>0</v>
      </c>
      <c r="AM182" s="56">
        <f t="shared" si="51"/>
        <v>259678</v>
      </c>
      <c r="AN182" s="56">
        <f t="shared" si="52"/>
        <v>27453</v>
      </c>
      <c r="AO182" s="56">
        <f t="shared" si="53"/>
        <v>50752</v>
      </c>
      <c r="AP182" s="56"/>
      <c r="AQ182" s="56">
        <f t="shared" si="54"/>
        <v>337883</v>
      </c>
      <c r="AR182" s="1"/>
      <c r="AS182" s="56">
        <v>1244.6471428485547</v>
      </c>
      <c r="AT182" s="56">
        <v>131.58333787468086</v>
      </c>
      <c r="AU182" s="56">
        <v>243.25638596203703</v>
      </c>
      <c r="AV182" s="56"/>
      <c r="AW182" s="56">
        <v>1619.4868666852726</v>
      </c>
      <c r="AX182" s="1"/>
      <c r="AY182" s="16">
        <v>-3.1621512770497406E-2</v>
      </c>
      <c r="AZ182" s="16">
        <v>-2.7270432804265554E-2</v>
      </c>
      <c r="BA182" s="16">
        <v>5.6317126904424253E-2</v>
      </c>
      <c r="BB182" s="16">
        <f t="shared" si="55"/>
        <v>-1.8997872841912788E-2</v>
      </c>
      <c r="BC182" s="16"/>
      <c r="BD182" s="1"/>
      <c r="BE182" s="16">
        <f>AM182/'2019-20 disagg'!AM182-1</f>
        <v>3.9564442843131431E-2</v>
      </c>
      <c r="BF182" s="16">
        <f>AN182/'2019-20 disagg'!AN182-1</f>
        <v>4.3245297358920798E-2</v>
      </c>
      <c r="BG182" s="16">
        <f>AO182/'2019-20 disagg'!AO182-1</f>
        <v>4.8920119871861178E-2</v>
      </c>
      <c r="BH182" s="16">
        <f>AQ182/'2019-20 disagg'!AQ182-1</f>
        <v>4.1257954668022512E-2</v>
      </c>
      <c r="BI182" s="1"/>
      <c r="BJ182" s="16">
        <f>AS182/'2019-20 disagg'!AS182-1</f>
        <v>3.3788969813478786E-2</v>
      </c>
      <c r="BK182" s="16">
        <f>AT182/'2019-20 disagg'!AT182-1</f>
        <v>3.7449374730276874E-2</v>
      </c>
      <c r="BL182" s="16">
        <f>AU182/'2019-20 disagg'!AU182-1</f>
        <v>4.3092669823635577E-2</v>
      </c>
      <c r="BM182" s="16">
        <f>AW182/'2019-20 disagg'!AW182-1</f>
        <v>3.5473073051978332E-2</v>
      </c>
    </row>
    <row r="183" spans="1:65" x14ac:dyDescent="0.2">
      <c r="A183" s="156" t="s">
        <v>411</v>
      </c>
      <c r="B183" s="156" t="s">
        <v>412</v>
      </c>
      <c r="D183" s="56">
        <f>VLOOKUP(A183,'2020-21'!$A$12:$AMX391,32,FALSE)</f>
        <v>355248</v>
      </c>
      <c r="E183" s="56">
        <v>1547.9642307080535</v>
      </c>
      <c r="F183" s="16">
        <f>VLOOKUP(A183,'2020-21'!$A$12:$AMX391,34,FALSE)</f>
        <v>3.9390259958745899E-2</v>
      </c>
      <c r="G183" s="16">
        <f>VLOOKUP(A183,'2020-21'!$A$12:$AMX391,35,FALSE)</f>
        <v>3.1955746381657546E-2</v>
      </c>
      <c r="H183" s="56"/>
      <c r="I183" s="56">
        <v>357095.33462202398</v>
      </c>
      <c r="J183" s="56">
        <v>1556.0138408875387</v>
      </c>
      <c r="K183" s="16">
        <f t="shared" si="57"/>
        <v>-5.1732253068479395E-3</v>
      </c>
      <c r="L183" s="58">
        <f t="shared" si="57"/>
        <v>-5.1732253068480505E-3</v>
      </c>
      <c r="M183" s="10"/>
      <c r="N183" s="56">
        <v>266025</v>
      </c>
      <c r="O183" s="56">
        <v>28924</v>
      </c>
      <c r="P183" s="56">
        <v>60299</v>
      </c>
      <c r="R183" s="56">
        <f t="shared" si="41"/>
        <v>60299</v>
      </c>
      <c r="S183" s="56">
        <f t="shared" si="42"/>
        <v>0</v>
      </c>
      <c r="U183" s="16">
        <v>-2.4844599697701142E-2</v>
      </c>
      <c r="V183" s="16">
        <v>-4.8040143422680259E-2</v>
      </c>
      <c r="W183" s="56">
        <f t="shared" si="43"/>
        <v>4</v>
      </c>
      <c r="X183" s="56">
        <f t="shared" si="44"/>
        <v>2728.026732124255</v>
      </c>
      <c r="Y183" s="56">
        <f t="shared" si="44"/>
        <v>303.83634141878071</v>
      </c>
      <c r="AA183" s="56">
        <f t="shared" si="56"/>
        <v>0</v>
      </c>
      <c r="AB183" s="56">
        <v>0</v>
      </c>
      <c r="AC183" s="56">
        <f t="shared" si="45"/>
        <v>0</v>
      </c>
      <c r="AE183" s="56">
        <v>0</v>
      </c>
      <c r="AF183" s="56">
        <f t="shared" si="46"/>
        <v>0</v>
      </c>
      <c r="AG183" s="56">
        <f t="shared" si="47"/>
        <v>0</v>
      </c>
      <c r="AI183" s="56">
        <f t="shared" si="48"/>
        <v>0</v>
      </c>
      <c r="AJ183" s="56">
        <f t="shared" si="49"/>
        <v>0</v>
      </c>
      <c r="AK183" s="56">
        <f t="shared" si="50"/>
        <v>0</v>
      </c>
      <c r="AM183" s="56">
        <f t="shared" si="51"/>
        <v>266025</v>
      </c>
      <c r="AN183" s="56">
        <f t="shared" si="52"/>
        <v>28924</v>
      </c>
      <c r="AO183" s="56">
        <f t="shared" si="53"/>
        <v>60299</v>
      </c>
      <c r="AP183" s="56"/>
      <c r="AQ183" s="56">
        <f t="shared" si="54"/>
        <v>355248</v>
      </c>
      <c r="AR183" s="1"/>
      <c r="AS183" s="56">
        <v>1159.1822740004445</v>
      </c>
      <c r="AT183" s="56">
        <v>126.03397460084149</v>
      </c>
      <c r="AU183" s="56">
        <v>262.74798210676744</v>
      </c>
      <c r="AV183" s="56"/>
      <c r="AW183" s="56">
        <v>1547.9642307080535</v>
      </c>
      <c r="AX183" s="1"/>
      <c r="AY183" s="16">
        <v>-2.4844599697701142E-2</v>
      </c>
      <c r="AZ183" s="16">
        <v>-4.8040143422680259E-2</v>
      </c>
      <c r="BA183" s="16">
        <v>0.11853251776452933</v>
      </c>
      <c r="BB183" s="16">
        <f t="shared" si="55"/>
        <v>-5.1732253068479395E-3</v>
      </c>
      <c r="BC183" s="16"/>
      <c r="BD183" s="1"/>
      <c r="BE183" s="16">
        <f>AM183/'2019-20 disagg'!AM183-1</f>
        <v>3.6601047414196231E-2</v>
      </c>
      <c r="BF183" s="16">
        <f>AN183/'2019-20 disagg'!AN183-1</f>
        <v>4.1968370618538087E-2</v>
      </c>
      <c r="BG183" s="16">
        <f>AO183/'2019-20 disagg'!AO183-1</f>
        <v>5.0615046869010749E-2</v>
      </c>
      <c r="BH183" s="16">
        <f>AQ183/'2019-20 disagg'!AQ183-1</f>
        <v>3.9390259958745899E-2</v>
      </c>
      <c r="BI183" s="1"/>
      <c r="BJ183" s="16">
        <f>AS183/'2019-20 disagg'!AS183-1</f>
        <v>2.9186484417107028E-2</v>
      </c>
      <c r="BK183" s="16">
        <f>AT183/'2019-20 disagg'!AT183-1</f>
        <v>3.4515416423481771E-2</v>
      </c>
      <c r="BL183" s="16">
        <f>AU183/'2019-20 disagg'!AU183-1</f>
        <v>4.3100245036491014E-2</v>
      </c>
      <c r="BM183" s="16">
        <f>AW183/'2019-20 disagg'!AW183-1</f>
        <v>3.1955746381657546E-2</v>
      </c>
    </row>
    <row r="184" spans="1:65" x14ac:dyDescent="0.2">
      <c r="A184" s="156" t="s">
        <v>413</v>
      </c>
      <c r="B184" s="156" t="s">
        <v>414</v>
      </c>
      <c r="D184" s="56">
        <f>VLOOKUP(A184,'2020-21'!$A$12:$AMX392,32,FALSE)</f>
        <v>375301</v>
      </c>
      <c r="E184" s="56">
        <v>1951.2196891540916</v>
      </c>
      <c r="F184" s="16">
        <f>VLOOKUP(A184,'2020-21'!$A$12:$AMX392,34,FALSE)</f>
        <v>3.8915632967282399E-2</v>
      </c>
      <c r="G184" s="16">
        <f>VLOOKUP(A184,'2020-21'!$A$12:$AMX392,35,FALSE)</f>
        <v>3.1569216361460484E-2</v>
      </c>
      <c r="H184" s="56"/>
      <c r="I184" s="56">
        <v>365913.44967883197</v>
      </c>
      <c r="J184" s="56">
        <v>1902.4130698815934</v>
      </c>
      <c r="K184" s="16">
        <f t="shared" si="57"/>
        <v>2.5655111418855014E-2</v>
      </c>
      <c r="L184" s="58">
        <f t="shared" si="57"/>
        <v>2.5655111418855014E-2</v>
      </c>
      <c r="M184" s="10"/>
      <c r="N184" s="56">
        <v>294342</v>
      </c>
      <c r="O184" s="56">
        <v>29009</v>
      </c>
      <c r="P184" s="56">
        <v>51950</v>
      </c>
      <c r="R184" s="56">
        <f t="shared" si="41"/>
        <v>51950</v>
      </c>
      <c r="S184" s="56">
        <f t="shared" si="42"/>
        <v>0</v>
      </c>
      <c r="U184" s="16">
        <v>4.776836613670743E-2</v>
      </c>
      <c r="V184" s="16">
        <v>-2.0990413282264808E-2</v>
      </c>
      <c r="W184" s="56">
        <f t="shared" si="43"/>
        <v>3</v>
      </c>
      <c r="X184" s="56">
        <f t="shared" si="44"/>
        <v>2809.2277788962733</v>
      </c>
      <c r="Y184" s="56">
        <f t="shared" si="44"/>
        <v>296.30966227058792</v>
      </c>
      <c r="AA184" s="56">
        <f t="shared" si="56"/>
        <v>0</v>
      </c>
      <c r="AB184" s="56">
        <v>0</v>
      </c>
      <c r="AC184" s="56">
        <f t="shared" si="45"/>
        <v>0</v>
      </c>
      <c r="AE184" s="56">
        <v>0</v>
      </c>
      <c r="AF184" s="56">
        <f t="shared" si="46"/>
        <v>0</v>
      </c>
      <c r="AG184" s="56">
        <f t="shared" si="47"/>
        <v>0</v>
      </c>
      <c r="AI184" s="56">
        <f t="shared" si="48"/>
        <v>0</v>
      </c>
      <c r="AJ184" s="56">
        <f t="shared" si="49"/>
        <v>0</v>
      </c>
      <c r="AK184" s="56">
        <f t="shared" si="50"/>
        <v>0</v>
      </c>
      <c r="AM184" s="56">
        <f t="shared" si="51"/>
        <v>294342</v>
      </c>
      <c r="AN184" s="56">
        <f t="shared" si="52"/>
        <v>29009</v>
      </c>
      <c r="AO184" s="56">
        <f t="shared" si="53"/>
        <v>51950</v>
      </c>
      <c r="AP184" s="56"/>
      <c r="AQ184" s="56">
        <f t="shared" si="54"/>
        <v>375301</v>
      </c>
      <c r="AR184" s="1"/>
      <c r="AS184" s="56">
        <v>1530.3074218960078</v>
      </c>
      <c r="AT184" s="56">
        <v>150.82009363862883</v>
      </c>
      <c r="AU184" s="56">
        <v>270.09217361945497</v>
      </c>
      <c r="AV184" s="56"/>
      <c r="AW184" s="56">
        <v>1951.2196891540916</v>
      </c>
      <c r="AX184" s="1"/>
      <c r="AY184" s="16">
        <v>4.776836613670743E-2</v>
      </c>
      <c r="AZ184" s="16">
        <v>-2.0990413282264808E-2</v>
      </c>
      <c r="BA184" s="16">
        <v>-6.1591829788873897E-2</v>
      </c>
      <c r="BB184" s="16">
        <f t="shared" si="55"/>
        <v>2.5655111418855014E-2</v>
      </c>
      <c r="BC184" s="16"/>
      <c r="BD184" s="1"/>
      <c r="BE184" s="16">
        <f>AM184/'2019-20 disagg'!AM184-1</f>
        <v>3.6601643252837768E-2</v>
      </c>
      <c r="BF184" s="16">
        <f>AN184/'2019-20 disagg'!AN184-1</f>
        <v>4.1877671227956714E-2</v>
      </c>
      <c r="BG184" s="16">
        <f>AO184/'2019-20 disagg'!AO184-1</f>
        <v>5.0534872904491213E-2</v>
      </c>
      <c r="BH184" s="16">
        <f>AQ184/'2019-20 disagg'!AQ184-1</f>
        <v>3.8915632967282399E-2</v>
      </c>
      <c r="BI184" s="1"/>
      <c r="BJ184" s="16">
        <f>AS184/'2019-20 disagg'!AS184-1</f>
        <v>2.9271589412118715E-2</v>
      </c>
      <c r="BK184" s="16">
        <f>AT184/'2019-20 disagg'!AT184-1</f>
        <v>3.451030935345778E-2</v>
      </c>
      <c r="BL184" s="16">
        <f>AU184/'2019-20 disagg'!AU184-1</f>
        <v>4.3106293922329231E-2</v>
      </c>
      <c r="BM184" s="16">
        <f>AW184/'2019-20 disagg'!AW184-1</f>
        <v>3.1569216361460484E-2</v>
      </c>
    </row>
    <row r="185" spans="1:65" x14ac:dyDescent="0.2">
      <c r="A185" s="156" t="s">
        <v>415</v>
      </c>
      <c r="B185" s="156" t="s">
        <v>416</v>
      </c>
      <c r="D185" s="56">
        <f>VLOOKUP(A185,'2020-21'!$A$12:$AMX393,32,FALSE)</f>
        <v>288879.09748350427</v>
      </c>
      <c r="E185" s="56">
        <v>1651.6412586632564</v>
      </c>
      <c r="F185" s="16">
        <f>VLOOKUP(A185,'2020-21'!$A$12:$AMX393,34,FALSE)</f>
        <v>4.0001358988451807E-2</v>
      </c>
      <c r="G185" s="16">
        <f>VLOOKUP(A185,'2020-21'!$A$12:$AMX393,35,FALSE)</f>
        <v>3.2491682968126323E-2</v>
      </c>
      <c r="H185" s="56"/>
      <c r="I185" s="56">
        <v>293713.26618538081</v>
      </c>
      <c r="J185" s="56">
        <v>1679.2802001751593</v>
      </c>
      <c r="K185" s="16">
        <f t="shared" si="57"/>
        <v>-1.6458802711435516E-2</v>
      </c>
      <c r="L185" s="58">
        <f t="shared" si="57"/>
        <v>-1.6458802711435516E-2</v>
      </c>
      <c r="M185" s="10"/>
      <c r="N185" s="56">
        <v>219804</v>
      </c>
      <c r="O185" s="56">
        <v>23611</v>
      </c>
      <c r="P185" s="56">
        <v>45249</v>
      </c>
      <c r="R185" s="56">
        <f t="shared" si="41"/>
        <v>45249</v>
      </c>
      <c r="S185" s="56">
        <f t="shared" si="42"/>
        <v>215.09748350427253</v>
      </c>
      <c r="U185" s="16">
        <v>-1.3070325315423181E-2</v>
      </c>
      <c r="V185" s="16">
        <v>1.0075752666519833E-2</v>
      </c>
      <c r="W185" s="56">
        <f t="shared" si="43"/>
        <v>1</v>
      </c>
      <c r="X185" s="56">
        <f t="shared" si="44"/>
        <v>2227.1495693981383</v>
      </c>
      <c r="Y185" s="56">
        <f t="shared" si="44"/>
        <v>233.75474500470716</v>
      </c>
      <c r="AA185" s="56">
        <f t="shared" si="56"/>
        <v>215.09748350427253</v>
      </c>
      <c r="AB185" s="56">
        <v>0</v>
      </c>
      <c r="AC185" s="56">
        <f t="shared" si="45"/>
        <v>0</v>
      </c>
      <c r="AE185" s="56">
        <v>0</v>
      </c>
      <c r="AF185" s="56">
        <f t="shared" si="46"/>
        <v>0</v>
      </c>
      <c r="AG185" s="56">
        <f t="shared" si="47"/>
        <v>0</v>
      </c>
      <c r="AI185" s="56">
        <f t="shared" si="48"/>
        <v>0</v>
      </c>
      <c r="AJ185" s="56">
        <f t="shared" si="49"/>
        <v>0</v>
      </c>
      <c r="AK185" s="56">
        <f t="shared" si="50"/>
        <v>0</v>
      </c>
      <c r="AM185" s="56">
        <f t="shared" si="51"/>
        <v>220019</v>
      </c>
      <c r="AN185" s="56">
        <f t="shared" si="52"/>
        <v>23611</v>
      </c>
      <c r="AO185" s="56">
        <f t="shared" si="53"/>
        <v>45249</v>
      </c>
      <c r="AP185" s="56"/>
      <c r="AQ185" s="56">
        <f t="shared" si="54"/>
        <v>288879</v>
      </c>
      <c r="AR185" s="1"/>
      <c r="AS185" s="56">
        <v>1257.9396060685269</v>
      </c>
      <c r="AT185" s="56">
        <v>134.99385070782066</v>
      </c>
      <c r="AU185" s="56">
        <v>258.70724453340296</v>
      </c>
      <c r="AV185" s="56"/>
      <c r="AW185" s="56">
        <v>1651.6407013097505</v>
      </c>
      <c r="AX185" s="1"/>
      <c r="AY185" s="16">
        <v>-1.2104965813061086E-2</v>
      </c>
      <c r="AZ185" s="16">
        <v>1.0075752666519833E-2</v>
      </c>
      <c r="BA185" s="16">
        <v>-4.9846565367272611E-2</v>
      </c>
      <c r="BB185" s="16">
        <f t="shared" si="55"/>
        <v>-1.6459134611678028E-2</v>
      </c>
      <c r="BC185" s="16"/>
      <c r="BD185" s="1"/>
      <c r="BE185" s="16">
        <f>AM185/'2019-20 disagg'!AM185-1</f>
        <v>3.7615012049442731E-2</v>
      </c>
      <c r="BF185" s="16">
        <f>AN185/'2019-20 disagg'!AN185-1</f>
        <v>4.2014210688909426E-2</v>
      </c>
      <c r="BG185" s="16">
        <f>AO185/'2019-20 disagg'!AO185-1</f>
        <v>5.0689639158500999E-2</v>
      </c>
      <c r="BH185" s="16">
        <f>AQ185/'2019-20 disagg'!AQ185-1</f>
        <v>4.0001008035482899E-2</v>
      </c>
      <c r="BI185" s="1"/>
      <c r="BJ185" s="16">
        <f>AS185/'2019-20 disagg'!AS185-1</f>
        <v>3.0122567441585257E-2</v>
      </c>
      <c r="BK185" s="16">
        <f>AT185/'2019-20 disagg'!AT185-1</f>
        <v>3.4490000202819449E-2</v>
      </c>
      <c r="BL185" s="16">
        <f>AU185/'2019-20 disagg'!AU185-1</f>
        <v>4.3102784853168652E-2</v>
      </c>
      <c r="BM185" s="16">
        <f>AW185/'2019-20 disagg'!AW185-1</f>
        <v>3.2491334549330064E-2</v>
      </c>
    </row>
    <row r="186" spans="1:65" x14ac:dyDescent="0.2">
      <c r="A186" s="156" t="s">
        <v>417</v>
      </c>
      <c r="B186" s="156" t="s">
        <v>418</v>
      </c>
      <c r="D186" s="56">
        <f>VLOOKUP(A186,'2020-21'!$A$12:$AMX394,32,FALSE)</f>
        <v>384246.61063410301</v>
      </c>
      <c r="E186" s="56">
        <v>1587.3644910863591</v>
      </c>
      <c r="F186" s="16">
        <f>VLOOKUP(A186,'2020-21'!$A$12:$AMX394,34,FALSE)</f>
        <v>4.2033184362457288E-2</v>
      </c>
      <c r="G186" s="16">
        <f>VLOOKUP(A186,'2020-21'!$A$12:$AMX394,35,FALSE)</f>
        <v>3.4931745810678372E-2</v>
      </c>
      <c r="H186" s="56"/>
      <c r="I186" s="56">
        <v>391626.9245926764</v>
      </c>
      <c r="J186" s="56">
        <v>1617.8533698082178</v>
      </c>
      <c r="K186" s="16">
        <f t="shared" si="57"/>
        <v>-1.8845267000601407E-2</v>
      </c>
      <c r="L186" s="58">
        <f t="shared" si="57"/>
        <v>-1.8845267000601518E-2</v>
      </c>
      <c r="M186" s="10"/>
      <c r="N186" s="56">
        <v>284588</v>
      </c>
      <c r="O186" s="56">
        <v>31092</v>
      </c>
      <c r="P186" s="56">
        <v>67591</v>
      </c>
      <c r="R186" s="56">
        <f t="shared" si="41"/>
        <v>67591</v>
      </c>
      <c r="S186" s="56">
        <f t="shared" si="42"/>
        <v>975.61063410300994</v>
      </c>
      <c r="U186" s="16">
        <v>-2.8716349910775651E-2</v>
      </c>
      <c r="V186" s="16">
        <v>2.2081380560305952E-3</v>
      </c>
      <c r="W186" s="56">
        <f t="shared" si="43"/>
        <v>1</v>
      </c>
      <c r="X186" s="56">
        <f t="shared" si="44"/>
        <v>2930.0194641787402</v>
      </c>
      <c r="Y186" s="56">
        <f t="shared" si="44"/>
        <v>310.23495838208544</v>
      </c>
      <c r="AA186" s="56">
        <f t="shared" si="56"/>
        <v>975.61063410300994</v>
      </c>
      <c r="AB186" s="56">
        <v>0</v>
      </c>
      <c r="AC186" s="56">
        <f t="shared" si="45"/>
        <v>0</v>
      </c>
      <c r="AE186" s="56">
        <v>0</v>
      </c>
      <c r="AF186" s="56">
        <f t="shared" si="46"/>
        <v>0</v>
      </c>
      <c r="AG186" s="56">
        <f t="shared" si="47"/>
        <v>0</v>
      </c>
      <c r="AI186" s="56">
        <f t="shared" si="48"/>
        <v>0</v>
      </c>
      <c r="AJ186" s="56">
        <f t="shared" si="49"/>
        <v>0</v>
      </c>
      <c r="AK186" s="56">
        <f t="shared" si="50"/>
        <v>0</v>
      </c>
      <c r="AM186" s="56">
        <f t="shared" si="51"/>
        <v>285564</v>
      </c>
      <c r="AN186" s="56">
        <f t="shared" si="52"/>
        <v>31092</v>
      </c>
      <c r="AO186" s="56">
        <f t="shared" si="53"/>
        <v>67591</v>
      </c>
      <c r="AP186" s="56"/>
      <c r="AQ186" s="56">
        <f t="shared" si="54"/>
        <v>384247</v>
      </c>
      <c r="AR186" s="1"/>
      <c r="AS186" s="56">
        <v>1179.6959061903924</v>
      </c>
      <c r="AT186" s="56">
        <v>128.44442967345913</v>
      </c>
      <c r="AU186" s="56">
        <v>279.22576373532667</v>
      </c>
      <c r="AV186" s="56"/>
      <c r="AW186" s="56">
        <v>1587.3660995991784</v>
      </c>
      <c r="AX186" s="1"/>
      <c r="AY186" s="16">
        <v>-2.5385314018583904E-2</v>
      </c>
      <c r="AZ186" s="16">
        <v>2.2081380560305952E-3</v>
      </c>
      <c r="BA186" s="16">
        <v>-1.5506075061555435E-4</v>
      </c>
      <c r="BB186" s="16">
        <f t="shared" si="55"/>
        <v>-1.8844272774023674E-2</v>
      </c>
      <c r="BC186" s="16"/>
      <c r="BD186" s="1"/>
      <c r="BE186" s="16">
        <f>AM186/'2019-20 disagg'!AM186-1</f>
        <v>4.0154440154440252E-2</v>
      </c>
      <c r="BF186" s="16">
        <f>AN186/'2019-20 disagg'!AN186-1</f>
        <v>4.1608040201005059E-2</v>
      </c>
      <c r="BG186" s="16">
        <f>AO186/'2019-20 disagg'!AO186-1</f>
        <v>5.0250943953260796E-2</v>
      </c>
      <c r="BH186" s="16">
        <f>AQ186/'2019-20 disagg'!AQ186-1</f>
        <v>4.2034240278564949E-2</v>
      </c>
      <c r="BI186" s="1"/>
      <c r="BJ186" s="16">
        <f>AS186/'2019-20 disagg'!AS186-1</f>
        <v>3.30658052127073E-2</v>
      </c>
      <c r="BK186" s="16">
        <f>AT186/'2019-20 disagg'!AT186-1</f>
        <v>3.4509498999505839E-2</v>
      </c>
      <c r="BL186" s="16">
        <f>AU186/'2019-20 disagg'!AU186-1</f>
        <v>4.3093501508666199E-2</v>
      </c>
      <c r="BM186" s="16">
        <f>AW186/'2019-20 disagg'!AW186-1</f>
        <v>3.4932794530735833E-2</v>
      </c>
    </row>
    <row r="187" spans="1:65" x14ac:dyDescent="0.2">
      <c r="A187" s="156" t="s">
        <v>419</v>
      </c>
      <c r="B187" s="156" t="s">
        <v>420</v>
      </c>
      <c r="D187" s="56">
        <f>VLOOKUP(A187,'2020-21'!$A$12:$AMX395,32,FALSE)</f>
        <v>277279</v>
      </c>
      <c r="E187" s="56">
        <v>1904.1102939039524</v>
      </c>
      <c r="F187" s="16">
        <f>VLOOKUP(A187,'2020-21'!$A$12:$AMX395,34,FALSE)</f>
        <v>3.1532386171285287E-2</v>
      </c>
      <c r="G187" s="16">
        <f>VLOOKUP(A187,'2020-21'!$A$12:$AMX395,35,FALSE)</f>
        <v>2.6775870102237143E-2</v>
      </c>
      <c r="H187" s="56"/>
      <c r="I187" s="56">
        <v>262595.07266573329</v>
      </c>
      <c r="J187" s="56">
        <v>1803.2738901657867</v>
      </c>
      <c r="K187" s="16">
        <f t="shared" si="57"/>
        <v>5.591851813974591E-2</v>
      </c>
      <c r="L187" s="58">
        <f t="shared" si="57"/>
        <v>5.591851813974591E-2</v>
      </c>
      <c r="M187" s="10"/>
      <c r="N187" s="56">
        <v>214622</v>
      </c>
      <c r="O187" s="56">
        <v>21038</v>
      </c>
      <c r="P187" s="56">
        <v>41619</v>
      </c>
      <c r="R187" s="56">
        <f t="shared" si="41"/>
        <v>41619</v>
      </c>
      <c r="S187" s="56">
        <f t="shared" si="42"/>
        <v>0</v>
      </c>
      <c r="U187" s="16">
        <v>5.9012517034154666E-2</v>
      </c>
      <c r="V187" s="16">
        <v>-2.0938376130790304E-2</v>
      </c>
      <c r="W187" s="56">
        <f t="shared" si="43"/>
        <v>3</v>
      </c>
      <c r="X187" s="56">
        <f t="shared" si="44"/>
        <v>2026.6238268936168</v>
      </c>
      <c r="Y187" s="56">
        <f t="shared" si="44"/>
        <v>214.8792219723486</v>
      </c>
      <c r="AA187" s="56">
        <f t="shared" si="56"/>
        <v>0</v>
      </c>
      <c r="AB187" s="56">
        <v>0</v>
      </c>
      <c r="AC187" s="56">
        <f t="shared" si="45"/>
        <v>0</v>
      </c>
      <c r="AE187" s="56">
        <v>0</v>
      </c>
      <c r="AF187" s="56">
        <f t="shared" si="46"/>
        <v>0</v>
      </c>
      <c r="AG187" s="56">
        <f t="shared" si="47"/>
        <v>0</v>
      </c>
      <c r="AI187" s="56">
        <f t="shared" si="48"/>
        <v>0</v>
      </c>
      <c r="AJ187" s="56">
        <f t="shared" si="49"/>
        <v>0</v>
      </c>
      <c r="AK187" s="56">
        <f t="shared" si="50"/>
        <v>0</v>
      </c>
      <c r="AM187" s="56">
        <f t="shared" si="51"/>
        <v>214622</v>
      </c>
      <c r="AN187" s="56">
        <f t="shared" si="52"/>
        <v>21038</v>
      </c>
      <c r="AO187" s="56">
        <f t="shared" si="53"/>
        <v>41619</v>
      </c>
      <c r="AP187" s="56"/>
      <c r="AQ187" s="56">
        <f t="shared" si="54"/>
        <v>277279</v>
      </c>
      <c r="AR187" s="1"/>
      <c r="AS187" s="56">
        <v>1473.8366753279336</v>
      </c>
      <c r="AT187" s="56">
        <v>144.47063197411759</v>
      </c>
      <c r="AU187" s="56">
        <v>285.80298660190135</v>
      </c>
      <c r="AV187" s="56"/>
      <c r="AW187" s="56">
        <v>1904.1102939039524</v>
      </c>
      <c r="AX187" s="1"/>
      <c r="AY187" s="16">
        <v>5.9012517034154666E-2</v>
      </c>
      <c r="AZ187" s="16">
        <v>-2.0938376130790304E-2</v>
      </c>
      <c r="BA187" s="16">
        <v>8.2566039651975398E-2</v>
      </c>
      <c r="BB187" s="16">
        <f t="shared" si="55"/>
        <v>5.591851813974591E-2</v>
      </c>
      <c r="BC187" s="16"/>
      <c r="BD187" s="1"/>
      <c r="BE187" s="16">
        <f>AM187/'2019-20 disagg'!AM187-1</f>
        <v>2.7661662955780653E-2</v>
      </c>
      <c r="BF187" s="16">
        <f>AN187/'2019-20 disagg'!AN187-1</f>
        <v>3.9272835054092736E-2</v>
      </c>
      <c r="BG187" s="16">
        <f>AO187/'2019-20 disagg'!AO187-1</f>
        <v>4.7941583784464337E-2</v>
      </c>
      <c r="BH187" s="16">
        <f>AQ187/'2019-20 disagg'!AQ187-1</f>
        <v>3.1532386171285287E-2</v>
      </c>
      <c r="BI187" s="1"/>
      <c r="BJ187" s="16">
        <f>AS187/'2019-20 disagg'!AS187-1</f>
        <v>2.292299524265462E-2</v>
      </c>
      <c r="BK187" s="16">
        <f>AT187/'2019-20 disagg'!AT187-1</f>
        <v>3.448062687301201E-2</v>
      </c>
      <c r="BL187" s="16">
        <f>AU187/'2019-20 disagg'!AU187-1</f>
        <v>4.3109402992550061E-2</v>
      </c>
      <c r="BM187" s="16">
        <f>AW187/'2019-20 disagg'!AW187-1</f>
        <v>2.6775870102237143E-2</v>
      </c>
    </row>
    <row r="188" spans="1:65" x14ac:dyDescent="0.2">
      <c r="A188" s="156" t="s">
        <v>421</v>
      </c>
      <c r="B188" s="156" t="s">
        <v>422</v>
      </c>
      <c r="D188" s="56">
        <f>VLOOKUP(A188,'2020-21'!$A$12:$AMX396,32,FALSE)</f>
        <v>522263.75011484575</v>
      </c>
      <c r="E188" s="56">
        <v>1697.5616084363223</v>
      </c>
      <c r="F188" s="16">
        <f>VLOOKUP(A188,'2020-21'!$A$12:$AMX396,34,FALSE)</f>
        <v>4.6081978049072436E-2</v>
      </c>
      <c r="G188" s="16">
        <f>VLOOKUP(A188,'2020-21'!$A$12:$AMX396,35,FALSE)</f>
        <v>3.6868563668872145E-2</v>
      </c>
      <c r="H188" s="56"/>
      <c r="I188" s="56">
        <v>533315.76473838859</v>
      </c>
      <c r="J188" s="56">
        <v>1733.4849818595735</v>
      </c>
      <c r="K188" s="16">
        <f t="shared" si="57"/>
        <v>-2.0723210064799491E-2</v>
      </c>
      <c r="L188" s="58">
        <f t="shared" si="57"/>
        <v>-2.0723210064799602E-2</v>
      </c>
      <c r="M188" s="10"/>
      <c r="N188" s="56">
        <v>391897</v>
      </c>
      <c r="O188" s="56">
        <v>42413</v>
      </c>
      <c r="P188" s="56">
        <v>84779</v>
      </c>
      <c r="R188" s="56">
        <f t="shared" si="41"/>
        <v>84779</v>
      </c>
      <c r="S188" s="56">
        <f t="shared" si="42"/>
        <v>3174.7501148457523</v>
      </c>
      <c r="U188" s="16">
        <v>-9.914420467828422E-3</v>
      </c>
      <c r="V188" s="16">
        <v>-5.3589622165470807E-3</v>
      </c>
      <c r="W188" s="56">
        <f t="shared" si="43"/>
        <v>4</v>
      </c>
      <c r="X188" s="56">
        <f t="shared" si="44"/>
        <v>3958.2133918683726</v>
      </c>
      <c r="Y188" s="56">
        <f t="shared" si="44"/>
        <v>426.4151426379604</v>
      </c>
      <c r="AA188" s="56">
        <f t="shared" si="56"/>
        <v>0</v>
      </c>
      <c r="AB188" s="56">
        <v>0</v>
      </c>
      <c r="AC188" s="56">
        <f t="shared" si="45"/>
        <v>3174.7501148457523</v>
      </c>
      <c r="AE188" s="56">
        <v>0</v>
      </c>
      <c r="AF188" s="56">
        <f t="shared" si="46"/>
        <v>0</v>
      </c>
      <c r="AG188" s="56">
        <f t="shared" si="47"/>
        <v>3174.7501148457523</v>
      </c>
      <c r="AI188" s="56">
        <f t="shared" si="48"/>
        <v>2865.9984127556104</v>
      </c>
      <c r="AJ188" s="56">
        <f t="shared" si="49"/>
        <v>308.75170209014141</v>
      </c>
      <c r="AK188" s="56">
        <f t="shared" si="50"/>
        <v>0</v>
      </c>
      <c r="AM188" s="56">
        <f t="shared" si="51"/>
        <v>394763</v>
      </c>
      <c r="AN188" s="56">
        <f t="shared" si="52"/>
        <v>42722</v>
      </c>
      <c r="AO188" s="56">
        <f t="shared" si="53"/>
        <v>84779</v>
      </c>
      <c r="AP188" s="56"/>
      <c r="AQ188" s="56">
        <f t="shared" si="54"/>
        <v>522264</v>
      </c>
      <c r="AR188" s="1"/>
      <c r="AS188" s="56">
        <v>1283.1342651749915</v>
      </c>
      <c r="AT188" s="56">
        <v>138.86322192506893</v>
      </c>
      <c r="AU188" s="56">
        <v>275.56493356082154</v>
      </c>
      <c r="AV188" s="56"/>
      <c r="AW188" s="56">
        <v>1697.5624206608818</v>
      </c>
      <c r="AX188" s="1"/>
      <c r="AY188" s="16">
        <v>-2.6737800165385073E-3</v>
      </c>
      <c r="AZ188" s="16">
        <v>1.8874971396665163E-3</v>
      </c>
      <c r="BA188" s="16">
        <v>-0.10620560983304028</v>
      </c>
      <c r="BB188" s="16">
        <f t="shared" si="55"/>
        <v>-2.0722741514700771E-2</v>
      </c>
      <c r="BC188" s="16"/>
      <c r="BD188" s="1"/>
      <c r="BE188" s="16">
        <f>AM188/'2019-20 disagg'!AM188-1</f>
        <v>4.4180817859599042E-2</v>
      </c>
      <c r="BF188" s="16">
        <f>AN188/'2019-20 disagg'!AN188-1</f>
        <v>5.1307921352462094E-2</v>
      </c>
      <c r="BG188" s="16">
        <f>AO188/'2019-20 disagg'!AO188-1</f>
        <v>5.23709036742801E-2</v>
      </c>
      <c r="BH188" s="16">
        <f>AQ188/'2019-20 disagg'!AQ188-1</f>
        <v>4.6082478563144846E-2</v>
      </c>
      <c r="BI188" s="1"/>
      <c r="BJ188" s="16">
        <f>AS188/'2019-20 disagg'!AS188-1</f>
        <v>3.4984148033837537E-2</v>
      </c>
      <c r="BK188" s="16">
        <f>AT188/'2019-20 disagg'!AT188-1</f>
        <v>4.2048479240026859E-2</v>
      </c>
      <c r="BL188" s="16">
        <f>AU188/'2019-20 disagg'!AU188-1</f>
        <v>4.310209929692177E-2</v>
      </c>
      <c r="BM188" s="16">
        <f>AW188/'2019-20 disagg'!AW188-1</f>
        <v>3.6869059774644164E-2</v>
      </c>
    </row>
    <row r="189" spans="1:65" x14ac:dyDescent="0.2">
      <c r="A189" s="156" t="s">
        <v>423</v>
      </c>
      <c r="B189" s="156" t="s">
        <v>424</v>
      </c>
      <c r="D189" s="56">
        <f>VLOOKUP(A189,'2020-21'!$A$12:$AMX397,32,FALSE)</f>
        <v>186559</v>
      </c>
      <c r="E189" s="56">
        <v>1541.9029237594957</v>
      </c>
      <c r="F189" s="16">
        <f>VLOOKUP(A189,'2020-21'!$A$12:$AMX397,34,FALSE)</f>
        <v>3.9024906433790862E-2</v>
      </c>
      <c r="G189" s="16">
        <f>VLOOKUP(A189,'2020-21'!$A$12:$AMX397,35,FALSE)</f>
        <v>3.2469522845474552E-2</v>
      </c>
      <c r="H189" s="56"/>
      <c r="I189" s="56">
        <v>189501.47021040352</v>
      </c>
      <c r="J189" s="56">
        <v>1566.2223263104122</v>
      </c>
      <c r="K189" s="16">
        <f t="shared" si="57"/>
        <v>-1.5527426816987266E-2</v>
      </c>
      <c r="L189" s="58">
        <f t="shared" si="57"/>
        <v>-1.5527426816987266E-2</v>
      </c>
      <c r="M189" s="10"/>
      <c r="N189" s="56">
        <v>141489</v>
      </c>
      <c r="O189" s="56">
        <v>15616</v>
      </c>
      <c r="P189" s="56">
        <v>29454</v>
      </c>
      <c r="R189" s="56">
        <f t="shared" si="41"/>
        <v>29454</v>
      </c>
      <c r="S189" s="56">
        <f t="shared" si="42"/>
        <v>0</v>
      </c>
      <c r="U189" s="16">
        <v>-2.1032618136565984E-2</v>
      </c>
      <c r="V189" s="16">
        <v>-1.8685712047489478E-2</v>
      </c>
      <c r="W189" s="56">
        <f t="shared" si="43"/>
        <v>4</v>
      </c>
      <c r="X189" s="56">
        <f t="shared" si="44"/>
        <v>1445.2881946963348</v>
      </c>
      <c r="Y189" s="56">
        <f t="shared" si="44"/>
        <v>159.13352319145807</v>
      </c>
      <c r="AA189" s="56">
        <f t="shared" si="56"/>
        <v>0</v>
      </c>
      <c r="AB189" s="56">
        <v>0</v>
      </c>
      <c r="AC189" s="56">
        <f t="shared" si="45"/>
        <v>0</v>
      </c>
      <c r="AE189" s="56">
        <v>0</v>
      </c>
      <c r="AF189" s="56">
        <f t="shared" si="46"/>
        <v>0</v>
      </c>
      <c r="AG189" s="56">
        <f t="shared" si="47"/>
        <v>0</v>
      </c>
      <c r="AI189" s="56">
        <f t="shared" si="48"/>
        <v>0</v>
      </c>
      <c r="AJ189" s="56">
        <f t="shared" si="49"/>
        <v>0</v>
      </c>
      <c r="AK189" s="56">
        <f t="shared" si="50"/>
        <v>0</v>
      </c>
      <c r="AM189" s="56">
        <f t="shared" si="51"/>
        <v>141489</v>
      </c>
      <c r="AN189" s="56">
        <f t="shared" si="52"/>
        <v>15616</v>
      </c>
      <c r="AO189" s="56">
        <f t="shared" si="53"/>
        <v>29454</v>
      </c>
      <c r="AP189" s="56"/>
      <c r="AQ189" s="56">
        <f t="shared" si="54"/>
        <v>186559</v>
      </c>
      <c r="AR189" s="1"/>
      <c r="AS189" s="56">
        <v>1169.4011158925985</v>
      </c>
      <c r="AT189" s="56">
        <v>129.06563638006358</v>
      </c>
      <c r="AU189" s="56">
        <v>243.43617148683359</v>
      </c>
      <c r="AV189" s="56"/>
      <c r="AW189" s="56">
        <v>1541.9029237594957</v>
      </c>
      <c r="AX189" s="1"/>
      <c r="AY189" s="16">
        <v>-2.1032618136565984E-2</v>
      </c>
      <c r="AZ189" s="16">
        <v>-1.8685712047489478E-2</v>
      </c>
      <c r="BA189" s="16">
        <v>1.3582625865532494E-2</v>
      </c>
      <c r="BB189" s="16">
        <f t="shared" si="55"/>
        <v>-1.5527426816987266E-2</v>
      </c>
      <c r="BC189" s="16"/>
      <c r="BD189" s="1"/>
      <c r="BE189" s="16">
        <f>AM189/'2019-20 disagg'!AM189-1</f>
        <v>3.6602609657638174E-2</v>
      </c>
      <c r="BF189" s="16">
        <f>AN189/'2019-20 disagg'!AN189-1</f>
        <v>4.1066666666666585E-2</v>
      </c>
      <c r="BG189" s="16">
        <f>AO189/'2019-20 disagg'!AO189-1</f>
        <v>4.97166684486261E-2</v>
      </c>
      <c r="BH189" s="16">
        <f>AQ189/'2019-20 disagg'!AQ189-1</f>
        <v>3.9024906433790862E-2</v>
      </c>
      <c r="BI189" s="1"/>
      <c r="BJ189" s="16">
        <f>AS189/'2019-20 disagg'!AS189-1</f>
        <v>3.0062508748720518E-2</v>
      </c>
      <c r="BK189" s="16">
        <f>AT189/'2019-20 disagg'!AT189-1</f>
        <v>3.4498401268261869E-2</v>
      </c>
      <c r="BL189" s="16">
        <f>AU189/'2019-20 disagg'!AU189-1</f>
        <v>4.309382872830736E-2</v>
      </c>
      <c r="BM189" s="16">
        <f>AW189/'2019-20 disagg'!AW189-1</f>
        <v>3.2469522845474552E-2</v>
      </c>
    </row>
    <row r="190" spans="1:65" x14ac:dyDescent="0.2">
      <c r="A190" s="156" t="s">
        <v>425</v>
      </c>
      <c r="B190" s="156" t="s">
        <v>426</v>
      </c>
      <c r="D190" s="56">
        <f>VLOOKUP(A190,'2020-21'!$A$12:$AMX398,32,FALSE)</f>
        <v>176838.17543337561</v>
      </c>
      <c r="E190" s="56">
        <v>1559.9716558278797</v>
      </c>
      <c r="F190" s="16">
        <f>VLOOKUP(A190,'2020-21'!$A$12:$AMX398,34,FALSE)</f>
        <v>4.2296892842095479E-2</v>
      </c>
      <c r="G190" s="16">
        <f>VLOOKUP(A190,'2020-21'!$A$12:$AMX398,35,FALSE)</f>
        <v>3.5142751356599389E-2</v>
      </c>
      <c r="H190" s="56"/>
      <c r="I190" s="56">
        <v>180207.19430494338</v>
      </c>
      <c r="J190" s="56">
        <v>1589.6913356126047</v>
      </c>
      <c r="K190" s="16">
        <f t="shared" si="57"/>
        <v>-1.8695251788154343E-2</v>
      </c>
      <c r="L190" s="58">
        <f t="shared" si="57"/>
        <v>-1.8695251788154343E-2</v>
      </c>
      <c r="M190" s="10"/>
      <c r="N190" s="56">
        <v>137122</v>
      </c>
      <c r="O190" s="56">
        <v>15399</v>
      </c>
      <c r="P190" s="56">
        <v>23736</v>
      </c>
      <c r="R190" s="56">
        <f t="shared" si="41"/>
        <v>23736</v>
      </c>
      <c r="S190" s="56">
        <f t="shared" si="42"/>
        <v>581.17543337561074</v>
      </c>
      <c r="U190" s="16">
        <v>-1.8322361660256137E-2</v>
      </c>
      <c r="V190" s="16">
        <v>3.06083888009967E-3</v>
      </c>
      <c r="W190" s="56">
        <f t="shared" si="43"/>
        <v>1</v>
      </c>
      <c r="X190" s="56">
        <f t="shared" si="44"/>
        <v>1396.8129113331615</v>
      </c>
      <c r="Y190" s="56">
        <f t="shared" si="44"/>
        <v>153.52009970993106</v>
      </c>
      <c r="AA190" s="56">
        <f t="shared" si="56"/>
        <v>581.17543337561074</v>
      </c>
      <c r="AB190" s="56">
        <v>0</v>
      </c>
      <c r="AC190" s="56">
        <f t="shared" si="45"/>
        <v>0</v>
      </c>
      <c r="AE190" s="56">
        <v>0</v>
      </c>
      <c r="AF190" s="56">
        <f t="shared" si="46"/>
        <v>0</v>
      </c>
      <c r="AG190" s="56">
        <f t="shared" si="47"/>
        <v>0</v>
      </c>
      <c r="AI190" s="56">
        <f t="shared" si="48"/>
        <v>0</v>
      </c>
      <c r="AJ190" s="56">
        <f t="shared" si="49"/>
        <v>0</v>
      </c>
      <c r="AK190" s="56">
        <f t="shared" si="50"/>
        <v>0</v>
      </c>
      <c r="AM190" s="56">
        <f t="shared" si="51"/>
        <v>137703</v>
      </c>
      <c r="AN190" s="56">
        <f t="shared" si="52"/>
        <v>15399</v>
      </c>
      <c r="AO190" s="56">
        <f t="shared" si="53"/>
        <v>23736</v>
      </c>
      <c r="AP190" s="56"/>
      <c r="AQ190" s="56">
        <f t="shared" si="54"/>
        <v>176838</v>
      </c>
      <c r="AR190" s="1"/>
      <c r="AS190" s="56">
        <v>1214.7421019020746</v>
      </c>
      <c r="AT190" s="56">
        <v>135.84172913582165</v>
      </c>
      <c r="AU190" s="56">
        <v>209.38627721071904</v>
      </c>
      <c r="AV190" s="56"/>
      <c r="AW190" s="56">
        <v>1559.9701082486154</v>
      </c>
      <c r="AX190" s="1"/>
      <c r="AY190" s="16">
        <v>-1.4162892662754722E-2</v>
      </c>
      <c r="AZ190" s="16">
        <v>3.06083888009967E-3</v>
      </c>
      <c r="BA190" s="16">
        <v>-5.7118427776515324E-2</v>
      </c>
      <c r="BB190" s="16">
        <f t="shared" si="55"/>
        <v>-1.8696225297432312E-2</v>
      </c>
      <c r="BC190" s="16"/>
      <c r="BD190" s="1"/>
      <c r="BE190" s="16">
        <f>AM190/'2019-20 disagg'!AM190-1</f>
        <v>4.0996371333534842E-2</v>
      </c>
      <c r="BF190" s="16">
        <f>AN190/'2019-20 disagg'!AN190-1</f>
        <v>4.1669485219508973E-2</v>
      </c>
      <c r="BG190" s="16">
        <f>AO190/'2019-20 disagg'!AO190-1</f>
        <v>5.03119607062259E-2</v>
      </c>
      <c r="BH190" s="16">
        <f>AQ190/'2019-20 disagg'!AQ190-1</f>
        <v>4.22958588251936E-2</v>
      </c>
      <c r="BI190" s="1"/>
      <c r="BJ190" s="16">
        <f>AS190/'2019-20 disagg'!AS190-1</f>
        <v>3.3851156397605386E-2</v>
      </c>
      <c r="BK190" s="16">
        <f>AT190/'2019-20 disagg'!AT190-1</f>
        <v>3.4519650148943093E-2</v>
      </c>
      <c r="BL190" s="16">
        <f>AU190/'2019-20 disagg'!AU190-1</f>
        <v>4.3102805212811734E-2</v>
      </c>
      <c r="BM190" s="16">
        <f>AW190/'2019-20 disagg'!AW190-1</f>
        <v>3.5141724437006694E-2</v>
      </c>
    </row>
    <row r="191" spans="1:65" x14ac:dyDescent="0.2">
      <c r="A191" s="156" t="s">
        <v>427</v>
      </c>
      <c r="B191" s="156" t="s">
        <v>428</v>
      </c>
      <c r="D191" s="56">
        <f>VLOOKUP(A191,'2020-21'!$A$12:$AMX399,32,FALSE)</f>
        <v>375978.31733948865</v>
      </c>
      <c r="E191" s="56">
        <v>1636.8723236711944</v>
      </c>
      <c r="F191" s="16">
        <f>VLOOKUP(A191,'2020-21'!$A$12:$AMX399,34,FALSE)</f>
        <v>4.3578340446790209E-2</v>
      </c>
      <c r="G191" s="16">
        <f>VLOOKUP(A191,'2020-21'!$A$12:$AMX399,35,FALSE)</f>
        <v>3.824393258563652E-2</v>
      </c>
      <c r="H191" s="56"/>
      <c r="I191" s="56">
        <v>384398.93426207476</v>
      </c>
      <c r="J191" s="56">
        <v>1673.5326153772526</v>
      </c>
      <c r="K191" s="16">
        <f t="shared" si="57"/>
        <v>-2.1905932020209851E-2</v>
      </c>
      <c r="L191" s="58">
        <f t="shared" si="57"/>
        <v>-2.1905932020209851E-2</v>
      </c>
      <c r="M191" s="10"/>
      <c r="N191" s="56">
        <v>284268</v>
      </c>
      <c r="O191" s="56">
        <v>30361</v>
      </c>
      <c r="P191" s="56">
        <v>59604</v>
      </c>
      <c r="R191" s="56">
        <f t="shared" si="41"/>
        <v>59604</v>
      </c>
      <c r="S191" s="56">
        <f t="shared" si="42"/>
        <v>1745.3173394886544</v>
      </c>
      <c r="U191" s="16">
        <v>-1.7156642908208397E-2</v>
      </c>
      <c r="V191" s="16">
        <v>-1.9733529430198127E-2</v>
      </c>
      <c r="W191" s="56">
        <f t="shared" si="43"/>
        <v>4</v>
      </c>
      <c r="X191" s="56">
        <f t="shared" si="44"/>
        <v>2892.3021959586899</v>
      </c>
      <c r="Y191" s="56">
        <f t="shared" si="44"/>
        <v>309.72190635421805</v>
      </c>
      <c r="AA191" s="56">
        <f t="shared" si="56"/>
        <v>0</v>
      </c>
      <c r="AB191" s="56">
        <v>0</v>
      </c>
      <c r="AC191" s="56">
        <f t="shared" si="45"/>
        <v>1745.3173394886544</v>
      </c>
      <c r="AE191" s="56">
        <v>0</v>
      </c>
      <c r="AF191" s="56">
        <f t="shared" si="46"/>
        <v>0</v>
      </c>
      <c r="AG191" s="56">
        <f t="shared" si="47"/>
        <v>1745.3173394886544</v>
      </c>
      <c r="AI191" s="56">
        <f t="shared" si="48"/>
        <v>1576.4981812602593</v>
      </c>
      <c r="AJ191" s="56">
        <f t="shared" si="49"/>
        <v>168.81915822839525</v>
      </c>
      <c r="AK191" s="56">
        <f t="shared" si="50"/>
        <v>0</v>
      </c>
      <c r="AM191" s="56">
        <f t="shared" si="51"/>
        <v>285844</v>
      </c>
      <c r="AN191" s="56">
        <f t="shared" si="52"/>
        <v>30530</v>
      </c>
      <c r="AO191" s="56">
        <f t="shared" si="53"/>
        <v>59604</v>
      </c>
      <c r="AP191" s="56"/>
      <c r="AQ191" s="56">
        <f t="shared" si="54"/>
        <v>375978</v>
      </c>
      <c r="AR191" s="1"/>
      <c r="AS191" s="56">
        <v>1244.4604140961371</v>
      </c>
      <c r="AT191" s="56">
        <v>132.91647346928769</v>
      </c>
      <c r="AU191" s="56">
        <v>259.49405452549701</v>
      </c>
      <c r="AV191" s="56"/>
      <c r="AW191" s="56">
        <v>1636.870942090922</v>
      </c>
      <c r="AX191" s="1"/>
      <c r="AY191" s="16">
        <v>-1.1707696383180366E-2</v>
      </c>
      <c r="AZ191" s="16">
        <v>-1.4277021623265052E-2</v>
      </c>
      <c r="BA191" s="16">
        <v>-7.1538515521210266E-2</v>
      </c>
      <c r="BB191" s="16">
        <f t="shared" si="55"/>
        <v>-2.1906757567474289E-2</v>
      </c>
      <c r="BC191" s="16"/>
      <c r="BD191" s="1"/>
      <c r="BE191" s="16">
        <f>AM191/'2019-20 disagg'!AM191-1</f>
        <v>4.2347509945994455E-2</v>
      </c>
      <c r="BF191" s="16">
        <f>AN191/'2019-20 disagg'!AN191-1</f>
        <v>4.5619562983765904E-2</v>
      </c>
      <c r="BG191" s="16">
        <f>AO191/'2019-20 disagg'!AO191-1</f>
        <v>4.8461714366127895E-2</v>
      </c>
      <c r="BH191" s="16">
        <f>AQ191/'2019-20 disagg'!AQ191-1</f>
        <v>4.3577459628397985E-2</v>
      </c>
      <c r="BI191" s="1"/>
      <c r="BJ191" s="16">
        <f>AS191/'2019-20 disagg'!AS191-1</f>
        <v>3.7019393660321809E-2</v>
      </c>
      <c r="BK191" s="16">
        <f>AT191/'2019-20 disagg'!AT191-1</f>
        <v>4.027472110618513E-2</v>
      </c>
      <c r="BL191" s="16">
        <f>AU191/'2019-20 disagg'!AU191-1</f>
        <v>4.3102344403697757E-2</v>
      </c>
      <c r="BM191" s="16">
        <f>AW191/'2019-20 disagg'!AW191-1</f>
        <v>3.8243056269680498E-2</v>
      </c>
    </row>
    <row r="192" spans="1:65" x14ac:dyDescent="0.2">
      <c r="A192" s="156" t="s">
        <v>429</v>
      </c>
      <c r="B192" s="156" t="s">
        <v>430</v>
      </c>
      <c r="D192" s="56">
        <f>VLOOKUP(A192,'2020-21'!$A$12:$AMX400,32,FALSE)</f>
        <v>362322.20068107697</v>
      </c>
      <c r="E192" s="56">
        <v>1558.8234681088018</v>
      </c>
      <c r="F192" s="16">
        <f>VLOOKUP(A192,'2020-21'!$A$12:$AMX400,34,FALSE)</f>
        <v>4.3864397217714179E-2</v>
      </c>
      <c r="G192" s="16">
        <f>VLOOKUP(A192,'2020-21'!$A$12:$AMX400,35,FALSE)</f>
        <v>3.4225781209354711E-2</v>
      </c>
      <c r="H192" s="56"/>
      <c r="I192" s="56">
        <v>368916.08640263841</v>
      </c>
      <c r="J192" s="56">
        <v>1587.1924275307642</v>
      </c>
      <c r="K192" s="16">
        <f t="shared" si="57"/>
        <v>-1.7873673620089403E-2</v>
      </c>
      <c r="L192" s="58">
        <f t="shared" si="57"/>
        <v>-1.7873673620089514E-2</v>
      </c>
      <c r="M192" s="10"/>
      <c r="N192" s="56">
        <v>272179</v>
      </c>
      <c r="O192" s="56">
        <v>31116</v>
      </c>
      <c r="P192" s="56">
        <v>58169</v>
      </c>
      <c r="R192" s="56">
        <f t="shared" si="41"/>
        <v>58169</v>
      </c>
      <c r="S192" s="56">
        <f t="shared" si="42"/>
        <v>858.20068107696716</v>
      </c>
      <c r="U192" s="16">
        <v>-4.7130283506149784E-2</v>
      </c>
      <c r="V192" s="16">
        <v>2.6747846251739871E-2</v>
      </c>
      <c r="W192" s="56">
        <f t="shared" si="43"/>
        <v>1</v>
      </c>
      <c r="X192" s="56">
        <f t="shared" si="44"/>
        <v>2856.4135819270382</v>
      </c>
      <c r="Y192" s="56">
        <f t="shared" si="44"/>
        <v>303.05395929090582</v>
      </c>
      <c r="AA192" s="56">
        <f t="shared" si="56"/>
        <v>858.20068107696716</v>
      </c>
      <c r="AB192" s="56">
        <v>0</v>
      </c>
      <c r="AC192" s="56">
        <f t="shared" si="45"/>
        <v>0</v>
      </c>
      <c r="AE192" s="56">
        <v>0</v>
      </c>
      <c r="AF192" s="56">
        <f t="shared" si="46"/>
        <v>0</v>
      </c>
      <c r="AG192" s="56">
        <f t="shared" si="47"/>
        <v>0</v>
      </c>
      <c r="AI192" s="56">
        <f t="shared" si="48"/>
        <v>0</v>
      </c>
      <c r="AJ192" s="56">
        <f t="shared" si="49"/>
        <v>0</v>
      </c>
      <c r="AK192" s="56">
        <f t="shared" si="50"/>
        <v>0</v>
      </c>
      <c r="AM192" s="56">
        <f t="shared" si="51"/>
        <v>273037</v>
      </c>
      <c r="AN192" s="56">
        <f t="shared" si="52"/>
        <v>31116</v>
      </c>
      <c r="AO192" s="56">
        <f t="shared" si="53"/>
        <v>58169</v>
      </c>
      <c r="AP192" s="56"/>
      <c r="AQ192" s="56">
        <f t="shared" si="54"/>
        <v>362322</v>
      </c>
      <c r="AR192" s="1"/>
      <c r="AS192" s="56">
        <v>1174.6905998637903</v>
      </c>
      <c r="AT192" s="56">
        <v>133.87076735153735</v>
      </c>
      <c r="AU192" s="56">
        <v>250.2612375006934</v>
      </c>
      <c r="AV192" s="56"/>
      <c r="AW192" s="56">
        <v>1558.8226047160213</v>
      </c>
      <c r="AX192" s="1"/>
      <c r="AY192" s="16">
        <v>-4.412651680573676E-2</v>
      </c>
      <c r="AZ192" s="16">
        <v>2.6747846251739871E-2</v>
      </c>
      <c r="BA192" s="16">
        <v>9.8163739191335253E-2</v>
      </c>
      <c r="BB192" s="16">
        <f t="shared" si="55"/>
        <v>-1.7874217594950781E-2</v>
      </c>
      <c r="BC192" s="16"/>
      <c r="BD192" s="1"/>
      <c r="BE192" s="16">
        <f>AM192/'2019-20 disagg'!AM192-1</f>
        <v>4.1946993836936342E-2</v>
      </c>
      <c r="BF192" s="16">
        <f>AN192/'2019-20 disagg'!AN192-1</f>
        <v>4.412603603905918E-2</v>
      </c>
      <c r="BG192" s="16">
        <f>AO192/'2019-20 disagg'!AO192-1</f>
        <v>5.2813523737126999E-2</v>
      </c>
      <c r="BH192" s="16">
        <f>AQ192/'2019-20 disagg'!AQ192-1</f>
        <v>4.3863819047701424E-2</v>
      </c>
      <c r="BI192" s="1"/>
      <c r="BJ192" s="16">
        <f>AS192/'2019-20 disagg'!AS192-1</f>
        <v>3.2326082345533136E-2</v>
      </c>
      <c r="BK192" s="16">
        <f>AT192/'2019-20 disagg'!AT192-1</f>
        <v>3.4485004165057953E-2</v>
      </c>
      <c r="BL192" s="16">
        <f>AU192/'2019-20 disagg'!AU192-1</f>
        <v>4.3092275162353033E-2</v>
      </c>
      <c r="BM192" s="16">
        <f>AW192/'2019-20 disagg'!AW192-1</f>
        <v>3.4225208377927085E-2</v>
      </c>
    </row>
    <row r="193" spans="1:65" x14ac:dyDescent="0.2">
      <c r="A193" s="156" t="s">
        <v>431</v>
      </c>
      <c r="B193" s="156" t="s">
        <v>432</v>
      </c>
      <c r="D193" s="56">
        <f>VLOOKUP(A193,'2020-21'!$A$12:$AMX401,32,FALSE)</f>
        <v>616469.90724070254</v>
      </c>
      <c r="E193" s="56">
        <v>1621.9398537587208</v>
      </c>
      <c r="F193" s="16">
        <f>VLOOKUP(A193,'2020-21'!$A$12:$AMX401,34,FALSE)</f>
        <v>4.2831611673352921E-2</v>
      </c>
      <c r="G193" s="16">
        <f>VLOOKUP(A193,'2020-21'!$A$12:$AMX401,35,FALSE)</f>
        <v>3.4765470101596918E-2</v>
      </c>
      <c r="H193" s="56"/>
      <c r="I193" s="56">
        <v>628088.51000011084</v>
      </c>
      <c r="J193" s="56">
        <v>1652.5085394952616</v>
      </c>
      <c r="K193" s="16">
        <f t="shared" si="57"/>
        <v>-1.849835265957378E-2</v>
      </c>
      <c r="L193" s="58">
        <f t="shared" si="57"/>
        <v>-1.8498352659573891E-2</v>
      </c>
      <c r="M193" s="10"/>
      <c r="N193" s="56">
        <v>460983</v>
      </c>
      <c r="O193" s="56">
        <v>48519</v>
      </c>
      <c r="P193" s="56">
        <v>105024</v>
      </c>
      <c r="R193" s="56">
        <f t="shared" si="41"/>
        <v>105024</v>
      </c>
      <c r="S193" s="56">
        <f t="shared" si="42"/>
        <v>1943.9072407025378</v>
      </c>
      <c r="U193" s="16">
        <v>-3.9553297083498529E-2</v>
      </c>
      <c r="V193" s="16">
        <v>-4.676675950948439E-2</v>
      </c>
      <c r="W193" s="56">
        <f t="shared" si="43"/>
        <v>4</v>
      </c>
      <c r="X193" s="56">
        <f t="shared" si="44"/>
        <v>4799.6728876279622</v>
      </c>
      <c r="Y193" s="56">
        <f t="shared" si="44"/>
        <v>508.99399998926862</v>
      </c>
      <c r="AA193" s="56">
        <f t="shared" si="56"/>
        <v>0</v>
      </c>
      <c r="AB193" s="56">
        <v>0</v>
      </c>
      <c r="AC193" s="56">
        <f t="shared" si="45"/>
        <v>1943.9072407025378</v>
      </c>
      <c r="AE193" s="56">
        <v>0</v>
      </c>
      <c r="AF193" s="56">
        <f t="shared" si="46"/>
        <v>0</v>
      </c>
      <c r="AG193" s="56">
        <f t="shared" si="47"/>
        <v>1943.9072407025378</v>
      </c>
      <c r="AI193" s="56">
        <f t="shared" si="48"/>
        <v>1757.5257737543659</v>
      </c>
      <c r="AJ193" s="56">
        <f t="shared" si="49"/>
        <v>186.38146694817215</v>
      </c>
      <c r="AK193" s="56">
        <f t="shared" si="50"/>
        <v>0</v>
      </c>
      <c r="AM193" s="56">
        <f t="shared" si="51"/>
        <v>462741</v>
      </c>
      <c r="AN193" s="56">
        <f t="shared" si="52"/>
        <v>48705</v>
      </c>
      <c r="AO193" s="56">
        <f t="shared" si="53"/>
        <v>105024</v>
      </c>
      <c r="AP193" s="56"/>
      <c r="AQ193" s="56">
        <f t="shared" si="54"/>
        <v>616470</v>
      </c>
      <c r="AR193" s="1"/>
      <c r="AS193" s="56">
        <v>1217.477221601207</v>
      </c>
      <c r="AT193" s="56">
        <v>128.14344974421283</v>
      </c>
      <c r="AU193" s="56">
        <v>276.31942646414552</v>
      </c>
      <c r="AV193" s="56"/>
      <c r="AW193" s="56">
        <v>1621.9400978095653</v>
      </c>
      <c r="AX193" s="1"/>
      <c r="AY193" s="16">
        <v>-3.5890547472933299E-2</v>
      </c>
      <c r="AZ193" s="16">
        <v>-4.311249246500215E-2</v>
      </c>
      <c r="BA193" s="16">
        <v>8.025131253693929E-2</v>
      </c>
      <c r="BB193" s="16">
        <f t="shared" si="55"/>
        <v>-1.8498204974500831E-2</v>
      </c>
      <c r="BC193" s="16"/>
      <c r="BD193" s="1"/>
      <c r="BE193" s="16">
        <f>AM193/'2019-20 disagg'!AM193-1</f>
        <v>4.055488345108893E-2</v>
      </c>
      <c r="BF193" s="16">
        <f>AN193/'2019-20 disagg'!AN193-1</f>
        <v>4.6564098156345324E-2</v>
      </c>
      <c r="BG193" s="16">
        <f>AO193/'2019-20 disagg'!AO193-1</f>
        <v>5.1228154465197351E-2</v>
      </c>
      <c r="BH193" s="16">
        <f>AQ193/'2019-20 disagg'!AQ193-1</f>
        <v>4.2831768586653052E-2</v>
      </c>
      <c r="BI193" s="1"/>
      <c r="BJ193" s="16">
        <f>AS193/'2019-20 disagg'!AS193-1</f>
        <v>3.2506352020755802E-2</v>
      </c>
      <c r="BK193" s="16">
        <f>AT193/'2019-20 disagg'!AT193-1</f>
        <v>3.8469086377693973E-2</v>
      </c>
      <c r="BL193" s="16">
        <f>AU193/'2019-20 disagg'!AU193-1</f>
        <v>4.309706693082016E-2</v>
      </c>
      <c r="BM193" s="16">
        <f>AW193/'2019-20 disagg'!AW193-1</f>
        <v>3.4765625801197242E-2</v>
      </c>
    </row>
    <row r="194" spans="1:65" x14ac:dyDescent="0.2">
      <c r="A194" s="156" t="s">
        <v>433</v>
      </c>
      <c r="B194" s="156" t="s">
        <v>434</v>
      </c>
      <c r="D194" s="56">
        <f>VLOOKUP(A194,'2020-21'!$A$12:$AMX402,32,FALSE)</f>
        <v>1154279</v>
      </c>
      <c r="E194" s="56">
        <v>1564.4683235910359</v>
      </c>
      <c r="F194" s="16">
        <f>VLOOKUP(A194,'2020-21'!$A$12:$AMX402,34,FALSE)</f>
        <v>4.0227424905892928E-2</v>
      </c>
      <c r="G194" s="16">
        <f>VLOOKUP(A194,'2020-21'!$A$12:$AMX402,35,FALSE)</f>
        <v>3.4459312788195584E-2</v>
      </c>
      <c r="H194" s="56"/>
      <c r="I194" s="56">
        <v>1154120.1331057367</v>
      </c>
      <c r="J194" s="56">
        <v>1564.2530011051012</v>
      </c>
      <c r="K194" s="16">
        <f t="shared" si="57"/>
        <v>1.3765195641801675E-4</v>
      </c>
      <c r="L194" s="58">
        <f t="shared" si="57"/>
        <v>1.3765195641779471E-4</v>
      </c>
      <c r="M194" s="10"/>
      <c r="N194" s="56">
        <v>803748</v>
      </c>
      <c r="O194" s="56">
        <v>100507</v>
      </c>
      <c r="P194" s="56">
        <v>250024</v>
      </c>
      <c r="R194" s="56">
        <f t="shared" si="41"/>
        <v>250024</v>
      </c>
      <c r="S194" s="56">
        <f t="shared" si="42"/>
        <v>0</v>
      </c>
      <c r="U194" s="16">
        <v>-4.7619379850170174E-2</v>
      </c>
      <c r="V194" s="16">
        <v>3.0066349806489256E-2</v>
      </c>
      <c r="W194" s="56">
        <f t="shared" si="43"/>
        <v>1</v>
      </c>
      <c r="X194" s="56">
        <f t="shared" si="44"/>
        <v>8439.3569440078827</v>
      </c>
      <c r="Y194" s="56">
        <f t="shared" si="44"/>
        <v>975.73326241442101</v>
      </c>
      <c r="AA194" s="56">
        <f t="shared" si="56"/>
        <v>0</v>
      </c>
      <c r="AB194" s="56">
        <v>0</v>
      </c>
      <c r="AC194" s="56">
        <f t="shared" si="45"/>
        <v>0</v>
      </c>
      <c r="AE194" s="56">
        <v>0</v>
      </c>
      <c r="AF194" s="56">
        <f t="shared" si="46"/>
        <v>0</v>
      </c>
      <c r="AG194" s="56">
        <f t="shared" si="47"/>
        <v>0</v>
      </c>
      <c r="AI194" s="56">
        <f t="shared" si="48"/>
        <v>0</v>
      </c>
      <c r="AJ194" s="56">
        <f t="shared" si="49"/>
        <v>0</v>
      </c>
      <c r="AK194" s="56">
        <f t="shared" si="50"/>
        <v>0</v>
      </c>
      <c r="AM194" s="56">
        <f t="shared" si="51"/>
        <v>803748</v>
      </c>
      <c r="AN194" s="56">
        <f t="shared" si="52"/>
        <v>100507</v>
      </c>
      <c r="AO194" s="56">
        <f t="shared" si="53"/>
        <v>250024</v>
      </c>
      <c r="AP194" s="56"/>
      <c r="AQ194" s="56">
        <f t="shared" si="54"/>
        <v>1154279</v>
      </c>
      <c r="AR194" s="1"/>
      <c r="AS194" s="56">
        <v>1089.3711885511632</v>
      </c>
      <c r="AT194" s="56">
        <v>136.2235800869324</v>
      </c>
      <c r="AU194" s="56">
        <v>338.87355495294048</v>
      </c>
      <c r="AV194" s="56"/>
      <c r="AW194" s="56">
        <v>1564.4683235910359</v>
      </c>
      <c r="AX194" s="1"/>
      <c r="AY194" s="16">
        <v>-4.7619379850170174E-2</v>
      </c>
      <c r="AZ194" s="16">
        <v>3.0066349806489256E-2</v>
      </c>
      <c r="BA194" s="16">
        <v>0.17596863636615123</v>
      </c>
      <c r="BB194" s="16">
        <f t="shared" si="55"/>
        <v>1.3765195641801675E-4</v>
      </c>
      <c r="BC194" s="16"/>
      <c r="BD194" s="1"/>
      <c r="BE194" s="16">
        <f>AM194/'2019-20 disagg'!AM194-1</f>
        <v>3.7548037141407642E-2</v>
      </c>
      <c r="BF194" s="16">
        <f>AN194/'2019-20 disagg'!AN194-1</f>
        <v>4.0272832657116897E-2</v>
      </c>
      <c r="BG194" s="16">
        <f>AO194/'2019-20 disagg'!AO194-1</f>
        <v>4.8916782735648034E-2</v>
      </c>
      <c r="BH194" s="16">
        <f>AQ194/'2019-20 disagg'!AQ194-1</f>
        <v>4.0227424905892928E-2</v>
      </c>
      <c r="BI194" s="1"/>
      <c r="BJ194" s="16">
        <f>AS194/'2019-20 disagg'!AS194-1</f>
        <v>3.1794782360348828E-2</v>
      </c>
      <c r="BK194" s="16">
        <f>AT194/'2019-20 disagg'!AT194-1</f>
        <v>3.4504468751210604E-2</v>
      </c>
      <c r="BL194" s="16">
        <f>AU194/'2019-20 disagg'!AU194-1</f>
        <v>4.3100487702375956E-2</v>
      </c>
      <c r="BM194" s="16">
        <f>AW194/'2019-20 disagg'!AW194-1</f>
        <v>3.4459312788195584E-2</v>
      </c>
    </row>
    <row r="195" spans="1:65" x14ac:dyDescent="0.2">
      <c r="A195" s="156" t="s">
        <v>435</v>
      </c>
      <c r="B195" s="156" t="s">
        <v>436</v>
      </c>
      <c r="D195" s="56">
        <f>VLOOKUP(A195,'2020-21'!$A$12:$AMX403,32,FALSE)</f>
        <v>383314</v>
      </c>
      <c r="E195" s="56">
        <v>1677.3184376156582</v>
      </c>
      <c r="F195" s="16">
        <f>VLOOKUP(A195,'2020-21'!$A$12:$AMX403,34,FALSE)</f>
        <v>3.8718139101309834E-2</v>
      </c>
      <c r="G195" s="16">
        <f>VLOOKUP(A195,'2020-21'!$A$12:$AMX403,35,FALSE)</f>
        <v>3.3134752299014636E-2</v>
      </c>
      <c r="H195" s="56"/>
      <c r="I195" s="56">
        <v>378451.92190307641</v>
      </c>
      <c r="J195" s="56">
        <v>1656.0427909210496</v>
      </c>
      <c r="K195" s="16">
        <f t="shared" si="57"/>
        <v>1.2847280765478031E-2</v>
      </c>
      <c r="L195" s="58">
        <f t="shared" si="57"/>
        <v>1.2847280765478031E-2</v>
      </c>
      <c r="M195" s="10"/>
      <c r="N195" s="56">
        <v>293509</v>
      </c>
      <c r="O195" s="56">
        <v>31380</v>
      </c>
      <c r="P195" s="56">
        <v>58425</v>
      </c>
      <c r="R195" s="56">
        <f t="shared" si="41"/>
        <v>58425</v>
      </c>
      <c r="S195" s="56">
        <f t="shared" si="42"/>
        <v>0</v>
      </c>
      <c r="U195" s="16">
        <v>1.9253561051690626E-2</v>
      </c>
      <c r="V195" s="16">
        <v>-4.8194198108147068E-2</v>
      </c>
      <c r="W195" s="56">
        <f t="shared" si="43"/>
        <v>3</v>
      </c>
      <c r="X195" s="56">
        <f t="shared" si="44"/>
        <v>2879.6465493547089</v>
      </c>
      <c r="Y195" s="56">
        <f t="shared" si="44"/>
        <v>329.6891018906133</v>
      </c>
      <c r="AA195" s="56">
        <f t="shared" si="56"/>
        <v>0</v>
      </c>
      <c r="AB195" s="56">
        <v>0</v>
      </c>
      <c r="AC195" s="56">
        <f t="shared" si="45"/>
        <v>0</v>
      </c>
      <c r="AE195" s="56">
        <v>0</v>
      </c>
      <c r="AF195" s="56">
        <f t="shared" si="46"/>
        <v>0</v>
      </c>
      <c r="AG195" s="56">
        <f t="shared" si="47"/>
        <v>0</v>
      </c>
      <c r="AI195" s="56">
        <f t="shared" si="48"/>
        <v>0</v>
      </c>
      <c r="AJ195" s="56">
        <f t="shared" si="49"/>
        <v>0</v>
      </c>
      <c r="AK195" s="56">
        <f t="shared" si="50"/>
        <v>0</v>
      </c>
      <c r="AM195" s="56">
        <f t="shared" si="51"/>
        <v>293509</v>
      </c>
      <c r="AN195" s="56">
        <f t="shared" si="52"/>
        <v>31380</v>
      </c>
      <c r="AO195" s="56">
        <f t="shared" si="53"/>
        <v>58425</v>
      </c>
      <c r="AP195" s="56"/>
      <c r="AQ195" s="56">
        <f t="shared" si="54"/>
        <v>383314</v>
      </c>
      <c r="AR195" s="1"/>
      <c r="AS195" s="56">
        <v>1284.3466643695097</v>
      </c>
      <c r="AT195" s="56">
        <v>137.31367122614711</v>
      </c>
      <c r="AU195" s="56">
        <v>255.65810202000142</v>
      </c>
      <c r="AV195" s="56"/>
      <c r="AW195" s="56">
        <v>1677.3184376156582</v>
      </c>
      <c r="AX195" s="1"/>
      <c r="AY195" s="16">
        <v>1.9253561051690626E-2</v>
      </c>
      <c r="AZ195" s="16">
        <v>-4.8194198108147068E-2</v>
      </c>
      <c r="BA195" s="16">
        <v>1.576267599136294E-2</v>
      </c>
      <c r="BB195" s="16">
        <f t="shared" si="55"/>
        <v>1.2847280765478031E-2</v>
      </c>
      <c r="BC195" s="16"/>
      <c r="BD195" s="1"/>
      <c r="BE195" s="16">
        <f>AM195/'2019-20 disagg'!AM195-1</f>
        <v>3.6599492841149051E-2</v>
      </c>
      <c r="BF195" s="16">
        <f>AN195/'2019-20 disagg'!AN195-1</f>
        <v>4.0106065628107368E-2</v>
      </c>
      <c r="BG195" s="16">
        <f>AO195/'2019-20 disagg'!AO195-1</f>
        <v>4.8734518039849295E-2</v>
      </c>
      <c r="BH195" s="16">
        <f>AQ195/'2019-20 disagg'!AQ195-1</f>
        <v>3.8718139101309834E-2</v>
      </c>
      <c r="BI195" s="1"/>
      <c r="BJ195" s="16">
        <f>AS195/'2019-20 disagg'!AS195-1</f>
        <v>3.1027494327093397E-2</v>
      </c>
      <c r="BK195" s="16">
        <f>AT195/'2019-20 disagg'!AT195-1</f>
        <v>3.4515218350866572E-2</v>
      </c>
      <c r="BL195" s="16">
        <f>AU195/'2019-20 disagg'!AU195-1</f>
        <v>4.3097290531526999E-2</v>
      </c>
      <c r="BM195" s="16">
        <f>AW195/'2019-20 disagg'!AW195-1</f>
        <v>3.3134752299014636E-2</v>
      </c>
    </row>
    <row r="196" spans="1:65" x14ac:dyDescent="0.2">
      <c r="A196" s="156" t="s">
        <v>437</v>
      </c>
      <c r="B196" s="156" t="s">
        <v>438</v>
      </c>
      <c r="D196" s="56">
        <f>VLOOKUP(A196,'2020-21'!$A$12:$AMX404,32,FALSE)</f>
        <v>260369</v>
      </c>
      <c r="E196" s="56">
        <v>1615.302299235869</v>
      </c>
      <c r="F196" s="16">
        <f>VLOOKUP(A196,'2020-21'!$A$12:$AMX404,34,FALSE)</f>
        <v>4.0622689394696376E-2</v>
      </c>
      <c r="G196" s="16">
        <f>VLOOKUP(A196,'2020-21'!$A$12:$AMX404,35,FALSE)</f>
        <v>2.90909916914035E-2</v>
      </c>
      <c r="H196" s="56"/>
      <c r="I196" s="56">
        <v>261146.21075577391</v>
      </c>
      <c r="J196" s="56">
        <v>1620.1240342380868</v>
      </c>
      <c r="K196" s="16">
        <f t="shared" si="57"/>
        <v>-2.9761517638896562E-3</v>
      </c>
      <c r="L196" s="58">
        <f t="shared" si="57"/>
        <v>-2.9761517638896562E-3</v>
      </c>
      <c r="M196" s="10"/>
      <c r="N196" s="56">
        <v>191467</v>
      </c>
      <c r="O196" s="56">
        <v>22179</v>
      </c>
      <c r="P196" s="56">
        <v>46723</v>
      </c>
      <c r="R196" s="56">
        <f t="shared" si="41"/>
        <v>46723</v>
      </c>
      <c r="S196" s="56">
        <f t="shared" si="42"/>
        <v>0</v>
      </c>
      <c r="U196" s="16">
        <v>-1.0552704200261998E-2</v>
      </c>
      <c r="V196" s="16">
        <v>1.1181710971730707E-2</v>
      </c>
      <c r="W196" s="56">
        <f t="shared" si="43"/>
        <v>1</v>
      </c>
      <c r="X196" s="56">
        <f t="shared" si="44"/>
        <v>1935.0904369822292</v>
      </c>
      <c r="Y196" s="56">
        <f t="shared" si="44"/>
        <v>219.33743222754998</v>
      </c>
      <c r="AA196" s="56">
        <f t="shared" si="56"/>
        <v>0</v>
      </c>
      <c r="AB196" s="56">
        <v>0</v>
      </c>
      <c r="AC196" s="56">
        <f t="shared" si="45"/>
        <v>0</v>
      </c>
      <c r="AE196" s="56">
        <v>0</v>
      </c>
      <c r="AF196" s="56">
        <f t="shared" si="46"/>
        <v>0</v>
      </c>
      <c r="AG196" s="56">
        <f t="shared" si="47"/>
        <v>0</v>
      </c>
      <c r="AI196" s="56">
        <f t="shared" si="48"/>
        <v>0</v>
      </c>
      <c r="AJ196" s="56">
        <f t="shared" si="49"/>
        <v>0</v>
      </c>
      <c r="AK196" s="56">
        <f t="shared" si="50"/>
        <v>0</v>
      </c>
      <c r="AM196" s="56">
        <f t="shared" si="51"/>
        <v>191467</v>
      </c>
      <c r="AN196" s="56">
        <f t="shared" si="52"/>
        <v>22179</v>
      </c>
      <c r="AO196" s="56">
        <f t="shared" si="53"/>
        <v>46723</v>
      </c>
      <c r="AP196" s="56"/>
      <c r="AQ196" s="56">
        <f t="shared" si="54"/>
        <v>260369</v>
      </c>
      <c r="AR196" s="1"/>
      <c r="AS196" s="56">
        <v>1187.841430154105</v>
      </c>
      <c r="AT196" s="56">
        <v>137.59621803959897</v>
      </c>
      <c r="AU196" s="56">
        <v>289.86465104216518</v>
      </c>
      <c r="AV196" s="56"/>
      <c r="AW196" s="56">
        <v>1615.302299235869</v>
      </c>
      <c r="AX196" s="1"/>
      <c r="AY196" s="16">
        <v>-1.0552704200261998E-2</v>
      </c>
      <c r="AZ196" s="16">
        <v>1.1181710971730707E-2</v>
      </c>
      <c r="BA196" s="16">
        <v>2.2308529200995464E-2</v>
      </c>
      <c r="BB196" s="16">
        <f t="shared" si="55"/>
        <v>-2.9761517638896562E-3</v>
      </c>
      <c r="BC196" s="16"/>
      <c r="BD196" s="1"/>
      <c r="BE196" s="16">
        <f>AM196/'2019-20 disagg'!AM196-1</f>
        <v>3.6598504658729825E-2</v>
      </c>
      <c r="BF196" s="16">
        <f>AN196/'2019-20 disagg'!AN196-1</f>
        <v>4.6080558437883168E-2</v>
      </c>
      <c r="BG196" s="16">
        <f>AO196/'2019-20 disagg'!AO196-1</f>
        <v>5.4790500270904818E-2</v>
      </c>
      <c r="BH196" s="16">
        <f>AQ196/'2019-20 disagg'!AQ196-1</f>
        <v>4.0622689394696376E-2</v>
      </c>
      <c r="BI196" s="1"/>
      <c r="BJ196" s="16">
        <f>AS196/'2019-20 disagg'!AS196-1</f>
        <v>2.5111401103105058E-2</v>
      </c>
      <c r="BK196" s="16">
        <f>AT196/'2019-20 disagg'!AT196-1</f>
        <v>3.4488379162785909E-2</v>
      </c>
      <c r="BL196" s="16">
        <f>AU196/'2019-20 disagg'!AU196-1</f>
        <v>4.3101801462593903E-2</v>
      </c>
      <c r="BM196" s="16">
        <f>AW196/'2019-20 disagg'!AW196-1</f>
        <v>2.90909916914035E-2</v>
      </c>
    </row>
    <row r="197" spans="1:65" x14ac:dyDescent="0.2">
      <c r="A197" s="156" t="s">
        <v>439</v>
      </c>
      <c r="B197" s="156" t="s">
        <v>440</v>
      </c>
      <c r="D197" s="56">
        <f>VLOOKUP(A197,'2020-21'!$A$12:$AMX405,32,FALSE)</f>
        <v>369110.60505933309</v>
      </c>
      <c r="E197" s="56">
        <v>1698.4863992747157</v>
      </c>
      <c r="F197" s="16">
        <f>VLOOKUP(A197,'2020-21'!$A$12:$AMX405,34,FALSE)</f>
        <v>4.203184742713062E-2</v>
      </c>
      <c r="G197" s="16">
        <f>VLOOKUP(A197,'2020-21'!$A$12:$AMX405,35,FALSE)</f>
        <v>3.681845520608884E-2</v>
      </c>
      <c r="H197" s="56"/>
      <c r="I197" s="56">
        <v>376762.5765419681</v>
      </c>
      <c r="J197" s="56">
        <v>1733.6974425575397</v>
      </c>
      <c r="K197" s="16">
        <f t="shared" si="57"/>
        <v>-2.0309797095207638E-2</v>
      </c>
      <c r="L197" s="58">
        <f t="shared" si="57"/>
        <v>-2.0309797095207638E-2</v>
      </c>
      <c r="M197" s="10"/>
      <c r="N197" s="56">
        <v>282171</v>
      </c>
      <c r="O197" s="56">
        <v>29808</v>
      </c>
      <c r="P197" s="56">
        <v>55923</v>
      </c>
      <c r="R197" s="56">
        <f t="shared" si="41"/>
        <v>55923</v>
      </c>
      <c r="S197" s="56">
        <f t="shared" si="42"/>
        <v>1208.6050593330874</v>
      </c>
      <c r="U197" s="16">
        <v>-3.1733995680581883E-2</v>
      </c>
      <c r="V197" s="16">
        <v>-4.3143565092379266E-2</v>
      </c>
      <c r="W197" s="56">
        <f t="shared" si="43"/>
        <v>4</v>
      </c>
      <c r="X197" s="56">
        <f t="shared" si="44"/>
        <v>2914.1888565873423</v>
      </c>
      <c r="Y197" s="56">
        <f t="shared" si="44"/>
        <v>311.52008715787963</v>
      </c>
      <c r="AA197" s="56">
        <f t="shared" si="56"/>
        <v>0</v>
      </c>
      <c r="AB197" s="56">
        <v>0</v>
      </c>
      <c r="AC197" s="56">
        <f t="shared" si="45"/>
        <v>1208.6050593330874</v>
      </c>
      <c r="AE197" s="56">
        <v>0</v>
      </c>
      <c r="AF197" s="56">
        <f t="shared" si="46"/>
        <v>0</v>
      </c>
      <c r="AG197" s="56">
        <f t="shared" si="47"/>
        <v>1208.6050593330874</v>
      </c>
      <c r="AI197" s="56">
        <f t="shared" si="48"/>
        <v>1091.8850576252596</v>
      </c>
      <c r="AJ197" s="56">
        <f t="shared" si="49"/>
        <v>116.72000170782779</v>
      </c>
      <c r="AK197" s="56">
        <f t="shared" si="50"/>
        <v>0</v>
      </c>
      <c r="AM197" s="56">
        <f t="shared" si="51"/>
        <v>283263</v>
      </c>
      <c r="AN197" s="56">
        <f t="shared" si="52"/>
        <v>29925</v>
      </c>
      <c r="AO197" s="56">
        <f t="shared" si="53"/>
        <v>55923</v>
      </c>
      <c r="AP197" s="56"/>
      <c r="AQ197" s="56">
        <f t="shared" si="54"/>
        <v>369111</v>
      </c>
      <c r="AR197" s="1"/>
      <c r="AS197" s="56">
        <v>1303.453074290336</v>
      </c>
      <c r="AT197" s="56">
        <v>137.70182921221024</v>
      </c>
      <c r="AU197" s="56">
        <v>257.33331311727426</v>
      </c>
      <c r="AV197" s="56"/>
      <c r="AW197" s="56">
        <v>1698.4882166198206</v>
      </c>
      <c r="AX197" s="1"/>
      <c r="AY197" s="16">
        <v>-2.7986812317596921E-2</v>
      </c>
      <c r="AZ197" s="16">
        <v>-3.9387788022995474E-2</v>
      </c>
      <c r="BA197" s="16">
        <v>3.1948036364778831E-2</v>
      </c>
      <c r="BB197" s="16">
        <f t="shared" si="55"/>
        <v>-2.0308748847076008E-2</v>
      </c>
      <c r="BC197" s="16"/>
      <c r="BD197" s="1"/>
      <c r="BE197" s="16">
        <f>AM197/'2019-20 disagg'!AM197-1</f>
        <v>4.0612325868453425E-2</v>
      </c>
      <c r="BF197" s="16">
        <f>AN197/'2019-20 disagg'!AN197-1</f>
        <v>4.3773979769794247E-2</v>
      </c>
      <c r="BG197" s="16">
        <f>AO197/'2019-20 disagg'!AO197-1</f>
        <v>4.8346580683863216E-2</v>
      </c>
      <c r="BH197" s="16">
        <f>AQ197/'2019-20 disagg'!AQ197-1</f>
        <v>4.2032962379524808E-2</v>
      </c>
      <c r="BI197" s="1"/>
      <c r="BJ197" s="16">
        <f>AS197/'2019-20 disagg'!AS197-1</f>
        <v>3.540603565937972E-2</v>
      </c>
      <c r="BK197" s="16">
        <f>AT197/'2019-20 disagg'!AT197-1</f>
        <v>3.8551871481939504E-2</v>
      </c>
      <c r="BL197" s="16">
        <f>AU197/'2019-20 disagg'!AU197-1</f>
        <v>4.3101595204592114E-2</v>
      </c>
      <c r="BM197" s="16">
        <f>AW197/'2019-20 disagg'!AW197-1</f>
        <v>3.6819564580261588E-2</v>
      </c>
    </row>
    <row r="198" spans="1:65" x14ac:dyDescent="0.2">
      <c r="A198" s="156" t="s">
        <v>441</v>
      </c>
      <c r="B198" s="156" t="s">
        <v>442</v>
      </c>
      <c r="D198" s="56">
        <f>VLOOKUP(A198,'2020-21'!$A$12:$AMX406,32,FALSE)</f>
        <v>393767</v>
      </c>
      <c r="E198" s="56">
        <v>1918.7048841142055</v>
      </c>
      <c r="F198" s="16">
        <f>VLOOKUP(A198,'2020-21'!$A$12:$AMX406,34,FALSE)</f>
        <v>3.8401392386703703E-2</v>
      </c>
      <c r="G198" s="16">
        <f>VLOOKUP(A198,'2020-21'!$A$12:$AMX406,35,FALSE)</f>
        <v>3.2960050173646005E-2</v>
      </c>
      <c r="H198" s="56"/>
      <c r="I198" s="56">
        <v>383791.46504965611</v>
      </c>
      <c r="J198" s="56">
        <v>1870.0971855745188</v>
      </c>
      <c r="K198" s="16">
        <f t="shared" si="57"/>
        <v>2.599207084777988E-2</v>
      </c>
      <c r="L198" s="58">
        <f t="shared" si="57"/>
        <v>2.599207084777988E-2</v>
      </c>
      <c r="M198" s="10"/>
      <c r="N198" s="56">
        <v>300571</v>
      </c>
      <c r="O198" s="56">
        <v>29402</v>
      </c>
      <c r="P198" s="56">
        <v>63794</v>
      </c>
      <c r="R198" s="56">
        <f t="shared" si="41"/>
        <v>63794</v>
      </c>
      <c r="S198" s="56">
        <f t="shared" si="42"/>
        <v>0</v>
      </c>
      <c r="U198" s="16">
        <v>4.8556335100688131E-2</v>
      </c>
      <c r="V198" s="16">
        <v>-4.8058863041284594E-2</v>
      </c>
      <c r="W198" s="56">
        <f t="shared" si="43"/>
        <v>3</v>
      </c>
      <c r="X198" s="56">
        <f t="shared" si="44"/>
        <v>2866.5221880628615</v>
      </c>
      <c r="Y198" s="56">
        <f t="shared" si="44"/>
        <v>308.86363513960771</v>
      </c>
      <c r="AA198" s="56">
        <f t="shared" si="56"/>
        <v>0</v>
      </c>
      <c r="AB198" s="56">
        <v>0</v>
      </c>
      <c r="AC198" s="56">
        <f t="shared" si="45"/>
        <v>0</v>
      </c>
      <c r="AE198" s="56">
        <v>0</v>
      </c>
      <c r="AF198" s="56">
        <f t="shared" si="46"/>
        <v>0</v>
      </c>
      <c r="AG198" s="56">
        <f t="shared" si="47"/>
        <v>0</v>
      </c>
      <c r="AI198" s="56">
        <f t="shared" si="48"/>
        <v>0</v>
      </c>
      <c r="AJ198" s="56">
        <f t="shared" si="49"/>
        <v>0</v>
      </c>
      <c r="AK198" s="56">
        <f t="shared" si="50"/>
        <v>0</v>
      </c>
      <c r="AM198" s="56">
        <f t="shared" si="51"/>
        <v>300571</v>
      </c>
      <c r="AN198" s="56">
        <f t="shared" si="52"/>
        <v>29402</v>
      </c>
      <c r="AO198" s="56">
        <f t="shared" si="53"/>
        <v>63794</v>
      </c>
      <c r="AP198" s="56"/>
      <c r="AQ198" s="56">
        <f t="shared" si="54"/>
        <v>393767</v>
      </c>
      <c r="AR198" s="1"/>
      <c r="AS198" s="56">
        <v>1464.5895814608407</v>
      </c>
      <c r="AT198" s="56">
        <v>143.26685832669034</v>
      </c>
      <c r="AU198" s="56">
        <v>310.8484443266745</v>
      </c>
      <c r="AV198" s="56"/>
      <c r="AW198" s="56">
        <v>1918.7048841142055</v>
      </c>
      <c r="AX198" s="1"/>
      <c r="AY198" s="16">
        <v>4.8556335100688131E-2</v>
      </c>
      <c r="AZ198" s="16">
        <v>-4.8058863041284594E-2</v>
      </c>
      <c r="BA198" s="16">
        <v>-3.7113596089874523E-2</v>
      </c>
      <c r="BB198" s="16">
        <f t="shared" si="55"/>
        <v>2.599207084777988E-2</v>
      </c>
      <c r="BC198" s="16"/>
      <c r="BD198" s="1"/>
      <c r="BE198" s="16">
        <f>AM198/'2019-20 disagg'!AM198-1</f>
        <v>3.6115879680379548E-2</v>
      </c>
      <c r="BF198" s="16">
        <f>AN198/'2019-20 disagg'!AN198-1</f>
        <v>3.9932090687228028E-2</v>
      </c>
      <c r="BG198" s="16">
        <f>AO198/'2019-20 disagg'!AO198-1</f>
        <v>4.8588053519182051E-2</v>
      </c>
      <c r="BH198" s="16">
        <f>AQ198/'2019-20 disagg'!AQ198-1</f>
        <v>3.8401392386703703E-2</v>
      </c>
      <c r="BI198" s="1"/>
      <c r="BJ198" s="16">
        <f>AS198/'2019-20 disagg'!AS198-1</f>
        <v>3.068651381563825E-2</v>
      </c>
      <c r="BK198" s="16">
        <f>AT198/'2019-20 disagg'!AT198-1</f>
        <v>3.4482727439781424E-2</v>
      </c>
      <c r="BL198" s="16">
        <f>AU198/'2019-20 disagg'!AU198-1</f>
        <v>4.3093332035221588E-2</v>
      </c>
      <c r="BM198" s="16">
        <f>AW198/'2019-20 disagg'!AW198-1</f>
        <v>3.2960050173646005E-2</v>
      </c>
    </row>
    <row r="199" spans="1:65" x14ac:dyDescent="0.2">
      <c r="A199" s="156" t="s">
        <v>443</v>
      </c>
      <c r="B199" s="156" t="s">
        <v>444</v>
      </c>
      <c r="D199" s="56">
        <f>VLOOKUP(A199,'2020-21'!$A$12:$AMX407,32,FALSE)</f>
        <v>196978.07610684817</v>
      </c>
      <c r="E199" s="56">
        <v>1400.7241529967614</v>
      </c>
      <c r="F199" s="16">
        <f>VLOOKUP(A199,'2020-21'!$A$12:$AMX407,34,FALSE)</f>
        <v>3.9988997628604306E-2</v>
      </c>
      <c r="G199" s="16">
        <f>VLOOKUP(A199,'2020-21'!$A$12:$AMX407,35,FALSE)</f>
        <v>3.6921207803888079E-2</v>
      </c>
      <c r="H199" s="56"/>
      <c r="I199" s="56">
        <v>201099.37230616127</v>
      </c>
      <c r="J199" s="56">
        <v>1430.030963389712</v>
      </c>
      <c r="K199" s="16">
        <f t="shared" si="57"/>
        <v>-2.0493829254915275E-2</v>
      </c>
      <c r="L199" s="58">
        <f t="shared" si="57"/>
        <v>-2.0493829254915163E-2</v>
      </c>
      <c r="M199" s="10"/>
      <c r="N199" s="56">
        <v>147036</v>
      </c>
      <c r="O199" s="56">
        <v>20086</v>
      </c>
      <c r="P199" s="56">
        <v>29503</v>
      </c>
      <c r="R199" s="56">
        <f t="shared" si="41"/>
        <v>29503</v>
      </c>
      <c r="S199" s="56">
        <f t="shared" si="42"/>
        <v>353.07610684816609</v>
      </c>
      <c r="U199" s="16">
        <v>-2.9484464230551066E-2</v>
      </c>
      <c r="V199" s="16">
        <v>1.9996310120215632E-2</v>
      </c>
      <c r="W199" s="56">
        <f t="shared" si="43"/>
        <v>1</v>
      </c>
      <c r="X199" s="56">
        <f t="shared" si="44"/>
        <v>1515.0298432206569</v>
      </c>
      <c r="Y199" s="56">
        <f t="shared" si="44"/>
        <v>196.92228099955273</v>
      </c>
      <c r="AA199" s="56">
        <f t="shared" si="56"/>
        <v>353.07610684816609</v>
      </c>
      <c r="AB199" s="56">
        <v>0</v>
      </c>
      <c r="AC199" s="56">
        <f t="shared" si="45"/>
        <v>0</v>
      </c>
      <c r="AE199" s="56">
        <v>0</v>
      </c>
      <c r="AF199" s="56">
        <f t="shared" si="46"/>
        <v>0</v>
      </c>
      <c r="AG199" s="56">
        <f t="shared" si="47"/>
        <v>0</v>
      </c>
      <c r="AI199" s="56">
        <f t="shared" si="48"/>
        <v>0</v>
      </c>
      <c r="AJ199" s="56">
        <f t="shared" si="49"/>
        <v>0</v>
      </c>
      <c r="AK199" s="56">
        <f t="shared" si="50"/>
        <v>0</v>
      </c>
      <c r="AM199" s="56">
        <f t="shared" si="51"/>
        <v>147389</v>
      </c>
      <c r="AN199" s="56">
        <f t="shared" si="52"/>
        <v>20086</v>
      </c>
      <c r="AO199" s="56">
        <f t="shared" si="53"/>
        <v>29503</v>
      </c>
      <c r="AP199" s="56"/>
      <c r="AQ199" s="56">
        <f t="shared" si="54"/>
        <v>196978</v>
      </c>
      <c r="AR199" s="1"/>
      <c r="AS199" s="56">
        <v>1048.0929465168138</v>
      </c>
      <c r="AT199" s="56">
        <v>142.83287710573191</v>
      </c>
      <c r="AU199" s="56">
        <v>209.7977881733749</v>
      </c>
      <c r="AV199" s="56"/>
      <c r="AW199" s="56">
        <v>1400.7236117959205</v>
      </c>
      <c r="AX199" s="1"/>
      <c r="AY199" s="16">
        <v>-2.7154477124491261E-2</v>
      </c>
      <c r="AZ199" s="16">
        <v>1.9996310120215632E-2</v>
      </c>
      <c r="BA199" s="16">
        <v>-1.3414852170886227E-2</v>
      </c>
      <c r="BB199" s="16">
        <f t="shared" si="55"/>
        <v>-2.0494207708847245E-2</v>
      </c>
      <c r="BC199" s="16"/>
      <c r="BD199" s="1"/>
      <c r="BE199" s="16">
        <f>AM199/'2019-20 disagg'!AM199-1</f>
        <v>3.9092242181551606E-2</v>
      </c>
      <c r="BF199" s="16">
        <f>AN199/'2019-20 disagg'!AN199-1</f>
        <v>3.7553592644248068E-2</v>
      </c>
      <c r="BG199" s="16">
        <f>AO199/'2019-20 disagg'!AO199-1</f>
        <v>4.6168575582426152E-2</v>
      </c>
      <c r="BH199" s="16">
        <f>AQ199/'2019-20 disagg'!AQ199-1</f>
        <v>3.9988595805790839E-2</v>
      </c>
      <c r="BI199" s="1"/>
      <c r="BJ199" s="16">
        <f>AS199/'2019-20 disagg'!AS199-1</f>
        <v>3.6027097632162386E-2</v>
      </c>
      <c r="BK199" s="16">
        <f>AT199/'2019-20 disagg'!AT199-1</f>
        <v>3.4492986848062124E-2</v>
      </c>
      <c r="BL199" s="16">
        <f>AU199/'2019-20 disagg'!AU199-1</f>
        <v>4.3082557058742088E-2</v>
      </c>
      <c r="BM199" s="16">
        <f>AW199/'2019-20 disagg'!AW199-1</f>
        <v>3.6920807166383351E-2</v>
      </c>
    </row>
    <row r="200" spans="1:65" x14ac:dyDescent="0.2">
      <c r="A200" s="156" t="s">
        <v>445</v>
      </c>
      <c r="B200" s="156" t="s">
        <v>446</v>
      </c>
      <c r="D200" s="56">
        <f>VLOOKUP(A200,'2020-21'!$A$12:$AMX408,32,FALSE)</f>
        <v>475790</v>
      </c>
      <c r="E200" s="56">
        <v>1684.1612744995862</v>
      </c>
      <c r="F200" s="16">
        <f>VLOOKUP(A200,'2020-21'!$A$12:$AMX408,34,FALSE)</f>
        <v>3.894260583986231E-2</v>
      </c>
      <c r="G200" s="16">
        <f>VLOOKUP(A200,'2020-21'!$A$12:$AMX408,35,FALSE)</f>
        <v>3.4188881572399854E-2</v>
      </c>
      <c r="H200" s="56"/>
      <c r="I200" s="56">
        <v>481346.97457993147</v>
      </c>
      <c r="J200" s="56">
        <v>1703.8313839825498</v>
      </c>
      <c r="K200" s="16">
        <f t="shared" si="57"/>
        <v>-1.1544633857480835E-2</v>
      </c>
      <c r="L200" s="58">
        <f t="shared" si="57"/>
        <v>-1.1544633857480946E-2</v>
      </c>
      <c r="M200" s="10"/>
      <c r="N200" s="56">
        <v>347007</v>
      </c>
      <c r="O200" s="56">
        <v>38263</v>
      </c>
      <c r="P200" s="56">
        <v>90520</v>
      </c>
      <c r="R200" s="56">
        <f t="shared" si="41"/>
        <v>90520</v>
      </c>
      <c r="S200" s="56">
        <f t="shared" si="42"/>
        <v>0</v>
      </c>
      <c r="U200" s="16">
        <v>-4.6524722791381756E-2</v>
      </c>
      <c r="V200" s="16">
        <v>-4.8312773156765521E-2</v>
      </c>
      <c r="W200" s="56">
        <f t="shared" si="43"/>
        <v>4</v>
      </c>
      <c r="X200" s="56">
        <f t="shared" si="44"/>
        <v>3639.3916894824283</v>
      </c>
      <c r="Y200" s="56">
        <f t="shared" si="44"/>
        <v>402.05436114677229</v>
      </c>
      <c r="AA200" s="56">
        <f t="shared" si="56"/>
        <v>0</v>
      </c>
      <c r="AB200" s="56">
        <v>0</v>
      </c>
      <c r="AC200" s="56">
        <f t="shared" si="45"/>
        <v>0</v>
      </c>
      <c r="AE200" s="56">
        <v>0</v>
      </c>
      <c r="AF200" s="56">
        <f t="shared" si="46"/>
        <v>0</v>
      </c>
      <c r="AG200" s="56">
        <f t="shared" si="47"/>
        <v>0</v>
      </c>
      <c r="AI200" s="56">
        <f t="shared" si="48"/>
        <v>0</v>
      </c>
      <c r="AJ200" s="56">
        <f t="shared" si="49"/>
        <v>0</v>
      </c>
      <c r="AK200" s="56">
        <f t="shared" si="50"/>
        <v>0</v>
      </c>
      <c r="AM200" s="56">
        <f t="shared" si="51"/>
        <v>347007</v>
      </c>
      <c r="AN200" s="56">
        <f t="shared" si="52"/>
        <v>38263</v>
      </c>
      <c r="AO200" s="56">
        <f t="shared" si="53"/>
        <v>90520</v>
      </c>
      <c r="AP200" s="56"/>
      <c r="AQ200" s="56">
        <f t="shared" si="54"/>
        <v>475790</v>
      </c>
      <c r="AR200" s="1"/>
      <c r="AS200" s="56">
        <v>1228.3060833146512</v>
      </c>
      <c r="AT200" s="56">
        <v>135.44013713230137</v>
      </c>
      <c r="AU200" s="56">
        <v>320.41505405263359</v>
      </c>
      <c r="AV200" s="56"/>
      <c r="AW200" s="56">
        <v>1684.1612744995862</v>
      </c>
      <c r="AX200" s="1"/>
      <c r="AY200" s="16">
        <v>-4.6524722791381756E-2</v>
      </c>
      <c r="AZ200" s="16">
        <v>-4.8312773156765521E-2</v>
      </c>
      <c r="BA200" s="16">
        <v>0.172502872208528</v>
      </c>
      <c r="BB200" s="16">
        <f t="shared" si="55"/>
        <v>-1.1544633857480835E-2</v>
      </c>
      <c r="BC200" s="16"/>
      <c r="BD200" s="1"/>
      <c r="BE200" s="16">
        <f>AM200/'2019-20 disagg'!AM200-1</f>
        <v>3.6599901420441894E-2</v>
      </c>
      <c r="BF200" s="16">
        <f>AN200/'2019-20 disagg'!AN200-1</f>
        <v>3.9247107393122871E-2</v>
      </c>
      <c r="BG200" s="16">
        <f>AO200/'2019-20 disagg'!AO200-1</f>
        <v>4.7891367514441452E-2</v>
      </c>
      <c r="BH200" s="16">
        <f>AQ200/'2019-20 disagg'!AQ200-1</f>
        <v>3.894260583986231E-2</v>
      </c>
      <c r="BI200" s="1"/>
      <c r="BJ200" s="16">
        <f>AS200/'2019-20 disagg'!AS200-1</f>
        <v>3.1856896292600245E-2</v>
      </c>
      <c r="BK200" s="16">
        <f>AT200/'2019-20 disagg'!AT200-1</f>
        <v>3.4491989866384021E-2</v>
      </c>
      <c r="BL200" s="16">
        <f>AU200/'2019-20 disagg'!AU200-1</f>
        <v>4.3096697822951668E-2</v>
      </c>
      <c r="BM200" s="16">
        <f>AW200/'2019-20 disagg'!AW200-1</f>
        <v>3.4188881572399854E-2</v>
      </c>
    </row>
    <row r="201" spans="1:65" x14ac:dyDescent="0.2">
      <c r="A201" s="156" t="s">
        <v>447</v>
      </c>
      <c r="B201" s="156" t="s">
        <v>448</v>
      </c>
      <c r="D201" s="56">
        <f>VLOOKUP(A201,'2020-21'!$A$12:$AMX409,32,FALSE)</f>
        <v>525669.72904666746</v>
      </c>
      <c r="E201" s="56">
        <v>1660.6686849985047</v>
      </c>
      <c r="F201" s="16">
        <f>VLOOKUP(A201,'2020-21'!$A$12:$AMX409,34,FALSE)</f>
        <v>4.5819622127744708E-2</v>
      </c>
      <c r="G201" s="16">
        <f>VLOOKUP(A201,'2020-21'!$A$12:$AMX409,35,FALSE)</f>
        <v>3.6441128415975799E-2</v>
      </c>
      <c r="H201" s="56"/>
      <c r="I201" s="56">
        <v>536589.94862008817</v>
      </c>
      <c r="J201" s="56">
        <v>1695.1672792237725</v>
      </c>
      <c r="K201" s="16">
        <f t="shared" si="57"/>
        <v>-2.0351144484728967E-2</v>
      </c>
      <c r="L201" s="58">
        <f t="shared" si="57"/>
        <v>-2.0351144484728967E-2</v>
      </c>
      <c r="M201" s="10"/>
      <c r="N201" s="56">
        <v>386380</v>
      </c>
      <c r="O201" s="56">
        <v>40179</v>
      </c>
      <c r="P201" s="56">
        <v>96213</v>
      </c>
      <c r="R201" s="56">
        <f t="shared" si="41"/>
        <v>96213</v>
      </c>
      <c r="S201" s="56">
        <f t="shared" si="42"/>
        <v>2897.7290466674604</v>
      </c>
      <c r="U201" s="16">
        <v>-2.8080894543202728E-2</v>
      </c>
      <c r="V201" s="16">
        <v>-4.1405615945365515E-2</v>
      </c>
      <c r="W201" s="56">
        <f t="shared" si="43"/>
        <v>4</v>
      </c>
      <c r="X201" s="56">
        <f t="shared" si="44"/>
        <v>3975.4337354897789</v>
      </c>
      <c r="Y201" s="56">
        <f t="shared" si="44"/>
        <v>419.14495503355698</v>
      </c>
      <c r="AA201" s="56">
        <f t="shared" si="56"/>
        <v>0</v>
      </c>
      <c r="AB201" s="56">
        <v>0</v>
      </c>
      <c r="AC201" s="56">
        <f t="shared" si="45"/>
        <v>2897.7290466674604</v>
      </c>
      <c r="AE201" s="56">
        <v>0</v>
      </c>
      <c r="AF201" s="56">
        <f t="shared" si="46"/>
        <v>0</v>
      </c>
      <c r="AG201" s="56">
        <f t="shared" si="47"/>
        <v>2897.7290466674604</v>
      </c>
      <c r="AI201" s="56">
        <f t="shared" si="48"/>
        <v>2621.3502180020378</v>
      </c>
      <c r="AJ201" s="56">
        <f t="shared" si="49"/>
        <v>276.37882866542219</v>
      </c>
      <c r="AK201" s="56">
        <f t="shared" si="50"/>
        <v>0</v>
      </c>
      <c r="AM201" s="56">
        <f t="shared" si="51"/>
        <v>389001</v>
      </c>
      <c r="AN201" s="56">
        <f t="shared" si="52"/>
        <v>40455</v>
      </c>
      <c r="AO201" s="56">
        <f t="shared" si="53"/>
        <v>96213</v>
      </c>
      <c r="AP201" s="56"/>
      <c r="AQ201" s="56">
        <f t="shared" si="54"/>
        <v>525669</v>
      </c>
      <c r="AR201" s="1"/>
      <c r="AS201" s="56">
        <v>1228.9118878971119</v>
      </c>
      <c r="AT201" s="56">
        <v>127.80334864146278</v>
      </c>
      <c r="AU201" s="56">
        <v>303.95114529331499</v>
      </c>
      <c r="AV201" s="56"/>
      <c r="AW201" s="56">
        <v>1660.6663818318896</v>
      </c>
      <c r="AX201" s="1"/>
      <c r="AY201" s="16">
        <v>-2.1487903251204532E-2</v>
      </c>
      <c r="AZ201" s="16">
        <v>-3.4820781828063474E-2</v>
      </c>
      <c r="BA201" s="16">
        <v>-9.4621629830690113E-3</v>
      </c>
      <c r="BB201" s="16">
        <f t="shared" si="55"/>
        <v>-2.0352503151005341E-2</v>
      </c>
      <c r="BC201" s="16"/>
      <c r="BD201" s="1"/>
      <c r="BE201" s="16">
        <f>AM201/'2019-20 disagg'!AM201-1</f>
        <v>4.3631183297651477E-2</v>
      </c>
      <c r="BF201" s="16">
        <f>AN201/'2019-20 disagg'!AN201-1</f>
        <v>5.1024914915174913E-2</v>
      </c>
      <c r="BG201" s="16">
        <f>AO201/'2019-20 disagg'!AO201-1</f>
        <v>5.2543485395470935E-2</v>
      </c>
      <c r="BH201" s="16">
        <f>AQ201/'2019-20 disagg'!AQ201-1</f>
        <v>4.5818171689821163E-2</v>
      </c>
      <c r="BI201" s="1"/>
      <c r="BJ201" s="16">
        <f>AS201/'2019-20 disagg'!AS201-1</f>
        <v>3.4272314633426726E-2</v>
      </c>
      <c r="BK201" s="16">
        <f>AT201/'2019-20 disagg'!AT201-1</f>
        <v>4.1599742211501978E-2</v>
      </c>
      <c r="BL201" s="16">
        <f>AU201/'2019-20 disagg'!AU201-1</f>
        <v>4.3104694756736173E-2</v>
      </c>
      <c r="BM201" s="16">
        <f>AW201/'2019-20 disagg'!AW201-1</f>
        <v>3.6439690985001771E-2</v>
      </c>
    </row>
    <row r="202" spans="1:65" x14ac:dyDescent="0.2">
      <c r="A202" s="156" t="s">
        <v>449</v>
      </c>
      <c r="B202" s="156" t="s">
        <v>450</v>
      </c>
      <c r="D202" s="56">
        <f>VLOOKUP(A202,'2020-21'!$A$12:$AMX410,32,FALSE)</f>
        <v>164929</v>
      </c>
      <c r="E202" s="56">
        <v>1696.2625459251606</v>
      </c>
      <c r="F202" s="16">
        <f>VLOOKUP(A202,'2020-21'!$A$12:$AMX410,34,FALSE)</f>
        <v>3.8896657722010231E-2</v>
      </c>
      <c r="G202" s="16">
        <f>VLOOKUP(A202,'2020-21'!$A$12:$AMX410,35,FALSE)</f>
        <v>3.3396418901908476E-2</v>
      </c>
      <c r="H202" s="56"/>
      <c r="I202" s="56">
        <v>166798.51706779553</v>
      </c>
      <c r="J202" s="56">
        <v>1715.4901637550715</v>
      </c>
      <c r="K202" s="16">
        <f t="shared" si="57"/>
        <v>-1.1208235544658107E-2</v>
      </c>
      <c r="L202" s="58">
        <f t="shared" si="57"/>
        <v>-1.1208235544658107E-2</v>
      </c>
      <c r="M202" s="10"/>
      <c r="N202" s="56">
        <v>124493</v>
      </c>
      <c r="O202" s="56">
        <v>12193</v>
      </c>
      <c r="P202" s="56">
        <v>28243</v>
      </c>
      <c r="R202" s="56">
        <f t="shared" si="41"/>
        <v>28243</v>
      </c>
      <c r="S202" s="56">
        <f t="shared" si="42"/>
        <v>0</v>
      </c>
      <c r="U202" s="16">
        <v>-5.0858310676261675E-3</v>
      </c>
      <c r="V202" s="16">
        <v>-4.8459321764194652E-2</v>
      </c>
      <c r="W202" s="56">
        <f t="shared" si="43"/>
        <v>4</v>
      </c>
      <c r="X202" s="56">
        <f t="shared" si="44"/>
        <v>1251.2938692348848</v>
      </c>
      <c r="Y202" s="56">
        <f t="shared" si="44"/>
        <v>128.13955597364804</v>
      </c>
      <c r="AA202" s="56">
        <f t="shared" si="56"/>
        <v>0</v>
      </c>
      <c r="AB202" s="56">
        <v>0</v>
      </c>
      <c r="AC202" s="56">
        <f t="shared" si="45"/>
        <v>0</v>
      </c>
      <c r="AE202" s="56">
        <v>0</v>
      </c>
      <c r="AF202" s="56">
        <f t="shared" si="46"/>
        <v>0</v>
      </c>
      <c r="AG202" s="56">
        <f t="shared" si="47"/>
        <v>0</v>
      </c>
      <c r="AI202" s="56">
        <f t="shared" si="48"/>
        <v>0</v>
      </c>
      <c r="AJ202" s="56">
        <f t="shared" si="49"/>
        <v>0</v>
      </c>
      <c r="AK202" s="56">
        <f t="shared" si="50"/>
        <v>0</v>
      </c>
      <c r="AM202" s="56">
        <f t="shared" si="51"/>
        <v>124493</v>
      </c>
      <c r="AN202" s="56">
        <f t="shared" si="52"/>
        <v>12193</v>
      </c>
      <c r="AO202" s="56">
        <f t="shared" si="53"/>
        <v>28243</v>
      </c>
      <c r="AP202" s="56"/>
      <c r="AQ202" s="56">
        <f t="shared" si="54"/>
        <v>164929</v>
      </c>
      <c r="AR202" s="1"/>
      <c r="AS202" s="56">
        <v>1280.3861851454928</v>
      </c>
      <c r="AT202" s="56">
        <v>125.40262308305684</v>
      </c>
      <c r="AU202" s="56">
        <v>290.47373769661073</v>
      </c>
      <c r="AV202" s="56"/>
      <c r="AW202" s="56">
        <v>1696.2625459251606</v>
      </c>
      <c r="AX202" s="1"/>
      <c r="AY202" s="16">
        <v>-5.0858310676261675E-3</v>
      </c>
      <c r="AZ202" s="16">
        <v>-4.8459321764194652E-2</v>
      </c>
      <c r="BA202" s="16">
        <v>-2.1215416525945607E-2</v>
      </c>
      <c r="BB202" s="16">
        <f t="shared" si="55"/>
        <v>-1.1208235544658107E-2</v>
      </c>
      <c r="BC202" s="16"/>
      <c r="BD202" s="1"/>
      <c r="BE202" s="16">
        <f>AM202/'2019-20 disagg'!AM202-1</f>
        <v>3.6603745305877844E-2</v>
      </c>
      <c r="BF202" s="16">
        <f>AN202/'2019-20 disagg'!AN202-1</f>
        <v>4.000341180484468E-2</v>
      </c>
      <c r="BG202" s="16">
        <f>AO202/'2019-20 disagg'!AO202-1</f>
        <v>4.8639215831879135E-2</v>
      </c>
      <c r="BH202" s="16">
        <f>AQ202/'2019-20 disagg'!AQ202-1</f>
        <v>3.8896657722010231E-2</v>
      </c>
      <c r="BI202" s="1"/>
      <c r="BJ202" s="16">
        <f>AS202/'2019-20 disagg'!AS202-1</f>
        <v>3.111564587017801E-2</v>
      </c>
      <c r="BK202" s="16">
        <f>AT202/'2019-20 disagg'!AT202-1</f>
        <v>3.4497313487818593E-2</v>
      </c>
      <c r="BL202" s="16">
        <f>AU202/'2019-20 disagg'!AU202-1</f>
        <v>4.3087396909055276E-2</v>
      </c>
      <c r="BM202" s="16">
        <f>AW202/'2019-20 disagg'!AW202-1</f>
        <v>3.3396418901908476E-2</v>
      </c>
    </row>
    <row r="203" spans="1:65" x14ac:dyDescent="0.2">
      <c r="A203" s="156" t="s">
        <v>451</v>
      </c>
      <c r="B203" s="156" t="s">
        <v>452</v>
      </c>
      <c r="D203" s="56">
        <f>VLOOKUP(A203,'2020-21'!$A$12:$AMX411,32,FALSE)</f>
        <v>203887.8216340236</v>
      </c>
      <c r="E203" s="56">
        <v>1764.5558456926096</v>
      </c>
      <c r="F203" s="16">
        <f>VLOOKUP(A203,'2020-21'!$A$12:$AMX411,34,FALSE)</f>
        <v>4.7001420566531893E-2</v>
      </c>
      <c r="G203" s="16">
        <f>VLOOKUP(A203,'2020-21'!$A$12:$AMX411,35,FALSE)</f>
        <v>3.5635608055945012E-2</v>
      </c>
      <c r="H203" s="56"/>
      <c r="I203" s="56">
        <v>207922.29338310432</v>
      </c>
      <c r="J203" s="56">
        <v>1799.4723534666771</v>
      </c>
      <c r="K203" s="16">
        <f t="shared" si="57"/>
        <v>-1.9403747830190832E-2</v>
      </c>
      <c r="L203" s="58">
        <f t="shared" si="57"/>
        <v>-1.9403747830190832E-2</v>
      </c>
      <c r="M203" s="10"/>
      <c r="N203" s="56">
        <v>155466</v>
      </c>
      <c r="O203" s="56">
        <v>16190</v>
      </c>
      <c r="P203" s="56">
        <v>30875</v>
      </c>
      <c r="R203" s="56">
        <f t="shared" si="41"/>
        <v>30875</v>
      </c>
      <c r="S203" s="56">
        <f t="shared" si="42"/>
        <v>1356.8216340235958</v>
      </c>
      <c r="U203" s="16">
        <v>-1.3656241977392014E-2</v>
      </c>
      <c r="V203" s="16">
        <v>-6.3540149513782174E-3</v>
      </c>
      <c r="W203" s="56">
        <f t="shared" si="43"/>
        <v>4</v>
      </c>
      <c r="X203" s="56">
        <f t="shared" si="44"/>
        <v>1576.1847604903337</v>
      </c>
      <c r="Y203" s="56">
        <f t="shared" si="44"/>
        <v>162.93529328966974</v>
      </c>
      <c r="AA203" s="56">
        <f t="shared" si="56"/>
        <v>0</v>
      </c>
      <c r="AB203" s="56">
        <v>0</v>
      </c>
      <c r="AC203" s="56">
        <f t="shared" si="45"/>
        <v>1356.8216340235958</v>
      </c>
      <c r="AE203" s="56">
        <v>0</v>
      </c>
      <c r="AF203" s="56">
        <f t="shared" si="46"/>
        <v>0</v>
      </c>
      <c r="AG203" s="56">
        <f t="shared" si="47"/>
        <v>1356.8216340235958</v>
      </c>
      <c r="AI203" s="56">
        <f t="shared" si="48"/>
        <v>1229.7032499874301</v>
      </c>
      <c r="AJ203" s="56">
        <f t="shared" si="49"/>
        <v>127.11838403616565</v>
      </c>
      <c r="AK203" s="56">
        <f t="shared" si="50"/>
        <v>0</v>
      </c>
      <c r="AM203" s="56">
        <f t="shared" si="51"/>
        <v>156696</v>
      </c>
      <c r="AN203" s="56">
        <f t="shared" si="52"/>
        <v>16317</v>
      </c>
      <c r="AO203" s="56">
        <f t="shared" si="53"/>
        <v>30875</v>
      </c>
      <c r="AP203" s="56"/>
      <c r="AQ203" s="56">
        <f t="shared" si="54"/>
        <v>203888</v>
      </c>
      <c r="AR203" s="1"/>
      <c r="AS203" s="56">
        <v>1356.13221319791</v>
      </c>
      <c r="AT203" s="56">
        <v>141.21617222360683</v>
      </c>
      <c r="AU203" s="56">
        <v>267.20900394704057</v>
      </c>
      <c r="AV203" s="56"/>
      <c r="AW203" s="56">
        <v>1764.5573893685573</v>
      </c>
      <c r="AX203" s="1"/>
      <c r="AY203" s="16">
        <v>-5.8525883015542179E-3</v>
      </c>
      <c r="AZ203" s="16">
        <v>1.4404903050253548E-3</v>
      </c>
      <c r="BA203" s="16">
        <v>-9.2186458539647353E-2</v>
      </c>
      <c r="BB203" s="16">
        <f t="shared" si="55"/>
        <v>-1.9402889980974725E-2</v>
      </c>
      <c r="BC203" s="16"/>
      <c r="BD203" s="1"/>
      <c r="BE203" s="16">
        <f>AM203/'2019-20 disagg'!AM203-1</f>
        <v>4.4800202697746982E-2</v>
      </c>
      <c r="BF203" s="16">
        <f>AN203/'2019-20 disagg'!AN203-1</f>
        <v>5.4069767441860428E-2</v>
      </c>
      <c r="BG203" s="16">
        <f>AO203/'2019-20 disagg'!AO203-1</f>
        <v>5.454607555160873E-2</v>
      </c>
      <c r="BH203" s="16">
        <f>AQ203/'2019-20 disagg'!AQ203-1</f>
        <v>4.7002336508588538E-2</v>
      </c>
      <c r="BI203" s="1"/>
      <c r="BJ203" s="16">
        <f>AS203/'2019-20 disagg'!AS203-1</f>
        <v>3.3458285693985346E-2</v>
      </c>
      <c r="BK203" s="16">
        <f>AT203/'2019-20 disagg'!AT203-1</f>
        <v>4.262722389369622E-2</v>
      </c>
      <c r="BL203" s="16">
        <f>AU203/'2019-20 disagg'!AU203-1</f>
        <v>4.3098361400457197E-2</v>
      </c>
      <c r="BM203" s="16">
        <f>AW203/'2019-20 disagg'!AW203-1</f>
        <v>3.5636514054914858E-2</v>
      </c>
    </row>
    <row r="204" spans="1:65" x14ac:dyDescent="0.2">
      <c r="A204" s="156" t="s">
        <v>453</v>
      </c>
      <c r="B204" s="156" t="s">
        <v>454</v>
      </c>
      <c r="D204" s="56">
        <f>VLOOKUP(A204,'2020-21'!$A$12:$AMX412,32,FALSE)</f>
        <v>299820</v>
      </c>
      <c r="E204" s="56">
        <v>1998.4322624546662</v>
      </c>
      <c r="F204" s="16">
        <f>VLOOKUP(A204,'2020-21'!$A$12:$AMX412,34,FALSE)</f>
        <v>3.9731172168412821E-2</v>
      </c>
      <c r="G204" s="16">
        <f>VLOOKUP(A204,'2020-21'!$A$12:$AMX412,35,FALSE)</f>
        <v>3.0595917082494983E-2</v>
      </c>
      <c r="H204" s="56"/>
      <c r="I204" s="56">
        <v>301477.60942688113</v>
      </c>
      <c r="J204" s="56">
        <v>2009.4809588632722</v>
      </c>
      <c r="K204" s="16">
        <f t="shared" si="57"/>
        <v>-5.4982837034972531E-3</v>
      </c>
      <c r="L204" s="58">
        <f t="shared" si="57"/>
        <v>-5.4982837034972531E-3</v>
      </c>
      <c r="M204" s="10"/>
      <c r="N204" s="56">
        <v>226497</v>
      </c>
      <c r="O204" s="56">
        <v>23797</v>
      </c>
      <c r="P204" s="56">
        <v>49526</v>
      </c>
      <c r="R204" s="56">
        <f t="shared" si="41"/>
        <v>49526</v>
      </c>
      <c r="S204" s="56">
        <f t="shared" si="42"/>
        <v>0</v>
      </c>
      <c r="U204" s="16">
        <v>7.939491175068536E-4</v>
      </c>
      <c r="V204" s="16">
        <v>-4.8572908410368654E-2</v>
      </c>
      <c r="W204" s="56">
        <f t="shared" si="43"/>
        <v>3</v>
      </c>
      <c r="X204" s="56">
        <f t="shared" si="44"/>
        <v>2263.1731556702903</v>
      </c>
      <c r="Y204" s="56">
        <f t="shared" si="44"/>
        <v>250.11900765028983</v>
      </c>
      <c r="AA204" s="56">
        <f t="shared" si="56"/>
        <v>0</v>
      </c>
      <c r="AB204" s="56">
        <v>0</v>
      </c>
      <c r="AC204" s="56">
        <f t="shared" si="45"/>
        <v>0</v>
      </c>
      <c r="AE204" s="56">
        <v>0</v>
      </c>
      <c r="AF204" s="56">
        <f t="shared" si="46"/>
        <v>0</v>
      </c>
      <c r="AG204" s="56">
        <f t="shared" si="47"/>
        <v>0</v>
      </c>
      <c r="AI204" s="56">
        <f t="shared" si="48"/>
        <v>0</v>
      </c>
      <c r="AJ204" s="56">
        <f t="shared" si="49"/>
        <v>0</v>
      </c>
      <c r="AK204" s="56">
        <f t="shared" si="50"/>
        <v>0</v>
      </c>
      <c r="AM204" s="56">
        <f t="shared" si="51"/>
        <v>226497</v>
      </c>
      <c r="AN204" s="56">
        <f t="shared" si="52"/>
        <v>23797</v>
      </c>
      <c r="AO204" s="56">
        <f t="shared" si="53"/>
        <v>49526</v>
      </c>
      <c r="AP204" s="56"/>
      <c r="AQ204" s="56">
        <f t="shared" si="54"/>
        <v>299820</v>
      </c>
      <c r="AR204" s="1"/>
      <c r="AS204" s="56">
        <v>1509.702195147737</v>
      </c>
      <c r="AT204" s="56">
        <v>158.61747898617068</v>
      </c>
      <c r="AU204" s="56">
        <v>330.11258832075845</v>
      </c>
      <c r="AV204" s="56"/>
      <c r="AW204" s="56">
        <v>1998.4322624546662</v>
      </c>
      <c r="AX204" s="1"/>
      <c r="AY204" s="16">
        <v>7.939491175068536E-4</v>
      </c>
      <c r="AZ204" s="16">
        <v>-4.8572908410368654E-2</v>
      </c>
      <c r="BA204" s="16">
        <v>-1.2411027680314213E-2</v>
      </c>
      <c r="BB204" s="16">
        <f t="shared" si="55"/>
        <v>-5.4982837034972531E-3</v>
      </c>
      <c r="BC204" s="16"/>
      <c r="BD204" s="1"/>
      <c r="BE204" s="16">
        <f>AM204/'2019-20 disagg'!AM204-1</f>
        <v>3.6599542334096125E-2</v>
      </c>
      <c r="BF204" s="16">
        <f>AN204/'2019-20 disagg'!AN204-1</f>
        <v>4.3682294636200103E-2</v>
      </c>
      <c r="BG204" s="16">
        <f>AO204/'2019-20 disagg'!AO204-1</f>
        <v>5.2356465938549146E-2</v>
      </c>
      <c r="BH204" s="16">
        <f>AQ204/'2019-20 disagg'!AQ204-1</f>
        <v>3.9731172168412821E-2</v>
      </c>
      <c r="BI204" s="1"/>
      <c r="BJ204" s="16">
        <f>AS204/'2019-20 disagg'!AS204-1</f>
        <v>2.7491802281041533E-2</v>
      </c>
      <c r="BK204" s="16">
        <f>AT204/'2019-20 disagg'!AT204-1</f>
        <v>3.4512324315628451E-2</v>
      </c>
      <c r="BL204" s="16">
        <f>AU204/'2019-20 disagg'!AU204-1</f>
        <v>4.3110282872195427E-2</v>
      </c>
      <c r="BM204" s="16">
        <f>AW204/'2019-20 disagg'!AW204-1</f>
        <v>3.0595917082494983E-2</v>
      </c>
    </row>
    <row r="205" spans="1:65" x14ac:dyDescent="0.2">
      <c r="A205" s="156" t="s">
        <v>455</v>
      </c>
      <c r="B205" s="156" t="s">
        <v>456</v>
      </c>
      <c r="D205" s="56">
        <f>VLOOKUP(A205,'2020-21'!$A$12:$AMX413,32,FALSE)</f>
        <v>955633</v>
      </c>
      <c r="E205" s="56">
        <v>1674.1421337737513</v>
      </c>
      <c r="F205" s="16">
        <f>VLOOKUP(A205,'2020-21'!$A$12:$AMX413,34,FALSE)</f>
        <v>4.0959401153120023E-2</v>
      </c>
      <c r="G205" s="16">
        <f>VLOOKUP(A205,'2020-21'!$A$12:$AMX413,35,FALSE)</f>
        <v>3.3997591997937393E-2</v>
      </c>
      <c r="H205" s="56"/>
      <c r="I205" s="56">
        <v>967211.19653466507</v>
      </c>
      <c r="J205" s="56">
        <v>1694.4255968310088</v>
      </c>
      <c r="K205" s="16">
        <f t="shared" si="57"/>
        <v>-1.1970701513948079E-2</v>
      </c>
      <c r="L205" s="58">
        <f t="shared" si="57"/>
        <v>-1.197070151394819E-2</v>
      </c>
      <c r="M205" s="10"/>
      <c r="N205" s="56">
        <v>709978</v>
      </c>
      <c r="O205" s="56">
        <v>76252</v>
      </c>
      <c r="P205" s="56">
        <v>169403</v>
      </c>
      <c r="R205" s="56">
        <f t="shared" ref="R205:R220" si="58">ROUND(P205,0)</f>
        <v>169403</v>
      </c>
      <c r="S205" s="56">
        <f t="shared" ref="S205:S220" si="59">D205-SUM(N205:P205)</f>
        <v>0</v>
      </c>
      <c r="U205" s="16">
        <v>-4.8254041094376698E-2</v>
      </c>
      <c r="V205" s="16">
        <v>6.4098220775632431E-3</v>
      </c>
      <c r="W205" s="56">
        <f t="shared" ref="W205:W220" si="60">IF(AND(U205&lt;0,V205&gt;0),1,IF(AND(U205&gt;0,V205&gt;0),2,IF(AND(U205&gt;0,V205&lt;0),3,IF(AND(U205&lt;0,V205&lt;0),4,5))))</f>
        <v>1</v>
      </c>
      <c r="X205" s="56">
        <f t="shared" ref="X205:Y220" si="61">N205/(1+U205)/100</f>
        <v>7459.7427323608172</v>
      </c>
      <c r="Y205" s="56">
        <f t="shared" si="61"/>
        <v>757.66351169537097</v>
      </c>
      <c r="AA205" s="56">
        <f t="shared" si="56"/>
        <v>0</v>
      </c>
      <c r="AB205" s="56">
        <v>0</v>
      </c>
      <c r="AC205" s="56">
        <f t="shared" ref="AC205:AC220" si="62">S205-AA205-AB205</f>
        <v>0</v>
      </c>
      <c r="AE205" s="56">
        <v>0</v>
      </c>
      <c r="AF205" s="56">
        <f t="shared" ref="AF205:AF220" si="63">IF(W205=3,MIN(S205,-1*V205*O205),0)</f>
        <v>0</v>
      </c>
      <c r="AG205" s="56">
        <f t="shared" ref="AG205:AG219" si="64">AC205-AE205-AF205</f>
        <v>0</v>
      </c>
      <c r="AI205" s="56">
        <f t="shared" ref="AI205:AI220" si="65">AG205*X205/(X205+Y205)</f>
        <v>0</v>
      </c>
      <c r="AJ205" s="56">
        <f t="shared" ref="AJ205:AJ220" si="66">AG205*Y205/(X205+Y205)</f>
        <v>0</v>
      </c>
      <c r="AK205" s="56">
        <f t="shared" ref="AK205:AK220" si="67">S205-SUM(AA205:AB205)-SUM(AE205:AF205)-SUM(AI205:AJ205)</f>
        <v>0</v>
      </c>
      <c r="AM205" s="56">
        <f t="shared" ref="AM205:AM220" si="68">ROUND(N205+AA205+AE205+AI205,0)</f>
        <v>709978</v>
      </c>
      <c r="AN205" s="56">
        <f t="shared" ref="AN205:AN220" si="69">ROUND(O205+AB205+AF205+AJ205,0)</f>
        <v>76252</v>
      </c>
      <c r="AO205" s="56">
        <f t="shared" ref="AO205:AO220" si="70">R205</f>
        <v>169403</v>
      </c>
      <c r="AP205" s="56"/>
      <c r="AQ205" s="56">
        <f t="shared" ref="AQ205:AQ220" si="71">SUM(AM205:AP205)</f>
        <v>955633</v>
      </c>
      <c r="AR205" s="1"/>
      <c r="AS205" s="56">
        <v>1243.7871901163107</v>
      </c>
      <c r="AT205" s="56">
        <v>133.58337979592173</v>
      </c>
      <c r="AU205" s="56">
        <v>296.77156386151876</v>
      </c>
      <c r="AV205" s="56"/>
      <c r="AW205" s="56">
        <v>1674.1421337737513</v>
      </c>
      <c r="AX205" s="1"/>
      <c r="AY205" s="16">
        <v>-4.8254041094376698E-2</v>
      </c>
      <c r="AZ205" s="16">
        <v>6.4098220775632431E-3</v>
      </c>
      <c r="BA205" s="16">
        <v>0.16451731453783913</v>
      </c>
      <c r="BB205" s="16">
        <f t="shared" ref="BB205:BB222" si="72">SUM(AM205:AO205)/I205-1</f>
        <v>-1.1970701513948079E-2</v>
      </c>
      <c r="BC205" s="16"/>
      <c r="BD205" s="1"/>
      <c r="BE205" s="16">
        <f>AM205/'2019-20 disagg'!AM205-1</f>
        <v>3.874188366315634E-2</v>
      </c>
      <c r="BF205" s="16">
        <f>AN205/'2019-20 disagg'!AN205-1</f>
        <v>4.1466346153846256E-2</v>
      </c>
      <c r="BG205" s="16">
        <f>AO205/'2019-20 disagg'!AO205-1</f>
        <v>5.0124909339995138E-2</v>
      </c>
      <c r="BH205" s="16">
        <f>AQ205/'2019-20 disagg'!AQ205-1</f>
        <v>4.0959401153120023E-2</v>
      </c>
      <c r="BI205" s="1"/>
      <c r="BJ205" s="16">
        <f>AS205/'2019-20 disagg'!AS205-1</f>
        <v>3.179490499372184E-2</v>
      </c>
      <c r="BK205" s="16">
        <f>AT205/'2019-20 disagg'!AT205-1</f>
        <v>3.450114661250292E-2</v>
      </c>
      <c r="BL205" s="16">
        <f>AU205/'2019-20 disagg'!AU205-1</f>
        <v>4.3101802387091714E-2</v>
      </c>
      <c r="BM205" s="16">
        <f>AW205/'2019-20 disagg'!AW205-1</f>
        <v>3.3997591997937393E-2</v>
      </c>
    </row>
    <row r="206" spans="1:65" x14ac:dyDescent="0.2">
      <c r="A206" s="156" t="s">
        <v>457</v>
      </c>
      <c r="B206" s="156" t="s">
        <v>458</v>
      </c>
      <c r="D206" s="56">
        <f>VLOOKUP(A206,'2020-21'!$A$12:$AMX414,32,FALSE)</f>
        <v>820489.41192967165</v>
      </c>
      <c r="E206" s="56">
        <v>1640.8614286729905</v>
      </c>
      <c r="F206" s="16">
        <f>VLOOKUP(A206,'2020-21'!$A$12:$AMX414,34,FALSE)</f>
        <v>4.6435838090082227E-2</v>
      </c>
      <c r="G206" s="16">
        <f>VLOOKUP(A206,'2020-21'!$A$12:$AMX414,35,FALSE)</f>
        <v>3.6418700585469477E-2</v>
      </c>
      <c r="H206" s="56"/>
      <c r="I206" s="56">
        <v>837495.64045338007</v>
      </c>
      <c r="J206" s="56">
        <v>1674.8714524783234</v>
      </c>
      <c r="K206" s="16">
        <f t="shared" si="57"/>
        <v>-2.0306050207619109E-2</v>
      </c>
      <c r="L206" s="58">
        <f t="shared" si="57"/>
        <v>-2.0306050207619109E-2</v>
      </c>
      <c r="M206" s="10"/>
      <c r="N206" s="56">
        <v>606729</v>
      </c>
      <c r="O206" s="56">
        <v>65810</v>
      </c>
      <c r="P206" s="56">
        <v>142988</v>
      </c>
      <c r="R206" s="56">
        <f t="shared" si="58"/>
        <v>142988</v>
      </c>
      <c r="S206" s="56">
        <f t="shared" si="59"/>
        <v>4962.4119296716526</v>
      </c>
      <c r="U206" s="16">
        <v>-2.4788958951632467E-2</v>
      </c>
      <c r="V206" s="16">
        <v>2.9110120811532969E-3</v>
      </c>
      <c r="W206" s="56">
        <f t="shared" si="60"/>
        <v>1</v>
      </c>
      <c r="X206" s="56">
        <f t="shared" si="61"/>
        <v>6221.5148769004563</v>
      </c>
      <c r="Y206" s="56">
        <f t="shared" si="61"/>
        <v>656.18982349627242</v>
      </c>
      <c r="AA206" s="56">
        <f t="shared" ref="AA206:AA220" si="73">IF(W206=1,MIN(S206,-1*U206*N206),0)</f>
        <v>4962.4119296716526</v>
      </c>
      <c r="AB206" s="56">
        <v>0</v>
      </c>
      <c r="AC206" s="56">
        <f t="shared" si="62"/>
        <v>0</v>
      </c>
      <c r="AE206" s="56">
        <v>0</v>
      </c>
      <c r="AF206" s="56">
        <f t="shared" si="63"/>
        <v>0</v>
      </c>
      <c r="AG206" s="56">
        <f t="shared" si="64"/>
        <v>0</v>
      </c>
      <c r="AI206" s="56">
        <f t="shared" si="65"/>
        <v>0</v>
      </c>
      <c r="AJ206" s="56">
        <f t="shared" si="66"/>
        <v>0</v>
      </c>
      <c r="AK206" s="56">
        <f t="shared" si="67"/>
        <v>0</v>
      </c>
      <c r="AM206" s="56">
        <f t="shared" si="68"/>
        <v>611691</v>
      </c>
      <c r="AN206" s="56">
        <f t="shared" si="69"/>
        <v>65810</v>
      </c>
      <c r="AO206" s="56">
        <f t="shared" si="70"/>
        <v>142988</v>
      </c>
      <c r="AP206" s="56"/>
      <c r="AQ206" s="56">
        <f t="shared" si="71"/>
        <v>820489</v>
      </c>
      <c r="AR206" s="1"/>
      <c r="AS206" s="56">
        <v>1223.2944795787839</v>
      </c>
      <c r="AT206" s="56">
        <v>131.61058394038784</v>
      </c>
      <c r="AU206" s="56">
        <v>285.95554135341399</v>
      </c>
      <c r="AV206" s="56"/>
      <c r="AW206" s="56">
        <v>1640.8606048725858</v>
      </c>
      <c r="AX206" s="1"/>
      <c r="AY206" s="16">
        <v>-1.6813409430047055E-2</v>
      </c>
      <c r="AZ206" s="16">
        <v>2.9110120811532969E-3</v>
      </c>
      <c r="BA206" s="16">
        <v>-4.4996912643956555E-2</v>
      </c>
      <c r="BB206" s="16">
        <f t="shared" si="72"/>
        <v>-2.030654206650373E-2</v>
      </c>
      <c r="BC206" s="16"/>
      <c r="BD206" s="1"/>
      <c r="BE206" s="16">
        <f>AM206/'2019-20 disagg'!AM206-1</f>
        <v>4.5078984326147431E-2</v>
      </c>
      <c r="BF206" s="16">
        <f>AN206/'2019-20 disagg'!AN206-1</f>
        <v>4.450369806050225E-2</v>
      </c>
      <c r="BG206" s="16">
        <f>AO206/'2019-20 disagg'!AO206-1</f>
        <v>5.3178952330446005E-2</v>
      </c>
      <c r="BH206" s="16">
        <f>AQ206/'2019-20 disagg'!AQ206-1</f>
        <v>4.6435312723191569E-2</v>
      </c>
      <c r="BI206" s="1"/>
      <c r="BJ206" s="16">
        <f>AS206/'2019-20 disagg'!AS206-1</f>
        <v>3.5074835473329902E-2</v>
      </c>
      <c r="BK206" s="16">
        <f>AT206/'2019-20 disagg'!AT206-1</f>
        <v>3.4505056207175588E-2</v>
      </c>
      <c r="BL206" s="16">
        <f>AU206/'2019-20 disagg'!AU206-1</f>
        <v>4.3097265524197903E-2</v>
      </c>
      <c r="BM206" s="16">
        <f>AW206/'2019-20 disagg'!AW206-1</f>
        <v>3.6418180247718812E-2</v>
      </c>
    </row>
    <row r="207" spans="1:65" x14ac:dyDescent="0.2">
      <c r="A207" s="156" t="s">
        <v>459</v>
      </c>
      <c r="B207" s="156" t="s">
        <v>460</v>
      </c>
      <c r="D207" s="56">
        <f>VLOOKUP(A207,'2020-21'!$A$12:$AMX415,32,FALSE)</f>
        <v>245178.21609726455</v>
      </c>
      <c r="E207" s="56">
        <v>1547.7022989734248</v>
      </c>
      <c r="F207" s="16">
        <f>VLOOKUP(A207,'2020-21'!$A$12:$AMX415,34,FALSE)</f>
        <v>4.4996893275813132E-2</v>
      </c>
      <c r="G207" s="16">
        <f>VLOOKUP(A207,'2020-21'!$A$12:$AMX415,35,FALSE)</f>
        <v>3.6881032558338411E-2</v>
      </c>
      <c r="H207" s="56"/>
      <c r="I207" s="56">
        <v>250309.3379233554</v>
      </c>
      <c r="J207" s="56">
        <v>1580.0928154433018</v>
      </c>
      <c r="K207" s="16">
        <f t="shared" si="57"/>
        <v>-2.0499122680201376E-2</v>
      </c>
      <c r="L207" s="58">
        <f t="shared" si="57"/>
        <v>-2.0499122680201376E-2</v>
      </c>
      <c r="M207" s="10"/>
      <c r="N207" s="56">
        <v>183930</v>
      </c>
      <c r="O207" s="56">
        <v>20805</v>
      </c>
      <c r="P207" s="56">
        <v>39139</v>
      </c>
      <c r="R207" s="56">
        <f t="shared" si="58"/>
        <v>39139</v>
      </c>
      <c r="S207" s="56">
        <f t="shared" si="59"/>
        <v>1304.2160972645506</v>
      </c>
      <c r="U207" s="16">
        <v>-3.1163403487126429E-2</v>
      </c>
      <c r="V207" s="16">
        <v>-4.0262938480139399E-2</v>
      </c>
      <c r="W207" s="56">
        <f t="shared" si="60"/>
        <v>4</v>
      </c>
      <c r="X207" s="56">
        <f t="shared" si="61"/>
        <v>1898.4625545940141</v>
      </c>
      <c r="Y207" s="56">
        <f t="shared" si="61"/>
        <v>216.77812428179806</v>
      </c>
      <c r="AA207" s="56">
        <f t="shared" si="73"/>
        <v>0</v>
      </c>
      <c r="AB207" s="56">
        <v>0</v>
      </c>
      <c r="AC207" s="56">
        <f t="shared" si="62"/>
        <v>1304.2160972645506</v>
      </c>
      <c r="AE207" s="56">
        <v>0</v>
      </c>
      <c r="AF207" s="56">
        <f t="shared" si="63"/>
        <v>0</v>
      </c>
      <c r="AG207" s="56">
        <f t="shared" si="64"/>
        <v>1304.2160972645506</v>
      </c>
      <c r="AI207" s="56">
        <f t="shared" si="65"/>
        <v>1170.554938963928</v>
      </c>
      <c r="AJ207" s="56">
        <f t="shared" si="66"/>
        <v>133.66115830062262</v>
      </c>
      <c r="AK207" s="56">
        <f t="shared" si="67"/>
        <v>0</v>
      </c>
      <c r="AM207" s="56">
        <f t="shared" si="68"/>
        <v>185101</v>
      </c>
      <c r="AN207" s="56">
        <f t="shared" si="69"/>
        <v>20939</v>
      </c>
      <c r="AO207" s="56">
        <f t="shared" si="70"/>
        <v>39139</v>
      </c>
      <c r="AP207" s="56"/>
      <c r="AQ207" s="56">
        <f t="shared" si="71"/>
        <v>245179</v>
      </c>
      <c r="AR207" s="1"/>
      <c r="AS207" s="56">
        <v>1168.4612434272303</v>
      </c>
      <c r="AT207" s="56">
        <v>132.17870230913272</v>
      </c>
      <c r="AU207" s="56">
        <v>247.06730167043057</v>
      </c>
      <c r="AV207" s="56"/>
      <c r="AW207" s="56">
        <v>1547.7072474067936</v>
      </c>
      <c r="AX207" s="1"/>
      <c r="AY207" s="16">
        <v>-2.499525443848527E-2</v>
      </c>
      <c r="AZ207" s="16">
        <v>-3.4081502948120068E-2</v>
      </c>
      <c r="BA207" s="16">
        <v>9.120214037430685E-3</v>
      </c>
      <c r="BB207" s="16">
        <f t="shared" si="72"/>
        <v>-2.049599094431831E-2</v>
      </c>
      <c r="BC207" s="16"/>
      <c r="BD207" s="1"/>
      <c r="BE207" s="16">
        <f>AM207/'2019-20 disagg'!AM207-1</f>
        <v>4.3198674451633279E-2</v>
      </c>
      <c r="BF207" s="16">
        <f>AN207/'2019-20 disagg'!AN207-1</f>
        <v>4.9310949636682588E-2</v>
      </c>
      <c r="BG207" s="16">
        <f>AO207/'2019-20 disagg'!AO207-1</f>
        <v>5.1275852806876188E-2</v>
      </c>
      <c r="BH207" s="16">
        <f>AQ207/'2019-20 disagg'!AQ207-1</f>
        <v>4.5000234420618845E-2</v>
      </c>
      <c r="BI207" s="1"/>
      <c r="BJ207" s="16">
        <f>AS207/'2019-20 disagg'!AS207-1</f>
        <v>3.5096779415406676E-2</v>
      </c>
      <c r="BK207" s="16">
        <f>AT207/'2019-20 disagg'!AT207-1</f>
        <v>4.1161584244909344E-2</v>
      </c>
      <c r="BL207" s="16">
        <f>AU207/'2019-20 disagg'!AU207-1</f>
        <v>4.3111227197053514E-2</v>
      </c>
      <c r="BM207" s="16">
        <f>AW207/'2019-20 disagg'!AW207-1</f>
        <v>3.6884347754487345E-2</v>
      </c>
    </row>
    <row r="208" spans="1:65" x14ac:dyDescent="0.2">
      <c r="A208" s="156" t="s">
        <v>461</v>
      </c>
      <c r="B208" s="156" t="s">
        <v>462</v>
      </c>
      <c r="D208" s="56">
        <f>VLOOKUP(A208,'2020-21'!$A$12:$AMX416,32,FALSE)</f>
        <v>241608.47667113494</v>
      </c>
      <c r="E208" s="56">
        <v>1445.6478872366524</v>
      </c>
      <c r="F208" s="16">
        <f>VLOOKUP(A208,'2020-21'!$A$12:$AMX416,34,FALSE)</f>
        <v>4.0200785595855493E-2</v>
      </c>
      <c r="G208" s="16">
        <f>VLOOKUP(A208,'2020-21'!$A$12:$AMX416,35,FALSE)</f>
        <v>3.137181332867045E-2</v>
      </c>
      <c r="H208" s="56"/>
      <c r="I208" s="56">
        <v>245357.25921256747</v>
      </c>
      <c r="J208" s="56">
        <v>1468.0784726010402</v>
      </c>
      <c r="K208" s="16">
        <f t="shared" si="57"/>
        <v>-1.5278873563650097E-2</v>
      </c>
      <c r="L208" s="58">
        <f t="shared" si="57"/>
        <v>-1.5278873563649986E-2</v>
      </c>
      <c r="M208" s="10"/>
      <c r="N208" s="56">
        <v>186752</v>
      </c>
      <c r="O208" s="56">
        <v>20485</v>
      </c>
      <c r="P208" s="56">
        <v>34169</v>
      </c>
      <c r="R208" s="56">
        <f t="shared" si="58"/>
        <v>34169</v>
      </c>
      <c r="S208" s="56">
        <f t="shared" si="59"/>
        <v>202.47667113493662</v>
      </c>
      <c r="U208" s="16">
        <v>-4.9768710519220161E-3</v>
      </c>
      <c r="V208" s="16">
        <v>-4.7620931077127726E-2</v>
      </c>
      <c r="W208" s="56">
        <f t="shared" si="60"/>
        <v>4</v>
      </c>
      <c r="X208" s="56">
        <f t="shared" si="61"/>
        <v>1876.8608946550935</v>
      </c>
      <c r="Y208" s="56">
        <f t="shared" si="61"/>
        <v>215.09292537443369</v>
      </c>
      <c r="AA208" s="56">
        <f t="shared" si="73"/>
        <v>0</v>
      </c>
      <c r="AB208" s="56">
        <v>0</v>
      </c>
      <c r="AC208" s="56">
        <f t="shared" si="62"/>
        <v>202.47667113493662</v>
      </c>
      <c r="AE208" s="56">
        <v>0</v>
      </c>
      <c r="AF208" s="56">
        <f t="shared" si="63"/>
        <v>0</v>
      </c>
      <c r="AG208" s="56">
        <f t="shared" si="64"/>
        <v>202.47667113493662</v>
      </c>
      <c r="AI208" s="56">
        <f t="shared" si="65"/>
        <v>181.65819077580707</v>
      </c>
      <c r="AJ208" s="56">
        <f t="shared" si="66"/>
        <v>20.818480359129513</v>
      </c>
      <c r="AK208" s="56">
        <f t="shared" si="67"/>
        <v>0</v>
      </c>
      <c r="AM208" s="56">
        <f t="shared" si="68"/>
        <v>186934</v>
      </c>
      <c r="AN208" s="56">
        <f t="shared" si="69"/>
        <v>20506</v>
      </c>
      <c r="AO208" s="56">
        <f t="shared" si="70"/>
        <v>34169</v>
      </c>
      <c r="AP208" s="56"/>
      <c r="AQ208" s="56">
        <f t="shared" si="71"/>
        <v>241609</v>
      </c>
      <c r="AR208" s="1"/>
      <c r="AS208" s="56">
        <v>1118.5068747423718</v>
      </c>
      <c r="AT208" s="56">
        <v>122.69625629081428</v>
      </c>
      <c r="AU208" s="56">
        <v>204.4478875061364</v>
      </c>
      <c r="AV208" s="56"/>
      <c r="AW208" s="56">
        <v>1445.6510185393224</v>
      </c>
      <c r="AX208" s="1"/>
      <c r="AY208" s="16">
        <v>-4.0071667945724698E-3</v>
      </c>
      <c r="AZ208" s="16">
        <v>-4.6644608868322224E-2</v>
      </c>
      <c r="BA208" s="16">
        <v>-5.5109893716603797E-2</v>
      </c>
      <c r="BB208" s="16">
        <f t="shared" si="72"/>
        <v>-1.527674063770057E-2</v>
      </c>
      <c r="BC208" s="16"/>
      <c r="BD208" s="1"/>
      <c r="BE208" s="16">
        <f>AM208/'2019-20 disagg'!AM208-1</f>
        <v>3.7611429967028931E-2</v>
      </c>
      <c r="BF208" s="16">
        <f>AN208/'2019-20 disagg'!AN208-1</f>
        <v>4.4412753386981807E-2</v>
      </c>
      <c r="BG208" s="16">
        <f>AO208/'2019-20 disagg'!AO208-1</f>
        <v>5.2033621724806745E-2</v>
      </c>
      <c r="BH208" s="16">
        <f>AQ208/'2019-20 disagg'!AQ208-1</f>
        <v>4.0203038691872806E-2</v>
      </c>
      <c r="BI208" s="1"/>
      <c r="BJ208" s="16">
        <f>AS208/'2019-20 disagg'!AS208-1</f>
        <v>2.8804435523119398E-2</v>
      </c>
      <c r="BK208" s="16">
        <f>AT208/'2019-20 disagg'!AT208-1</f>
        <v>3.5548030957584853E-2</v>
      </c>
      <c r="BL208" s="16">
        <f>AU208/'2019-20 disagg'!AU208-1</f>
        <v>4.3104215211203778E-2</v>
      </c>
      <c r="BM208" s="16">
        <f>AW208/'2019-20 disagg'!AW208-1</f>
        <v>3.1374047300954722E-2</v>
      </c>
    </row>
    <row r="209" spans="1:65" x14ac:dyDescent="0.2">
      <c r="A209" s="156" t="s">
        <v>463</v>
      </c>
      <c r="B209" s="156" t="s">
        <v>464</v>
      </c>
      <c r="D209" s="56">
        <f>VLOOKUP(A209,'2020-21'!$A$12:$AMX417,32,FALSE)</f>
        <v>323316</v>
      </c>
      <c r="E209" s="56">
        <v>1555.7708493747639</v>
      </c>
      <c r="F209" s="16">
        <f>VLOOKUP(A209,'2020-21'!$A$12:$AMX417,34,FALSE)</f>
        <v>3.8315911171058259E-2</v>
      </c>
      <c r="G209" s="16">
        <f>VLOOKUP(A209,'2020-21'!$A$12:$AMX417,35,FALSE)</f>
        <v>3.4563722076899506E-2</v>
      </c>
      <c r="H209" s="56"/>
      <c r="I209" s="56">
        <v>328070.07963346434</v>
      </c>
      <c r="J209" s="56">
        <v>1578.6471020481549</v>
      </c>
      <c r="K209" s="16">
        <f t="shared" si="57"/>
        <v>-1.4491049103825038E-2</v>
      </c>
      <c r="L209" s="58">
        <f t="shared" si="57"/>
        <v>-1.4491049103825149E-2</v>
      </c>
      <c r="M209" s="10"/>
      <c r="N209" s="56">
        <v>245902</v>
      </c>
      <c r="O209" s="56">
        <v>27487</v>
      </c>
      <c r="P209" s="56">
        <v>49927</v>
      </c>
      <c r="R209" s="56">
        <f t="shared" si="58"/>
        <v>49927</v>
      </c>
      <c r="S209" s="56">
        <f t="shared" si="59"/>
        <v>0</v>
      </c>
      <c r="U209" s="16">
        <v>-2.3459898334526219E-2</v>
      </c>
      <c r="V209" s="16">
        <v>1.2346646496179448E-2</v>
      </c>
      <c r="W209" s="56">
        <f t="shared" si="60"/>
        <v>1</v>
      </c>
      <c r="X209" s="56">
        <f t="shared" si="61"/>
        <v>2518.0942347438472</v>
      </c>
      <c r="Y209" s="56">
        <f t="shared" si="61"/>
        <v>271.51766734383835</v>
      </c>
      <c r="AA209" s="56">
        <f t="shared" si="73"/>
        <v>0</v>
      </c>
      <c r="AB209" s="56">
        <v>0</v>
      </c>
      <c r="AC209" s="56">
        <f t="shared" si="62"/>
        <v>0</v>
      </c>
      <c r="AE209" s="56">
        <v>0</v>
      </c>
      <c r="AF209" s="56">
        <f t="shared" si="63"/>
        <v>0</v>
      </c>
      <c r="AG209" s="56">
        <f t="shared" si="64"/>
        <v>0</v>
      </c>
      <c r="AI209" s="56">
        <f t="shared" si="65"/>
        <v>0</v>
      </c>
      <c r="AJ209" s="56">
        <f t="shared" si="66"/>
        <v>0</v>
      </c>
      <c r="AK209" s="56">
        <f t="shared" si="67"/>
        <v>0</v>
      </c>
      <c r="AM209" s="56">
        <f t="shared" si="68"/>
        <v>245902</v>
      </c>
      <c r="AN209" s="56">
        <f t="shared" si="69"/>
        <v>27487</v>
      </c>
      <c r="AO209" s="56">
        <f t="shared" si="70"/>
        <v>49927</v>
      </c>
      <c r="AP209" s="56"/>
      <c r="AQ209" s="56">
        <f t="shared" si="71"/>
        <v>323316</v>
      </c>
      <c r="AR209" s="1"/>
      <c r="AS209" s="56">
        <v>1183.2608451266044</v>
      </c>
      <c r="AT209" s="56">
        <v>132.26525546760487</v>
      </c>
      <c r="AU209" s="56">
        <v>240.24474878055474</v>
      </c>
      <c r="AV209" s="56"/>
      <c r="AW209" s="56">
        <v>1555.7708493747639</v>
      </c>
      <c r="AX209" s="1"/>
      <c r="AY209" s="16">
        <v>-2.3459898334526219E-2</v>
      </c>
      <c r="AZ209" s="16">
        <v>1.2346646496179448E-2</v>
      </c>
      <c r="BA209" s="16">
        <v>1.66591137549299E-2</v>
      </c>
      <c r="BB209" s="16">
        <f t="shared" si="72"/>
        <v>-1.4491049103825038E-2</v>
      </c>
      <c r="BC209" s="16"/>
      <c r="BD209" s="1"/>
      <c r="BE209" s="16">
        <f>AM209/'2019-20 disagg'!AM209-1</f>
        <v>3.6598937694966693E-2</v>
      </c>
      <c r="BF209" s="16">
        <f>AN209/'2019-20 disagg'!AN209-1</f>
        <v>3.8263957089974987E-2</v>
      </c>
      <c r="BG209" s="16">
        <f>AO209/'2019-20 disagg'!AO209-1</f>
        <v>4.688515652848535E-2</v>
      </c>
      <c r="BH209" s="16">
        <f>AQ209/'2019-20 disagg'!AQ209-1</f>
        <v>3.8315911171058259E-2</v>
      </c>
      <c r="BI209" s="1"/>
      <c r="BJ209" s="16">
        <f>AS209/'2019-20 disagg'!AS209-1</f>
        <v>3.2852953272317631E-2</v>
      </c>
      <c r="BK209" s="16">
        <f>AT209/'2019-20 disagg'!AT209-1</f>
        <v>3.4511955743624423E-2</v>
      </c>
      <c r="BL209" s="16">
        <f>AU209/'2019-20 disagg'!AU209-1</f>
        <v>4.3102000530488072E-2</v>
      </c>
      <c r="BM209" s="16">
        <f>AW209/'2019-20 disagg'!AW209-1</f>
        <v>3.4563722076899506E-2</v>
      </c>
    </row>
    <row r="210" spans="1:65" x14ac:dyDescent="0.2">
      <c r="A210" s="156" t="s">
        <v>465</v>
      </c>
      <c r="B210" s="156" t="s">
        <v>466</v>
      </c>
      <c r="D210" s="56">
        <f>VLOOKUP(A210,'2020-21'!$A$12:$AMX418,32,FALSE)</f>
        <v>861172</v>
      </c>
      <c r="E210" s="56">
        <v>1682.3129858108503</v>
      </c>
      <c r="F210" s="16">
        <f>VLOOKUP(A210,'2020-21'!$A$12:$AMX418,34,FALSE)</f>
        <v>4.0124355185270577E-2</v>
      </c>
      <c r="G210" s="16">
        <f>VLOOKUP(A210,'2020-21'!$A$12:$AMX418,35,FALSE)</f>
        <v>3.1531975198927809E-2</v>
      </c>
      <c r="H210" s="56"/>
      <c r="I210" s="56">
        <v>853084.9272894864</v>
      </c>
      <c r="J210" s="56">
        <v>1666.5147626474245</v>
      </c>
      <c r="K210" s="16">
        <f t="shared" si="57"/>
        <v>9.4797979096978846E-3</v>
      </c>
      <c r="L210" s="58">
        <f t="shared" si="57"/>
        <v>9.4797979096978846E-3</v>
      </c>
      <c r="M210" s="10"/>
      <c r="N210" s="56">
        <v>619225</v>
      </c>
      <c r="O210" s="56">
        <v>70390</v>
      </c>
      <c r="P210" s="56">
        <v>171557</v>
      </c>
      <c r="R210" s="56">
        <f t="shared" si="58"/>
        <v>171557</v>
      </c>
      <c r="S210" s="56">
        <f t="shared" si="59"/>
        <v>0</v>
      </c>
      <c r="U210" s="16">
        <v>1.8189704158224629E-3</v>
      </c>
      <c r="V210" s="16">
        <v>-2.710568402274971E-2</v>
      </c>
      <c r="W210" s="56">
        <f t="shared" si="60"/>
        <v>3</v>
      </c>
      <c r="X210" s="56">
        <f t="shared" si="61"/>
        <v>6181.0069312520591</v>
      </c>
      <c r="Y210" s="56">
        <f t="shared" si="61"/>
        <v>723.51126781221694</v>
      </c>
      <c r="AA210" s="56">
        <f t="shared" si="73"/>
        <v>0</v>
      </c>
      <c r="AB210" s="56">
        <v>0</v>
      </c>
      <c r="AC210" s="56">
        <f t="shared" si="62"/>
        <v>0</v>
      </c>
      <c r="AE210" s="56">
        <v>0</v>
      </c>
      <c r="AF210" s="56">
        <f t="shared" si="63"/>
        <v>0</v>
      </c>
      <c r="AG210" s="56">
        <f t="shared" si="64"/>
        <v>0</v>
      </c>
      <c r="AI210" s="56">
        <f t="shared" si="65"/>
        <v>0</v>
      </c>
      <c r="AJ210" s="56">
        <f t="shared" si="66"/>
        <v>0</v>
      </c>
      <c r="AK210" s="56">
        <f t="shared" si="67"/>
        <v>0</v>
      </c>
      <c r="AM210" s="56">
        <f t="shared" si="68"/>
        <v>619225</v>
      </c>
      <c r="AN210" s="56">
        <f t="shared" si="69"/>
        <v>70390</v>
      </c>
      <c r="AO210" s="56">
        <f t="shared" si="70"/>
        <v>171557</v>
      </c>
      <c r="AP210" s="56"/>
      <c r="AQ210" s="56">
        <f t="shared" si="71"/>
        <v>861172</v>
      </c>
      <c r="AR210" s="1"/>
      <c r="AS210" s="56">
        <v>1209.6657330228152</v>
      </c>
      <c r="AT210" s="56">
        <v>137.50796713226364</v>
      </c>
      <c r="AU210" s="56">
        <v>335.13928565577146</v>
      </c>
      <c r="AV210" s="56"/>
      <c r="AW210" s="56">
        <v>1682.3129858108503</v>
      </c>
      <c r="AX210" s="1"/>
      <c r="AY210" s="16">
        <v>1.8189704158224629E-3</v>
      </c>
      <c r="AZ210" s="16">
        <v>-2.710568402274971E-2</v>
      </c>
      <c r="BA210" s="16">
        <v>5.4871315936442677E-2</v>
      </c>
      <c r="BB210" s="16">
        <f t="shared" si="72"/>
        <v>9.4797979096978846E-3</v>
      </c>
      <c r="BC210" s="16"/>
      <c r="BD210" s="1"/>
      <c r="BE210" s="16">
        <f>AM210/'2019-20 disagg'!AM210-1</f>
        <v>3.6600983324991176E-2</v>
      </c>
      <c r="BF210" s="16">
        <f>AN210/'2019-20 disagg'!AN210-1</f>
        <v>4.3123888559573276E-2</v>
      </c>
      <c r="BG210" s="16">
        <f>AO210/'2019-20 disagg'!AO210-1</f>
        <v>5.1787137514560655E-2</v>
      </c>
      <c r="BH210" s="16">
        <f>AQ210/'2019-20 disagg'!AQ210-1</f>
        <v>4.0124355185270577E-2</v>
      </c>
      <c r="BI210" s="1"/>
      <c r="BJ210" s="16">
        <f>AS210/'2019-20 disagg'!AS210-1</f>
        <v>2.803770961782126E-2</v>
      </c>
      <c r="BK210" s="16">
        <f>AT210/'2019-20 disagg'!AT210-1</f>
        <v>3.4506729679816939E-2</v>
      </c>
      <c r="BL210" s="16">
        <f>AU210/'2019-20 disagg'!AU210-1</f>
        <v>4.3098412262412289E-2</v>
      </c>
      <c r="BM210" s="16">
        <f>AW210/'2019-20 disagg'!AW210-1</f>
        <v>3.1531975198927809E-2</v>
      </c>
    </row>
    <row r="211" spans="1:65" x14ac:dyDescent="0.2">
      <c r="A211" s="156" t="s">
        <v>467</v>
      </c>
      <c r="B211" s="156" t="s">
        <v>468</v>
      </c>
      <c r="D211" s="56">
        <f>VLOOKUP(A211,'2020-21'!$A$12:$AMX419,32,FALSE)</f>
        <v>1439761</v>
      </c>
      <c r="E211" s="56">
        <v>1776.5706118526946</v>
      </c>
      <c r="F211" s="16">
        <f>VLOOKUP(A211,'2020-21'!$A$12:$AMX419,34,FALSE)</f>
        <v>3.8814083462364923E-2</v>
      </c>
      <c r="G211" s="16">
        <f>VLOOKUP(A211,'2020-21'!$A$12:$AMX419,35,FALSE)</f>
        <v>3.2653338454765812E-2</v>
      </c>
      <c r="H211" s="56"/>
      <c r="I211" s="56">
        <v>1438411.7367035355</v>
      </c>
      <c r="J211" s="56">
        <v>1774.9057094694863</v>
      </c>
      <c r="K211" s="16">
        <f t="shared" si="57"/>
        <v>9.3802300275758199E-4</v>
      </c>
      <c r="L211" s="58">
        <f t="shared" si="57"/>
        <v>9.3802300275758199E-4</v>
      </c>
      <c r="M211" s="10"/>
      <c r="N211" s="56">
        <v>1108976</v>
      </c>
      <c r="O211" s="56">
        <v>114814</v>
      </c>
      <c r="P211" s="56">
        <v>215971</v>
      </c>
      <c r="R211" s="56">
        <f t="shared" si="58"/>
        <v>215971</v>
      </c>
      <c r="S211" s="56">
        <f t="shared" si="59"/>
        <v>0</v>
      </c>
      <c r="U211" s="16">
        <v>-6.9781816770212446E-3</v>
      </c>
      <c r="V211" s="16">
        <v>-7.2521776497935786E-3</v>
      </c>
      <c r="W211" s="56">
        <f t="shared" si="60"/>
        <v>4</v>
      </c>
      <c r="X211" s="56">
        <f t="shared" si="61"/>
        <v>11167.690170925402</v>
      </c>
      <c r="Y211" s="56">
        <f t="shared" si="61"/>
        <v>1156.5273417391356</v>
      </c>
      <c r="AA211" s="56">
        <f t="shared" si="73"/>
        <v>0</v>
      </c>
      <c r="AB211" s="56">
        <v>0</v>
      </c>
      <c r="AC211" s="56">
        <f t="shared" si="62"/>
        <v>0</v>
      </c>
      <c r="AE211" s="56">
        <v>0</v>
      </c>
      <c r="AF211" s="56">
        <f t="shared" si="63"/>
        <v>0</v>
      </c>
      <c r="AG211" s="56">
        <f t="shared" si="64"/>
        <v>0</v>
      </c>
      <c r="AI211" s="56">
        <f t="shared" si="65"/>
        <v>0</v>
      </c>
      <c r="AJ211" s="56">
        <f t="shared" si="66"/>
        <v>0</v>
      </c>
      <c r="AK211" s="56">
        <f t="shared" si="67"/>
        <v>0</v>
      </c>
      <c r="AM211" s="56">
        <f t="shared" si="68"/>
        <v>1108976</v>
      </c>
      <c r="AN211" s="56">
        <f t="shared" si="69"/>
        <v>114814</v>
      </c>
      <c r="AO211" s="56">
        <f t="shared" si="70"/>
        <v>215971</v>
      </c>
      <c r="AP211" s="56"/>
      <c r="AQ211" s="56">
        <f t="shared" si="71"/>
        <v>1439761</v>
      </c>
      <c r="AR211" s="1"/>
      <c r="AS211" s="56">
        <v>1368.4036245251496</v>
      </c>
      <c r="AT211" s="56">
        <v>141.67294309906663</v>
      </c>
      <c r="AU211" s="56">
        <v>266.4940442284784</v>
      </c>
      <c r="AV211" s="56"/>
      <c r="AW211" s="56">
        <v>1776.5706118526946</v>
      </c>
      <c r="AX211" s="1"/>
      <c r="AY211" s="16">
        <v>-6.9781816770212446E-3</v>
      </c>
      <c r="AZ211" s="16">
        <v>-7.2521776497935786E-3</v>
      </c>
      <c r="BA211" s="16">
        <v>4.8453882560065553E-2</v>
      </c>
      <c r="BB211" s="16">
        <f t="shared" si="72"/>
        <v>9.3802300275758199E-4</v>
      </c>
      <c r="BC211" s="16"/>
      <c r="BD211" s="1"/>
      <c r="BE211" s="16">
        <f>AM211/'2019-20 disagg'!AM211-1</f>
        <v>3.6600549625170675E-2</v>
      </c>
      <c r="BF211" s="16">
        <f>AN211/'2019-20 disagg'!AN211-1</f>
        <v>4.0670008248207656E-2</v>
      </c>
      <c r="BG211" s="16">
        <f>AO211/'2019-20 disagg'!AO211-1</f>
        <v>4.9324892259703823E-2</v>
      </c>
      <c r="BH211" s="16">
        <f>AQ211/'2019-20 disagg'!AQ211-1</f>
        <v>3.8814083462364923E-2</v>
      </c>
      <c r="BI211" s="1"/>
      <c r="BJ211" s="16">
        <f>AS211/'2019-20 disagg'!AS211-1</f>
        <v>3.0452932103763652E-2</v>
      </c>
      <c r="BK211" s="16">
        <f>AT211/'2019-20 disagg'!AT211-1</f>
        <v>3.4498256574891473E-2</v>
      </c>
      <c r="BL211" s="16">
        <f>AU211/'2019-20 disagg'!AU211-1</f>
        <v>4.3101812312817067E-2</v>
      </c>
      <c r="BM211" s="16">
        <f>AW211/'2019-20 disagg'!AW211-1</f>
        <v>3.2653338454765812E-2</v>
      </c>
    </row>
    <row r="212" spans="1:65" x14ac:dyDescent="0.2">
      <c r="A212" s="156" t="s">
        <v>469</v>
      </c>
      <c r="B212" s="156" t="s">
        <v>470</v>
      </c>
      <c r="D212" s="56">
        <f>VLOOKUP(A212,'2020-21'!$A$12:$AMX420,32,FALSE)</f>
        <v>1062032</v>
      </c>
      <c r="E212" s="56">
        <v>1615.8807804179439</v>
      </c>
      <c r="F212" s="16">
        <f>VLOOKUP(A212,'2020-21'!$A$12:$AMX420,34,FALSE)</f>
        <v>3.913975127931657E-2</v>
      </c>
      <c r="G212" s="16">
        <f>VLOOKUP(A212,'2020-21'!$A$12:$AMX420,35,FALSE)</f>
        <v>3.2264146302289687E-2</v>
      </c>
      <c r="H212" s="56"/>
      <c r="I212" s="56">
        <v>1075469.1247186139</v>
      </c>
      <c r="J212" s="56">
        <v>1636.3253541943338</v>
      </c>
      <c r="K212" s="16">
        <f t="shared" si="57"/>
        <v>-1.2494198494196307E-2</v>
      </c>
      <c r="L212" s="58">
        <f t="shared" si="57"/>
        <v>-1.2494198494196196E-2</v>
      </c>
      <c r="M212" s="10"/>
      <c r="N212" s="56">
        <v>803773</v>
      </c>
      <c r="O212" s="56">
        <v>86739</v>
      </c>
      <c r="P212" s="56">
        <v>171520</v>
      </c>
      <c r="R212" s="56">
        <f t="shared" si="58"/>
        <v>171520</v>
      </c>
      <c r="S212" s="56">
        <f t="shared" si="59"/>
        <v>0</v>
      </c>
      <c r="U212" s="16">
        <v>-1.9710956709657501E-2</v>
      </c>
      <c r="V212" s="16">
        <v>-2.5447086454355228E-2</v>
      </c>
      <c r="W212" s="56">
        <f t="shared" si="60"/>
        <v>4</v>
      </c>
      <c r="X212" s="56">
        <f t="shared" si="61"/>
        <v>8199.346973236934</v>
      </c>
      <c r="Y212" s="56">
        <f t="shared" si="61"/>
        <v>890.03889675342327</v>
      </c>
      <c r="AA212" s="56">
        <f t="shared" si="73"/>
        <v>0</v>
      </c>
      <c r="AB212" s="56">
        <v>0</v>
      </c>
      <c r="AC212" s="56">
        <f t="shared" si="62"/>
        <v>0</v>
      </c>
      <c r="AE212" s="56">
        <v>0</v>
      </c>
      <c r="AF212" s="56">
        <f t="shared" si="63"/>
        <v>0</v>
      </c>
      <c r="AG212" s="56">
        <f t="shared" si="64"/>
        <v>0</v>
      </c>
      <c r="AI212" s="56">
        <f t="shared" si="65"/>
        <v>0</v>
      </c>
      <c r="AJ212" s="56">
        <f t="shared" si="66"/>
        <v>0</v>
      </c>
      <c r="AK212" s="56">
        <f t="shared" si="67"/>
        <v>0</v>
      </c>
      <c r="AM212" s="56">
        <f t="shared" si="68"/>
        <v>803773</v>
      </c>
      <c r="AN212" s="56">
        <f t="shared" si="69"/>
        <v>86739</v>
      </c>
      <c r="AO212" s="56">
        <f t="shared" si="70"/>
        <v>171520</v>
      </c>
      <c r="AP212" s="56"/>
      <c r="AQ212" s="56">
        <f t="shared" si="71"/>
        <v>1062032</v>
      </c>
      <c r="AR212" s="1"/>
      <c r="AS212" s="56">
        <v>1222.9399326186706</v>
      </c>
      <c r="AT212" s="56">
        <v>131.97331437534089</v>
      </c>
      <c r="AU212" s="56">
        <v>260.96753342393237</v>
      </c>
      <c r="AV212" s="56"/>
      <c r="AW212" s="56">
        <v>1615.8807804179439</v>
      </c>
      <c r="AX212" s="1"/>
      <c r="AY212" s="16">
        <v>-1.9710956709657501E-2</v>
      </c>
      <c r="AZ212" s="16">
        <v>-2.5447086454355228E-2</v>
      </c>
      <c r="BA212" s="16">
        <v>2.9961245239139123E-2</v>
      </c>
      <c r="BB212" s="16">
        <f t="shared" si="72"/>
        <v>-1.2494198494196307E-2</v>
      </c>
      <c r="BC212" s="16"/>
      <c r="BD212" s="1"/>
      <c r="BE212" s="16">
        <f>AM212/'2019-20 disagg'!AM212-1</f>
        <v>3.6600794693787631E-2</v>
      </c>
      <c r="BF212" s="16">
        <f>AN212/'2019-20 disagg'!AN212-1</f>
        <v>4.1384526725255721E-2</v>
      </c>
      <c r="BG212" s="16">
        <f>AO212/'2019-20 disagg'!AO212-1</f>
        <v>5.004744559062102E-2</v>
      </c>
      <c r="BH212" s="16">
        <f>AQ212/'2019-20 disagg'!AQ212-1</f>
        <v>3.913975127931657E-2</v>
      </c>
      <c r="BI212" s="1"/>
      <c r="BJ212" s="16">
        <f>AS212/'2019-20 disagg'!AS212-1</f>
        <v>2.9741989057286533E-2</v>
      </c>
      <c r="BK212" s="16">
        <f>AT212/'2019-20 disagg'!AT212-1</f>
        <v>3.449406889594453E-2</v>
      </c>
      <c r="BL212" s="16">
        <f>AU212/'2019-20 disagg'!AU212-1</f>
        <v>4.3099668418081105E-2</v>
      </c>
      <c r="BM212" s="16">
        <f>AW212/'2019-20 disagg'!AW212-1</f>
        <v>3.2264146302289687E-2</v>
      </c>
    </row>
    <row r="213" spans="1:65" x14ac:dyDescent="0.2">
      <c r="A213" s="156" t="s">
        <v>471</v>
      </c>
      <c r="B213" s="156" t="s">
        <v>472</v>
      </c>
      <c r="D213" s="56">
        <f>VLOOKUP(A213,'2020-21'!$A$12:$AMX421,32,FALSE)</f>
        <v>1054455</v>
      </c>
      <c r="E213" s="56">
        <v>1806.880549120174</v>
      </c>
      <c r="F213" s="16">
        <f>VLOOKUP(A213,'2020-21'!$A$12:$AMX421,34,FALSE)</f>
        <v>3.8806420087797333E-2</v>
      </c>
      <c r="G213" s="16">
        <f>VLOOKUP(A213,'2020-21'!$A$12:$AMX421,35,FALSE)</f>
        <v>3.0637965397558586E-2</v>
      </c>
      <c r="H213" s="56"/>
      <c r="I213" s="56">
        <v>1042750.8371239465</v>
      </c>
      <c r="J213" s="56">
        <v>1786.8246678881865</v>
      </c>
      <c r="K213" s="16">
        <f t="shared" si="57"/>
        <v>1.1224314054098627E-2</v>
      </c>
      <c r="L213" s="58">
        <f t="shared" si="57"/>
        <v>1.1224314054098627E-2</v>
      </c>
      <c r="M213" s="10"/>
      <c r="N213" s="56">
        <v>805758</v>
      </c>
      <c r="O213" s="56">
        <v>85945</v>
      </c>
      <c r="P213" s="56">
        <v>162752</v>
      </c>
      <c r="R213" s="56">
        <f t="shared" si="58"/>
        <v>162752</v>
      </c>
      <c r="S213" s="56">
        <f t="shared" si="59"/>
        <v>0</v>
      </c>
      <c r="U213" s="16">
        <v>6.6578083113273401E-3</v>
      </c>
      <c r="V213" s="16">
        <v>5.5149717890089267E-2</v>
      </c>
      <c r="W213" s="56">
        <f t="shared" si="60"/>
        <v>2</v>
      </c>
      <c r="X213" s="56">
        <f t="shared" si="61"/>
        <v>8004.2889783139153</v>
      </c>
      <c r="Y213" s="56">
        <f t="shared" si="61"/>
        <v>814.52895776590196</v>
      </c>
      <c r="AA213" s="56">
        <f t="shared" si="73"/>
        <v>0</v>
      </c>
      <c r="AB213" s="56">
        <v>0</v>
      </c>
      <c r="AC213" s="56">
        <f t="shared" si="62"/>
        <v>0</v>
      </c>
      <c r="AE213" s="56">
        <v>0</v>
      </c>
      <c r="AF213" s="56">
        <f t="shared" si="63"/>
        <v>0</v>
      </c>
      <c r="AG213" s="56">
        <f t="shared" si="64"/>
        <v>0</v>
      </c>
      <c r="AI213" s="56">
        <f t="shared" si="65"/>
        <v>0</v>
      </c>
      <c r="AJ213" s="56">
        <f t="shared" si="66"/>
        <v>0</v>
      </c>
      <c r="AK213" s="56">
        <f t="shared" si="67"/>
        <v>0</v>
      </c>
      <c r="AM213" s="56">
        <f t="shared" si="68"/>
        <v>805758</v>
      </c>
      <c r="AN213" s="56">
        <f t="shared" si="69"/>
        <v>85945</v>
      </c>
      <c r="AO213" s="56">
        <f t="shared" si="70"/>
        <v>162752</v>
      </c>
      <c r="AP213" s="56"/>
      <c r="AQ213" s="56">
        <f t="shared" si="71"/>
        <v>1054455</v>
      </c>
      <c r="AR213" s="1"/>
      <c r="AS213" s="56">
        <v>1380.7212801854732</v>
      </c>
      <c r="AT213" s="56">
        <v>147.27261836127039</v>
      </c>
      <c r="AU213" s="56">
        <v>278.88665057343042</v>
      </c>
      <c r="AV213" s="56"/>
      <c r="AW213" s="56">
        <v>1806.880549120174</v>
      </c>
      <c r="AX213" s="1"/>
      <c r="AY213" s="16">
        <v>6.6578083113273401E-3</v>
      </c>
      <c r="AZ213" s="16">
        <v>5.5149717890089267E-2</v>
      </c>
      <c r="BA213" s="16">
        <v>1.1704902589592781E-2</v>
      </c>
      <c r="BB213" s="16">
        <f t="shared" si="72"/>
        <v>1.1224314054098627E-2</v>
      </c>
      <c r="BC213" s="16"/>
      <c r="BD213" s="1"/>
      <c r="BE213" s="16">
        <f>AM213/'2019-20 disagg'!AM213-1</f>
        <v>3.6600678238227324E-2</v>
      </c>
      <c r="BF213" s="16">
        <f>AN213/'2019-20 disagg'!AN213-1</f>
        <v>3.6031149042866195E-2</v>
      </c>
      <c r="BG213" s="16">
        <f>AO213/'2019-20 disagg'!AO213-1</f>
        <v>5.1369509043927675E-2</v>
      </c>
      <c r="BH213" s="16">
        <f>AQ213/'2019-20 disagg'!AQ213-1</f>
        <v>3.8806420087797333E-2</v>
      </c>
      <c r="BI213" s="1"/>
      <c r="BJ213" s="16">
        <f>AS213/'2019-20 disagg'!AS213-1</f>
        <v>2.8449567975215917E-2</v>
      </c>
      <c r="BK213" s="16">
        <f>AT213/'2019-20 disagg'!AT213-1</f>
        <v>2.7884517163254241E-2</v>
      </c>
      <c r="BL213" s="16">
        <f>AU213/'2019-20 disagg'!AU213-1</f>
        <v>4.3102266917528276E-2</v>
      </c>
      <c r="BM213" s="16">
        <f>AW213/'2019-20 disagg'!AW213-1</f>
        <v>3.0637965397558586E-2</v>
      </c>
    </row>
    <row r="214" spans="1:65" x14ac:dyDescent="0.2">
      <c r="A214" s="156" t="s">
        <v>473</v>
      </c>
      <c r="B214" s="156" t="s">
        <v>474</v>
      </c>
      <c r="D214" s="56">
        <f>VLOOKUP(A214,'2020-21'!$A$12:$AMX422,32,FALSE)</f>
        <v>397203</v>
      </c>
      <c r="E214" s="56">
        <v>1751.6954918324634</v>
      </c>
      <c r="F214" s="16">
        <f>VLOOKUP(A214,'2020-21'!$A$12:$AMX422,34,FALSE)</f>
        <v>4.0016233766233755E-2</v>
      </c>
      <c r="G214" s="16">
        <f>VLOOKUP(A214,'2020-21'!$A$12:$AMX422,35,FALSE)</f>
        <v>2.9676836228505588E-2</v>
      </c>
      <c r="H214" s="56"/>
      <c r="I214" s="56">
        <v>402459.47219475929</v>
      </c>
      <c r="J214" s="56">
        <v>1774.8769346878864</v>
      </c>
      <c r="K214" s="16">
        <f t="shared" si="57"/>
        <v>-1.3060873349790558E-2</v>
      </c>
      <c r="L214" s="58">
        <f t="shared" si="57"/>
        <v>-1.3060873349790558E-2</v>
      </c>
      <c r="M214" s="10"/>
      <c r="N214" s="56">
        <v>300094</v>
      </c>
      <c r="O214" s="56">
        <v>31713</v>
      </c>
      <c r="P214" s="56">
        <v>65396</v>
      </c>
      <c r="R214" s="56">
        <f t="shared" si="58"/>
        <v>65396</v>
      </c>
      <c r="S214" s="56">
        <f t="shared" si="59"/>
        <v>0</v>
      </c>
      <c r="U214" s="16">
        <v>-2.484117536612318E-2</v>
      </c>
      <c r="V214" s="16">
        <v>-4.8949394705085636E-3</v>
      </c>
      <c r="W214" s="56">
        <f t="shared" si="60"/>
        <v>4</v>
      </c>
      <c r="X214" s="56">
        <f t="shared" si="61"/>
        <v>3077.3858823732658</v>
      </c>
      <c r="Y214" s="56">
        <f t="shared" si="61"/>
        <v>318.68996810372607</v>
      </c>
      <c r="AA214" s="56">
        <f t="shared" si="73"/>
        <v>0</v>
      </c>
      <c r="AB214" s="56">
        <v>0</v>
      </c>
      <c r="AC214" s="56">
        <f t="shared" si="62"/>
        <v>0</v>
      </c>
      <c r="AE214" s="56">
        <v>0</v>
      </c>
      <c r="AF214" s="56">
        <f t="shared" si="63"/>
        <v>0</v>
      </c>
      <c r="AG214" s="56">
        <f t="shared" si="64"/>
        <v>0</v>
      </c>
      <c r="AI214" s="56">
        <f t="shared" si="65"/>
        <v>0</v>
      </c>
      <c r="AJ214" s="56">
        <f t="shared" si="66"/>
        <v>0</v>
      </c>
      <c r="AK214" s="56">
        <f t="shared" si="67"/>
        <v>0</v>
      </c>
      <c r="AM214" s="56">
        <f t="shared" si="68"/>
        <v>300094</v>
      </c>
      <c r="AN214" s="56">
        <f t="shared" si="69"/>
        <v>31713</v>
      </c>
      <c r="AO214" s="56">
        <f t="shared" si="70"/>
        <v>65396</v>
      </c>
      <c r="AP214" s="56"/>
      <c r="AQ214" s="56">
        <f t="shared" si="71"/>
        <v>397203</v>
      </c>
      <c r="AR214" s="1"/>
      <c r="AS214" s="56">
        <v>1323.4374033579084</v>
      </c>
      <c r="AT214" s="56">
        <v>139.85674612851088</v>
      </c>
      <c r="AU214" s="56">
        <v>288.40134234604415</v>
      </c>
      <c r="AV214" s="56"/>
      <c r="AW214" s="56">
        <v>1751.6954918324634</v>
      </c>
      <c r="AX214" s="1"/>
      <c r="AY214" s="16">
        <v>-2.484117536612318E-2</v>
      </c>
      <c r="AZ214" s="16">
        <v>-4.8949394705085636E-3</v>
      </c>
      <c r="BA214" s="16">
        <v>4.0477907162711269E-2</v>
      </c>
      <c r="BB214" s="16">
        <f t="shared" si="72"/>
        <v>-1.3060873349790558E-2</v>
      </c>
      <c r="BC214" s="16"/>
      <c r="BD214" s="1"/>
      <c r="BE214" s="16">
        <f>AM214/'2019-20 disagg'!AM214-1</f>
        <v>3.6601289128076919E-2</v>
      </c>
      <c r="BF214" s="16">
        <f>AN214/'2019-20 disagg'!AN214-1</f>
        <v>4.4874962933675988E-2</v>
      </c>
      <c r="BG214" s="16">
        <f>AO214/'2019-20 disagg'!AO214-1</f>
        <v>5.3567688614650999E-2</v>
      </c>
      <c r="BH214" s="16">
        <f>AQ214/'2019-20 disagg'!AQ214-1</f>
        <v>4.0016233766233755E-2</v>
      </c>
      <c r="BI214" s="1"/>
      <c r="BJ214" s="16">
        <f>AS214/'2019-20 disagg'!AS214-1</f>
        <v>2.6295841512510298E-2</v>
      </c>
      <c r="BK214" s="16">
        <f>AT214/'2019-20 disagg'!AT214-1</f>
        <v>3.4487261984174511E-2</v>
      </c>
      <c r="BL214" s="16">
        <f>AU214/'2019-20 disagg'!AU214-1</f>
        <v>4.3093568296312945E-2</v>
      </c>
      <c r="BM214" s="16">
        <f>AW214/'2019-20 disagg'!AW214-1</f>
        <v>2.9676836228505588E-2</v>
      </c>
    </row>
    <row r="215" spans="1:65" x14ac:dyDescent="0.2">
      <c r="A215" s="156" t="s">
        <v>475</v>
      </c>
      <c r="B215" s="156" t="s">
        <v>476</v>
      </c>
      <c r="D215" s="56">
        <f>VLOOKUP(A215,'2020-21'!$A$12:$AMX423,32,FALSE)</f>
        <v>1642034</v>
      </c>
      <c r="E215" s="56">
        <v>1775.5322580456652</v>
      </c>
      <c r="F215" s="16">
        <f>VLOOKUP(A215,'2020-21'!$A$12:$AMX423,34,FALSE)</f>
        <v>3.8678261837650663E-2</v>
      </c>
      <c r="G215" s="16">
        <f>VLOOKUP(A215,'2020-21'!$A$12:$AMX423,35,FALSE)</f>
        <v>3.3586647983830265E-2</v>
      </c>
      <c r="H215" s="56"/>
      <c r="I215" s="56">
        <v>1638774.4956979225</v>
      </c>
      <c r="J215" s="56">
        <v>1772.0077542695087</v>
      </c>
      <c r="K215" s="16">
        <f t="shared" si="57"/>
        <v>1.988988912528411E-3</v>
      </c>
      <c r="L215" s="58">
        <f t="shared" si="57"/>
        <v>1.988988912528411E-3</v>
      </c>
      <c r="M215" s="10"/>
      <c r="N215" s="56">
        <v>1247706</v>
      </c>
      <c r="O215" s="56">
        <v>132903</v>
      </c>
      <c r="P215" s="56">
        <v>261425</v>
      </c>
      <c r="R215" s="56">
        <f t="shared" si="58"/>
        <v>261425</v>
      </c>
      <c r="S215" s="56">
        <f t="shared" si="59"/>
        <v>0</v>
      </c>
      <c r="U215" s="16">
        <v>3.061245718609884E-3</v>
      </c>
      <c r="V215" s="16">
        <v>2.1159561547742012E-2</v>
      </c>
      <c r="W215" s="56">
        <f t="shared" si="60"/>
        <v>2</v>
      </c>
      <c r="X215" s="56">
        <f t="shared" si="61"/>
        <v>12438.981221990312</v>
      </c>
      <c r="Y215" s="56">
        <f t="shared" si="61"/>
        <v>1301.4910206448321</v>
      </c>
      <c r="AA215" s="56">
        <f t="shared" si="73"/>
        <v>0</v>
      </c>
      <c r="AB215" s="56">
        <v>0</v>
      </c>
      <c r="AC215" s="56">
        <f t="shared" si="62"/>
        <v>0</v>
      </c>
      <c r="AE215" s="56">
        <v>0</v>
      </c>
      <c r="AF215" s="56">
        <f t="shared" si="63"/>
        <v>0</v>
      </c>
      <c r="AG215" s="56">
        <f t="shared" si="64"/>
        <v>0</v>
      </c>
      <c r="AI215" s="56">
        <f t="shared" si="65"/>
        <v>0</v>
      </c>
      <c r="AJ215" s="56">
        <f t="shared" si="66"/>
        <v>0</v>
      </c>
      <c r="AK215" s="56">
        <f t="shared" si="67"/>
        <v>0</v>
      </c>
      <c r="AM215" s="56">
        <f t="shared" si="68"/>
        <v>1247706</v>
      </c>
      <c r="AN215" s="56">
        <f t="shared" si="69"/>
        <v>132903</v>
      </c>
      <c r="AO215" s="56">
        <f t="shared" si="70"/>
        <v>261425</v>
      </c>
      <c r="AP215" s="56"/>
      <c r="AQ215" s="56">
        <f t="shared" si="71"/>
        <v>1642034</v>
      </c>
      <c r="AR215" s="1"/>
      <c r="AS215" s="56">
        <v>1349.145176992148</v>
      </c>
      <c r="AT215" s="56">
        <v>143.70808624610882</v>
      </c>
      <c r="AU215" s="56">
        <v>282.6789948074084</v>
      </c>
      <c r="AV215" s="56"/>
      <c r="AW215" s="56">
        <v>1775.5322580456652</v>
      </c>
      <c r="AX215" s="1"/>
      <c r="AY215" s="16">
        <v>3.061245718609884E-3</v>
      </c>
      <c r="AZ215" s="16">
        <v>2.1159561547742012E-2</v>
      </c>
      <c r="BA215" s="16">
        <v>-1.2474239682655042E-2</v>
      </c>
      <c r="BB215" s="16">
        <f t="shared" si="72"/>
        <v>1.988988912528411E-3</v>
      </c>
      <c r="BC215" s="16"/>
      <c r="BD215" s="1"/>
      <c r="BE215" s="16">
        <f>AM215/'2019-20 disagg'!AM215-1</f>
        <v>3.6600279815095949E-2</v>
      </c>
      <c r="BF215" s="16">
        <f>AN215/'2019-20 disagg'!AN215-1</f>
        <v>3.9596060731690086E-2</v>
      </c>
      <c r="BG215" s="16">
        <f>AO215/'2019-20 disagg'!AO215-1</f>
        <v>4.8236732893602419E-2</v>
      </c>
      <c r="BH215" s="16">
        <f>AQ215/'2019-20 disagg'!AQ215-1</f>
        <v>3.8678261837650663E-2</v>
      </c>
      <c r="BI215" s="1"/>
      <c r="BJ215" s="16">
        <f>AS215/'2019-20 disagg'!AS215-1</f>
        <v>3.151885225518658E-2</v>
      </c>
      <c r="BK215" s="16">
        <f>AT215/'2019-20 disagg'!AT215-1</f>
        <v>3.4499947816191368E-2</v>
      </c>
      <c r="BL215" s="16">
        <f>AU215/'2019-20 disagg'!AU215-1</f>
        <v>4.3098263294901296E-2</v>
      </c>
      <c r="BM215" s="16">
        <f>AW215/'2019-20 disagg'!AW215-1</f>
        <v>3.3586647983830265E-2</v>
      </c>
    </row>
    <row r="216" spans="1:65" x14ac:dyDescent="0.2">
      <c r="A216" s="156" t="s">
        <v>477</v>
      </c>
      <c r="B216" s="156" t="s">
        <v>478</v>
      </c>
      <c r="D216" s="56">
        <f>VLOOKUP(A216,'2020-21'!$A$12:$AMX424,32,FALSE)</f>
        <v>998690.98538099916</v>
      </c>
      <c r="E216" s="56">
        <v>1723.1409910014027</v>
      </c>
      <c r="F216" s="16">
        <f>VLOOKUP(A216,'2020-21'!$A$12:$AMX424,34,FALSE)</f>
        <v>3.9905562541194373E-2</v>
      </c>
      <c r="G216" s="16">
        <f>VLOOKUP(A216,'2020-21'!$A$12:$AMX424,35,FALSE)</f>
        <v>3.3085432489389222E-2</v>
      </c>
      <c r="H216" s="56"/>
      <c r="I216" s="56">
        <v>1015815.4691396094</v>
      </c>
      <c r="J216" s="56">
        <v>1752.6875678165941</v>
      </c>
      <c r="K216" s="16">
        <f t="shared" si="57"/>
        <v>-1.6857868657104147E-2</v>
      </c>
      <c r="L216" s="58">
        <f t="shared" si="57"/>
        <v>-1.6857868657104147E-2</v>
      </c>
      <c r="M216" s="10"/>
      <c r="N216" s="56">
        <v>764865</v>
      </c>
      <c r="O216" s="56">
        <v>83747</v>
      </c>
      <c r="P216" s="56">
        <v>148525</v>
      </c>
      <c r="R216" s="56">
        <f t="shared" si="58"/>
        <v>148525</v>
      </c>
      <c r="S216" s="56">
        <f t="shared" si="59"/>
        <v>1553.9853809991619</v>
      </c>
      <c r="U216" s="16">
        <v>-2.625069593751439E-2</v>
      </c>
      <c r="V216" s="16">
        <v>5.5009634140089192E-2</v>
      </c>
      <c r="W216" s="56">
        <f t="shared" si="60"/>
        <v>1</v>
      </c>
      <c r="X216" s="56">
        <f t="shared" si="61"/>
        <v>7854.8451517139001</v>
      </c>
      <c r="Y216" s="56">
        <f t="shared" si="61"/>
        <v>793.80317761988965</v>
      </c>
      <c r="AA216" s="56">
        <f t="shared" si="73"/>
        <v>1553.9853809991619</v>
      </c>
      <c r="AB216" s="56">
        <v>0</v>
      </c>
      <c r="AC216" s="56">
        <f t="shared" si="62"/>
        <v>0</v>
      </c>
      <c r="AE216" s="56">
        <v>0</v>
      </c>
      <c r="AF216" s="56">
        <f t="shared" si="63"/>
        <v>0</v>
      </c>
      <c r="AG216" s="56">
        <f t="shared" si="64"/>
        <v>0</v>
      </c>
      <c r="AI216" s="56">
        <f t="shared" si="65"/>
        <v>0</v>
      </c>
      <c r="AJ216" s="56">
        <f t="shared" si="66"/>
        <v>0</v>
      </c>
      <c r="AK216" s="56">
        <f t="shared" si="67"/>
        <v>0</v>
      </c>
      <c r="AM216" s="56">
        <f t="shared" si="68"/>
        <v>766419</v>
      </c>
      <c r="AN216" s="56">
        <f t="shared" si="69"/>
        <v>83747</v>
      </c>
      <c r="AO216" s="56">
        <f t="shared" si="70"/>
        <v>148525</v>
      </c>
      <c r="AP216" s="56"/>
      <c r="AQ216" s="56">
        <f t="shared" si="71"/>
        <v>998691</v>
      </c>
      <c r="AR216" s="1"/>
      <c r="AS216" s="56">
        <v>1322.3790086364691</v>
      </c>
      <c r="AT216" s="56">
        <v>144.49703730763247</v>
      </c>
      <c r="AU216" s="56">
        <v>256.26497028091887</v>
      </c>
      <c r="AV216" s="56"/>
      <c r="AW216" s="56">
        <v>1723.1410162250204</v>
      </c>
      <c r="AX216" s="1"/>
      <c r="AY216" s="16">
        <v>-2.4272299202779291E-2</v>
      </c>
      <c r="AZ216" s="16">
        <v>5.5009634140089192E-2</v>
      </c>
      <c r="BA216" s="16">
        <v>-1.6069069115525192E-2</v>
      </c>
      <c r="BB216" s="16">
        <f t="shared" si="72"/>
        <v>-1.6857854265709959E-2</v>
      </c>
      <c r="BC216" s="16"/>
      <c r="BD216" s="1"/>
      <c r="BE216" s="16">
        <f>AM216/'2019-20 disagg'!AM216-1</f>
        <v>3.8706582151874613E-2</v>
      </c>
      <c r="BF216" s="16">
        <f>AN216/'2019-20 disagg'!AN216-1</f>
        <v>3.3224763737755181E-2</v>
      </c>
      <c r="BG216" s="16">
        <f>AO216/'2019-20 disagg'!AO216-1</f>
        <v>4.9987981958799388E-2</v>
      </c>
      <c r="BH216" s="16">
        <f>AQ216/'2019-20 disagg'!AQ216-1</f>
        <v>3.9905577763500899E-2</v>
      </c>
      <c r="BI216" s="1"/>
      <c r="BJ216" s="16">
        <f>AS216/'2019-20 disagg'!AS216-1</f>
        <v>3.1894315508516735E-2</v>
      </c>
      <c r="BK216" s="16">
        <f>AT216/'2019-20 disagg'!AT216-1</f>
        <v>2.6448449122976836E-2</v>
      </c>
      <c r="BL216" s="16">
        <f>AU216/'2019-20 disagg'!AU216-1</f>
        <v>4.3101727237464971E-2</v>
      </c>
      <c r="BM216" s="16">
        <f>AW216/'2019-20 disagg'!AW216-1</f>
        <v>3.3085447611861607E-2</v>
      </c>
    </row>
    <row r="217" spans="1:65" x14ac:dyDescent="0.2">
      <c r="A217" s="156" t="s">
        <v>479</v>
      </c>
      <c r="B217" s="156" t="s">
        <v>480</v>
      </c>
      <c r="D217" s="56">
        <f>VLOOKUP(A217,'2020-21'!$A$12:$AMX425,32,FALSE)</f>
        <v>553839</v>
      </c>
      <c r="E217" s="56">
        <v>1887.1119885814514</v>
      </c>
      <c r="F217" s="16">
        <f>VLOOKUP(A217,'2020-21'!$A$12:$AMX425,34,FALSE)</f>
        <v>3.7314858517070171E-2</v>
      </c>
      <c r="G217" s="16">
        <f>VLOOKUP(A217,'2020-21'!$A$12:$AMX425,35,FALSE)</f>
        <v>3.2138143082284021E-2</v>
      </c>
      <c r="H217" s="56"/>
      <c r="I217" s="56">
        <v>539609.93574926665</v>
      </c>
      <c r="J217" s="56">
        <v>1838.6288775440294</v>
      </c>
      <c r="K217" s="16">
        <f t="shared" si="57"/>
        <v>2.6369166518358966E-2</v>
      </c>
      <c r="L217" s="58">
        <f t="shared" si="57"/>
        <v>2.6369166518358966E-2</v>
      </c>
      <c r="M217" s="10"/>
      <c r="N217" s="56">
        <v>430743</v>
      </c>
      <c r="O217" s="56">
        <v>40520</v>
      </c>
      <c r="P217" s="56">
        <v>82576</v>
      </c>
      <c r="R217" s="56">
        <f t="shared" si="58"/>
        <v>82576</v>
      </c>
      <c r="S217" s="56">
        <f t="shared" si="59"/>
        <v>0</v>
      </c>
      <c r="U217" s="16">
        <v>4.9942972772552885E-2</v>
      </c>
      <c r="V217" s="16">
        <v>-3.9795092310596414E-2</v>
      </c>
      <c r="W217" s="56">
        <f t="shared" si="60"/>
        <v>3</v>
      </c>
      <c r="X217" s="56">
        <f t="shared" si="61"/>
        <v>4102.537101253698</v>
      </c>
      <c r="Y217" s="56">
        <f t="shared" si="61"/>
        <v>421.99326076665881</v>
      </c>
      <c r="AA217" s="56">
        <f t="shared" si="73"/>
        <v>0</v>
      </c>
      <c r="AB217" s="56">
        <v>0</v>
      </c>
      <c r="AC217" s="56">
        <f t="shared" si="62"/>
        <v>0</v>
      </c>
      <c r="AE217" s="56">
        <v>0</v>
      </c>
      <c r="AF217" s="56">
        <f t="shared" si="63"/>
        <v>0</v>
      </c>
      <c r="AG217" s="56">
        <f t="shared" si="64"/>
        <v>0</v>
      </c>
      <c r="AI217" s="56">
        <f t="shared" si="65"/>
        <v>0</v>
      </c>
      <c r="AJ217" s="56">
        <f t="shared" si="66"/>
        <v>0</v>
      </c>
      <c r="AK217" s="56">
        <f t="shared" si="67"/>
        <v>0</v>
      </c>
      <c r="AM217" s="56">
        <f t="shared" si="68"/>
        <v>430743</v>
      </c>
      <c r="AN217" s="56">
        <f t="shared" si="69"/>
        <v>40520</v>
      </c>
      <c r="AO217" s="56">
        <f t="shared" si="70"/>
        <v>82576</v>
      </c>
      <c r="AP217" s="56"/>
      <c r="AQ217" s="56">
        <f t="shared" si="71"/>
        <v>553839</v>
      </c>
      <c r="AR217" s="1"/>
      <c r="AS217" s="56">
        <v>1467.6833507527281</v>
      </c>
      <c r="AT217" s="56">
        <v>138.06499321521309</v>
      </c>
      <c r="AU217" s="56">
        <v>281.3636446135103</v>
      </c>
      <c r="AV217" s="56"/>
      <c r="AW217" s="56">
        <v>1887.1119885814514</v>
      </c>
      <c r="AX217" s="1"/>
      <c r="AY217" s="16">
        <v>4.9942972772552885E-2</v>
      </c>
      <c r="AZ217" s="16">
        <v>-3.9795092310596414E-2</v>
      </c>
      <c r="BA217" s="16">
        <v>-5.2559230204701435E-2</v>
      </c>
      <c r="BB217" s="16">
        <f t="shared" si="72"/>
        <v>2.6369166518358966E-2</v>
      </c>
      <c r="BC217" s="16"/>
      <c r="BD217" s="1"/>
      <c r="BE217" s="16">
        <f>AM217/'2019-20 disagg'!AM217-1</f>
        <v>3.5006992267657244E-2</v>
      </c>
      <c r="BF217" s="16">
        <f>AN217/'2019-20 disagg'!AN217-1</f>
        <v>3.9694147230133758E-2</v>
      </c>
      <c r="BG217" s="16">
        <f>AO217/'2019-20 disagg'!AO217-1</f>
        <v>4.8331196282801692E-2</v>
      </c>
      <c r="BH217" s="16">
        <f>AQ217/'2019-20 disagg'!AQ217-1</f>
        <v>3.7314858517070171E-2</v>
      </c>
      <c r="BI217" s="1"/>
      <c r="BJ217" s="16">
        <f>AS217/'2019-20 disagg'!AS217-1</f>
        <v>2.9841794229673813E-2</v>
      </c>
      <c r="BK217" s="16">
        <f>AT217/'2019-20 disagg'!AT217-1</f>
        <v>3.4505557965040623E-2</v>
      </c>
      <c r="BL217" s="16">
        <f>AU217/'2019-20 disagg'!AU217-1</f>
        <v>4.309950386076955E-2</v>
      </c>
      <c r="BM217" s="16">
        <f>AW217/'2019-20 disagg'!AW217-1</f>
        <v>3.2138143082284021E-2</v>
      </c>
    </row>
    <row r="218" spans="1:65" x14ac:dyDescent="0.2">
      <c r="A218" s="156" t="s">
        <v>481</v>
      </c>
      <c r="B218" s="156" t="s">
        <v>482</v>
      </c>
      <c r="D218" s="56">
        <f>VLOOKUP(A218,'2020-21'!$A$12:$AMX426,32,FALSE)</f>
        <v>422195.9043300412</v>
      </c>
      <c r="E218" s="56">
        <v>1536.0081833518304</v>
      </c>
      <c r="F218" s="16">
        <f>VLOOKUP(A218,'2020-21'!$A$12:$AMX426,34,FALSE)</f>
        <v>4.2569715624229731E-2</v>
      </c>
      <c r="G218" s="16">
        <f>VLOOKUP(A218,'2020-21'!$A$12:$AMX426,35,FALSE)</f>
        <v>3.4449694089004224E-2</v>
      </c>
      <c r="H218" s="56"/>
      <c r="I218" s="56">
        <v>430093.86638335243</v>
      </c>
      <c r="J218" s="56">
        <v>1564.7420820497318</v>
      </c>
      <c r="K218" s="16">
        <f t="shared" si="57"/>
        <v>-1.8363345005881992E-2</v>
      </c>
      <c r="L218" s="58">
        <f t="shared" si="57"/>
        <v>-1.8363345005881992E-2</v>
      </c>
      <c r="M218" s="10"/>
      <c r="N218" s="56">
        <v>309653</v>
      </c>
      <c r="O218" s="56">
        <v>36314</v>
      </c>
      <c r="P218" s="56">
        <v>75069</v>
      </c>
      <c r="R218" s="56">
        <f t="shared" si="58"/>
        <v>75069</v>
      </c>
      <c r="S218" s="56">
        <f t="shared" si="59"/>
        <v>1159.9043300412013</v>
      </c>
      <c r="U218" s="16">
        <v>-3.9856173832346187E-2</v>
      </c>
      <c r="V218" s="16">
        <v>4.6455174896289586E-2</v>
      </c>
      <c r="W218" s="56">
        <f t="shared" si="60"/>
        <v>1</v>
      </c>
      <c r="X218" s="56">
        <f t="shared" si="61"/>
        <v>3225.0689069778018</v>
      </c>
      <c r="Y218" s="56">
        <f t="shared" si="61"/>
        <v>347.01916404206185</v>
      </c>
      <c r="AA218" s="56">
        <f t="shared" si="73"/>
        <v>1159.9043300412013</v>
      </c>
      <c r="AB218" s="56">
        <v>0</v>
      </c>
      <c r="AC218" s="56">
        <f t="shared" si="62"/>
        <v>0</v>
      </c>
      <c r="AE218" s="56">
        <v>0</v>
      </c>
      <c r="AF218" s="56">
        <f t="shared" si="63"/>
        <v>0</v>
      </c>
      <c r="AG218" s="56">
        <f t="shared" si="64"/>
        <v>0</v>
      </c>
      <c r="AI218" s="56">
        <f t="shared" si="65"/>
        <v>0</v>
      </c>
      <c r="AJ218" s="56">
        <f t="shared" si="66"/>
        <v>0</v>
      </c>
      <c r="AK218" s="56">
        <f t="shared" si="67"/>
        <v>0</v>
      </c>
      <c r="AM218" s="56">
        <f t="shared" si="68"/>
        <v>310813</v>
      </c>
      <c r="AN218" s="56">
        <f t="shared" si="69"/>
        <v>36314</v>
      </c>
      <c r="AO218" s="56">
        <f t="shared" si="70"/>
        <v>75069</v>
      </c>
      <c r="AP218" s="56"/>
      <c r="AQ218" s="56">
        <f t="shared" si="71"/>
        <v>422196</v>
      </c>
      <c r="AR218" s="1"/>
      <c r="AS218" s="56">
        <v>1130.7814846041897</v>
      </c>
      <c r="AT218" s="56">
        <v>132.11544829822608</v>
      </c>
      <c r="AU218" s="56">
        <v>273.11159851020363</v>
      </c>
      <c r="AV218" s="56"/>
      <c r="AW218" s="56">
        <v>1536.0085314126195</v>
      </c>
      <c r="AX218" s="1"/>
      <c r="AY218" s="16">
        <v>-3.6259351459062228E-2</v>
      </c>
      <c r="AZ218" s="16">
        <v>4.6455174896289586E-2</v>
      </c>
      <c r="BA218" s="16">
        <v>2.9964175650911695E-2</v>
      </c>
      <c r="BB218" s="16">
        <f t="shared" si="72"/>
        <v>-1.8363122566163015E-2</v>
      </c>
      <c r="BC218" s="16"/>
      <c r="BD218" s="1"/>
      <c r="BE218" s="16">
        <f>AM218/'2019-20 disagg'!AM218-1</f>
        <v>4.0482726298875171E-2</v>
      </c>
      <c r="BF218" s="16">
        <f>AN218/'2019-20 disagg'!AN218-1</f>
        <v>4.260694803330467E-2</v>
      </c>
      <c r="BG218" s="16">
        <f>AO218/'2019-20 disagg'!AO218-1</f>
        <v>5.1283487613259293E-2</v>
      </c>
      <c r="BH218" s="16">
        <f>AQ218/'2019-20 disagg'!AQ218-1</f>
        <v>4.2569951871433309E-2</v>
      </c>
      <c r="BI218" s="1"/>
      <c r="BJ218" s="16">
        <f>AS218/'2019-20 disagg'!AS218-1</f>
        <v>3.2378959214562242E-2</v>
      </c>
      <c r="BK218" s="16">
        <f>AT218/'2019-20 disagg'!AT218-1</f>
        <v>3.4486636514628577E-2</v>
      </c>
      <c r="BL218" s="16">
        <f>AU218/'2019-20 disagg'!AU218-1</f>
        <v>4.3095599138160523E-2</v>
      </c>
      <c r="BM218" s="16">
        <f>AW218/'2019-20 disagg'!AW218-1</f>
        <v>3.4449928496203874E-2</v>
      </c>
    </row>
    <row r="219" spans="1:65" x14ac:dyDescent="0.2">
      <c r="A219" s="156" t="s">
        <v>483</v>
      </c>
      <c r="B219" s="156" t="s">
        <v>484</v>
      </c>
      <c r="D219" s="56">
        <f>VLOOKUP(A219,'2020-21'!$A$12:$AMX427,32,FALSE)</f>
        <v>380958.12013540452</v>
      </c>
      <c r="E219" s="56">
        <v>1558.4111335602022</v>
      </c>
      <c r="F219" s="16">
        <f>VLOOKUP(A219,'2020-21'!$A$12:$AMX427,34,FALSE)</f>
        <v>4.5801018286796502E-2</v>
      </c>
      <c r="G219" s="16">
        <f>VLOOKUP(A219,'2020-21'!$A$12:$AMX427,35,FALSE)</f>
        <v>3.4710045078747864E-2</v>
      </c>
      <c r="H219" s="56"/>
      <c r="I219" s="56">
        <v>388131.81666841777</v>
      </c>
      <c r="J219" s="56">
        <v>1587.7570588862102</v>
      </c>
      <c r="K219" s="16">
        <f t="shared" si="57"/>
        <v>-1.8482629418504426E-2</v>
      </c>
      <c r="L219" s="58">
        <f t="shared" si="57"/>
        <v>-1.8482629418504204E-2</v>
      </c>
      <c r="M219" s="10"/>
      <c r="N219" s="56">
        <v>288618</v>
      </c>
      <c r="O219" s="56">
        <v>32492</v>
      </c>
      <c r="P219" s="56">
        <v>57745</v>
      </c>
      <c r="R219" s="56">
        <f t="shared" si="58"/>
        <v>57745</v>
      </c>
      <c r="S219" s="56">
        <f t="shared" si="59"/>
        <v>2103.1201354045188</v>
      </c>
      <c r="U219" s="16">
        <v>-1.8875246592131356E-2</v>
      </c>
      <c r="V219" s="16">
        <v>-1.2327812385677261E-2</v>
      </c>
      <c r="W219" s="56">
        <f t="shared" si="60"/>
        <v>4</v>
      </c>
      <c r="X219" s="56">
        <f t="shared" si="61"/>
        <v>2941.7054151116404</v>
      </c>
      <c r="Y219" s="56">
        <f t="shared" si="61"/>
        <v>328.97554884564431</v>
      </c>
      <c r="AA219" s="56">
        <f t="shared" si="73"/>
        <v>0</v>
      </c>
      <c r="AB219" s="56">
        <v>0</v>
      </c>
      <c r="AC219" s="56">
        <f t="shared" si="62"/>
        <v>2103.1201354045188</v>
      </c>
      <c r="AE219" s="56">
        <v>0</v>
      </c>
      <c r="AF219" s="56">
        <f t="shared" si="63"/>
        <v>0</v>
      </c>
      <c r="AG219" s="56">
        <f t="shared" si="64"/>
        <v>2103.1201354045188</v>
      </c>
      <c r="AI219" s="56">
        <f t="shared" si="65"/>
        <v>1891.5815877878449</v>
      </c>
      <c r="AJ219" s="56">
        <f t="shared" si="66"/>
        <v>211.53854761667404</v>
      </c>
      <c r="AK219" s="56">
        <f t="shared" si="67"/>
        <v>0</v>
      </c>
      <c r="AM219" s="56">
        <f t="shared" si="68"/>
        <v>290510</v>
      </c>
      <c r="AN219" s="56">
        <f t="shared" si="69"/>
        <v>32704</v>
      </c>
      <c r="AO219" s="56">
        <f t="shared" si="70"/>
        <v>57745</v>
      </c>
      <c r="AP219" s="56"/>
      <c r="AQ219" s="56">
        <f t="shared" si="71"/>
        <v>380959</v>
      </c>
      <c r="AR219" s="1"/>
      <c r="AS219" s="56">
        <v>1188.4088945253573</v>
      </c>
      <c r="AT219" s="56">
        <v>133.78446348338193</v>
      </c>
      <c r="AU219" s="56">
        <v>236.22137487303965</v>
      </c>
      <c r="AV219" s="56"/>
      <c r="AW219" s="56">
        <v>1558.4147328817787</v>
      </c>
      <c r="AX219" s="1"/>
      <c r="AY219" s="16">
        <v>-1.2443603266186098E-2</v>
      </c>
      <c r="AZ219" s="16">
        <v>-5.8835644546715304E-3</v>
      </c>
      <c r="BA219" s="16">
        <v>-5.434847824320288E-2</v>
      </c>
      <c r="BB219" s="16">
        <f t="shared" si="72"/>
        <v>-1.848036249639784E-2</v>
      </c>
      <c r="BC219" s="16"/>
      <c r="BD219" s="1"/>
      <c r="BE219" s="16">
        <f>AM219/'2019-20 disagg'!AM219-1</f>
        <v>4.3397371662949435E-2</v>
      </c>
      <c r="BF219" s="16">
        <f>AN219/'2019-20 disagg'!AN219-1</f>
        <v>5.2421560740144812E-2</v>
      </c>
      <c r="BG219" s="16">
        <f>AO219/'2019-20 disagg'!AO219-1</f>
        <v>5.4279558898707281E-2</v>
      </c>
      <c r="BH219" s="16">
        <f>AQ219/'2019-20 disagg'!AQ219-1</f>
        <v>4.5803433679043826E-2</v>
      </c>
      <c r="BI219" s="1"/>
      <c r="BJ219" s="16">
        <f>AS219/'2019-20 disagg'!AS219-1</f>
        <v>3.2331889709776629E-2</v>
      </c>
      <c r="BK219" s="16">
        <f>AT219/'2019-20 disagg'!AT219-1</f>
        <v>4.1260375075147904E-2</v>
      </c>
      <c r="BL219" s="16">
        <f>AU219/'2019-20 disagg'!AU219-1</f>
        <v>4.3098668713025479E-2</v>
      </c>
      <c r="BM219" s="16">
        <f>AW219/'2019-20 disagg'!AW219-1</f>
        <v>3.4712434855175056E-2</v>
      </c>
    </row>
    <row r="220" spans="1:65" x14ac:dyDescent="0.2">
      <c r="A220" s="156" t="s">
        <v>485</v>
      </c>
      <c r="B220" s="156" t="s">
        <v>486</v>
      </c>
      <c r="D220" s="56">
        <f>VLOOKUP(A220,'2020-21'!$A$12:$AMX428,32,FALSE)</f>
        <v>827750.95522570447</v>
      </c>
      <c r="E220" s="56">
        <v>1654.3039895582435</v>
      </c>
      <c r="F220" s="16">
        <f>VLOOKUP(A220,'2020-21'!$A$12:$AMX428,34,FALSE)</f>
        <v>4.2993530014874048E-2</v>
      </c>
      <c r="G220" s="16">
        <f>VLOOKUP(A220,'2020-21'!$A$12:$AMX428,35,FALSE)</f>
        <v>3.6764582095042186E-2</v>
      </c>
      <c r="H220" s="56"/>
      <c r="I220" s="56">
        <v>844925.48494867072</v>
      </c>
      <c r="J220" s="56">
        <v>1688.6281940307622</v>
      </c>
      <c r="K220" s="16">
        <f t="shared" si="57"/>
        <v>-2.0326679723726926E-2</v>
      </c>
      <c r="L220" s="58">
        <f t="shared" si="57"/>
        <v>-2.0326679723726926E-2</v>
      </c>
      <c r="M220" s="10"/>
      <c r="N220" s="56">
        <v>636775</v>
      </c>
      <c r="O220" s="56">
        <v>66306</v>
      </c>
      <c r="P220" s="56">
        <v>121334</v>
      </c>
      <c r="R220" s="56">
        <f t="shared" si="58"/>
        <v>121334</v>
      </c>
      <c r="S220" s="56">
        <f t="shared" si="59"/>
        <v>3335.9552257044706</v>
      </c>
      <c r="U220" s="16">
        <v>-2.1028897176976535E-2</v>
      </c>
      <c r="V220" s="16">
        <v>-1.2871130144091025E-2</v>
      </c>
      <c r="W220" s="56">
        <f t="shared" si="60"/>
        <v>4</v>
      </c>
      <c r="X220" s="56">
        <f t="shared" si="61"/>
        <v>6504.5331589845191</v>
      </c>
      <c r="Y220" s="56">
        <f t="shared" si="61"/>
        <v>671.70561032906141</v>
      </c>
      <c r="AA220" s="56">
        <f t="shared" si="73"/>
        <v>0</v>
      </c>
      <c r="AB220" s="56">
        <v>0</v>
      </c>
      <c r="AC220" s="56">
        <f t="shared" si="62"/>
        <v>3335.9552257044706</v>
      </c>
      <c r="AE220" s="56">
        <v>0</v>
      </c>
      <c r="AF220" s="56">
        <f t="shared" si="63"/>
        <v>0</v>
      </c>
      <c r="AG220" s="56">
        <f>AC220-AE220-AF220</f>
        <v>3335.9552257044706</v>
      </c>
      <c r="AI220" s="56">
        <f t="shared" si="65"/>
        <v>3023.705325311792</v>
      </c>
      <c r="AJ220" s="56">
        <f t="shared" si="66"/>
        <v>312.24990039267851</v>
      </c>
      <c r="AK220" s="56">
        <f t="shared" si="67"/>
        <v>0</v>
      </c>
      <c r="AM220" s="56">
        <f t="shared" si="68"/>
        <v>639799</v>
      </c>
      <c r="AN220" s="56">
        <f t="shared" si="69"/>
        <v>66618</v>
      </c>
      <c r="AO220" s="56">
        <f t="shared" si="70"/>
        <v>121334</v>
      </c>
      <c r="AP220" s="56"/>
      <c r="AQ220" s="56">
        <f t="shared" si="71"/>
        <v>827751</v>
      </c>
      <c r="AR220" s="1"/>
      <c r="AS220" s="56">
        <v>1278.6720831107621</v>
      </c>
      <c r="AT220" s="56">
        <v>133.13959045367804</v>
      </c>
      <c r="AU220" s="56">
        <v>242.4924054775972</v>
      </c>
      <c r="AV220" s="56"/>
      <c r="AW220" s="56">
        <v>1654.3040790420373</v>
      </c>
      <c r="AX220" s="1"/>
      <c r="AY220" s="16">
        <v>-1.6379831785061305E-2</v>
      </c>
      <c r="AZ220" s="16">
        <v>-8.2262381675723972E-3</v>
      </c>
      <c r="BA220" s="16">
        <v>-4.6877711210851158E-2</v>
      </c>
      <c r="BB220" s="16">
        <f t="shared" si="72"/>
        <v>-2.032662673172192E-2</v>
      </c>
      <c r="BC220" s="16"/>
      <c r="BD220" s="1"/>
      <c r="BE220" s="16">
        <f>AM220/'2019-20 disagg'!AM220-1</f>
        <v>4.152259837341199E-2</v>
      </c>
      <c r="BF220" s="16">
        <f>AN220/'2019-20 disagg'!AN220-1</f>
        <v>4.5611501757910622E-2</v>
      </c>
      <c r="BG220" s="16">
        <f>AO220/'2019-20 disagg'!AO220-1</f>
        <v>4.9366059536782414E-2</v>
      </c>
      <c r="BH220" s="16">
        <f>AQ220/'2019-20 disagg'!AQ220-1</f>
        <v>4.2993586431964603E-2</v>
      </c>
      <c r="BI220" s="1"/>
      <c r="BJ220" s="16">
        <f>AS220/'2019-20 disagg'!AS220-1</f>
        <v>3.5302435126087328E-2</v>
      </c>
      <c r="BK220" s="16">
        <f>AT220/'2019-20 disagg'!AT220-1</f>
        <v>3.9366918832516751E-2</v>
      </c>
      <c r="BL220" s="16">
        <f>AU220/'2019-20 disagg'!AU220-1</f>
        <v>4.3099053706362245E-2</v>
      </c>
      <c r="BM220" s="16">
        <f>AW220/'2019-20 disagg'!AW220-1</f>
        <v>3.6764638175199593E-2</v>
      </c>
    </row>
    <row r="221" spans="1:65" x14ac:dyDescent="0.2">
      <c r="A221" s="156"/>
      <c r="B221" s="156"/>
      <c r="D221" s="56"/>
      <c r="E221" s="56"/>
      <c r="F221" s="16"/>
      <c r="G221" s="16"/>
      <c r="H221" s="56"/>
      <c r="I221" s="56"/>
      <c r="J221" s="56"/>
      <c r="K221" s="16"/>
      <c r="L221" s="58"/>
      <c r="M221" s="10"/>
      <c r="N221" s="56"/>
      <c r="O221" s="56"/>
      <c r="P221" s="56"/>
      <c r="R221" s="56"/>
      <c r="S221" s="56"/>
      <c r="U221" s="56"/>
      <c r="V221" s="56"/>
      <c r="W221" s="56"/>
      <c r="X221" s="56"/>
      <c r="Y221" s="56"/>
      <c r="AA221" s="56"/>
      <c r="AB221" s="56"/>
      <c r="AC221" s="56"/>
      <c r="AE221" s="56"/>
      <c r="AF221" s="56"/>
      <c r="AG221" s="56"/>
      <c r="AI221" s="56"/>
      <c r="AJ221" s="56"/>
      <c r="AK221" s="56"/>
      <c r="AM221" s="56"/>
      <c r="AN221" s="56"/>
      <c r="AO221" s="56"/>
      <c r="AP221" s="56"/>
      <c r="AQ221" s="56"/>
      <c r="AR221" s="1"/>
      <c r="AS221" s="56"/>
      <c r="AT221" s="56"/>
      <c r="AU221" s="56"/>
      <c r="AV221" s="56"/>
      <c r="AW221" s="56"/>
      <c r="AX221" s="1"/>
      <c r="AY221" s="56"/>
      <c r="AZ221" s="56"/>
      <c r="BA221" s="56"/>
      <c r="BB221" s="56"/>
      <c r="BC221" s="56"/>
      <c r="BD221" s="1"/>
      <c r="BE221" s="16"/>
      <c r="BF221" s="16"/>
      <c r="BG221" s="16"/>
      <c r="BH221" s="16"/>
      <c r="BI221" s="1"/>
      <c r="BJ221" s="16"/>
      <c r="BK221" s="16"/>
      <c r="BL221" s="16"/>
      <c r="BM221" s="16"/>
    </row>
    <row r="222" spans="1:65" s="43" customFormat="1" x14ac:dyDescent="0.2">
      <c r="A222" s="2"/>
      <c r="B222" s="59" t="s">
        <v>12</v>
      </c>
      <c r="D222" s="24">
        <f>SUM(D12:D220)</f>
        <v>103908742.65587758</v>
      </c>
      <c r="E222" s="61">
        <v>1749.2365693703007</v>
      </c>
      <c r="F222" s="24"/>
      <c r="G222" s="25"/>
      <c r="H222" s="21"/>
      <c r="I222" s="24">
        <f>SUM(I12:I220)</f>
        <v>103908754.0357523</v>
      </c>
      <c r="J222" s="61">
        <v>1749.2367609431412</v>
      </c>
      <c r="K222" s="25">
        <f t="shared" ref="K222:L222" si="74">D222/I222-1</f>
        <v>-1.0951795959002197E-7</v>
      </c>
      <c r="L222" s="62">
        <f t="shared" si="74"/>
        <v>-1.0951795936797737E-7</v>
      </c>
      <c r="M222" s="63"/>
      <c r="N222" s="24">
        <f t="shared" ref="N222:P222" si="75">SUM(N12:N220)</f>
        <v>77946799</v>
      </c>
      <c r="O222" s="24">
        <f t="shared" si="75"/>
        <v>8319600</v>
      </c>
      <c r="P222" s="24">
        <f t="shared" si="75"/>
        <v>17431645</v>
      </c>
      <c r="R222" s="24">
        <f t="shared" ref="R222:S222" si="76">SUM(R12:R220)</f>
        <v>17431645</v>
      </c>
      <c r="S222" s="24">
        <f t="shared" si="76"/>
        <v>210698.65587758715</v>
      </c>
      <c r="U222" s="24"/>
      <c r="V222" s="24"/>
      <c r="W222" s="24"/>
      <c r="X222" s="24"/>
      <c r="Y222" s="24"/>
      <c r="AA222" s="24"/>
      <c r="AB222" s="24"/>
      <c r="AC222" s="24"/>
      <c r="AE222" s="24"/>
      <c r="AF222" s="24"/>
      <c r="AG222" s="24"/>
      <c r="AI222" s="24"/>
      <c r="AJ222" s="24"/>
      <c r="AK222" s="24"/>
      <c r="AM222" s="24">
        <f>SUM(AM12:AM220)</f>
        <v>78139836</v>
      </c>
      <c r="AN222" s="24">
        <f>SUM(AN12:AN220)</f>
        <v>8337266</v>
      </c>
      <c r="AO222" s="24">
        <f>SUM(AO12:AO220)</f>
        <v>17431645</v>
      </c>
      <c r="AP222" s="24"/>
      <c r="AQ222" s="24">
        <f>SUM(AQ12:AQ220)</f>
        <v>103908747</v>
      </c>
      <c r="AS222" s="61">
        <v>1315.4336696043772</v>
      </c>
      <c r="AT222" s="61">
        <v>140.35248818346389</v>
      </c>
      <c r="AU222" s="61">
        <v>293.45048471295479</v>
      </c>
      <c r="AV222" s="61"/>
      <c r="AW222" s="61">
        <v>1749.2366425007958</v>
      </c>
      <c r="AY222" s="25">
        <v>8.7183375327648527E-4</v>
      </c>
      <c r="AZ222" s="25">
        <v>-7.9171327256715163E-3</v>
      </c>
      <c r="BA222" s="25">
        <v>-8.8259287163161559E-5</v>
      </c>
      <c r="BB222" s="25">
        <f t="shared" si="72"/>
        <v>-6.7710871576309728E-8</v>
      </c>
      <c r="BC222" s="25"/>
      <c r="BE222" s="25">
        <f>AM222/'2019-20 disagg'!AM222-1</f>
        <v>3.8508201500837558E-2</v>
      </c>
      <c r="BF222" s="25">
        <f>AN222/'2019-20 disagg'!AN222-1</f>
        <v>4.2193163470976236E-2</v>
      </c>
      <c r="BG222" s="25">
        <f>AO222/'2019-20 disagg'!AO222-1</f>
        <v>5.0331055039022576E-2</v>
      </c>
      <c r="BH222" s="25">
        <f>AQ222/'2019-20 disagg'!AQ222-1</f>
        <v>4.0768800774587222E-2</v>
      </c>
      <c r="BJ222" s="25">
        <f>AS222/'2019-20 disagg'!AS222-1</f>
        <v>3.1453818199377537E-2</v>
      </c>
      <c r="BK222" s="25">
        <f>AT222/'2019-20 disagg'!AT222-1</f>
        <v>3.5113748942848133E-2</v>
      </c>
      <c r="BL222" s="25">
        <f>AU222/'2019-20 disagg'!AU222-1</f>
        <v>4.3196361403513572E-2</v>
      </c>
      <c r="BM222" s="25">
        <f>AW222/'2019-20 disagg'!AW222-1</f>
        <v>3.36990616639532E-2</v>
      </c>
    </row>
    <row r="223" spans="1:65" x14ac:dyDescent="0.2">
      <c r="D223" s="3"/>
      <c r="E223" s="3"/>
      <c r="F223" s="3"/>
      <c r="G223" s="3"/>
      <c r="H223" s="3"/>
      <c r="I223" s="3"/>
      <c r="J223" s="3"/>
      <c r="K223" s="3"/>
      <c r="L223" s="4"/>
      <c r="N223" s="3"/>
      <c r="O223" s="3"/>
      <c r="P223" s="3"/>
      <c r="R223" s="3"/>
      <c r="S223" s="3"/>
      <c r="U223" s="3"/>
      <c r="V223" s="3"/>
      <c r="W223" s="3"/>
      <c r="X223" s="3"/>
      <c r="Y223" s="3"/>
      <c r="AA223" s="3"/>
      <c r="AB223" s="3"/>
      <c r="AC223" s="3"/>
      <c r="AE223" s="3"/>
      <c r="AF223" s="3"/>
      <c r="AG223" s="3"/>
      <c r="AI223" s="3"/>
      <c r="AJ223" s="3"/>
      <c r="AK223" s="3"/>
      <c r="AM223" s="3"/>
      <c r="AN223" s="3"/>
      <c r="AO223" s="3"/>
      <c r="AP223" s="3"/>
      <c r="AQ223" s="3"/>
      <c r="AR223" s="1"/>
      <c r="AS223" s="3"/>
      <c r="AT223" s="3"/>
      <c r="AU223" s="3"/>
      <c r="AV223" s="3"/>
      <c r="AW223" s="3"/>
      <c r="AX223" s="1"/>
      <c r="AY223" s="3"/>
      <c r="AZ223" s="3"/>
      <c r="BA223" s="3"/>
      <c r="BB223" s="3"/>
      <c r="BC223" s="3"/>
      <c r="BD223" s="1"/>
      <c r="BE223" s="16"/>
      <c r="BF223" s="16"/>
      <c r="BG223" s="16"/>
      <c r="BH223" s="16"/>
      <c r="BI223" s="1"/>
      <c r="BJ223" s="16"/>
      <c r="BK223" s="16"/>
      <c r="BL223" s="16"/>
      <c r="BM223" s="16"/>
    </row>
    <row r="224" spans="1:65" x14ac:dyDescent="0.2">
      <c r="AQ224" s="64"/>
      <c r="AR224" s="1"/>
      <c r="AV224" s="64"/>
      <c r="AX224" s="1"/>
      <c r="BA224" s="64"/>
      <c r="BD224" s="1"/>
      <c r="BE224" s="178"/>
      <c r="BF224" s="178"/>
      <c r="BG224" s="178"/>
      <c r="BH224" s="178"/>
      <c r="BI224" s="1"/>
      <c r="BL224" s="178"/>
      <c r="BM224" s="178"/>
    </row>
    <row r="225" spans="2:65" x14ac:dyDescent="0.2">
      <c r="B225" s="43" t="s">
        <v>513</v>
      </c>
      <c r="D225" s="1"/>
      <c r="AQ225" s="64"/>
      <c r="AR225" s="1"/>
      <c r="AV225" s="64"/>
      <c r="AX225" s="1"/>
      <c r="BA225" s="64"/>
      <c r="BD225" s="1"/>
      <c r="BE225" s="178"/>
      <c r="BF225" s="178"/>
      <c r="BG225" s="178"/>
      <c r="BH225" s="178"/>
      <c r="BI225" s="1"/>
      <c r="BL225" s="178"/>
      <c r="BM225" s="178"/>
    </row>
    <row r="226" spans="2:65" x14ac:dyDescent="0.2">
      <c r="D226" s="1"/>
      <c r="AQ226" s="64"/>
      <c r="AR226" s="1"/>
      <c r="AV226" s="64"/>
      <c r="AX226" s="1"/>
      <c r="BA226" s="64"/>
      <c r="BD226" s="1"/>
      <c r="BE226" s="178"/>
      <c r="BF226" s="178"/>
      <c r="BG226" s="178"/>
      <c r="BH226" s="178"/>
      <c r="BI226" s="1"/>
      <c r="BL226" s="178"/>
      <c r="BM226" s="178"/>
    </row>
    <row r="227" spans="2:65" x14ac:dyDescent="0.2">
      <c r="B227" s="1" t="s">
        <v>514</v>
      </c>
      <c r="D227" s="55">
        <v>30722896.550264429</v>
      </c>
      <c r="E227" s="166">
        <v>1879.389924821538</v>
      </c>
      <c r="F227" s="171">
        <f>VLOOKUP(B227,'2020-21'!$B$12:$AMX435,33,FALSE)</f>
        <v>3.7638354788483541E-2</v>
      </c>
      <c r="G227" s="171">
        <f>VLOOKUP(B227,'2020-21'!$B$12:$AMX435,34,FALSE)</f>
        <v>3.3615356999596502E-2</v>
      </c>
      <c r="I227" s="175">
        <v>30157987.496518735</v>
      </c>
      <c r="J227" s="175">
        <v>1844.8331445936988</v>
      </c>
      <c r="K227" s="171">
        <f t="shared" ref="K227:L230" si="77">D227/I227-1</f>
        <v>1.8731656209185266E-2</v>
      </c>
      <c r="L227" s="170">
        <f t="shared" si="77"/>
        <v>1.8731656209185266E-2</v>
      </c>
      <c r="N227" s="55">
        <v>23440161</v>
      </c>
      <c r="O227" s="55">
        <v>2374100</v>
      </c>
      <c r="P227" s="55">
        <v>4901036</v>
      </c>
      <c r="R227" s="55">
        <v>4901036</v>
      </c>
      <c r="S227" s="55">
        <v>7599.5502644313965</v>
      </c>
      <c r="U227" s="171">
        <v>1.7070470452808184E-2</v>
      </c>
      <c r="V227" s="171">
        <v>-4.7070096525895222E-3</v>
      </c>
      <c r="AA227" s="55">
        <v>822.33831637119874</v>
      </c>
      <c r="AB227" s="55">
        <v>0</v>
      </c>
      <c r="AC227" s="55">
        <v>6777.2119480601978</v>
      </c>
      <c r="AE227" s="55">
        <v>0</v>
      </c>
      <c r="AF227" s="55">
        <v>0</v>
      </c>
      <c r="AG227" s="55">
        <v>6777.2119480601978</v>
      </c>
      <c r="AI227" s="55">
        <v>6122.2914620273386</v>
      </c>
      <c r="AJ227" s="55">
        <v>654.92048603285923</v>
      </c>
      <c r="AK227" s="55">
        <v>0</v>
      </c>
      <c r="AM227" s="55">
        <v>23447106</v>
      </c>
      <c r="AN227" s="55">
        <v>2374756</v>
      </c>
      <c r="AO227" s="55">
        <v>4901036</v>
      </c>
      <c r="AP227" s="55"/>
      <c r="AQ227" s="55">
        <v>30722898</v>
      </c>
      <c r="AR227" s="1"/>
      <c r="AS227" s="175">
        <v>1434.3131582833571</v>
      </c>
      <c r="AT227" s="175">
        <v>145.26926173798813</v>
      </c>
      <c r="AU227" s="175">
        <v>299.80759348383685</v>
      </c>
      <c r="AV227" s="175"/>
      <c r="AW227" s="175">
        <v>1879.3900135051822</v>
      </c>
      <c r="AX227" s="1"/>
      <c r="AY227" s="171">
        <v>1.7371814561208065E-2</v>
      </c>
      <c r="AZ227" s="171">
        <v>-4.4319950358220339E-3</v>
      </c>
      <c r="BA227" s="171">
        <v>3.7054927965724405E-2</v>
      </c>
      <c r="BB227" s="171">
        <f t="shared" ref="BB227:BB232" si="78">SUM(AM227:AO227)/I227-1</f>
        <v>1.8731704280548378E-2</v>
      </c>
      <c r="BC227" s="171"/>
      <c r="BD227" s="1"/>
      <c r="BE227" s="179">
        <f>AM227/'2019-20 disagg'!AM227-1</f>
        <v>3.5769925383113188E-2</v>
      </c>
      <c r="BF227" s="179">
        <f>AN227/'2019-20 disagg'!AN227-1</f>
        <v>3.6609384657827038E-2</v>
      </c>
      <c r="BG227" s="179">
        <f>AO227/'2019-20 disagg'!AO227-1</f>
        <v>4.7179569358310802E-2</v>
      </c>
      <c r="BH227" s="179">
        <f>AQ227/'2019-20 disagg'!AQ227-1</f>
        <v>3.7638403752005889E-2</v>
      </c>
      <c r="BI227" s="1"/>
      <c r="BJ227" s="179">
        <f>AS227/'2019-20 disagg'!AS227-1</f>
        <v>3.1754171628076477E-2</v>
      </c>
      <c r="BK227" s="179">
        <f>AT227/'2019-20 disagg'!AT227-1</f>
        <v>3.2590376259406639E-2</v>
      </c>
      <c r="BL227" s="179">
        <f>AU227/'2019-20 disagg'!AU227-1</f>
        <v>4.3119579601132774E-2</v>
      </c>
      <c r="BM227" s="179">
        <f>AW227/'2019-20 disagg'!AW227-1</f>
        <v>3.3615405773283813E-2</v>
      </c>
    </row>
    <row r="228" spans="2:65" x14ac:dyDescent="0.2">
      <c r="B228" s="1" t="s">
        <v>515</v>
      </c>
      <c r="D228" s="55">
        <v>30439079.568163741</v>
      </c>
      <c r="E228" s="166">
        <v>1696.986460547922</v>
      </c>
      <c r="F228" s="171">
        <f>VLOOKUP(B228,'2020-21'!$B$12:$AMX436,33,FALSE)</f>
        <v>4.2120382243914012E-2</v>
      </c>
      <c r="G228" s="171">
        <f>VLOOKUP(B228,'2020-21'!$B$12:$AMX436,34,FALSE)</f>
        <v>3.5042705709852573E-2</v>
      </c>
      <c r="I228" s="175">
        <v>30842089.354806863</v>
      </c>
      <c r="J228" s="175">
        <v>1719.4543590883554</v>
      </c>
      <c r="K228" s="171">
        <f t="shared" si="77"/>
        <v>-1.3066876955283524E-2</v>
      </c>
      <c r="L228" s="170">
        <f t="shared" si="77"/>
        <v>-1.3066876955283524E-2</v>
      </c>
      <c r="N228" s="55">
        <v>22993454</v>
      </c>
      <c r="O228" s="55">
        <v>2492769</v>
      </c>
      <c r="P228" s="55">
        <v>4857952</v>
      </c>
      <c r="R228" s="55">
        <v>4857952</v>
      </c>
      <c r="S228" s="55">
        <v>94904.568163735908</v>
      </c>
      <c r="U228" s="171">
        <v>-1.1050749250812286E-2</v>
      </c>
      <c r="V228" s="171">
        <v>5.3998952193268224E-4</v>
      </c>
      <c r="AA228" s="55">
        <v>36647.956240911815</v>
      </c>
      <c r="AB228" s="55">
        <v>0</v>
      </c>
      <c r="AC228" s="55">
        <v>58256.611922824093</v>
      </c>
      <c r="AE228" s="55">
        <v>0</v>
      </c>
      <c r="AF228" s="55">
        <v>314.31843760513379</v>
      </c>
      <c r="AG228" s="55">
        <v>57942.293485218957</v>
      </c>
      <c r="AI228" s="55">
        <v>52357.54475201411</v>
      </c>
      <c r="AJ228" s="55">
        <v>5584.7487332048477</v>
      </c>
      <c r="AK228" s="55">
        <v>0</v>
      </c>
      <c r="AM228" s="55">
        <v>23082459</v>
      </c>
      <c r="AN228" s="55">
        <v>2498669</v>
      </c>
      <c r="AO228" s="55">
        <v>4857952</v>
      </c>
      <c r="AP228" s="55"/>
      <c r="AQ228" s="55">
        <v>30439080</v>
      </c>
      <c r="AR228" s="1"/>
      <c r="AS228" s="175">
        <v>1286.8529848754399</v>
      </c>
      <c r="AT228" s="175">
        <v>139.30143494961825</v>
      </c>
      <c r="AU228" s="175">
        <v>270.83206479784553</v>
      </c>
      <c r="AV228" s="175"/>
      <c r="AW228" s="175">
        <v>1696.9864846229036</v>
      </c>
      <c r="AX228" s="1"/>
      <c r="AY228" s="171">
        <v>-7.2226411265203794E-3</v>
      </c>
      <c r="AZ228" s="171">
        <v>2.9081134588797575E-3</v>
      </c>
      <c r="BA228" s="171">
        <v>-4.7512216341601965E-2</v>
      </c>
      <c r="BB228" s="171">
        <f t="shared" si="78"/>
        <v>-1.3066862953759362E-2</v>
      </c>
      <c r="BC228" s="171"/>
      <c r="BD228" s="1"/>
      <c r="BE228" s="179">
        <f>AM228/'2019-20 disagg'!AM228-1</f>
        <v>4.0514199071534751E-2</v>
      </c>
      <c r="BF228" s="179">
        <f>AN228/'2019-20 disagg'!AN228-1</f>
        <v>4.1497437385165759E-2</v>
      </c>
      <c r="BG228" s="179">
        <f>AO228/'2019-20 disagg'!AO228-1</f>
        <v>5.0145936707870264E-2</v>
      </c>
      <c r="BH228" s="179">
        <f>AQ228/'2019-20 disagg'!AQ228-1</f>
        <v>4.2120397028374335E-2</v>
      </c>
      <c r="BI228" s="1"/>
      <c r="BJ228" s="179">
        <f>AS228/'2019-20 disagg'!AS228-1</f>
        <v>3.3447431109210335E-2</v>
      </c>
      <c r="BK228" s="179">
        <f>AT228/'2019-20 disagg'!AT228-1</f>
        <v>3.4423991650428309E-2</v>
      </c>
      <c r="BL228" s="179">
        <f>AU228/'2019-20 disagg'!AU228-1</f>
        <v>4.301375372765337E-2</v>
      </c>
      <c r="BM228" s="179">
        <f>AW228/'2019-20 disagg'!AW228-1</f>
        <v>3.5042720393902549E-2</v>
      </c>
    </row>
    <row r="229" spans="2:65" x14ac:dyDescent="0.2">
      <c r="B229" s="1" t="s">
        <v>516</v>
      </c>
      <c r="D229" s="55">
        <v>17247340.503598288</v>
      </c>
      <c r="E229" s="166">
        <v>1731.1454537845332</v>
      </c>
      <c r="F229" s="171">
        <f>VLOOKUP(B229,'2020-21'!$B$12:$AMX437,33,FALSE)</f>
        <v>4.3535986009396677E-2</v>
      </c>
      <c r="G229" s="171">
        <f>VLOOKUP(B229,'2020-21'!$B$12:$AMX437,34,FALSE)</f>
        <v>3.1843069683084479E-2</v>
      </c>
      <c r="I229" s="175">
        <v>17224111.340225853</v>
      </c>
      <c r="J229" s="175">
        <v>1728.8139024036684</v>
      </c>
      <c r="K229" s="171">
        <f t="shared" si="77"/>
        <v>1.3486421977650931E-3</v>
      </c>
      <c r="L229" s="170">
        <f t="shared" si="77"/>
        <v>1.3486421977653151E-3</v>
      </c>
      <c r="N229" s="55">
        <v>12346068</v>
      </c>
      <c r="O229" s="55">
        <v>1387029</v>
      </c>
      <c r="P229" s="55">
        <v>3449212</v>
      </c>
      <c r="R229" s="55">
        <v>3449212</v>
      </c>
      <c r="S229" s="55">
        <v>65031.503598285199</v>
      </c>
      <c r="U229" s="171">
        <v>1.9865899573459078E-3</v>
      </c>
      <c r="V229" s="171">
        <v>-3.7011800953791196E-2</v>
      </c>
      <c r="AA229" s="55">
        <v>1642.3256485750317</v>
      </c>
      <c r="AB229" s="55">
        <v>0</v>
      </c>
      <c r="AC229" s="55">
        <v>63389.177949710167</v>
      </c>
      <c r="AE229" s="55">
        <v>0</v>
      </c>
      <c r="AF229" s="55">
        <v>1861.8660535718677</v>
      </c>
      <c r="AG229" s="55">
        <v>61527.311896138301</v>
      </c>
      <c r="AI229" s="55">
        <v>55395.865956099449</v>
      </c>
      <c r="AJ229" s="55">
        <v>6131.4459400388432</v>
      </c>
      <c r="AK229" s="55">
        <v>0</v>
      </c>
      <c r="AM229" s="55">
        <v>12403107</v>
      </c>
      <c r="AN229" s="55">
        <v>1395023</v>
      </c>
      <c r="AO229" s="55">
        <v>3449212</v>
      </c>
      <c r="AP229" s="55"/>
      <c r="AQ229" s="55">
        <v>17247342</v>
      </c>
      <c r="AR229" s="1"/>
      <c r="AS229" s="175">
        <v>1244.9213425903856</v>
      </c>
      <c r="AT229" s="175">
        <v>140.02087590669561</v>
      </c>
      <c r="AU229" s="175">
        <v>346.20338548388474</v>
      </c>
      <c r="AV229" s="175"/>
      <c r="AW229" s="175">
        <v>1731.1456039809659</v>
      </c>
      <c r="AX229" s="1"/>
      <c r="AY229" s="171">
        <v>6.6157814622507249E-3</v>
      </c>
      <c r="AZ229" s="171">
        <v>-3.1461716807623108E-2</v>
      </c>
      <c r="BA229" s="171">
        <v>-3.7464124389128273E-3</v>
      </c>
      <c r="BB229" s="171">
        <f t="shared" si="78"/>
        <v>1.348729076076749E-3</v>
      </c>
      <c r="BC229" s="171"/>
      <c r="BD229" s="1"/>
      <c r="BE229" s="179">
        <f>AM229/'2019-20 disagg'!AM229-1</f>
        <v>3.945773676561215E-2</v>
      </c>
      <c r="BF229" s="179">
        <f>AN229/'2019-20 disagg'!AN229-1</f>
        <v>5.2229709649730172E-2</v>
      </c>
      <c r="BG229" s="179">
        <f>AO229/'2019-20 disagg'!AO229-1</f>
        <v>5.489425251007507E-2</v>
      </c>
      <c r="BH229" s="179">
        <f>AQ229/'2019-20 disagg'!AQ229-1</f>
        <v>4.3536076547937119E-2</v>
      </c>
      <c r="BI229" s="1"/>
      <c r="BJ229" s="179">
        <f>AS229/'2019-20 disagg'!AS229-1</f>
        <v>2.7810517595703521E-2</v>
      </c>
      <c r="BK229" s="179">
        <f>AT229/'2019-20 disagg'!AT229-1</f>
        <v>4.0439379353556459E-2</v>
      </c>
      <c r="BL229" s="179">
        <f>AU229/'2019-20 disagg'!AU229-1</f>
        <v>4.3074065767040093E-2</v>
      </c>
      <c r="BM229" s="179">
        <f>AW229/'2019-20 disagg'!AW229-1</f>
        <v>3.184315920713221E-2</v>
      </c>
    </row>
    <row r="230" spans="2:65" x14ac:dyDescent="0.2">
      <c r="B230" s="1" t="s">
        <v>517</v>
      </c>
      <c r="D230" s="55">
        <v>25499426.033851136</v>
      </c>
      <c r="E230" s="166">
        <v>1682.5789673024085</v>
      </c>
      <c r="F230" s="171">
        <f>VLOOKUP(B230,'2020-21'!$B$12:$AMX438,33,FALSE)</f>
        <v>4.1073776796561656E-2</v>
      </c>
      <c r="G230" s="171">
        <f>VLOOKUP(B230,'2020-21'!$B$12:$AMX438,34,FALSE)</f>
        <v>3.3745991746851445E-2</v>
      </c>
      <c r="I230" s="175">
        <v>25684565.844200812</v>
      </c>
      <c r="J230" s="175">
        <v>1694.7954128997008</v>
      </c>
      <c r="K230" s="171">
        <f t="shared" si="77"/>
        <v>-7.2082125690856591E-3</v>
      </c>
      <c r="L230" s="170">
        <f t="shared" si="77"/>
        <v>-7.2082125690856591E-3</v>
      </c>
      <c r="N230" s="55">
        <v>19167116</v>
      </c>
      <c r="O230" s="55">
        <v>2065702</v>
      </c>
      <c r="P230" s="55">
        <v>4223445</v>
      </c>
      <c r="R230" s="55">
        <v>4223445</v>
      </c>
      <c r="S230" s="55">
        <v>43163.033851134649</v>
      </c>
      <c r="U230" s="171">
        <v>-1.4698665105963737E-2</v>
      </c>
      <c r="V230" s="171">
        <v>-1.0067550627914312E-2</v>
      </c>
      <c r="AA230" s="55">
        <v>10659.461979620042</v>
      </c>
      <c r="AB230" s="55">
        <v>0</v>
      </c>
      <c r="AC230" s="55">
        <v>32503.571871514607</v>
      </c>
      <c r="AE230" s="55">
        <v>0</v>
      </c>
      <c r="AF230" s="55">
        <v>0</v>
      </c>
      <c r="AG230" s="55">
        <v>32503.571871514607</v>
      </c>
      <c r="AI230" s="55">
        <v>29388.440369376691</v>
      </c>
      <c r="AJ230" s="55">
        <v>3115.1315021379146</v>
      </c>
      <c r="AK230" s="55">
        <v>0</v>
      </c>
      <c r="AM230" s="55">
        <v>19207164</v>
      </c>
      <c r="AN230" s="55">
        <v>2068818</v>
      </c>
      <c r="AO230" s="55">
        <v>4223445</v>
      </c>
      <c r="AP230" s="55"/>
      <c r="AQ230" s="55">
        <v>25499427</v>
      </c>
      <c r="AR230" s="1"/>
      <c r="AS230" s="175">
        <v>1267.3842197477543</v>
      </c>
      <c r="AT230" s="175">
        <v>136.51090222013565</v>
      </c>
      <c r="AU230" s="175">
        <v>278.6839090858262</v>
      </c>
      <c r="AV230" s="175"/>
      <c r="AW230" s="175">
        <v>1682.5790310537163</v>
      </c>
      <c r="AX230" s="1"/>
      <c r="AY230" s="171">
        <v>-1.2639964785068458E-2</v>
      </c>
      <c r="AZ230" s="171">
        <v>-8.5742909456157923E-3</v>
      </c>
      <c r="BA230" s="171">
        <v>1.897292219389124E-2</v>
      </c>
      <c r="BB230" s="171">
        <f t="shared" si="78"/>
        <v>-7.2081749531544004E-3</v>
      </c>
      <c r="BC230" s="171"/>
      <c r="BD230" s="1"/>
      <c r="BE230" s="179">
        <f>AM230/'2019-20 disagg'!AM230-1</f>
        <v>3.8841198141946753E-2</v>
      </c>
      <c r="BF230" s="179">
        <f>AN230/'2019-20 disagg'!AN230-1</f>
        <v>4.277518531175617E-2</v>
      </c>
      <c r="BG230" s="179">
        <f>AO230/'2019-20 disagg'!AO230-1</f>
        <v>5.0501590883313296E-2</v>
      </c>
      <c r="BH230" s="179">
        <f>AQ230/'2019-20 disagg'!AQ230-1</f>
        <v>4.1073816241851357E-2</v>
      </c>
      <c r="BI230" s="1"/>
      <c r="BJ230" s="179">
        <f>AS230/'2019-20 disagg'!AS230-1</f>
        <v>3.1529127498700404E-2</v>
      </c>
      <c r="BK230" s="179">
        <f>AT230/'2019-20 disagg'!AT230-1</f>
        <v>3.543542459215665E-2</v>
      </c>
      <c r="BL230" s="179">
        <f>AU230/'2019-20 disagg'!AU230-1</f>
        <v>4.3107446468247712E-2</v>
      </c>
      <c r="BM230" s="179">
        <f>AW230/'2019-20 disagg'!AW230-1</f>
        <v>3.3746030914498348E-2</v>
      </c>
    </row>
    <row r="231" spans="2:65" ht="15" x14ac:dyDescent="0.25">
      <c r="B231"/>
      <c r="D231" s="1"/>
      <c r="N231" s="1"/>
      <c r="O231" s="1"/>
      <c r="P231" s="1"/>
      <c r="R231" s="1"/>
      <c r="S231" s="1"/>
      <c r="AA231" s="1"/>
      <c r="AB231" s="1"/>
      <c r="AC231" s="1"/>
      <c r="AE231" s="1"/>
      <c r="AF231" s="1"/>
      <c r="AG231" s="1"/>
      <c r="AI231" s="1"/>
      <c r="AJ231" s="1"/>
      <c r="AK231" s="1"/>
      <c r="AM231" s="1"/>
      <c r="AN231" s="1"/>
      <c r="AO231" s="1"/>
      <c r="AP231" s="1"/>
      <c r="AR231" s="1"/>
      <c r="AV231" s="64"/>
      <c r="AX231" s="1"/>
      <c r="BA231" s="64"/>
      <c r="BD231" s="1"/>
      <c r="BE231" s="179"/>
      <c r="BF231" s="179"/>
      <c r="BG231" s="179"/>
      <c r="BH231" s="179"/>
      <c r="BI231" s="1"/>
      <c r="BJ231" s="179"/>
      <c r="BK231" s="179"/>
    </row>
    <row r="232" spans="2:65" x14ac:dyDescent="0.2">
      <c r="B232" s="1" t="s">
        <v>12</v>
      </c>
      <c r="D232" s="172">
        <f>SUM(D227:D230)</f>
        <v>103908742.65587759</v>
      </c>
      <c r="E232" s="166">
        <v>1749.2365693703009</v>
      </c>
      <c r="F232" s="171">
        <f>VLOOKUP(B232,'2020-21'!$B$12:$AMX440,33,FALSE)</f>
        <v>4.0768757263071498E-2</v>
      </c>
      <c r="G232" s="171">
        <f>VLOOKUP(B232,'2020-21'!$B$12:$AMX440,34,FALSE)</f>
        <v>3.3699018448002604E-2</v>
      </c>
      <c r="I232" s="175">
        <f>SUM(I227:I230)</f>
        <v>103908754.03575227</v>
      </c>
      <c r="J232" s="175">
        <v>1749.236760943141</v>
      </c>
      <c r="K232" s="171">
        <f t="shared" ref="K232:L232" si="79">D232/I232-1</f>
        <v>-1.0951795914593276E-7</v>
      </c>
      <c r="L232" s="170">
        <f t="shared" si="79"/>
        <v>-1.0951795914593276E-7</v>
      </c>
      <c r="N232" s="172">
        <f>SUM(N227:N230)</f>
        <v>77946799</v>
      </c>
      <c r="O232" s="172">
        <f>SUM(O227:O230)</f>
        <v>8319600</v>
      </c>
      <c r="P232" s="172">
        <f>SUM(P227:P230)</f>
        <v>17431645</v>
      </c>
      <c r="R232" s="172">
        <f>SUM(R227:R230)</f>
        <v>17431645</v>
      </c>
      <c r="S232" s="172">
        <f>SUM(S227:S230)</f>
        <v>210698.65587758715</v>
      </c>
      <c r="U232" s="171">
        <v>-1.6007244969382661E-3</v>
      </c>
      <c r="V232" s="171">
        <v>-1.0019276993740722E-2</v>
      </c>
      <c r="AA232" s="172">
        <f>SUM(AA227:AA230)</f>
        <v>49772.082185478088</v>
      </c>
      <c r="AB232" s="172">
        <f>SUM(AB227:AB230)</f>
        <v>0</v>
      </c>
      <c r="AC232" s="172">
        <f>SUM(AC227:AC230)</f>
        <v>160926.57369210906</v>
      </c>
      <c r="AE232" s="172">
        <f>SUM(AE227:AE230)</f>
        <v>0</v>
      </c>
      <c r="AF232" s="172">
        <f>SUM(AF227:AF230)</f>
        <v>2176.1844911770013</v>
      </c>
      <c r="AG232" s="172">
        <f>SUM(AG227:AG230)</f>
        <v>158750.38920093206</v>
      </c>
      <c r="AI232" s="172">
        <f>SUM(AI227:AI230)</f>
        <v>143264.14253951758</v>
      </c>
      <c r="AJ232" s="172">
        <f>SUM(AJ227:AJ230)</f>
        <v>15486.246661414463</v>
      </c>
      <c r="AK232" s="172">
        <f>SUM(AK227:AK230)</f>
        <v>0</v>
      </c>
      <c r="AM232" s="172">
        <f>SUM(AM227:AM230)</f>
        <v>78139836</v>
      </c>
      <c r="AN232" s="172">
        <f>SUM(AN227:AN230)</f>
        <v>8337266</v>
      </c>
      <c r="AO232" s="172">
        <f>SUM(AO227:AO230)</f>
        <v>17431645</v>
      </c>
      <c r="AP232" s="172"/>
      <c r="AQ232" s="172">
        <f>SUM(AQ227:AQ230)</f>
        <v>103908747</v>
      </c>
      <c r="AR232" s="1"/>
      <c r="AS232" s="175">
        <v>1315.4336696043772</v>
      </c>
      <c r="AT232" s="175">
        <v>140.35248818346389</v>
      </c>
      <c r="AU232" s="175">
        <v>293.45048471295479</v>
      </c>
      <c r="AV232" s="175"/>
      <c r="AW232" s="175">
        <v>1749.2366425007958</v>
      </c>
      <c r="AX232" s="1"/>
      <c r="AY232" s="171">
        <v>8.7183375327648527E-4</v>
      </c>
      <c r="AZ232" s="171">
        <v>-7.9171327256715163E-3</v>
      </c>
      <c r="BA232" s="171">
        <v>-8.8259287163161559E-5</v>
      </c>
      <c r="BB232" s="171">
        <f t="shared" si="78"/>
        <v>-6.7710871243242821E-8</v>
      </c>
      <c r="BC232" s="171"/>
      <c r="BD232" s="1"/>
      <c r="BE232" s="179">
        <f>AM232/'2019-20 disagg'!AM232-1</f>
        <v>3.8508201500837558E-2</v>
      </c>
      <c r="BF232" s="179">
        <f>AN232/'2019-20 disagg'!AN232-1</f>
        <v>4.2193163470976236E-2</v>
      </c>
      <c r="BG232" s="179">
        <f>AO232/'2019-20 disagg'!AO232-1</f>
        <v>5.0331055039022576E-2</v>
      </c>
      <c r="BH232" s="179">
        <f>AQ232/'2019-20 disagg'!AQ232-1</f>
        <v>4.0768800774587222E-2</v>
      </c>
      <c r="BI232" s="1"/>
      <c r="BJ232" s="179">
        <f>AS232/'2019-20 disagg'!AS232-1</f>
        <v>3.1453818199377537E-2</v>
      </c>
      <c r="BK232" s="179">
        <f>AT232/'2019-20 disagg'!AT232-1</f>
        <v>3.5113748942848133E-2</v>
      </c>
      <c r="BL232" s="179">
        <f>AU232/'2019-20 disagg'!AU232-1</f>
        <v>4.3196361403513572E-2</v>
      </c>
      <c r="BM232" s="179">
        <f>AW232/'2019-20 disagg'!AW232-1</f>
        <v>3.36990616639532E-2</v>
      </c>
    </row>
    <row r="233" spans="2:65" ht="15" x14ac:dyDescent="0.25">
      <c r="B233"/>
      <c r="D233" s="1"/>
      <c r="N233" s="1"/>
      <c r="O233" s="1"/>
      <c r="P233" s="1"/>
      <c r="R233" s="1"/>
      <c r="S233" s="1"/>
      <c r="AA233" s="1"/>
      <c r="AB233" s="1"/>
      <c r="AC233" s="1"/>
      <c r="AE233" s="1"/>
      <c r="AF233" s="1"/>
      <c r="AG233" s="1"/>
      <c r="AI233" s="1"/>
      <c r="AJ233" s="1"/>
      <c r="AK233" s="1"/>
      <c r="AM233" s="1"/>
      <c r="AN233" s="1"/>
      <c r="AO233" s="1"/>
      <c r="AP233" s="1"/>
      <c r="AR233" s="1"/>
      <c r="AV233" s="64"/>
      <c r="AX233" s="1"/>
      <c r="BA233" s="64"/>
      <c r="BD233" s="1"/>
      <c r="BE233" s="179"/>
      <c r="BF233" s="179"/>
      <c r="BG233" s="179"/>
      <c r="BH233" s="179"/>
      <c r="BI233" s="1"/>
      <c r="BJ233" s="179"/>
      <c r="BK233" s="179"/>
    </row>
    <row r="234" spans="2:65" x14ac:dyDescent="0.2">
      <c r="B234" s="43" t="s">
        <v>518</v>
      </c>
      <c r="D234" s="1"/>
      <c r="N234" s="1"/>
      <c r="O234" s="1"/>
      <c r="P234" s="1"/>
      <c r="R234" s="1"/>
      <c r="S234" s="1"/>
      <c r="AA234" s="1"/>
      <c r="AB234" s="1"/>
      <c r="AC234" s="1"/>
      <c r="AE234" s="1"/>
      <c r="AF234" s="1"/>
      <c r="AG234" s="1"/>
      <c r="AI234" s="1"/>
      <c r="AJ234" s="1"/>
      <c r="AK234" s="1"/>
      <c r="AM234" s="1"/>
      <c r="AN234" s="1"/>
      <c r="AO234" s="1"/>
      <c r="AP234" s="1"/>
      <c r="AR234" s="1"/>
      <c r="AV234" s="64"/>
      <c r="AX234" s="1"/>
      <c r="BA234" s="64"/>
      <c r="BD234" s="1"/>
      <c r="BE234" s="179"/>
      <c r="BF234" s="179"/>
      <c r="BG234" s="179"/>
      <c r="BH234" s="179"/>
      <c r="BI234" s="1"/>
      <c r="BJ234" s="179"/>
      <c r="BK234" s="179"/>
    </row>
    <row r="235" spans="2:65" x14ac:dyDescent="0.2">
      <c r="D235" s="1"/>
      <c r="N235" s="1"/>
      <c r="O235" s="1"/>
      <c r="P235" s="1"/>
      <c r="R235" s="1"/>
      <c r="S235" s="1"/>
      <c r="AA235" s="1"/>
      <c r="AB235" s="1"/>
      <c r="AC235" s="1"/>
      <c r="AE235" s="1"/>
      <c r="AF235" s="1"/>
      <c r="AG235" s="1"/>
      <c r="AI235" s="1"/>
      <c r="AJ235" s="1"/>
      <c r="AK235" s="1"/>
      <c r="AM235" s="1"/>
      <c r="AN235" s="1"/>
      <c r="AO235" s="1"/>
      <c r="AP235" s="1"/>
      <c r="AR235" s="1"/>
      <c r="AV235" s="64"/>
      <c r="AX235" s="1"/>
      <c r="BA235" s="64"/>
      <c r="BD235" s="1"/>
      <c r="BE235" s="179"/>
      <c r="BF235" s="179"/>
      <c r="BG235" s="179"/>
      <c r="BH235" s="179"/>
      <c r="BI235" s="1"/>
      <c r="BJ235" s="179"/>
      <c r="BK235" s="179"/>
    </row>
    <row r="236" spans="2:65" x14ac:dyDescent="0.2">
      <c r="B236" s="1" t="s">
        <v>519</v>
      </c>
      <c r="D236" s="55">
        <v>2455447</v>
      </c>
      <c r="E236" s="166">
        <v>1952.3494489751424</v>
      </c>
      <c r="F236" s="171">
        <f>VLOOKUP(B236,'2020-21'!$B$12:$AMX444,33,FALSE)</f>
        <v>3.7590709274372358E-2</v>
      </c>
      <c r="G236" s="171">
        <f>VLOOKUP(B236,'2020-21'!$B$12:$AMX444,34,FALSE)</f>
        <v>3.4156865596585817E-2</v>
      </c>
      <c r="I236" s="175">
        <v>2405110.6392520806</v>
      </c>
      <c r="J236" s="175">
        <v>1912.3265259922337</v>
      </c>
      <c r="K236" s="171">
        <f t="shared" ref="K236:L260" si="80">D236/I236-1</f>
        <v>2.0928916918172558E-2</v>
      </c>
      <c r="L236" s="170">
        <f t="shared" si="80"/>
        <v>2.0928916918172336E-2</v>
      </c>
      <c r="N236" s="55">
        <v>1909416</v>
      </c>
      <c r="O236" s="55">
        <v>189489</v>
      </c>
      <c r="P236" s="55">
        <v>356542</v>
      </c>
      <c r="R236" s="55">
        <v>356542</v>
      </c>
      <c r="S236" s="55">
        <v>0</v>
      </c>
      <c r="U236" s="171">
        <v>2.4116418071697066E-2</v>
      </c>
      <c r="V236" s="171">
        <v>2.5139752224003109E-2</v>
      </c>
      <c r="AA236" s="55">
        <v>0</v>
      </c>
      <c r="AB236" s="55">
        <v>0</v>
      </c>
      <c r="AC236" s="55">
        <v>0</v>
      </c>
      <c r="AE236" s="55">
        <v>0</v>
      </c>
      <c r="AF236" s="55">
        <v>0</v>
      </c>
      <c r="AG236" s="55">
        <v>0</v>
      </c>
      <c r="AI236" s="55">
        <v>0</v>
      </c>
      <c r="AJ236" s="55">
        <v>0</v>
      </c>
      <c r="AK236" s="55">
        <v>0</v>
      </c>
      <c r="AM236" s="55">
        <v>1909416</v>
      </c>
      <c r="AN236" s="55">
        <v>189489</v>
      </c>
      <c r="AO236" s="55">
        <v>356542</v>
      </c>
      <c r="AP236" s="55"/>
      <c r="AQ236" s="55">
        <v>2455447</v>
      </c>
      <c r="AR236" s="1"/>
      <c r="AS236" s="175">
        <v>1518.1949663195014</v>
      </c>
      <c r="AT236" s="175">
        <v>150.66452044652186</v>
      </c>
      <c r="AU236" s="175">
        <v>283.48996220911926</v>
      </c>
      <c r="AV236" s="175"/>
      <c r="AW236" s="175">
        <v>1952.3494489751424</v>
      </c>
      <c r="AX236" s="1"/>
      <c r="AY236" s="171">
        <v>2.4116418071697066E-2</v>
      </c>
      <c r="AZ236" s="171">
        <v>2.5139752224003109E-2</v>
      </c>
      <c r="BA236" s="171">
        <v>2.0391683579428221E-3</v>
      </c>
      <c r="BB236" s="171">
        <f t="shared" ref="BB236:BB260" si="81">SUM(AM236:AO236)/I236-1</f>
        <v>2.0928916918172558E-2</v>
      </c>
      <c r="BC236" s="171"/>
      <c r="BD236" s="1"/>
      <c r="BE236" s="179">
        <f>AM236/'2019-20 disagg'!AM236-1</f>
        <v>3.6156647512707751E-2</v>
      </c>
      <c r="BF236" s="179">
        <f>AN236/'2019-20 disagg'!AN236-1</f>
        <v>3.5549556245354719E-2</v>
      </c>
      <c r="BG236" s="179">
        <f>AO236/'2019-20 disagg'!AO236-1</f>
        <v>4.6443099572080149E-2</v>
      </c>
      <c r="BH236" s="179">
        <f>AQ236/'2019-20 disagg'!AQ236-1</f>
        <v>3.7590709274372358E-2</v>
      </c>
      <c r="BI236" s="1"/>
      <c r="BJ236" s="179">
        <f>AS236/'2019-20 disagg'!AS236-1</f>
        <v>3.2727549775560361E-2</v>
      </c>
      <c r="BK236" s="179">
        <f>AT236/'2019-20 disagg'!AT236-1</f>
        <v>3.2122467640027352E-2</v>
      </c>
      <c r="BL236" s="179">
        <f>AU236/'2019-20 disagg'!AU236-1</f>
        <v>4.2979959444175764E-2</v>
      </c>
      <c r="BM236" s="179">
        <f>AW236/'2019-20 disagg'!AW236-1</f>
        <v>3.4156865596585817E-2</v>
      </c>
    </row>
    <row r="237" spans="2:65" x14ac:dyDescent="0.2">
      <c r="B237" s="1" t="s">
        <v>520</v>
      </c>
      <c r="D237" s="55">
        <v>3975322.5092298412</v>
      </c>
      <c r="E237" s="166">
        <v>1958.3945987886466</v>
      </c>
      <c r="F237" s="171">
        <f>VLOOKUP(B237,'2020-21'!$B$12:$AMX445,33,FALSE)</f>
        <v>3.4764622310276883E-2</v>
      </c>
      <c r="G237" s="171">
        <f>VLOOKUP(B237,'2020-21'!$B$12:$AMX445,34,FALSE)</f>
        <v>3.2771997218574933E-2</v>
      </c>
      <c r="I237" s="175">
        <v>3829173.6993832886</v>
      </c>
      <c r="J237" s="175">
        <v>1886.3961535912208</v>
      </c>
      <c r="K237" s="171">
        <f t="shared" si="80"/>
        <v>3.8167192538194561E-2</v>
      </c>
      <c r="L237" s="170">
        <f t="shared" si="80"/>
        <v>3.8167192538194561E-2</v>
      </c>
      <c r="N237" s="55">
        <v>3109677</v>
      </c>
      <c r="O237" s="55">
        <v>296911</v>
      </c>
      <c r="P237" s="55">
        <v>568332</v>
      </c>
      <c r="R237" s="55">
        <v>568332</v>
      </c>
      <c r="S237" s="55">
        <v>402.50922984117642</v>
      </c>
      <c r="U237" s="171">
        <v>5.1096488585495203E-2</v>
      </c>
      <c r="V237" s="171">
        <v>6.6199657079044627E-3</v>
      </c>
      <c r="AA237" s="55">
        <v>0</v>
      </c>
      <c r="AB237" s="55">
        <v>0</v>
      </c>
      <c r="AC237" s="55">
        <v>402.50922984117642</v>
      </c>
      <c r="AE237" s="55">
        <v>0</v>
      </c>
      <c r="AF237" s="55">
        <v>0</v>
      </c>
      <c r="AG237" s="55">
        <v>402.50922984117642</v>
      </c>
      <c r="AI237" s="55">
        <v>367.6252243010793</v>
      </c>
      <c r="AJ237" s="55">
        <v>34.884005540097057</v>
      </c>
      <c r="AK237" s="55">
        <v>0</v>
      </c>
      <c r="AM237" s="55">
        <v>3110045</v>
      </c>
      <c r="AN237" s="55">
        <v>296946</v>
      </c>
      <c r="AO237" s="55">
        <v>568332</v>
      </c>
      <c r="AP237" s="55"/>
      <c r="AQ237" s="55">
        <v>3975323</v>
      </c>
      <c r="AR237" s="1"/>
      <c r="AS237" s="175">
        <v>1532.1260893546012</v>
      </c>
      <c r="AT237" s="175">
        <v>146.28685878483796</v>
      </c>
      <c r="AU237" s="175">
        <v>279.98189242119622</v>
      </c>
      <c r="AV237" s="175"/>
      <c r="AW237" s="175">
        <v>1958.3948405606352</v>
      </c>
      <c r="AX237" s="1"/>
      <c r="AY237" s="171">
        <v>5.1220875622412398E-2</v>
      </c>
      <c r="AZ237" s="171">
        <v>6.7386265146773816E-3</v>
      </c>
      <c r="BA237" s="171">
        <v>-1.2811477889868361E-2</v>
      </c>
      <c r="BB237" s="171">
        <f t="shared" si="81"/>
        <v>3.8167320704268315E-2</v>
      </c>
      <c r="BC237" s="171"/>
      <c r="BD237" s="1"/>
      <c r="BE237" s="179">
        <f>AM237/'2019-20 disagg'!AM237-1</f>
        <v>3.2798687866517851E-2</v>
      </c>
      <c r="BF237" s="179">
        <f>AN237/'2019-20 disagg'!AN237-1</f>
        <v>3.5661845487425126E-2</v>
      </c>
      <c r="BG237" s="179">
        <f>AO237/'2019-20 disagg'!AO237-1</f>
        <v>4.5179443325701341E-2</v>
      </c>
      <c r="BH237" s="179">
        <f>AQ237/'2019-20 disagg'!AQ237-1</f>
        <v>3.4764750056289317E-2</v>
      </c>
      <c r="BI237" s="1"/>
      <c r="BJ237" s="179">
        <f>AS237/'2019-20 disagg'!AS237-1</f>
        <v>3.0809848534607998E-2</v>
      </c>
      <c r="BK237" s="179">
        <f>AT237/'2019-20 disagg'!AT237-1</f>
        <v>3.3667492631382245E-2</v>
      </c>
      <c r="BL237" s="179">
        <f>AU237/'2019-20 disagg'!AU237-1</f>
        <v>4.3166762625957311E-2</v>
      </c>
      <c r="BM237" s="179">
        <f>AW237/'2019-20 disagg'!AW237-1</f>
        <v>3.2772124718589479E-2</v>
      </c>
    </row>
    <row r="238" spans="2:65" x14ac:dyDescent="0.2">
      <c r="B238" s="1" t="s">
        <v>55</v>
      </c>
      <c r="D238" s="55">
        <v>2964112</v>
      </c>
      <c r="E238" s="166">
        <v>1916.5297526833706</v>
      </c>
      <c r="F238" s="171">
        <f>VLOOKUP(B238,'2020-21'!$B$12:$AMX446,33,FALSE)</f>
        <v>3.7709367633863566E-2</v>
      </c>
      <c r="G238" s="171">
        <f>VLOOKUP(B238,'2020-21'!$B$12:$AMX446,34,FALSE)</f>
        <v>3.5245971611789439E-2</v>
      </c>
      <c r="I238" s="175">
        <v>2915402.8400313985</v>
      </c>
      <c r="J238" s="175">
        <v>1885.0354790837093</v>
      </c>
      <c r="K238" s="171">
        <f t="shared" si="80"/>
        <v>1.6707522987827295E-2</v>
      </c>
      <c r="L238" s="170">
        <f t="shared" si="80"/>
        <v>1.6707522987827295E-2</v>
      </c>
      <c r="N238" s="55">
        <v>2269213</v>
      </c>
      <c r="O238" s="55">
        <v>220000</v>
      </c>
      <c r="P238" s="55">
        <v>474899</v>
      </c>
      <c r="R238" s="55">
        <v>474899</v>
      </c>
      <c r="S238" s="55">
        <v>0</v>
      </c>
      <c r="U238" s="171">
        <v>2.1748410593748435E-2</v>
      </c>
      <c r="V238" s="171">
        <v>-2.2808897844531661E-2</v>
      </c>
      <c r="AA238" s="55">
        <v>0</v>
      </c>
      <c r="AB238" s="55">
        <v>0</v>
      </c>
      <c r="AC238" s="55">
        <v>0</v>
      </c>
      <c r="AE238" s="55">
        <v>0</v>
      </c>
      <c r="AF238" s="55">
        <v>0</v>
      </c>
      <c r="AG238" s="55">
        <v>0</v>
      </c>
      <c r="AI238" s="55">
        <v>0</v>
      </c>
      <c r="AJ238" s="55">
        <v>0</v>
      </c>
      <c r="AK238" s="55">
        <v>0</v>
      </c>
      <c r="AM238" s="55">
        <v>2269213</v>
      </c>
      <c r="AN238" s="55">
        <v>220000</v>
      </c>
      <c r="AO238" s="55">
        <v>474899</v>
      </c>
      <c r="AP238" s="55"/>
      <c r="AQ238" s="55">
        <v>2964112</v>
      </c>
      <c r="AR238" s="1"/>
      <c r="AS238" s="175">
        <v>1467.2233133147092</v>
      </c>
      <c r="AT238" s="175">
        <v>142.24717068394904</v>
      </c>
      <c r="AU238" s="175">
        <v>307.05926868471232</v>
      </c>
      <c r="AV238" s="175"/>
      <c r="AW238" s="175">
        <v>1916.5297526833706</v>
      </c>
      <c r="AX238" s="1"/>
      <c r="AY238" s="171">
        <v>2.1748410593748435E-2</v>
      </c>
      <c r="AZ238" s="171">
        <v>-2.2808897844531661E-2</v>
      </c>
      <c r="BA238" s="171">
        <v>1.180967721692161E-2</v>
      </c>
      <c r="BB238" s="171">
        <f t="shared" si="81"/>
        <v>1.6707522987827295E-2</v>
      </c>
      <c r="BC238" s="171"/>
      <c r="BD238" s="1"/>
      <c r="BE238" s="179">
        <f>AM238/'2019-20 disagg'!AM238-1</f>
        <v>3.6161330107181699E-2</v>
      </c>
      <c r="BF238" s="179">
        <f>AN238/'2019-20 disagg'!AN238-1</f>
        <v>3.6904369137955362E-2</v>
      </c>
      <c r="BG238" s="179">
        <f>AO238/'2019-20 disagg'!AO238-1</f>
        <v>4.5549415468615795E-2</v>
      </c>
      <c r="BH238" s="179">
        <f>AQ238/'2019-20 disagg'!AQ238-1</f>
        <v>3.7709367633863566E-2</v>
      </c>
      <c r="BI238" s="1"/>
      <c r="BJ238" s="179">
        <f>AS238/'2019-20 disagg'!AS238-1</f>
        <v>3.3701608938206506E-2</v>
      </c>
      <c r="BK238" s="179">
        <f>AT238/'2019-20 disagg'!AT238-1</f>
        <v>3.4442884084553871E-2</v>
      </c>
      <c r="BL238" s="179">
        <f>AU238/'2019-20 disagg'!AU238-1</f>
        <v>4.306740812505705E-2</v>
      </c>
      <c r="BM238" s="179">
        <f>AW238/'2019-20 disagg'!AW238-1</f>
        <v>3.5245971611789439E-2</v>
      </c>
    </row>
    <row r="239" spans="2:65" x14ac:dyDescent="0.2">
      <c r="B239" s="1" t="s">
        <v>521</v>
      </c>
      <c r="D239" s="55">
        <v>5790874.7353106802</v>
      </c>
      <c r="E239" s="166">
        <v>1906.7659598063108</v>
      </c>
      <c r="F239" s="171">
        <f>VLOOKUP(B239,'2020-21'!$B$12:$AMX447,33,FALSE)</f>
        <v>4.0078038129119475E-2</v>
      </c>
      <c r="G239" s="171">
        <f>VLOOKUP(B239,'2020-21'!$B$12:$AMX447,34,FALSE)</f>
        <v>3.427750511596539E-2</v>
      </c>
      <c r="I239" s="175">
        <v>5828174.8854260016</v>
      </c>
      <c r="J239" s="175">
        <v>1919.0478100942958</v>
      </c>
      <c r="K239" s="171">
        <f t="shared" si="80"/>
        <v>-6.3999709769509971E-3</v>
      </c>
      <c r="L239" s="170">
        <f t="shared" si="80"/>
        <v>-6.3999709769511082E-3</v>
      </c>
      <c r="N239" s="55">
        <v>4259461</v>
      </c>
      <c r="O239" s="55">
        <v>445810</v>
      </c>
      <c r="P239" s="55">
        <v>1080327</v>
      </c>
      <c r="R239" s="55">
        <v>1080327</v>
      </c>
      <c r="S239" s="55">
        <v>5276.7353106800583</v>
      </c>
      <c r="U239" s="171">
        <v>-2.244237690117179E-2</v>
      </c>
      <c r="V239" s="171">
        <v>-2.4507999387005985E-2</v>
      </c>
      <c r="AA239" s="55">
        <v>0</v>
      </c>
      <c r="AB239" s="55">
        <v>0</v>
      </c>
      <c r="AC239" s="55">
        <v>5276.7353106800583</v>
      </c>
      <c r="AE239" s="55">
        <v>0</v>
      </c>
      <c r="AF239" s="55">
        <v>0</v>
      </c>
      <c r="AG239" s="55">
        <v>5276.7353106800583</v>
      </c>
      <c r="AI239" s="55">
        <v>4756.4980692255631</v>
      </c>
      <c r="AJ239" s="55">
        <v>520.23724145449546</v>
      </c>
      <c r="AK239" s="55">
        <v>0</v>
      </c>
      <c r="AM239" s="55">
        <v>4264218</v>
      </c>
      <c r="AN239" s="55">
        <v>446331</v>
      </c>
      <c r="AO239" s="55">
        <v>1080327</v>
      </c>
      <c r="AP239" s="55"/>
      <c r="AQ239" s="55">
        <v>5790876</v>
      </c>
      <c r="AR239" s="1"/>
      <c r="AS239" s="175">
        <v>1404.08247445144</v>
      </c>
      <c r="AT239" s="175">
        <v>146.96376566685512</v>
      </c>
      <c r="AU239" s="175">
        <v>355.72013611328049</v>
      </c>
      <c r="AV239" s="175"/>
      <c r="AW239" s="175">
        <v>1906.7663762315756</v>
      </c>
      <c r="AX239" s="1"/>
      <c r="AY239" s="171">
        <v>-2.1350632754886356E-2</v>
      </c>
      <c r="AZ239" s="171">
        <v>-2.3367981593956588E-2</v>
      </c>
      <c r="BA239" s="171">
        <v>6.5499012143381163E-2</v>
      </c>
      <c r="BB239" s="171">
        <f t="shared" si="81"/>
        <v>-6.399753981177092E-3</v>
      </c>
      <c r="BC239" s="171"/>
      <c r="BD239" s="1"/>
      <c r="BE239" s="179">
        <f>AM239/'2019-20 disagg'!AM239-1</f>
        <v>3.7758206424962193E-2</v>
      </c>
      <c r="BF239" s="179">
        <f>AN239/'2019-20 disagg'!AN239-1</f>
        <v>4.0978540492255577E-2</v>
      </c>
      <c r="BG239" s="179">
        <f>AO239/'2019-20 disagg'!AO239-1</f>
        <v>4.8959950597289303E-2</v>
      </c>
      <c r="BH239" s="179">
        <f>AQ239/'2019-20 disagg'!AQ239-1</f>
        <v>4.0078265275387714E-2</v>
      </c>
      <c r="BI239" s="1"/>
      <c r="BJ239" s="179">
        <f>AS239/'2019-20 disagg'!AS239-1</f>
        <v>3.197061115291211E-2</v>
      </c>
      <c r="BK239" s="179">
        <f>AT239/'2019-20 disagg'!AT239-1</f>
        <v>3.5172985362015963E-2</v>
      </c>
      <c r="BL239" s="179">
        <f>AU239/'2019-20 disagg'!AU239-1</f>
        <v>4.3109883006341221E-2</v>
      </c>
      <c r="BM239" s="179">
        <f>AW239/'2019-20 disagg'!AW239-1</f>
        <v>3.4277730995435185E-2</v>
      </c>
    </row>
    <row r="240" spans="2:65" x14ac:dyDescent="0.2">
      <c r="B240" s="1" t="s">
        <v>522</v>
      </c>
      <c r="D240" s="55">
        <v>2409076.1377819316</v>
      </c>
      <c r="E240" s="166">
        <v>1821.8352719875729</v>
      </c>
      <c r="F240" s="171">
        <f>VLOOKUP(B240,'2020-21'!$B$12:$AMX448,33,FALSE)</f>
        <v>3.8762931427398728E-2</v>
      </c>
      <c r="G240" s="171">
        <f>VLOOKUP(B240,'2020-21'!$B$12:$AMX448,34,FALSE)</f>
        <v>3.4906979935777072E-2</v>
      </c>
      <c r="I240" s="175">
        <v>2419215.2477152725</v>
      </c>
      <c r="J240" s="175">
        <v>1829.5028536855625</v>
      </c>
      <c r="K240" s="171">
        <f t="shared" si="80"/>
        <v>-4.1910739207337011E-3</v>
      </c>
      <c r="L240" s="170">
        <f t="shared" si="80"/>
        <v>-4.1910739207338121E-3</v>
      </c>
      <c r="N240" s="55">
        <v>1845076</v>
      </c>
      <c r="O240" s="55">
        <v>184565</v>
      </c>
      <c r="P240" s="55">
        <v>378474</v>
      </c>
      <c r="R240" s="55">
        <v>378474</v>
      </c>
      <c r="S240" s="55">
        <v>961.13778193155304</v>
      </c>
      <c r="U240" s="171">
        <v>-1.969082952047696E-2</v>
      </c>
      <c r="V240" s="171">
        <v>-3.6165812297541677E-3</v>
      </c>
      <c r="AA240" s="55">
        <v>0</v>
      </c>
      <c r="AB240" s="55">
        <v>0</v>
      </c>
      <c r="AC240" s="55">
        <v>961.13778193155304</v>
      </c>
      <c r="AE240" s="55">
        <v>0</v>
      </c>
      <c r="AF240" s="55">
        <v>0</v>
      </c>
      <c r="AG240" s="55">
        <v>961.13778193155304</v>
      </c>
      <c r="AI240" s="55">
        <v>873.85936852263694</v>
      </c>
      <c r="AJ240" s="55">
        <v>87.278413408916066</v>
      </c>
      <c r="AK240" s="55">
        <v>0</v>
      </c>
      <c r="AM240" s="55">
        <v>1845950</v>
      </c>
      <c r="AN240" s="55">
        <v>184652</v>
      </c>
      <c r="AO240" s="55">
        <v>378474</v>
      </c>
      <c r="AP240" s="55"/>
      <c r="AQ240" s="55">
        <v>2409076</v>
      </c>
      <c r="AR240" s="1"/>
      <c r="AS240" s="175">
        <v>1395.9778055922445</v>
      </c>
      <c r="AT240" s="175">
        <v>139.64088613354593</v>
      </c>
      <c r="AU240" s="175">
        <v>286.21647606583014</v>
      </c>
      <c r="AV240" s="175"/>
      <c r="AW240" s="175">
        <v>1821.8351677916205</v>
      </c>
      <c r="AX240" s="1"/>
      <c r="AY240" s="171">
        <v>-1.9226463708445829E-2</v>
      </c>
      <c r="AZ240" s="171">
        <v>-3.1469073618322074E-3</v>
      </c>
      <c r="BA240" s="171">
        <v>7.5688496018068152E-2</v>
      </c>
      <c r="BB240" s="171">
        <f t="shared" si="81"/>
        <v>-4.1911308738848962E-3</v>
      </c>
      <c r="BC240" s="171"/>
      <c r="BD240" s="1"/>
      <c r="BE240" s="179">
        <f>AM240/'2019-20 disagg'!AM240-1</f>
        <v>3.7091346288899096E-2</v>
      </c>
      <c r="BF240" s="179">
        <f>AN240/'2019-20 disagg'!AN240-1</f>
        <v>3.8765533497223892E-2</v>
      </c>
      <c r="BG240" s="179">
        <f>AO240/'2019-20 disagg'!AO240-1</f>
        <v>4.6992008011353059E-2</v>
      </c>
      <c r="BH240" s="179">
        <f>AQ240/'2019-20 disagg'!AQ240-1</f>
        <v>3.8762872017585437E-2</v>
      </c>
      <c r="BI240" s="1"/>
      <c r="BJ240" s="179">
        <f>AS240/'2019-20 disagg'!AS240-1</f>
        <v>3.3241599823480295E-2</v>
      </c>
      <c r="BK240" s="179">
        <f>AT240/'2019-20 disagg'!AT240-1</f>
        <v>3.4909572346559781E-2</v>
      </c>
      <c r="BL240" s="179">
        <f>AU240/'2019-20 disagg'!AU240-1</f>
        <v>4.3105509684483012E-2</v>
      </c>
      <c r="BM240" s="179">
        <f>AW240/'2019-20 disagg'!AW240-1</f>
        <v>3.4906920746496706E-2</v>
      </c>
    </row>
    <row r="241" spans="2:65" x14ac:dyDescent="0.2">
      <c r="B241" s="1" t="s">
        <v>523</v>
      </c>
      <c r="D241" s="55">
        <v>2727230</v>
      </c>
      <c r="E241" s="166">
        <v>2121.4939878333917</v>
      </c>
      <c r="F241" s="171">
        <f>VLOOKUP(B241,'2020-21'!$B$12:$AMX449,33,FALSE)</f>
        <v>3.5249021493176214E-2</v>
      </c>
      <c r="G241" s="171">
        <f>VLOOKUP(B241,'2020-21'!$B$12:$AMX449,34,FALSE)</f>
        <v>3.3226847224515188E-2</v>
      </c>
      <c r="I241" s="175">
        <v>2621126.8062075269</v>
      </c>
      <c r="J241" s="175">
        <v>2038.9570225900304</v>
      </c>
      <c r="K241" s="171">
        <f t="shared" si="80"/>
        <v>4.0479992628053019E-2</v>
      </c>
      <c r="L241" s="170">
        <f t="shared" si="80"/>
        <v>4.0479992628053019E-2</v>
      </c>
      <c r="N241" s="55">
        <v>2093747</v>
      </c>
      <c r="O241" s="55">
        <v>201597</v>
      </c>
      <c r="P241" s="55">
        <v>431886</v>
      </c>
      <c r="R241" s="55">
        <v>431886</v>
      </c>
      <c r="S241" s="55">
        <v>0</v>
      </c>
      <c r="U241" s="171">
        <v>4.3274762196457983E-2</v>
      </c>
      <c r="V241" s="171">
        <v>-1.39800756696562E-3</v>
      </c>
      <c r="AA241" s="55">
        <v>0</v>
      </c>
      <c r="AB241" s="55">
        <v>0</v>
      </c>
      <c r="AC241" s="55">
        <v>0</v>
      </c>
      <c r="AE241" s="55">
        <v>0</v>
      </c>
      <c r="AF241" s="55">
        <v>0</v>
      </c>
      <c r="AG241" s="55">
        <v>0</v>
      </c>
      <c r="AI241" s="55">
        <v>0</v>
      </c>
      <c r="AJ241" s="55">
        <v>0</v>
      </c>
      <c r="AK241" s="55">
        <v>0</v>
      </c>
      <c r="AM241" s="55">
        <v>2093747</v>
      </c>
      <c r="AN241" s="55">
        <v>201597</v>
      </c>
      <c r="AO241" s="55">
        <v>431886</v>
      </c>
      <c r="AP241" s="55"/>
      <c r="AQ241" s="55">
        <v>2727230</v>
      </c>
      <c r="AR241" s="1"/>
      <c r="AS241" s="175">
        <v>1628.7117964176841</v>
      </c>
      <c r="AT241" s="175">
        <v>156.82095879894555</v>
      </c>
      <c r="AU241" s="175">
        <v>335.96123261676217</v>
      </c>
      <c r="AV241" s="175"/>
      <c r="AW241" s="175">
        <v>2121.4939878333917</v>
      </c>
      <c r="AX241" s="1"/>
      <c r="AY241" s="171">
        <v>4.3274762196457983E-2</v>
      </c>
      <c r="AZ241" s="171">
        <v>-1.39800756696562E-3</v>
      </c>
      <c r="BA241" s="171">
        <v>4.7380653812662876E-2</v>
      </c>
      <c r="BB241" s="171">
        <f t="shared" si="81"/>
        <v>4.0479992628053019E-2</v>
      </c>
      <c r="BC241" s="171"/>
      <c r="BD241" s="1"/>
      <c r="BE241" s="179">
        <f>AM241/'2019-20 disagg'!AM241-1</f>
        <v>3.3517355218511291E-2</v>
      </c>
      <c r="BF241" s="179">
        <f>AN241/'2019-20 disagg'!AN241-1</f>
        <v>3.243830116304669E-2</v>
      </c>
      <c r="BG241" s="179">
        <f>AO241/'2019-20 disagg'!AO241-1</f>
        <v>4.5065842008217505E-2</v>
      </c>
      <c r="BH241" s="179">
        <f>AQ241/'2019-20 disagg'!AQ241-1</f>
        <v>3.5249021493176214E-2</v>
      </c>
      <c r="BI241" s="1"/>
      <c r="BJ241" s="179">
        <f>AS241/'2019-20 disagg'!AS241-1</f>
        <v>3.1498563450977901E-2</v>
      </c>
      <c r="BK241" s="179">
        <f>AT241/'2019-20 disagg'!AT241-1</f>
        <v>3.0421617135100831E-2</v>
      </c>
      <c r="BL241" s="179">
        <f>AU241/'2019-20 disagg'!AU241-1</f>
        <v>4.3024492332062181E-2</v>
      </c>
      <c r="BM241" s="179">
        <f>AW241/'2019-20 disagg'!AW241-1</f>
        <v>3.3226847224515188E-2</v>
      </c>
    </row>
    <row r="242" spans="2:65" x14ac:dyDescent="0.2">
      <c r="B242" s="1" t="s">
        <v>524</v>
      </c>
      <c r="D242" s="55">
        <v>4432284.1679419782</v>
      </c>
      <c r="E242" s="166">
        <v>1728.4594353208579</v>
      </c>
      <c r="F242" s="171">
        <f>VLOOKUP(B242,'2020-21'!$B$12:$AMX450,33,FALSE)</f>
        <v>3.8461902217924893E-2</v>
      </c>
      <c r="G242" s="171">
        <f>VLOOKUP(B242,'2020-21'!$B$12:$AMX450,34,FALSE)</f>
        <v>3.2591868646483002E-2</v>
      </c>
      <c r="I242" s="175">
        <v>4362177.2982234024</v>
      </c>
      <c r="J242" s="175">
        <v>1701.1198343714564</v>
      </c>
      <c r="K242" s="171">
        <f t="shared" si="80"/>
        <v>1.6071531468271338E-2</v>
      </c>
      <c r="L242" s="170">
        <f t="shared" si="80"/>
        <v>1.6071531468271338E-2</v>
      </c>
      <c r="N242" s="55">
        <v>3390218</v>
      </c>
      <c r="O242" s="55">
        <v>367556</v>
      </c>
      <c r="P242" s="55">
        <v>673551</v>
      </c>
      <c r="R242" s="55">
        <v>673551</v>
      </c>
      <c r="S242" s="55">
        <v>959.16794197860872</v>
      </c>
      <c r="U242" s="171">
        <v>1.0948265571602667E-2</v>
      </c>
      <c r="V242" s="171">
        <v>6.9722062998689438E-4</v>
      </c>
      <c r="AA242" s="55">
        <v>822.33831637119874</v>
      </c>
      <c r="AB242" s="55">
        <v>0</v>
      </c>
      <c r="AC242" s="55">
        <v>136.82962560740998</v>
      </c>
      <c r="AE242" s="55">
        <v>0</v>
      </c>
      <c r="AF242" s="55">
        <v>0</v>
      </c>
      <c r="AG242" s="55">
        <v>136.82962560740998</v>
      </c>
      <c r="AI242" s="55">
        <v>124.30879997805934</v>
      </c>
      <c r="AJ242" s="55">
        <v>12.520825629350639</v>
      </c>
      <c r="AK242" s="55">
        <v>0</v>
      </c>
      <c r="AM242" s="55">
        <v>3391164</v>
      </c>
      <c r="AN242" s="55">
        <v>367569</v>
      </c>
      <c r="AO242" s="55">
        <v>673551</v>
      </c>
      <c r="AP242" s="55"/>
      <c r="AQ242" s="55">
        <v>4432284</v>
      </c>
      <c r="AR242" s="1"/>
      <c r="AS242" s="175">
        <v>1322.4534326827829</v>
      </c>
      <c r="AT242" s="175">
        <v>143.34101382232703</v>
      </c>
      <c r="AU242" s="175">
        <v>262.6649233233548</v>
      </c>
      <c r="AV242" s="175"/>
      <c r="AW242" s="175">
        <v>1728.4593698284648</v>
      </c>
      <c r="AX242" s="1"/>
      <c r="AY242" s="171">
        <v>1.1230358658014916E-2</v>
      </c>
      <c r="AZ242" s="171">
        <v>7.3261404995061952E-4</v>
      </c>
      <c r="BA242" s="171">
        <v>5.0168154967995537E-2</v>
      </c>
      <c r="BB242" s="171">
        <f t="shared" si="81"/>
        <v>1.6071492968694923E-2</v>
      </c>
      <c r="BC242" s="171"/>
      <c r="BD242" s="1"/>
      <c r="BE242" s="179">
        <f>AM242/'2019-20 disagg'!AM242-1</f>
        <v>3.6712712705368356E-2</v>
      </c>
      <c r="BF242" s="179">
        <f>AN242/'2019-20 disagg'!AN242-1</f>
        <v>3.5411467106856831E-2</v>
      </c>
      <c r="BG242" s="179">
        <f>AO242/'2019-20 disagg'!AO242-1</f>
        <v>4.9059889230155918E-2</v>
      </c>
      <c r="BH242" s="179">
        <f>AQ242/'2019-20 disagg'!AQ242-1</f>
        <v>3.8461862869963559E-2</v>
      </c>
      <c r="BI242" s="1"/>
      <c r="BJ242" s="179">
        <f>AS242/'2019-20 disagg'!AS242-1</f>
        <v>3.0852566642692647E-2</v>
      </c>
      <c r="BK242" s="179">
        <f>AT242/'2019-20 disagg'!AT242-1</f>
        <v>2.9558676494902736E-2</v>
      </c>
      <c r="BL242" s="179">
        <f>AU242/'2019-20 disagg'!AU242-1</f>
        <v>4.3129949234204101E-2</v>
      </c>
      <c r="BM242" s="179">
        <f>AW242/'2019-20 disagg'!AW242-1</f>
        <v>3.2591829520940863E-2</v>
      </c>
    </row>
    <row r="243" spans="2:65" x14ac:dyDescent="0.2">
      <c r="B243" s="1" t="s">
        <v>525</v>
      </c>
      <c r="D243" s="55">
        <v>2940101</v>
      </c>
      <c r="E243" s="166">
        <v>1881.6180916392589</v>
      </c>
      <c r="F243" s="171">
        <f>VLOOKUP(B243,'2020-21'!$B$12:$AMX451,33,FALSE)</f>
        <v>3.6904051933706716E-2</v>
      </c>
      <c r="G243" s="171">
        <f>VLOOKUP(B243,'2020-21'!$B$12:$AMX451,34,FALSE)</f>
        <v>3.2525255296407041E-2</v>
      </c>
      <c r="I243" s="175">
        <v>2805723.3083174028</v>
      </c>
      <c r="J243" s="175">
        <v>1795.6184964611691</v>
      </c>
      <c r="K243" s="171">
        <f t="shared" si="80"/>
        <v>4.7894135278500949E-2</v>
      </c>
      <c r="L243" s="170">
        <f t="shared" si="80"/>
        <v>4.7894135278500949E-2</v>
      </c>
      <c r="N243" s="55">
        <v>2229770</v>
      </c>
      <c r="O243" s="55">
        <v>224477</v>
      </c>
      <c r="P243" s="55">
        <v>485854</v>
      </c>
      <c r="R243" s="55">
        <v>485854</v>
      </c>
      <c r="S243" s="55">
        <v>0</v>
      </c>
      <c r="U243" s="171">
        <v>4.8650890277087466E-2</v>
      </c>
      <c r="V243" s="171">
        <v>-3.3719180781344171E-4</v>
      </c>
      <c r="AA243" s="55">
        <v>0</v>
      </c>
      <c r="AB243" s="55">
        <v>0</v>
      </c>
      <c r="AC243" s="55">
        <v>0</v>
      </c>
      <c r="AE243" s="55">
        <v>0</v>
      </c>
      <c r="AF243" s="55">
        <v>0</v>
      </c>
      <c r="AG243" s="55">
        <v>0</v>
      </c>
      <c r="AI243" s="55">
        <v>0</v>
      </c>
      <c r="AJ243" s="55">
        <v>0</v>
      </c>
      <c r="AK243" s="55">
        <v>0</v>
      </c>
      <c r="AM243" s="55">
        <v>2229770</v>
      </c>
      <c r="AN243" s="55">
        <v>224477</v>
      </c>
      <c r="AO243" s="55">
        <v>485854</v>
      </c>
      <c r="AP243" s="55"/>
      <c r="AQ243" s="55">
        <v>2940101</v>
      </c>
      <c r="AR243" s="1"/>
      <c r="AS243" s="175">
        <v>1427.0174977643524</v>
      </c>
      <c r="AT243" s="175">
        <v>143.66172602808743</v>
      </c>
      <c r="AU243" s="175">
        <v>310.93886784681905</v>
      </c>
      <c r="AV243" s="175"/>
      <c r="AW243" s="175">
        <v>1881.6180916392589</v>
      </c>
      <c r="AX243" s="1"/>
      <c r="AY243" s="171">
        <v>4.8650890277087466E-2</v>
      </c>
      <c r="AZ243" s="171">
        <v>-3.3719180781344171E-4</v>
      </c>
      <c r="BA243" s="171">
        <v>6.8167652708668758E-2</v>
      </c>
      <c r="BB243" s="171">
        <f t="shared" si="81"/>
        <v>4.7894135278500949E-2</v>
      </c>
      <c r="BC243" s="171"/>
      <c r="BD243" s="1"/>
      <c r="BE243" s="179">
        <f>AM243/'2019-20 disagg'!AM243-1</f>
        <v>3.4507876061523834E-2</v>
      </c>
      <c r="BF243" s="179">
        <f>AN243/'2019-20 disagg'!AN243-1</f>
        <v>3.7957534170566243E-2</v>
      </c>
      <c r="BG243" s="179">
        <f>AO243/'2019-20 disagg'!AO243-1</f>
        <v>4.7548409770569622E-2</v>
      </c>
      <c r="BH243" s="179">
        <f>AQ243/'2019-20 disagg'!AQ243-1</f>
        <v>3.6904051933706716E-2</v>
      </c>
      <c r="BI243" s="1"/>
      <c r="BJ243" s="179">
        <f>AS243/'2019-20 disagg'!AS243-1</f>
        <v>3.0139198361296415E-2</v>
      </c>
      <c r="BK243" s="179">
        <f>AT243/'2019-20 disagg'!AT243-1</f>
        <v>3.3574288727740376E-2</v>
      </c>
      <c r="BL243" s="179">
        <f>AU243/'2019-20 disagg'!AU243-1</f>
        <v>4.3124662514921752E-2</v>
      </c>
      <c r="BM243" s="179">
        <f>AW243/'2019-20 disagg'!AW243-1</f>
        <v>3.2525255296407041E-2</v>
      </c>
    </row>
    <row r="244" spans="2:65" x14ac:dyDescent="0.2">
      <c r="B244" s="1" t="s">
        <v>526</v>
      </c>
      <c r="D244" s="55">
        <v>3028449</v>
      </c>
      <c r="E244" s="166">
        <v>1739.1060868772699</v>
      </c>
      <c r="F244" s="171">
        <f>VLOOKUP(B244,'2020-21'!$B$12:$AMX452,33,FALSE)</f>
        <v>3.7508170707141408E-2</v>
      </c>
      <c r="G244" s="171">
        <f>VLOOKUP(B244,'2020-21'!$B$12:$AMX452,34,FALSE)</f>
        <v>3.3822407827039047E-2</v>
      </c>
      <c r="I244" s="175">
        <v>2971882.7719623563</v>
      </c>
      <c r="J244" s="175">
        <v>1706.6225708953418</v>
      </c>
      <c r="K244" s="171">
        <f t="shared" si="80"/>
        <v>1.9033801928967975E-2</v>
      </c>
      <c r="L244" s="170">
        <f t="shared" si="80"/>
        <v>1.9033801928967975E-2</v>
      </c>
      <c r="N244" s="55">
        <v>2333583</v>
      </c>
      <c r="O244" s="55">
        <v>243695</v>
      </c>
      <c r="P244" s="55">
        <v>451171</v>
      </c>
      <c r="R244" s="55">
        <v>451171</v>
      </c>
      <c r="S244" s="55">
        <v>0</v>
      </c>
      <c r="U244" s="171">
        <v>2.4957120909901542E-2</v>
      </c>
      <c r="V244" s="171">
        <v>-2.9457771893177664E-3</v>
      </c>
      <c r="AA244" s="55">
        <v>0</v>
      </c>
      <c r="AB244" s="55">
        <v>0</v>
      </c>
      <c r="AC244" s="55">
        <v>0</v>
      </c>
      <c r="AE244" s="55">
        <v>0</v>
      </c>
      <c r="AF244" s="55">
        <v>0</v>
      </c>
      <c r="AG244" s="55">
        <v>0</v>
      </c>
      <c r="AI244" s="55">
        <v>0</v>
      </c>
      <c r="AJ244" s="55">
        <v>0</v>
      </c>
      <c r="AK244" s="55">
        <v>0</v>
      </c>
      <c r="AM244" s="55">
        <v>2333583</v>
      </c>
      <c r="AN244" s="55">
        <v>243695</v>
      </c>
      <c r="AO244" s="55">
        <v>451171</v>
      </c>
      <c r="AP244" s="55"/>
      <c r="AQ244" s="55">
        <v>3028449</v>
      </c>
      <c r="AR244" s="1"/>
      <c r="AS244" s="175">
        <v>1340.0748698536183</v>
      </c>
      <c r="AT244" s="175">
        <v>139.94340265976291</v>
      </c>
      <c r="AU244" s="175">
        <v>259.08781436388881</v>
      </c>
      <c r="AV244" s="175"/>
      <c r="AW244" s="175">
        <v>1739.1060868772699</v>
      </c>
      <c r="AX244" s="1"/>
      <c r="AY244" s="171">
        <v>2.4957120909901542E-2</v>
      </c>
      <c r="AZ244" s="171">
        <v>-2.9457771893177664E-3</v>
      </c>
      <c r="BA244" s="171">
        <v>1.0312837319641499E-3</v>
      </c>
      <c r="BB244" s="171">
        <f t="shared" si="81"/>
        <v>1.9033801928967975E-2</v>
      </c>
      <c r="BC244" s="171"/>
      <c r="BD244" s="1"/>
      <c r="BE244" s="179">
        <f>AM244/'2019-20 disagg'!AM244-1</f>
        <v>3.6238412948633947E-2</v>
      </c>
      <c r="BF244" s="179">
        <f>AN244/'2019-20 disagg'!AN244-1</f>
        <v>3.2772226036395624E-2</v>
      </c>
      <c r="BG244" s="179">
        <f>AO244/'2019-20 disagg'!AO244-1</f>
        <v>4.6734891317713245E-2</v>
      </c>
      <c r="BH244" s="179">
        <f>AQ244/'2019-20 disagg'!AQ244-1</f>
        <v>3.7508170707141408E-2</v>
      </c>
      <c r="BI244" s="1"/>
      <c r="BJ244" s="179">
        <f>AS244/'2019-20 disagg'!AS244-1</f>
        <v>3.2557160901453663E-2</v>
      </c>
      <c r="BK244" s="179">
        <f>AT244/'2019-20 disagg'!AT244-1</f>
        <v>2.9103287668680533E-2</v>
      </c>
      <c r="BL244" s="179">
        <f>AU244/'2019-20 disagg'!AU244-1</f>
        <v>4.3016350378322743E-2</v>
      </c>
      <c r="BM244" s="179">
        <f>AW244/'2019-20 disagg'!AW244-1</f>
        <v>3.3822407827039047E-2</v>
      </c>
    </row>
    <row r="245" spans="2:65" x14ac:dyDescent="0.2">
      <c r="B245" s="1" t="s">
        <v>527</v>
      </c>
      <c r="D245" s="55">
        <v>4978166.671241519</v>
      </c>
      <c r="E245" s="166">
        <v>1802.9742143320716</v>
      </c>
      <c r="F245" s="171">
        <f>VLOOKUP(B245,'2020-21'!$B$12:$AMX453,33,FALSE)</f>
        <v>4.0379429273708523E-2</v>
      </c>
      <c r="G245" s="171">
        <f>VLOOKUP(B245,'2020-21'!$B$12:$AMX453,34,FALSE)</f>
        <v>3.4296309140559256E-2</v>
      </c>
      <c r="I245" s="175">
        <v>5018913.5060183974</v>
      </c>
      <c r="J245" s="175">
        <v>1817.7317540590489</v>
      </c>
      <c r="K245" s="171">
        <f t="shared" si="80"/>
        <v>-8.1186565036470704E-3</v>
      </c>
      <c r="L245" s="170">
        <f t="shared" si="80"/>
        <v>-8.1186565036470704E-3</v>
      </c>
      <c r="N245" s="55">
        <v>3644705</v>
      </c>
      <c r="O245" s="55">
        <v>396580</v>
      </c>
      <c r="P245" s="55">
        <v>930849</v>
      </c>
      <c r="R245" s="55">
        <v>930849</v>
      </c>
      <c r="S245" s="55">
        <v>6032.6712415187503</v>
      </c>
      <c r="U245" s="171">
        <v>-1.7460084486536798E-2</v>
      </c>
      <c r="V245" s="171">
        <v>-3.466602468408464E-2</v>
      </c>
      <c r="AA245" s="55">
        <v>0</v>
      </c>
      <c r="AB245" s="55">
        <v>0</v>
      </c>
      <c r="AC245" s="55">
        <v>6032.6712415187503</v>
      </c>
      <c r="AE245" s="55">
        <v>0</v>
      </c>
      <c r="AF245" s="55">
        <v>0</v>
      </c>
      <c r="AG245" s="55">
        <v>6032.6712415187503</v>
      </c>
      <c r="AI245" s="55">
        <v>5415.6356425364265</v>
      </c>
      <c r="AJ245" s="55">
        <v>617.03559898232356</v>
      </c>
      <c r="AK245" s="55">
        <v>0</v>
      </c>
      <c r="AM245" s="55">
        <v>3650120</v>
      </c>
      <c r="AN245" s="55">
        <v>397197</v>
      </c>
      <c r="AO245" s="55">
        <v>930849</v>
      </c>
      <c r="AP245" s="55"/>
      <c r="AQ245" s="55">
        <v>4978166</v>
      </c>
      <c r="AR245" s="1"/>
      <c r="AS245" s="175">
        <v>1321.9871237409793</v>
      </c>
      <c r="AT245" s="175">
        <v>143.85535806728157</v>
      </c>
      <c r="AU245" s="175">
        <v>337.13148941601014</v>
      </c>
      <c r="AV245" s="175"/>
      <c r="AW245" s="175">
        <v>1802.9739712242711</v>
      </c>
      <c r="AX245" s="1"/>
      <c r="AY245" s="171">
        <v>-1.6000308278995901E-2</v>
      </c>
      <c r="AZ245" s="171">
        <v>-3.3164156050341287E-2</v>
      </c>
      <c r="BA245" s="171">
        <v>3.5865858500955694E-2</v>
      </c>
      <c r="BB245" s="171">
        <f t="shared" si="81"/>
        <v>-8.1187902460433392E-3</v>
      </c>
      <c r="BC245" s="171"/>
      <c r="BD245" s="1"/>
      <c r="BE245" s="179">
        <f>AM245/'2019-20 disagg'!AM245-1</f>
        <v>3.7920383034057092E-2</v>
      </c>
      <c r="BF245" s="179">
        <f>AN245/'2019-20 disagg'!AN245-1</f>
        <v>4.223005329267937E-2</v>
      </c>
      <c r="BG245" s="179">
        <f>AO245/'2019-20 disagg'!AO245-1</f>
        <v>4.9332252642638297E-2</v>
      </c>
      <c r="BH245" s="179">
        <f>AQ245/'2019-20 disagg'!AQ245-1</f>
        <v>4.0379288991971185E-2</v>
      </c>
      <c r="BI245" s="1"/>
      <c r="BJ245" s="179">
        <f>AS245/'2019-20 disagg'!AS245-1</f>
        <v>3.1851640995349317E-2</v>
      </c>
      <c r="BK245" s="179">
        <f>AT245/'2019-20 disagg'!AT245-1</f>
        <v>3.6136112522451302E-2</v>
      </c>
      <c r="BL245" s="179">
        <f>AU245/'2019-20 disagg'!AU245-1</f>
        <v>4.319678516528791E-2</v>
      </c>
      <c r="BM245" s="179">
        <f>AW245/'2019-20 disagg'!AW245-1</f>
        <v>3.4296169679052468E-2</v>
      </c>
    </row>
    <row r="246" spans="2:65" x14ac:dyDescent="0.2">
      <c r="B246" s="1" t="s">
        <v>528</v>
      </c>
      <c r="D246" s="55">
        <v>2880696.5882143038</v>
      </c>
      <c r="E246" s="166">
        <v>1748.1400970096208</v>
      </c>
      <c r="F246" s="171">
        <f>VLOOKUP(B246,'2020-21'!$B$12:$AMX454,33,FALSE)</f>
        <v>3.9050778257169849E-2</v>
      </c>
      <c r="G246" s="171">
        <f>VLOOKUP(B246,'2020-21'!$B$12:$AMX454,34,FALSE)</f>
        <v>3.5199702488660556E-2</v>
      </c>
      <c r="I246" s="175">
        <v>2890571.4230107903</v>
      </c>
      <c r="J246" s="175">
        <v>1754.1326040753456</v>
      </c>
      <c r="K246" s="171">
        <f t="shared" si="80"/>
        <v>-3.4162223835316752E-3</v>
      </c>
      <c r="L246" s="170">
        <f t="shared" si="80"/>
        <v>-3.4162223835315642E-3</v>
      </c>
      <c r="N246" s="55">
        <v>2174828</v>
      </c>
      <c r="O246" s="55">
        <v>228667</v>
      </c>
      <c r="P246" s="55">
        <v>474996</v>
      </c>
      <c r="R246" s="55">
        <v>474996</v>
      </c>
      <c r="S246" s="55">
        <v>2205.588214303425</v>
      </c>
      <c r="U246" s="171">
        <v>-9.999916459352165E-3</v>
      </c>
      <c r="V246" s="171">
        <v>8.2869328798242936E-3</v>
      </c>
      <c r="AA246" s="55">
        <v>1102.775149722409</v>
      </c>
      <c r="AB246" s="55">
        <v>0</v>
      </c>
      <c r="AC246" s="55">
        <v>1102.8130645810161</v>
      </c>
      <c r="AE246" s="55">
        <v>0</v>
      </c>
      <c r="AF246" s="55">
        <v>0</v>
      </c>
      <c r="AG246" s="55">
        <v>1102.8130645810161</v>
      </c>
      <c r="AI246" s="55">
        <v>998.70737144896054</v>
      </c>
      <c r="AJ246" s="55">
        <v>104.10569313205561</v>
      </c>
      <c r="AK246" s="55">
        <v>0</v>
      </c>
      <c r="AM246" s="55">
        <v>2176930</v>
      </c>
      <c r="AN246" s="55">
        <v>228771</v>
      </c>
      <c r="AO246" s="55">
        <v>474996</v>
      </c>
      <c r="AP246" s="55"/>
      <c r="AQ246" s="55">
        <v>2880697</v>
      </c>
      <c r="AR246" s="1"/>
      <c r="AS246" s="175">
        <v>1321.0619393075926</v>
      </c>
      <c r="AT246" s="175">
        <v>138.82883736148489</v>
      </c>
      <c r="AU246" s="175">
        <v>288.24957023117383</v>
      </c>
      <c r="AV246" s="175"/>
      <c r="AW246" s="175">
        <v>1748.1403469002514</v>
      </c>
      <c r="AX246" s="1"/>
      <c r="AY246" s="171">
        <v>-9.0430682968296594E-3</v>
      </c>
      <c r="AZ246" s="171">
        <v>8.7455116910191144E-3</v>
      </c>
      <c r="BA246" s="171">
        <v>1.7148142962296387E-2</v>
      </c>
      <c r="BB246" s="171">
        <f t="shared" si="81"/>
        <v>-3.4160799252990204E-3</v>
      </c>
      <c r="BC246" s="171"/>
      <c r="BD246" s="1"/>
      <c r="BE246" s="179">
        <f>AM246/'2019-20 disagg'!AM246-1</f>
        <v>3.760275076047237E-2</v>
      </c>
      <c r="BF246" s="179">
        <f>AN246/'2019-20 disagg'!AN246-1</f>
        <v>3.6701529872389838E-2</v>
      </c>
      <c r="BG246" s="179">
        <f>AO246/'2019-20 disagg'!AO246-1</f>
        <v>4.6890049171186776E-2</v>
      </c>
      <c r="BH246" s="179">
        <f>AQ246/'2019-20 disagg'!AQ246-1</f>
        <v>3.9050926785914708E-2</v>
      </c>
      <c r="BI246" s="1"/>
      <c r="BJ246" s="179">
        <f>AS246/'2019-20 disagg'!AS246-1</f>
        <v>3.3757041874623139E-2</v>
      </c>
      <c r="BK246" s="179">
        <f>AT246/'2019-20 disagg'!AT246-1</f>
        <v>3.2859161217833055E-2</v>
      </c>
      <c r="BL246" s="179">
        <f>AU246/'2019-20 disagg'!AU246-1</f>
        <v>4.3009918397001412E-2</v>
      </c>
      <c r="BM246" s="179">
        <f>AW246/'2019-20 disagg'!AW246-1</f>
        <v>3.5199850466907101E-2</v>
      </c>
    </row>
    <row r="247" spans="2:65" x14ac:dyDescent="0.2">
      <c r="B247" s="1" t="s">
        <v>529</v>
      </c>
      <c r="D247" s="55">
        <v>2982308.8253383785</v>
      </c>
      <c r="E247" s="166">
        <v>1673.9545483244597</v>
      </c>
      <c r="F247" s="171">
        <f>VLOOKUP(B247,'2020-21'!$B$12:$AMX455,33,FALSE)</f>
        <v>4.0070232463493616E-2</v>
      </c>
      <c r="G247" s="171">
        <f>VLOOKUP(B247,'2020-21'!$B$12:$AMX455,34,FALSE)</f>
        <v>3.3451552226961168E-2</v>
      </c>
      <c r="I247" s="175">
        <v>3019577.6472953036</v>
      </c>
      <c r="J247" s="175">
        <v>1694.8733456989776</v>
      </c>
      <c r="K247" s="171">
        <f t="shared" si="80"/>
        <v>-1.2342395629503899E-2</v>
      </c>
      <c r="L247" s="170">
        <f t="shared" si="80"/>
        <v>-1.234239562950401E-2</v>
      </c>
      <c r="N247" s="55">
        <v>2234615</v>
      </c>
      <c r="O247" s="55">
        <v>251865</v>
      </c>
      <c r="P247" s="55">
        <v>491888</v>
      </c>
      <c r="R247" s="55">
        <v>491888</v>
      </c>
      <c r="S247" s="55">
        <v>3940.8253383787815</v>
      </c>
      <c r="U247" s="171">
        <v>-2.2115144111351293E-2</v>
      </c>
      <c r="V247" s="171">
        <v>1.0791009643835281E-2</v>
      </c>
      <c r="AA247" s="55">
        <v>1789.4705523885204</v>
      </c>
      <c r="AB247" s="55">
        <v>0</v>
      </c>
      <c r="AC247" s="55">
        <v>2151.354785990261</v>
      </c>
      <c r="AE247" s="55">
        <v>0</v>
      </c>
      <c r="AF247" s="55">
        <v>0</v>
      </c>
      <c r="AG247" s="55">
        <v>2151.354785990261</v>
      </c>
      <c r="AI247" s="55">
        <v>1936.0353849122744</v>
      </c>
      <c r="AJ247" s="55">
        <v>215.31940107798681</v>
      </c>
      <c r="AK247" s="55">
        <v>0</v>
      </c>
      <c r="AM247" s="55">
        <v>2238340</v>
      </c>
      <c r="AN247" s="55">
        <v>252081</v>
      </c>
      <c r="AO247" s="55">
        <v>491888</v>
      </c>
      <c r="AP247" s="55"/>
      <c r="AQ247" s="55">
        <v>2982309</v>
      </c>
      <c r="AR247" s="1"/>
      <c r="AS247" s="175">
        <v>1256.3686871937023</v>
      </c>
      <c r="AT247" s="175">
        <v>141.49176400210678</v>
      </c>
      <c r="AU247" s="175">
        <v>276.0941951653171</v>
      </c>
      <c r="AV247" s="175"/>
      <c r="AW247" s="175">
        <v>1673.9546463611262</v>
      </c>
      <c r="AX247" s="1"/>
      <c r="AY247" s="171">
        <v>-2.04850552198933E-2</v>
      </c>
      <c r="AZ247" s="171">
        <v>1.1657866325323507E-2</v>
      </c>
      <c r="BA247" s="171">
        <v>1.3679430295901351E-2</v>
      </c>
      <c r="BB247" s="171">
        <f t="shared" si="81"/>
        <v>-1.2342337786440449E-2</v>
      </c>
      <c r="BC247" s="171"/>
      <c r="BD247" s="1"/>
      <c r="BE247" s="179">
        <f>AM247/'2019-20 disagg'!AM247-1</f>
        <v>3.8328832117804135E-2</v>
      </c>
      <c r="BF247" s="179">
        <f>AN247/'2019-20 disagg'!AN247-1</f>
        <v>3.6457605236540624E-2</v>
      </c>
      <c r="BG247" s="179">
        <f>AO247/'2019-20 disagg'!AO247-1</f>
        <v>4.9959123383345849E-2</v>
      </c>
      <c r="BH247" s="179">
        <f>AQ247/'2019-20 disagg'!AQ247-1</f>
        <v>4.007029337615009E-2</v>
      </c>
      <c r="BI247" s="1"/>
      <c r="BJ247" s="179">
        <f>AS247/'2019-20 disagg'!AS247-1</f>
        <v>3.1721233606035959E-2</v>
      </c>
      <c r="BK247" s="179">
        <f>AT247/'2019-20 disagg'!AT247-1</f>
        <v>2.9861914624826458E-2</v>
      </c>
      <c r="BL247" s="179">
        <f>AU247/'2019-20 disagg'!AU247-1</f>
        <v>4.3277513351450025E-2</v>
      </c>
      <c r="BM247" s="179">
        <f>AW247/'2019-20 disagg'!AW247-1</f>
        <v>3.3451612751988602E-2</v>
      </c>
    </row>
    <row r="248" spans="2:65" x14ac:dyDescent="0.2">
      <c r="B248" s="1" t="s">
        <v>530</v>
      </c>
      <c r="D248" s="55">
        <v>5049501.6940126242</v>
      </c>
      <c r="E248" s="166">
        <v>1639.6293775816707</v>
      </c>
      <c r="F248" s="171">
        <f>VLOOKUP(B248,'2020-21'!$B$12:$AMX456,33,FALSE)</f>
        <v>4.8365715600478865E-2</v>
      </c>
      <c r="G248" s="171">
        <f>VLOOKUP(B248,'2020-21'!$B$12:$AMX456,34,FALSE)</f>
        <v>3.7982558377038123E-2</v>
      </c>
      <c r="I248" s="175">
        <v>5161962.210994008</v>
      </c>
      <c r="J248" s="175">
        <v>1676.1465586095219</v>
      </c>
      <c r="K248" s="171">
        <f t="shared" si="80"/>
        <v>-2.1786389048308763E-2</v>
      </c>
      <c r="L248" s="170">
        <f t="shared" si="80"/>
        <v>-2.1786389048308874E-2</v>
      </c>
      <c r="N248" s="55">
        <v>3803083</v>
      </c>
      <c r="O248" s="55">
        <v>400846</v>
      </c>
      <c r="P248" s="55">
        <v>805015</v>
      </c>
      <c r="R248" s="55">
        <v>805015</v>
      </c>
      <c r="S248" s="55">
        <v>40557.694012624153</v>
      </c>
      <c r="U248" s="171">
        <v>-2.287725814020436E-2</v>
      </c>
      <c r="V248" s="171">
        <v>-2.6587054637012941E-2</v>
      </c>
      <c r="AA248" s="55">
        <v>9042.1863528823978</v>
      </c>
      <c r="AB248" s="55">
        <v>0</v>
      </c>
      <c r="AC248" s="55">
        <v>31515.507659741757</v>
      </c>
      <c r="AE248" s="55">
        <v>0</v>
      </c>
      <c r="AF248" s="55">
        <v>0</v>
      </c>
      <c r="AG248" s="55">
        <v>31515.507659741757</v>
      </c>
      <c r="AI248" s="55">
        <v>28502.303232559792</v>
      </c>
      <c r="AJ248" s="55">
        <v>3013.204427181965</v>
      </c>
      <c r="AK248" s="55">
        <v>0</v>
      </c>
      <c r="AM248" s="55">
        <v>3840628</v>
      </c>
      <c r="AN248" s="55">
        <v>403860</v>
      </c>
      <c r="AO248" s="55">
        <v>805015</v>
      </c>
      <c r="AP248" s="55"/>
      <c r="AQ248" s="55">
        <v>5049503</v>
      </c>
      <c r="AR248" s="1"/>
      <c r="AS248" s="175">
        <v>1247.094639977953</v>
      </c>
      <c r="AT248" s="175">
        <v>131.13783508881781</v>
      </c>
      <c r="AU248" s="175">
        <v>261.39732658353057</v>
      </c>
      <c r="AV248" s="175"/>
      <c r="AW248" s="175">
        <v>1639.6298016503015</v>
      </c>
      <c r="AX248" s="1"/>
      <c r="AY248" s="171">
        <v>-1.323085459257578E-2</v>
      </c>
      <c r="AZ248" s="171">
        <v>-1.9267868173074021E-2</v>
      </c>
      <c r="BA248" s="171">
        <v>-6.1801844668546324E-2</v>
      </c>
      <c r="BB248" s="171">
        <f t="shared" si="81"/>
        <v>-2.1786136046190174E-2</v>
      </c>
      <c r="BC248" s="171"/>
      <c r="BD248" s="1"/>
      <c r="BE248" s="179">
        <f>AM248/'2019-20 disagg'!AM248-1</f>
        <v>4.6834076400395386E-2</v>
      </c>
      <c r="BF248" s="179">
        <f>AN248/'2019-20 disagg'!AN248-1</f>
        <v>5.2691941769083428E-2</v>
      </c>
      <c r="BG248" s="179">
        <f>AO248/'2019-20 disagg'!AO248-1</f>
        <v>5.3549413818646308E-2</v>
      </c>
      <c r="BH248" s="179">
        <f>AQ248/'2019-20 disagg'!AQ248-1</f>
        <v>4.8365986746519152E-2</v>
      </c>
      <c r="BI248" s="1"/>
      <c r="BJ248" s="179">
        <f>AS248/'2019-20 disagg'!AS248-1</f>
        <v>3.6466088740769509E-2</v>
      </c>
      <c r="BK248" s="179">
        <f>AT248/'2019-20 disagg'!AT248-1</f>
        <v>4.2265937010832921E-2</v>
      </c>
      <c r="BL248" s="179">
        <f>AU248/'2019-20 disagg'!AU248-1</f>
        <v>4.3114916540111015E-2</v>
      </c>
      <c r="BM248" s="179">
        <f>AW248/'2019-20 disagg'!AW248-1</f>
        <v>3.7982826837611228E-2</v>
      </c>
    </row>
    <row r="249" spans="2:65" x14ac:dyDescent="0.2">
      <c r="B249" s="1" t="s">
        <v>531</v>
      </c>
      <c r="D249" s="55">
        <v>3144642.0651129512</v>
      </c>
      <c r="E249" s="166">
        <v>1634.5805692211147</v>
      </c>
      <c r="F249" s="171">
        <f>VLOOKUP(B249,'2020-21'!$B$12:$AMX457,33,FALSE)</f>
        <v>4.0295638072521678E-2</v>
      </c>
      <c r="G249" s="171">
        <f>VLOOKUP(B249,'2020-21'!$B$12:$AMX457,34,FALSE)</f>
        <v>3.3957304958580403E-2</v>
      </c>
      <c r="I249" s="175">
        <v>3196834.2392450217</v>
      </c>
      <c r="J249" s="175">
        <v>1661.7099887020001</v>
      </c>
      <c r="K249" s="171">
        <f t="shared" si="80"/>
        <v>-1.6326205935656035E-2</v>
      </c>
      <c r="L249" s="170">
        <f t="shared" si="80"/>
        <v>-1.6326205935655924E-2</v>
      </c>
      <c r="N249" s="55">
        <v>2394055</v>
      </c>
      <c r="O249" s="55">
        <v>267394</v>
      </c>
      <c r="P249" s="55">
        <v>478192</v>
      </c>
      <c r="R249" s="55">
        <v>478192</v>
      </c>
      <c r="S249" s="55">
        <v>5001.0651129516191</v>
      </c>
      <c r="U249" s="171">
        <v>-6.2996058390035747E-3</v>
      </c>
      <c r="V249" s="171">
        <v>1.1811644937489651E-2</v>
      </c>
      <c r="AA249" s="55">
        <v>1523.7310077291331</v>
      </c>
      <c r="AB249" s="55">
        <v>0</v>
      </c>
      <c r="AC249" s="55">
        <v>3477.334105222486</v>
      </c>
      <c r="AE249" s="55">
        <v>0</v>
      </c>
      <c r="AF249" s="55">
        <v>0</v>
      </c>
      <c r="AG249" s="55">
        <v>3477.334105222486</v>
      </c>
      <c r="AI249" s="55">
        <v>3129.8719389297398</v>
      </c>
      <c r="AJ249" s="55">
        <v>347.46216629274625</v>
      </c>
      <c r="AK249" s="55">
        <v>0</v>
      </c>
      <c r="AM249" s="55">
        <v>2398708</v>
      </c>
      <c r="AN249" s="55">
        <v>267741</v>
      </c>
      <c r="AO249" s="55">
        <v>478192</v>
      </c>
      <c r="AP249" s="55"/>
      <c r="AQ249" s="55">
        <v>3144641</v>
      </c>
      <c r="AR249" s="1"/>
      <c r="AS249" s="175">
        <v>1246.8450802506227</v>
      </c>
      <c r="AT249" s="175">
        <v>139.17139919964495</v>
      </c>
      <c r="AU249" s="175">
        <v>248.56353612661721</v>
      </c>
      <c r="AV249" s="175"/>
      <c r="AW249" s="175">
        <v>1634.5800155768848</v>
      </c>
      <c r="AX249" s="1"/>
      <c r="AY249" s="171">
        <v>-4.3682851575526094E-3</v>
      </c>
      <c r="AZ249" s="171">
        <v>1.312468352770968E-2</v>
      </c>
      <c r="BA249" s="171">
        <v>-8.6250664851885483E-2</v>
      </c>
      <c r="BB249" s="171">
        <f t="shared" si="81"/>
        <v>-1.6326539113065808E-2</v>
      </c>
      <c r="BC249" s="171"/>
      <c r="BD249" s="1"/>
      <c r="BE249" s="179">
        <f>AM249/'2019-20 disagg'!AM249-1</f>
        <v>3.861529968283528E-2</v>
      </c>
      <c r="BF249" s="179">
        <f>AN249/'2019-20 disagg'!AN249-1</f>
        <v>3.9258307553168059E-2</v>
      </c>
      <c r="BG249" s="179">
        <f>AO249/'2019-20 disagg'!AO249-1</f>
        <v>4.9396181117136173E-2</v>
      </c>
      <c r="BH249" s="179">
        <f>AQ249/'2019-20 disagg'!AQ249-1</f>
        <v>4.029528571688501E-2</v>
      </c>
      <c r="BI249" s="1"/>
      <c r="BJ249" s="179">
        <f>AS249/'2019-20 disagg'!AS249-1</f>
        <v>3.2287204566697758E-2</v>
      </c>
      <c r="BK249" s="179">
        <f>AT249/'2019-20 disagg'!AT249-1</f>
        <v>3.2926294706408399E-2</v>
      </c>
      <c r="BL249" s="179">
        <f>AU249/'2019-20 disagg'!AU249-1</f>
        <v>4.3002400040881295E-2</v>
      </c>
      <c r="BM249" s="179">
        <f>AW249/'2019-20 disagg'!AW249-1</f>
        <v>3.3956954749782664E-2</v>
      </c>
    </row>
    <row r="250" spans="2:65" x14ac:dyDescent="0.2">
      <c r="B250" s="1" t="s">
        <v>532</v>
      </c>
      <c r="D250" s="55">
        <v>3721928.0357104316</v>
      </c>
      <c r="E250" s="166">
        <v>1740.7729445695727</v>
      </c>
      <c r="F250" s="171">
        <f>VLOOKUP(B250,'2020-21'!$B$12:$AMX458,33,FALSE)</f>
        <v>3.8881212078618166E-2</v>
      </c>
      <c r="G250" s="171">
        <f>VLOOKUP(B250,'2020-21'!$B$12:$AMX458,34,FALSE)</f>
        <v>3.3319228931280254E-2</v>
      </c>
      <c r="I250" s="175">
        <v>3726909.216958595</v>
      </c>
      <c r="J250" s="175">
        <v>1743.102679445047</v>
      </c>
      <c r="K250" s="171">
        <f t="shared" si="80"/>
        <v>-1.3365448306327243E-3</v>
      </c>
      <c r="L250" s="170">
        <f t="shared" si="80"/>
        <v>-1.3365448306327243E-3</v>
      </c>
      <c r="N250" s="55">
        <v>2853185</v>
      </c>
      <c r="O250" s="55">
        <v>296706</v>
      </c>
      <c r="P250" s="55">
        <v>569923</v>
      </c>
      <c r="R250" s="55">
        <v>569923</v>
      </c>
      <c r="S250" s="55">
        <v>2114.0357104314025</v>
      </c>
      <c r="U250" s="171">
        <v>4.2005184774915882E-3</v>
      </c>
      <c r="V250" s="171">
        <v>4.7174830135388035E-4</v>
      </c>
      <c r="AA250" s="55">
        <v>2114.0357104314025</v>
      </c>
      <c r="AB250" s="55">
        <v>0</v>
      </c>
      <c r="AC250" s="55">
        <v>0</v>
      </c>
      <c r="AE250" s="55">
        <v>0</v>
      </c>
      <c r="AF250" s="55">
        <v>0</v>
      </c>
      <c r="AG250" s="55">
        <v>0</v>
      </c>
      <c r="AI250" s="55">
        <v>0</v>
      </c>
      <c r="AJ250" s="55">
        <v>0</v>
      </c>
      <c r="AK250" s="55">
        <v>0</v>
      </c>
      <c r="AM250" s="55">
        <v>2855299</v>
      </c>
      <c r="AN250" s="55">
        <v>296706</v>
      </c>
      <c r="AO250" s="55">
        <v>569923</v>
      </c>
      <c r="AP250" s="55"/>
      <c r="AQ250" s="55">
        <v>3721928</v>
      </c>
      <c r="AR250" s="1"/>
      <c r="AS250" s="175">
        <v>1335.4442106798592</v>
      </c>
      <c r="AT250" s="175">
        <v>138.77156472018459</v>
      </c>
      <c r="AU250" s="175">
        <v>266.55715246749901</v>
      </c>
      <c r="AV250" s="175"/>
      <c r="AW250" s="175">
        <v>1740.7729278675429</v>
      </c>
      <c r="AX250" s="1"/>
      <c r="AY250" s="171">
        <v>4.9445571206436778E-3</v>
      </c>
      <c r="AZ250" s="171">
        <v>4.7174830135388035E-4</v>
      </c>
      <c r="BA250" s="171">
        <v>-3.2541297911871436E-2</v>
      </c>
      <c r="BB250" s="171">
        <f t="shared" si="81"/>
        <v>-1.3365544124146478E-3</v>
      </c>
      <c r="BC250" s="171"/>
      <c r="BD250" s="1"/>
      <c r="BE250" s="179">
        <f>AM250/'2019-20 disagg'!AM250-1</f>
        <v>3.6854784356788794E-2</v>
      </c>
      <c r="BF250" s="179">
        <f>AN250/'2019-20 disagg'!AN250-1</f>
        <v>4.0040941801649632E-2</v>
      </c>
      <c r="BG250" s="179">
        <f>AO250/'2019-20 disagg'!AO250-1</f>
        <v>4.8539205946204422E-2</v>
      </c>
      <c r="BH250" s="179">
        <f>AQ250/'2019-20 disagg'!AQ250-1</f>
        <v>3.8881202110962576E-2</v>
      </c>
      <c r="BI250" s="1"/>
      <c r="BJ250" s="179">
        <f>AS250/'2019-20 disagg'!AS250-1</f>
        <v>3.1303650338982747E-2</v>
      </c>
      <c r="BK250" s="179">
        <f>AT250/'2019-20 disagg'!AT250-1</f>
        <v>3.447274966997349E-2</v>
      </c>
      <c r="BL250" s="179">
        <f>AU250/'2019-20 disagg'!AU250-1</f>
        <v>4.2925515636869527E-2</v>
      </c>
      <c r="BM250" s="179">
        <f>AW250/'2019-20 disagg'!AW250-1</f>
        <v>3.3319219016989754E-2</v>
      </c>
    </row>
    <row r="251" spans="2:65" x14ac:dyDescent="0.2">
      <c r="B251" s="1" t="s">
        <v>56</v>
      </c>
      <c r="D251" s="55">
        <v>3255886.5006836466</v>
      </c>
      <c r="E251" s="166">
        <v>1702.6017621133944</v>
      </c>
      <c r="F251" s="171">
        <f>VLOOKUP(B251,'2020-21'!$B$12:$AMX459,33,FALSE)</f>
        <v>4.4676727918529835E-2</v>
      </c>
      <c r="G251" s="171">
        <f>VLOOKUP(B251,'2020-21'!$B$12:$AMX459,34,FALSE)</f>
        <v>3.6218893657914419E-2</v>
      </c>
      <c r="I251" s="175">
        <v>3321986.853375359</v>
      </c>
      <c r="J251" s="175">
        <v>1737.1676405448434</v>
      </c>
      <c r="K251" s="171">
        <f t="shared" si="80"/>
        <v>-1.9897836929893331E-2</v>
      </c>
      <c r="L251" s="170">
        <f t="shared" si="80"/>
        <v>-1.9897836929893331E-2</v>
      </c>
      <c r="N251" s="55">
        <v>2520658</v>
      </c>
      <c r="O251" s="55">
        <v>259828</v>
      </c>
      <c r="P251" s="55">
        <v>458385</v>
      </c>
      <c r="R251" s="55">
        <v>458385</v>
      </c>
      <c r="S251" s="55">
        <v>17015.500683646707</v>
      </c>
      <c r="U251" s="171">
        <v>-4.3554348308822988E-3</v>
      </c>
      <c r="V251" s="171">
        <v>-6.610367482886681E-3</v>
      </c>
      <c r="AA251" s="55">
        <v>6947.8980494062325</v>
      </c>
      <c r="AB251" s="55">
        <v>0</v>
      </c>
      <c r="AC251" s="55">
        <v>10067.602634240475</v>
      </c>
      <c r="AE251" s="55">
        <v>0</v>
      </c>
      <c r="AF251" s="55">
        <v>0</v>
      </c>
      <c r="AG251" s="55">
        <v>10067.602634240475</v>
      </c>
      <c r="AI251" s="55">
        <v>9117.9522923570075</v>
      </c>
      <c r="AJ251" s="55">
        <v>949.65034188346795</v>
      </c>
      <c r="AK251" s="55">
        <v>0</v>
      </c>
      <c r="AM251" s="55">
        <v>2536724</v>
      </c>
      <c r="AN251" s="55">
        <v>260777</v>
      </c>
      <c r="AO251" s="55">
        <v>458385</v>
      </c>
      <c r="AP251" s="55"/>
      <c r="AQ251" s="55">
        <v>3255886</v>
      </c>
      <c r="AR251" s="1"/>
      <c r="AS251" s="175">
        <v>1326.529887171577</v>
      </c>
      <c r="AT251" s="175">
        <v>136.3681994521053</v>
      </c>
      <c r="AU251" s="175">
        <v>239.70341366705378</v>
      </c>
      <c r="AV251" s="175"/>
      <c r="AW251" s="175">
        <v>1702.6015002907361</v>
      </c>
      <c r="AX251" s="1"/>
      <c r="AY251" s="171">
        <v>1.9905373652693292E-3</v>
      </c>
      <c r="AZ251" s="171">
        <v>-2.9820950824573922E-3</v>
      </c>
      <c r="BA251" s="171">
        <v>-0.13307027262276661</v>
      </c>
      <c r="BB251" s="171">
        <f t="shared" si="81"/>
        <v>-1.9897987648023419E-2</v>
      </c>
      <c r="BC251" s="171"/>
      <c r="BD251" s="1"/>
      <c r="BE251" s="179">
        <f>AM251/'2019-20 disagg'!AM251-1</f>
        <v>4.3207985336747745E-2</v>
      </c>
      <c r="BF251" s="179">
        <f>AN251/'2019-20 disagg'!AN251-1</f>
        <v>4.6767499177123195E-2</v>
      </c>
      <c r="BG251" s="179">
        <f>AO251/'2019-20 disagg'!AO251-1</f>
        <v>5.1674612606742443E-2</v>
      </c>
      <c r="BH251" s="179">
        <f>AQ251/'2019-20 disagg'!AQ251-1</f>
        <v>4.467656727025382E-2</v>
      </c>
      <c r="BI251" s="1"/>
      <c r="BJ251" s="179">
        <f>AS251/'2019-20 disagg'!AS251-1</f>
        <v>3.4762042200914056E-2</v>
      </c>
      <c r="BK251" s="179">
        <f>AT251/'2019-20 disagg'!AT251-1</f>
        <v>3.8292737769276997E-2</v>
      </c>
      <c r="BL251" s="179">
        <f>AU251/'2019-20 disagg'!AU251-1</f>
        <v>4.3160122591015426E-2</v>
      </c>
      <c r="BM251" s="179">
        <f>AW251/'2019-20 disagg'!AW251-1</f>
        <v>3.621873431026712E-2</v>
      </c>
    </row>
    <row r="252" spans="2:65" x14ac:dyDescent="0.2">
      <c r="B252" s="1" t="s">
        <v>533</v>
      </c>
      <c r="D252" s="55">
        <v>4425949.1878498811</v>
      </c>
      <c r="E252" s="166">
        <v>1643.6718447285136</v>
      </c>
      <c r="F252" s="171">
        <f>VLOOKUP(B252,'2020-21'!$B$12:$AMX460,33,FALSE)</f>
        <v>4.2542435415069191E-2</v>
      </c>
      <c r="G252" s="171">
        <f>VLOOKUP(B252,'2020-21'!$B$12:$AMX460,34,FALSE)</f>
        <v>3.515489562670826E-2</v>
      </c>
      <c r="I252" s="175">
        <v>4505334.2579093892</v>
      </c>
      <c r="J252" s="175">
        <v>1673.1532054515008</v>
      </c>
      <c r="K252" s="171">
        <f t="shared" si="80"/>
        <v>-1.7620239812427441E-2</v>
      </c>
      <c r="L252" s="170">
        <f t="shared" si="80"/>
        <v>-1.7620239812427441E-2</v>
      </c>
      <c r="N252" s="55">
        <v>3368325</v>
      </c>
      <c r="O252" s="55">
        <v>390883</v>
      </c>
      <c r="P252" s="55">
        <v>648704</v>
      </c>
      <c r="R252" s="55">
        <v>648704</v>
      </c>
      <c r="S252" s="55">
        <v>18037.187849881069</v>
      </c>
      <c r="U252" s="171">
        <v>-4.8312055440636881E-3</v>
      </c>
      <c r="V252" s="171">
        <v>5.51619328780657E-2</v>
      </c>
      <c r="AA252" s="55">
        <v>14127.859418351722</v>
      </c>
      <c r="AB252" s="55">
        <v>0</v>
      </c>
      <c r="AC252" s="55">
        <v>3909.3284315293477</v>
      </c>
      <c r="AE252" s="55">
        <v>0</v>
      </c>
      <c r="AF252" s="55">
        <v>314.31843760513379</v>
      </c>
      <c r="AG252" s="55">
        <v>3595.0099939242141</v>
      </c>
      <c r="AI252" s="55">
        <v>3257.0388892699111</v>
      </c>
      <c r="AJ252" s="55">
        <v>337.97110465430285</v>
      </c>
      <c r="AK252" s="55">
        <v>0</v>
      </c>
      <c r="AM252" s="55">
        <v>3385710</v>
      </c>
      <c r="AN252" s="55">
        <v>391536</v>
      </c>
      <c r="AO252" s="55">
        <v>648704</v>
      </c>
      <c r="AP252" s="55"/>
      <c r="AQ252" s="55">
        <v>4425950</v>
      </c>
      <c r="AR252" s="1"/>
      <c r="AS252" s="175">
        <v>1257.3565500238474</v>
      </c>
      <c r="AT252" s="175">
        <v>145.40535195576027</v>
      </c>
      <c r="AU252" s="175">
        <v>240.91024435839745</v>
      </c>
      <c r="AV252" s="175"/>
      <c r="AW252" s="175">
        <v>1643.6721463380052</v>
      </c>
      <c r="AX252" s="1"/>
      <c r="AY252" s="171">
        <v>3.0517811595021094E-4</v>
      </c>
      <c r="AZ252" s="171">
        <v>5.6924661730866521E-2</v>
      </c>
      <c r="BA252" s="171">
        <v>-0.13530210495074579</v>
      </c>
      <c r="BB252" s="171">
        <f t="shared" si="81"/>
        <v>-1.7620059548306588E-2</v>
      </c>
      <c r="BC252" s="171"/>
      <c r="BD252" s="1"/>
      <c r="BE252" s="179">
        <f>AM252/'2019-20 disagg'!AM252-1</f>
        <v>4.1950565582034249E-2</v>
      </c>
      <c r="BF252" s="179">
        <f>AN252/'2019-20 disagg'!AN252-1</f>
        <v>3.4599753727123206E-2</v>
      </c>
      <c r="BG252" s="179">
        <f>AO252/'2019-20 disagg'!AO252-1</f>
        <v>5.0525988495621066E-2</v>
      </c>
      <c r="BH252" s="179">
        <f>AQ252/'2019-20 disagg'!AQ252-1</f>
        <v>4.254262671888398E-2</v>
      </c>
      <c r="BI252" s="1"/>
      <c r="BJ252" s="179">
        <f>AS252/'2019-20 disagg'!AS252-1</f>
        <v>3.4567219831050267E-2</v>
      </c>
      <c r="BK252" s="179">
        <f>AT252/'2019-20 disagg'!AT252-1</f>
        <v>2.7268496421856137E-2</v>
      </c>
      <c r="BL252" s="179">
        <f>AU252/'2019-20 disagg'!AU252-1</f>
        <v>4.3081876606181346E-2</v>
      </c>
      <c r="BM252" s="179">
        <f>AW252/'2019-20 disagg'!AW252-1</f>
        <v>3.5155085574928746E-2</v>
      </c>
    </row>
    <row r="253" spans="2:65" x14ac:dyDescent="0.2">
      <c r="B253" s="1" t="s">
        <v>516</v>
      </c>
      <c r="D253" s="55">
        <v>17247340.503598288</v>
      </c>
      <c r="E253" s="166">
        <v>1731.1454537845332</v>
      </c>
      <c r="F253" s="171">
        <f>VLOOKUP(B253,'2020-21'!$B$12:$AMX461,33,FALSE)</f>
        <v>4.3535986009396677E-2</v>
      </c>
      <c r="G253" s="171">
        <f>VLOOKUP(B253,'2020-21'!$B$12:$AMX461,34,FALSE)</f>
        <v>3.1843069683084479E-2</v>
      </c>
      <c r="I253" s="175">
        <v>17224111.340225853</v>
      </c>
      <c r="J253" s="175">
        <v>1728.8139024036684</v>
      </c>
      <c r="K253" s="171">
        <f t="shared" si="80"/>
        <v>1.3486421977650931E-3</v>
      </c>
      <c r="L253" s="170">
        <f t="shared" si="80"/>
        <v>1.3486421977653151E-3</v>
      </c>
      <c r="N253" s="55">
        <v>12346068</v>
      </c>
      <c r="O253" s="55">
        <v>1387029</v>
      </c>
      <c r="P253" s="55">
        <v>3449212</v>
      </c>
      <c r="R253" s="55">
        <v>3449212</v>
      </c>
      <c r="S253" s="55">
        <v>65031.503598285199</v>
      </c>
      <c r="U253" s="171">
        <v>1.9865899573459078E-3</v>
      </c>
      <c r="V253" s="171">
        <v>-3.7011800953791196E-2</v>
      </c>
      <c r="AA253" s="55">
        <v>1642.3256485750317</v>
      </c>
      <c r="AB253" s="55">
        <v>0</v>
      </c>
      <c r="AC253" s="55">
        <v>63389.177949710167</v>
      </c>
      <c r="AE253" s="55">
        <v>0</v>
      </c>
      <c r="AF253" s="55">
        <v>1861.8660535718677</v>
      </c>
      <c r="AG253" s="55">
        <v>61527.311896138301</v>
      </c>
      <c r="AI253" s="55">
        <v>55395.865956099449</v>
      </c>
      <c r="AJ253" s="55">
        <v>6131.4459400388432</v>
      </c>
      <c r="AK253" s="55">
        <v>0</v>
      </c>
      <c r="AM253" s="55">
        <v>12403107</v>
      </c>
      <c r="AN253" s="55">
        <v>1395023</v>
      </c>
      <c r="AO253" s="55">
        <v>3449212</v>
      </c>
      <c r="AP253" s="55"/>
      <c r="AQ253" s="55">
        <v>17247342</v>
      </c>
      <c r="AR253" s="1"/>
      <c r="AS253" s="175">
        <v>1244.9213425903856</v>
      </c>
      <c r="AT253" s="175">
        <v>140.02087590669561</v>
      </c>
      <c r="AU253" s="175">
        <v>346.20338548388474</v>
      </c>
      <c r="AV253" s="175"/>
      <c r="AW253" s="175">
        <v>1731.1456039809659</v>
      </c>
      <c r="AX253" s="1"/>
      <c r="AY253" s="171">
        <v>6.6157814622507249E-3</v>
      </c>
      <c r="AZ253" s="171">
        <v>-3.1461716807623108E-2</v>
      </c>
      <c r="BA253" s="171">
        <v>-3.7464124389128273E-3</v>
      </c>
      <c r="BB253" s="171">
        <f t="shared" si="81"/>
        <v>1.348729076076749E-3</v>
      </c>
      <c r="BC253" s="171"/>
      <c r="BD253" s="1"/>
      <c r="BE253" s="179">
        <f>AM253/'2019-20 disagg'!AM253-1</f>
        <v>3.945773676561215E-2</v>
      </c>
      <c r="BF253" s="179">
        <f>AN253/'2019-20 disagg'!AN253-1</f>
        <v>5.2229709649730172E-2</v>
      </c>
      <c r="BG253" s="179">
        <f>AO253/'2019-20 disagg'!AO253-1</f>
        <v>5.489425251007507E-2</v>
      </c>
      <c r="BH253" s="179">
        <f>AQ253/'2019-20 disagg'!AQ253-1</f>
        <v>4.3536076547937119E-2</v>
      </c>
      <c r="BI253" s="1"/>
      <c r="BJ253" s="179">
        <f>AS253/'2019-20 disagg'!AS253-1</f>
        <v>2.7810517595703521E-2</v>
      </c>
      <c r="BK253" s="179">
        <f>AT253/'2019-20 disagg'!AT253-1</f>
        <v>4.0439379353556459E-2</v>
      </c>
      <c r="BL253" s="179">
        <f>AU253/'2019-20 disagg'!AU253-1</f>
        <v>4.3074065767040093E-2</v>
      </c>
      <c r="BM253" s="179">
        <f>AW253/'2019-20 disagg'!AW253-1</f>
        <v>3.184315920713221E-2</v>
      </c>
    </row>
    <row r="254" spans="2:65" x14ac:dyDescent="0.2">
      <c r="B254" s="1" t="s">
        <v>534</v>
      </c>
      <c r="D254" s="55">
        <v>3287283.9209754183</v>
      </c>
      <c r="E254" s="166">
        <v>1722.4509765382743</v>
      </c>
      <c r="F254" s="171">
        <f>VLOOKUP(B254,'2020-21'!$B$12:$AMX462,33,FALSE)</f>
        <v>4.3455326217611834E-2</v>
      </c>
      <c r="G254" s="171">
        <f>VLOOKUP(B254,'2020-21'!$B$12:$AMX462,34,FALSE)</f>
        <v>3.4563962627082834E-2</v>
      </c>
      <c r="I254" s="175">
        <v>3321332.5542296781</v>
      </c>
      <c r="J254" s="175">
        <v>1740.2915716947741</v>
      </c>
      <c r="K254" s="171">
        <f t="shared" si="80"/>
        <v>-1.0251497764323325E-2</v>
      </c>
      <c r="L254" s="170">
        <f t="shared" si="80"/>
        <v>-1.0251497764323436E-2</v>
      </c>
      <c r="N254" s="55">
        <v>2464505</v>
      </c>
      <c r="O254" s="55">
        <v>261278</v>
      </c>
      <c r="P254" s="55">
        <v>549539</v>
      </c>
      <c r="R254" s="55">
        <v>549539</v>
      </c>
      <c r="S254" s="55">
        <v>11961.92097541815</v>
      </c>
      <c r="U254" s="171">
        <v>-4.7664188328986334E-3</v>
      </c>
      <c r="V254" s="171">
        <v>-1.7348559813450071E-2</v>
      </c>
      <c r="AA254" s="55">
        <v>4962.4119296716526</v>
      </c>
      <c r="AB254" s="55">
        <v>0</v>
      </c>
      <c r="AC254" s="55">
        <v>6999.5090457464976</v>
      </c>
      <c r="AE254" s="55">
        <v>0</v>
      </c>
      <c r="AF254" s="55">
        <v>0</v>
      </c>
      <c r="AG254" s="55">
        <v>6999.5090457464976</v>
      </c>
      <c r="AI254" s="55">
        <v>6330.0319264754608</v>
      </c>
      <c r="AJ254" s="55">
        <v>669.4771192710366</v>
      </c>
      <c r="AK254" s="55">
        <v>0</v>
      </c>
      <c r="AM254" s="55">
        <v>2475797</v>
      </c>
      <c r="AN254" s="55">
        <v>261948</v>
      </c>
      <c r="AO254" s="55">
        <v>549539</v>
      </c>
      <c r="AP254" s="55"/>
      <c r="AQ254" s="55">
        <v>3287284</v>
      </c>
      <c r="AR254" s="1"/>
      <c r="AS254" s="175">
        <v>1297.2530097416002</v>
      </c>
      <c r="AT254" s="175">
        <v>137.25391516178132</v>
      </c>
      <c r="AU254" s="175">
        <v>287.94409304171108</v>
      </c>
      <c r="AV254" s="175"/>
      <c r="AW254" s="175">
        <v>1722.4510179450926</v>
      </c>
      <c r="AX254" s="1"/>
      <c r="AY254" s="171">
        <v>-2.0640471300881202E-4</v>
      </c>
      <c r="AZ254" s="171">
        <v>-1.4828728580338235E-2</v>
      </c>
      <c r="BA254" s="171">
        <v>-5.1101523416903549E-2</v>
      </c>
      <c r="BB254" s="171">
        <f t="shared" si="81"/>
        <v>-1.0251473971288338E-2</v>
      </c>
      <c r="BC254" s="171"/>
      <c r="BD254" s="1"/>
      <c r="BE254" s="179">
        <f>AM254/'2019-20 disagg'!AM254-1</f>
        <v>4.1290818603285651E-2</v>
      </c>
      <c r="BF254" s="179">
        <f>AN254/'2019-20 disagg'!AN254-1</f>
        <v>4.605554779066745E-2</v>
      </c>
      <c r="BG254" s="179">
        <f>AO254/'2019-20 disagg'!AO254-1</f>
        <v>5.2061377059223313E-2</v>
      </c>
      <c r="BH254" s="179">
        <f>AQ254/'2019-20 disagg'!AQ254-1</f>
        <v>4.3455351301730616E-2</v>
      </c>
      <c r="BI254" s="1"/>
      <c r="BJ254" s="179">
        <f>AS254/'2019-20 disagg'!AS254-1</f>
        <v>3.2417898949655521E-2</v>
      </c>
      <c r="BK254" s="179">
        <f>AT254/'2019-20 disagg'!AT254-1</f>
        <v>3.7142027510876474E-2</v>
      </c>
      <c r="BL254" s="179">
        <f>AU254/'2019-20 disagg'!AU254-1</f>
        <v>4.3096680643427421E-2</v>
      </c>
      <c r="BM254" s="179">
        <f>AW254/'2019-20 disagg'!AW254-1</f>
        <v>3.4563987497457926E-2</v>
      </c>
    </row>
    <row r="255" spans="2:65" x14ac:dyDescent="0.2">
      <c r="B255" s="1" t="s">
        <v>535</v>
      </c>
      <c r="D255" s="55">
        <v>3562868.0819324991</v>
      </c>
      <c r="E255" s="166">
        <v>1540.6601114828543</v>
      </c>
      <c r="F255" s="171">
        <f>VLOOKUP(B255,'2020-21'!$B$12:$AMX463,33,FALSE)</f>
        <v>4.167164870961515E-2</v>
      </c>
      <c r="G255" s="171">
        <f>VLOOKUP(B255,'2020-21'!$B$12:$AMX463,34,FALSE)</f>
        <v>3.4410975548290867E-2</v>
      </c>
      <c r="I255" s="175">
        <v>3603534.4176483564</v>
      </c>
      <c r="J255" s="175">
        <v>1558.2451019671523</v>
      </c>
      <c r="K255" s="171">
        <f t="shared" si="80"/>
        <v>-1.1285124825419546E-2</v>
      </c>
      <c r="L255" s="170">
        <f t="shared" si="80"/>
        <v>-1.1285124825419657E-2</v>
      </c>
      <c r="N255" s="55">
        <v>2606038</v>
      </c>
      <c r="O255" s="55">
        <v>307371</v>
      </c>
      <c r="P255" s="55">
        <v>644104</v>
      </c>
      <c r="R255" s="55">
        <v>644104</v>
      </c>
      <c r="S255" s="55">
        <v>5355.0819324989279</v>
      </c>
      <c r="U255" s="171">
        <v>-3.3915642571750726E-2</v>
      </c>
      <c r="V255" s="171">
        <v>-4.9259085057368202E-3</v>
      </c>
      <c r="AA255" s="55">
        <v>934.25154022377683</v>
      </c>
      <c r="AB255" s="55">
        <v>0</v>
      </c>
      <c r="AC255" s="55">
        <v>4420.8303922751511</v>
      </c>
      <c r="AE255" s="55">
        <v>0</v>
      </c>
      <c r="AF255" s="55">
        <v>0</v>
      </c>
      <c r="AG255" s="55">
        <v>4420.8303922751511</v>
      </c>
      <c r="AI255" s="55">
        <v>3970.8636483562786</v>
      </c>
      <c r="AJ255" s="55">
        <v>449.96674391887302</v>
      </c>
      <c r="AK255" s="55">
        <v>0</v>
      </c>
      <c r="AM255" s="55">
        <v>2610944</v>
      </c>
      <c r="AN255" s="55">
        <v>307822</v>
      </c>
      <c r="AO255" s="55">
        <v>644104</v>
      </c>
      <c r="AP255" s="55"/>
      <c r="AQ255" s="55">
        <v>3562870</v>
      </c>
      <c r="AR255" s="1"/>
      <c r="AS255" s="175">
        <v>1129.0278454355921</v>
      </c>
      <c r="AT255" s="175">
        <v>133.10879491772891</v>
      </c>
      <c r="AU255" s="175">
        <v>278.52430054281001</v>
      </c>
      <c r="AV255" s="175"/>
      <c r="AW255" s="175">
        <v>1540.660940896131</v>
      </c>
      <c r="AX255" s="1"/>
      <c r="AY255" s="171">
        <v>-3.209693929208135E-2</v>
      </c>
      <c r="AZ255" s="171">
        <v>-3.4658539942054034E-3</v>
      </c>
      <c r="BA255" s="171">
        <v>7.8692477278334172E-2</v>
      </c>
      <c r="BB255" s="171">
        <f t="shared" si="81"/>
        <v>-1.1284592551468853E-2</v>
      </c>
      <c r="BC255" s="171"/>
      <c r="BD255" s="1"/>
      <c r="BE255" s="179">
        <f>AM255/'2019-20 disagg'!AM255-1</f>
        <v>3.9367019472526854E-2</v>
      </c>
      <c r="BF255" s="179">
        <f>AN255/'2019-20 disagg'!AN255-1</f>
        <v>4.3255755628535342E-2</v>
      </c>
      <c r="BG255" s="179">
        <f>AO255/'2019-20 disagg'!AO255-1</f>
        <v>5.0353377058376614E-2</v>
      </c>
      <c r="BH255" s="179">
        <f>AQ255/'2019-20 disagg'!AQ255-1</f>
        <v>4.1672209492807255E-2</v>
      </c>
      <c r="BI255" s="1"/>
      <c r="BJ255" s="179">
        <f>AS255/'2019-20 disagg'!AS255-1</f>
        <v>3.2122410067636054E-2</v>
      </c>
      <c r="BK255" s="179">
        <f>AT255/'2019-20 disagg'!AT255-1</f>
        <v>3.598404090473295E-2</v>
      </c>
      <c r="BL255" s="179">
        <f>AU255/'2019-20 disagg'!AU255-1</f>
        <v>4.3032190402138681E-2</v>
      </c>
      <c r="BM255" s="179">
        <f>AW255/'2019-20 disagg'!AW255-1</f>
        <v>3.4411532422704783E-2</v>
      </c>
    </row>
    <row r="256" spans="2:65" x14ac:dyDescent="0.2">
      <c r="B256" s="1" t="s">
        <v>536</v>
      </c>
      <c r="D256" s="55">
        <v>5148555.5274611861</v>
      </c>
      <c r="E256" s="166">
        <v>1714.4163275344756</v>
      </c>
      <c r="F256" s="171">
        <f>VLOOKUP(B256,'2020-21'!$B$12:$AMX464,33,FALSE)</f>
        <v>4.2130381676755535E-2</v>
      </c>
      <c r="G256" s="171">
        <f>VLOOKUP(B256,'2020-21'!$B$12:$AMX464,34,FALSE)</f>
        <v>3.4074612740595978E-2</v>
      </c>
      <c r="I256" s="175">
        <v>5197992.4948323481</v>
      </c>
      <c r="J256" s="175">
        <v>1730.8783319923946</v>
      </c>
      <c r="K256" s="171">
        <f t="shared" si="80"/>
        <v>-9.510780829389498E-3</v>
      </c>
      <c r="L256" s="170">
        <f t="shared" si="80"/>
        <v>-9.510780829389498E-3</v>
      </c>
      <c r="N256" s="55">
        <v>3871813</v>
      </c>
      <c r="O256" s="55">
        <v>402090</v>
      </c>
      <c r="P256" s="55">
        <v>861590</v>
      </c>
      <c r="R256" s="55">
        <v>861590</v>
      </c>
      <c r="S256" s="55">
        <v>13062.527461186051</v>
      </c>
      <c r="U256" s="171">
        <v>-1.2967032903452136E-2</v>
      </c>
      <c r="V256" s="171">
        <v>-3.5444547254859016E-2</v>
      </c>
      <c r="AA256" s="55">
        <v>1190.7081176072825</v>
      </c>
      <c r="AB256" s="55">
        <v>0</v>
      </c>
      <c r="AC256" s="55">
        <v>11871.819343578769</v>
      </c>
      <c r="AE256" s="55">
        <v>0</v>
      </c>
      <c r="AF256" s="55">
        <v>0</v>
      </c>
      <c r="AG256" s="55">
        <v>11871.819343578769</v>
      </c>
      <c r="AI256" s="55">
        <v>10763.392470608325</v>
      </c>
      <c r="AJ256" s="55">
        <v>1108.4268729704447</v>
      </c>
      <c r="AK256" s="55">
        <v>0</v>
      </c>
      <c r="AM256" s="55">
        <v>3883767</v>
      </c>
      <c r="AN256" s="55">
        <v>403197</v>
      </c>
      <c r="AO256" s="55">
        <v>861590</v>
      </c>
      <c r="AP256" s="55"/>
      <c r="AQ256" s="55">
        <v>5148554</v>
      </c>
      <c r="AR256" s="1"/>
      <c r="AS256" s="175">
        <v>1293.2546850520073</v>
      </c>
      <c r="AT256" s="175">
        <v>134.26047681256733</v>
      </c>
      <c r="AU256" s="175">
        <v>286.90065704094991</v>
      </c>
      <c r="AV256" s="175"/>
      <c r="AW256" s="175">
        <v>1714.4158189055247</v>
      </c>
      <c r="AX256" s="1"/>
      <c r="AY256" s="171">
        <v>-9.9196253740408968E-3</v>
      </c>
      <c r="AZ256" s="171">
        <v>-3.2789015194402693E-2</v>
      </c>
      <c r="BA256" s="171">
        <v>3.6596484410509333E-3</v>
      </c>
      <c r="BB256" s="171">
        <f t="shared" si="81"/>
        <v>-9.5110746853709349E-3</v>
      </c>
      <c r="BC256" s="171"/>
      <c r="BD256" s="1"/>
      <c r="BE256" s="179">
        <f>AM256/'2019-20 disagg'!AM256-1</f>
        <v>3.980101234074751E-2</v>
      </c>
      <c r="BF256" s="179">
        <f>AN256/'2019-20 disagg'!AN256-1</f>
        <v>4.5407639414650314E-2</v>
      </c>
      <c r="BG256" s="179">
        <f>AO256/'2019-20 disagg'!AO256-1</f>
        <v>5.1201526553639187E-2</v>
      </c>
      <c r="BH256" s="179">
        <f>AQ256/'2019-20 disagg'!AQ256-1</f>
        <v>4.2130072499996896E-2</v>
      </c>
      <c r="BI256" s="1"/>
      <c r="BJ256" s="179">
        <f>AS256/'2019-20 disagg'!AS256-1</f>
        <v>3.1763249655502257E-2</v>
      </c>
      <c r="BK256" s="179">
        <f>AT256/'2019-20 disagg'!AT256-1</f>
        <v>3.7326536958285583E-2</v>
      </c>
      <c r="BL256" s="179">
        <f>AU256/'2019-20 disagg'!AU256-1</f>
        <v>4.3075636787687888E-2</v>
      </c>
      <c r="BM256" s="179">
        <f>AW256/'2019-20 disagg'!AW256-1</f>
        <v>3.4074305953804007E-2</v>
      </c>
    </row>
    <row r="257" spans="2:65" x14ac:dyDescent="0.2">
      <c r="B257" s="1" t="s">
        <v>537</v>
      </c>
      <c r="D257" s="55">
        <v>4977071.5384098822</v>
      </c>
      <c r="E257" s="166">
        <v>1700.9973392048601</v>
      </c>
      <c r="F257" s="171">
        <f>VLOOKUP(B257,'2020-21'!$B$12:$AMX465,33,FALSE)</f>
        <v>3.9950391174084832E-2</v>
      </c>
      <c r="G257" s="171">
        <f>VLOOKUP(B257,'2020-21'!$B$12:$AMX465,34,FALSE)</f>
        <v>3.3772129617705371E-2</v>
      </c>
      <c r="I257" s="175">
        <v>5002520.8679429255</v>
      </c>
      <c r="J257" s="175">
        <v>1709.6950726985772</v>
      </c>
      <c r="K257" s="171">
        <f t="shared" si="80"/>
        <v>-5.0873010237952876E-3</v>
      </c>
      <c r="L257" s="170">
        <f t="shared" si="80"/>
        <v>-5.0873010237951766E-3</v>
      </c>
      <c r="N257" s="55">
        <v>3771648</v>
      </c>
      <c r="O257" s="55">
        <v>400407</v>
      </c>
      <c r="P257" s="55">
        <v>800386</v>
      </c>
      <c r="R257" s="55">
        <v>800386</v>
      </c>
      <c r="S257" s="55">
        <v>4630.5384098821669</v>
      </c>
      <c r="U257" s="171">
        <v>-2.0798170055213339E-2</v>
      </c>
      <c r="V257" s="171">
        <v>-1.5554635626405577E-2</v>
      </c>
      <c r="AA257" s="55">
        <v>858.20068107696716</v>
      </c>
      <c r="AB257" s="55">
        <v>0</v>
      </c>
      <c r="AC257" s="55">
        <v>3772.3377288051997</v>
      </c>
      <c r="AE257" s="55">
        <v>0</v>
      </c>
      <c r="AF257" s="55">
        <v>0</v>
      </c>
      <c r="AG257" s="55">
        <v>3772.3377288051997</v>
      </c>
      <c r="AI257" s="55">
        <v>3408.8654108369919</v>
      </c>
      <c r="AJ257" s="55">
        <v>363.47231796820813</v>
      </c>
      <c r="AK257" s="55">
        <v>0</v>
      </c>
      <c r="AM257" s="55">
        <v>3775914</v>
      </c>
      <c r="AN257" s="55">
        <v>400771</v>
      </c>
      <c r="AO257" s="55">
        <v>800386</v>
      </c>
      <c r="AP257" s="55"/>
      <c r="AQ257" s="55">
        <v>4977071</v>
      </c>
      <c r="AR257" s="1"/>
      <c r="AS257" s="175">
        <v>1290.4816853644015</v>
      </c>
      <c r="AT257" s="175">
        <v>136.97018404687623</v>
      </c>
      <c r="AU257" s="175">
        <v>273.54528578301091</v>
      </c>
      <c r="AV257" s="175"/>
      <c r="AW257" s="175">
        <v>1700.9971551942888</v>
      </c>
      <c r="AX257" s="1"/>
      <c r="AY257" s="171">
        <v>-1.9690623697084297E-2</v>
      </c>
      <c r="AZ257" s="171">
        <v>-1.4659700940868103E-2</v>
      </c>
      <c r="BA257" s="171">
        <v>7.5744593847574038E-2</v>
      </c>
      <c r="BB257" s="171">
        <f t="shared" si="81"/>
        <v>-5.0874086515086958E-3</v>
      </c>
      <c r="BC257" s="171"/>
      <c r="BD257" s="1"/>
      <c r="BE257" s="179">
        <f>AM257/'2019-20 disagg'!AM257-1</f>
        <v>3.7811443286133173E-2</v>
      </c>
      <c r="BF257" s="179">
        <f>AN257/'2019-20 disagg'!AN257-1</f>
        <v>4.1618367909179277E-2</v>
      </c>
      <c r="BG257" s="179">
        <f>AO257/'2019-20 disagg'!AO257-1</f>
        <v>4.9310869682067882E-2</v>
      </c>
      <c r="BH257" s="179">
        <f>AQ257/'2019-20 disagg'!AQ257-1</f>
        <v>3.9950278674281803E-2</v>
      </c>
      <c r="BI257" s="1"/>
      <c r="BJ257" s="179">
        <f>AS257/'2019-20 disagg'!AS257-1</f>
        <v>3.1645889046967524E-2</v>
      </c>
      <c r="BK257" s="179">
        <f>AT257/'2019-20 disagg'!AT257-1</f>
        <v>3.5430197037291222E-2</v>
      </c>
      <c r="BL257" s="179">
        <f>AU257/'2019-20 disagg'!AU257-1</f>
        <v>4.307699827640521E-2</v>
      </c>
      <c r="BM257" s="179">
        <f>AW257/'2019-20 disagg'!AW257-1</f>
        <v>3.3772017786254604E-2</v>
      </c>
    </row>
    <row r="258" spans="2:65" x14ac:dyDescent="0.2">
      <c r="B258" s="1" t="s">
        <v>538</v>
      </c>
      <c r="D258" s="55">
        <v>2594057.0753611093</v>
      </c>
      <c r="E258" s="166">
        <v>1611.3369688647558</v>
      </c>
      <c r="F258" s="171">
        <f>VLOOKUP(B258,'2020-21'!$B$12:$AMX466,33,FALSE)</f>
        <v>4.1238426456471133E-2</v>
      </c>
      <c r="G258" s="171">
        <f>VLOOKUP(B258,'2020-21'!$B$12:$AMX466,34,FALSE)</f>
        <v>3.4330492982772132E-2</v>
      </c>
      <c r="I258" s="175">
        <v>2636596.5059691663</v>
      </c>
      <c r="J258" s="175">
        <v>1637.7609661716297</v>
      </c>
      <c r="K258" s="171">
        <f t="shared" si="80"/>
        <v>-1.613422095938799E-2</v>
      </c>
      <c r="L258" s="170">
        <f t="shared" si="80"/>
        <v>-1.613422095938799E-2</v>
      </c>
      <c r="N258" s="55">
        <v>1975068</v>
      </c>
      <c r="O258" s="55">
        <v>213024</v>
      </c>
      <c r="P258" s="55">
        <v>400526</v>
      </c>
      <c r="R258" s="55">
        <v>400526</v>
      </c>
      <c r="S258" s="55">
        <v>5439.0753611089895</v>
      </c>
      <c r="U258" s="171">
        <v>-2.0482361679044714E-2</v>
      </c>
      <c r="V258" s="171">
        <v>-1.4798429852360351E-2</v>
      </c>
      <c r="AA258" s="55">
        <v>0</v>
      </c>
      <c r="AB258" s="55">
        <v>0</v>
      </c>
      <c r="AC258" s="55">
        <v>5439.0753611089895</v>
      </c>
      <c r="AE258" s="55">
        <v>0</v>
      </c>
      <c r="AF258" s="55">
        <v>0</v>
      </c>
      <c r="AG258" s="55">
        <v>5439.0753611089895</v>
      </c>
      <c r="AI258" s="55">
        <v>4915.2869130996369</v>
      </c>
      <c r="AJ258" s="55">
        <v>523.78844800935258</v>
      </c>
      <c r="AK258" s="55">
        <v>0</v>
      </c>
      <c r="AM258" s="55">
        <v>1979984</v>
      </c>
      <c r="AN258" s="55">
        <v>213548</v>
      </c>
      <c r="AO258" s="55">
        <v>400526</v>
      </c>
      <c r="AP258" s="55"/>
      <c r="AQ258" s="55">
        <v>2594058</v>
      </c>
      <c r="AR258" s="1"/>
      <c r="AS258" s="175">
        <v>1229.8963840325632</v>
      </c>
      <c r="AT258" s="175">
        <v>132.64850272395424</v>
      </c>
      <c r="AU258" s="175">
        <v>248.7926564613787</v>
      </c>
      <c r="AV258" s="175"/>
      <c r="AW258" s="175">
        <v>1611.3375432178962</v>
      </c>
      <c r="AX258" s="1"/>
      <c r="AY258" s="171">
        <v>-1.8044314629532598E-2</v>
      </c>
      <c r="AZ258" s="171">
        <v>-1.2375014543487328E-2</v>
      </c>
      <c r="BA258" s="171">
        <v>-8.6106794226621375E-3</v>
      </c>
      <c r="BB258" s="171">
        <f t="shared" si="81"/>
        <v>-1.6133870265268357E-2</v>
      </c>
      <c r="BC258" s="171"/>
      <c r="BD258" s="1"/>
      <c r="BE258" s="179">
        <f>AM258/'2019-20 disagg'!AM258-1</f>
        <v>3.9180573254425033E-2</v>
      </c>
      <c r="BF258" s="179">
        <f>AN258/'2019-20 disagg'!AN258-1</f>
        <v>4.3973933406012078E-2</v>
      </c>
      <c r="BG258" s="179">
        <f>AO258/'2019-20 disagg'!AO258-1</f>
        <v>5.005322021634151E-2</v>
      </c>
      <c r="BH258" s="179">
        <f>AQ258/'2019-20 disagg'!AQ258-1</f>
        <v>4.1238797600789079E-2</v>
      </c>
      <c r="BI258" s="1"/>
      <c r="BJ258" s="179">
        <f>AS258/'2019-20 disagg'!AS258-1</f>
        <v>3.2286292285913287E-2</v>
      </c>
      <c r="BK258" s="179">
        <f>AT258/'2019-20 disagg'!AT258-1</f>
        <v>3.7047851639334217E-2</v>
      </c>
      <c r="BL258" s="179">
        <f>AU258/'2019-20 disagg'!AU258-1</f>
        <v>4.3086806372219844E-2</v>
      </c>
      <c r="BM258" s="179">
        <f>AW258/'2019-20 disagg'!AW258-1</f>
        <v>3.4330861664791046E-2</v>
      </c>
    </row>
    <row r="259" spans="2:65" x14ac:dyDescent="0.2">
      <c r="B259" s="1" t="s">
        <v>539</v>
      </c>
      <c r="D259" s="55">
        <v>2679261.8897110405</v>
      </c>
      <c r="E259" s="166">
        <v>1681.7991953976561</v>
      </c>
      <c r="F259" s="171">
        <f>VLOOKUP(B259,'2020-21'!$B$12:$AMX467,33,FALSE)</f>
        <v>4.0411265830758714E-2</v>
      </c>
      <c r="G259" s="171">
        <f>VLOOKUP(B259,'2020-21'!$B$12:$AMX467,34,FALSE)</f>
        <v>3.2296849868028499E-2</v>
      </c>
      <c r="I259" s="175">
        <v>2701453.7350072078</v>
      </c>
      <c r="J259" s="175">
        <v>1695.7292362446556</v>
      </c>
      <c r="K259" s="171">
        <f t="shared" si="80"/>
        <v>-8.2147789571929142E-3</v>
      </c>
      <c r="L259" s="170">
        <f t="shared" si="80"/>
        <v>-8.2147789571929142E-3</v>
      </c>
      <c r="N259" s="55">
        <v>1993837</v>
      </c>
      <c r="O259" s="55">
        <v>222164</v>
      </c>
      <c r="P259" s="55">
        <v>460547</v>
      </c>
      <c r="R259" s="55">
        <v>460547</v>
      </c>
      <c r="S259" s="55">
        <v>2713.8897110403632</v>
      </c>
      <c r="U259" s="171">
        <v>-1.9664216634541543E-2</v>
      </c>
      <c r="V259" s="171">
        <v>1.7689420681819223E-2</v>
      </c>
      <c r="AA259" s="55">
        <v>2713.8897110403632</v>
      </c>
      <c r="AB259" s="55">
        <v>0</v>
      </c>
      <c r="AC259" s="55">
        <v>0</v>
      </c>
      <c r="AE259" s="55">
        <v>0</v>
      </c>
      <c r="AF259" s="55">
        <v>0</v>
      </c>
      <c r="AG259" s="55">
        <v>0</v>
      </c>
      <c r="AI259" s="55">
        <v>0</v>
      </c>
      <c r="AJ259" s="55">
        <v>0</v>
      </c>
      <c r="AK259" s="55">
        <v>0</v>
      </c>
      <c r="AM259" s="55">
        <v>1996551</v>
      </c>
      <c r="AN259" s="55">
        <v>222164</v>
      </c>
      <c r="AO259" s="55">
        <v>460547</v>
      </c>
      <c r="AP259" s="55"/>
      <c r="AQ259" s="55">
        <v>2679262</v>
      </c>
      <c r="AR259" s="1"/>
      <c r="AS259" s="175">
        <v>1253.2548155389638</v>
      </c>
      <c r="AT259" s="175">
        <v>139.45454077526614</v>
      </c>
      <c r="AU259" s="175">
        <v>289.08990831289719</v>
      </c>
      <c r="AV259" s="175"/>
      <c r="AW259" s="175">
        <v>1681.7992646271271</v>
      </c>
      <c r="AX259" s="1"/>
      <c r="AY259" s="171">
        <v>-1.8329788937566427E-2</v>
      </c>
      <c r="AZ259" s="171">
        <v>1.7689420681819223E-2</v>
      </c>
      <c r="BA259" s="171">
        <v>2.4985072425314003E-2</v>
      </c>
      <c r="BB259" s="171">
        <f t="shared" si="81"/>
        <v>-8.214738131411492E-3</v>
      </c>
      <c r="BC259" s="171"/>
      <c r="BD259" s="1"/>
      <c r="BE259" s="179">
        <f>AM259/'2019-20 disagg'!AM259-1</f>
        <v>3.8011622937677236E-2</v>
      </c>
      <c r="BF259" s="179">
        <f>AN259/'2019-20 disagg'!AN259-1</f>
        <v>3.9533958776875711E-2</v>
      </c>
      <c r="BG259" s="179">
        <f>AO259/'2019-20 disagg'!AO259-1</f>
        <v>5.1376352039302242E-2</v>
      </c>
      <c r="BH259" s="179">
        <f>AQ259/'2019-20 disagg'!AQ259-1</f>
        <v>4.0411308658179212E-2</v>
      </c>
      <c r="BI259" s="1"/>
      <c r="BJ259" s="179">
        <f>AS259/'2019-20 disagg'!AS259-1</f>
        <v>2.9915922363020986E-2</v>
      </c>
      <c r="BK259" s="179">
        <f>AT259/'2019-20 disagg'!AT259-1</f>
        <v>3.142638514140228E-2</v>
      </c>
      <c r="BL259" s="179">
        <f>AU259/'2019-20 disagg'!AU259-1</f>
        <v>4.3176416750238866E-2</v>
      </c>
      <c r="BM259" s="179">
        <f>AW259/'2019-20 disagg'!AW259-1</f>
        <v>3.2296892361427743E-2</v>
      </c>
    </row>
    <row r="260" spans="2:65" x14ac:dyDescent="0.2">
      <c r="B260" s="1" t="s">
        <v>540</v>
      </c>
      <c r="D260" s="55">
        <v>3250328</v>
      </c>
      <c r="E260" s="166">
        <v>1803.8589393625148</v>
      </c>
      <c r="F260" s="171">
        <f>VLOOKUP(B260,'2020-21'!$B$12:$AMX468,33,FALSE)</f>
        <v>3.8487246107503648E-2</v>
      </c>
      <c r="G260" s="171">
        <f>VLOOKUP(B260,'2020-21'!$B$12:$AMX468,34,FALSE)</f>
        <v>3.2385607638110159E-2</v>
      </c>
      <c r="I260" s="175">
        <v>3221135.2685711356</v>
      </c>
      <c r="J260" s="175">
        <v>1787.6576299708577</v>
      </c>
      <c r="K260" s="171">
        <f t="shared" si="80"/>
        <v>9.0628703841468816E-3</v>
      </c>
      <c r="L260" s="170">
        <f t="shared" si="80"/>
        <v>9.0628703841468816E-3</v>
      </c>
      <c r="N260" s="55">
        <v>2484207</v>
      </c>
      <c r="O260" s="55">
        <v>259368</v>
      </c>
      <c r="P260" s="55">
        <v>506753</v>
      </c>
      <c r="R260" s="55">
        <v>506753</v>
      </c>
      <c r="S260" s="55">
        <v>0</v>
      </c>
      <c r="U260" s="171">
        <v>1.2069788326875219E-2</v>
      </c>
      <c r="V260" s="171">
        <v>2.1933203485041686E-2</v>
      </c>
      <c r="AA260" s="55">
        <v>0</v>
      </c>
      <c r="AB260" s="55">
        <v>0</v>
      </c>
      <c r="AC260" s="55">
        <v>0</v>
      </c>
      <c r="AE260" s="55">
        <v>0</v>
      </c>
      <c r="AF260" s="55">
        <v>0</v>
      </c>
      <c r="AG260" s="55">
        <v>0</v>
      </c>
      <c r="AI260" s="55">
        <v>0</v>
      </c>
      <c r="AJ260" s="55">
        <v>0</v>
      </c>
      <c r="AK260" s="55">
        <v>0</v>
      </c>
      <c r="AM260" s="55">
        <v>2484207</v>
      </c>
      <c r="AN260" s="55">
        <v>259368</v>
      </c>
      <c r="AO260" s="55">
        <v>506753</v>
      </c>
      <c r="AP260" s="55"/>
      <c r="AQ260" s="55">
        <v>3250328</v>
      </c>
      <c r="AR260" s="1"/>
      <c r="AS260" s="175">
        <v>1378.6790146031215</v>
      </c>
      <c r="AT260" s="175">
        <v>143.94340675297283</v>
      </c>
      <c r="AU260" s="175">
        <v>281.2365180064204</v>
      </c>
      <c r="AV260" s="175"/>
      <c r="AW260" s="175">
        <v>1803.8589393625148</v>
      </c>
      <c r="AX260" s="1"/>
      <c r="AY260" s="171">
        <v>1.2069788326875219E-2</v>
      </c>
      <c r="AZ260" s="171">
        <v>2.1933203485041686E-2</v>
      </c>
      <c r="BA260" s="171">
        <v>-1.1701953937983012E-2</v>
      </c>
      <c r="BB260" s="171">
        <f t="shared" si="81"/>
        <v>9.0628703841468816E-3</v>
      </c>
      <c r="BC260" s="171"/>
      <c r="BD260" s="1"/>
      <c r="BE260" s="179">
        <f>AM260/'2019-20 disagg'!AM260-1</f>
        <v>3.6323793329868126E-2</v>
      </c>
      <c r="BF260" s="179">
        <f>AN260/'2019-20 disagg'!AN260-1</f>
        <v>3.8427353164911748E-2</v>
      </c>
      <c r="BG260" s="179">
        <f>AO260/'2019-20 disagg'!AO260-1</f>
        <v>4.9256259265700875E-2</v>
      </c>
      <c r="BH260" s="179">
        <f>AQ260/'2019-20 disagg'!AQ260-1</f>
        <v>3.8487246107503648E-2</v>
      </c>
      <c r="BI260" s="1"/>
      <c r="BJ260" s="179">
        <f>AS260/'2019-20 disagg'!AS260-1</f>
        <v>3.0234866241133584E-2</v>
      </c>
      <c r="BK260" s="179">
        <f>AT260/'2019-20 disagg'!AT260-1</f>
        <v>3.2326066596886305E-2</v>
      </c>
      <c r="BL260" s="179">
        <f>AU260/'2019-20 disagg'!AU260-1</f>
        <v>4.3091347390486145E-2</v>
      </c>
      <c r="BM260" s="179">
        <f>AW260/'2019-20 disagg'!AW260-1</f>
        <v>3.2385607638110159E-2</v>
      </c>
    </row>
    <row r="261" spans="2:65" ht="15" x14ac:dyDescent="0.25">
      <c r="B261"/>
      <c r="D261" s="1"/>
      <c r="N261" s="1"/>
      <c r="O261" s="1"/>
      <c r="P261" s="1"/>
      <c r="R261" s="1"/>
      <c r="S261" s="1"/>
      <c r="AA261" s="1"/>
      <c r="AB261" s="1"/>
      <c r="AC261" s="1"/>
      <c r="AE261" s="1"/>
      <c r="AF261" s="1"/>
      <c r="AG261" s="1"/>
      <c r="AI261" s="1"/>
      <c r="AJ261" s="1"/>
      <c r="AK261" s="1"/>
      <c r="AM261" s="1"/>
      <c r="AN261" s="1"/>
      <c r="AO261" s="1"/>
      <c r="AP261" s="1"/>
      <c r="AR261" s="1"/>
      <c r="AV261" s="64"/>
      <c r="AX261" s="1"/>
      <c r="BA261" s="64"/>
      <c r="BD261" s="1"/>
      <c r="BE261" s="179"/>
      <c r="BF261" s="179"/>
      <c r="BG261" s="179"/>
      <c r="BH261" s="179"/>
      <c r="BI261" s="1"/>
      <c r="BJ261" s="179"/>
      <c r="BK261" s="179"/>
    </row>
    <row r="262" spans="2:65" x14ac:dyDescent="0.2">
      <c r="B262" s="1" t="s">
        <v>12</v>
      </c>
      <c r="D262" s="172">
        <f>SUM(D236:D260)</f>
        <v>103908742.65587759</v>
      </c>
      <c r="E262" s="166">
        <v>1749.2365693703009</v>
      </c>
      <c r="F262" s="171">
        <f>VLOOKUP(B262,'2020-21'!$B$12:$AMX470,33,FALSE)</f>
        <v>4.0768757263071498E-2</v>
      </c>
      <c r="G262" s="171">
        <f>VLOOKUP(B262,'2020-21'!$B$12:$AMX470,34,FALSE)</f>
        <v>3.3699018448002604E-2</v>
      </c>
      <c r="I262" s="175">
        <f>SUM(I236:I260)</f>
        <v>103908754.03575228</v>
      </c>
      <c r="J262" s="175">
        <v>1749.2367609431412</v>
      </c>
      <c r="K262" s="171">
        <f t="shared" ref="K262:L262" si="82">D262/I262-1</f>
        <v>-1.0951795925695507E-7</v>
      </c>
      <c r="L262" s="170">
        <f t="shared" si="82"/>
        <v>-1.0951795925695507E-7</v>
      </c>
      <c r="N262" s="172">
        <f>SUM(N236:N260)</f>
        <v>77946799</v>
      </c>
      <c r="O262" s="172">
        <f>SUM(O236:O260)</f>
        <v>8319600</v>
      </c>
      <c r="P262" s="172">
        <f>SUM(P236:P260)</f>
        <v>17431645</v>
      </c>
      <c r="R262" s="172">
        <f>SUM(R236:R260)</f>
        <v>17431645</v>
      </c>
      <c r="S262" s="172">
        <f>SUM(S236:S260)</f>
        <v>210698.65587758715</v>
      </c>
      <c r="U262" s="171">
        <v>-1.6007244969382661E-3</v>
      </c>
      <c r="V262" s="171">
        <v>-1.0019276993740722E-2</v>
      </c>
      <c r="AA262" s="172">
        <f>SUM(AA236:AA260)</f>
        <v>49772.082185478088</v>
      </c>
      <c r="AB262" s="172">
        <f>SUM(AB236:AB260)</f>
        <v>0</v>
      </c>
      <c r="AC262" s="172">
        <f>SUM(AC236:AC260)</f>
        <v>160926.57369210906</v>
      </c>
      <c r="AE262" s="172">
        <f>SUM(AE236:AE260)</f>
        <v>0</v>
      </c>
      <c r="AF262" s="172">
        <f>SUM(AF236:AF260)</f>
        <v>2176.1844911770013</v>
      </c>
      <c r="AG262" s="172">
        <f>SUM(AG236:AG260)</f>
        <v>158750.38920093206</v>
      </c>
      <c r="AI262" s="172">
        <f>SUM(AI236:AI260)</f>
        <v>143264.1425395176</v>
      </c>
      <c r="AJ262" s="172">
        <f>SUM(AJ236:AJ260)</f>
        <v>15486.246661414465</v>
      </c>
      <c r="AK262" s="172">
        <f>SUM(AK236:AK260)</f>
        <v>0</v>
      </c>
      <c r="AM262" s="172">
        <f>SUM(AM236:AM260)</f>
        <v>78139836</v>
      </c>
      <c r="AN262" s="172">
        <f>SUM(AN236:AN260)</f>
        <v>8337266</v>
      </c>
      <c r="AO262" s="172">
        <f>SUM(AO236:AO260)</f>
        <v>17431645</v>
      </c>
      <c r="AP262" s="172"/>
      <c r="AQ262" s="172">
        <f>SUM(AQ236:AQ260)</f>
        <v>103908747</v>
      </c>
      <c r="AR262" s="1"/>
      <c r="AS262" s="175">
        <v>1315.4336696043772</v>
      </c>
      <c r="AT262" s="175">
        <v>140.35248818346389</v>
      </c>
      <c r="AU262" s="175">
        <v>293.45048471295479</v>
      </c>
      <c r="AV262" s="175"/>
      <c r="AW262" s="175">
        <v>1749.2366425007958</v>
      </c>
      <c r="AX262" s="1"/>
      <c r="AY262" s="171">
        <v>8.7183375327648527E-4</v>
      </c>
      <c r="AZ262" s="171">
        <v>-7.9171327256715163E-3</v>
      </c>
      <c r="BA262" s="171">
        <v>-8.8259287163161559E-5</v>
      </c>
      <c r="BB262" s="171">
        <f t="shared" ref="BB262" si="83">SUM(AM262:AO262)/I262-1</f>
        <v>-6.7710871354265123E-8</v>
      </c>
      <c r="BC262" s="171"/>
      <c r="BD262" s="1"/>
      <c r="BE262" s="179">
        <f>AM262/'2019-20 disagg'!AM262-1</f>
        <v>3.8508201500837558E-2</v>
      </c>
      <c r="BF262" s="179">
        <f>AN262/'2019-20 disagg'!AN262-1</f>
        <v>4.2193163470976236E-2</v>
      </c>
      <c r="BG262" s="179">
        <f>AO262/'2019-20 disagg'!AO262-1</f>
        <v>5.0331055039022576E-2</v>
      </c>
      <c r="BH262" s="179">
        <f>AQ262/'2019-20 disagg'!AQ262-1</f>
        <v>4.0768800774587222E-2</v>
      </c>
      <c r="BI262" s="1"/>
      <c r="BJ262" s="179">
        <f>AS262/'2019-20 disagg'!AS262-1</f>
        <v>3.1453818199377537E-2</v>
      </c>
      <c r="BK262" s="179">
        <f>AT262/'2019-20 disagg'!AT262-1</f>
        <v>3.5113748942848133E-2</v>
      </c>
      <c r="BL262" s="179">
        <f>AU262/'2019-20 disagg'!AU262-1</f>
        <v>4.3196361403513572E-2</v>
      </c>
      <c r="BM262" s="179">
        <f>AW262/'2019-20 disagg'!AW262-1</f>
        <v>3.36990616639532E-2</v>
      </c>
    </row>
    <row r="263" spans="2:65" ht="15" x14ac:dyDescent="0.25">
      <c r="B263"/>
      <c r="D263" s="1"/>
      <c r="N263" s="1"/>
      <c r="O263" s="1"/>
      <c r="P263" s="1"/>
      <c r="R263" s="1"/>
      <c r="S263" s="1"/>
      <c r="AA263" s="1"/>
      <c r="AB263" s="1"/>
      <c r="AC263" s="1"/>
      <c r="AE263" s="1"/>
      <c r="AF263" s="1"/>
      <c r="AG263" s="1"/>
      <c r="AI263" s="1"/>
      <c r="AJ263" s="1"/>
      <c r="AK263" s="1"/>
      <c r="AM263" s="1"/>
      <c r="AN263" s="1"/>
      <c r="AO263" s="1"/>
      <c r="AP263" s="1"/>
      <c r="AR263" s="1"/>
      <c r="AV263" s="64"/>
      <c r="AX263" s="1"/>
      <c r="BA263" s="64"/>
      <c r="BD263" s="1"/>
      <c r="BE263" s="179"/>
      <c r="BF263" s="179"/>
      <c r="BG263" s="179"/>
      <c r="BH263" s="179"/>
      <c r="BI263" s="1"/>
      <c r="BJ263" s="179"/>
      <c r="BK263" s="179"/>
    </row>
    <row r="264" spans="2:65" ht="15" x14ac:dyDescent="0.25">
      <c r="B264" s="174" t="s">
        <v>541</v>
      </c>
      <c r="D264" s="1"/>
      <c r="N264" s="1"/>
      <c r="O264" s="1"/>
      <c r="P264" s="1"/>
      <c r="R264" s="1"/>
      <c r="S264" s="1"/>
      <c r="AA264" s="1"/>
      <c r="AB264" s="1"/>
      <c r="AC264" s="1"/>
      <c r="AE264" s="1"/>
      <c r="AF264" s="1"/>
      <c r="AG264" s="1"/>
      <c r="AI264" s="1"/>
      <c r="AJ264" s="1"/>
      <c r="AK264" s="1"/>
      <c r="AM264" s="1"/>
      <c r="AN264" s="1"/>
      <c r="AO264" s="1"/>
      <c r="AP264" s="1"/>
      <c r="AR264" s="1"/>
      <c r="AV264" s="64"/>
      <c r="AX264" s="1"/>
      <c r="BA264" s="64"/>
      <c r="BD264" s="1"/>
      <c r="BE264" s="179"/>
      <c r="BF264" s="179"/>
      <c r="BG264" s="179"/>
      <c r="BH264" s="179"/>
      <c r="BI264" s="1"/>
      <c r="BJ264" s="179"/>
      <c r="BK264" s="179"/>
    </row>
    <row r="265" spans="2:65" ht="15" x14ac:dyDescent="0.25">
      <c r="B265" t="s">
        <v>542</v>
      </c>
      <c r="D265" s="55">
        <v>7671266.6975842556</v>
      </c>
      <c r="E265" s="166">
        <v>1589.0732637692156</v>
      </c>
      <c r="F265" s="171">
        <f>VLOOKUP(B265,'2020-21'!$B$12:$AMX473,33,FALSE)</f>
        <v>4.2304133199453364E-2</v>
      </c>
      <c r="G265" s="171">
        <f>VLOOKUP(B265,'2020-21'!$B$12:$AMX473,34,FALSE)</f>
        <v>3.4261564408582634E-2</v>
      </c>
      <c r="I265" s="175">
        <v>7781322.5876406804</v>
      </c>
      <c r="J265" s="175">
        <v>1611.8709162695598</v>
      </c>
      <c r="K265" s="171">
        <f t="shared" ref="K265:L274" si="84">D265/I265-1</f>
        <v>-1.4143596903594569E-2</v>
      </c>
      <c r="L265" s="170">
        <f t="shared" si="84"/>
        <v>-1.4143596903594458E-2</v>
      </c>
      <c r="N265" s="55">
        <v>5739703</v>
      </c>
      <c r="O265" s="55">
        <v>626862</v>
      </c>
      <c r="P265" s="55">
        <v>1287521</v>
      </c>
      <c r="R265" s="55">
        <v>1287521</v>
      </c>
      <c r="S265" s="55">
        <v>17180.69758425621</v>
      </c>
      <c r="U265" s="171">
        <v>-2.6491404791214479E-2</v>
      </c>
      <c r="V265" s="171">
        <v>-1.4197390066802096E-2</v>
      </c>
      <c r="AA265" s="55">
        <v>3623.1136450094637</v>
      </c>
      <c r="AB265" s="55">
        <v>0</v>
      </c>
      <c r="AC265" s="55">
        <v>13557.583939246746</v>
      </c>
      <c r="AE265" s="55">
        <v>0</v>
      </c>
      <c r="AF265" s="55">
        <v>0</v>
      </c>
      <c r="AG265" s="55">
        <v>13557.583939246746</v>
      </c>
      <c r="AI265" s="55">
        <v>12241.729361658205</v>
      </c>
      <c r="AJ265" s="55">
        <v>1315.8545775885416</v>
      </c>
      <c r="AK265" s="55">
        <v>0</v>
      </c>
      <c r="AM265" s="55">
        <v>5755568</v>
      </c>
      <c r="AN265" s="55">
        <v>628178</v>
      </c>
      <c r="AO265" s="55">
        <v>1287521</v>
      </c>
      <c r="AP265" s="55"/>
      <c r="AQ265" s="55">
        <v>7671267</v>
      </c>
      <c r="AR265" s="1"/>
      <c r="AS265" s="175">
        <v>1192.2436785421387</v>
      </c>
      <c r="AT265" s="175">
        <v>130.12464616858728</v>
      </c>
      <c r="AU265" s="175">
        <v>266.70500170274295</v>
      </c>
      <c r="AV265" s="175"/>
      <c r="AW265" s="175">
        <v>1589.073326413469</v>
      </c>
      <c r="AX265" s="1"/>
      <c r="AY265" s="171">
        <v>-2.3800548859646664E-2</v>
      </c>
      <c r="AZ265" s="171">
        <v>-1.2127849666088597E-2</v>
      </c>
      <c r="BA265" s="171">
        <v>3.0396721092839973E-2</v>
      </c>
      <c r="BB265" s="171">
        <f t="shared" ref="BB265:BB274" si="85">SUM(AM265:AO265)/I265-1</f>
        <v>-1.4143558039283133E-2</v>
      </c>
      <c r="BC265" s="171"/>
      <c r="BD265" s="1"/>
      <c r="BE265" s="179">
        <f>AM265/'2019-20 disagg'!AM265-1</f>
        <v>4.0066528775827948E-2</v>
      </c>
      <c r="BF265" s="179">
        <f>AN265/'2019-20 disagg'!AN265-1</f>
        <v>4.4661595617655703E-2</v>
      </c>
      <c r="BG265" s="179">
        <f>AO265/'2019-20 disagg'!AO265-1</f>
        <v>5.1257242329825647E-2</v>
      </c>
      <c r="BH265" s="179">
        <f>AQ265/'2019-20 disagg'!AQ265-1</f>
        <v>4.230417428904043E-2</v>
      </c>
      <c r="BI265" s="1"/>
      <c r="BJ265" s="179">
        <f>AS265/'2019-20 disagg'!AS265-1</f>
        <v>3.2041225662920558E-2</v>
      </c>
      <c r="BK265" s="179">
        <f>AT265/'2019-20 disagg'!AT265-1</f>
        <v>3.6600836307274953E-2</v>
      </c>
      <c r="BL265" s="179">
        <f>AU265/'2019-20 disagg'!AU265-1</f>
        <v>4.3145590059594507E-2</v>
      </c>
      <c r="BM265" s="179">
        <f>AW265/'2019-20 disagg'!AW265-1</f>
        <v>3.4261605181116428E-2</v>
      </c>
    </row>
    <row r="266" spans="2:65" ht="15" x14ac:dyDescent="0.25">
      <c r="B266" t="s">
        <v>543</v>
      </c>
      <c r="D266" s="55">
        <v>11521432.24505675</v>
      </c>
      <c r="E266" s="166">
        <v>1627.1609174554408</v>
      </c>
      <c r="F266" s="171">
        <f>VLOOKUP(B266,'2020-21'!$B$12:$AMX474,33,FALSE)</f>
        <v>4.3533887181992803E-2</v>
      </c>
      <c r="G266" s="171">
        <f>VLOOKUP(B266,'2020-21'!$B$12:$AMX474,34,FALSE)</f>
        <v>3.5667170015040828E-2</v>
      </c>
      <c r="I266" s="175">
        <v>11669014.655288938</v>
      </c>
      <c r="J266" s="175">
        <v>1648.0038408807575</v>
      </c>
      <c r="K266" s="171">
        <f t="shared" si="84"/>
        <v>-1.2647375514718062E-2</v>
      </c>
      <c r="L266" s="170">
        <f t="shared" si="84"/>
        <v>-1.2647375514718173E-2</v>
      </c>
      <c r="N266" s="55">
        <v>8649126</v>
      </c>
      <c r="O266" s="55">
        <v>933833</v>
      </c>
      <c r="P266" s="55">
        <v>1892428</v>
      </c>
      <c r="R266" s="55">
        <v>1892428</v>
      </c>
      <c r="S266" s="55">
        <v>46045.245056749962</v>
      </c>
      <c r="U266" s="171">
        <v>-1.8650949369670378E-2</v>
      </c>
      <c r="V266" s="171">
        <v>-6.0476556509903023E-4</v>
      </c>
      <c r="AA266" s="55">
        <v>19098.167257761968</v>
      </c>
      <c r="AB266" s="55">
        <v>0</v>
      </c>
      <c r="AC266" s="55">
        <v>26947.077798987993</v>
      </c>
      <c r="AE266" s="55">
        <v>0</v>
      </c>
      <c r="AF266" s="55">
        <v>0</v>
      </c>
      <c r="AG266" s="55">
        <v>26947.077798987993</v>
      </c>
      <c r="AI266" s="55">
        <v>24402.378921886251</v>
      </c>
      <c r="AJ266" s="55">
        <v>2544.6988771017423</v>
      </c>
      <c r="AK266" s="55">
        <v>0</v>
      </c>
      <c r="AM266" s="55">
        <v>8692627</v>
      </c>
      <c r="AN266" s="55">
        <v>936378</v>
      </c>
      <c r="AO266" s="55">
        <v>1892428</v>
      </c>
      <c r="AP266" s="55"/>
      <c r="AQ266" s="55">
        <v>11521433</v>
      </c>
      <c r="AR266" s="1"/>
      <c r="AS266" s="175">
        <v>1227.6514432905269</v>
      </c>
      <c r="AT266" s="175">
        <v>132.2437743118964</v>
      </c>
      <c r="AU266" s="175">
        <v>267.26580647293451</v>
      </c>
      <c r="AV266" s="175"/>
      <c r="AW266" s="175">
        <v>1627.161024075358</v>
      </c>
      <c r="AX266" s="1"/>
      <c r="AY266" s="171">
        <v>-1.3715229268995488E-2</v>
      </c>
      <c r="AZ266" s="171">
        <v>2.1189129423395681E-3</v>
      </c>
      <c r="BA266" s="171">
        <v>-1.4930066444314272E-2</v>
      </c>
      <c r="BB266" s="171">
        <f t="shared" si="85"/>
        <v>-1.264731081831727E-2</v>
      </c>
      <c r="BC266" s="171"/>
      <c r="BD266" s="1"/>
      <c r="BE266" s="179">
        <f>AM266/'2019-20 disagg'!AM266-1</f>
        <v>4.1804483271327353E-2</v>
      </c>
      <c r="BF266" s="179">
        <f>AN266/'2019-20 disagg'!AN266-1</f>
        <v>4.4583244553570767E-2</v>
      </c>
      <c r="BG266" s="179">
        <f>AO266/'2019-20 disagg'!AO266-1</f>
        <v>5.1025990348520622E-2</v>
      </c>
      <c r="BH266" s="179">
        <f>AQ266/'2019-20 disagg'!AQ266-1</f>
        <v>4.3533955559677651E-2</v>
      </c>
      <c r="BI266" s="1"/>
      <c r="BJ266" s="179">
        <f>AS266/'2019-20 disagg'!AS266-1</f>
        <v>3.3950803277005726E-2</v>
      </c>
      <c r="BK266" s="179">
        <f>AT266/'2019-20 disagg'!AT266-1</f>
        <v>3.6708616768908575E-2</v>
      </c>
      <c r="BL266" s="179">
        <f>AU266/'2019-20 disagg'!AU266-1</f>
        <v>4.3102793696503161E-2</v>
      </c>
      <c r="BM266" s="179">
        <f>AW266/'2019-20 disagg'!AW266-1</f>
        <v>3.5667237877258229E-2</v>
      </c>
    </row>
    <row r="267" spans="2:65" ht="15" x14ac:dyDescent="0.25">
      <c r="B267" t="s">
        <v>544</v>
      </c>
      <c r="D267" s="55">
        <v>11962272.142750189</v>
      </c>
      <c r="E267" s="166">
        <v>1692.5664968090396</v>
      </c>
      <c r="F267" s="171">
        <f>VLOOKUP(B267,'2020-21'!$B$12:$AMX475,33,FALSE)</f>
        <v>4.192418190301872E-2</v>
      </c>
      <c r="G267" s="171">
        <f>VLOOKUP(B267,'2020-21'!$B$12:$AMX475,34,FALSE)</f>
        <v>3.4206451489400713E-2</v>
      </c>
      <c r="I267" s="175">
        <v>12122837.063502796</v>
      </c>
      <c r="J267" s="175">
        <v>1715.2851577946424</v>
      </c>
      <c r="K267" s="171">
        <f t="shared" si="84"/>
        <v>-1.3244830390074847E-2</v>
      </c>
      <c r="L267" s="170">
        <f t="shared" si="84"/>
        <v>-1.3244830390074847E-2</v>
      </c>
      <c r="N267" s="55">
        <v>9059850</v>
      </c>
      <c r="O267" s="55">
        <v>973785</v>
      </c>
      <c r="P267" s="55">
        <v>1896221</v>
      </c>
      <c r="R267" s="55">
        <v>1896221</v>
      </c>
      <c r="S267" s="55">
        <v>32416.142750189814</v>
      </c>
      <c r="U267" s="171">
        <v>-1.4897283025172792E-2</v>
      </c>
      <c r="V267" s="171">
        <v>4.1252916875178514E-4</v>
      </c>
      <c r="AA267" s="55">
        <v>11632.776946394049</v>
      </c>
      <c r="AB267" s="55">
        <v>0</v>
      </c>
      <c r="AC267" s="55">
        <v>20783.365803795765</v>
      </c>
      <c r="AE267" s="55">
        <v>0</v>
      </c>
      <c r="AF267" s="55">
        <v>0</v>
      </c>
      <c r="AG267" s="55">
        <v>20783.365803795765</v>
      </c>
      <c r="AI267" s="55">
        <v>18840.852799144515</v>
      </c>
      <c r="AJ267" s="55">
        <v>1942.513004651249</v>
      </c>
      <c r="AK267" s="55">
        <v>0</v>
      </c>
      <c r="AM267" s="55">
        <v>9090324</v>
      </c>
      <c r="AN267" s="55">
        <v>975728</v>
      </c>
      <c r="AO267" s="55">
        <v>1896221</v>
      </c>
      <c r="AP267" s="55"/>
      <c r="AQ267" s="55">
        <v>11962273</v>
      </c>
      <c r="AR267" s="1"/>
      <c r="AS267" s="175">
        <v>1286.2086453085674</v>
      </c>
      <c r="AT267" s="175">
        <v>138.05776219523506</v>
      </c>
      <c r="AU267" s="175">
        <v>268.30021059927645</v>
      </c>
      <c r="AV267" s="175"/>
      <c r="AW267" s="175">
        <v>1692.566618103079</v>
      </c>
      <c r="AX267" s="1"/>
      <c r="AY267" s="171">
        <v>-1.1583760152598654E-2</v>
      </c>
      <c r="AZ267" s="171">
        <v>2.4086592633567605E-3</v>
      </c>
      <c r="BA267" s="171">
        <v>-2.8871527942558428E-2</v>
      </c>
      <c r="BB267" s="171">
        <f t="shared" si="85"/>
        <v>-1.3244759676445117E-2</v>
      </c>
      <c r="BC267" s="171"/>
      <c r="BD267" s="1"/>
      <c r="BE267" s="179">
        <f>AM267/'2019-20 disagg'!AM267-1</f>
        <v>4.0087359647559051E-2</v>
      </c>
      <c r="BF267" s="179">
        <f>AN267/'2019-20 disagg'!AN267-1</f>
        <v>4.1761066992378915E-2</v>
      </c>
      <c r="BG267" s="179">
        <f>AO267/'2019-20 disagg'!AO267-1</f>
        <v>5.0906495186400447E-2</v>
      </c>
      <c r="BH267" s="179">
        <f>AQ267/'2019-20 disagg'!AQ267-1</f>
        <v>4.1924256570213814E-2</v>
      </c>
      <c r="BI267" s="1"/>
      <c r="BJ267" s="179">
        <f>AS267/'2019-20 disagg'!AS267-1</f>
        <v>3.2383234925441151E-2</v>
      </c>
      <c r="BK267" s="179">
        <f>AT267/'2019-20 disagg'!AT267-1</f>
        <v>3.4044544801901111E-2</v>
      </c>
      <c r="BL267" s="179">
        <f>AU267/'2019-20 disagg'!AU267-1</f>
        <v>4.3122231071371475E-2</v>
      </c>
      <c r="BM267" s="179">
        <f>AW267/'2019-20 disagg'!AW267-1</f>
        <v>3.4206525603521776E-2</v>
      </c>
    </row>
    <row r="268" spans="2:65" ht="15" x14ac:dyDescent="0.25">
      <c r="B268" t="s">
        <v>545</v>
      </c>
      <c r="D268" s="55">
        <v>9479210.0330131538</v>
      </c>
      <c r="E268" s="166">
        <v>1701.8976355681946</v>
      </c>
      <c r="F268" s="171">
        <f>VLOOKUP(B268,'2020-21'!$B$12:$AMX476,33,FALSE)</f>
        <v>4.2279046522522679E-2</v>
      </c>
      <c r="G268" s="171">
        <f>VLOOKUP(B268,'2020-21'!$B$12:$AMX476,34,FALSE)</f>
        <v>3.4288618127263915E-2</v>
      </c>
      <c r="I268" s="175">
        <v>9523532.4571433235</v>
      </c>
      <c r="J268" s="175">
        <v>1709.8552848414022</v>
      </c>
      <c r="K268" s="171">
        <f t="shared" si="84"/>
        <v>-4.6539899275425123E-3</v>
      </c>
      <c r="L268" s="170">
        <f t="shared" si="84"/>
        <v>-4.6539899275427343E-3</v>
      </c>
      <c r="N268" s="55">
        <v>7110287</v>
      </c>
      <c r="O268" s="55">
        <v>767236</v>
      </c>
      <c r="P268" s="55">
        <v>1571988</v>
      </c>
      <c r="R268" s="55">
        <v>1571988</v>
      </c>
      <c r="S268" s="55">
        <v>29699.03301315452</v>
      </c>
      <c r="U268" s="171">
        <v>-6.1527938364930312E-3</v>
      </c>
      <c r="V268" s="171">
        <v>5.3362766609290624E-3</v>
      </c>
      <c r="AA268" s="55">
        <v>7449.5951408489491</v>
      </c>
      <c r="AB268" s="55">
        <v>0</v>
      </c>
      <c r="AC268" s="55">
        <v>22249.437872305571</v>
      </c>
      <c r="AE268" s="55">
        <v>0</v>
      </c>
      <c r="AF268" s="55">
        <v>0</v>
      </c>
      <c r="AG268" s="55">
        <v>22249.437872305571</v>
      </c>
      <c r="AI268" s="55">
        <v>20058.8596610348</v>
      </c>
      <c r="AJ268" s="55">
        <v>2190.5782112707684</v>
      </c>
      <c r="AK268" s="55">
        <v>0</v>
      </c>
      <c r="AM268" s="55">
        <v>7137796</v>
      </c>
      <c r="AN268" s="55">
        <v>769427</v>
      </c>
      <c r="AO268" s="55">
        <v>1571988</v>
      </c>
      <c r="AP268" s="55"/>
      <c r="AQ268" s="55">
        <v>9479211</v>
      </c>
      <c r="AR268" s="1"/>
      <c r="AS268" s="175">
        <v>1281.5200943181023</v>
      </c>
      <c r="AT268" s="175">
        <v>138.14294519076961</v>
      </c>
      <c r="AU268" s="175">
        <v>282.2347696721684</v>
      </c>
      <c r="AV268" s="175"/>
      <c r="AW268" s="175">
        <v>1701.8978091810404</v>
      </c>
      <c r="AX268" s="1"/>
      <c r="AY268" s="171">
        <v>-2.307696895349598E-3</v>
      </c>
      <c r="AZ268" s="171">
        <v>8.2072209103700722E-3</v>
      </c>
      <c r="BA268" s="171">
        <v>-2.1216440816547055E-2</v>
      </c>
      <c r="BB268" s="171">
        <f t="shared" si="85"/>
        <v>-4.653888390969807E-3</v>
      </c>
      <c r="BC268" s="171"/>
      <c r="BD268" s="1"/>
      <c r="BE268" s="179">
        <f>AM268/'2019-20 disagg'!AM268-1</f>
        <v>4.0404046293327056E-2</v>
      </c>
      <c r="BF268" s="179">
        <f>AN268/'2019-20 disagg'!AN268-1</f>
        <v>4.1331027165145473E-2</v>
      </c>
      <c r="BG268" s="179">
        <f>AO268/'2019-20 disagg'!AO268-1</f>
        <v>5.1351418231723178E-2</v>
      </c>
      <c r="BH268" s="179">
        <f>AQ268/'2019-20 disagg'!AQ268-1</f>
        <v>4.2279152846796952E-2</v>
      </c>
      <c r="BI268" s="1"/>
      <c r="BJ268" s="179">
        <f>AS268/'2019-20 disagg'!AS268-1</f>
        <v>3.2427992220494417E-2</v>
      </c>
      <c r="BK268" s="179">
        <f>AT268/'2019-20 disagg'!AT268-1</f>
        <v>3.3347866574816809E-2</v>
      </c>
      <c r="BL268" s="179">
        <f>AU268/'2019-20 disagg'!AU268-1</f>
        <v>4.3291438273704852E-2</v>
      </c>
      <c r="BM268" s="179">
        <f>AW268/'2019-20 disagg'!AW268-1</f>
        <v>3.4288723636424212E-2</v>
      </c>
    </row>
    <row r="269" spans="2:65" ht="15" x14ac:dyDescent="0.25">
      <c r="B269" t="s">
        <v>546</v>
      </c>
      <c r="D269" s="55">
        <v>10132786.007899988</v>
      </c>
      <c r="E269" s="166">
        <v>1762.7555213847265</v>
      </c>
      <c r="F269" s="171">
        <f>VLOOKUP(B269,'2020-21'!$B$12:$AMX477,33,FALSE)</f>
        <v>4.0505187889958938E-2</v>
      </c>
      <c r="G269" s="171">
        <f>VLOOKUP(B269,'2020-21'!$B$12:$AMX477,34,FALSE)</f>
        <v>3.472616295841946E-2</v>
      </c>
      <c r="I269" s="175">
        <v>10117879.889370736</v>
      </c>
      <c r="J269" s="175">
        <v>1760.1623705257853</v>
      </c>
      <c r="K269" s="171">
        <f t="shared" si="84"/>
        <v>1.4732452541674768E-3</v>
      </c>
      <c r="L269" s="170">
        <f t="shared" si="84"/>
        <v>1.4732452541674768E-3</v>
      </c>
      <c r="N269" s="55">
        <v>7738648</v>
      </c>
      <c r="O269" s="55">
        <v>793433</v>
      </c>
      <c r="P269" s="55">
        <v>1582907</v>
      </c>
      <c r="R269" s="55">
        <v>1582907</v>
      </c>
      <c r="S269" s="55">
        <v>17798.007899988181</v>
      </c>
      <c r="U269" s="171">
        <v>1.5079737570065088E-3</v>
      </c>
      <c r="V269" s="171">
        <v>-4.1487522839792623E-3</v>
      </c>
      <c r="AA269" s="55">
        <v>502.25183378925431</v>
      </c>
      <c r="AB269" s="55">
        <v>0</v>
      </c>
      <c r="AC269" s="55">
        <v>17295.756066198926</v>
      </c>
      <c r="AE269" s="55">
        <v>0</v>
      </c>
      <c r="AF269" s="55">
        <v>0</v>
      </c>
      <c r="AG269" s="55">
        <v>17295.756066198926</v>
      </c>
      <c r="AI269" s="55">
        <v>15613.585054469064</v>
      </c>
      <c r="AJ269" s="55">
        <v>1682.1710117298628</v>
      </c>
      <c r="AK269" s="55">
        <v>0</v>
      </c>
      <c r="AM269" s="55">
        <v>7754763</v>
      </c>
      <c r="AN269" s="55">
        <v>795116</v>
      </c>
      <c r="AO269" s="55">
        <v>1582907</v>
      </c>
      <c r="AP269" s="55"/>
      <c r="AQ269" s="55">
        <v>10132786</v>
      </c>
      <c r="AR269" s="1"/>
      <c r="AS269" s="175">
        <v>1349.0614806848203</v>
      </c>
      <c r="AT269" s="175">
        <v>138.32277895226346</v>
      </c>
      <c r="AU269" s="175">
        <v>275.37126037331723</v>
      </c>
      <c r="AV269" s="175"/>
      <c r="AW269" s="175">
        <v>1762.7555200104009</v>
      </c>
      <c r="AX269" s="1"/>
      <c r="AY269" s="171">
        <v>3.5935190611855461E-3</v>
      </c>
      <c r="AZ269" s="171">
        <v>-2.0363903707413256E-3</v>
      </c>
      <c r="BA269" s="171">
        <v>-7.0498744726773532E-3</v>
      </c>
      <c r="BB269" s="171">
        <f t="shared" si="85"/>
        <v>1.4732444733727146E-3</v>
      </c>
      <c r="BC269" s="171"/>
      <c r="BD269" s="1"/>
      <c r="BE269" s="179">
        <f>AM269/'2019-20 disagg'!AM269-1</f>
        <v>3.8659957785319055E-2</v>
      </c>
      <c r="BF269" s="179">
        <f>AN269/'2019-20 disagg'!AN269-1</f>
        <v>4.1873263797892912E-2</v>
      </c>
      <c r="BG269" s="179">
        <f>AO269/'2019-20 disagg'!AO269-1</f>
        <v>4.894271230244196E-2</v>
      </c>
      <c r="BH269" s="179">
        <f>AQ269/'2019-20 disagg'!AQ269-1</f>
        <v>4.0505187078733185E-2</v>
      </c>
      <c r="BI269" s="1"/>
      <c r="BJ269" s="179">
        <f>AS269/'2019-20 disagg'!AS269-1</f>
        <v>3.2891181366620392E-2</v>
      </c>
      <c r="BK269" s="179">
        <f>AT269/'2019-20 disagg'!AT269-1</f>
        <v>3.6086640495031075E-2</v>
      </c>
      <c r="BL269" s="179">
        <f>AU269/'2019-20 disagg'!AU269-1</f>
        <v>4.3116824880923721E-2</v>
      </c>
      <c r="BM269" s="179">
        <f>AW269/'2019-20 disagg'!AW269-1</f>
        <v>3.4726162151698992E-2</v>
      </c>
    </row>
    <row r="270" spans="2:65" ht="15" x14ac:dyDescent="0.25">
      <c r="B270" t="s">
        <v>547</v>
      </c>
      <c r="D270" s="55">
        <v>8316585.9481359543</v>
      </c>
      <c r="E270" s="166">
        <v>1738.839537547045</v>
      </c>
      <c r="F270" s="171">
        <f>VLOOKUP(B270,'2020-21'!$B$12:$AMX478,33,FALSE)</f>
        <v>4.0280113854358257E-2</v>
      </c>
      <c r="G270" s="171">
        <f>VLOOKUP(B270,'2020-21'!$B$12:$AMX478,34,FALSE)</f>
        <v>3.3782999049832396E-2</v>
      </c>
      <c r="I270" s="175">
        <v>8327242.6013502181</v>
      </c>
      <c r="J270" s="175">
        <v>1741.0676405285385</v>
      </c>
      <c r="K270" s="171">
        <f t="shared" si="84"/>
        <v>-1.2797337275289866E-3</v>
      </c>
      <c r="L270" s="170">
        <f t="shared" si="84"/>
        <v>-1.2797337275288756E-3</v>
      </c>
      <c r="N270" s="55">
        <v>6357535</v>
      </c>
      <c r="O270" s="55">
        <v>663791</v>
      </c>
      <c r="P270" s="55">
        <v>1281274</v>
      </c>
      <c r="R270" s="55">
        <v>1281274</v>
      </c>
      <c r="S270" s="55">
        <v>13985.948135954823</v>
      </c>
      <c r="U270" s="171">
        <v>4.1590439395426948E-3</v>
      </c>
      <c r="V270" s="171">
        <v>-1.3998706797527571E-2</v>
      </c>
      <c r="AA270" s="55">
        <v>4578.6979721480457</v>
      </c>
      <c r="AB270" s="55">
        <v>0</v>
      </c>
      <c r="AC270" s="55">
        <v>9407.250163806777</v>
      </c>
      <c r="AE270" s="55">
        <v>0</v>
      </c>
      <c r="AF270" s="55">
        <v>0</v>
      </c>
      <c r="AG270" s="55">
        <v>9407.250163806777</v>
      </c>
      <c r="AI270" s="55">
        <v>8466.2752908926122</v>
      </c>
      <c r="AJ270" s="55">
        <v>940.97487291416473</v>
      </c>
      <c r="AK270" s="55">
        <v>0</v>
      </c>
      <c r="AM270" s="55">
        <v>6370580</v>
      </c>
      <c r="AN270" s="55">
        <v>664731</v>
      </c>
      <c r="AO270" s="55">
        <v>1281274</v>
      </c>
      <c r="AP270" s="55"/>
      <c r="AQ270" s="55">
        <v>8316585</v>
      </c>
      <c r="AR270" s="1"/>
      <c r="AS270" s="175">
        <v>1331.9668010632777</v>
      </c>
      <c r="AT270" s="175">
        <v>138.98257672576025</v>
      </c>
      <c r="AU270" s="175">
        <v>267.88996152085844</v>
      </c>
      <c r="AV270" s="175"/>
      <c r="AW270" s="175">
        <v>1738.8393393098963</v>
      </c>
      <c r="AX270" s="1"/>
      <c r="AY270" s="171">
        <v>6.2194737646543707E-3</v>
      </c>
      <c r="AZ270" s="171">
        <v>-1.2602422100069566E-2</v>
      </c>
      <c r="BA270" s="171">
        <v>-3.1410229779035403E-2</v>
      </c>
      <c r="BB270" s="171">
        <f t="shared" si="85"/>
        <v>-1.2798475870620107E-3</v>
      </c>
      <c r="BC270" s="171"/>
      <c r="BD270" s="1"/>
      <c r="BE270" s="179">
        <f>AM270/'2019-20 disagg'!AM270-1</f>
        <v>3.8291541693225906E-2</v>
      </c>
      <c r="BF270" s="179">
        <f>AN270/'2019-20 disagg'!AN270-1</f>
        <v>4.1529176185238548E-2</v>
      </c>
      <c r="BG270" s="179">
        <f>AO270/'2019-20 disagg'!AO270-1</f>
        <v>4.9621487981086343E-2</v>
      </c>
      <c r="BH270" s="179">
        <f>AQ270/'2019-20 disagg'!AQ270-1</f>
        <v>4.0279995256776946E-2</v>
      </c>
      <c r="BI270" s="1"/>
      <c r="BJ270" s="179">
        <f>AS270/'2019-20 disagg'!AS270-1</f>
        <v>3.1806846602828731E-2</v>
      </c>
      <c r="BK270" s="179">
        <f>AT270/'2019-20 disagg'!AT270-1</f>
        <v>3.5024260307469524E-2</v>
      </c>
      <c r="BL270" s="179">
        <f>AU270/'2019-20 disagg'!AU270-1</f>
        <v>4.3066031217192879E-2</v>
      </c>
      <c r="BM270" s="179">
        <f>AW270/'2019-20 disagg'!AW270-1</f>
        <v>3.378288119295747E-2</v>
      </c>
    </row>
    <row r="271" spans="2:65" ht="15" x14ac:dyDescent="0.25">
      <c r="B271" t="s">
        <v>548</v>
      </c>
      <c r="D271" s="55">
        <v>9996152.5973664131</v>
      </c>
      <c r="E271" s="166">
        <v>1770.8263511310824</v>
      </c>
      <c r="F271" s="171">
        <f>VLOOKUP(B271,'2020-21'!$B$12:$AMX479,33,FALSE)</f>
        <v>3.8915025652517032E-2</v>
      </c>
      <c r="G271" s="171">
        <f>VLOOKUP(B271,'2020-21'!$B$12:$AMX479,34,FALSE)</f>
        <v>3.1353572732505608E-2</v>
      </c>
      <c r="I271" s="175">
        <v>9869935.0194994174</v>
      </c>
      <c r="J271" s="175">
        <v>1748.4668072279912</v>
      </c>
      <c r="K271" s="171">
        <f t="shared" si="84"/>
        <v>1.2788086002353261E-2</v>
      </c>
      <c r="L271" s="170">
        <f t="shared" si="84"/>
        <v>1.2788086002353038E-2</v>
      </c>
      <c r="N271" s="55">
        <v>7448844</v>
      </c>
      <c r="O271" s="55">
        <v>805462</v>
      </c>
      <c r="P271" s="55">
        <v>1722270</v>
      </c>
      <c r="R271" s="55">
        <v>1722270</v>
      </c>
      <c r="S271" s="55">
        <v>19576.597366413043</v>
      </c>
      <c r="U271" s="171">
        <v>1.5263037463745022E-2</v>
      </c>
      <c r="V271" s="171">
        <v>-1.3556236384546172E-2</v>
      </c>
      <c r="AA271" s="55">
        <v>337.70157024025684</v>
      </c>
      <c r="AB271" s="55">
        <v>0</v>
      </c>
      <c r="AC271" s="55">
        <v>19238.895796172787</v>
      </c>
      <c r="AE271" s="55">
        <v>0</v>
      </c>
      <c r="AF271" s="55">
        <v>1861.8660535718677</v>
      </c>
      <c r="AG271" s="55">
        <v>17377.02974260092</v>
      </c>
      <c r="AI271" s="55">
        <v>15680.761258962866</v>
      </c>
      <c r="AJ271" s="55">
        <v>1696.268483638052</v>
      </c>
      <c r="AK271" s="55">
        <v>0</v>
      </c>
      <c r="AM271" s="55">
        <v>7464863</v>
      </c>
      <c r="AN271" s="55">
        <v>809021</v>
      </c>
      <c r="AO271" s="55">
        <v>1722270</v>
      </c>
      <c r="AP271" s="55"/>
      <c r="AQ271" s="55">
        <v>9996154</v>
      </c>
      <c r="AR271" s="1"/>
      <c r="AS271" s="175">
        <v>1322.4063937825538</v>
      </c>
      <c r="AT271" s="175">
        <v>143.31871102046421</v>
      </c>
      <c r="AU271" s="175">
        <v>305.10149480571562</v>
      </c>
      <c r="AV271" s="175"/>
      <c r="AW271" s="175">
        <v>1770.8265996087337</v>
      </c>
      <c r="AX271" s="1"/>
      <c r="AY271" s="171">
        <v>1.7446396196607816E-2</v>
      </c>
      <c r="AZ271" s="171">
        <v>-9.1975535978878753E-3</v>
      </c>
      <c r="BA271" s="171">
        <v>3.3365213326708165E-3</v>
      </c>
      <c r="BB271" s="171">
        <f t="shared" si="85"/>
        <v>1.2788228114087863E-2</v>
      </c>
      <c r="BC271" s="171"/>
      <c r="BD271" s="1"/>
      <c r="BE271" s="179">
        <f>AM271/'2019-20 disagg'!AM271-1</f>
        <v>3.5558958928547879E-2</v>
      </c>
      <c r="BF271" s="179">
        <f>AN271/'2019-20 disagg'!AN271-1</f>
        <v>4.4771628406719444E-2</v>
      </c>
      <c r="BG271" s="179">
        <f>AO271/'2019-20 disagg'!AO271-1</f>
        <v>5.0910524298953597E-2</v>
      </c>
      <c r="BH271" s="179">
        <f>AQ271/'2019-20 disagg'!AQ271-1</f>
        <v>3.8915171430314421E-2</v>
      </c>
      <c r="BI271" s="1"/>
      <c r="BJ271" s="179">
        <f>AS271/'2019-20 disagg'!AS271-1</f>
        <v>2.8021932203079025E-2</v>
      </c>
      <c r="BK271" s="179">
        <f>AT271/'2019-20 disagg'!AT271-1</f>
        <v>3.7167549838889258E-2</v>
      </c>
      <c r="BL271" s="179">
        <f>AU271/'2019-20 disagg'!AU271-1</f>
        <v>4.3261765491523496E-2</v>
      </c>
      <c r="BM271" s="179">
        <f>AW271/'2019-20 disagg'!AW271-1</f>
        <v>3.1353717449300156E-2</v>
      </c>
    </row>
    <row r="272" spans="2:65" ht="15" x14ac:dyDescent="0.25">
      <c r="B272" t="s">
        <v>549</v>
      </c>
      <c r="D272" s="55">
        <v>12176337.385765977</v>
      </c>
      <c r="E272" s="166">
        <v>1826.7357315851254</v>
      </c>
      <c r="F272" s="171">
        <f>VLOOKUP(B272,'2020-21'!$B$12:$AMX480,33,FALSE)</f>
        <v>3.9879982059320085E-2</v>
      </c>
      <c r="G272" s="171">
        <f>VLOOKUP(B272,'2020-21'!$B$12:$AMX480,34,FALSE)</f>
        <v>3.3627996544170813E-2</v>
      </c>
      <c r="I272" s="175">
        <v>12072785.541392647</v>
      </c>
      <c r="J272" s="175">
        <v>1811.2005301369927</v>
      </c>
      <c r="K272" s="171">
        <f t="shared" si="84"/>
        <v>8.5772951087628169E-3</v>
      </c>
      <c r="L272" s="170">
        <f t="shared" si="84"/>
        <v>8.5772951087628169E-3</v>
      </c>
      <c r="N272" s="55">
        <v>9158538</v>
      </c>
      <c r="O272" s="55">
        <v>950184</v>
      </c>
      <c r="P272" s="55">
        <v>2053324</v>
      </c>
      <c r="R272" s="55">
        <v>2053324</v>
      </c>
      <c r="S272" s="55">
        <v>14291.38576597572</v>
      </c>
      <c r="U272" s="171">
        <v>9.7298496610995766E-3</v>
      </c>
      <c r="V272" s="171">
        <v>-1.7588597553441887E-2</v>
      </c>
      <c r="AA272" s="55">
        <v>1727.4395029149018</v>
      </c>
      <c r="AB272" s="55">
        <v>0</v>
      </c>
      <c r="AC272" s="55">
        <v>12563.946263060818</v>
      </c>
      <c r="AE272" s="55">
        <v>0</v>
      </c>
      <c r="AF272" s="55">
        <v>314.31843760513379</v>
      </c>
      <c r="AG272" s="55">
        <v>12249.627825455684</v>
      </c>
      <c r="AI272" s="55">
        <v>11061.034613643384</v>
      </c>
      <c r="AJ272" s="55">
        <v>1188.5932118122983</v>
      </c>
      <c r="AK272" s="55">
        <v>0</v>
      </c>
      <c r="AM272" s="55">
        <v>9171327</v>
      </c>
      <c r="AN272" s="55">
        <v>951687</v>
      </c>
      <c r="AO272" s="55">
        <v>2053324</v>
      </c>
      <c r="AP272" s="55"/>
      <c r="AQ272" s="55">
        <v>12176338</v>
      </c>
      <c r="AR272" s="1"/>
      <c r="AS272" s="175">
        <v>1375.913807754391</v>
      </c>
      <c r="AT272" s="175">
        <v>142.77533490631762</v>
      </c>
      <c r="AU272" s="175">
        <v>308.04668107390319</v>
      </c>
      <c r="AV272" s="175"/>
      <c r="AW272" s="175">
        <v>1826.7358237346118</v>
      </c>
      <c r="AX272" s="1"/>
      <c r="AY272" s="171">
        <v>1.1139838356600595E-2</v>
      </c>
      <c r="AZ272" s="171">
        <v>-1.6034620283905454E-2</v>
      </c>
      <c r="BA272" s="171">
        <v>8.8534955754668854E-3</v>
      </c>
      <c r="BB272" s="171">
        <f t="shared" si="85"/>
        <v>8.5773459863354162E-3</v>
      </c>
      <c r="BC272" s="171"/>
      <c r="BD272" s="1"/>
      <c r="BE272" s="179">
        <f>AM272/'2019-20 disagg'!AM272-1</f>
        <v>3.7662255524186339E-2</v>
      </c>
      <c r="BF272" s="179">
        <f>AN272/'2019-20 disagg'!AN272-1</f>
        <v>4.0465783437596325E-2</v>
      </c>
      <c r="BG272" s="179">
        <f>AO272/'2019-20 disagg'!AO272-1</f>
        <v>4.9626247863890027E-2</v>
      </c>
      <c r="BH272" s="179">
        <f>AQ272/'2019-20 disagg'!AQ272-1</f>
        <v>3.9880034515953344E-2</v>
      </c>
      <c r="BI272" s="1"/>
      <c r="BJ272" s="179">
        <f>AS272/'2019-20 disagg'!AS272-1</f>
        <v>3.1423603465217775E-2</v>
      </c>
      <c r="BK272" s="179">
        <f>AT272/'2019-20 disagg'!AT272-1</f>
        <v>3.4210275956648273E-2</v>
      </c>
      <c r="BL272" s="179">
        <f>AU272/'2019-20 disagg'!AU272-1</f>
        <v>4.3315665670577763E-2</v>
      </c>
      <c r="BM272" s="179">
        <f>AW272/'2019-20 disagg'!AW272-1</f>
        <v>3.362804868542324E-2</v>
      </c>
    </row>
    <row r="273" spans="2:65" ht="15" x14ac:dyDescent="0.25">
      <c r="B273" t="s">
        <v>550</v>
      </c>
      <c r="D273" s="55">
        <v>10708641.127260573</v>
      </c>
      <c r="E273" s="166">
        <v>1875.2508336329702</v>
      </c>
      <c r="F273" s="171">
        <f>VLOOKUP(B273,'2020-21'!$B$12:$AMX481,33,FALSE)</f>
        <v>3.8556086842896464E-2</v>
      </c>
      <c r="G273" s="171">
        <f>VLOOKUP(B273,'2020-21'!$B$12:$AMX481,34,FALSE)</f>
        <v>3.1536736382283159E-2</v>
      </c>
      <c r="I273" s="175">
        <v>10558114.211684581</v>
      </c>
      <c r="J273" s="175">
        <v>1848.8912124108622</v>
      </c>
      <c r="K273" s="171">
        <f t="shared" si="84"/>
        <v>1.4256988753673872E-2</v>
      </c>
      <c r="L273" s="170">
        <f t="shared" si="84"/>
        <v>1.4256988753673872E-2</v>
      </c>
      <c r="N273" s="55">
        <v>7974520</v>
      </c>
      <c r="O273" s="55">
        <v>851591</v>
      </c>
      <c r="P273" s="55">
        <v>1873999</v>
      </c>
      <c r="R273" s="55">
        <v>1873999</v>
      </c>
      <c r="S273" s="55">
        <v>8531.1272605721606</v>
      </c>
      <c r="U273" s="171">
        <v>1.8389395861176938E-2</v>
      </c>
      <c r="V273" s="171">
        <v>-1.3250836132390753E-2</v>
      </c>
      <c r="AA273" s="55">
        <v>0</v>
      </c>
      <c r="AB273" s="55">
        <v>0</v>
      </c>
      <c r="AC273" s="55">
        <v>8531.1272605721606</v>
      </c>
      <c r="AE273" s="55">
        <v>0</v>
      </c>
      <c r="AF273" s="55">
        <v>0</v>
      </c>
      <c r="AG273" s="55">
        <v>8531.1272605721606</v>
      </c>
      <c r="AI273" s="55">
        <v>7623.8398989627258</v>
      </c>
      <c r="AJ273" s="55">
        <v>907.28736160943527</v>
      </c>
      <c r="AK273" s="55">
        <v>0</v>
      </c>
      <c r="AM273" s="55">
        <v>7982144</v>
      </c>
      <c r="AN273" s="55">
        <v>852499</v>
      </c>
      <c r="AO273" s="55">
        <v>1873999</v>
      </c>
      <c r="AP273" s="55"/>
      <c r="AQ273" s="55">
        <v>10708642</v>
      </c>
      <c r="AR273" s="1"/>
      <c r="AS273" s="175">
        <v>1397.7984706270177</v>
      </c>
      <c r="AT273" s="175">
        <v>149.28593099937336</v>
      </c>
      <c r="AU273" s="175">
        <v>328.16658483692612</v>
      </c>
      <c r="AV273" s="175"/>
      <c r="AW273" s="175">
        <v>1875.2509864633173</v>
      </c>
      <c r="AX273" s="1"/>
      <c r="AY273" s="171">
        <v>1.9363021954539983E-2</v>
      </c>
      <c r="AZ273" s="171">
        <v>-1.2198725153303669E-2</v>
      </c>
      <c r="BA273" s="171">
        <v>5.0591167491051969E-3</v>
      </c>
      <c r="BB273" s="171">
        <f t="shared" si="85"/>
        <v>1.4257071414214506E-2</v>
      </c>
      <c r="BC273" s="171"/>
      <c r="BD273" s="1"/>
      <c r="BE273" s="179">
        <f>AM273/'2019-20 disagg'!AM273-1</f>
        <v>3.549321836824415E-2</v>
      </c>
      <c r="BF273" s="179">
        <f>AN273/'2019-20 disagg'!AN273-1</f>
        <v>4.0962057651660055E-2</v>
      </c>
      <c r="BG273" s="179">
        <f>AO273/'2019-20 disagg'!AO273-1</f>
        <v>5.0689340038910347E-2</v>
      </c>
      <c r="BH273" s="179">
        <f>AQ273/'2019-20 disagg'!AQ273-1</f>
        <v>3.8556171483779655E-2</v>
      </c>
      <c r="BI273" s="1"/>
      <c r="BJ273" s="179">
        <f>AS273/'2019-20 disagg'!AS273-1</f>
        <v>2.8494569097976541E-2</v>
      </c>
      <c r="BK273" s="179">
        <f>AT273/'2019-20 disagg'!AT273-1</f>
        <v>3.3926445813815098E-2</v>
      </c>
      <c r="BL273" s="179">
        <f>AU273/'2019-20 disagg'!AU273-1</f>
        <v>4.3587983842170663E-2</v>
      </c>
      <c r="BM273" s="179">
        <f>AW273/'2019-20 disagg'!AW273-1</f>
        <v>3.153682045109929E-2</v>
      </c>
    </row>
    <row r="274" spans="2:65" ht="15" x14ac:dyDescent="0.25">
      <c r="B274" t="s">
        <v>551</v>
      </c>
      <c r="D274" s="55">
        <v>11944058.471044334</v>
      </c>
      <c r="E274" s="166">
        <v>1894.4805642877441</v>
      </c>
      <c r="F274" s="171">
        <f>VLOOKUP(B274,'2020-21'!$B$12:$AMX482,33,FALSE)</f>
        <v>3.9785120633229365E-2</v>
      </c>
      <c r="G274" s="171">
        <f>VLOOKUP(B274,'2020-21'!$B$12:$AMX482,34,FALSE)</f>
        <v>3.3802249291224218E-2</v>
      </c>
      <c r="I274" s="175">
        <v>11866090.008878928</v>
      </c>
      <c r="J274" s="175">
        <v>1882.113768147399</v>
      </c>
      <c r="K274" s="171">
        <f t="shared" si="84"/>
        <v>6.570695326519882E-3</v>
      </c>
      <c r="L274" s="170">
        <f t="shared" si="84"/>
        <v>6.570695326520104E-3</v>
      </c>
      <c r="N274" s="55">
        <v>8709748</v>
      </c>
      <c r="O274" s="55">
        <v>953423</v>
      </c>
      <c r="P274" s="55">
        <v>2269713</v>
      </c>
      <c r="R274" s="55">
        <v>2269713</v>
      </c>
      <c r="S274" s="55">
        <v>11174.47104433272</v>
      </c>
      <c r="U274" s="171">
        <v>-6.4153391187804498E-4</v>
      </c>
      <c r="V274" s="171">
        <v>-2.7375236889702892E-2</v>
      </c>
      <c r="AA274" s="55">
        <v>822.33831637119874</v>
      </c>
      <c r="AB274" s="55">
        <v>0</v>
      </c>
      <c r="AC274" s="55">
        <v>10352.132727961522</v>
      </c>
      <c r="AE274" s="55">
        <v>0</v>
      </c>
      <c r="AF274" s="55">
        <v>0</v>
      </c>
      <c r="AG274" s="55">
        <v>10352.132727961522</v>
      </c>
      <c r="AI274" s="55">
        <v>9274.8256788631716</v>
      </c>
      <c r="AJ274" s="55">
        <v>1077.3070490983509</v>
      </c>
      <c r="AK274" s="55">
        <v>0</v>
      </c>
      <c r="AM274" s="55">
        <v>8719844</v>
      </c>
      <c r="AN274" s="55">
        <v>954501</v>
      </c>
      <c r="AO274" s="55">
        <v>2269713</v>
      </c>
      <c r="AP274" s="55"/>
      <c r="AQ274" s="55">
        <v>11944058</v>
      </c>
      <c r="AR274" s="1"/>
      <c r="AS274" s="175">
        <v>1383.0788773907184</v>
      </c>
      <c r="AT274" s="175">
        <v>151.39607675874916</v>
      </c>
      <c r="AU274" s="175">
        <v>360.0055354246154</v>
      </c>
      <c r="AV274" s="175"/>
      <c r="AW274" s="175">
        <v>1894.4804895740831</v>
      </c>
      <c r="AX274" s="1"/>
      <c r="AY274" s="171">
        <v>5.1688342391931208E-4</v>
      </c>
      <c r="AZ274" s="171">
        <v>-2.627552616882356E-2</v>
      </c>
      <c r="BA274" s="171">
        <v>4.5713100386850725E-2</v>
      </c>
      <c r="BB274" s="171">
        <f t="shared" si="85"/>
        <v>6.5706556298437135E-3</v>
      </c>
      <c r="BC274" s="171"/>
      <c r="BD274" s="1"/>
      <c r="BE274" s="179">
        <f>AM274/'2019-20 disagg'!AM274-1</f>
        <v>3.7228115284733798E-2</v>
      </c>
      <c r="BF274" s="179">
        <f>AN274/'2019-20 disagg'!AN274-1</f>
        <v>4.0747767492067544E-2</v>
      </c>
      <c r="BG274" s="179">
        <f>AO274/'2019-20 disagg'!AO274-1</f>
        <v>4.9314784773118348E-2</v>
      </c>
      <c r="BH274" s="179">
        <f>AQ274/'2019-20 disagg'!AQ274-1</f>
        <v>3.9785079626657671E-2</v>
      </c>
      <c r="BI274" s="1"/>
      <c r="BJ274" s="179">
        <f>AS274/'2019-20 disagg'!AS274-1</f>
        <v>3.1259956823031843E-2</v>
      </c>
      <c r="BK274" s="179">
        <f>AT274/'2019-20 disagg'!AT274-1</f>
        <v>3.4759357128403279E-2</v>
      </c>
      <c r="BL274" s="179">
        <f>AU274/'2019-20 disagg'!AU274-1</f>
        <v>4.3277080222452913E-2</v>
      </c>
      <c r="BM274" s="179">
        <f>AW274/'2019-20 disagg'!AW274-1</f>
        <v>3.380220852060245E-2</v>
      </c>
    </row>
    <row r="275" spans="2:65" ht="15" x14ac:dyDescent="0.25">
      <c r="B275"/>
      <c r="D275" s="1"/>
      <c r="N275" s="1"/>
      <c r="O275" s="1"/>
      <c r="P275" s="1"/>
      <c r="R275" s="1"/>
      <c r="S275" s="1"/>
      <c r="AA275" s="1"/>
      <c r="AB275" s="1"/>
      <c r="AC275" s="1"/>
      <c r="AE275" s="1"/>
      <c r="AF275" s="1"/>
      <c r="AG275" s="1"/>
      <c r="AI275" s="1"/>
      <c r="AJ275" s="1"/>
      <c r="AK275" s="1"/>
      <c r="AM275" s="1"/>
      <c r="AN275" s="1"/>
      <c r="AO275" s="1"/>
      <c r="AP275" s="1"/>
      <c r="AR275" s="1"/>
      <c r="AV275" s="64"/>
      <c r="AX275" s="1"/>
      <c r="BA275" s="64"/>
      <c r="BD275" s="1"/>
      <c r="BE275" s="179"/>
      <c r="BF275" s="179"/>
      <c r="BG275" s="179"/>
      <c r="BH275" s="179"/>
      <c r="BI275" s="1"/>
      <c r="BJ275" s="179"/>
      <c r="BK275" s="179"/>
    </row>
    <row r="276" spans="2:65" ht="15" x14ac:dyDescent="0.25">
      <c r="B276" t="s">
        <v>12</v>
      </c>
      <c r="D276" s="172">
        <f>SUM(D265:D274)</f>
        <v>103908742.65587756</v>
      </c>
      <c r="E276" s="166">
        <v>1749.2365693703005</v>
      </c>
      <c r="F276" s="171">
        <f>VLOOKUP(B276,'2020-21'!$B$12:$AMX484,33,FALSE)</f>
        <v>4.0768757263071498E-2</v>
      </c>
      <c r="G276" s="171">
        <f>VLOOKUP(B276,'2020-21'!$B$12:$AMX484,34,FALSE)</f>
        <v>3.3699018448002604E-2</v>
      </c>
      <c r="I276" s="175">
        <f>SUM(I265:I274)</f>
        <v>103908754.03575228</v>
      </c>
      <c r="J276" s="175">
        <v>1749.2367609431412</v>
      </c>
      <c r="K276" s="171">
        <f t="shared" ref="K276:L276" si="86">D276/I276-1</f>
        <v>-1.0951795959002197E-7</v>
      </c>
      <c r="L276" s="170">
        <f t="shared" si="86"/>
        <v>-1.0951795947899967E-7</v>
      </c>
      <c r="N276" s="172">
        <f>SUM(N265:N274)</f>
        <v>77946799</v>
      </c>
      <c r="O276" s="172">
        <f>SUM(O265:O274)</f>
        <v>8319600</v>
      </c>
      <c r="P276" s="172">
        <f>SUM(P265:P274)</f>
        <v>17431645</v>
      </c>
      <c r="R276" s="172">
        <f>SUM(R265:R274)</f>
        <v>17431645</v>
      </c>
      <c r="S276" s="172">
        <f>SUM(S265:S274)</f>
        <v>210698.65587758715</v>
      </c>
      <c r="U276" s="171">
        <v>-1.6007244969382661E-3</v>
      </c>
      <c r="V276" s="171">
        <v>-1.0019276993740722E-2</v>
      </c>
      <c r="AA276" s="172">
        <f>SUM(AA265:AA274)</f>
        <v>49772.082185478088</v>
      </c>
      <c r="AB276" s="172">
        <f>SUM(AB265:AB274)</f>
        <v>0</v>
      </c>
      <c r="AC276" s="172">
        <f>SUM(AC265:AC274)</f>
        <v>160926.57369210906</v>
      </c>
      <c r="AE276" s="172">
        <f>SUM(AE265:AE274)</f>
        <v>0</v>
      </c>
      <c r="AF276" s="172">
        <f>SUM(AF265:AF274)</f>
        <v>2176.1844911770013</v>
      </c>
      <c r="AG276" s="172">
        <f>SUM(AG265:AG274)</f>
        <v>158750.38920093206</v>
      </c>
      <c r="AI276" s="172">
        <f>SUM(AI265:AI274)</f>
        <v>143264.1425395176</v>
      </c>
      <c r="AJ276" s="172">
        <f>SUM(AJ265:AJ274)</f>
        <v>15486.246661414465</v>
      </c>
      <c r="AK276" s="172">
        <f>SUM(AK265:AK274)</f>
        <v>0</v>
      </c>
      <c r="AM276" s="172">
        <f>SUM(AM265:AM274)</f>
        <v>78139836</v>
      </c>
      <c r="AN276" s="172">
        <f>SUM(AN265:AN274)</f>
        <v>8337266</v>
      </c>
      <c r="AO276" s="172">
        <f>SUM(AO265:AO274)</f>
        <v>17431645</v>
      </c>
      <c r="AP276" s="172"/>
      <c r="AQ276" s="172">
        <f>SUM(AQ265:AQ274)</f>
        <v>103908747</v>
      </c>
      <c r="AR276" s="1"/>
      <c r="AS276" s="175">
        <v>1315.4336696043772</v>
      </c>
      <c r="AT276" s="175">
        <v>140.35248818346389</v>
      </c>
      <c r="AU276" s="175">
        <v>293.45048471295479</v>
      </c>
      <c r="AV276" s="175"/>
      <c r="AW276" s="175">
        <v>1749.2366425007958</v>
      </c>
      <c r="AX276" s="1"/>
      <c r="AY276" s="171">
        <v>8.7183375327648527E-4</v>
      </c>
      <c r="AZ276" s="171">
        <v>-7.9171327256715163E-3</v>
      </c>
      <c r="BA276" s="171">
        <v>-8.8259287163161559E-5</v>
      </c>
      <c r="BB276" s="171">
        <f t="shared" ref="BB276" si="87">SUM(AM276:AO276)/I276-1</f>
        <v>-6.7710871354265123E-8</v>
      </c>
      <c r="BC276" s="171"/>
      <c r="BD276" s="1"/>
      <c r="BE276" s="179">
        <f>AM276/'2019-20 disagg'!AM276-1</f>
        <v>3.8508201500837558E-2</v>
      </c>
      <c r="BF276" s="179">
        <f>AN276/'2019-20 disagg'!AN276-1</f>
        <v>4.2193163470976236E-2</v>
      </c>
      <c r="BG276" s="179">
        <f>AO276/'2019-20 disagg'!AO276-1</f>
        <v>5.0331055039022576E-2</v>
      </c>
      <c r="BH276" s="179">
        <f>AQ276/'2019-20 disagg'!AQ276-1</f>
        <v>4.0768800774587222E-2</v>
      </c>
      <c r="BI276" s="1"/>
      <c r="BJ276" s="179">
        <f>AS276/'2019-20 disagg'!AS276-1</f>
        <v>3.1453818199377537E-2</v>
      </c>
      <c r="BK276" s="179">
        <f>AT276/'2019-20 disagg'!AT276-1</f>
        <v>3.5113748942848133E-2</v>
      </c>
      <c r="BL276" s="179">
        <f>AU276/'2019-20 disagg'!AU276-1</f>
        <v>4.3196361403513572E-2</v>
      </c>
      <c r="BM276" s="179">
        <f>AW276/'2019-20 disagg'!AW276-1</f>
        <v>3.36990616639532E-2</v>
      </c>
    </row>
    <row r="277" spans="2:65" ht="15" x14ac:dyDescent="0.25">
      <c r="B277"/>
      <c r="D277" s="1"/>
      <c r="N277" s="1"/>
      <c r="O277" s="1"/>
      <c r="P277" s="1"/>
      <c r="R277" s="1"/>
      <c r="S277" s="1"/>
      <c r="AA277" s="1"/>
      <c r="AB277" s="1"/>
      <c r="AC277" s="1"/>
      <c r="AE277" s="1"/>
      <c r="AF277" s="1"/>
      <c r="AG277" s="1"/>
      <c r="AI277" s="1"/>
      <c r="AJ277" s="1"/>
      <c r="AK277" s="1"/>
      <c r="AM277" s="1"/>
      <c r="AN277" s="1"/>
      <c r="AO277" s="1"/>
      <c r="AP277" s="1"/>
      <c r="AR277" s="1"/>
      <c r="AV277" s="64"/>
      <c r="AX277" s="1"/>
      <c r="BA277" s="64"/>
      <c r="BD277" s="1"/>
      <c r="BE277" s="179"/>
      <c r="BF277" s="179"/>
      <c r="BG277" s="179"/>
      <c r="BH277" s="179"/>
      <c r="BI277" s="1"/>
      <c r="BJ277" s="179"/>
      <c r="BK277" s="179"/>
    </row>
    <row r="278" spans="2:65" ht="15" x14ac:dyDescent="0.25">
      <c r="B278" s="174" t="s">
        <v>552</v>
      </c>
      <c r="D278" s="1"/>
      <c r="N278" s="1"/>
      <c r="O278" s="1"/>
      <c r="P278" s="1"/>
      <c r="R278" s="1"/>
      <c r="S278" s="1"/>
      <c r="AA278" s="1"/>
      <c r="AB278" s="1"/>
      <c r="AC278" s="1"/>
      <c r="AE278" s="1"/>
      <c r="AF278" s="1"/>
      <c r="AG278" s="1"/>
      <c r="AI278" s="1"/>
      <c r="AJ278" s="1"/>
      <c r="AK278" s="1"/>
      <c r="AM278" s="1"/>
      <c r="AN278" s="1"/>
      <c r="AO278" s="1"/>
      <c r="AP278" s="1"/>
      <c r="AR278" s="1"/>
      <c r="AV278" s="64"/>
      <c r="AX278" s="1"/>
      <c r="BA278" s="64"/>
      <c r="BD278" s="1"/>
      <c r="BE278" s="179"/>
      <c r="BF278" s="179"/>
      <c r="BG278" s="179"/>
      <c r="BH278" s="179"/>
      <c r="BI278" s="1"/>
      <c r="BJ278" s="179"/>
      <c r="BK278" s="179"/>
    </row>
    <row r="279" spans="2:65" ht="15" x14ac:dyDescent="0.25">
      <c r="B279" t="s">
        <v>553</v>
      </c>
      <c r="D279" s="55">
        <v>10769128.49708865</v>
      </c>
      <c r="E279" s="166">
        <v>1752.3388454763756</v>
      </c>
      <c r="F279" s="171">
        <f>VLOOKUP(B279,'2020-21'!$B$12:$AMX487,33,FALSE)</f>
        <v>4.116799083162892E-2</v>
      </c>
      <c r="G279" s="171">
        <f>VLOOKUP(B279,'2020-21'!$B$12:$AMX487,34,FALSE)</f>
        <v>3.0570455320688472E-2</v>
      </c>
      <c r="I279" s="175">
        <v>10697335.54089883</v>
      </c>
      <c r="J279" s="175">
        <v>1740.6567872673927</v>
      </c>
      <c r="K279" s="171">
        <f t="shared" ref="K279:L288" si="88">D279/I279-1</f>
        <v>6.7112932856352447E-3</v>
      </c>
      <c r="L279" s="170">
        <f t="shared" si="88"/>
        <v>6.7112932856352447E-3</v>
      </c>
      <c r="N279" s="55">
        <v>7606745</v>
      </c>
      <c r="O279" s="55">
        <v>887039</v>
      </c>
      <c r="P279" s="55">
        <v>2257383</v>
      </c>
      <c r="R279" s="55">
        <v>2257383</v>
      </c>
      <c r="S279" s="55">
        <v>17961.497088649514</v>
      </c>
      <c r="U279" s="171">
        <v>9.1941535466288915E-3</v>
      </c>
      <c r="V279" s="171">
        <v>-4.0222547507564155E-2</v>
      </c>
      <c r="AA279" s="55">
        <v>1175.4144232193648</v>
      </c>
      <c r="AB279" s="55">
        <v>0</v>
      </c>
      <c r="AC279" s="55">
        <v>16786.082665430149</v>
      </c>
      <c r="AE279" s="55">
        <v>0</v>
      </c>
      <c r="AF279" s="55">
        <v>1861.8660535718677</v>
      </c>
      <c r="AG279" s="55">
        <v>14924.216611858281</v>
      </c>
      <c r="AI279" s="55">
        <v>13366.917669354834</v>
      </c>
      <c r="AJ279" s="55">
        <v>1557.2989425034491</v>
      </c>
      <c r="AK279" s="55">
        <v>0</v>
      </c>
      <c r="AM279" s="55">
        <v>7621287</v>
      </c>
      <c r="AN279" s="55">
        <v>890459</v>
      </c>
      <c r="AO279" s="55">
        <v>2257383</v>
      </c>
      <c r="AP279" s="55"/>
      <c r="AQ279" s="55">
        <v>10769129</v>
      </c>
      <c r="AR279" s="1"/>
      <c r="AS279" s="175">
        <v>1240.1260943477971</v>
      </c>
      <c r="AT279" s="175">
        <v>144.89435207555431</v>
      </c>
      <c r="AU279" s="175">
        <v>367.31848088611719</v>
      </c>
      <c r="AV279" s="175"/>
      <c r="AW279" s="175">
        <v>1752.3389273094685</v>
      </c>
      <c r="AX279" s="1"/>
      <c r="AY279" s="171">
        <v>1.1123454631504881E-2</v>
      </c>
      <c r="AZ279" s="171">
        <v>-3.6522102670838663E-2</v>
      </c>
      <c r="BA279" s="171">
        <v>9.7085754002028679E-3</v>
      </c>
      <c r="BB279" s="171">
        <f t="shared" ref="BB279:BB288" si="89">SUM(AM279:AO279)/I279-1</f>
        <v>6.7113402984027015E-3</v>
      </c>
      <c r="BC279" s="171"/>
      <c r="BD279" s="1"/>
      <c r="BE279" s="179">
        <f>AM279/'2019-20 disagg'!AM279-1</f>
        <v>3.6517752469134024E-2</v>
      </c>
      <c r="BF279" s="179">
        <f>AN279/'2019-20 disagg'!AN279-1</f>
        <v>4.9209668962348019E-2</v>
      </c>
      <c r="BG279" s="179">
        <f>AO279/'2019-20 disagg'!AO279-1</f>
        <v>5.3945672879393447E-2</v>
      </c>
      <c r="BH279" s="179">
        <f>AQ279/'2019-20 disagg'!AQ279-1</f>
        <v>4.1168039453502114E-2</v>
      </c>
      <c r="BI279" s="1"/>
      <c r="BJ279" s="179">
        <f>AS279/'2019-20 disagg'!AS279-1</f>
        <v>2.5967549441150206E-2</v>
      </c>
      <c r="BK279" s="179">
        <f>AT279/'2019-20 disagg'!AT279-1</f>
        <v>3.853028117559032E-2</v>
      </c>
      <c r="BL279" s="179">
        <f>AU279/'2019-20 disagg'!AU279-1</f>
        <v>4.3218079644395946E-2</v>
      </c>
      <c r="BM279" s="179">
        <f>AW279/'2019-20 disagg'!AW279-1</f>
        <v>3.0570503447663544E-2</v>
      </c>
    </row>
    <row r="280" spans="2:65" ht="15" x14ac:dyDescent="0.25">
      <c r="B280" t="s">
        <v>554</v>
      </c>
      <c r="D280" s="55">
        <v>11443097.131644925</v>
      </c>
      <c r="E280" s="166">
        <v>1702.7753552804718</v>
      </c>
      <c r="F280" s="171">
        <f>VLOOKUP(B280,'2020-21'!$B$12:$AMX488,33,FALSE)</f>
        <v>4.3912570044308152E-2</v>
      </c>
      <c r="G280" s="171">
        <f>VLOOKUP(B280,'2020-21'!$B$12:$AMX488,34,FALSE)</f>
        <v>3.4280697404567295E-2</v>
      </c>
      <c r="I280" s="175">
        <v>11511665.905684812</v>
      </c>
      <c r="J280" s="175">
        <v>1712.9786435365888</v>
      </c>
      <c r="K280" s="171">
        <f t="shared" si="88"/>
        <v>-5.956459699375527E-3</v>
      </c>
      <c r="L280" s="170">
        <f t="shared" si="88"/>
        <v>-5.956459699375749E-3</v>
      </c>
      <c r="N280" s="55">
        <v>8266539</v>
      </c>
      <c r="O280" s="55">
        <v>930856</v>
      </c>
      <c r="P280" s="55">
        <v>2197844</v>
      </c>
      <c r="R280" s="55">
        <v>2197844</v>
      </c>
      <c r="S280" s="55">
        <v>47858.131644924637</v>
      </c>
      <c r="U280" s="171">
        <v>-1.3239391043247672E-2</v>
      </c>
      <c r="V280" s="171">
        <v>-3.1985353209543876E-2</v>
      </c>
      <c r="AA280" s="55">
        <v>542.58909028524067</v>
      </c>
      <c r="AB280" s="55">
        <v>0</v>
      </c>
      <c r="AC280" s="55">
        <v>47315.542554639396</v>
      </c>
      <c r="AE280" s="55">
        <v>0</v>
      </c>
      <c r="AF280" s="55">
        <v>0</v>
      </c>
      <c r="AG280" s="55">
        <v>47315.542554639396</v>
      </c>
      <c r="AI280" s="55">
        <v>42531.973556476587</v>
      </c>
      <c r="AJ280" s="55">
        <v>4783.5689981628075</v>
      </c>
      <c r="AK280" s="55">
        <v>0</v>
      </c>
      <c r="AM280" s="55">
        <v>8309612</v>
      </c>
      <c r="AN280" s="55">
        <v>935639</v>
      </c>
      <c r="AO280" s="55">
        <v>2197844</v>
      </c>
      <c r="AP280" s="55"/>
      <c r="AQ280" s="55">
        <v>11443095</v>
      </c>
      <c r="AR280" s="1"/>
      <c r="AS280" s="175">
        <v>1236.5011292628014</v>
      </c>
      <c r="AT280" s="175">
        <v>139.2265583618487</v>
      </c>
      <c r="AU280" s="175">
        <v>327.04735045913969</v>
      </c>
      <c r="AV280" s="175"/>
      <c r="AW280" s="175">
        <v>1702.7750380837897</v>
      </c>
      <c r="AX280" s="1"/>
      <c r="AY280" s="171">
        <v>-8.0978511908869066E-3</v>
      </c>
      <c r="AZ280" s="171">
        <v>-2.7011421628720722E-2</v>
      </c>
      <c r="BA280" s="171">
        <v>1.1618791362317138E-2</v>
      </c>
      <c r="BB280" s="171">
        <f t="shared" si="89"/>
        <v>-5.9566448719597931E-3</v>
      </c>
      <c r="BC280" s="171"/>
      <c r="BD280" s="1"/>
      <c r="BE280" s="179">
        <f>AM280/'2019-20 disagg'!AM280-1</f>
        <v>4.101998162658016E-2</v>
      </c>
      <c r="BF280" s="179">
        <f>AN280/'2019-20 disagg'!AN280-1</f>
        <v>4.931555089013151E-2</v>
      </c>
      <c r="BG280" s="179">
        <f>AO280/'2019-20 disagg'!AO280-1</f>
        <v>5.2662736063681548E-2</v>
      </c>
      <c r="BH280" s="179">
        <f>AQ280/'2019-20 disagg'!AQ280-1</f>
        <v>4.3912375582012997E-2</v>
      </c>
      <c r="BI280" s="1"/>
      <c r="BJ280" s="179">
        <f>AS280/'2019-20 disagg'!AS280-1</f>
        <v>3.1414798044944625E-2</v>
      </c>
      <c r="BK280" s="179">
        <f>AT280/'2019-20 disagg'!AT280-1</f>
        <v>3.9633826543576278E-2</v>
      </c>
      <c r="BL280" s="179">
        <f>AU280/'2019-20 disagg'!AU280-1</f>
        <v>4.2950128229161333E-2</v>
      </c>
      <c r="BM280" s="179">
        <f>AW280/'2019-20 disagg'!AW280-1</f>
        <v>3.4280504736518225E-2</v>
      </c>
    </row>
    <row r="281" spans="2:65" ht="15" x14ac:dyDescent="0.25">
      <c r="B281" t="s">
        <v>555</v>
      </c>
      <c r="D281" s="55">
        <v>10728151.419652004</v>
      </c>
      <c r="E281" s="166">
        <v>1805.1435891803533</v>
      </c>
      <c r="F281" s="171">
        <f>VLOOKUP(B281,'2020-21'!$B$12:$AMX489,33,FALSE)</f>
        <v>3.9964735887971115E-2</v>
      </c>
      <c r="G281" s="171">
        <f>VLOOKUP(B281,'2020-21'!$B$12:$AMX489,34,FALSE)</f>
        <v>3.3117216080322809E-2</v>
      </c>
      <c r="I281" s="175">
        <v>10682475.986317676</v>
      </c>
      <c r="J281" s="175">
        <v>1797.4581350474573</v>
      </c>
      <c r="K281" s="171">
        <f t="shared" si="88"/>
        <v>4.2757347072748253E-3</v>
      </c>
      <c r="L281" s="170">
        <f t="shared" si="88"/>
        <v>4.2757347072748253E-3</v>
      </c>
      <c r="N281" s="55">
        <v>8008111</v>
      </c>
      <c r="O281" s="55">
        <v>855514</v>
      </c>
      <c r="P281" s="55">
        <v>1851037</v>
      </c>
      <c r="R281" s="55">
        <v>1851037</v>
      </c>
      <c r="S281" s="55">
        <v>13489.419652003126</v>
      </c>
      <c r="U281" s="171">
        <v>-1.1692494355427518E-3</v>
      </c>
      <c r="V281" s="171">
        <v>-2.0530802359538303E-2</v>
      </c>
      <c r="AA281" s="55">
        <v>1099.736558289791</v>
      </c>
      <c r="AB281" s="55">
        <v>0</v>
      </c>
      <c r="AC281" s="55">
        <v>12389.683093713335</v>
      </c>
      <c r="AE281" s="55">
        <v>0</v>
      </c>
      <c r="AF281" s="55">
        <v>0</v>
      </c>
      <c r="AG281" s="55">
        <v>12389.683093713335</v>
      </c>
      <c r="AI281" s="55">
        <v>11159.764466663855</v>
      </c>
      <c r="AJ281" s="55">
        <v>1229.9186270494804</v>
      </c>
      <c r="AK281" s="55">
        <v>0</v>
      </c>
      <c r="AM281" s="55">
        <v>8020372</v>
      </c>
      <c r="AN281" s="55">
        <v>856745</v>
      </c>
      <c r="AO281" s="55">
        <v>1851037</v>
      </c>
      <c r="AP281" s="55"/>
      <c r="AQ281" s="55">
        <v>10728154</v>
      </c>
      <c r="AR281" s="1"/>
      <c r="AS281" s="175">
        <v>1349.5263566210215</v>
      </c>
      <c r="AT281" s="175">
        <v>144.15789671642128</v>
      </c>
      <c r="AU281" s="175">
        <v>311.45977001823678</v>
      </c>
      <c r="AV281" s="175"/>
      <c r="AW281" s="175">
        <v>1805.1440233556796</v>
      </c>
      <c r="AX281" s="1"/>
      <c r="AY281" s="171">
        <v>3.6003304226883692E-4</v>
      </c>
      <c r="AZ281" s="171">
        <v>-1.9121443094470281E-2</v>
      </c>
      <c r="BA281" s="171">
        <v>3.3207676225896154E-2</v>
      </c>
      <c r="BB281" s="171">
        <f t="shared" si="89"/>
        <v>4.2759762568931325E-3</v>
      </c>
      <c r="BC281" s="171"/>
      <c r="BD281" s="1"/>
      <c r="BE281" s="179">
        <f>AM281/'2019-20 disagg'!AM281-1</f>
        <v>3.7563086925254563E-2</v>
      </c>
      <c r="BF281" s="179">
        <f>AN281/'2019-20 disagg'!AN281-1</f>
        <v>4.1331404818047091E-2</v>
      </c>
      <c r="BG281" s="179">
        <f>AO281/'2019-20 disagg'!AO281-1</f>
        <v>4.9857894847291639E-2</v>
      </c>
      <c r="BH281" s="179">
        <f>AQ281/'2019-20 disagg'!AQ281-1</f>
        <v>3.9964986021551185E-2</v>
      </c>
      <c r="BI281" s="1"/>
      <c r="BJ281" s="179">
        <f>AS281/'2019-20 disagg'!AS281-1</f>
        <v>3.0731380479613213E-2</v>
      </c>
      <c r="BK281" s="179">
        <f>AT281/'2019-20 disagg'!AT281-1</f>
        <v>3.4474886347034106E-2</v>
      </c>
      <c r="BL281" s="179">
        <f>AU281/'2019-20 disagg'!AU281-1</f>
        <v>4.2945234752096439E-2</v>
      </c>
      <c r="BM281" s="179">
        <f>AW281/'2019-20 disagg'!AW281-1</f>
        <v>3.3117464566929211E-2</v>
      </c>
    </row>
    <row r="282" spans="2:65" ht="15" x14ac:dyDescent="0.25">
      <c r="B282" t="s">
        <v>556</v>
      </c>
      <c r="D282" s="55">
        <v>13434138.924947955</v>
      </c>
      <c r="E282" s="166">
        <v>1696.7935725389173</v>
      </c>
      <c r="F282" s="171">
        <f>VLOOKUP(B282,'2020-21'!$B$12:$AMX490,33,FALSE)</f>
        <v>4.2254222288319099E-2</v>
      </c>
      <c r="G282" s="171">
        <f>VLOOKUP(B282,'2020-21'!$B$12:$AMX490,34,FALSE)</f>
        <v>3.5274777315122297E-2</v>
      </c>
      <c r="I282" s="175">
        <v>13470267.630362675</v>
      </c>
      <c r="J282" s="175">
        <v>1701.3567943035819</v>
      </c>
      <c r="K282" s="171">
        <f t="shared" si="88"/>
        <v>-2.6821074685468016E-3</v>
      </c>
      <c r="L282" s="170">
        <f t="shared" si="88"/>
        <v>-2.6821074685469126E-3</v>
      </c>
      <c r="N282" s="55">
        <v>10066149</v>
      </c>
      <c r="O282" s="55">
        <v>1079299</v>
      </c>
      <c r="P282" s="55">
        <v>2248369</v>
      </c>
      <c r="R282" s="55">
        <v>2248369</v>
      </c>
      <c r="S282" s="55">
        <v>40321.924947955325</v>
      </c>
      <c r="U282" s="171">
        <v>-6.3554657740164666E-3</v>
      </c>
      <c r="V282" s="171">
        <v>-1.2941128496623877E-2</v>
      </c>
      <c r="AA282" s="55">
        <v>8970.2005192806537</v>
      </c>
      <c r="AB282" s="55">
        <v>0</v>
      </c>
      <c r="AC282" s="55">
        <v>31351.724428674672</v>
      </c>
      <c r="AE282" s="55">
        <v>0</v>
      </c>
      <c r="AF282" s="55">
        <v>0</v>
      </c>
      <c r="AG282" s="55">
        <v>31351.724428674672</v>
      </c>
      <c r="AI282" s="55">
        <v>28396.819894228316</v>
      </c>
      <c r="AJ282" s="55">
        <v>2954.904534446352</v>
      </c>
      <c r="AK282" s="55">
        <v>0</v>
      </c>
      <c r="AM282" s="55">
        <v>10103517</v>
      </c>
      <c r="AN282" s="55">
        <v>1082256</v>
      </c>
      <c r="AO282" s="55">
        <v>2248369</v>
      </c>
      <c r="AP282" s="55"/>
      <c r="AQ282" s="55">
        <v>13434142</v>
      </c>
      <c r="AR282" s="1"/>
      <c r="AS282" s="175">
        <v>1276.1206952982363</v>
      </c>
      <c r="AT282" s="175">
        <v>136.69391353631494</v>
      </c>
      <c r="AU282" s="175">
        <v>283.9793520975914</v>
      </c>
      <c r="AV282" s="175"/>
      <c r="AW282" s="175">
        <v>1696.7939609321427</v>
      </c>
      <c r="AX282" s="1"/>
      <c r="AY282" s="171">
        <v>-2.6668149349561299E-3</v>
      </c>
      <c r="AZ282" s="171">
        <v>-1.0236842582307726E-2</v>
      </c>
      <c r="BA282" s="171">
        <v>9.2779732509673529E-4</v>
      </c>
      <c r="BB282" s="171">
        <f t="shared" si="89"/>
        <v>-2.6818791841407563E-3</v>
      </c>
      <c r="BC282" s="171"/>
      <c r="BD282" s="1"/>
      <c r="BE282" s="179">
        <f>AM282/'2019-20 disagg'!AM282-1</f>
        <v>4.0386728503850611E-2</v>
      </c>
      <c r="BF282" s="179">
        <f>AN282/'2019-20 disagg'!AN282-1</f>
        <v>4.3887900227151055E-2</v>
      </c>
      <c r="BG282" s="179">
        <f>AO282/'2019-20 disagg'!AO282-1</f>
        <v>4.9933712797796348E-2</v>
      </c>
      <c r="BH282" s="179">
        <f>AQ282/'2019-20 disagg'!AQ282-1</f>
        <v>4.2254460858576204E-2</v>
      </c>
      <c r="BI282" s="1"/>
      <c r="BJ282" s="179">
        <f>AS282/'2019-20 disagg'!AS282-1</f>
        <v>3.3419789184099935E-2</v>
      </c>
      <c r="BK282" s="179">
        <f>AT282/'2019-20 disagg'!AT282-1</f>
        <v>3.6897515345979848E-2</v>
      </c>
      <c r="BL282" s="179">
        <f>AU282/'2019-20 disagg'!AU282-1</f>
        <v>4.2902842193226043E-2</v>
      </c>
      <c r="BM282" s="179">
        <f>AW282/'2019-20 disagg'!AW282-1</f>
        <v>3.5275014287796225E-2</v>
      </c>
    </row>
    <row r="283" spans="2:65" ht="15" x14ac:dyDescent="0.25">
      <c r="B283" t="s">
        <v>557</v>
      </c>
      <c r="D283" s="55">
        <v>9521902.5525216218</v>
      </c>
      <c r="E283" s="166">
        <v>1742.2091891352061</v>
      </c>
      <c r="F283" s="171">
        <f>VLOOKUP(B283,'2020-21'!$B$12:$AMX491,33,FALSE)</f>
        <v>4.2618884901189036E-2</v>
      </c>
      <c r="G283" s="171">
        <f>VLOOKUP(B283,'2020-21'!$B$12:$AMX491,34,FALSE)</f>
        <v>3.5159428604252252E-2</v>
      </c>
      <c r="I283" s="175">
        <v>9574413.9189423844</v>
      </c>
      <c r="J283" s="175">
        <v>1751.8171203871461</v>
      </c>
      <c r="K283" s="171">
        <f t="shared" si="88"/>
        <v>-5.4845515208896689E-3</v>
      </c>
      <c r="L283" s="170">
        <f t="shared" si="88"/>
        <v>-5.4845515208897799E-3</v>
      </c>
      <c r="N283" s="55">
        <v>7206007</v>
      </c>
      <c r="O283" s="55">
        <v>747355</v>
      </c>
      <c r="P283" s="55">
        <v>1537053</v>
      </c>
      <c r="R283" s="55">
        <v>1537053</v>
      </c>
      <c r="S283" s="55">
        <v>31487.552521623205</v>
      </c>
      <c r="U283" s="171">
        <v>-6.6472425462652529E-3</v>
      </c>
      <c r="V283" s="171">
        <v>-1.6313075140336197E-2</v>
      </c>
      <c r="AA283" s="55">
        <v>10966.234474471275</v>
      </c>
      <c r="AB283" s="55">
        <v>0</v>
      </c>
      <c r="AC283" s="55">
        <v>20521.31804715193</v>
      </c>
      <c r="AE283" s="55">
        <v>0</v>
      </c>
      <c r="AF283" s="55">
        <v>0</v>
      </c>
      <c r="AG283" s="55">
        <v>20521.31804715193</v>
      </c>
      <c r="AI283" s="55">
        <v>18587.889121541906</v>
      </c>
      <c r="AJ283" s="55">
        <v>1933.428925610024</v>
      </c>
      <c r="AK283" s="55">
        <v>0</v>
      </c>
      <c r="AM283" s="55">
        <v>7235561</v>
      </c>
      <c r="AN283" s="55">
        <v>749287</v>
      </c>
      <c r="AO283" s="55">
        <v>1537053</v>
      </c>
      <c r="AP283" s="55"/>
      <c r="AQ283" s="55">
        <v>9521901</v>
      </c>
      <c r="AR283" s="1"/>
      <c r="AS283" s="175">
        <v>1323.8804738040503</v>
      </c>
      <c r="AT283" s="175">
        <v>137.09599415652988</v>
      </c>
      <c r="AU283" s="175">
        <v>281.23243711191668</v>
      </c>
      <c r="AV283" s="175"/>
      <c r="AW283" s="175">
        <v>1742.2089050724969</v>
      </c>
      <c r="AX283" s="1"/>
      <c r="AY283" s="171">
        <v>-2.5732044008973665E-3</v>
      </c>
      <c r="AZ283" s="171">
        <v>-1.3770129500273676E-2</v>
      </c>
      <c r="BA283" s="171">
        <v>-1.498584152660587E-2</v>
      </c>
      <c r="BB283" s="171">
        <f t="shared" si="89"/>
        <v>-5.4847136740653335E-3</v>
      </c>
      <c r="BC283" s="171"/>
      <c r="BD283" s="1"/>
      <c r="BE283" s="179">
        <f>AM283/'2019-20 disagg'!AM283-1</f>
        <v>4.0785412009746835E-2</v>
      </c>
      <c r="BF283" s="179">
        <f>AN283/'2019-20 disagg'!AN283-1</f>
        <v>4.451206932122953E-2</v>
      </c>
      <c r="BG283" s="179">
        <f>AO283/'2019-20 disagg'!AO283-1</f>
        <v>5.0400395817131294E-2</v>
      </c>
      <c r="BH283" s="179">
        <f>AQ283/'2019-20 disagg'!AQ283-1</f>
        <v>4.2618714904872457E-2</v>
      </c>
      <c r="BI283" s="1"/>
      <c r="BJ283" s="179">
        <f>AS283/'2019-20 disagg'!AS283-1</f>
        <v>3.3339073364046845E-2</v>
      </c>
      <c r="BK283" s="179">
        <f>AT283/'2019-20 disagg'!AT283-1</f>
        <v>3.7039068164663069E-2</v>
      </c>
      <c r="BL283" s="179">
        <f>AU283/'2019-20 disagg'!AU283-1</f>
        <v>4.2885266405653599E-2</v>
      </c>
      <c r="BM283" s="179">
        <f>AW283/'2019-20 disagg'!AW283-1</f>
        <v>3.5159259824180555E-2</v>
      </c>
    </row>
    <row r="284" spans="2:65" ht="15" x14ac:dyDescent="0.25">
      <c r="B284" t="s">
        <v>558</v>
      </c>
      <c r="D284" s="55">
        <v>9234377.0138544813</v>
      </c>
      <c r="E284" s="166">
        <v>1752.6241985474694</v>
      </c>
      <c r="F284" s="171">
        <f>VLOOKUP(B284,'2020-21'!$B$12:$AMX492,33,FALSE)</f>
        <v>3.8354350194768516E-2</v>
      </c>
      <c r="G284" s="171">
        <f>VLOOKUP(B284,'2020-21'!$B$12:$AMX492,34,FALSE)</f>
        <v>3.2412000168363209E-2</v>
      </c>
      <c r="I284" s="175">
        <v>9176495.937616298</v>
      </c>
      <c r="J284" s="175">
        <v>1741.6387498592892</v>
      </c>
      <c r="K284" s="171">
        <f t="shared" si="88"/>
        <v>6.3075357556598988E-3</v>
      </c>
      <c r="L284" s="170">
        <f t="shared" si="88"/>
        <v>6.3075357556598988E-3</v>
      </c>
      <c r="N284" s="55">
        <v>7078301</v>
      </c>
      <c r="O284" s="55">
        <v>734921</v>
      </c>
      <c r="P284" s="55">
        <v>1408769</v>
      </c>
      <c r="R284" s="55">
        <v>1408769</v>
      </c>
      <c r="S284" s="55">
        <v>12386.013854481716</v>
      </c>
      <c r="U284" s="171">
        <v>7.6117653641811778E-3</v>
      </c>
      <c r="V284" s="171">
        <v>3.2354453235874381E-3</v>
      </c>
      <c r="AA284" s="55">
        <v>2345.1019468091545</v>
      </c>
      <c r="AB284" s="55">
        <v>0</v>
      </c>
      <c r="AC284" s="55">
        <v>10040.911907672562</v>
      </c>
      <c r="AE284" s="55">
        <v>0</v>
      </c>
      <c r="AF284" s="55">
        <v>0</v>
      </c>
      <c r="AG284" s="55">
        <v>10040.911907672562</v>
      </c>
      <c r="AI284" s="55">
        <v>9096.6590119471293</v>
      </c>
      <c r="AJ284" s="55">
        <v>944.25289572543238</v>
      </c>
      <c r="AK284" s="55">
        <v>0</v>
      </c>
      <c r="AM284" s="55">
        <v>7089744</v>
      </c>
      <c r="AN284" s="55">
        <v>735866</v>
      </c>
      <c r="AO284" s="55">
        <v>1408769</v>
      </c>
      <c r="AP284" s="55"/>
      <c r="AQ284" s="55">
        <v>9234379</v>
      </c>
      <c r="AR284" s="1"/>
      <c r="AS284" s="175">
        <v>1345.586916937041</v>
      </c>
      <c r="AT284" s="175">
        <v>139.66254101964648</v>
      </c>
      <c r="AU284" s="175">
        <v>267.37511754817638</v>
      </c>
      <c r="AV284" s="175"/>
      <c r="AW284" s="175">
        <v>1752.624575504864</v>
      </c>
      <c r="AX284" s="1"/>
      <c r="AY284" s="171">
        <v>9.2407016627451544E-3</v>
      </c>
      <c r="AZ284" s="171">
        <v>4.5254581220117718E-3</v>
      </c>
      <c r="BA284" s="171">
        <v>-7.290753618332424E-3</v>
      </c>
      <c r="BB284" s="171">
        <f t="shared" si="89"/>
        <v>6.3077521939967074E-3</v>
      </c>
      <c r="BC284" s="171"/>
      <c r="BD284" s="1"/>
      <c r="BE284" s="179">
        <f>AM284/'2019-20 disagg'!AM284-1</f>
        <v>3.6159774299006742E-2</v>
      </c>
      <c r="BF284" s="179">
        <f>AN284/'2019-20 disagg'!AN284-1</f>
        <v>3.9280957781409054E-2</v>
      </c>
      <c r="BG284" s="179">
        <f>AO284/'2019-20 disagg'!AO284-1</f>
        <v>4.9049036377216249E-2</v>
      </c>
      <c r="BH284" s="179">
        <f>AQ284/'2019-20 disagg'!AQ284-1</f>
        <v>3.8354573525788638E-2</v>
      </c>
      <c r="BI284" s="1"/>
      <c r="BJ284" s="179">
        <f>AS284/'2019-20 disagg'!AS284-1</f>
        <v>3.0229983509368452E-2</v>
      </c>
      <c r="BK284" s="179">
        <f>AT284/'2019-20 disagg'!AT284-1</f>
        <v>3.3333304915355466E-2</v>
      </c>
      <c r="BL284" s="179">
        <f>AU284/'2019-20 disagg'!AU284-1</f>
        <v>4.3045482226508947E-2</v>
      </c>
      <c r="BM284" s="179">
        <f>AW284/'2019-20 disagg'!AW284-1</f>
        <v>3.2412222221292586E-2</v>
      </c>
    </row>
    <row r="285" spans="2:65" ht="15" x14ac:dyDescent="0.25">
      <c r="B285" t="s">
        <v>559</v>
      </c>
      <c r="D285" s="55">
        <v>8476191.9521507695</v>
      </c>
      <c r="E285" s="166">
        <v>1741.2840125998532</v>
      </c>
      <c r="F285" s="171">
        <f>VLOOKUP(B285,'2020-21'!$B$12:$AMX493,33,FALSE)</f>
        <v>4.0048309389299597E-2</v>
      </c>
      <c r="G285" s="171">
        <f>VLOOKUP(B285,'2020-21'!$B$12:$AMX493,34,FALSE)</f>
        <v>3.4287141494599771E-2</v>
      </c>
      <c r="I285" s="175">
        <v>8474915.2372082788</v>
      </c>
      <c r="J285" s="175">
        <v>1741.0217340518263</v>
      </c>
      <c r="K285" s="171">
        <f t="shared" si="88"/>
        <v>1.506463376630407E-4</v>
      </c>
      <c r="L285" s="170">
        <f t="shared" si="88"/>
        <v>1.5064633766326274E-4</v>
      </c>
      <c r="N285" s="55">
        <v>6468880</v>
      </c>
      <c r="O285" s="55">
        <v>661248</v>
      </c>
      <c r="P285" s="55">
        <v>1332369</v>
      </c>
      <c r="R285" s="55">
        <v>1332369</v>
      </c>
      <c r="S285" s="55">
        <v>13694.952150768775</v>
      </c>
      <c r="U285" s="171">
        <v>1.3032560026848827E-4</v>
      </c>
      <c r="V285" s="171">
        <v>-5.009517392002838E-3</v>
      </c>
      <c r="AA285" s="55">
        <v>8556.8531671473174</v>
      </c>
      <c r="AB285" s="55">
        <v>0</v>
      </c>
      <c r="AC285" s="55">
        <v>5138.0989836214576</v>
      </c>
      <c r="AE285" s="55">
        <v>0</v>
      </c>
      <c r="AF285" s="55">
        <v>0</v>
      </c>
      <c r="AG285" s="55">
        <v>5138.0989836214576</v>
      </c>
      <c r="AI285" s="55">
        <v>4651.0533557107801</v>
      </c>
      <c r="AJ285" s="55">
        <v>487.04562791067667</v>
      </c>
      <c r="AK285" s="55">
        <v>0</v>
      </c>
      <c r="AM285" s="55">
        <v>6482088</v>
      </c>
      <c r="AN285" s="55">
        <v>661735</v>
      </c>
      <c r="AO285" s="55">
        <v>1332369</v>
      </c>
      <c r="AP285" s="55"/>
      <c r="AQ285" s="55">
        <v>8476192</v>
      </c>
      <c r="AR285" s="1"/>
      <c r="AS285" s="175">
        <v>1331.6305560778774</v>
      </c>
      <c r="AT285" s="175">
        <v>135.94177462974804</v>
      </c>
      <c r="AU285" s="175">
        <v>273.71169172200769</v>
      </c>
      <c r="AV285" s="175"/>
      <c r="AW285" s="175">
        <v>1741.2840224296331</v>
      </c>
      <c r="AX285" s="1"/>
      <c r="AY285" s="171">
        <v>2.1723670882121127E-3</v>
      </c>
      <c r="AZ285" s="171">
        <v>-4.2767206727234441E-3</v>
      </c>
      <c r="BA285" s="171">
        <v>-7.3992175322173948E-3</v>
      </c>
      <c r="BB285" s="171">
        <f t="shared" si="89"/>
        <v>1.5065198364649923E-4</v>
      </c>
      <c r="BC285" s="171"/>
      <c r="BD285" s="1"/>
      <c r="BE285" s="179">
        <f>AM285/'2019-20 disagg'!AM285-1</f>
        <v>3.828400029600787E-2</v>
      </c>
      <c r="BF285" s="179">
        <f>AN285/'2019-20 disagg'!AN285-1</f>
        <v>3.9615471022860227E-2</v>
      </c>
      <c r="BG285" s="179">
        <f>AO285/'2019-20 disagg'!AO285-1</f>
        <v>4.8936828506174868E-2</v>
      </c>
      <c r="BH285" s="179">
        <f>AQ285/'2019-20 disagg'!AQ285-1</f>
        <v>4.0048315260510448E-2</v>
      </c>
      <c r="BI285" s="1"/>
      <c r="BJ285" s="179">
        <f>AS285/'2019-20 disagg'!AS285-1</f>
        <v>3.2532605486666588E-2</v>
      </c>
      <c r="BK285" s="179">
        <f>AT285/'2019-20 disagg'!AT285-1</f>
        <v>3.3856700761499159E-2</v>
      </c>
      <c r="BL285" s="179">
        <f>AU285/'2019-20 disagg'!AU285-1</f>
        <v>4.3126424195719215E-2</v>
      </c>
      <c r="BM285" s="179">
        <f>AW285/'2019-20 disagg'!AW285-1</f>
        <v>3.4287147333288193E-2</v>
      </c>
    </row>
    <row r="286" spans="2:65" ht="15" x14ac:dyDescent="0.25">
      <c r="B286" t="s">
        <v>560</v>
      </c>
      <c r="D286" s="55">
        <v>9068392.4531838298</v>
      </c>
      <c r="E286" s="166">
        <v>1741.2959066684657</v>
      </c>
      <c r="F286" s="171">
        <f>VLOOKUP(B286,'2020-21'!$B$12:$AMX494,33,FALSE)</f>
        <v>3.9487043504206953E-2</v>
      </c>
      <c r="G286" s="171">
        <f>VLOOKUP(B286,'2020-21'!$B$12:$AMX494,34,FALSE)</f>
        <v>3.4505059378618919E-2</v>
      </c>
      <c r="I286" s="175">
        <v>9132743.1533736698</v>
      </c>
      <c r="J286" s="175">
        <v>1753.6524088170331</v>
      </c>
      <c r="K286" s="171">
        <f t="shared" si="88"/>
        <v>-7.0461524110714269E-3</v>
      </c>
      <c r="L286" s="170">
        <f t="shared" si="88"/>
        <v>-7.0461524110714269E-3</v>
      </c>
      <c r="N286" s="55">
        <v>6969471</v>
      </c>
      <c r="O286" s="55">
        <v>722212</v>
      </c>
      <c r="P286" s="55">
        <v>1367625</v>
      </c>
      <c r="R286" s="55">
        <v>1367625</v>
      </c>
      <c r="S286" s="55">
        <v>9084.4531838299008</v>
      </c>
      <c r="U286" s="171">
        <v>-8.3993827001302979E-3</v>
      </c>
      <c r="V286" s="171">
        <v>-7.0001744744296879E-4</v>
      </c>
      <c r="AA286" s="55">
        <v>4508.8552679370041</v>
      </c>
      <c r="AB286" s="55">
        <v>0</v>
      </c>
      <c r="AC286" s="55">
        <v>4575.5979158928967</v>
      </c>
      <c r="AE286" s="55">
        <v>0</v>
      </c>
      <c r="AF286" s="55">
        <v>0</v>
      </c>
      <c r="AG286" s="55">
        <v>4575.5979158928967</v>
      </c>
      <c r="AI286" s="55">
        <v>4146.7214967388118</v>
      </c>
      <c r="AJ286" s="55">
        <v>428.87641915408477</v>
      </c>
      <c r="AK286" s="55">
        <v>0</v>
      </c>
      <c r="AM286" s="55">
        <v>6978127</v>
      </c>
      <c r="AN286" s="55">
        <v>722641</v>
      </c>
      <c r="AO286" s="55">
        <v>1367625</v>
      </c>
      <c r="AP286" s="55"/>
      <c r="AQ286" s="55">
        <v>9068393</v>
      </c>
      <c r="AR286" s="1"/>
      <c r="AS286" s="175">
        <v>1339.9270095601785</v>
      </c>
      <c r="AT286" s="175">
        <v>138.7601850920135</v>
      </c>
      <c r="AU286" s="175">
        <v>262.60881701490086</v>
      </c>
      <c r="AV286" s="175"/>
      <c r="AW286" s="175">
        <v>1741.2960116670927</v>
      </c>
      <c r="AX286" s="1"/>
      <c r="AY286" s="171">
        <v>-7.16782653993564E-3</v>
      </c>
      <c r="AZ286" s="171">
        <v>-1.0642485618861386E-4</v>
      </c>
      <c r="BA286" s="171">
        <v>-1.0057135884648627E-2</v>
      </c>
      <c r="BB286" s="171">
        <f t="shared" si="89"/>
        <v>-7.0460925368188709E-3</v>
      </c>
      <c r="BC286" s="171"/>
      <c r="BD286" s="1"/>
      <c r="BE286" s="179">
        <f>AM286/'2019-20 disagg'!AM286-1</f>
        <v>3.7876600830077933E-2</v>
      </c>
      <c r="BF286" s="179">
        <f>AN286/'2019-20 disagg'!AN286-1</f>
        <v>3.9111872897916511E-2</v>
      </c>
      <c r="BG286" s="179">
        <f>AO286/'2019-20 disagg'!AO286-1</f>
        <v>4.7984490480879494E-2</v>
      </c>
      <c r="BH286" s="179">
        <f>AQ286/'2019-20 disagg'!AQ286-1</f>
        <v>3.9487106184370679E-2</v>
      </c>
      <c r="BI286" s="1"/>
      <c r="BJ286" s="179">
        <f>AS286/'2019-20 disagg'!AS286-1</f>
        <v>3.2902335126655524E-2</v>
      </c>
      <c r="BK286" s="179">
        <f>AT286/'2019-20 disagg'!AT286-1</f>
        <v>3.4131686864970812E-2</v>
      </c>
      <c r="BL286" s="179">
        <f>AU286/'2019-20 disagg'!AU286-1</f>
        <v>4.2961780358550472E-2</v>
      </c>
      <c r="BM286" s="179">
        <f>AW286/'2019-20 disagg'!AW286-1</f>
        <v>3.450512175837317E-2</v>
      </c>
    </row>
    <row r="287" spans="2:65" ht="15" x14ac:dyDescent="0.25">
      <c r="B287" t="s">
        <v>561</v>
      </c>
      <c r="D287" s="55">
        <v>10641941.547440337</v>
      </c>
      <c r="E287" s="166">
        <v>1763.6464574335776</v>
      </c>
      <c r="F287" s="171">
        <f>VLOOKUP(B287,'2020-21'!$B$12:$AMX495,33,FALSE)</f>
        <v>3.9728409512632901E-2</v>
      </c>
      <c r="G287" s="171">
        <f>VLOOKUP(B287,'2020-21'!$B$12:$AMX495,34,FALSE)</f>
        <v>3.4228097252249734E-2</v>
      </c>
      <c r="I287" s="175">
        <v>10604065.460469795</v>
      </c>
      <c r="J287" s="175">
        <v>1757.369404857292</v>
      </c>
      <c r="K287" s="171">
        <f t="shared" si="88"/>
        <v>3.5718458275966203E-3</v>
      </c>
      <c r="L287" s="170">
        <f t="shared" si="88"/>
        <v>3.5718458275966203E-3</v>
      </c>
      <c r="N287" s="55">
        <v>8107943</v>
      </c>
      <c r="O287" s="55">
        <v>855751</v>
      </c>
      <c r="P287" s="55">
        <v>1664460</v>
      </c>
      <c r="R287" s="55">
        <v>1664460</v>
      </c>
      <c r="S287" s="55">
        <v>13787.547440336377</v>
      </c>
      <c r="U287" s="171">
        <v>1.0621216210229267E-3</v>
      </c>
      <c r="V287" s="171">
        <v>2.1006638780114217E-2</v>
      </c>
      <c r="AA287" s="55">
        <v>8745.7958914100254</v>
      </c>
      <c r="AB287" s="55">
        <v>0</v>
      </c>
      <c r="AC287" s="55">
        <v>5041.7515489263515</v>
      </c>
      <c r="AE287" s="55">
        <v>0</v>
      </c>
      <c r="AF287" s="55">
        <v>0</v>
      </c>
      <c r="AG287" s="55">
        <v>5041.7515489263515</v>
      </c>
      <c r="AI287" s="55">
        <v>4557.3008258395421</v>
      </c>
      <c r="AJ287" s="55">
        <v>484.45072308680983</v>
      </c>
      <c r="AK287" s="55">
        <v>0</v>
      </c>
      <c r="AM287" s="55">
        <v>8121245</v>
      </c>
      <c r="AN287" s="55">
        <v>856236</v>
      </c>
      <c r="AO287" s="55">
        <v>1664460</v>
      </c>
      <c r="AP287" s="55"/>
      <c r="AQ287" s="55">
        <v>10641941</v>
      </c>
      <c r="AR287" s="1"/>
      <c r="AS287" s="175">
        <v>1345.90148896704</v>
      </c>
      <c r="AT287" s="175">
        <v>141.90057156349579</v>
      </c>
      <c r="AU287" s="175">
        <v>275.84430617794186</v>
      </c>
      <c r="AV287" s="175"/>
      <c r="AW287" s="175">
        <v>1763.6463667084777</v>
      </c>
      <c r="AX287" s="1"/>
      <c r="AY287" s="171">
        <v>2.7044775603535243E-3</v>
      </c>
      <c r="AZ287" s="171">
        <v>2.1585298016046472E-2</v>
      </c>
      <c r="BA287" s="171">
        <v>-1.272390874031637E-3</v>
      </c>
      <c r="BB287" s="171">
        <f t="shared" si="89"/>
        <v>3.5717942020820903E-3</v>
      </c>
      <c r="BC287" s="171"/>
      <c r="BD287" s="1"/>
      <c r="BE287" s="179">
        <f>AM287/'2019-20 disagg'!AM287-1</f>
        <v>3.828936089151358E-2</v>
      </c>
      <c r="BF287" s="179">
        <f>AN287/'2019-20 disagg'!AN287-1</f>
        <v>3.6333069883577762E-2</v>
      </c>
      <c r="BG287" s="179">
        <f>AO287/'2019-20 disagg'!AO287-1</f>
        <v>4.8586406037281371E-2</v>
      </c>
      <c r="BH287" s="179">
        <f>AQ287/'2019-20 disagg'!AQ287-1</f>
        <v>3.9728356027160405E-2</v>
      </c>
      <c r="BI287" s="1"/>
      <c r="BJ287" s="179">
        <f>AS287/'2019-20 disagg'!AS287-1</f>
        <v>3.2796661404525418E-2</v>
      </c>
      <c r="BK287" s="179">
        <f>AT287/'2019-20 disagg'!AT287-1</f>
        <v>3.0850719456322118E-2</v>
      </c>
      <c r="BL287" s="179">
        <f>AU287/'2019-20 disagg'!AU287-1</f>
        <v>4.303923370609386E-2</v>
      </c>
      <c r="BM287" s="179">
        <f>AW287/'2019-20 disagg'!AW287-1</f>
        <v>3.4228044049723128E-2</v>
      </c>
    </row>
    <row r="288" spans="2:65" ht="15" x14ac:dyDescent="0.25">
      <c r="B288" t="s">
        <v>562</v>
      </c>
      <c r="D288" s="55">
        <v>10591421.163393015</v>
      </c>
      <c r="E288" s="166">
        <v>1816.07229761338</v>
      </c>
      <c r="F288" s="171">
        <f>VLOOKUP(B288,'2020-21'!$B$12:$AMX496,33,FALSE)</f>
        <v>3.9084563109149206E-2</v>
      </c>
      <c r="G288" s="171">
        <f>VLOOKUP(B288,'2020-21'!$B$12:$AMX496,34,FALSE)</f>
        <v>3.3080482514226572E-2</v>
      </c>
      <c r="I288" s="175">
        <v>10584375.264877843</v>
      </c>
      <c r="J288" s="175">
        <v>1814.8641631328603</v>
      </c>
      <c r="K288" s="171">
        <f t="shared" si="88"/>
        <v>6.6568865321259274E-4</v>
      </c>
      <c r="L288" s="170">
        <f t="shared" si="88"/>
        <v>6.6568865321259274E-4</v>
      </c>
      <c r="N288" s="55">
        <v>8168653</v>
      </c>
      <c r="O288" s="55">
        <v>845405</v>
      </c>
      <c r="P288" s="55">
        <v>1566736</v>
      </c>
      <c r="R288" s="55">
        <v>1566736</v>
      </c>
      <c r="S288" s="55">
        <v>10627.163393014576</v>
      </c>
      <c r="U288" s="171">
        <v>4.2707807081296956E-3</v>
      </c>
      <c r="V288" s="171">
        <v>1.4480353800353285E-2</v>
      </c>
      <c r="AA288" s="55">
        <v>2861.3008466282627</v>
      </c>
      <c r="AB288" s="55">
        <v>0</v>
      </c>
      <c r="AC288" s="55">
        <v>7765.8625463863136</v>
      </c>
      <c r="AE288" s="55">
        <v>0</v>
      </c>
      <c r="AF288" s="55">
        <v>314.31843760513379</v>
      </c>
      <c r="AG288" s="55">
        <v>7451.5441087811796</v>
      </c>
      <c r="AI288" s="55">
        <v>6769.0431410158326</v>
      </c>
      <c r="AJ288" s="55">
        <v>682.50096776534735</v>
      </c>
      <c r="AK288" s="55">
        <v>0</v>
      </c>
      <c r="AM288" s="55">
        <v>8178283</v>
      </c>
      <c r="AN288" s="55">
        <v>846402</v>
      </c>
      <c r="AO288" s="55">
        <v>1566736</v>
      </c>
      <c r="AP288" s="55"/>
      <c r="AQ288" s="55">
        <v>10591421</v>
      </c>
      <c r="AR288" s="1"/>
      <c r="AS288" s="175">
        <v>1402.300311659443</v>
      </c>
      <c r="AT288" s="175">
        <v>145.12945912842292</v>
      </c>
      <c r="AU288" s="175">
        <v>268.64249880911058</v>
      </c>
      <c r="AV288" s="175"/>
      <c r="AW288" s="175">
        <v>1816.0722695969766</v>
      </c>
      <c r="AX288" s="1"/>
      <c r="AY288" s="171">
        <v>5.4547124552879467E-3</v>
      </c>
      <c r="AZ288" s="171">
        <v>1.56767471416972E-2</v>
      </c>
      <c r="BA288" s="171">
        <v>-3.1158098000539591E-2</v>
      </c>
      <c r="BB288" s="171">
        <f t="shared" si="89"/>
        <v>6.6567321602217788E-4</v>
      </c>
      <c r="BC288" s="171"/>
      <c r="BD288" s="1"/>
      <c r="BE288" s="179">
        <f>AM288/'2019-20 disagg'!AM288-1</f>
        <v>3.7397533900402458E-2</v>
      </c>
      <c r="BF288" s="179">
        <f>AN288/'2019-20 disagg'!AN288-1</f>
        <v>3.6888850776072291E-2</v>
      </c>
      <c r="BG288" s="179">
        <f>AO288/'2019-20 disagg'!AO288-1</f>
        <v>4.9191042537233498E-2</v>
      </c>
      <c r="BH288" s="179">
        <f>AQ288/'2019-20 disagg'!AQ288-1</f>
        <v>3.9084547079274001E-2</v>
      </c>
      <c r="BI288" s="1"/>
      <c r="BJ288" s="179">
        <f>AS288/'2019-20 disagg'!AS288-1</f>
        <v>3.1403201366123401E-2</v>
      </c>
      <c r="BK288" s="179">
        <f>AT288/'2019-20 disagg'!AT288-1</f>
        <v>3.0897457535268069E-2</v>
      </c>
      <c r="BL288" s="179">
        <f>AU288/'2019-20 disagg'!AU288-1</f>
        <v>4.312856427269729E-2</v>
      </c>
      <c r="BM288" s="179">
        <f>AW288/'2019-20 disagg'!AW288-1</f>
        <v>3.3080466576975942E-2</v>
      </c>
    </row>
    <row r="289" spans="2:65" ht="15" x14ac:dyDescent="0.25">
      <c r="B289"/>
      <c r="D289" s="1"/>
      <c r="N289" s="1"/>
      <c r="O289" s="1"/>
      <c r="P289" s="1"/>
      <c r="R289" s="1"/>
      <c r="S289" s="1"/>
      <c r="AA289" s="1"/>
      <c r="AB289" s="1"/>
      <c r="AC289" s="1"/>
      <c r="AE289" s="1"/>
      <c r="AF289" s="1"/>
      <c r="AG289" s="1"/>
      <c r="AI289" s="1"/>
      <c r="AJ289" s="1"/>
      <c r="AK289" s="1"/>
      <c r="AM289" s="1"/>
      <c r="AN289" s="1"/>
      <c r="AO289" s="1"/>
      <c r="AP289" s="1"/>
      <c r="AR289" s="1"/>
      <c r="AV289" s="64"/>
      <c r="AX289" s="1"/>
      <c r="BA289" s="64"/>
      <c r="BD289" s="1"/>
      <c r="BE289" s="179"/>
      <c r="BF289" s="179"/>
      <c r="BG289" s="179"/>
      <c r="BH289" s="179"/>
      <c r="BI289" s="1"/>
      <c r="BJ289" s="179"/>
      <c r="BK289" s="179"/>
    </row>
    <row r="290" spans="2:65" ht="15" x14ac:dyDescent="0.25">
      <c r="B290" t="s">
        <v>12</v>
      </c>
      <c r="D290" s="172">
        <f>SUM(D279:D288)</f>
        <v>103908742.65587761</v>
      </c>
      <c r="E290" s="166">
        <v>1749.2365693703011</v>
      </c>
      <c r="F290" s="171">
        <f>VLOOKUP(B290,'2020-21'!$B$12:$AMX498,33,FALSE)</f>
        <v>4.0768757263071498E-2</v>
      </c>
      <c r="G290" s="171">
        <f>VLOOKUP(B290,'2020-21'!$B$12:$AMX498,34,FALSE)</f>
        <v>3.3699018448002604E-2</v>
      </c>
      <c r="I290" s="175">
        <f>SUM(I279:I288)</f>
        <v>103908754.03575227</v>
      </c>
      <c r="J290" s="175">
        <v>1749.236760943141</v>
      </c>
      <c r="K290" s="171">
        <f t="shared" ref="K290:L290" si="90">D290/I290-1</f>
        <v>-1.0951795892388816E-7</v>
      </c>
      <c r="L290" s="170">
        <f t="shared" si="90"/>
        <v>-1.0951795903491046E-7</v>
      </c>
      <c r="N290" s="172">
        <f>SUM(N279:N288)</f>
        <v>77946799</v>
      </c>
      <c r="O290" s="172">
        <f>SUM(O279:O288)</f>
        <v>8319600</v>
      </c>
      <c r="P290" s="172">
        <f>SUM(P279:P288)</f>
        <v>17431645</v>
      </c>
      <c r="R290" s="172">
        <f>SUM(R279:R288)</f>
        <v>17431645</v>
      </c>
      <c r="S290" s="172">
        <f>SUM(S279:S288)</f>
        <v>210698.65587758715</v>
      </c>
      <c r="U290" s="171">
        <v>-1.6007244969382661E-3</v>
      </c>
      <c r="V290" s="171">
        <v>-1.0019276993740722E-2</v>
      </c>
      <c r="AA290" s="172">
        <f>SUM(AA279:AA288)</f>
        <v>49772.082185478088</v>
      </c>
      <c r="AB290" s="172">
        <f>SUM(AB279:AB288)</f>
        <v>0</v>
      </c>
      <c r="AC290" s="172">
        <f>SUM(AC279:AC288)</f>
        <v>160926.57369210906</v>
      </c>
      <c r="AE290" s="172">
        <f>SUM(AE279:AE288)</f>
        <v>0</v>
      </c>
      <c r="AF290" s="172">
        <f>SUM(AF279:AF288)</f>
        <v>2176.1844911770013</v>
      </c>
      <c r="AG290" s="172">
        <f>SUM(AG279:AG288)</f>
        <v>158750.38920093206</v>
      </c>
      <c r="AI290" s="172">
        <f>SUM(AI279:AI288)</f>
        <v>143264.1425395176</v>
      </c>
      <c r="AJ290" s="172">
        <f>SUM(AJ279:AJ288)</f>
        <v>15486.246661414463</v>
      </c>
      <c r="AK290" s="172">
        <f>SUM(AK279:AK288)</f>
        <v>0</v>
      </c>
      <c r="AM290" s="172">
        <f>SUM(AM279:AM288)</f>
        <v>78139836</v>
      </c>
      <c r="AN290" s="172">
        <f>SUM(AN279:AN288)</f>
        <v>8337266</v>
      </c>
      <c r="AO290" s="172">
        <f>SUM(AO279:AO288)</f>
        <v>17431645</v>
      </c>
      <c r="AP290" s="172"/>
      <c r="AQ290" s="172">
        <f>SUM(AQ279:AQ288)</f>
        <v>103908747</v>
      </c>
      <c r="AR290" s="1"/>
      <c r="AS290" s="175">
        <v>1315.4336696043772</v>
      </c>
      <c r="AT290" s="175">
        <v>140.35248818346389</v>
      </c>
      <c r="AU290" s="175">
        <v>293.45048471295479</v>
      </c>
      <c r="AV290" s="175"/>
      <c r="AW290" s="175">
        <v>1749.2366425007958</v>
      </c>
      <c r="AX290" s="1"/>
      <c r="AY290" s="171">
        <v>8.7183375327648527E-4</v>
      </c>
      <c r="AZ290" s="171">
        <v>-7.9171327256715163E-3</v>
      </c>
      <c r="BA290" s="171">
        <v>-8.8259287163161559E-5</v>
      </c>
      <c r="BB290" s="171">
        <f t="shared" ref="BB290" si="91">SUM(AM290:AO290)/I290-1</f>
        <v>-6.7710871243242821E-8</v>
      </c>
      <c r="BC290" s="171"/>
      <c r="BD290" s="1"/>
      <c r="BE290" s="179">
        <f>AM290/'2019-20 disagg'!AM290-1</f>
        <v>3.8508201500837558E-2</v>
      </c>
      <c r="BF290" s="179">
        <f>AN290/'2019-20 disagg'!AN290-1</f>
        <v>4.2193163470976236E-2</v>
      </c>
      <c r="BG290" s="179">
        <f>AO290/'2019-20 disagg'!AO290-1</f>
        <v>5.0331055039022576E-2</v>
      </c>
      <c r="BH290" s="179">
        <f>AQ290/'2019-20 disagg'!AQ290-1</f>
        <v>4.0768800774587222E-2</v>
      </c>
      <c r="BI290" s="1"/>
      <c r="BJ290" s="179">
        <f>AS290/'2019-20 disagg'!AS290-1</f>
        <v>3.1453818199377537E-2</v>
      </c>
      <c r="BK290" s="179">
        <f>AT290/'2019-20 disagg'!AT290-1</f>
        <v>3.5113748942848133E-2</v>
      </c>
      <c r="BL290" s="179">
        <f>AU290/'2019-20 disagg'!AU290-1</f>
        <v>4.3196361403513572E-2</v>
      </c>
      <c r="BM290" s="179">
        <f>AW290/'2019-20 disagg'!AW290-1</f>
        <v>3.36990616639532E-2</v>
      </c>
    </row>
    <row r="291" spans="2:65" ht="15" x14ac:dyDescent="0.25">
      <c r="B291"/>
      <c r="D291" s="1"/>
      <c r="N291" s="1"/>
      <c r="O291" s="1"/>
      <c r="P291" s="1"/>
      <c r="R291" s="1"/>
      <c r="S291" s="1"/>
      <c r="AA291" s="1"/>
      <c r="AB291" s="1"/>
      <c r="AC291" s="1"/>
      <c r="AE291" s="1"/>
      <c r="AF291" s="1"/>
      <c r="AG291" s="1"/>
      <c r="AI291" s="1"/>
      <c r="AJ291" s="1"/>
      <c r="AK291" s="1"/>
      <c r="AM291" s="1"/>
      <c r="AN291" s="1"/>
      <c r="AO291" s="1"/>
      <c r="AP291" s="1"/>
      <c r="AR291" s="1"/>
      <c r="AV291" s="64"/>
      <c r="AX291" s="1"/>
      <c r="BA291" s="64"/>
      <c r="BD291" s="1"/>
      <c r="BE291" s="179"/>
      <c r="BF291" s="179"/>
      <c r="BG291" s="179"/>
      <c r="BH291" s="179"/>
      <c r="BI291" s="1"/>
      <c r="BJ291" s="179"/>
      <c r="BK291" s="179"/>
    </row>
    <row r="292" spans="2:65" ht="15" x14ac:dyDescent="0.25">
      <c r="B292" s="174" t="s">
        <v>563</v>
      </c>
      <c r="D292" s="1"/>
      <c r="N292" s="1"/>
      <c r="O292" s="1"/>
      <c r="P292" s="1"/>
      <c r="R292" s="1"/>
      <c r="S292" s="1"/>
      <c r="AA292" s="1"/>
      <c r="AB292" s="1"/>
      <c r="AC292" s="1"/>
      <c r="AE292" s="1"/>
      <c r="AF292" s="1"/>
      <c r="AG292" s="1"/>
      <c r="AI292" s="1"/>
      <c r="AJ292" s="1"/>
      <c r="AK292" s="1"/>
      <c r="AM292" s="1"/>
      <c r="AN292" s="1"/>
      <c r="AO292" s="1"/>
      <c r="AP292" s="1"/>
      <c r="AR292" s="1"/>
      <c r="AV292" s="64"/>
      <c r="AX292" s="1"/>
      <c r="BA292" s="64"/>
      <c r="BD292" s="1"/>
      <c r="BE292" s="179"/>
      <c r="BF292" s="179"/>
      <c r="BG292" s="179"/>
      <c r="BH292" s="179"/>
      <c r="BI292" s="1"/>
      <c r="BJ292" s="179"/>
      <c r="BK292" s="179"/>
    </row>
    <row r="293" spans="2:65" ht="15" x14ac:dyDescent="0.25">
      <c r="B293"/>
      <c r="D293" s="1"/>
      <c r="N293" s="1"/>
      <c r="O293" s="1"/>
      <c r="P293" s="1"/>
      <c r="R293" s="1"/>
      <c r="S293" s="1"/>
      <c r="AA293" s="1"/>
      <c r="AB293" s="1"/>
      <c r="AC293" s="1"/>
      <c r="AE293" s="1"/>
      <c r="AF293" s="1"/>
      <c r="AG293" s="1"/>
      <c r="AI293" s="1"/>
      <c r="AJ293" s="1"/>
      <c r="AK293" s="1"/>
      <c r="AM293" s="1"/>
      <c r="AN293" s="1"/>
      <c r="AO293" s="1"/>
      <c r="AP293" s="1"/>
      <c r="AR293" s="1"/>
      <c r="AV293" s="64"/>
      <c r="AX293" s="1"/>
      <c r="BA293" s="64"/>
      <c r="BD293" s="1"/>
      <c r="BE293" s="179"/>
      <c r="BF293" s="179"/>
      <c r="BG293" s="179"/>
      <c r="BH293" s="179"/>
      <c r="BI293" s="1"/>
      <c r="BJ293" s="179"/>
      <c r="BK293" s="179"/>
    </row>
    <row r="294" spans="2:65" ht="15" x14ac:dyDescent="0.25">
      <c r="B294" t="s">
        <v>564</v>
      </c>
      <c r="D294" s="55">
        <v>7137484.5092298407</v>
      </c>
      <c r="E294" s="166">
        <v>1999.7431171115368</v>
      </c>
      <c r="F294" s="171">
        <f>VLOOKUP(B294,'2020-21'!$B$12:$AMX502,33,FALSE)</f>
        <v>3.5709679858699328E-2</v>
      </c>
      <c r="G294" s="171">
        <f>VLOOKUP(B294,'2020-21'!$B$12:$AMX502,34,FALSE)</f>
        <v>3.2815419766559328E-2</v>
      </c>
      <c r="I294" s="175">
        <v>6941281.1401761575</v>
      </c>
      <c r="J294" s="175">
        <v>1944.771882314204</v>
      </c>
      <c r="K294" s="171">
        <f t="shared" ref="K294:L305" si="92">D294/I294-1</f>
        <v>2.8266160827006059E-2</v>
      </c>
      <c r="L294" s="170">
        <f t="shared" si="92"/>
        <v>2.8266160827006059E-2</v>
      </c>
      <c r="N294" s="55">
        <v>5530623</v>
      </c>
      <c r="O294" s="55">
        <v>537765</v>
      </c>
      <c r="P294" s="55">
        <v>1068694</v>
      </c>
      <c r="R294" s="55">
        <v>1068694</v>
      </c>
      <c r="S294" s="55">
        <v>402.50922984117642</v>
      </c>
      <c r="U294" s="171">
        <v>3.1325013198908902E-2</v>
      </c>
      <c r="V294" s="171">
        <v>9.5333844568092907E-3</v>
      </c>
      <c r="AA294" s="55">
        <v>0</v>
      </c>
      <c r="AB294" s="55">
        <v>0</v>
      </c>
      <c r="AC294" s="55">
        <v>402.50922984117642</v>
      </c>
      <c r="AE294" s="55">
        <v>0</v>
      </c>
      <c r="AF294" s="55">
        <v>0</v>
      </c>
      <c r="AG294" s="55">
        <v>402.50922984117642</v>
      </c>
      <c r="AI294" s="55">
        <v>367.6252243010793</v>
      </c>
      <c r="AJ294" s="55">
        <v>34.884005540097057</v>
      </c>
      <c r="AK294" s="55">
        <v>0</v>
      </c>
      <c r="AM294" s="55">
        <v>5530991</v>
      </c>
      <c r="AN294" s="55">
        <v>537800</v>
      </c>
      <c r="AO294" s="55">
        <v>1068694</v>
      </c>
      <c r="AP294" s="55"/>
      <c r="AQ294" s="55">
        <v>7137485</v>
      </c>
      <c r="AR294" s="1"/>
      <c r="AS294" s="175">
        <v>1549.6441594728349</v>
      </c>
      <c r="AT294" s="175">
        <v>150.67799404564039</v>
      </c>
      <c r="AU294" s="175">
        <v>299.42110109448049</v>
      </c>
      <c r="AV294" s="175"/>
      <c r="AW294" s="175">
        <v>1999.743254612956</v>
      </c>
      <c r="AX294" s="1"/>
      <c r="AY294" s="171">
        <v>3.139363613792634E-2</v>
      </c>
      <c r="AZ294" s="171">
        <v>9.5990891204744688E-3</v>
      </c>
      <c r="BA294" s="171">
        <v>2.1738805648038539E-2</v>
      </c>
      <c r="BB294" s="171">
        <f t="shared" ref="BB294:BB305" si="93">SUM(AM294:AO294)/I294-1</f>
        <v>2.8266231530115427E-2</v>
      </c>
      <c r="BC294" s="171"/>
      <c r="BD294" s="1"/>
      <c r="BE294" s="179">
        <f>AM294/'2019-20 disagg'!AM294-1</f>
        <v>3.3809996964544897E-2</v>
      </c>
      <c r="BF294" s="179">
        <f>AN294/'2019-20 disagg'!AN294-1</f>
        <v>3.506080837902692E-2</v>
      </c>
      <c r="BG294" s="179">
        <f>AO294/'2019-20 disagg'!AO294-1</f>
        <v>4.598769902946831E-2</v>
      </c>
      <c r="BH294" s="179">
        <f>AQ294/'2019-20 disagg'!AQ294-1</f>
        <v>3.570975107362151E-2</v>
      </c>
      <c r="BI294" s="1"/>
      <c r="BJ294" s="179">
        <f>AS294/'2019-20 disagg'!AS294-1</f>
        <v>3.0921045480111431E-2</v>
      </c>
      <c r="BK294" s="179">
        <f>AT294/'2019-20 disagg'!AT294-1</f>
        <v>3.2168361539060886E-2</v>
      </c>
      <c r="BL294" s="179">
        <f>AU294/'2019-20 disagg'!AU294-1</f>
        <v>4.3064717316500634E-2</v>
      </c>
      <c r="BM294" s="179">
        <f>AW294/'2019-20 disagg'!AW294-1</f>
        <v>3.2815490782473589E-2</v>
      </c>
    </row>
    <row r="295" spans="2:65" ht="15" x14ac:dyDescent="0.25">
      <c r="B295" t="s">
        <v>565</v>
      </c>
      <c r="D295" s="55">
        <v>8258698.5162653243</v>
      </c>
      <c r="E295" s="166">
        <v>1819.2266275351935</v>
      </c>
      <c r="F295" s="171">
        <f>VLOOKUP(B295,'2020-21'!$B$12:$AMX503,33,FALSE)</f>
        <v>3.8458638786824428E-2</v>
      </c>
      <c r="G295" s="171">
        <f>VLOOKUP(B295,'2020-21'!$B$12:$AMX503,34,FALSE)</f>
        <v>3.3086456200718928E-2</v>
      </c>
      <c r="I295" s="175">
        <v>8080649.363435545</v>
      </c>
      <c r="J295" s="175">
        <v>1780.00594897427</v>
      </c>
      <c r="K295" s="171">
        <f t="shared" si="92"/>
        <v>2.2034015438838539E-2</v>
      </c>
      <c r="L295" s="170">
        <f t="shared" si="92"/>
        <v>2.2034015438838539E-2</v>
      </c>
      <c r="N295" s="55">
        <v>6153824</v>
      </c>
      <c r="O295" s="55">
        <v>645662</v>
      </c>
      <c r="P295" s="55">
        <v>1457813</v>
      </c>
      <c r="R295" s="55">
        <v>1457813</v>
      </c>
      <c r="S295" s="55">
        <v>1399.516265324899</v>
      </c>
      <c r="U295" s="171">
        <v>1.9520548528976889E-2</v>
      </c>
      <c r="V295" s="171">
        <v>-3.6648285187319551E-2</v>
      </c>
      <c r="AA295" s="55">
        <v>962.40185977821238</v>
      </c>
      <c r="AB295" s="55">
        <v>0</v>
      </c>
      <c r="AC295" s="55">
        <v>437.11440554668661</v>
      </c>
      <c r="AE295" s="55">
        <v>0</v>
      </c>
      <c r="AF295" s="55">
        <v>0</v>
      </c>
      <c r="AG295" s="55">
        <v>437.11440554668661</v>
      </c>
      <c r="AI295" s="55">
        <v>395.56412261419325</v>
      </c>
      <c r="AJ295" s="55">
        <v>41.550282932493332</v>
      </c>
      <c r="AK295" s="55">
        <v>0</v>
      </c>
      <c r="AM295" s="55">
        <v>6155182</v>
      </c>
      <c r="AN295" s="55">
        <v>645704</v>
      </c>
      <c r="AO295" s="55">
        <v>1457813</v>
      </c>
      <c r="AP295" s="55"/>
      <c r="AQ295" s="55">
        <v>8258699</v>
      </c>
      <c r="AR295" s="1"/>
      <c r="AS295" s="175">
        <v>1355.8638773012192</v>
      </c>
      <c r="AT295" s="175">
        <v>142.23571764878866</v>
      </c>
      <c r="AU295" s="175">
        <v>321.1271391422905</v>
      </c>
      <c r="AV295" s="175"/>
      <c r="AW295" s="175">
        <v>1819.2267340922983</v>
      </c>
      <c r="AX295" s="1"/>
      <c r="AY295" s="171">
        <v>1.9745532035964297E-2</v>
      </c>
      <c r="AZ295" s="171">
        <v>-3.6585619625427834E-2</v>
      </c>
      <c r="BA295" s="171">
        <v>6.0669820845359546E-2</v>
      </c>
      <c r="BB295" s="171">
        <f t="shared" si="93"/>
        <v>2.2034075302180378E-2</v>
      </c>
      <c r="BC295" s="171"/>
      <c r="BD295" s="1"/>
      <c r="BE295" s="179">
        <f>AM295/'2019-20 disagg'!AM295-1</f>
        <v>3.6001807689750587E-2</v>
      </c>
      <c r="BF295" s="179">
        <f>AN295/'2019-20 disagg'!AN295-1</f>
        <v>3.9324097457961393E-2</v>
      </c>
      <c r="BG295" s="179">
        <f>AO295/'2019-20 disagg'!AO295-1</f>
        <v>4.8571336092959383E-2</v>
      </c>
      <c r="BH295" s="179">
        <f>AQ295/'2019-20 disagg'!AQ295-1</f>
        <v>3.8458699612201608E-2</v>
      </c>
      <c r="BI295" s="1"/>
      <c r="BJ295" s="179">
        <f>AS295/'2019-20 disagg'!AS295-1</f>
        <v>3.0642334849362296E-2</v>
      </c>
      <c r="BK295" s="179">
        <f>AT295/'2019-20 disagg'!AT295-1</f>
        <v>3.3947437657426249E-2</v>
      </c>
      <c r="BL295" s="179">
        <f>AU295/'2019-20 disagg'!AU295-1</f>
        <v>4.3146838225014639E-2</v>
      </c>
      <c r="BM295" s="179">
        <f>AW295/'2019-20 disagg'!AW295-1</f>
        <v>3.3086516711432701E-2</v>
      </c>
    </row>
    <row r="296" spans="2:65" ht="15" x14ac:dyDescent="0.25">
      <c r="B296" t="s">
        <v>566</v>
      </c>
      <c r="D296" s="55">
        <v>8015278.9862953834</v>
      </c>
      <c r="E296" s="166">
        <v>1826.9750813441337</v>
      </c>
      <c r="F296" s="171">
        <f>VLOOKUP(B296,'2020-21'!$B$12:$AMX504,33,FALSE)</f>
        <v>3.793450405361587E-2</v>
      </c>
      <c r="G296" s="171">
        <f>VLOOKUP(B296,'2020-21'!$B$12:$AMX504,34,FALSE)</f>
        <v>3.3387678368135942E-2</v>
      </c>
      <c r="I296" s="175">
        <v>7911745.1650491841</v>
      </c>
      <c r="J296" s="175">
        <v>1803.3759387794692</v>
      </c>
      <c r="K296" s="171">
        <f t="shared" si="92"/>
        <v>1.3086091511588238E-2</v>
      </c>
      <c r="L296" s="170">
        <f t="shared" si="92"/>
        <v>1.3086091511588238E-2</v>
      </c>
      <c r="N296" s="55">
        <v>6181049</v>
      </c>
      <c r="O296" s="55">
        <v>633280</v>
      </c>
      <c r="P296" s="55">
        <v>1197478</v>
      </c>
      <c r="R296" s="55">
        <v>1197478</v>
      </c>
      <c r="S296" s="55">
        <v>3471.9862953841221</v>
      </c>
      <c r="U296" s="171">
        <v>1.4082747271750851E-2</v>
      </c>
      <c r="V296" s="171">
        <v>1.8908759781599782E-2</v>
      </c>
      <c r="AA296" s="55">
        <v>1709.199705383915</v>
      </c>
      <c r="AB296" s="55">
        <v>0</v>
      </c>
      <c r="AC296" s="55">
        <v>1762.7865900002071</v>
      </c>
      <c r="AE296" s="55">
        <v>0</v>
      </c>
      <c r="AF296" s="55">
        <v>0</v>
      </c>
      <c r="AG296" s="55">
        <v>1762.7865900002071</v>
      </c>
      <c r="AI296" s="55">
        <v>1592.7073826318112</v>
      </c>
      <c r="AJ296" s="55">
        <v>170.07920736839566</v>
      </c>
      <c r="AK296" s="55">
        <v>0</v>
      </c>
      <c r="AM296" s="55">
        <v>6184351</v>
      </c>
      <c r="AN296" s="55">
        <v>633450</v>
      </c>
      <c r="AO296" s="55">
        <v>1197478</v>
      </c>
      <c r="AP296" s="55"/>
      <c r="AQ296" s="55">
        <v>8015279</v>
      </c>
      <c r="AR296" s="1"/>
      <c r="AS296" s="175">
        <v>1409.639663273636</v>
      </c>
      <c r="AT296" s="175">
        <v>144.38641091048757</v>
      </c>
      <c r="AU296" s="175">
        <v>272.94901028379326</v>
      </c>
      <c r="AV296" s="175"/>
      <c r="AW296" s="175">
        <v>1826.9750844679168</v>
      </c>
      <c r="AX296" s="1"/>
      <c r="AY296" s="171">
        <v>1.4624483994998272E-2</v>
      </c>
      <c r="AZ296" s="171">
        <v>1.9182279376664946E-2</v>
      </c>
      <c r="BA296" s="171">
        <v>2.0687696341779027E-3</v>
      </c>
      <c r="BB296" s="171">
        <f t="shared" si="93"/>
        <v>1.3086093243774632E-2</v>
      </c>
      <c r="BC296" s="171"/>
      <c r="BD296" s="1"/>
      <c r="BE296" s="179">
        <f>AM296/'2019-20 disagg'!AM296-1</f>
        <v>3.6384690731972258E-2</v>
      </c>
      <c r="BF296" s="179">
        <f>AN296/'2019-20 disagg'!AN296-1</f>
        <v>3.5015195581843628E-2</v>
      </c>
      <c r="BG296" s="179">
        <f>AO296/'2019-20 disagg'!AO296-1</f>
        <v>4.7588053689983534E-2</v>
      </c>
      <c r="BH296" s="179">
        <f>AQ296/'2019-20 disagg'!AQ296-1</f>
        <v>3.7934505828288279E-2</v>
      </c>
      <c r="BI296" s="1"/>
      <c r="BJ296" s="179">
        <f>AS296/'2019-20 disagg'!AS296-1</f>
        <v>3.1844654233084579E-2</v>
      </c>
      <c r="BK296" s="179">
        <f>AT296/'2019-20 disagg'!AT296-1</f>
        <v>3.0481158359115357E-2</v>
      </c>
      <c r="BL296" s="179">
        <f>AU296/'2019-20 disagg'!AU296-1</f>
        <v>4.2998939201817965E-2</v>
      </c>
      <c r="BM296" s="179">
        <f>AW296/'2019-20 disagg'!AW296-1</f>
        <v>3.3387680135034126E-2</v>
      </c>
    </row>
    <row r="297" spans="2:65" ht="15" x14ac:dyDescent="0.25">
      <c r="B297" t="s">
        <v>567</v>
      </c>
      <c r="D297" s="55">
        <v>23712227.282530833</v>
      </c>
      <c r="E297" s="166">
        <v>1704.29559225813</v>
      </c>
      <c r="F297" s="171">
        <f>VLOOKUP(B297,'2020-21'!$B$12:$AMX505,33,FALSE)</f>
        <v>4.054571266016449E-2</v>
      </c>
      <c r="G297" s="171">
        <f>VLOOKUP(B297,'2020-21'!$B$12:$AMX505,34,FALSE)</f>
        <v>3.4284541018679837E-2</v>
      </c>
      <c r="I297" s="175">
        <v>23914868.430693138</v>
      </c>
      <c r="J297" s="175">
        <v>1718.8602475099617</v>
      </c>
      <c r="K297" s="171">
        <f t="shared" si="92"/>
        <v>-8.4734377171914455E-3</v>
      </c>
      <c r="L297" s="170">
        <f t="shared" si="92"/>
        <v>-8.4734377171913344E-3</v>
      </c>
      <c r="N297" s="55">
        <v>18048505</v>
      </c>
      <c r="O297" s="55">
        <v>1911090</v>
      </c>
      <c r="P297" s="55">
        <v>3709231</v>
      </c>
      <c r="R297" s="55">
        <v>3709231</v>
      </c>
      <c r="S297" s="55">
        <v>43401.282530836994</v>
      </c>
      <c r="U297" s="171">
        <v>-1.1462407090846671E-2</v>
      </c>
      <c r="V297" s="171">
        <v>2.2232445056824535E-3</v>
      </c>
      <c r="AA297" s="55">
        <v>18085.921927325227</v>
      </c>
      <c r="AB297" s="55">
        <v>0</v>
      </c>
      <c r="AC297" s="55">
        <v>25315.360603511766</v>
      </c>
      <c r="AE297" s="55">
        <v>0</v>
      </c>
      <c r="AF297" s="55">
        <v>0</v>
      </c>
      <c r="AG297" s="55">
        <v>25315.360603511766</v>
      </c>
      <c r="AI297" s="55">
        <v>22926.570936987562</v>
      </c>
      <c r="AJ297" s="55">
        <v>2388.7896665242074</v>
      </c>
      <c r="AK297" s="55">
        <v>0</v>
      </c>
      <c r="AM297" s="55">
        <v>18089516</v>
      </c>
      <c r="AN297" s="55">
        <v>1913479</v>
      </c>
      <c r="AO297" s="55">
        <v>3709231</v>
      </c>
      <c r="AP297" s="55"/>
      <c r="AQ297" s="55">
        <v>23712226</v>
      </c>
      <c r="AR297" s="1"/>
      <c r="AS297" s="175">
        <v>1300.1681376255942</v>
      </c>
      <c r="AT297" s="175">
        <v>137.52962919603181</v>
      </c>
      <c r="AU297" s="175">
        <v>266.59773325572229</v>
      </c>
      <c r="AV297" s="175"/>
      <c r="AW297" s="175">
        <v>1704.2955000773484</v>
      </c>
      <c r="AX297" s="1"/>
      <c r="AY297" s="171">
        <v>-9.21618696221016E-3</v>
      </c>
      <c r="AZ297" s="171">
        <v>3.4760956697426071E-3</v>
      </c>
      <c r="BA297" s="171">
        <v>-1.0933631180450987E-2</v>
      </c>
      <c r="BB297" s="171">
        <f t="shared" si="93"/>
        <v>-8.47349134620623E-3</v>
      </c>
      <c r="BC297" s="171"/>
      <c r="BD297" s="1"/>
      <c r="BE297" s="179">
        <f>AM297/'2019-20 disagg'!AM297-1</f>
        <v>3.8932167400859363E-2</v>
      </c>
      <c r="BF297" s="179">
        <f>AN297/'2019-20 disagg'!AN297-1</f>
        <v>3.8886883060827326E-2</v>
      </c>
      <c r="BG297" s="179">
        <f>AO297/'2019-20 disagg'!AO297-1</f>
        <v>4.9357764579973207E-2</v>
      </c>
      <c r="BH297" s="179">
        <f>AQ297/'2019-20 disagg'!AQ297-1</f>
        <v>4.0545656379835204E-2</v>
      </c>
      <c r="BI297" s="1"/>
      <c r="BJ297" s="179">
        <f>AS297/'2019-20 disagg'!AS297-1</f>
        <v>3.2680704783876857E-2</v>
      </c>
      <c r="BK297" s="179">
        <f>AT297/'2019-20 disagg'!AT297-1</f>
        <v>3.2635692928774551E-2</v>
      </c>
      <c r="BL297" s="179">
        <f>AU297/'2019-20 disagg'!AU297-1</f>
        <v>4.3043569059852294E-2</v>
      </c>
      <c r="BM297" s="179">
        <f>AW297/'2019-20 disagg'!AW297-1</f>
        <v>3.4284485077000548E-2</v>
      </c>
    </row>
    <row r="298" spans="2:65" ht="15" x14ac:dyDescent="0.25">
      <c r="B298" t="s">
        <v>568</v>
      </c>
      <c r="D298" s="55">
        <v>13625587.028308285</v>
      </c>
      <c r="E298" s="166">
        <v>1785.3100363795052</v>
      </c>
      <c r="F298" s="171">
        <f>VLOOKUP(B298,'2020-21'!$B$12:$AMX506,33,FALSE)</f>
        <v>4.0222628460111265E-2</v>
      </c>
      <c r="G298" s="171">
        <f>VLOOKUP(B298,'2020-21'!$B$12:$AMX506,34,FALSE)</f>
        <v>3.3909122542298942E-2</v>
      </c>
      <c r="I298" s="175">
        <v>13676573.691554751</v>
      </c>
      <c r="J298" s="175">
        <v>1791.9906294010243</v>
      </c>
      <c r="K298" s="171">
        <f t="shared" si="92"/>
        <v>-3.7280289929596533E-3</v>
      </c>
      <c r="L298" s="170">
        <f t="shared" si="92"/>
        <v>-3.7280289929597643E-3</v>
      </c>
      <c r="N298" s="55">
        <v>10106982</v>
      </c>
      <c r="O298" s="55">
        <v>1103802</v>
      </c>
      <c r="P298" s="55">
        <v>2398406</v>
      </c>
      <c r="R298" s="55">
        <v>2398406</v>
      </c>
      <c r="S298" s="55">
        <v>16397.02830828575</v>
      </c>
      <c r="U298" s="171">
        <v>-7.0621142741682519E-3</v>
      </c>
      <c r="V298" s="171">
        <v>-2.209850844113892E-2</v>
      </c>
      <c r="AA298" s="55">
        <v>1564.8758916589431</v>
      </c>
      <c r="AB298" s="55">
        <v>0</v>
      </c>
      <c r="AC298" s="55">
        <v>14832.152416626806</v>
      </c>
      <c r="AE298" s="55">
        <v>0</v>
      </c>
      <c r="AF298" s="55">
        <v>0</v>
      </c>
      <c r="AG298" s="55">
        <v>14832.152416626806</v>
      </c>
      <c r="AI298" s="55">
        <v>13305.121074956982</v>
      </c>
      <c r="AJ298" s="55">
        <v>1527.0313416698243</v>
      </c>
      <c r="AK298" s="55">
        <v>0</v>
      </c>
      <c r="AM298" s="55">
        <v>10121851</v>
      </c>
      <c r="AN298" s="55">
        <v>1105330</v>
      </c>
      <c r="AO298" s="55">
        <v>2398406</v>
      </c>
      <c r="AP298" s="55"/>
      <c r="AQ298" s="55">
        <v>13625587</v>
      </c>
      <c r="AR298" s="1"/>
      <c r="AS298" s="175">
        <v>1326.2285242826365</v>
      </c>
      <c r="AT298" s="175">
        <v>144.82728255388531</v>
      </c>
      <c r="AU298" s="175">
        <v>314.25422583385398</v>
      </c>
      <c r="AV298" s="175"/>
      <c r="AW298" s="175">
        <v>1785.3100326703757</v>
      </c>
      <c r="AX298" s="1"/>
      <c r="AY298" s="171">
        <v>-5.6013425598367972E-3</v>
      </c>
      <c r="AZ298" s="171">
        <v>-2.0744793301012421E-2</v>
      </c>
      <c r="BA298" s="171">
        <v>1.2429166160250249E-2</v>
      </c>
      <c r="BB298" s="171">
        <f t="shared" si="93"/>
        <v>-3.7280310627971769E-3</v>
      </c>
      <c r="BC298" s="171"/>
      <c r="BD298" s="1"/>
      <c r="BE298" s="179">
        <f>AM298/'2019-20 disagg'!AM298-1</f>
        <v>3.7887874262165333E-2</v>
      </c>
      <c r="BF298" s="179">
        <f>AN298/'2019-20 disagg'!AN298-1</f>
        <v>4.196694792946154E-2</v>
      </c>
      <c r="BG298" s="179">
        <f>AO298/'2019-20 disagg'!AO298-1</f>
        <v>4.9375294239126122E-2</v>
      </c>
      <c r="BH298" s="179">
        <f>AQ298/'2019-20 disagg'!AQ298-1</f>
        <v>4.0222626298962671E-2</v>
      </c>
      <c r="BI298" s="1"/>
      <c r="BJ298" s="179">
        <f>AS298/'2019-20 disagg'!AS298-1</f>
        <v>3.1588538853667192E-2</v>
      </c>
      <c r="BK298" s="179">
        <f>AT298/'2019-20 disagg'!AT298-1</f>
        <v>3.5642855074784929E-2</v>
      </c>
      <c r="BL298" s="179">
        <f>AU298/'2019-20 disagg'!AU298-1</f>
        <v>4.30062373190776E-2</v>
      </c>
      <c r="BM298" s="179">
        <f>AW298/'2019-20 disagg'!AW298-1</f>
        <v>3.3909120394266967E-2</v>
      </c>
    </row>
    <row r="299" spans="2:65" ht="15" x14ac:dyDescent="0.25">
      <c r="B299" t="s">
        <v>569</v>
      </c>
      <c r="D299" s="55">
        <v>7261745.9843642879</v>
      </c>
      <c r="E299" s="166">
        <v>1841.230283398417</v>
      </c>
      <c r="F299" s="171">
        <f>VLOOKUP(B299,'2020-21'!$B$12:$AMX507,33,FALSE)</f>
        <v>3.7912574226749873E-2</v>
      </c>
      <c r="G299" s="171">
        <f>VLOOKUP(B299,'2020-21'!$B$12:$AMX507,34,FALSE)</f>
        <v>3.3461309863823896E-2</v>
      </c>
      <c r="I299" s="175">
        <v>7175594.2927419562</v>
      </c>
      <c r="J299" s="175">
        <v>1819.3863489062735</v>
      </c>
      <c r="K299" s="171">
        <f t="shared" si="92"/>
        <v>1.2006209953853375E-2</v>
      </c>
      <c r="L299" s="170">
        <f t="shared" si="92"/>
        <v>1.2006209953853375E-2</v>
      </c>
      <c r="N299" s="55">
        <v>5599640</v>
      </c>
      <c r="O299" s="55">
        <v>574898</v>
      </c>
      <c r="P299" s="55">
        <v>1086490</v>
      </c>
      <c r="R299" s="55">
        <v>1086490</v>
      </c>
      <c r="S299" s="55">
        <v>717.98436428746209</v>
      </c>
      <c r="U299" s="171">
        <v>1.6609067429785629E-2</v>
      </c>
      <c r="V299" s="171">
        <v>1.8165637188362505E-2</v>
      </c>
      <c r="AA299" s="55">
        <v>215.09748350427253</v>
      </c>
      <c r="AB299" s="55">
        <v>0</v>
      </c>
      <c r="AC299" s="55">
        <v>502.88688078318955</v>
      </c>
      <c r="AE299" s="55">
        <v>0</v>
      </c>
      <c r="AF299" s="55">
        <v>314.31843760513379</v>
      </c>
      <c r="AG299" s="55">
        <v>188.56844317805576</v>
      </c>
      <c r="AI299" s="55">
        <v>171.13386333605999</v>
      </c>
      <c r="AJ299" s="55">
        <v>17.434579841995774</v>
      </c>
      <c r="AK299" s="55">
        <v>0</v>
      </c>
      <c r="AM299" s="55">
        <v>5600026</v>
      </c>
      <c r="AN299" s="55">
        <v>575230</v>
      </c>
      <c r="AO299" s="55">
        <v>1086490</v>
      </c>
      <c r="AP299" s="55"/>
      <c r="AQ299" s="55">
        <v>7261746</v>
      </c>
      <c r="AR299" s="1"/>
      <c r="AS299" s="175">
        <v>1419.8978429181657</v>
      </c>
      <c r="AT299" s="175">
        <v>145.85072215411435</v>
      </c>
      <c r="AU299" s="175">
        <v>275.48172229060322</v>
      </c>
      <c r="AV299" s="175"/>
      <c r="AW299" s="175">
        <v>1841.2302873628832</v>
      </c>
      <c r="AX299" s="1"/>
      <c r="AY299" s="171">
        <v>1.6679145345513735E-2</v>
      </c>
      <c r="AZ299" s="171">
        <v>1.8753621476960802E-2</v>
      </c>
      <c r="BA299" s="171">
        <v>-1.4788436229461577E-2</v>
      </c>
      <c r="BB299" s="171">
        <f t="shared" si="93"/>
        <v>1.2006212132866123E-2</v>
      </c>
      <c r="BC299" s="171"/>
      <c r="BD299" s="1"/>
      <c r="BE299" s="179">
        <f>AM299/'2019-20 disagg'!AM299-1</f>
        <v>3.6203678209921986E-2</v>
      </c>
      <c r="BF299" s="179">
        <f>AN299/'2019-20 disagg'!AN299-1</f>
        <v>3.6510213201481845E-2</v>
      </c>
      <c r="BG299" s="179">
        <f>AO299/'2019-20 disagg'!AO299-1</f>
        <v>4.7567624896953653E-2</v>
      </c>
      <c r="BH299" s="179">
        <f>AQ299/'2019-20 disagg'!AQ299-1</f>
        <v>3.7912576461543335E-2</v>
      </c>
      <c r="BI299" s="1"/>
      <c r="BJ299" s="179">
        <f>AS299/'2019-20 disagg'!AS299-1</f>
        <v>3.1759742737818231E-2</v>
      </c>
      <c r="BK299" s="179">
        <f>AT299/'2019-20 disagg'!AT299-1</f>
        <v>3.206496310200202E-2</v>
      </c>
      <c r="BL299" s="179">
        <f>AU299/'2019-20 disagg'!AU299-1</f>
        <v>4.3074953209327971E-2</v>
      </c>
      <c r="BM299" s="179">
        <f>AW299/'2019-20 disagg'!AW299-1</f>
        <v>3.3461312089033024E-2</v>
      </c>
    </row>
    <row r="300" spans="2:65" ht="15" x14ac:dyDescent="0.25">
      <c r="B300" t="s">
        <v>570</v>
      </c>
      <c r="D300" s="55">
        <v>4342461.9246022785</v>
      </c>
      <c r="E300" s="166">
        <v>1688.5763328382295</v>
      </c>
      <c r="F300" s="171">
        <f>VLOOKUP(B300,'2020-21'!$B$12:$AMX508,33,FALSE)</f>
        <v>4.6899060109596435E-2</v>
      </c>
      <c r="G300" s="171">
        <f>VLOOKUP(B300,'2020-21'!$B$12:$AMX508,34,FALSE)</f>
        <v>3.6420183245474913E-2</v>
      </c>
      <c r="I300" s="175">
        <v>4432335.9522636048</v>
      </c>
      <c r="J300" s="175">
        <v>1723.5240557384514</v>
      </c>
      <c r="K300" s="171">
        <f t="shared" si="92"/>
        <v>-2.0276898824744372E-2</v>
      </c>
      <c r="L300" s="170">
        <f t="shared" si="92"/>
        <v>-2.0276898824744483E-2</v>
      </c>
      <c r="N300" s="55">
        <v>3259033</v>
      </c>
      <c r="O300" s="55">
        <v>340044</v>
      </c>
      <c r="P300" s="55">
        <v>714980</v>
      </c>
      <c r="R300" s="55">
        <v>714980</v>
      </c>
      <c r="S300" s="55">
        <v>28404.924602278741</v>
      </c>
      <c r="U300" s="171">
        <v>-1.7005495851678321E-2</v>
      </c>
      <c r="V300" s="171">
        <v>-2.3107872747860636E-2</v>
      </c>
      <c r="AA300" s="55">
        <v>1065.84744051191</v>
      </c>
      <c r="AB300" s="55">
        <v>0</v>
      </c>
      <c r="AC300" s="55">
        <v>27339.077161766829</v>
      </c>
      <c r="AE300" s="55">
        <v>0</v>
      </c>
      <c r="AF300" s="55">
        <v>0</v>
      </c>
      <c r="AG300" s="55">
        <v>27339.077161766829</v>
      </c>
      <c r="AI300" s="55">
        <v>24745.011931723708</v>
      </c>
      <c r="AJ300" s="55">
        <v>2594.0652300431211</v>
      </c>
      <c r="AK300" s="55">
        <v>0</v>
      </c>
      <c r="AM300" s="55">
        <v>3284844</v>
      </c>
      <c r="AN300" s="55">
        <v>342638</v>
      </c>
      <c r="AO300" s="55">
        <v>714980</v>
      </c>
      <c r="AP300" s="55"/>
      <c r="AQ300" s="55">
        <v>4342462</v>
      </c>
      <c r="AR300" s="1"/>
      <c r="AS300" s="175">
        <v>1277.3191640531606</v>
      </c>
      <c r="AT300" s="175">
        <v>133.23557640266839</v>
      </c>
      <c r="AU300" s="175">
        <v>278.02162170097841</v>
      </c>
      <c r="AV300" s="175"/>
      <c r="AW300" s="175">
        <v>1688.5763621568074</v>
      </c>
      <c r="AX300" s="1"/>
      <c r="AY300" s="171">
        <v>-9.2203426646524367E-3</v>
      </c>
      <c r="AZ300" s="171">
        <v>-1.5655724854964248E-2</v>
      </c>
      <c r="BA300" s="171">
        <v>-7.004771235980134E-2</v>
      </c>
      <c r="BB300" s="171">
        <f t="shared" si="93"/>
        <v>-2.0276881813912628E-2</v>
      </c>
      <c r="BC300" s="171"/>
      <c r="BD300" s="1"/>
      <c r="BE300" s="179">
        <f>AM300/'2019-20 disagg'!AM300-1</f>
        <v>4.4810670361368876E-2</v>
      </c>
      <c r="BF300" s="179">
        <f>AN300/'2019-20 disagg'!AN300-1</f>
        <v>5.291979214361886E-2</v>
      </c>
      <c r="BG300" s="179">
        <f>AO300/'2019-20 disagg'!AO300-1</f>
        <v>5.3688011200353714E-2</v>
      </c>
      <c r="BH300" s="179">
        <f>AQ300/'2019-20 disagg'!AQ300-1</f>
        <v>4.6899078286797735E-2</v>
      </c>
      <c r="BI300" s="1"/>
      <c r="BJ300" s="179">
        <f>AS300/'2019-20 disagg'!AS300-1</f>
        <v>3.4352697116182274E-2</v>
      </c>
      <c r="BK300" s="179">
        <f>AT300/'2019-20 disagg'!AT300-1</f>
        <v>4.2380651103111289E-2</v>
      </c>
      <c r="BL300" s="179">
        <f>AU300/'2019-20 disagg'!AU300-1</f>
        <v>4.3141180714696414E-2</v>
      </c>
      <c r="BM300" s="179">
        <f>AW300/'2019-20 disagg'!AW300-1</f>
        <v>3.6420201240732197E-2</v>
      </c>
    </row>
    <row r="301" spans="2:65" ht="15" x14ac:dyDescent="0.25">
      <c r="B301" t="s">
        <v>571</v>
      </c>
      <c r="D301" s="55">
        <v>14529521.062559592</v>
      </c>
      <c r="E301" s="166">
        <v>1625.5506767824966</v>
      </c>
      <c r="F301" s="171">
        <f>VLOOKUP(B301,'2020-21'!$B$12:$AMX509,33,FALSE)</f>
        <v>4.3754365437100207E-2</v>
      </c>
      <c r="G301" s="171">
        <f>VLOOKUP(B301,'2020-21'!$B$12:$AMX509,34,FALSE)</f>
        <v>3.5675267364923657E-2</v>
      </c>
      <c r="I301" s="175">
        <v>14781135.55845347</v>
      </c>
      <c r="J301" s="175">
        <v>1653.7010963543119</v>
      </c>
      <c r="K301" s="171">
        <f t="shared" si="92"/>
        <v>-1.7022676972201833E-2</v>
      </c>
      <c r="L301" s="170">
        <f t="shared" si="92"/>
        <v>-1.7022676972201722E-2</v>
      </c>
      <c r="N301" s="55">
        <v>10892890</v>
      </c>
      <c r="O301" s="55">
        <v>1195825</v>
      </c>
      <c r="P301" s="55">
        <v>2384602</v>
      </c>
      <c r="R301" s="55">
        <v>2384602</v>
      </c>
      <c r="S301" s="55">
        <v>56204.062559593207</v>
      </c>
      <c r="U301" s="171">
        <v>-2.408463637038083E-2</v>
      </c>
      <c r="V301" s="171">
        <v>-4.2792176584077746E-3</v>
      </c>
      <c r="AA301" s="55">
        <v>24526.412228740577</v>
      </c>
      <c r="AB301" s="55">
        <v>0</v>
      </c>
      <c r="AC301" s="55">
        <v>31677.65033085263</v>
      </c>
      <c r="AE301" s="55">
        <v>0</v>
      </c>
      <c r="AF301" s="55">
        <v>0</v>
      </c>
      <c r="AG301" s="55">
        <v>31677.65033085263</v>
      </c>
      <c r="AI301" s="55">
        <v>28688.193891026938</v>
      </c>
      <c r="AJ301" s="55">
        <v>2989.4564398256907</v>
      </c>
      <c r="AK301" s="55">
        <v>0</v>
      </c>
      <c r="AM301" s="55">
        <v>10946106</v>
      </c>
      <c r="AN301" s="55">
        <v>1198815</v>
      </c>
      <c r="AO301" s="55">
        <v>2384602</v>
      </c>
      <c r="AP301" s="55"/>
      <c r="AQ301" s="55">
        <v>14529523</v>
      </c>
      <c r="AR301" s="1"/>
      <c r="AS301" s="175">
        <v>1224.64119359612</v>
      </c>
      <c r="AT301" s="175">
        <v>134.12242056681461</v>
      </c>
      <c r="AU301" s="175">
        <v>266.78727937877591</v>
      </c>
      <c r="AV301" s="175"/>
      <c r="AW301" s="175">
        <v>1625.5508935417106</v>
      </c>
      <c r="AX301" s="1"/>
      <c r="AY301" s="171">
        <v>-1.9316910634518791E-2</v>
      </c>
      <c r="AZ301" s="171">
        <v>-1.7895514119240508E-3</v>
      </c>
      <c r="BA301" s="171">
        <v>-1.3997984788535978E-2</v>
      </c>
      <c r="BB301" s="171">
        <f t="shared" si="93"/>
        <v>-1.7022545896994368E-2</v>
      </c>
      <c r="BC301" s="171"/>
      <c r="BD301" s="1"/>
      <c r="BE301" s="179">
        <f>AM301/'2019-20 disagg'!AM301-1</f>
        <v>4.2000316614241973E-2</v>
      </c>
      <c r="BF301" s="179">
        <f>AN301/'2019-20 disagg'!AN301-1</f>
        <v>4.507505389636024E-2</v>
      </c>
      <c r="BG301" s="179">
        <f>AO301/'2019-20 disagg'!AO301-1</f>
        <v>5.121019557536366E-2</v>
      </c>
      <c r="BH301" s="179">
        <f>AQ301/'2019-20 disagg'!AQ301-1</f>
        <v>4.3754504616628109E-2</v>
      </c>
      <c r="BI301" s="1"/>
      <c r="BJ301" s="179">
        <f>AS301/'2019-20 disagg'!AS301-1</f>
        <v>3.3934795618178581E-2</v>
      </c>
      <c r="BK301" s="179">
        <f>AT301/'2019-20 disagg'!AT301-1</f>
        <v>3.6985733139672572E-2</v>
      </c>
      <c r="BL301" s="179">
        <f>AU301/'2019-20 disagg'!AU301-1</f>
        <v>4.3073386239990352E-2</v>
      </c>
      <c r="BM301" s="179">
        <f>AW301/'2019-20 disagg'!AW301-1</f>
        <v>3.5675405467143539E-2</v>
      </c>
    </row>
    <row r="302" spans="2:65" ht="15" x14ac:dyDescent="0.25">
      <c r="B302" t="s">
        <v>572</v>
      </c>
      <c r="D302" s="55">
        <v>6147698.0407653395</v>
      </c>
      <c r="E302" s="166">
        <v>1673.2810426267599</v>
      </c>
      <c r="F302" s="171">
        <f>VLOOKUP(B302,'2020-21'!$B$12:$AMX510,33,FALSE)</f>
        <v>4.825304870512559E-2</v>
      </c>
      <c r="G302" s="171">
        <f>VLOOKUP(B302,'2020-21'!$B$12:$AMX510,34,FALSE)</f>
        <v>3.5901091518994344E-2</v>
      </c>
      <c r="I302" s="175">
        <v>6272095.0026684292</v>
      </c>
      <c r="J302" s="175">
        <v>1707.1394196538286</v>
      </c>
      <c r="K302" s="171">
        <f t="shared" si="92"/>
        <v>-1.9833398864361196E-2</v>
      </c>
      <c r="L302" s="170">
        <f t="shared" si="92"/>
        <v>-1.9833398864361307E-2</v>
      </c>
      <c r="N302" s="55">
        <v>4413966</v>
      </c>
      <c r="O302" s="55">
        <v>489624</v>
      </c>
      <c r="P302" s="55">
        <v>1202043</v>
      </c>
      <c r="R302" s="55">
        <v>1202043</v>
      </c>
      <c r="S302" s="55">
        <v>42065.040765339159</v>
      </c>
      <c r="U302" s="171">
        <v>-2.8565411992320766E-2</v>
      </c>
      <c r="V302" s="171">
        <v>-3.900668464266932E-2</v>
      </c>
      <c r="AA302" s="55">
        <v>0</v>
      </c>
      <c r="AB302" s="55">
        <v>0</v>
      </c>
      <c r="AC302" s="55">
        <v>42065.040765339159</v>
      </c>
      <c r="AE302" s="55">
        <v>0</v>
      </c>
      <c r="AF302" s="55">
        <v>0</v>
      </c>
      <c r="AG302" s="55">
        <v>42065.040765339159</v>
      </c>
      <c r="AI302" s="55">
        <v>37840.317739077698</v>
      </c>
      <c r="AJ302" s="55">
        <v>4224.7230262614594</v>
      </c>
      <c r="AK302" s="55">
        <v>0</v>
      </c>
      <c r="AM302" s="55">
        <v>4451806</v>
      </c>
      <c r="AN302" s="55">
        <v>493848</v>
      </c>
      <c r="AO302" s="55">
        <v>1202043</v>
      </c>
      <c r="AP302" s="55"/>
      <c r="AQ302" s="55">
        <v>6147697</v>
      </c>
      <c r="AR302" s="1"/>
      <c r="AS302" s="175">
        <v>1211.6929842449954</v>
      </c>
      <c r="AT302" s="175">
        <v>134.41559602629192</v>
      </c>
      <c r="AU302" s="175">
        <v>327.17217907986264</v>
      </c>
      <c r="AV302" s="175"/>
      <c r="AW302" s="175">
        <v>1673.28075935115</v>
      </c>
      <c r="AX302" s="1"/>
      <c r="AY302" s="171">
        <v>-2.0237508059619325E-2</v>
      </c>
      <c r="AZ302" s="171">
        <v>-3.0716168319798398E-2</v>
      </c>
      <c r="BA302" s="171">
        <v>-1.377854234513165E-2</v>
      </c>
      <c r="BB302" s="171">
        <f t="shared" si="93"/>
        <v>-1.9833564800199044E-2</v>
      </c>
      <c r="BC302" s="171"/>
      <c r="BD302" s="1"/>
      <c r="BE302" s="179">
        <f>AM302/'2019-20 disagg'!AM302-1</f>
        <v>4.5487253048061671E-2</v>
      </c>
      <c r="BF302" s="179">
        <f>AN302/'2019-20 disagg'!AN302-1</f>
        <v>5.5837650273340866E-2</v>
      </c>
      <c r="BG302" s="179">
        <f>AO302/'2019-20 disagg'!AO302-1</f>
        <v>5.5478236589012964E-2</v>
      </c>
      <c r="BH302" s="179">
        <f>AQ302/'2019-20 disagg'!AQ302-1</f>
        <v>4.8252871242694395E-2</v>
      </c>
      <c r="BI302" s="1"/>
      <c r="BJ302" s="179">
        <f>AS302/'2019-20 disagg'!AS302-1</f>
        <v>3.3167886265157875E-2</v>
      </c>
      <c r="BK302" s="179">
        <f>AT302/'2019-20 disagg'!AT302-1</f>
        <v>4.3396320894149909E-2</v>
      </c>
      <c r="BL302" s="179">
        <f>AU302/'2019-20 disagg'!AU302-1</f>
        <v>4.3041142315502157E-2</v>
      </c>
      <c r="BM302" s="179">
        <f>AW302/'2019-20 disagg'!AW302-1</f>
        <v>3.5900916147669548E-2</v>
      </c>
    </row>
    <row r="303" spans="2:65" ht="15" x14ac:dyDescent="0.25">
      <c r="B303" t="s">
        <v>573</v>
      </c>
      <c r="D303" s="55">
        <v>4420633.2725772504</v>
      </c>
      <c r="E303" s="166">
        <v>1771.4524051433207</v>
      </c>
      <c r="F303" s="171">
        <f>VLOOKUP(B303,'2020-21'!$B$12:$AMX511,33,FALSE)</f>
        <v>4.1911429139136924E-2</v>
      </c>
      <c r="G303" s="171">
        <f>VLOOKUP(B303,'2020-21'!$B$12:$AMX511,34,FALSE)</f>
        <v>3.0661478567625799E-2</v>
      </c>
      <c r="I303" s="175">
        <v>4419351.678388603</v>
      </c>
      <c r="J303" s="175">
        <v>1770.9388400118314</v>
      </c>
      <c r="K303" s="171">
        <f t="shared" si="92"/>
        <v>2.8999597269319111E-4</v>
      </c>
      <c r="L303" s="170">
        <f t="shared" si="92"/>
        <v>2.8999597269319111E-4</v>
      </c>
      <c r="N303" s="55">
        <v>3108729</v>
      </c>
      <c r="O303" s="55">
        <v>363687</v>
      </c>
      <c r="P303" s="55">
        <v>944890</v>
      </c>
      <c r="R303" s="55">
        <v>944890</v>
      </c>
      <c r="S303" s="55">
        <v>3327.2725772501435</v>
      </c>
      <c r="U303" s="171">
        <v>7.4502830119140828E-3</v>
      </c>
      <c r="V303" s="171">
        <v>-4.56569569674522E-2</v>
      </c>
      <c r="AA303" s="55">
        <v>0</v>
      </c>
      <c r="AB303" s="55">
        <v>0</v>
      </c>
      <c r="AC303" s="55">
        <v>3327.2725772501435</v>
      </c>
      <c r="AE303" s="55">
        <v>0</v>
      </c>
      <c r="AF303" s="55">
        <v>0</v>
      </c>
      <c r="AG303" s="55">
        <v>3327.2725772501435</v>
      </c>
      <c r="AI303" s="55">
        <v>2959.3526911981594</v>
      </c>
      <c r="AJ303" s="55">
        <v>367.91988605198469</v>
      </c>
      <c r="AK303" s="55">
        <v>0</v>
      </c>
      <c r="AM303" s="55">
        <v>3111688</v>
      </c>
      <c r="AN303" s="55">
        <v>364055</v>
      </c>
      <c r="AO303" s="55">
        <v>944890</v>
      </c>
      <c r="AP303" s="55"/>
      <c r="AQ303" s="55">
        <v>4420633</v>
      </c>
      <c r="AR303" s="1"/>
      <c r="AS303" s="175">
        <v>1246.9270468214988</v>
      </c>
      <c r="AT303" s="175">
        <v>145.88545703508859</v>
      </c>
      <c r="AU303" s="175">
        <v>378.63979205857595</v>
      </c>
      <c r="AV303" s="175"/>
      <c r="AW303" s="175">
        <v>1771.4522959151634</v>
      </c>
      <c r="AX303" s="1"/>
      <c r="AY303" s="171">
        <v>8.4092104023145708E-3</v>
      </c>
      <c r="AZ303" s="171">
        <v>-4.4691296276154535E-2</v>
      </c>
      <c r="BA303" s="171">
        <v>-8.0166540746464676E-3</v>
      </c>
      <c r="BB303" s="171">
        <f t="shared" si="93"/>
        <v>2.8993429458501474E-4</v>
      </c>
      <c r="BC303" s="171"/>
      <c r="BD303" s="1"/>
      <c r="BE303" s="179">
        <f>AM303/'2019-20 disagg'!AM303-1</f>
        <v>3.7587300952161895E-2</v>
      </c>
      <c r="BF303" s="179">
        <f>AN303/'2019-20 disagg'!AN303-1</f>
        <v>4.6887131560028772E-2</v>
      </c>
      <c r="BG303" s="179">
        <f>AO303/'2019-20 disagg'!AO303-1</f>
        <v>5.4451755169089067E-2</v>
      </c>
      <c r="BH303" s="179">
        <f>AQ303/'2019-20 disagg'!AQ303-1</f>
        <v>4.1911364894641867E-2</v>
      </c>
      <c r="BI303" s="1"/>
      <c r="BJ303" s="179">
        <f>AS303/'2019-20 disagg'!AS303-1</f>
        <v>2.6384039789181912E-2</v>
      </c>
      <c r="BK303" s="179">
        <f>AT303/'2019-20 disagg'!AT303-1</f>
        <v>3.5583456262280766E-2</v>
      </c>
      <c r="BL303" s="179">
        <f>AU303/'2019-20 disagg'!AU303-1</f>
        <v>4.3066401487446004E-2</v>
      </c>
      <c r="BM303" s="179">
        <f>AW303/'2019-20 disagg'!AW303-1</f>
        <v>3.0661415016805194E-2</v>
      </c>
    </row>
    <row r="304" spans="2:65" ht="15" x14ac:dyDescent="0.25">
      <c r="B304" t="s">
        <v>574</v>
      </c>
      <c r="D304" s="55">
        <v>2936551.9844609769</v>
      </c>
      <c r="E304" s="166">
        <v>1633.4259986783463</v>
      </c>
      <c r="F304" s="171">
        <f>VLOOKUP(B304,'2020-21'!$B$12:$AMX512,33,FALSE)</f>
        <v>4.5321989946354391E-2</v>
      </c>
      <c r="G304" s="171">
        <f>VLOOKUP(B304,'2020-21'!$B$12:$AMX512,34,FALSE)</f>
        <v>3.3328148683221315E-2</v>
      </c>
      <c r="I304" s="175">
        <v>2977157.1576116052</v>
      </c>
      <c r="J304" s="175">
        <v>1656.012197000746</v>
      </c>
      <c r="K304" s="171">
        <f t="shared" si="92"/>
        <v>-1.3638908193614907E-2</v>
      </c>
      <c r="L304" s="170">
        <f t="shared" si="92"/>
        <v>-1.3638908193614907E-2</v>
      </c>
      <c r="N304" s="55">
        <v>2162265</v>
      </c>
      <c r="O304" s="55">
        <v>237545</v>
      </c>
      <c r="P304" s="55">
        <v>523782</v>
      </c>
      <c r="R304" s="55">
        <v>523782</v>
      </c>
      <c r="S304" s="55">
        <v>12959.98446097711</v>
      </c>
      <c r="U304" s="171">
        <v>-2.1754746394066271E-2</v>
      </c>
      <c r="V304" s="171">
        <v>-2.5517721988427833E-2</v>
      </c>
      <c r="AA304" s="55">
        <v>1642.3256485750317</v>
      </c>
      <c r="AB304" s="55">
        <v>0</v>
      </c>
      <c r="AC304" s="55">
        <v>11317.658812402078</v>
      </c>
      <c r="AE304" s="55">
        <v>0</v>
      </c>
      <c r="AF304" s="55">
        <v>0</v>
      </c>
      <c r="AG304" s="55">
        <v>11317.658812402078</v>
      </c>
      <c r="AI304" s="55">
        <v>10197.006009138884</v>
      </c>
      <c r="AJ304" s="55">
        <v>1120.6528032631934</v>
      </c>
      <c r="AK304" s="55">
        <v>0</v>
      </c>
      <c r="AM304" s="55">
        <v>2174106</v>
      </c>
      <c r="AN304" s="55">
        <v>238667</v>
      </c>
      <c r="AO304" s="55">
        <v>523782</v>
      </c>
      <c r="AP304" s="55"/>
      <c r="AQ304" s="55">
        <v>2936555</v>
      </c>
      <c r="AR304" s="1"/>
      <c r="AS304" s="175">
        <v>1209.3234797389218</v>
      </c>
      <c r="AT304" s="175">
        <v>132.75599576968614</v>
      </c>
      <c r="AU304" s="175">
        <v>291.34820053144233</v>
      </c>
      <c r="AV304" s="175"/>
      <c r="AW304" s="175">
        <v>1633.4276760400503</v>
      </c>
      <c r="AX304" s="1"/>
      <c r="AY304" s="171">
        <v>-1.6397677742468142E-2</v>
      </c>
      <c r="AZ304" s="171">
        <v>-2.0914934660010154E-2</v>
      </c>
      <c r="BA304" s="171">
        <v>1.4163235628621429E-3</v>
      </c>
      <c r="BB304" s="171">
        <f t="shared" si="93"/>
        <v>-1.3637895301495617E-2</v>
      </c>
      <c r="BC304" s="171"/>
      <c r="BD304" s="1"/>
      <c r="BE304" s="179">
        <f>AM304/'2019-20 disagg'!AM304-1</f>
        <v>4.2276789138605553E-2</v>
      </c>
      <c r="BF304" s="179">
        <f>AN304/'2019-20 disagg'!AN304-1</f>
        <v>5.1465955900169558E-2</v>
      </c>
      <c r="BG304" s="179">
        <f>AO304/'2019-20 disagg'!AO304-1</f>
        <v>5.5316353936013973E-2</v>
      </c>
      <c r="BH304" s="179">
        <f>AQ304/'2019-20 disagg'!AQ304-1</f>
        <v>4.5323063385295237E-2</v>
      </c>
      <c r="BI304" s="1"/>
      <c r="BJ304" s="179">
        <f>AS304/'2019-20 disagg'!AS304-1</f>
        <v>3.0317887975703339E-2</v>
      </c>
      <c r="BK304" s="179">
        <f>AT304/'2019-20 disagg'!AT304-1</f>
        <v>3.9401619848746572E-2</v>
      </c>
      <c r="BL304" s="179">
        <f>AU304/'2019-20 disagg'!AU304-1</f>
        <v>4.320783909251924E-2</v>
      </c>
      <c r="BM304" s="179">
        <f>AW304/'2019-20 disagg'!AW304-1</f>
        <v>3.3329209805712079E-2</v>
      </c>
    </row>
    <row r="305" spans="2:65" ht="15" x14ac:dyDescent="0.25">
      <c r="B305" t="s">
        <v>575</v>
      </c>
      <c r="D305" s="55">
        <v>3520854.0639181882</v>
      </c>
      <c r="E305" s="166">
        <v>1815.0155977375625</v>
      </c>
      <c r="F305" s="171">
        <f>VLOOKUP(B305,'2020-21'!$B$12:$AMX513,33,FALSE)</f>
        <v>3.4545759146879629E-2</v>
      </c>
      <c r="G305" s="171">
        <f>VLOOKUP(B305,'2020-21'!$B$12:$AMX513,34,FALSE)</f>
        <v>2.4900906431628567E-2</v>
      </c>
      <c r="I305" s="175">
        <v>3325966.6027158131</v>
      </c>
      <c r="J305" s="175">
        <v>1714.5502630590379</v>
      </c>
      <c r="K305" s="171">
        <f t="shared" si="92"/>
        <v>5.8595736061582748E-2</v>
      </c>
      <c r="L305" s="170">
        <f t="shared" si="92"/>
        <v>5.8595736061582748E-2</v>
      </c>
      <c r="N305" s="55">
        <v>2489293</v>
      </c>
      <c r="O305" s="55">
        <v>286378</v>
      </c>
      <c r="P305" s="55">
        <v>743236</v>
      </c>
      <c r="R305" s="55">
        <v>743236</v>
      </c>
      <c r="S305" s="55">
        <v>1947.0639181883889</v>
      </c>
      <c r="U305" s="171">
        <v>7.4759857665675611E-2</v>
      </c>
      <c r="V305" s="171">
        <v>-3.1599736859862837E-2</v>
      </c>
      <c r="AA305" s="55">
        <v>0</v>
      </c>
      <c r="AB305" s="55">
        <v>0</v>
      </c>
      <c r="AC305" s="55">
        <v>1947.0639181883889</v>
      </c>
      <c r="AE305" s="55">
        <v>0</v>
      </c>
      <c r="AF305" s="55">
        <v>1861.8660535718677</v>
      </c>
      <c r="AG305" s="55">
        <v>85.197864616521201</v>
      </c>
      <c r="AI305" s="55">
        <v>75.537672524519536</v>
      </c>
      <c r="AJ305" s="55">
        <v>9.6601920920016671</v>
      </c>
      <c r="AK305" s="55">
        <v>0</v>
      </c>
      <c r="AM305" s="55">
        <v>2489369</v>
      </c>
      <c r="AN305" s="55">
        <v>288250</v>
      </c>
      <c r="AO305" s="55">
        <v>743236</v>
      </c>
      <c r="AP305" s="55"/>
      <c r="AQ305" s="55">
        <v>3520855</v>
      </c>
      <c r="AR305" s="1"/>
      <c r="AS305" s="175">
        <v>1283.2805567908781</v>
      </c>
      <c r="AT305" s="175">
        <v>148.5941298758724</v>
      </c>
      <c r="AU305" s="175">
        <v>383.14139362506126</v>
      </c>
      <c r="AV305" s="175"/>
      <c r="AW305" s="175">
        <v>1815.0160802918117</v>
      </c>
      <c r="AX305" s="1"/>
      <c r="AY305" s="171">
        <v>7.4792670897859459E-2</v>
      </c>
      <c r="AZ305" s="171">
        <v>-2.5269483514290481E-2</v>
      </c>
      <c r="BA305" s="171">
        <v>4.0793651137737141E-2</v>
      </c>
      <c r="BB305" s="171">
        <f t="shared" si="93"/>
        <v>5.8596017508128595E-2</v>
      </c>
      <c r="BC305" s="171"/>
      <c r="BD305" s="1"/>
      <c r="BE305" s="179">
        <f>AM305/'2019-20 disagg'!AM305-1</f>
        <v>2.7163180441156731E-2</v>
      </c>
      <c r="BF305" s="179">
        <f>AN305/'2019-20 disagg'!AN305-1</f>
        <v>5.1124968092477019E-2</v>
      </c>
      <c r="BG305" s="179">
        <f>AO305/'2019-20 disagg'!AO305-1</f>
        <v>5.3462921517128503E-2</v>
      </c>
      <c r="BH305" s="179">
        <f>AQ305/'2019-20 disagg'!AQ305-1</f>
        <v>3.454603419931046E-2</v>
      </c>
      <c r="BI305" s="1"/>
      <c r="BJ305" s="179">
        <f>AS305/'2019-20 disagg'!AS305-1</f>
        <v>1.7587153955819446E-2</v>
      </c>
      <c r="BK305" s="179">
        <f>AT305/'2019-20 disagg'!AT305-1</f>
        <v>4.1325550896146535E-2</v>
      </c>
      <c r="BL305" s="179">
        <f>AU305/'2019-20 disagg'!AU305-1</f>
        <v>4.3641708072312602E-2</v>
      </c>
      <c r="BM305" s="179">
        <f>AW305/'2019-20 disagg'!AW305-1</f>
        <v>2.4901178919803479E-2</v>
      </c>
    </row>
    <row r="306" spans="2:65" ht="15" x14ac:dyDescent="0.25">
      <c r="B306"/>
      <c r="D306" s="1"/>
      <c r="N306" s="1"/>
      <c r="O306" s="1"/>
      <c r="P306" s="1"/>
      <c r="R306" s="1"/>
      <c r="S306" s="1"/>
      <c r="AA306" s="1"/>
      <c r="AB306" s="1"/>
      <c r="AC306" s="1"/>
      <c r="AE306" s="1"/>
      <c r="AF306" s="1"/>
      <c r="AG306" s="1"/>
      <c r="AI306" s="1"/>
      <c r="AJ306" s="1"/>
      <c r="AK306" s="1"/>
      <c r="AM306" s="1"/>
      <c r="AN306" s="1"/>
      <c r="AO306" s="1"/>
      <c r="AP306" s="1"/>
      <c r="AR306" s="1"/>
      <c r="AV306" s="64"/>
      <c r="AX306" s="1"/>
      <c r="BA306" s="64"/>
      <c r="BD306" s="1"/>
      <c r="BE306" s="179"/>
      <c r="BF306" s="179"/>
      <c r="BG306" s="179"/>
      <c r="BH306" s="179"/>
      <c r="BI306" s="1"/>
      <c r="BJ306" s="179"/>
      <c r="BK306" s="179"/>
    </row>
    <row r="307" spans="2:65" ht="15" x14ac:dyDescent="0.25">
      <c r="B307" t="s">
        <v>12</v>
      </c>
      <c r="D307" s="172">
        <f>SUM(D294:D305)</f>
        <v>103908742.65587761</v>
      </c>
      <c r="E307" s="166">
        <v>1749.2365693703011</v>
      </c>
      <c r="F307" s="171">
        <f>VLOOKUP(B307,'2020-21'!$B$12:$AMX515,33,FALSE)</f>
        <v>4.0768757263071498E-2</v>
      </c>
      <c r="G307" s="171">
        <f>VLOOKUP(B307,'2020-21'!$B$12:$AMX515,34,FALSE)</f>
        <v>3.3699018448002604E-2</v>
      </c>
      <c r="I307" s="175">
        <f>SUM(I294:I305)</f>
        <v>103908754.03575227</v>
      </c>
      <c r="J307" s="175">
        <v>1749.236760943141</v>
      </c>
      <c r="K307" s="171">
        <f t="shared" ref="K307:L307" si="94">D307/I307-1</f>
        <v>-1.0951795892388816E-7</v>
      </c>
      <c r="L307" s="170">
        <f t="shared" si="94"/>
        <v>-1.0951795903491046E-7</v>
      </c>
      <c r="N307" s="172">
        <f>SUM(N294:N305)</f>
        <v>77946799</v>
      </c>
      <c r="O307" s="172">
        <f>SUM(O294:O305)</f>
        <v>8319600</v>
      </c>
      <c r="P307" s="172">
        <f>SUM(P294:P305)</f>
        <v>17431645</v>
      </c>
      <c r="R307" s="172">
        <f>SUM(R294:R305)</f>
        <v>17431645</v>
      </c>
      <c r="S307" s="172">
        <f>SUM(S294:S305)</f>
        <v>210698.65587758715</v>
      </c>
      <c r="U307" s="171">
        <v>-1.6007244969382661E-3</v>
      </c>
      <c r="V307" s="171">
        <v>-1.0019276993740722E-2</v>
      </c>
      <c r="AA307" s="172">
        <f>SUM(AA294:AA305)</f>
        <v>49772.082185478088</v>
      </c>
      <c r="AB307" s="172">
        <f>SUM(AB294:AB305)</f>
        <v>0</v>
      </c>
      <c r="AC307" s="172">
        <f>SUM(AC294:AC305)</f>
        <v>160926.57369210906</v>
      </c>
      <c r="AE307" s="172">
        <f>SUM(AE294:AE305)</f>
        <v>0</v>
      </c>
      <c r="AF307" s="172">
        <f>SUM(AF294:AF305)</f>
        <v>2176.1844911770013</v>
      </c>
      <c r="AG307" s="172">
        <f>SUM(AG294:AG305)</f>
        <v>158750.38920093206</v>
      </c>
      <c r="AI307" s="172">
        <f>SUM(AI294:AI305)</f>
        <v>143264.14253951758</v>
      </c>
      <c r="AJ307" s="172">
        <f>SUM(AJ294:AJ305)</f>
        <v>15486.246661414465</v>
      </c>
      <c r="AK307" s="172">
        <f>SUM(AK294:AK305)</f>
        <v>0</v>
      </c>
      <c r="AM307" s="172">
        <f>SUM(AM294:AM305)</f>
        <v>78139836</v>
      </c>
      <c r="AN307" s="172">
        <f>SUM(AN294:AN305)</f>
        <v>8337266</v>
      </c>
      <c r="AO307" s="172">
        <f>SUM(AO294:AO305)</f>
        <v>17431645</v>
      </c>
      <c r="AP307" s="172"/>
      <c r="AQ307" s="172">
        <f>SUM(AQ294:AQ305)</f>
        <v>103908747</v>
      </c>
      <c r="AR307" s="1"/>
      <c r="AS307" s="175">
        <v>1315.4336696043772</v>
      </c>
      <c r="AT307" s="175">
        <v>140.35248818346389</v>
      </c>
      <c r="AU307" s="175">
        <v>293.45048471295479</v>
      </c>
      <c r="AV307" s="175"/>
      <c r="AW307" s="175">
        <v>1749.2366425007958</v>
      </c>
      <c r="AX307" s="1"/>
      <c r="AY307" s="171">
        <v>8.7183375327648527E-4</v>
      </c>
      <c r="AZ307" s="171">
        <v>-7.9171327256715163E-3</v>
      </c>
      <c r="BA307" s="171">
        <v>-8.8259287163161559E-5</v>
      </c>
      <c r="BB307" s="171">
        <f t="shared" ref="BB307" si="95">SUM(AM307:AO307)/I307-1</f>
        <v>-6.7710871243242821E-8</v>
      </c>
      <c r="BC307" s="171"/>
      <c r="BD307" s="1"/>
      <c r="BE307" s="179">
        <f>AM307/'2019-20 disagg'!AM307-1</f>
        <v>3.8508201500837558E-2</v>
      </c>
      <c r="BF307" s="179">
        <f>AN307/'2019-20 disagg'!AN307-1</f>
        <v>4.2193163470976236E-2</v>
      </c>
      <c r="BG307" s="179">
        <f>AO307/'2019-20 disagg'!AO307-1</f>
        <v>5.0331055039022576E-2</v>
      </c>
      <c r="BH307" s="179">
        <f>AQ307/'2019-20 disagg'!AQ307-1</f>
        <v>4.0768800774587222E-2</v>
      </c>
      <c r="BI307" s="1"/>
      <c r="BJ307" s="179">
        <f>AS307/'2019-20 disagg'!AS307-1</f>
        <v>3.1453818199377537E-2</v>
      </c>
      <c r="BK307" s="179">
        <f>AT307/'2019-20 disagg'!AT307-1</f>
        <v>3.5113748942848133E-2</v>
      </c>
      <c r="BL307" s="179">
        <f>AU307/'2019-20 disagg'!AU307-1</f>
        <v>4.3196361403513572E-2</v>
      </c>
      <c r="BM307" s="179">
        <f>AW307/'2019-20 disagg'!AW307-1</f>
        <v>3.36990616639532E-2</v>
      </c>
    </row>
    <row r="308" spans="2:65" ht="15" x14ac:dyDescent="0.25">
      <c r="B308"/>
      <c r="D308" s="1"/>
      <c r="N308" s="1"/>
      <c r="O308" s="1"/>
      <c r="P308" s="1"/>
      <c r="R308" s="1"/>
      <c r="S308" s="1"/>
      <c r="AA308" s="1"/>
      <c r="AB308" s="1"/>
      <c r="AC308" s="1"/>
      <c r="AE308" s="1"/>
      <c r="AF308" s="1"/>
      <c r="AG308" s="1"/>
      <c r="AI308" s="1"/>
      <c r="AJ308" s="1"/>
      <c r="AK308" s="1"/>
      <c r="AM308" s="1"/>
      <c r="AN308" s="1"/>
      <c r="AO308" s="1"/>
      <c r="AP308" s="1"/>
      <c r="AR308" s="1"/>
      <c r="AV308" s="64"/>
      <c r="AX308" s="1"/>
      <c r="BA308" s="64"/>
      <c r="BD308" s="1"/>
      <c r="BE308" s="179"/>
      <c r="BF308" s="179"/>
      <c r="BG308" s="179"/>
      <c r="BH308" s="179"/>
      <c r="BI308" s="1"/>
      <c r="BJ308" s="179"/>
      <c r="BK308" s="179"/>
    </row>
    <row r="309" spans="2:65" x14ac:dyDescent="0.2">
      <c r="B309" s="43" t="s">
        <v>576</v>
      </c>
      <c r="D309" s="1"/>
      <c r="N309" s="1"/>
      <c r="O309" s="1"/>
      <c r="P309" s="1"/>
      <c r="R309" s="1"/>
      <c r="S309" s="1"/>
      <c r="AA309" s="1"/>
      <c r="AB309" s="1"/>
      <c r="AC309" s="1"/>
      <c r="AE309" s="1"/>
      <c r="AF309" s="1"/>
      <c r="AG309" s="1"/>
      <c r="AI309" s="1"/>
      <c r="AJ309" s="1"/>
      <c r="AK309" s="1"/>
      <c r="AM309" s="1"/>
      <c r="AN309" s="1"/>
      <c r="AO309" s="1"/>
      <c r="AP309" s="1"/>
      <c r="AR309" s="1"/>
      <c r="AV309" s="64"/>
      <c r="AX309" s="1"/>
      <c r="BA309" s="64"/>
      <c r="BD309" s="1"/>
      <c r="BE309" s="179"/>
      <c r="BF309" s="179"/>
      <c r="BG309" s="179"/>
      <c r="BH309" s="179"/>
      <c r="BI309" s="1"/>
      <c r="BJ309" s="179"/>
      <c r="BK309" s="179"/>
    </row>
    <row r="310" spans="2:65" ht="15" x14ac:dyDescent="0.25">
      <c r="B310"/>
      <c r="D310" s="1"/>
      <c r="N310" s="1"/>
      <c r="O310" s="1"/>
      <c r="P310" s="1"/>
      <c r="R310" s="1"/>
      <c r="S310" s="1"/>
      <c r="AA310" s="1"/>
      <c r="AB310" s="1"/>
      <c r="AC310" s="1"/>
      <c r="AE310" s="1"/>
      <c r="AF310" s="1"/>
      <c r="AG310" s="1"/>
      <c r="AI310" s="1"/>
      <c r="AJ310" s="1"/>
      <c r="AK310" s="1"/>
      <c r="AM310" s="1"/>
      <c r="AN310" s="1"/>
      <c r="AO310" s="1"/>
      <c r="AP310" s="1"/>
      <c r="AR310" s="1"/>
      <c r="AV310" s="64"/>
      <c r="AX310" s="1"/>
      <c r="BA310" s="64"/>
      <c r="BD310" s="1"/>
      <c r="BE310" s="179"/>
      <c r="BF310" s="179"/>
      <c r="BG310" s="179"/>
      <c r="BH310" s="179"/>
      <c r="BI310" s="1"/>
      <c r="BJ310" s="179"/>
      <c r="BK310" s="179"/>
    </row>
    <row r="311" spans="2:65" ht="15" x14ac:dyDescent="0.25">
      <c r="B311" t="s">
        <v>577</v>
      </c>
      <c r="D311" s="55">
        <v>6430769.5092298407</v>
      </c>
      <c r="E311" s="166">
        <v>1956.0819792709287</v>
      </c>
      <c r="F311" s="171">
        <f>VLOOKUP(B311,'2020-21'!$B$12:$AMX519,33,FALSE)</f>
        <v>3.5841882311812734E-2</v>
      </c>
      <c r="G311" s="171">
        <f>VLOOKUP(B311,'2020-21'!$B$12:$AMX519,34,FALSE)</f>
        <v>3.3298840984364864E-2</v>
      </c>
      <c r="I311" s="175">
        <v>6234284.3386353701</v>
      </c>
      <c r="J311" s="175">
        <v>1896.3160211158142</v>
      </c>
      <c r="K311" s="171">
        <f t="shared" ref="K311:L323" si="96">D311/I311-1</f>
        <v>3.1516876664865023E-2</v>
      </c>
      <c r="L311" s="170">
        <f t="shared" si="96"/>
        <v>3.1516876664865023E-2</v>
      </c>
      <c r="N311" s="55">
        <v>5019093</v>
      </c>
      <c r="O311" s="55">
        <v>486400</v>
      </c>
      <c r="P311" s="55">
        <v>924874</v>
      </c>
      <c r="R311" s="55">
        <v>924874</v>
      </c>
      <c r="S311" s="55">
        <v>402.50922984117642</v>
      </c>
      <c r="U311" s="171">
        <v>4.066657590604672E-2</v>
      </c>
      <c r="V311" s="171">
        <v>1.3754673789708072E-2</v>
      </c>
      <c r="AA311" s="55">
        <v>0</v>
      </c>
      <c r="AB311" s="55">
        <v>0</v>
      </c>
      <c r="AC311" s="55">
        <v>402.50922984117642</v>
      </c>
      <c r="AE311" s="55">
        <v>0</v>
      </c>
      <c r="AF311" s="55">
        <v>0</v>
      </c>
      <c r="AG311" s="55">
        <v>402.50922984117642</v>
      </c>
      <c r="AI311" s="55">
        <v>367.6252243010793</v>
      </c>
      <c r="AJ311" s="55">
        <v>34.884005540097057</v>
      </c>
      <c r="AK311" s="55">
        <v>0</v>
      </c>
      <c r="AM311" s="55">
        <v>5019461</v>
      </c>
      <c r="AN311" s="55">
        <v>486435</v>
      </c>
      <c r="AO311" s="55">
        <v>924874</v>
      </c>
      <c r="AP311" s="55"/>
      <c r="AQ311" s="55">
        <v>6430770</v>
      </c>
      <c r="AR311" s="1"/>
      <c r="AS311" s="175">
        <v>1526.796628873286</v>
      </c>
      <c r="AT311" s="175">
        <v>147.96156761970593</v>
      </c>
      <c r="AU311" s="175">
        <v>281.32393205815356</v>
      </c>
      <c r="AV311" s="175"/>
      <c r="AW311" s="175">
        <v>1956.0821285511454</v>
      </c>
      <c r="AX311" s="1"/>
      <c r="AY311" s="171">
        <v>4.0742877600383531E-2</v>
      </c>
      <c r="AZ311" s="171">
        <v>1.3827620774869764E-2</v>
      </c>
      <c r="BA311" s="171">
        <v>-7.1389419273535371E-3</v>
      </c>
      <c r="BB311" s="171">
        <f t="shared" ref="BB311:BB323" si="97">SUM(AM311:AO311)/I311-1</f>
        <v>3.1516955386035272E-2</v>
      </c>
      <c r="BC311" s="171"/>
      <c r="BD311" s="1"/>
      <c r="BE311" s="179">
        <f>AM311/'2019-20 disagg'!AM311-1</f>
        <v>3.407349632246448E-2</v>
      </c>
      <c r="BF311" s="179">
        <f>AN311/'2019-20 disagg'!AN311-1</f>
        <v>3.5618100722794033E-2</v>
      </c>
      <c r="BG311" s="179">
        <f>AO311/'2019-20 disagg'!AO311-1</f>
        <v>4.5666225354246581E-2</v>
      </c>
      <c r="BH311" s="179">
        <f>AQ311/'2019-20 disagg'!AQ311-1</f>
        <v>3.5841961363049846E-2</v>
      </c>
      <c r="BI311" s="1"/>
      <c r="BJ311" s="179">
        <f>AS311/'2019-20 disagg'!AS311-1</f>
        <v>3.1534796467137749E-2</v>
      </c>
      <c r="BK311" s="179">
        <f>AT311/'2019-20 disagg'!AT311-1</f>
        <v>3.3075608789842503E-2</v>
      </c>
      <c r="BL311" s="179">
        <f>AU311/'2019-20 disagg'!AU311-1</f>
        <v>4.3099064795091069E-2</v>
      </c>
      <c r="BM311" s="179">
        <f>AW311/'2019-20 disagg'!AW311-1</f>
        <v>3.3298919841527441E-2</v>
      </c>
    </row>
    <row r="312" spans="2:65" ht="15" x14ac:dyDescent="0.25">
      <c r="B312" t="s">
        <v>578</v>
      </c>
      <c r="D312" s="55">
        <v>8754986.7353106793</v>
      </c>
      <c r="E312" s="166">
        <v>1910.0604576168682</v>
      </c>
      <c r="F312" s="171">
        <f>VLOOKUP(B312,'2020-21'!$B$12:$AMX520,33,FALSE)</f>
        <v>3.9274884802428245E-2</v>
      </c>
      <c r="G312" s="171">
        <f>VLOOKUP(B312,'2020-21'!$B$12:$AMX520,34,FALSE)</f>
        <v>3.4602082008007518E-2</v>
      </c>
      <c r="I312" s="175">
        <v>8743577.7254573982</v>
      </c>
      <c r="J312" s="175">
        <v>1907.5713734822891</v>
      </c>
      <c r="K312" s="171">
        <f t="shared" si="96"/>
        <v>1.3048445626626659E-3</v>
      </c>
      <c r="L312" s="170">
        <f t="shared" si="96"/>
        <v>1.3048445626626659E-3</v>
      </c>
      <c r="N312" s="55">
        <v>6528674</v>
      </c>
      <c r="O312" s="55">
        <v>665810</v>
      </c>
      <c r="P312" s="55">
        <v>1555226</v>
      </c>
      <c r="R312" s="55">
        <v>1555226</v>
      </c>
      <c r="S312" s="55">
        <v>5276.7353106800583</v>
      </c>
      <c r="U312" s="171">
        <v>-7.5227274186215887E-3</v>
      </c>
      <c r="V312" s="171">
        <v>-2.3947228451251745E-2</v>
      </c>
      <c r="AA312" s="55">
        <v>0</v>
      </c>
      <c r="AB312" s="55">
        <v>0</v>
      </c>
      <c r="AC312" s="55">
        <v>5276.7353106800583</v>
      </c>
      <c r="AE312" s="55">
        <v>0</v>
      </c>
      <c r="AF312" s="55">
        <v>0</v>
      </c>
      <c r="AG312" s="55">
        <v>5276.7353106800583</v>
      </c>
      <c r="AI312" s="55">
        <v>4756.4980692255631</v>
      </c>
      <c r="AJ312" s="55">
        <v>520.23724145449546</v>
      </c>
      <c r="AK312" s="55">
        <v>0</v>
      </c>
      <c r="AM312" s="55">
        <v>6533431</v>
      </c>
      <c r="AN312" s="55">
        <v>666331</v>
      </c>
      <c r="AO312" s="55">
        <v>1555226</v>
      </c>
      <c r="AP312" s="55"/>
      <c r="AQ312" s="55">
        <v>8754988</v>
      </c>
      <c r="AR312" s="1"/>
      <c r="AS312" s="175">
        <v>1425.3874486567565</v>
      </c>
      <c r="AT312" s="175">
        <v>145.37229275872127</v>
      </c>
      <c r="AU312" s="175">
        <v>339.30099211649326</v>
      </c>
      <c r="AV312" s="175"/>
      <c r="AW312" s="175">
        <v>1910.060733531971</v>
      </c>
      <c r="AX312" s="1"/>
      <c r="AY312" s="171">
        <v>-6.7995768392435929E-3</v>
      </c>
      <c r="AZ312" s="171">
        <v>-2.318346177010111E-2</v>
      </c>
      <c r="BA312" s="171">
        <v>4.8509946397843118E-2</v>
      </c>
      <c r="BB312" s="171">
        <f t="shared" si="97"/>
        <v>1.3049892047485301E-3</v>
      </c>
      <c r="BC312" s="171"/>
      <c r="BD312" s="1"/>
      <c r="BE312" s="179">
        <f>AM312/'2019-20 disagg'!AM312-1</f>
        <v>3.7203016437622916E-2</v>
      </c>
      <c r="BF312" s="179">
        <f>AN312/'2019-20 disagg'!AN312-1</f>
        <v>3.9629850951194534E-2</v>
      </c>
      <c r="BG312" s="179">
        <f>AO312/'2019-20 disagg'!AO312-1</f>
        <v>4.7916162718067978E-2</v>
      </c>
      <c r="BH312" s="179">
        <f>AQ312/'2019-20 disagg'!AQ312-1</f>
        <v>3.927503492942308E-2</v>
      </c>
      <c r="BI312" s="1"/>
      <c r="BJ312" s="179">
        <f>AS312/'2019-20 disagg'!AS312-1</f>
        <v>3.2539529207762152E-2</v>
      </c>
      <c r="BK312" s="179">
        <f>AT312/'2019-20 disagg'!AT312-1</f>
        <v>3.49554521528328E-2</v>
      </c>
      <c r="BL312" s="179">
        <f>AU312/'2019-20 disagg'!AU312-1</f>
        <v>4.3204506884685356E-2</v>
      </c>
      <c r="BM312" s="179">
        <f>AW312/'2019-20 disagg'!AW312-1</f>
        <v>3.4602231459999189E-2</v>
      </c>
    </row>
    <row r="313" spans="2:65" ht="15" x14ac:dyDescent="0.25">
      <c r="B313" t="s">
        <v>579</v>
      </c>
      <c r="D313" s="55">
        <v>5136306.1377819311</v>
      </c>
      <c r="E313" s="166">
        <v>1969.5497002066304</v>
      </c>
      <c r="F313" s="171">
        <f>VLOOKUP(B313,'2020-21'!$B$12:$AMX521,33,FALSE)</f>
        <v>3.6894181884933541E-2</v>
      </c>
      <c r="G313" s="171">
        <f>VLOOKUP(B313,'2020-21'!$B$12:$AMX521,34,FALSE)</f>
        <v>3.3944109913904619E-2</v>
      </c>
      <c r="I313" s="175">
        <v>5040342.0539227994</v>
      </c>
      <c r="J313" s="175">
        <v>1932.7516536094747</v>
      </c>
      <c r="K313" s="171">
        <f t="shared" si="96"/>
        <v>1.9039200679732637E-2</v>
      </c>
      <c r="L313" s="170">
        <f t="shared" si="96"/>
        <v>1.9039200679732637E-2</v>
      </c>
      <c r="N313" s="55">
        <v>3938823</v>
      </c>
      <c r="O313" s="55">
        <v>386162</v>
      </c>
      <c r="P313" s="55">
        <v>810360</v>
      </c>
      <c r="R313" s="55">
        <v>810360</v>
      </c>
      <c r="S313" s="55">
        <v>961.13778193155304</v>
      </c>
      <c r="U313" s="171">
        <v>1.2801949190163864E-2</v>
      </c>
      <c r="V313" s="171">
        <v>-2.4595996400146314E-3</v>
      </c>
      <c r="AA313" s="55">
        <v>0</v>
      </c>
      <c r="AB313" s="55">
        <v>0</v>
      </c>
      <c r="AC313" s="55">
        <v>961.13778193155304</v>
      </c>
      <c r="AE313" s="55">
        <v>0</v>
      </c>
      <c r="AF313" s="55">
        <v>0</v>
      </c>
      <c r="AG313" s="55">
        <v>961.13778193155304</v>
      </c>
      <c r="AI313" s="55">
        <v>873.85936852263694</v>
      </c>
      <c r="AJ313" s="55">
        <v>87.278413408916066</v>
      </c>
      <c r="AK313" s="55">
        <v>0</v>
      </c>
      <c r="AM313" s="55">
        <v>3939697</v>
      </c>
      <c r="AN313" s="55">
        <v>386249</v>
      </c>
      <c r="AO313" s="55">
        <v>810360</v>
      </c>
      <c r="AP313" s="55"/>
      <c r="AQ313" s="55">
        <v>5136306</v>
      </c>
      <c r="AR313" s="1"/>
      <c r="AS313" s="175">
        <v>1510.702212272301</v>
      </c>
      <c r="AT313" s="175">
        <v>148.10966904002109</v>
      </c>
      <c r="AU313" s="175">
        <v>310.73776606093867</v>
      </c>
      <c r="AV313" s="175"/>
      <c r="AW313" s="175">
        <v>1969.5496473732608</v>
      </c>
      <c r="AX313" s="1"/>
      <c r="AY313" s="171">
        <v>1.3026683559693053E-2</v>
      </c>
      <c r="AZ313" s="171">
        <v>-2.2348597255971159E-3</v>
      </c>
      <c r="BA313" s="171">
        <v>6.0413933709702494E-2</v>
      </c>
      <c r="BB313" s="171">
        <f t="shared" si="97"/>
        <v>1.9039173343903038E-2</v>
      </c>
      <c r="BC313" s="171"/>
      <c r="BD313" s="1"/>
      <c r="BE313" s="179">
        <f>AM313/'2019-20 disagg'!AM313-1</f>
        <v>3.5188881321444043E-2</v>
      </c>
      <c r="BF313" s="179">
        <f>AN313/'2019-20 disagg'!AN313-1</f>
        <v>3.5453482885819732E-2</v>
      </c>
      <c r="BG313" s="179">
        <f>AO313/'2019-20 disagg'!AO313-1</f>
        <v>4.5964564007181741E-2</v>
      </c>
      <c r="BH313" s="179">
        <f>AQ313/'2019-20 disagg'!AQ313-1</f>
        <v>3.6894154070142404E-2</v>
      </c>
      <c r="BI313" s="1"/>
      <c r="BJ313" s="179">
        <f>AS313/'2019-20 disagg'!AS313-1</f>
        <v>3.2243661108176225E-2</v>
      </c>
      <c r="BK313" s="179">
        <f>AT313/'2019-20 disagg'!AT313-1</f>
        <v>3.2507509853534788E-2</v>
      </c>
      <c r="BL313" s="179">
        <f>AU313/'2019-20 disagg'!AU313-1</f>
        <v>4.2988685854062902E-2</v>
      </c>
      <c r="BM313" s="179">
        <f>AW313/'2019-20 disagg'!AW313-1</f>
        <v>3.3944082178249291E-2</v>
      </c>
    </row>
    <row r="314" spans="2:65" ht="15" x14ac:dyDescent="0.25">
      <c r="B314" t="s">
        <v>580</v>
      </c>
      <c r="D314" s="55">
        <v>10400834.167941978</v>
      </c>
      <c r="E314" s="166">
        <v>1772.4005744999827</v>
      </c>
      <c r="F314" s="171">
        <f>VLOOKUP(B314,'2020-21'!$B$12:$AMX522,33,FALSE)</f>
        <v>3.7743409180835963E-2</v>
      </c>
      <c r="G314" s="171">
        <f>VLOOKUP(B314,'2020-21'!$B$12:$AMX522,34,FALSE)</f>
        <v>3.2919210358426598E-2</v>
      </c>
      <c r="I314" s="175">
        <v>10139783.378503162</v>
      </c>
      <c r="J314" s="175">
        <v>1727.9150494253547</v>
      </c>
      <c r="K314" s="171">
        <f t="shared" si="96"/>
        <v>2.574520378731715E-2</v>
      </c>
      <c r="L314" s="170">
        <f t="shared" si="96"/>
        <v>2.574520378731715E-2</v>
      </c>
      <c r="N314" s="55">
        <v>7953571</v>
      </c>
      <c r="O314" s="55">
        <v>835728</v>
      </c>
      <c r="P314" s="55">
        <v>1610576</v>
      </c>
      <c r="R314" s="55">
        <v>1610576</v>
      </c>
      <c r="S314" s="55">
        <v>959.16794197860872</v>
      </c>
      <c r="U314" s="171">
        <v>2.539569749664361E-2</v>
      </c>
      <c r="V314" s="171">
        <v>-6.4527234674083278E-4</v>
      </c>
      <c r="AA314" s="55">
        <v>822.33831637119874</v>
      </c>
      <c r="AB314" s="55">
        <v>0</v>
      </c>
      <c r="AC314" s="55">
        <v>136.82962560740998</v>
      </c>
      <c r="AE314" s="55">
        <v>0</v>
      </c>
      <c r="AF314" s="55">
        <v>0</v>
      </c>
      <c r="AG314" s="55">
        <v>136.82962560740998</v>
      </c>
      <c r="AI314" s="55">
        <v>124.30879997805934</v>
      </c>
      <c r="AJ314" s="55">
        <v>12.520825629350639</v>
      </c>
      <c r="AK314" s="55">
        <v>0</v>
      </c>
      <c r="AM314" s="55">
        <v>7954517</v>
      </c>
      <c r="AN314" s="55">
        <v>835741</v>
      </c>
      <c r="AO314" s="55">
        <v>1610576</v>
      </c>
      <c r="AP314" s="55"/>
      <c r="AQ314" s="55">
        <v>10400834</v>
      </c>
      <c r="AR314" s="1"/>
      <c r="AS314" s="175">
        <v>1355.5249774220349</v>
      </c>
      <c r="AT314" s="175">
        <v>142.41817575544422</v>
      </c>
      <c r="AU314" s="175">
        <v>274.45739270360116</v>
      </c>
      <c r="AV314" s="175"/>
      <c r="AW314" s="175">
        <v>1772.4005458810802</v>
      </c>
      <c r="AX314" s="1"/>
      <c r="AY314" s="171">
        <v>2.5517658352947281E-2</v>
      </c>
      <c r="AZ314" s="171">
        <v>-6.2972708385689025E-4</v>
      </c>
      <c r="BA314" s="171">
        <v>4.1144303149317274E-2</v>
      </c>
      <c r="BB314" s="171">
        <f t="shared" si="97"/>
        <v>2.5745187224638144E-2</v>
      </c>
      <c r="BC314" s="171"/>
      <c r="BD314" s="1"/>
      <c r="BE314" s="179">
        <f>AM314/'2019-20 disagg'!AM314-1</f>
        <v>3.5954694449042535E-2</v>
      </c>
      <c r="BF314" s="179">
        <f>AN314/'2019-20 disagg'!AN314-1</f>
        <v>3.5322114693742135E-2</v>
      </c>
      <c r="BG314" s="179">
        <f>AO314/'2019-20 disagg'!AO314-1</f>
        <v>4.7951694341783258E-2</v>
      </c>
      <c r="BH314" s="179">
        <f>AQ314/'2019-20 disagg'!AQ314-1</f>
        <v>3.7743392424422151E-2</v>
      </c>
      <c r="BI314" s="1"/>
      <c r="BJ314" s="179">
        <f>AS314/'2019-20 disagg'!AS314-1</f>
        <v>3.1138810895539049E-2</v>
      </c>
      <c r="BK314" s="179">
        <f>AT314/'2019-20 disagg'!AT314-1</f>
        <v>3.0509171838761784E-2</v>
      </c>
      <c r="BL314" s="179">
        <f>AU314/'2019-20 disagg'!AU314-1</f>
        <v>4.3080039860473596E-2</v>
      </c>
      <c r="BM314" s="179">
        <f>AW314/'2019-20 disagg'!AW314-1</f>
        <v>3.2919193679909142E-2</v>
      </c>
    </row>
    <row r="315" spans="2:65" ht="15" x14ac:dyDescent="0.25">
      <c r="B315" t="s">
        <v>581</v>
      </c>
      <c r="D315" s="55">
        <v>7960475.4965798976</v>
      </c>
      <c r="E315" s="166">
        <v>1752.373966039878</v>
      </c>
      <c r="F315" s="171">
        <f>VLOOKUP(B315,'2020-21'!$B$12:$AMX523,33,FALSE)</f>
        <v>4.0263570392090386E-2</v>
      </c>
      <c r="G315" s="171">
        <f>VLOOKUP(B315,'2020-21'!$B$12:$AMX523,34,FALSE)</f>
        <v>3.3970338056375837E-2</v>
      </c>
      <c r="I315" s="175">
        <v>8038491.1533137001</v>
      </c>
      <c r="J315" s="175">
        <v>1769.547890620458</v>
      </c>
      <c r="K315" s="171">
        <f t="shared" si="96"/>
        <v>-9.7052612543638839E-3</v>
      </c>
      <c r="L315" s="170">
        <f t="shared" si="96"/>
        <v>-9.7052612543638839E-3</v>
      </c>
      <c r="N315" s="55">
        <v>5879320</v>
      </c>
      <c r="O315" s="55">
        <v>648445</v>
      </c>
      <c r="P315" s="55">
        <v>1422737</v>
      </c>
      <c r="R315" s="55">
        <v>1422737</v>
      </c>
      <c r="S315" s="55">
        <v>9973.4965798975318</v>
      </c>
      <c r="U315" s="171">
        <v>-1.9234593777499587E-2</v>
      </c>
      <c r="V315" s="171">
        <v>-1.7504133874764238E-2</v>
      </c>
      <c r="AA315" s="55">
        <v>1789.4705523885204</v>
      </c>
      <c r="AB315" s="55">
        <v>0</v>
      </c>
      <c r="AC315" s="55">
        <v>8184.0260275090113</v>
      </c>
      <c r="AE315" s="55">
        <v>0</v>
      </c>
      <c r="AF315" s="55">
        <v>0</v>
      </c>
      <c r="AG315" s="55">
        <v>8184.0260275090113</v>
      </c>
      <c r="AI315" s="55">
        <v>7351.6710274487014</v>
      </c>
      <c r="AJ315" s="55">
        <v>832.35500006031043</v>
      </c>
      <c r="AK315" s="55">
        <v>0</v>
      </c>
      <c r="AM315" s="55">
        <v>5888460</v>
      </c>
      <c r="AN315" s="55">
        <v>649278</v>
      </c>
      <c r="AO315" s="55">
        <v>1422737</v>
      </c>
      <c r="AP315" s="55"/>
      <c r="AQ315" s="55">
        <v>7960475</v>
      </c>
      <c r="AR315" s="1"/>
      <c r="AS315" s="175">
        <v>1296.2522161522254</v>
      </c>
      <c r="AT315" s="175">
        <v>142.92837964406391</v>
      </c>
      <c r="AU315" s="175">
        <v>313.1932609293039</v>
      </c>
      <c r="AV315" s="175"/>
      <c r="AW315" s="175">
        <v>1752.3738567255932</v>
      </c>
      <c r="AX315" s="1"/>
      <c r="AY315" s="171">
        <v>-1.7709894354288491E-2</v>
      </c>
      <c r="AZ315" s="171">
        <v>-1.6242008241160288E-2</v>
      </c>
      <c r="BA315" s="171">
        <v>2.8086247027338196E-2</v>
      </c>
      <c r="BB315" s="171">
        <f t="shared" si="97"/>
        <v>-9.7053230296260118E-3</v>
      </c>
      <c r="BC315" s="171"/>
      <c r="BD315" s="1"/>
      <c r="BE315" s="179">
        <f>AM315/'2019-20 disagg'!AM315-1</f>
        <v>3.8075606124097217E-2</v>
      </c>
      <c r="BF315" s="179">
        <f>AN315/'2019-20 disagg'!AN315-1</f>
        <v>3.9981291555411858E-2</v>
      </c>
      <c r="BG315" s="179">
        <f>AO315/'2019-20 disagg'!AO315-1</f>
        <v>4.9548898249444973E-2</v>
      </c>
      <c r="BH315" s="179">
        <f>AQ315/'2019-20 disagg'!AQ315-1</f>
        <v>4.026350549973845E-2</v>
      </c>
      <c r="BI315" s="1"/>
      <c r="BJ315" s="179">
        <f>AS315/'2019-20 disagg'!AS315-1</f>
        <v>3.1795610210259451E-2</v>
      </c>
      <c r="BK315" s="179">
        <f>AT315/'2019-20 disagg'!AT315-1</f>
        <v>3.3689766908357122E-2</v>
      </c>
      <c r="BL315" s="179">
        <f>AU315/'2019-20 disagg'!AU315-1</f>
        <v>4.3199492913749582E-2</v>
      </c>
      <c r="BM315" s="179">
        <f>AW315/'2019-20 disagg'!AW315-1</f>
        <v>3.3970273556599873E-2</v>
      </c>
    </row>
    <row r="316" spans="2:65" ht="15" x14ac:dyDescent="0.25">
      <c r="B316" t="s">
        <v>582</v>
      </c>
      <c r="D316" s="55">
        <v>6602624.623924735</v>
      </c>
      <c r="E316" s="166">
        <v>1743.9795514599789</v>
      </c>
      <c r="F316" s="171">
        <f>VLOOKUP(B316,'2020-21'!$B$12:$AMX524,33,FALSE)</f>
        <v>3.8955186263286645E-2</v>
      </c>
      <c r="G316" s="171">
        <f>VLOOKUP(B316,'2020-21'!$B$12:$AMX524,34,FALSE)</f>
        <v>3.4137818591576607E-2</v>
      </c>
      <c r="I316" s="175">
        <v>6617480.6399693852</v>
      </c>
      <c r="J316" s="175">
        <v>1747.9035346747978</v>
      </c>
      <c r="K316" s="171">
        <f t="shared" si="96"/>
        <v>-2.2449655469969354E-3</v>
      </c>
      <c r="L316" s="170">
        <f t="shared" si="96"/>
        <v>-2.2449655469968244E-3</v>
      </c>
      <c r="N316" s="55">
        <v>5028013</v>
      </c>
      <c r="O316" s="55">
        <v>525373</v>
      </c>
      <c r="P316" s="55">
        <v>1044919</v>
      </c>
      <c r="R316" s="55">
        <v>1044919</v>
      </c>
      <c r="S316" s="55">
        <v>4319.6239247348276</v>
      </c>
      <c r="U316" s="171">
        <v>-1.991456576355688E-3</v>
      </c>
      <c r="V316" s="171">
        <v>3.8583434193266708E-3</v>
      </c>
      <c r="AA316" s="55">
        <v>3216.8108601538115</v>
      </c>
      <c r="AB316" s="55">
        <v>0</v>
      </c>
      <c r="AC316" s="55">
        <v>1102.8130645810161</v>
      </c>
      <c r="AE316" s="55">
        <v>0</v>
      </c>
      <c r="AF316" s="55">
        <v>0</v>
      </c>
      <c r="AG316" s="55">
        <v>1102.8130645810161</v>
      </c>
      <c r="AI316" s="55">
        <v>998.70737144896054</v>
      </c>
      <c r="AJ316" s="55">
        <v>104.10569313205561</v>
      </c>
      <c r="AK316" s="55">
        <v>0</v>
      </c>
      <c r="AM316" s="55">
        <v>5032229</v>
      </c>
      <c r="AN316" s="55">
        <v>525477</v>
      </c>
      <c r="AO316" s="55">
        <v>1044919</v>
      </c>
      <c r="AP316" s="55"/>
      <c r="AQ316" s="55">
        <v>6602625</v>
      </c>
      <c r="AR316" s="1"/>
      <c r="AS316" s="175">
        <v>1329.1842220536842</v>
      </c>
      <c r="AT316" s="175">
        <v>138.79649305548372</v>
      </c>
      <c r="AU316" s="175">
        <v>275.99893568518314</v>
      </c>
      <c r="AV316" s="175"/>
      <c r="AW316" s="175">
        <v>1743.9796507943511</v>
      </c>
      <c r="AX316" s="1"/>
      <c r="AY316" s="171">
        <v>-1.1546242095590298E-3</v>
      </c>
      <c r="AZ316" s="171">
        <v>4.0570617922075503E-3</v>
      </c>
      <c r="BA316" s="171">
        <v>-1.0569141770104817E-2</v>
      </c>
      <c r="BB316" s="171">
        <f t="shared" si="97"/>
        <v>-2.2449087164165826E-3</v>
      </c>
      <c r="BC316" s="171"/>
      <c r="BD316" s="1"/>
      <c r="BE316" s="179">
        <f>AM316/'2019-20 disagg'!AM316-1</f>
        <v>3.7178220413426111E-2</v>
      </c>
      <c r="BF316" s="179">
        <f>AN316/'2019-20 disagg'!AN316-1</f>
        <v>3.8584459092211754E-2</v>
      </c>
      <c r="BG316" s="179">
        <f>AO316/'2019-20 disagg'!AO316-1</f>
        <v>4.7788893780063679E-2</v>
      </c>
      <c r="BH316" s="179">
        <f>AQ316/'2019-20 disagg'!AQ316-1</f>
        <v>3.8955245440563724E-2</v>
      </c>
      <c r="BI316" s="1"/>
      <c r="BJ316" s="179">
        <f>AS316/'2019-20 disagg'!AS316-1</f>
        <v>3.2369092074800099E-2</v>
      </c>
      <c r="BK316" s="179">
        <f>AT316/'2019-20 disagg'!AT316-1</f>
        <v>3.3768810386933357E-2</v>
      </c>
      <c r="BL316" s="179">
        <f>AU316/'2019-20 disagg'!AU316-1</f>
        <v>4.293056648124427E-2</v>
      </c>
      <c r="BM316" s="179">
        <f>AW316/'2019-20 disagg'!AW316-1</f>
        <v>3.4137877494464064E-2</v>
      </c>
    </row>
    <row r="317" spans="2:65" ht="15" x14ac:dyDescent="0.25">
      <c r="B317" t="s">
        <v>583</v>
      </c>
      <c r="D317" s="55">
        <v>8194143.7591255754</v>
      </c>
      <c r="E317" s="166">
        <v>1637.6881279085874</v>
      </c>
      <c r="F317" s="171">
        <f>VLOOKUP(B317,'2020-21'!$B$12:$AMX525,33,FALSE)</f>
        <v>4.5253924911364152E-2</v>
      </c>
      <c r="G317" s="171">
        <f>VLOOKUP(B317,'2020-21'!$B$12:$AMX525,34,FALSE)</f>
        <v>3.6433342772430821E-2</v>
      </c>
      <c r="I317" s="175">
        <v>8358796.4502390306</v>
      </c>
      <c r="J317" s="175">
        <v>1670.5957464946543</v>
      </c>
      <c r="K317" s="171">
        <f t="shared" si="96"/>
        <v>-1.9698133827477871E-2</v>
      </c>
      <c r="L317" s="170">
        <f t="shared" si="96"/>
        <v>-1.9698133827477871E-2</v>
      </c>
      <c r="N317" s="55">
        <v>6197138</v>
      </c>
      <c r="O317" s="55">
        <v>668240</v>
      </c>
      <c r="P317" s="55">
        <v>1283207</v>
      </c>
      <c r="R317" s="55">
        <v>1283207</v>
      </c>
      <c r="S317" s="55">
        <v>45558.759125575772</v>
      </c>
      <c r="U317" s="171">
        <v>-1.653903319634098E-2</v>
      </c>
      <c r="V317" s="171">
        <v>-1.1577119239634448E-2</v>
      </c>
      <c r="AA317" s="55">
        <v>10565.917360611531</v>
      </c>
      <c r="AB317" s="55">
        <v>0</v>
      </c>
      <c r="AC317" s="55">
        <v>34992.841764964243</v>
      </c>
      <c r="AE317" s="55">
        <v>0</v>
      </c>
      <c r="AF317" s="55">
        <v>0</v>
      </c>
      <c r="AG317" s="55">
        <v>34992.841764964243</v>
      </c>
      <c r="AI317" s="55">
        <v>31632.175171489536</v>
      </c>
      <c r="AJ317" s="55">
        <v>3360.6665934747111</v>
      </c>
      <c r="AK317" s="55">
        <v>0</v>
      </c>
      <c r="AM317" s="55">
        <v>6239336</v>
      </c>
      <c r="AN317" s="55">
        <v>671601</v>
      </c>
      <c r="AO317" s="55">
        <v>1283207</v>
      </c>
      <c r="AP317" s="55"/>
      <c r="AQ317" s="55">
        <v>8194144</v>
      </c>
      <c r="AR317" s="1"/>
      <c r="AS317" s="175">
        <v>1246.9986851100914</v>
      </c>
      <c r="AT317" s="175">
        <v>134.22671321413409</v>
      </c>
      <c r="AU317" s="175">
        <v>256.46277772571716</v>
      </c>
      <c r="AV317" s="175"/>
      <c r="AW317" s="175">
        <v>1637.6881760499427</v>
      </c>
      <c r="AX317" s="1"/>
      <c r="AY317" s="171">
        <v>-9.8423796964219878E-3</v>
      </c>
      <c r="AZ317" s="171">
        <v>-6.6057177936935663E-3</v>
      </c>
      <c r="BA317" s="171">
        <v>-7.1064214383757762E-2</v>
      </c>
      <c r="BB317" s="171">
        <f t="shared" si="97"/>
        <v>-1.9698105010598987E-2</v>
      </c>
      <c r="BC317" s="171"/>
      <c r="BD317" s="1"/>
      <c r="BE317" s="179">
        <f>AM317/'2019-20 disagg'!AM317-1</f>
        <v>4.3659029748785994E-2</v>
      </c>
      <c r="BF317" s="179">
        <f>AN317/'2019-20 disagg'!AN317-1</f>
        <v>4.729506356117219E-2</v>
      </c>
      <c r="BG317" s="179">
        <f>AO317/'2019-20 disagg'!AO317-1</f>
        <v>5.1997858632000238E-2</v>
      </c>
      <c r="BH317" s="179">
        <f>AQ317/'2019-20 disagg'!AQ317-1</f>
        <v>4.5253955637568843E-2</v>
      </c>
      <c r="BI317" s="1"/>
      <c r="BJ317" s="179">
        <f>AS317/'2019-20 disagg'!AS317-1</f>
        <v>3.4851906448369441E-2</v>
      </c>
      <c r="BK317" s="179">
        <f>AT317/'2019-20 disagg'!AT317-1</f>
        <v>3.845725686972723E-2</v>
      </c>
      <c r="BL317" s="179">
        <f>AU317/'2019-20 disagg'!AU317-1</f>
        <v>4.3120366473496929E-2</v>
      </c>
      <c r="BM317" s="179">
        <f>AW317/'2019-20 disagg'!AW317-1</f>
        <v>3.6433373239346256E-2</v>
      </c>
    </row>
    <row r="318" spans="2:65" ht="15" x14ac:dyDescent="0.25">
      <c r="B318" t="s">
        <v>584</v>
      </c>
      <c r="D318" s="55">
        <v>7681835.6885335278</v>
      </c>
      <c r="E318" s="166">
        <v>1668.1433317937503</v>
      </c>
      <c r="F318" s="171">
        <f>VLOOKUP(B318,'2020-21'!$B$12:$AMX526,33,FALSE)</f>
        <v>4.3445973014286432E-2</v>
      </c>
      <c r="G318" s="171">
        <f>VLOOKUP(B318,'2020-21'!$B$12:$AMX526,34,FALSE)</f>
        <v>3.561437225307329E-2</v>
      </c>
      <c r="I318" s="175">
        <v>7827321.1112847477</v>
      </c>
      <c r="J318" s="175">
        <v>1699.7361108736129</v>
      </c>
      <c r="K318" s="171">
        <f t="shared" si="96"/>
        <v>-1.8586872913834096E-2</v>
      </c>
      <c r="L318" s="170">
        <f t="shared" si="96"/>
        <v>-1.8586872913834207E-2</v>
      </c>
      <c r="N318" s="55">
        <v>5888983</v>
      </c>
      <c r="O318" s="55">
        <v>650711</v>
      </c>
      <c r="P318" s="55">
        <v>1107089</v>
      </c>
      <c r="R318" s="55">
        <v>1107089</v>
      </c>
      <c r="S318" s="55">
        <v>35052.688533527777</v>
      </c>
      <c r="U318" s="171">
        <v>-4.627617350630997E-3</v>
      </c>
      <c r="V318" s="171">
        <v>2.959731218019801E-2</v>
      </c>
      <c r="AA318" s="55">
        <v>21075.757467757951</v>
      </c>
      <c r="AB318" s="55">
        <v>0</v>
      </c>
      <c r="AC318" s="55">
        <v>13976.931065769822</v>
      </c>
      <c r="AE318" s="55">
        <v>0</v>
      </c>
      <c r="AF318" s="55">
        <v>314.31843760513379</v>
      </c>
      <c r="AG318" s="55">
        <v>13662.612628164688</v>
      </c>
      <c r="AI318" s="55">
        <v>12374.991181626918</v>
      </c>
      <c r="AJ318" s="55">
        <v>1287.6214465377707</v>
      </c>
      <c r="AK318" s="55">
        <v>0</v>
      </c>
      <c r="AM318" s="55">
        <v>5922434</v>
      </c>
      <c r="AN318" s="55">
        <v>652313</v>
      </c>
      <c r="AO318" s="55">
        <v>1107089</v>
      </c>
      <c r="AP318" s="55"/>
      <c r="AQ318" s="55">
        <v>7681836</v>
      </c>
      <c r="AR318" s="1"/>
      <c r="AS318" s="175">
        <v>1286.0817629613464</v>
      </c>
      <c r="AT318" s="175">
        <v>141.65254573417025</v>
      </c>
      <c r="AU318" s="175">
        <v>240.40909073450445</v>
      </c>
      <c r="AV318" s="175"/>
      <c r="AW318" s="175">
        <v>1668.1433994300212</v>
      </c>
      <c r="AX318" s="1"/>
      <c r="AY318" s="171">
        <v>1.026364257399548E-3</v>
      </c>
      <c r="AZ318" s="171">
        <v>3.2132100886878456E-2</v>
      </c>
      <c r="BA318" s="171">
        <v>-0.13437942070925868</v>
      </c>
      <c r="BB318" s="171">
        <f t="shared" si="97"/>
        <v>-1.8586833121615465E-2</v>
      </c>
      <c r="BC318" s="171"/>
      <c r="BD318" s="1"/>
      <c r="BE318" s="179">
        <f>AM318/'2019-20 disagg'!AM318-1</f>
        <v>4.2488778048717313E-2</v>
      </c>
      <c r="BF318" s="179">
        <f>AN318/'2019-20 disagg'!AN318-1</f>
        <v>3.9429990056854436E-2</v>
      </c>
      <c r="BG318" s="179">
        <f>AO318/'2019-20 disagg'!AO318-1</f>
        <v>5.100126641642122E-2</v>
      </c>
      <c r="BH318" s="179">
        <f>AQ318/'2019-20 disagg'!AQ318-1</f>
        <v>4.3446015321678688E-2</v>
      </c>
      <c r="BI318" s="1"/>
      <c r="BJ318" s="179">
        <f>AS318/'2019-20 disagg'!AS318-1</f>
        <v>3.4664361529922916E-2</v>
      </c>
      <c r="BK318" s="179">
        <f>AT318/'2019-20 disagg'!AT318-1</f>
        <v>3.1628531321198805E-2</v>
      </c>
      <c r="BL318" s="179">
        <f>AU318/'2019-20 disagg'!AU318-1</f>
        <v>4.3112959277408436E-2</v>
      </c>
      <c r="BM318" s="179">
        <f>AW318/'2019-20 disagg'!AW318-1</f>
        <v>3.5614414242926884E-2</v>
      </c>
    </row>
    <row r="319" spans="2:65" ht="15" x14ac:dyDescent="0.25">
      <c r="B319" t="s">
        <v>516</v>
      </c>
      <c r="D319" s="55">
        <v>17247340.503598288</v>
      </c>
      <c r="E319" s="166">
        <v>1731.1454537845332</v>
      </c>
      <c r="F319" s="171">
        <f>VLOOKUP(B319,'2020-21'!$B$12:$AMX527,33,FALSE)</f>
        <v>4.3535986009396677E-2</v>
      </c>
      <c r="G319" s="171">
        <f>VLOOKUP(B319,'2020-21'!$B$12:$AMX527,34,FALSE)</f>
        <v>3.1843069683084479E-2</v>
      </c>
      <c r="I319" s="175">
        <v>17224111.340225853</v>
      </c>
      <c r="J319" s="175">
        <v>1728.8139024036684</v>
      </c>
      <c r="K319" s="171">
        <f t="shared" si="96"/>
        <v>1.3486421977650931E-3</v>
      </c>
      <c r="L319" s="170">
        <f t="shared" si="96"/>
        <v>1.3486421977653151E-3</v>
      </c>
      <c r="N319" s="55">
        <v>12346068</v>
      </c>
      <c r="O319" s="55">
        <v>1387029</v>
      </c>
      <c r="P319" s="55">
        <v>3449212</v>
      </c>
      <c r="R319" s="55">
        <v>3449212</v>
      </c>
      <c r="S319" s="55">
        <v>65031.503598285199</v>
      </c>
      <c r="U319" s="171">
        <v>1.9865899573459078E-3</v>
      </c>
      <c r="V319" s="171">
        <v>-3.7011800953791196E-2</v>
      </c>
      <c r="AA319" s="55">
        <v>1642.3256485750317</v>
      </c>
      <c r="AB319" s="55">
        <v>0</v>
      </c>
      <c r="AC319" s="55">
        <v>63389.177949710167</v>
      </c>
      <c r="AE319" s="55">
        <v>0</v>
      </c>
      <c r="AF319" s="55">
        <v>1861.8660535718677</v>
      </c>
      <c r="AG319" s="55">
        <v>61527.311896138301</v>
      </c>
      <c r="AI319" s="55">
        <v>55395.865956099449</v>
      </c>
      <c r="AJ319" s="55">
        <v>6131.4459400388432</v>
      </c>
      <c r="AK319" s="55">
        <v>0</v>
      </c>
      <c r="AM319" s="55">
        <v>12403107</v>
      </c>
      <c r="AN319" s="55">
        <v>1395023</v>
      </c>
      <c r="AO319" s="55">
        <v>3449212</v>
      </c>
      <c r="AP319" s="55"/>
      <c r="AQ319" s="55">
        <v>17247342</v>
      </c>
      <c r="AR319" s="1"/>
      <c r="AS319" s="175">
        <v>1244.9213425903856</v>
      </c>
      <c r="AT319" s="175">
        <v>140.02087590669561</v>
      </c>
      <c r="AU319" s="175">
        <v>346.20338548388474</v>
      </c>
      <c r="AV319" s="175"/>
      <c r="AW319" s="175">
        <v>1731.1456039809659</v>
      </c>
      <c r="AX319" s="1"/>
      <c r="AY319" s="171">
        <v>6.6157814622507249E-3</v>
      </c>
      <c r="AZ319" s="171">
        <v>-3.1461716807623108E-2</v>
      </c>
      <c r="BA319" s="171">
        <v>-3.7464124389128273E-3</v>
      </c>
      <c r="BB319" s="171">
        <f t="shared" si="97"/>
        <v>1.348729076076749E-3</v>
      </c>
      <c r="BC319" s="171"/>
      <c r="BD319" s="1"/>
      <c r="BE319" s="179">
        <f>AM319/'2019-20 disagg'!AM319-1</f>
        <v>3.945773676561215E-2</v>
      </c>
      <c r="BF319" s="179">
        <f>AN319/'2019-20 disagg'!AN319-1</f>
        <v>5.2229709649730172E-2</v>
      </c>
      <c r="BG319" s="179">
        <f>AO319/'2019-20 disagg'!AO319-1</f>
        <v>5.489425251007507E-2</v>
      </c>
      <c r="BH319" s="179">
        <f>AQ319/'2019-20 disagg'!AQ319-1</f>
        <v>4.3536076547937119E-2</v>
      </c>
      <c r="BI319" s="1"/>
      <c r="BJ319" s="179">
        <f>AS319/'2019-20 disagg'!AS319-1</f>
        <v>2.7810517595703521E-2</v>
      </c>
      <c r="BK319" s="179">
        <f>AT319/'2019-20 disagg'!AT319-1</f>
        <v>4.0439379353556459E-2</v>
      </c>
      <c r="BL319" s="179">
        <f>AU319/'2019-20 disagg'!AU319-1</f>
        <v>4.3074065767040093E-2</v>
      </c>
      <c r="BM319" s="179">
        <f>AW319/'2019-20 disagg'!AW319-1</f>
        <v>3.184315920713221E-2</v>
      </c>
    </row>
    <row r="320" spans="2:65" ht="15" x14ac:dyDescent="0.25">
      <c r="B320" t="s">
        <v>585</v>
      </c>
      <c r="D320" s="55">
        <v>8435839.4484366048</v>
      </c>
      <c r="E320" s="166">
        <v>1717.5383454492621</v>
      </c>
      <c r="F320" s="171">
        <f>VLOOKUP(B320,'2020-21'!$B$12:$AMX528,33,FALSE)</f>
        <v>4.2646286692967994E-2</v>
      </c>
      <c r="G320" s="171">
        <f>VLOOKUP(B320,'2020-21'!$B$12:$AMX528,34,FALSE)</f>
        <v>3.4266071699694312E-2</v>
      </c>
      <c r="I320" s="175">
        <v>8519325.0490620267</v>
      </c>
      <c r="J320" s="175">
        <v>1734.5360279257347</v>
      </c>
      <c r="K320" s="171">
        <f t="shared" si="96"/>
        <v>-9.7995557329525473E-3</v>
      </c>
      <c r="L320" s="170">
        <f t="shared" si="96"/>
        <v>-9.7995557329526584E-3</v>
      </c>
      <c r="N320" s="55">
        <v>6336318</v>
      </c>
      <c r="O320" s="55">
        <v>663368</v>
      </c>
      <c r="P320" s="55">
        <v>1411129</v>
      </c>
      <c r="R320" s="55">
        <v>1411129</v>
      </c>
      <c r="S320" s="55">
        <v>25024.448436604202</v>
      </c>
      <c r="U320" s="171">
        <v>-9.7935230303388687E-3</v>
      </c>
      <c r="V320" s="171">
        <v>-2.8397294766327019E-2</v>
      </c>
      <c r="AA320" s="55">
        <v>6153.1200472789351</v>
      </c>
      <c r="AB320" s="55">
        <v>0</v>
      </c>
      <c r="AC320" s="55">
        <v>18871.328389325266</v>
      </c>
      <c r="AE320" s="55">
        <v>0</v>
      </c>
      <c r="AF320" s="55">
        <v>0</v>
      </c>
      <c r="AG320" s="55">
        <v>18871.328389325266</v>
      </c>
      <c r="AI320" s="55">
        <v>17093.424397083785</v>
      </c>
      <c r="AJ320" s="55">
        <v>1777.9039922414811</v>
      </c>
      <c r="AK320" s="55">
        <v>0</v>
      </c>
      <c r="AM320" s="55">
        <v>6359564</v>
      </c>
      <c r="AN320" s="55">
        <v>665145</v>
      </c>
      <c r="AO320" s="55">
        <v>1411129</v>
      </c>
      <c r="AP320" s="55"/>
      <c r="AQ320" s="55">
        <v>8435838</v>
      </c>
      <c r="AR320" s="1"/>
      <c r="AS320" s="175">
        <v>1294.8083112656902</v>
      </c>
      <c r="AT320" s="175">
        <v>135.42363504743682</v>
      </c>
      <c r="AU320" s="175">
        <v>287.30610423419625</v>
      </c>
      <c r="AV320" s="175"/>
      <c r="AW320" s="175">
        <v>1717.5380505473233</v>
      </c>
      <c r="AX320" s="1"/>
      <c r="AY320" s="171">
        <v>-6.1607603180450221E-3</v>
      </c>
      <c r="AZ320" s="171">
        <v>-2.57946096696684E-2</v>
      </c>
      <c r="BA320" s="171">
        <v>-1.8401030769879978E-2</v>
      </c>
      <c r="BB320" s="171">
        <f t="shared" si="97"/>
        <v>-9.7997257507176361E-3</v>
      </c>
      <c r="BC320" s="171"/>
      <c r="BD320" s="1"/>
      <c r="BE320" s="179">
        <f>AM320/'2019-20 disagg'!AM320-1</f>
        <v>4.0380491266666763E-2</v>
      </c>
      <c r="BF320" s="179">
        <f>AN320/'2019-20 disagg'!AN320-1</f>
        <v>4.566270344710488E-2</v>
      </c>
      <c r="BG320" s="179">
        <f>AO320/'2019-20 disagg'!AO320-1</f>
        <v>5.1536212833530382E-2</v>
      </c>
      <c r="BH320" s="179">
        <f>AQ320/'2019-20 disagg'!AQ320-1</f>
        <v>4.2646107670233135E-2</v>
      </c>
      <c r="BI320" s="1"/>
      <c r="BJ320" s="179">
        <f>AS320/'2019-20 disagg'!AS320-1</f>
        <v>3.2018487485618641E-2</v>
      </c>
      <c r="BK320" s="179">
        <f>AT320/'2019-20 disagg'!AT320-1</f>
        <v>3.7258244161944898E-2</v>
      </c>
      <c r="BL320" s="179">
        <f>AU320/'2019-20 disagg'!AU320-1</f>
        <v>4.308454552389307E-2</v>
      </c>
      <c r="BM320" s="179">
        <f>AW320/'2019-20 disagg'!AW320-1</f>
        <v>3.4265894115845574E-2</v>
      </c>
    </row>
    <row r="321" spans="2:65" ht="15" x14ac:dyDescent="0.25">
      <c r="B321" t="s">
        <v>586</v>
      </c>
      <c r="D321" s="55">
        <v>6156925.1572936075</v>
      </c>
      <c r="E321" s="166">
        <v>1569.6678774558845</v>
      </c>
      <c r="F321" s="171">
        <f>VLOOKUP(B321,'2020-21'!$B$12:$AMX529,33,FALSE)</f>
        <v>4.1489078067737273E-2</v>
      </c>
      <c r="G321" s="171">
        <f>VLOOKUP(B321,'2020-21'!$B$12:$AMX529,34,FALSE)</f>
        <v>3.4373246933594004E-2</v>
      </c>
      <c r="I321" s="175">
        <v>6240130.9236175241</v>
      </c>
      <c r="J321" s="175">
        <v>1590.8806444265915</v>
      </c>
      <c r="K321" s="171">
        <f t="shared" si="96"/>
        <v>-1.3333977658866236E-2</v>
      </c>
      <c r="L321" s="170">
        <f t="shared" si="96"/>
        <v>-1.3333977658866236E-2</v>
      </c>
      <c r="N321" s="55">
        <v>4581106</v>
      </c>
      <c r="O321" s="55">
        <v>520395</v>
      </c>
      <c r="P321" s="55">
        <v>1044630</v>
      </c>
      <c r="R321" s="55">
        <v>1044630</v>
      </c>
      <c r="S321" s="55">
        <v>10794.157293607917</v>
      </c>
      <c r="U321" s="171">
        <v>-2.8169557570522974E-2</v>
      </c>
      <c r="V321" s="171">
        <v>-8.9910529493053559E-3</v>
      </c>
      <c r="AA321" s="55">
        <v>934.25154022377683</v>
      </c>
      <c r="AB321" s="55">
        <v>0</v>
      </c>
      <c r="AC321" s="55">
        <v>9859.9057533841406</v>
      </c>
      <c r="AE321" s="55">
        <v>0</v>
      </c>
      <c r="AF321" s="55">
        <v>0</v>
      </c>
      <c r="AG321" s="55">
        <v>9859.9057533841406</v>
      </c>
      <c r="AI321" s="55">
        <v>8886.1505614559155</v>
      </c>
      <c r="AJ321" s="55">
        <v>973.75519192822549</v>
      </c>
      <c r="AK321" s="55">
        <v>0</v>
      </c>
      <c r="AM321" s="55">
        <v>4590928</v>
      </c>
      <c r="AN321" s="55">
        <v>521370</v>
      </c>
      <c r="AO321" s="55">
        <v>1044630</v>
      </c>
      <c r="AP321" s="55"/>
      <c r="AQ321" s="55">
        <v>6156928</v>
      </c>
      <c r="AR321" s="1"/>
      <c r="AS321" s="175">
        <v>1170.4271247760992</v>
      </c>
      <c r="AT321" s="175">
        <v>132.91987808227765</v>
      </c>
      <c r="AU321" s="175">
        <v>266.32159932694577</v>
      </c>
      <c r="AV321" s="175"/>
      <c r="AW321" s="175">
        <v>1569.6686021853225</v>
      </c>
      <c r="AX321" s="1"/>
      <c r="AY321" s="171">
        <v>-2.6085930034826954E-2</v>
      </c>
      <c r="AZ321" s="171">
        <v>-7.1343215753021383E-3</v>
      </c>
      <c r="BA321" s="171">
        <v>4.346105506695408E-2</v>
      </c>
      <c r="BB321" s="171">
        <f t="shared" si="97"/>
        <v>-1.3333522106502516E-2</v>
      </c>
      <c r="BC321" s="171"/>
      <c r="BD321" s="1"/>
      <c r="BE321" s="179">
        <f>AM321/'2019-20 disagg'!AM321-1</f>
        <v>3.928660039516596E-2</v>
      </c>
      <c r="BF321" s="179">
        <f>AN321/'2019-20 disagg'!AN321-1</f>
        <v>4.3549794640641126E-2</v>
      </c>
      <c r="BG321" s="179">
        <f>AO321/'2019-20 disagg'!AO321-1</f>
        <v>5.0238272374479642E-2</v>
      </c>
      <c r="BH321" s="179">
        <f>AQ321/'2019-20 disagg'!AQ321-1</f>
        <v>4.1489558932387149E-2</v>
      </c>
      <c r="BI321" s="1"/>
      <c r="BJ321" s="179">
        <f>AS321/'2019-20 disagg'!AS321-1</f>
        <v>3.2185817387330173E-2</v>
      </c>
      <c r="BK321" s="179">
        <f>AT321/'2019-20 disagg'!AT321-1</f>
        <v>3.6419883943440423E-2</v>
      </c>
      <c r="BL321" s="179">
        <f>AU321/'2019-20 disagg'!AU321-1</f>
        <v>4.3062663571460602E-2</v>
      </c>
      <c r="BM321" s="179">
        <f>AW321/'2019-20 disagg'!AW321-1</f>
        <v>3.4373724512802184E-2</v>
      </c>
    </row>
    <row r="322" spans="2:65" ht="15" x14ac:dyDescent="0.25">
      <c r="B322" t="s">
        <v>537</v>
      </c>
      <c r="D322" s="55">
        <v>4977071.5384098822</v>
      </c>
      <c r="E322" s="166">
        <v>1700.9973392048601</v>
      </c>
      <c r="F322" s="171">
        <f>VLOOKUP(B322,'2020-21'!$B$12:$AMX530,33,FALSE)</f>
        <v>3.9950391174084832E-2</v>
      </c>
      <c r="G322" s="171">
        <f>VLOOKUP(B322,'2020-21'!$B$12:$AMX530,34,FALSE)</f>
        <v>3.3772129617705371E-2</v>
      </c>
      <c r="I322" s="175">
        <v>5002520.8679429255</v>
      </c>
      <c r="J322" s="175">
        <v>1709.6950726985772</v>
      </c>
      <c r="K322" s="171">
        <f t="shared" si="96"/>
        <v>-5.0873010237952876E-3</v>
      </c>
      <c r="L322" s="170">
        <f t="shared" si="96"/>
        <v>-5.0873010237951766E-3</v>
      </c>
      <c r="N322" s="55">
        <v>3771648</v>
      </c>
      <c r="O322" s="55">
        <v>400407</v>
      </c>
      <c r="P322" s="55">
        <v>800386</v>
      </c>
      <c r="R322" s="55">
        <v>800386</v>
      </c>
      <c r="S322" s="55">
        <v>4630.5384098821669</v>
      </c>
      <c r="U322" s="171">
        <v>-2.0798170055213339E-2</v>
      </c>
      <c r="V322" s="171">
        <v>-1.5554635626405577E-2</v>
      </c>
      <c r="AA322" s="55">
        <v>858.20068107696716</v>
      </c>
      <c r="AB322" s="55">
        <v>0</v>
      </c>
      <c r="AC322" s="55">
        <v>3772.3377288051997</v>
      </c>
      <c r="AE322" s="55">
        <v>0</v>
      </c>
      <c r="AF322" s="55">
        <v>0</v>
      </c>
      <c r="AG322" s="55">
        <v>3772.3377288051997</v>
      </c>
      <c r="AI322" s="55">
        <v>3408.8654108369919</v>
      </c>
      <c r="AJ322" s="55">
        <v>363.47231796820813</v>
      </c>
      <c r="AK322" s="55">
        <v>0</v>
      </c>
      <c r="AM322" s="55">
        <v>3775914</v>
      </c>
      <c r="AN322" s="55">
        <v>400771</v>
      </c>
      <c r="AO322" s="55">
        <v>800386</v>
      </c>
      <c r="AP322" s="55"/>
      <c r="AQ322" s="55">
        <v>4977071</v>
      </c>
      <c r="AR322" s="1"/>
      <c r="AS322" s="175">
        <v>1290.4816853644015</v>
      </c>
      <c r="AT322" s="175">
        <v>136.97018404687623</v>
      </c>
      <c r="AU322" s="175">
        <v>273.54528578301091</v>
      </c>
      <c r="AV322" s="175"/>
      <c r="AW322" s="175">
        <v>1700.9971551942888</v>
      </c>
      <c r="AX322" s="1"/>
      <c r="AY322" s="171">
        <v>-1.9690623697084297E-2</v>
      </c>
      <c r="AZ322" s="171">
        <v>-1.4659700940868103E-2</v>
      </c>
      <c r="BA322" s="171">
        <v>7.5744593847574038E-2</v>
      </c>
      <c r="BB322" s="171">
        <f t="shared" si="97"/>
        <v>-5.0874086515086958E-3</v>
      </c>
      <c r="BC322" s="171"/>
      <c r="BD322" s="1"/>
      <c r="BE322" s="179">
        <f>AM322/'2019-20 disagg'!AM322-1</f>
        <v>3.7811443286133173E-2</v>
      </c>
      <c r="BF322" s="179">
        <f>AN322/'2019-20 disagg'!AN322-1</f>
        <v>4.1618367909179277E-2</v>
      </c>
      <c r="BG322" s="179">
        <f>AO322/'2019-20 disagg'!AO322-1</f>
        <v>4.9310869682067882E-2</v>
      </c>
      <c r="BH322" s="179">
        <f>AQ322/'2019-20 disagg'!AQ322-1</f>
        <v>3.9950278674281803E-2</v>
      </c>
      <c r="BI322" s="1"/>
      <c r="BJ322" s="179">
        <f>AS322/'2019-20 disagg'!AS322-1</f>
        <v>3.1645889046967524E-2</v>
      </c>
      <c r="BK322" s="179">
        <f>AT322/'2019-20 disagg'!AT322-1</f>
        <v>3.5430197037291222E-2</v>
      </c>
      <c r="BL322" s="179">
        <f>AU322/'2019-20 disagg'!AU322-1</f>
        <v>4.307699827640521E-2</v>
      </c>
      <c r="BM322" s="179">
        <f>AW322/'2019-20 disagg'!AW322-1</f>
        <v>3.3772017786254604E-2</v>
      </c>
    </row>
    <row r="323" spans="2:65" ht="15" x14ac:dyDescent="0.25">
      <c r="B323" t="s">
        <v>587</v>
      </c>
      <c r="D323" s="55">
        <v>5929589.8897110401</v>
      </c>
      <c r="E323" s="166">
        <v>1746.5822552933992</v>
      </c>
      <c r="F323" s="171">
        <f>VLOOKUP(B323,'2020-21'!$B$12:$AMX531,33,FALSE)</f>
        <v>3.9355724855455687E-2</v>
      </c>
      <c r="G323" s="171">
        <f>VLOOKUP(B323,'2020-21'!$B$12:$AMX531,34,FALSE)</f>
        <v>3.2310742878498777E-2</v>
      </c>
      <c r="I323" s="175">
        <v>5922589.0035783434</v>
      </c>
      <c r="J323" s="175">
        <v>1744.5201188357134</v>
      </c>
      <c r="K323" s="171">
        <f t="shared" si="96"/>
        <v>1.1820651624596668E-3</v>
      </c>
      <c r="L323" s="170">
        <f t="shared" si="96"/>
        <v>1.1820651624596668E-3</v>
      </c>
      <c r="N323" s="55">
        <v>4478044</v>
      </c>
      <c r="O323" s="55">
        <v>481532</v>
      </c>
      <c r="P323" s="55">
        <v>967300</v>
      </c>
      <c r="R323" s="55">
        <v>967300</v>
      </c>
      <c r="S323" s="55">
        <v>2713.8897110403632</v>
      </c>
      <c r="U323" s="171">
        <v>-2.3098188698419397E-3</v>
      </c>
      <c r="V323" s="171">
        <v>1.9970863796294758E-2</v>
      </c>
      <c r="AA323" s="55">
        <v>2713.8897110403632</v>
      </c>
      <c r="AB323" s="55">
        <v>0</v>
      </c>
      <c r="AC323" s="55">
        <v>0</v>
      </c>
      <c r="AE323" s="55">
        <v>0</v>
      </c>
      <c r="AF323" s="55">
        <v>0</v>
      </c>
      <c r="AG323" s="55">
        <v>0</v>
      </c>
      <c r="AI323" s="55">
        <v>0</v>
      </c>
      <c r="AJ323" s="55">
        <v>0</v>
      </c>
      <c r="AK323" s="55">
        <v>0</v>
      </c>
      <c r="AM323" s="55">
        <v>4480758</v>
      </c>
      <c r="AN323" s="55">
        <v>481532</v>
      </c>
      <c r="AO323" s="55">
        <v>967300</v>
      </c>
      <c r="AP323" s="55"/>
      <c r="AQ323" s="55">
        <v>5929590</v>
      </c>
      <c r="AR323" s="1"/>
      <c r="AS323" s="175">
        <v>1319.8235558657357</v>
      </c>
      <c r="AT323" s="175">
        <v>141.83700090545827</v>
      </c>
      <c r="AU323" s="175">
        <v>284.92173100821918</v>
      </c>
      <c r="AV323" s="175"/>
      <c r="AW323" s="175">
        <v>1746.582287779413</v>
      </c>
      <c r="AX323" s="1"/>
      <c r="AY323" s="171">
        <v>-1.7051505924451371E-3</v>
      </c>
      <c r="AZ323" s="171">
        <v>1.9970863796294758E-2</v>
      </c>
      <c r="BA323" s="171">
        <v>5.4321143730782229E-3</v>
      </c>
      <c r="BB323" s="171">
        <f t="shared" si="97"/>
        <v>1.1820837842075882E-3</v>
      </c>
      <c r="BC323" s="171"/>
      <c r="BD323" s="1"/>
      <c r="BE323" s="179">
        <f>AM323/'2019-20 disagg'!AM323-1</f>
        <v>3.7075183563657799E-2</v>
      </c>
      <c r="BF323" s="179">
        <f>AN323/'2019-20 disagg'!AN323-1</f>
        <v>3.8937613946513849E-2</v>
      </c>
      <c r="BG323" s="179">
        <f>AO323/'2019-20 disagg'!AO323-1</f>
        <v>5.0264601967848099E-2</v>
      </c>
      <c r="BH323" s="179">
        <f>AQ323/'2019-20 disagg'!AQ323-1</f>
        <v>3.9355744187224539E-2</v>
      </c>
      <c r="BI323" s="1"/>
      <c r="BJ323" s="179">
        <f>AS323/'2019-20 disagg'!AS323-1</f>
        <v>3.0045659597768948E-2</v>
      </c>
      <c r="BK323" s="179">
        <f>AT323/'2019-20 disagg'!AT323-1</f>
        <v>3.1895466017368701E-2</v>
      </c>
      <c r="BL323" s="179">
        <f>AU323/'2019-20 disagg'!AU323-1</f>
        <v>4.314567721960727E-2</v>
      </c>
      <c r="BM323" s="179">
        <f>AW323/'2019-20 disagg'!AW323-1</f>
        <v>3.2310762079232669E-2</v>
      </c>
    </row>
    <row r="324" spans="2:65" ht="15" x14ac:dyDescent="0.25">
      <c r="B324"/>
      <c r="D324" s="1"/>
      <c r="N324" s="1"/>
      <c r="O324" s="1"/>
      <c r="P324" s="1"/>
      <c r="R324" s="1"/>
      <c r="S324" s="1"/>
      <c r="AA324" s="1"/>
      <c r="AB324" s="1"/>
      <c r="AC324" s="1"/>
      <c r="AE324" s="1"/>
      <c r="AF324" s="1"/>
      <c r="AG324" s="1"/>
      <c r="AI324" s="1"/>
      <c r="AJ324" s="1"/>
      <c r="AK324" s="1"/>
      <c r="AM324" s="1"/>
      <c r="AN324" s="1"/>
      <c r="AO324" s="1"/>
      <c r="AP324" s="1"/>
      <c r="AR324" s="1"/>
      <c r="AV324" s="64"/>
      <c r="AX324" s="1"/>
      <c r="BA324" s="64"/>
      <c r="BD324" s="1"/>
      <c r="BE324" s="179"/>
      <c r="BF324" s="179"/>
      <c r="BG324" s="179"/>
      <c r="BH324" s="179"/>
      <c r="BI324" s="1"/>
      <c r="BJ324" s="179"/>
      <c r="BK324" s="179"/>
    </row>
    <row r="325" spans="2:65" ht="15" x14ac:dyDescent="0.25">
      <c r="B325" t="s">
        <v>12</v>
      </c>
      <c r="D325" s="172">
        <f>SUM(D311:D323)</f>
        <v>103908742.65587759</v>
      </c>
      <c r="E325" s="166">
        <v>1749.2365693703009</v>
      </c>
      <c r="F325" s="171">
        <f>VLOOKUP(B325,'2020-21'!$B$12:$AMX533,33,FALSE)</f>
        <v>4.0768757263071498E-2</v>
      </c>
      <c r="G325" s="171">
        <f>VLOOKUP(B325,'2020-21'!$B$12:$AMX533,34,FALSE)</f>
        <v>3.3699018448002604E-2</v>
      </c>
      <c r="I325" s="175">
        <f>SUM(I311:I323)</f>
        <v>103908754.03575228</v>
      </c>
      <c r="J325" s="175">
        <v>1749.2367609431412</v>
      </c>
      <c r="K325" s="171">
        <f t="shared" ref="K325:L325" si="98">D325/I325-1</f>
        <v>-1.0951795925695507E-7</v>
      </c>
      <c r="L325" s="170">
        <f t="shared" si="98"/>
        <v>-1.0951795925695507E-7</v>
      </c>
      <c r="N325" s="172">
        <f>SUM(N311:N323)</f>
        <v>77946799</v>
      </c>
      <c r="O325" s="172">
        <f>SUM(O311:O323)</f>
        <v>8319600</v>
      </c>
      <c r="P325" s="172">
        <f>SUM(P311:P323)</f>
        <v>17431645</v>
      </c>
      <c r="R325" s="172">
        <f>SUM(R311:R323)</f>
        <v>17431645</v>
      </c>
      <c r="S325" s="172">
        <f>SUM(S311:S323)</f>
        <v>210698.65587758715</v>
      </c>
      <c r="U325" s="171">
        <v>-1.6007244969382661E-3</v>
      </c>
      <c r="V325" s="171">
        <v>-1.0019276993740722E-2</v>
      </c>
      <c r="AA325" s="172">
        <f>SUM(AA311:AA323)</f>
        <v>49772.082185478081</v>
      </c>
      <c r="AB325" s="172">
        <f>SUM(AB311:AB323)</f>
        <v>0</v>
      </c>
      <c r="AC325" s="172">
        <f>SUM(AC311:AC323)</f>
        <v>160926.57369210906</v>
      </c>
      <c r="AE325" s="172">
        <f>SUM(AE311:AE323)</f>
        <v>0</v>
      </c>
      <c r="AF325" s="172">
        <f>SUM(AF311:AF323)</f>
        <v>2176.1844911770013</v>
      </c>
      <c r="AG325" s="172">
        <f>SUM(AG311:AG323)</f>
        <v>158750.38920093206</v>
      </c>
      <c r="AI325" s="172">
        <f>SUM(AI311:AI323)</f>
        <v>143264.1425395176</v>
      </c>
      <c r="AJ325" s="172">
        <f>SUM(AJ311:AJ323)</f>
        <v>15486.246661414463</v>
      </c>
      <c r="AK325" s="172">
        <f>SUM(AK311:AK323)</f>
        <v>0</v>
      </c>
      <c r="AM325" s="172">
        <f>SUM(AM311:AM323)</f>
        <v>78139836</v>
      </c>
      <c r="AN325" s="172">
        <f>SUM(AN311:AN323)</f>
        <v>8337266</v>
      </c>
      <c r="AO325" s="172">
        <f>SUM(AO311:AO323)</f>
        <v>17431645</v>
      </c>
      <c r="AP325" s="172"/>
      <c r="AQ325" s="172">
        <f>SUM(AQ311:AQ323)</f>
        <v>103908747</v>
      </c>
      <c r="AR325" s="1"/>
      <c r="AS325" s="175">
        <v>1315.4336696043772</v>
      </c>
      <c r="AT325" s="175">
        <v>140.35248818346389</v>
      </c>
      <c r="AU325" s="175">
        <v>293.45048471295479</v>
      </c>
      <c r="AV325" s="175"/>
      <c r="AW325" s="175">
        <v>1749.2366425007958</v>
      </c>
      <c r="AX325" s="1"/>
      <c r="AY325" s="171">
        <v>8.7183375327648527E-4</v>
      </c>
      <c r="AZ325" s="171">
        <v>-7.9171327256715163E-3</v>
      </c>
      <c r="BA325" s="171">
        <v>-8.8259287163161559E-5</v>
      </c>
      <c r="BB325" s="171">
        <f t="shared" ref="BB325" si="99">SUM(AM325:AO325)/I325-1</f>
        <v>-6.7710871354265123E-8</v>
      </c>
      <c r="BC325" s="171"/>
      <c r="BD325" s="1"/>
      <c r="BE325" s="179">
        <f>AM325/'2019-20 disagg'!AM325-1</f>
        <v>3.8508201500837558E-2</v>
      </c>
      <c r="BF325" s="179">
        <f>AN325/'2019-20 disagg'!AN325-1</f>
        <v>4.2193163470976236E-2</v>
      </c>
      <c r="BG325" s="179">
        <f>AO325/'2019-20 disagg'!AO325-1</f>
        <v>5.0331055039022576E-2</v>
      </c>
      <c r="BH325" s="179">
        <f>AQ325/'2019-20 disagg'!AQ325-1</f>
        <v>4.0768800774587222E-2</v>
      </c>
      <c r="BI325" s="1"/>
      <c r="BJ325" s="179">
        <f>AS325/'2019-20 disagg'!AS325-1</f>
        <v>3.1453818199377537E-2</v>
      </c>
      <c r="BK325" s="179">
        <f>AT325/'2019-20 disagg'!AT325-1</f>
        <v>3.5113748942848133E-2</v>
      </c>
      <c r="BL325" s="179">
        <f>AU325/'2019-20 disagg'!AU325-1</f>
        <v>4.3196361403513572E-2</v>
      </c>
      <c r="BM325" s="179">
        <f>AW325/'2019-20 disagg'!AW325-1</f>
        <v>3.36990616639532E-2</v>
      </c>
    </row>
  </sheetData>
  <mergeCells count="9">
    <mergeCell ref="AS6:AW7"/>
    <mergeCell ref="AY6:BC7"/>
    <mergeCell ref="BE6:BH7"/>
    <mergeCell ref="BJ6:BM7"/>
    <mergeCell ref="I9:L9"/>
    <mergeCell ref="AA6:AC7"/>
    <mergeCell ref="AE6:AG7"/>
    <mergeCell ref="AI6:AK7"/>
    <mergeCell ref="AM6:AQ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53"/>
  <sheetViews>
    <sheetView workbookViewId="0"/>
  </sheetViews>
  <sheetFormatPr defaultRowHeight="12.75" x14ac:dyDescent="0.2"/>
  <cols>
    <col min="1" max="4" width="9.140625" style="156"/>
    <col min="5" max="5" width="12.28515625" style="156" bestFit="1" customWidth="1"/>
    <col min="6" max="6" width="11" style="156" bestFit="1" customWidth="1"/>
    <col min="7" max="7" width="9.140625" style="156"/>
    <col min="8" max="8" width="6" style="156" customWidth="1"/>
    <col min="9" max="11" width="9.140625" style="156"/>
    <col min="12" max="12" width="12.28515625" style="156" bestFit="1" customWidth="1"/>
    <col min="13" max="13" width="11" style="156" bestFit="1" customWidth="1"/>
    <col min="14" max="14" width="9.140625" style="156"/>
    <col min="15" max="15" width="6" style="156" customWidth="1"/>
    <col min="16" max="18" width="9.140625" style="156"/>
    <col min="19" max="19" width="12.28515625" style="156" bestFit="1" customWidth="1"/>
    <col min="20" max="20" width="11" style="156" bestFit="1" customWidth="1"/>
    <col min="21" max="16384" width="9.140625" style="156"/>
  </cols>
  <sheetData>
    <row r="1" spans="1:21" x14ac:dyDescent="0.2">
      <c r="A1" s="321" t="s">
        <v>616</v>
      </c>
    </row>
    <row r="2" spans="1:21" x14ac:dyDescent="0.2">
      <c r="A2" s="279" t="s">
        <v>949</v>
      </c>
      <c r="B2" s="280"/>
      <c r="C2" s="280"/>
      <c r="D2" s="229"/>
      <c r="I2" s="280"/>
      <c r="J2" s="280"/>
      <c r="P2" s="280"/>
      <c r="Q2" s="280"/>
    </row>
    <row r="3" spans="1:21" ht="13.5" thickBot="1" x14ac:dyDescent="0.25">
      <c r="A3" s="354" t="s">
        <v>954</v>
      </c>
      <c r="B3" s="280"/>
      <c r="C3" s="280"/>
      <c r="I3" s="280"/>
      <c r="J3" s="280"/>
      <c r="P3" s="280"/>
      <c r="Q3" s="280"/>
    </row>
    <row r="4" spans="1:21" s="281" customFormat="1" ht="25.5" x14ac:dyDescent="0.2">
      <c r="B4" s="381" t="s">
        <v>620</v>
      </c>
      <c r="C4" s="382"/>
      <c r="D4" s="282" t="s">
        <v>621</v>
      </c>
      <c r="E4" s="282" t="s">
        <v>622</v>
      </c>
      <c r="F4" s="282" t="s">
        <v>601</v>
      </c>
      <c r="G4" s="283" t="s">
        <v>591</v>
      </c>
      <c r="I4" s="381" t="s">
        <v>620</v>
      </c>
      <c r="J4" s="382"/>
      <c r="K4" s="282" t="s">
        <v>621</v>
      </c>
      <c r="L4" s="282" t="s">
        <v>622</v>
      </c>
      <c r="M4" s="282" t="s">
        <v>601</v>
      </c>
      <c r="N4" s="283" t="s">
        <v>591</v>
      </c>
      <c r="P4" s="381" t="s">
        <v>620</v>
      </c>
      <c r="Q4" s="382"/>
      <c r="R4" s="282" t="s">
        <v>621</v>
      </c>
      <c r="S4" s="282" t="s">
        <v>622</v>
      </c>
      <c r="T4" s="282" t="s">
        <v>601</v>
      </c>
      <c r="U4" s="283" t="s">
        <v>591</v>
      </c>
    </row>
    <row r="5" spans="1:21" x14ac:dyDescent="0.2">
      <c r="B5" s="284" t="s">
        <v>623</v>
      </c>
      <c r="C5" s="285" t="s">
        <v>624</v>
      </c>
      <c r="D5" s="286" t="s">
        <v>0</v>
      </c>
      <c r="E5" s="286" t="s">
        <v>0</v>
      </c>
      <c r="F5" s="286" t="s">
        <v>0</v>
      </c>
      <c r="G5" s="287" t="s">
        <v>0</v>
      </c>
      <c r="I5" s="284" t="s">
        <v>623</v>
      </c>
      <c r="J5" s="285" t="s">
        <v>624</v>
      </c>
      <c r="K5" s="286" t="s">
        <v>13</v>
      </c>
      <c r="L5" s="286" t="s">
        <v>13</v>
      </c>
      <c r="M5" s="286" t="s">
        <v>13</v>
      </c>
      <c r="N5" s="287" t="s">
        <v>13</v>
      </c>
      <c r="P5" s="284" t="s">
        <v>623</v>
      </c>
      <c r="Q5" s="285" t="s">
        <v>624</v>
      </c>
      <c r="R5" s="286" t="s">
        <v>58</v>
      </c>
      <c r="S5" s="286" t="s">
        <v>58</v>
      </c>
      <c r="T5" s="286" t="s">
        <v>58</v>
      </c>
      <c r="U5" s="287" t="s">
        <v>58</v>
      </c>
    </row>
    <row r="6" spans="1:21" x14ac:dyDescent="0.2">
      <c r="B6" s="288"/>
      <c r="C6" s="289">
        <v>0.3</v>
      </c>
      <c r="D6" s="246">
        <v>1</v>
      </c>
      <c r="E6" s="246">
        <v>0</v>
      </c>
      <c r="F6" s="246">
        <v>0</v>
      </c>
      <c r="G6" s="248">
        <v>0</v>
      </c>
      <c r="I6" s="288"/>
      <c r="J6" s="289">
        <v>0.3</v>
      </c>
      <c r="K6" s="246">
        <f>COUNTIF('2016-17 disagg'!$AY$12:$AY$220,"&gt;"&amp;$C6)</f>
        <v>1</v>
      </c>
      <c r="L6" s="246">
        <f>COUNTIF('2016-17 disagg'!$AZ$12:$AZ$220,"&gt;"&amp;$C6)</f>
        <v>0</v>
      </c>
      <c r="M6" s="246">
        <f>COUNTIF('2016-17 disagg'!$BA$12:$BA$220,"&gt;"&amp;$C6)</f>
        <v>0</v>
      </c>
      <c r="N6" s="248">
        <f>COUNTIF('2016-17 disagg'!$BB$12:$BB$220,"&gt;"&amp;$C6)</f>
        <v>0</v>
      </c>
      <c r="P6" s="288"/>
      <c r="Q6" s="289">
        <v>0.3</v>
      </c>
      <c r="R6" s="246">
        <f>COUNTIF('2017-18 disagg'!$AY$12:$AY$220,"&gt;"&amp;$C6)</f>
        <v>0</v>
      </c>
      <c r="S6" s="246">
        <f>COUNTIF('2017-18 disagg'!$AZ$12:$AZ$220,"&gt;"&amp;$C6)</f>
        <v>0</v>
      </c>
      <c r="T6" s="246">
        <f>COUNTIF('2017-18 disagg'!$BA$12:$BA$220,"&gt;"&amp;$C6)</f>
        <v>0</v>
      </c>
      <c r="U6" s="248">
        <f>COUNTIF('2017-18 disagg'!$BB$12:$BB$220,"&gt;"&amp;$C6)</f>
        <v>0</v>
      </c>
    </row>
    <row r="7" spans="1:21" x14ac:dyDescent="0.2">
      <c r="B7" s="288">
        <f t="shared" ref="B7:B21" si="0">C6</f>
        <v>0.3</v>
      </c>
      <c r="C7" s="289">
        <v>0.25</v>
      </c>
      <c r="D7" s="290">
        <v>0</v>
      </c>
      <c r="E7" s="290">
        <v>2</v>
      </c>
      <c r="F7" s="290">
        <v>0</v>
      </c>
      <c r="G7" s="291">
        <v>1</v>
      </c>
      <c r="I7" s="288">
        <f t="shared" ref="I7:I21" si="1">J6</f>
        <v>0.3</v>
      </c>
      <c r="J7" s="289">
        <v>0.25</v>
      </c>
      <c r="K7" s="290">
        <f>COUNTIF('2016-17 disagg'!$AY$12:$AY$220,"&gt;"&amp;$C7)-SUM(K6:K$6)</f>
        <v>0</v>
      </c>
      <c r="L7" s="290">
        <f>COUNTIF('2016-17 disagg'!$AZ$12:$AZ$220,"&gt;"&amp;$C7)-SUM(L6:L$6)</f>
        <v>1</v>
      </c>
      <c r="M7" s="290">
        <f>COUNTIF('2016-17 disagg'!$BA$12:$BA$220,"&gt;"&amp;$C7)-SUM(M6:M$6)</f>
        <v>0</v>
      </c>
      <c r="N7" s="291">
        <f>COUNTIF('2016-17 disagg'!$BB$12:$BB$220,"&gt;"&amp;$C7)-SUM(N6:N$6)</f>
        <v>0</v>
      </c>
      <c r="P7" s="288">
        <f t="shared" ref="P7:P21" si="2">Q6</f>
        <v>0.3</v>
      </c>
      <c r="Q7" s="289">
        <v>0.25</v>
      </c>
      <c r="R7" s="290">
        <f>COUNTIF('2017-18 disagg'!$AY$12:$AY$220,"&gt;"&amp;$C7)-SUM(R6:R$6)</f>
        <v>1</v>
      </c>
      <c r="S7" s="290">
        <f>COUNTIF('2017-18 disagg'!$AZ$12:$AZ$220,"&gt;"&amp;$C7)-SUM(S6:S$6)</f>
        <v>1</v>
      </c>
      <c r="T7" s="290">
        <f>COUNTIF('2017-18 disagg'!$BA$12:$BA$220,"&gt;"&amp;$C7)-SUM(T6:T$6)</f>
        <v>0</v>
      </c>
      <c r="U7" s="291">
        <f>COUNTIF('2017-18 disagg'!$BB$12:$BB$220,"&gt;"&amp;$C7)-SUM(U6:U$6)</f>
        <v>0</v>
      </c>
    </row>
    <row r="8" spans="1:21" x14ac:dyDescent="0.2">
      <c r="B8" s="288">
        <f t="shared" si="0"/>
        <v>0.25</v>
      </c>
      <c r="C8" s="289">
        <v>0.2</v>
      </c>
      <c r="D8" s="290">
        <v>2</v>
      </c>
      <c r="E8" s="290">
        <v>4</v>
      </c>
      <c r="F8" s="290">
        <v>1</v>
      </c>
      <c r="G8" s="291">
        <v>0</v>
      </c>
      <c r="I8" s="288">
        <f t="shared" si="1"/>
        <v>0.25</v>
      </c>
      <c r="J8" s="289">
        <v>0.2</v>
      </c>
      <c r="K8" s="290">
        <f>COUNTIF('2016-17 disagg'!$AY$12:$AY$220,"&gt;"&amp;$C8)-SUM(K$6:K7)</f>
        <v>1</v>
      </c>
      <c r="L8" s="290">
        <f>COUNTIF('2016-17 disagg'!$AZ$12:$AZ$220,"&gt;"&amp;$C8)-SUM(L$6:L7)</f>
        <v>4</v>
      </c>
      <c r="M8" s="290">
        <f>COUNTIF('2016-17 disagg'!$BA$12:$BA$220,"&gt;"&amp;$C8)-SUM(M$6:M7)</f>
        <v>1</v>
      </c>
      <c r="N8" s="291">
        <f>COUNTIF('2016-17 disagg'!$BB$12:$BB$220,"&gt;"&amp;$C8)-SUM(N$6:N7)</f>
        <v>1</v>
      </c>
      <c r="P8" s="288">
        <f t="shared" si="2"/>
        <v>0.25</v>
      </c>
      <c r="Q8" s="289">
        <v>0.2</v>
      </c>
      <c r="R8" s="290">
        <f>COUNTIF('2017-18 disagg'!$AY$12:$AY$220,"&gt;"&amp;$C8)-SUM(R$6:R7)</f>
        <v>0</v>
      </c>
      <c r="S8" s="290">
        <f>COUNTIF('2017-18 disagg'!$AZ$12:$AZ$220,"&gt;"&amp;$C8)-SUM(S$6:S7)</f>
        <v>1</v>
      </c>
      <c r="T8" s="290">
        <f>COUNTIF('2017-18 disagg'!$BA$12:$BA$220,"&gt;"&amp;$C8)-SUM(T$6:T7)</f>
        <v>1</v>
      </c>
      <c r="U8" s="291">
        <f>COUNTIF('2017-18 disagg'!$BB$12:$BB$220,"&gt;"&amp;$C8)-SUM(U$6:U7)</f>
        <v>1</v>
      </c>
    </row>
    <row r="9" spans="1:21" x14ac:dyDescent="0.2">
      <c r="B9" s="288">
        <f t="shared" si="0"/>
        <v>0.2</v>
      </c>
      <c r="C9" s="289">
        <v>0.15</v>
      </c>
      <c r="D9" s="290">
        <v>1</v>
      </c>
      <c r="E9" s="290">
        <v>4</v>
      </c>
      <c r="F9" s="290">
        <v>6</v>
      </c>
      <c r="G9" s="291">
        <v>2</v>
      </c>
      <c r="I9" s="288">
        <f t="shared" si="1"/>
        <v>0.2</v>
      </c>
      <c r="J9" s="289">
        <v>0.15</v>
      </c>
      <c r="K9" s="290">
        <f>COUNTIF('2016-17 disagg'!$AY$12:$AY$220,"&gt;"&amp;$C9)-SUM(K$6:K8)</f>
        <v>2</v>
      </c>
      <c r="L9" s="290">
        <f>COUNTIF('2016-17 disagg'!$AZ$12:$AZ$220,"&gt;"&amp;$C9)-SUM(L$6:L8)</f>
        <v>3</v>
      </c>
      <c r="M9" s="290">
        <f>COUNTIF('2016-17 disagg'!$BA$12:$BA$220,"&gt;"&amp;$C9)-SUM(M$6:M8)</f>
        <v>6</v>
      </c>
      <c r="N9" s="291">
        <f>COUNTIF('2016-17 disagg'!$BB$12:$BB$220,"&gt;"&amp;$C9)-SUM(N$6:N8)</f>
        <v>0</v>
      </c>
      <c r="P9" s="288">
        <f t="shared" si="2"/>
        <v>0.2</v>
      </c>
      <c r="Q9" s="289">
        <v>0.15</v>
      </c>
      <c r="R9" s="290">
        <f>COUNTIF('2017-18 disagg'!$AY$12:$AY$220,"&gt;"&amp;$C9)-SUM(R$6:R8)</f>
        <v>3</v>
      </c>
      <c r="S9" s="290">
        <f>COUNTIF('2017-18 disagg'!$AZ$12:$AZ$220,"&gt;"&amp;$C9)-SUM(S$6:S8)</f>
        <v>5</v>
      </c>
      <c r="T9" s="290">
        <f>COUNTIF('2017-18 disagg'!$BA$12:$BA$220,"&gt;"&amp;$C9)-SUM(T$6:T8)</f>
        <v>6</v>
      </c>
      <c r="U9" s="291">
        <f>COUNTIF('2017-18 disagg'!$BB$12:$BB$220,"&gt;"&amp;$C9)-SUM(U$6:U8)</f>
        <v>0</v>
      </c>
    </row>
    <row r="10" spans="1:21" x14ac:dyDescent="0.2">
      <c r="B10" s="288">
        <f t="shared" si="0"/>
        <v>0.15</v>
      </c>
      <c r="C10" s="289">
        <v>0.1</v>
      </c>
      <c r="D10" s="290">
        <v>2</v>
      </c>
      <c r="E10" s="290">
        <v>15</v>
      </c>
      <c r="F10" s="290">
        <v>8</v>
      </c>
      <c r="G10" s="291">
        <v>2</v>
      </c>
      <c r="I10" s="288">
        <f t="shared" si="1"/>
        <v>0.15</v>
      </c>
      <c r="J10" s="289">
        <v>0.1</v>
      </c>
      <c r="K10" s="290">
        <f>COUNTIF('2016-17 disagg'!$AY$12:$AY$220,"&gt;"&amp;$C10)-SUM(K$6:K9)</f>
        <v>1</v>
      </c>
      <c r="L10" s="290">
        <f>COUNTIF('2016-17 disagg'!$AZ$12:$AZ$220,"&gt;"&amp;$C10)-SUM(L$6:L9)</f>
        <v>12</v>
      </c>
      <c r="M10" s="290">
        <f>COUNTIF('2016-17 disagg'!$BA$12:$BA$220,"&gt;"&amp;$C10)-SUM(M$6:M9)</f>
        <v>8</v>
      </c>
      <c r="N10" s="291">
        <f>COUNTIF('2016-17 disagg'!$BB$12:$BB$220,"&gt;"&amp;$C10)-SUM(N$6:N9)</f>
        <v>4</v>
      </c>
      <c r="P10" s="288">
        <f t="shared" si="2"/>
        <v>0.15</v>
      </c>
      <c r="Q10" s="289">
        <v>0.1</v>
      </c>
      <c r="R10" s="290">
        <f>COUNTIF('2017-18 disagg'!$AY$12:$AY$220,"&gt;"&amp;$C10)-SUM(R$6:R9)</f>
        <v>1</v>
      </c>
      <c r="S10" s="290">
        <f>COUNTIF('2017-18 disagg'!$AZ$12:$AZ$220,"&gt;"&amp;$C10)-SUM(S$6:S9)</f>
        <v>8</v>
      </c>
      <c r="T10" s="290">
        <f>COUNTIF('2017-18 disagg'!$BA$12:$BA$220,"&gt;"&amp;$C10)-SUM(T$6:T9)</f>
        <v>8</v>
      </c>
      <c r="U10" s="291">
        <f>COUNTIF('2017-18 disagg'!$BB$12:$BB$220,"&gt;"&amp;$C10)-SUM(U$6:U9)</f>
        <v>3</v>
      </c>
    </row>
    <row r="11" spans="1:21" x14ac:dyDescent="0.2">
      <c r="B11" s="288">
        <f t="shared" si="0"/>
        <v>0.1</v>
      </c>
      <c r="C11" s="289">
        <v>0.05</v>
      </c>
      <c r="D11" s="290">
        <v>22</v>
      </c>
      <c r="E11" s="290">
        <v>23</v>
      </c>
      <c r="F11" s="290">
        <v>26</v>
      </c>
      <c r="G11" s="291">
        <v>15</v>
      </c>
      <c r="I11" s="288">
        <f t="shared" si="1"/>
        <v>0.1</v>
      </c>
      <c r="J11" s="289">
        <v>0.05</v>
      </c>
      <c r="K11" s="290">
        <f>COUNTIF('2016-17 disagg'!$AY$12:$AY$220,"&gt;"&amp;$C11)-SUM(K$6:K10)</f>
        <v>18</v>
      </c>
      <c r="L11" s="290">
        <f>COUNTIF('2016-17 disagg'!$AZ$12:$AZ$220,"&gt;"&amp;$C11)-SUM(L$6:L10)</f>
        <v>28</v>
      </c>
      <c r="M11" s="290">
        <f>COUNTIF('2016-17 disagg'!$BA$12:$BA$220,"&gt;"&amp;$C11)-SUM(M$6:M10)</f>
        <v>26</v>
      </c>
      <c r="N11" s="291">
        <f>COUNTIF('2016-17 disagg'!$BB$12:$BB$220,"&gt;"&amp;$C11)-SUM(N$6:N10)</f>
        <v>11</v>
      </c>
      <c r="P11" s="288">
        <f t="shared" si="2"/>
        <v>0.1</v>
      </c>
      <c r="Q11" s="289">
        <v>0.05</v>
      </c>
      <c r="R11" s="290">
        <f>COUNTIF('2017-18 disagg'!$AY$12:$AY$220,"&gt;"&amp;$C11)-SUM(R$6:R10)</f>
        <v>18</v>
      </c>
      <c r="S11" s="290">
        <f>COUNTIF('2017-18 disagg'!$AZ$12:$AZ$220,"&gt;"&amp;$C11)-SUM(S$6:S10)</f>
        <v>22</v>
      </c>
      <c r="T11" s="290">
        <f>COUNTIF('2017-18 disagg'!$BA$12:$BA$220,"&gt;"&amp;$C11)-SUM(T$6:T10)</f>
        <v>26</v>
      </c>
      <c r="U11" s="291">
        <f>COUNTIF('2017-18 disagg'!$BB$12:$BB$220,"&gt;"&amp;$C11)-SUM(U$6:U10)</f>
        <v>9</v>
      </c>
    </row>
    <row r="12" spans="1:21" x14ac:dyDescent="0.2">
      <c r="B12" s="292">
        <f t="shared" si="0"/>
        <v>0.05</v>
      </c>
      <c r="C12" s="293">
        <v>2.5000000000000001E-2</v>
      </c>
      <c r="D12" s="294">
        <v>23</v>
      </c>
      <c r="E12" s="294">
        <v>26</v>
      </c>
      <c r="F12" s="294">
        <v>24</v>
      </c>
      <c r="G12" s="295">
        <v>28</v>
      </c>
      <c r="I12" s="292">
        <f t="shared" si="1"/>
        <v>0.05</v>
      </c>
      <c r="J12" s="293">
        <v>2.5000000000000001E-2</v>
      </c>
      <c r="K12" s="294">
        <f>COUNTIF('2016-17 disagg'!$AY$12:$AY$220,"&gt;"&amp;$C12)-SUM(K$6:K11)</f>
        <v>20</v>
      </c>
      <c r="L12" s="294">
        <f>COUNTIF('2016-17 disagg'!$AZ$12:$AZ$220,"&gt;"&amp;$C12)-SUM(L$6:L11)</f>
        <v>25</v>
      </c>
      <c r="M12" s="294">
        <f>COUNTIF('2016-17 disagg'!$BA$12:$BA$220,"&gt;"&amp;$C12)-SUM(M$6:M11)</f>
        <v>24</v>
      </c>
      <c r="N12" s="295">
        <f>COUNTIF('2016-17 disagg'!$BB$12:$BB$220,"&gt;"&amp;$C12)-SUM(N$6:N11)</f>
        <v>27</v>
      </c>
      <c r="P12" s="292">
        <f t="shared" si="2"/>
        <v>0.05</v>
      </c>
      <c r="Q12" s="293">
        <v>2.5000000000000001E-2</v>
      </c>
      <c r="R12" s="294">
        <f>COUNTIF('2017-18 disagg'!$AY$12:$AY$220,"&gt;"&amp;$C12)-SUM(R$6:R11)</f>
        <v>20</v>
      </c>
      <c r="S12" s="294">
        <f>COUNTIF('2017-18 disagg'!$AZ$12:$AZ$220,"&gt;"&amp;$C12)-SUM(S$6:S11)</f>
        <v>26</v>
      </c>
      <c r="T12" s="294">
        <f>COUNTIF('2017-18 disagg'!$BA$12:$BA$220,"&gt;"&amp;$C12)-SUM(T$6:T11)</f>
        <v>24</v>
      </c>
      <c r="U12" s="295">
        <f>COUNTIF('2017-18 disagg'!$BB$12:$BB$220,"&gt;"&amp;$C12)-SUM(U$6:U11)</f>
        <v>30</v>
      </c>
    </row>
    <row r="13" spans="1:21" x14ac:dyDescent="0.2">
      <c r="B13" s="296">
        <f t="shared" si="0"/>
        <v>2.5000000000000001E-2</v>
      </c>
      <c r="C13" s="297">
        <v>0</v>
      </c>
      <c r="D13" s="298">
        <v>38</v>
      </c>
      <c r="E13" s="298">
        <v>30</v>
      </c>
      <c r="F13" s="298">
        <v>33</v>
      </c>
      <c r="G13" s="299">
        <v>45</v>
      </c>
      <c r="I13" s="296">
        <f t="shared" si="1"/>
        <v>2.5000000000000001E-2</v>
      </c>
      <c r="J13" s="297">
        <v>0</v>
      </c>
      <c r="K13" s="298">
        <f>COUNTIF('2016-17 disagg'!$AY$12:$AY$220,"&gt;"&amp;$C13)-SUM(K$6:K12)</f>
        <v>37</v>
      </c>
      <c r="L13" s="298">
        <f>COUNTIF('2016-17 disagg'!$AZ$12:$AZ$220,"&gt;"&amp;$C13)-SUM(L$6:L12)</f>
        <v>35</v>
      </c>
      <c r="M13" s="298">
        <f>COUNTIF('2016-17 disagg'!$BA$12:$BA$220,"&gt;"&amp;$C13)-SUM(M$6:M12)</f>
        <v>33</v>
      </c>
      <c r="N13" s="299">
        <f>COUNTIF('2016-17 disagg'!$BB$12:$BB$220,"&gt;"&amp;$C13)-SUM(N$6:N12)</f>
        <v>39</v>
      </c>
      <c r="P13" s="296">
        <f t="shared" si="2"/>
        <v>2.5000000000000001E-2</v>
      </c>
      <c r="Q13" s="297">
        <v>0</v>
      </c>
      <c r="R13" s="298">
        <f>COUNTIF('2017-18 disagg'!$AY$12:$AY$220,"&gt;"&amp;$C13)-SUM(R$6:R12)</f>
        <v>38</v>
      </c>
      <c r="S13" s="298">
        <f>COUNTIF('2017-18 disagg'!$AZ$12:$AZ$220,"&gt;"&amp;$C13)-SUM(S$6:S12)</f>
        <v>31</v>
      </c>
      <c r="T13" s="298">
        <f>COUNTIF('2017-18 disagg'!$BA$12:$BA$220,"&gt;"&amp;$C13)-SUM(T$6:T12)</f>
        <v>33</v>
      </c>
      <c r="U13" s="299">
        <f>COUNTIF('2017-18 disagg'!$BB$12:$BB$220,"&gt;"&amp;$C13)-SUM(U$6:U12)</f>
        <v>36</v>
      </c>
    </row>
    <row r="14" spans="1:21" x14ac:dyDescent="0.2">
      <c r="B14" s="296">
        <f t="shared" si="0"/>
        <v>0</v>
      </c>
      <c r="C14" s="297">
        <v>-2.5000000000000001E-2</v>
      </c>
      <c r="D14" s="298">
        <v>57</v>
      </c>
      <c r="E14" s="298">
        <v>29</v>
      </c>
      <c r="F14" s="298">
        <v>38</v>
      </c>
      <c r="G14" s="299">
        <v>58</v>
      </c>
      <c r="I14" s="296">
        <f t="shared" si="1"/>
        <v>0</v>
      </c>
      <c r="J14" s="297">
        <v>-2.5000000000000001E-2</v>
      </c>
      <c r="K14" s="298">
        <f>COUNTIF('2016-17 disagg'!$AY$12:$AY$220,"&gt;"&amp;$C14)-SUM(K$6:K13)</f>
        <v>73</v>
      </c>
      <c r="L14" s="298">
        <f>COUNTIF('2016-17 disagg'!$AZ$12:$AZ$220,"&gt;"&amp;$C14)-SUM(L$6:L13)</f>
        <v>29</v>
      </c>
      <c r="M14" s="298">
        <f>COUNTIF('2016-17 disagg'!$BA$12:$BA$220,"&gt;"&amp;$C14)-SUM(M$6:M13)</f>
        <v>38</v>
      </c>
      <c r="N14" s="299">
        <f>COUNTIF('2016-17 disagg'!$BB$12:$BB$220,"&gt;"&amp;$C14)-SUM(N$6:N13)</f>
        <v>89</v>
      </c>
      <c r="P14" s="296">
        <f t="shared" si="2"/>
        <v>0</v>
      </c>
      <c r="Q14" s="297">
        <v>-2.5000000000000001E-2</v>
      </c>
      <c r="R14" s="298">
        <f>COUNTIF('2017-18 disagg'!$AY$12:$AY$220,"&gt;"&amp;$C14)-SUM(R$6:R13)</f>
        <v>77</v>
      </c>
      <c r="S14" s="298">
        <f>COUNTIF('2017-18 disagg'!$AZ$12:$AZ$220,"&gt;"&amp;$C14)-SUM(S$6:S13)</f>
        <v>32</v>
      </c>
      <c r="T14" s="298">
        <f>COUNTIF('2017-18 disagg'!$BA$12:$BA$220,"&gt;"&amp;$C14)-SUM(T$6:T13)</f>
        <v>38</v>
      </c>
      <c r="U14" s="299">
        <f>COUNTIF('2017-18 disagg'!$BB$12:$BB$220,"&gt;"&amp;$C14)-SUM(U$6:U13)</f>
        <v>98</v>
      </c>
    </row>
    <row r="15" spans="1:21" x14ac:dyDescent="0.2">
      <c r="B15" s="292">
        <f t="shared" si="0"/>
        <v>-2.5000000000000001E-2</v>
      </c>
      <c r="C15" s="293">
        <v>-0.05</v>
      </c>
      <c r="D15" s="294">
        <v>39</v>
      </c>
      <c r="E15" s="294">
        <v>26</v>
      </c>
      <c r="F15" s="294">
        <v>22</v>
      </c>
      <c r="G15" s="295">
        <v>48</v>
      </c>
      <c r="I15" s="292">
        <f t="shared" si="1"/>
        <v>-2.5000000000000001E-2</v>
      </c>
      <c r="J15" s="293">
        <v>-0.05</v>
      </c>
      <c r="K15" s="294">
        <f>COUNTIF('2016-17 disagg'!$AY$12:$AY$220,"&gt;"&amp;$C15)-SUM(K$6:K14)</f>
        <v>56</v>
      </c>
      <c r="L15" s="294">
        <f>COUNTIF('2016-17 disagg'!$AZ$12:$AZ$220,"&gt;"&amp;$C15)-SUM(L$6:L14)</f>
        <v>22</v>
      </c>
      <c r="M15" s="294">
        <f>COUNTIF('2016-17 disagg'!$BA$12:$BA$220,"&gt;"&amp;$C15)-SUM(M$6:M14)</f>
        <v>22</v>
      </c>
      <c r="N15" s="295">
        <f>COUNTIF('2016-17 disagg'!$BB$12:$BB$220,"&gt;"&amp;$C15)-SUM(N$6:N14)</f>
        <v>38</v>
      </c>
      <c r="P15" s="292">
        <f t="shared" si="2"/>
        <v>-2.5000000000000001E-2</v>
      </c>
      <c r="Q15" s="293">
        <v>-0.05</v>
      </c>
      <c r="R15" s="294">
        <f>COUNTIF('2017-18 disagg'!$AY$12:$AY$220,"&gt;"&amp;$C15)-SUM(R$6:R14)</f>
        <v>51</v>
      </c>
      <c r="S15" s="294">
        <f>COUNTIF('2017-18 disagg'!$AZ$12:$AZ$220,"&gt;"&amp;$C15)-SUM(S$6:S14)</f>
        <v>55</v>
      </c>
      <c r="T15" s="294">
        <f>COUNTIF('2017-18 disagg'!$BA$12:$BA$220,"&gt;"&amp;$C15)-SUM(T$6:T14)</f>
        <v>22</v>
      </c>
      <c r="U15" s="295">
        <f>COUNTIF('2017-18 disagg'!$BB$12:$BB$220,"&gt;"&amp;$C15)-SUM(U$6:U14)</f>
        <v>32</v>
      </c>
    </row>
    <row r="16" spans="1:21" x14ac:dyDescent="0.2">
      <c r="B16" s="288">
        <f t="shared" si="0"/>
        <v>-0.05</v>
      </c>
      <c r="C16" s="289">
        <v>-0.1</v>
      </c>
      <c r="D16" s="290">
        <v>24</v>
      </c>
      <c r="E16" s="290">
        <v>32</v>
      </c>
      <c r="F16" s="290">
        <v>30</v>
      </c>
      <c r="G16" s="291">
        <v>10</v>
      </c>
      <c r="I16" s="288">
        <f t="shared" si="1"/>
        <v>-0.05</v>
      </c>
      <c r="J16" s="289">
        <v>-0.1</v>
      </c>
      <c r="K16" s="290">
        <f>COUNTIF('2016-17 disagg'!$AY$12:$AY$220,"&gt;"&amp;$C16)-SUM(K$6:K15)</f>
        <v>0</v>
      </c>
      <c r="L16" s="290">
        <f>COUNTIF('2016-17 disagg'!$AZ$12:$AZ$220,"&gt;"&amp;$C16)-SUM(L$6:L15)</f>
        <v>34</v>
      </c>
      <c r="M16" s="290">
        <f>COUNTIF('2016-17 disagg'!$BA$12:$BA$220,"&gt;"&amp;$C16)-SUM(M$6:M15)</f>
        <v>30</v>
      </c>
      <c r="N16" s="291">
        <f>COUNTIF('2016-17 disagg'!$BB$12:$BB$220,"&gt;"&amp;$C16)-SUM(N$6:N15)</f>
        <v>0</v>
      </c>
      <c r="P16" s="288">
        <f t="shared" si="2"/>
        <v>-0.05</v>
      </c>
      <c r="Q16" s="289">
        <v>-0.1</v>
      </c>
      <c r="R16" s="290">
        <f>COUNTIF('2017-18 disagg'!$AY$12:$AY$220,"&gt;"&amp;$C16)-SUM(R$6:R15)</f>
        <v>0</v>
      </c>
      <c r="S16" s="290">
        <f>COUNTIF('2017-18 disagg'!$AZ$12:$AZ$220,"&gt;"&amp;$C16)-SUM(S$6:S15)</f>
        <v>28</v>
      </c>
      <c r="T16" s="290">
        <f>COUNTIF('2017-18 disagg'!$BA$12:$BA$220,"&gt;"&amp;$C16)-SUM(T$6:T15)</f>
        <v>30</v>
      </c>
      <c r="U16" s="291">
        <f>COUNTIF('2017-18 disagg'!$BB$12:$BB$220,"&gt;"&amp;$C16)-SUM(U$6:U15)</f>
        <v>0</v>
      </c>
    </row>
    <row r="17" spans="2:21" x14ac:dyDescent="0.2">
      <c r="B17" s="288">
        <f t="shared" si="0"/>
        <v>-0.1</v>
      </c>
      <c r="C17" s="289">
        <v>-0.15</v>
      </c>
      <c r="D17" s="290">
        <v>0</v>
      </c>
      <c r="E17" s="290">
        <v>15</v>
      </c>
      <c r="F17" s="290">
        <v>14</v>
      </c>
      <c r="G17" s="291">
        <v>0</v>
      </c>
      <c r="I17" s="288">
        <f t="shared" si="1"/>
        <v>-0.1</v>
      </c>
      <c r="J17" s="289">
        <v>-0.15</v>
      </c>
      <c r="K17" s="290">
        <f>COUNTIF('2016-17 disagg'!$AY$12:$AY$220,"&gt;"&amp;$C17)-SUM(K$6:K16)</f>
        <v>0</v>
      </c>
      <c r="L17" s="290">
        <f>COUNTIF('2016-17 disagg'!$AZ$12:$AZ$220,"&gt;"&amp;$C17)-SUM(L$6:L16)</f>
        <v>16</v>
      </c>
      <c r="M17" s="290">
        <f>COUNTIF('2016-17 disagg'!$BA$12:$BA$220,"&gt;"&amp;$C17)-SUM(M$6:M16)</f>
        <v>14</v>
      </c>
      <c r="N17" s="291">
        <f>COUNTIF('2016-17 disagg'!$BB$12:$BB$220,"&gt;"&amp;$C17)-SUM(N$6:N16)</f>
        <v>0</v>
      </c>
      <c r="P17" s="288">
        <f t="shared" si="2"/>
        <v>-0.1</v>
      </c>
      <c r="Q17" s="289">
        <v>-0.15</v>
      </c>
      <c r="R17" s="290">
        <f>COUNTIF('2017-18 disagg'!$AY$12:$AY$220,"&gt;"&amp;$C17)-SUM(R$6:R16)</f>
        <v>0</v>
      </c>
      <c r="S17" s="290">
        <f>COUNTIF('2017-18 disagg'!$AZ$12:$AZ$220,"&gt;"&amp;$C17)-SUM(S$6:S16)</f>
        <v>0</v>
      </c>
      <c r="T17" s="290">
        <f>COUNTIF('2017-18 disagg'!$BA$12:$BA$220,"&gt;"&amp;$C17)-SUM(T$6:T16)</f>
        <v>14</v>
      </c>
      <c r="U17" s="291">
        <f>COUNTIF('2017-18 disagg'!$BB$12:$BB$220,"&gt;"&amp;$C17)-SUM(U$6:U16)</f>
        <v>0</v>
      </c>
    </row>
    <row r="18" spans="2:21" x14ac:dyDescent="0.2">
      <c r="B18" s="288">
        <f t="shared" si="0"/>
        <v>-0.15</v>
      </c>
      <c r="C18" s="289">
        <v>-0.2</v>
      </c>
      <c r="D18" s="290">
        <v>0</v>
      </c>
      <c r="E18" s="290">
        <v>3</v>
      </c>
      <c r="F18" s="290">
        <v>4</v>
      </c>
      <c r="G18" s="291">
        <v>0</v>
      </c>
      <c r="I18" s="288">
        <f t="shared" si="1"/>
        <v>-0.15</v>
      </c>
      <c r="J18" s="289">
        <v>-0.2</v>
      </c>
      <c r="K18" s="290">
        <f>COUNTIF('2016-17 disagg'!$AY$12:$AY$220,"&gt;"&amp;$C18)-SUM(K$6:K17)</f>
        <v>0</v>
      </c>
      <c r="L18" s="290">
        <f>COUNTIF('2016-17 disagg'!$AZ$12:$AZ$220,"&gt;"&amp;$C18)-SUM(L$6:L17)</f>
        <v>0</v>
      </c>
      <c r="M18" s="290">
        <f>COUNTIF('2016-17 disagg'!$BA$12:$BA$220,"&gt;"&amp;$C18)-SUM(M$6:M17)</f>
        <v>4</v>
      </c>
      <c r="N18" s="291">
        <f>COUNTIF('2016-17 disagg'!$BB$12:$BB$220,"&gt;"&amp;$C18)-SUM(N$6:N17)</f>
        <v>0</v>
      </c>
      <c r="P18" s="288">
        <f t="shared" si="2"/>
        <v>-0.15</v>
      </c>
      <c r="Q18" s="289">
        <v>-0.2</v>
      </c>
      <c r="R18" s="290">
        <f>COUNTIF('2017-18 disagg'!$AY$12:$AY$220,"&gt;"&amp;$C18)-SUM(R$6:R17)</f>
        <v>0</v>
      </c>
      <c r="S18" s="290">
        <f>COUNTIF('2017-18 disagg'!$AZ$12:$AZ$220,"&gt;"&amp;$C18)-SUM(S$6:S17)</f>
        <v>0</v>
      </c>
      <c r="T18" s="290">
        <f>COUNTIF('2017-18 disagg'!$BA$12:$BA$220,"&gt;"&amp;$C18)-SUM(T$6:T17)</f>
        <v>4</v>
      </c>
      <c r="U18" s="291">
        <f>COUNTIF('2017-18 disagg'!$BB$12:$BB$220,"&gt;"&amp;$C18)-SUM(U$6:U17)</f>
        <v>0</v>
      </c>
    </row>
    <row r="19" spans="2:21" x14ac:dyDescent="0.2">
      <c r="B19" s="288">
        <f t="shared" si="0"/>
        <v>-0.2</v>
      </c>
      <c r="C19" s="289">
        <v>-0.25</v>
      </c>
      <c r="D19" s="290">
        <v>0</v>
      </c>
      <c r="E19" s="290">
        <v>0</v>
      </c>
      <c r="F19" s="290">
        <v>3</v>
      </c>
      <c r="G19" s="291">
        <v>0</v>
      </c>
      <c r="I19" s="288">
        <f t="shared" si="1"/>
        <v>-0.2</v>
      </c>
      <c r="J19" s="289">
        <v>-0.25</v>
      </c>
      <c r="K19" s="290">
        <f>COUNTIF('2016-17 disagg'!$AY$12:$AY$220,"&gt;"&amp;$C19)-SUM(K$6:K18)</f>
        <v>0</v>
      </c>
      <c r="L19" s="290">
        <f>COUNTIF('2016-17 disagg'!$AZ$12:$AZ$220,"&gt;"&amp;$C19)-SUM(L$6:L18)</f>
        <v>0</v>
      </c>
      <c r="M19" s="290">
        <f>COUNTIF('2016-17 disagg'!$BA$12:$BA$220,"&gt;"&amp;$C19)-SUM(M$6:M18)</f>
        <v>3</v>
      </c>
      <c r="N19" s="291">
        <f>COUNTIF('2016-17 disagg'!$BB$12:$BB$220,"&gt;"&amp;$C19)-SUM(N$6:N18)</f>
        <v>0</v>
      </c>
      <c r="P19" s="288">
        <f t="shared" si="2"/>
        <v>-0.2</v>
      </c>
      <c r="Q19" s="289">
        <v>-0.25</v>
      </c>
      <c r="R19" s="290">
        <f>COUNTIF('2017-18 disagg'!$AY$12:$AY$220,"&gt;"&amp;$C19)-SUM(R$6:R18)</f>
        <v>0</v>
      </c>
      <c r="S19" s="290">
        <f>COUNTIF('2017-18 disagg'!$AZ$12:$AZ$220,"&gt;"&amp;$C19)-SUM(S$6:S18)</f>
        <v>0</v>
      </c>
      <c r="T19" s="290">
        <f>COUNTIF('2017-18 disagg'!$BA$12:$BA$220,"&gt;"&amp;$C19)-SUM(T$6:T18)</f>
        <v>3</v>
      </c>
      <c r="U19" s="291">
        <f>COUNTIF('2017-18 disagg'!$BB$12:$BB$220,"&gt;"&amp;$C19)-SUM(U$6:U18)</f>
        <v>0</v>
      </c>
    </row>
    <row r="20" spans="2:21" x14ac:dyDescent="0.2">
      <c r="B20" s="288">
        <f t="shared" si="0"/>
        <v>-0.25</v>
      </c>
      <c r="C20" s="289">
        <v>-0.3</v>
      </c>
      <c r="D20" s="290">
        <v>0</v>
      </c>
      <c r="E20" s="290">
        <v>0</v>
      </c>
      <c r="F20" s="290">
        <v>0</v>
      </c>
      <c r="G20" s="291">
        <v>0</v>
      </c>
      <c r="I20" s="288">
        <f t="shared" si="1"/>
        <v>-0.25</v>
      </c>
      <c r="J20" s="289">
        <v>-0.3</v>
      </c>
      <c r="K20" s="290">
        <f>COUNTIF('2016-17 disagg'!$AY$12:$AY$220,"&gt;"&amp;$C20)-SUM(K$6:K19)</f>
        <v>0</v>
      </c>
      <c r="L20" s="290">
        <f>COUNTIF('2016-17 disagg'!$AZ$12:$AZ$220,"&gt;"&amp;$C20)-SUM(L$6:L19)</f>
        <v>0</v>
      </c>
      <c r="M20" s="290">
        <f>COUNTIF('2016-17 disagg'!$BA$12:$BA$220,"&gt;"&amp;$C20)-SUM(M$6:M19)</f>
        <v>0</v>
      </c>
      <c r="N20" s="291">
        <f>COUNTIF('2016-17 disagg'!$BB$12:$BB$220,"&gt;"&amp;$C20)-SUM(N$6:N19)</f>
        <v>0</v>
      </c>
      <c r="P20" s="288">
        <f t="shared" si="2"/>
        <v>-0.25</v>
      </c>
      <c r="Q20" s="289">
        <v>-0.3</v>
      </c>
      <c r="R20" s="290">
        <f>COUNTIF('2017-18 disagg'!$AY$12:$AY$220,"&gt;"&amp;$C20)-SUM(R$6:R19)</f>
        <v>0</v>
      </c>
      <c r="S20" s="290">
        <f>COUNTIF('2017-18 disagg'!$AZ$12:$AZ$220,"&gt;"&amp;$C20)-SUM(S$6:S19)</f>
        <v>0</v>
      </c>
      <c r="T20" s="290">
        <f>COUNTIF('2017-18 disagg'!$BA$12:$BA$220,"&gt;"&amp;$C20)-SUM(T$6:T19)</f>
        <v>0</v>
      </c>
      <c r="U20" s="291">
        <f>COUNTIF('2017-18 disagg'!$BB$12:$BB$220,"&gt;"&amp;$C20)-SUM(U$6:U19)</f>
        <v>0</v>
      </c>
    </row>
    <row r="21" spans="2:21" x14ac:dyDescent="0.2">
      <c r="B21" s="288">
        <f t="shared" si="0"/>
        <v>-0.3</v>
      </c>
      <c r="C21" s="289"/>
      <c r="D21" s="290">
        <v>0</v>
      </c>
      <c r="E21" s="290">
        <v>0</v>
      </c>
      <c r="F21" s="290">
        <v>0</v>
      </c>
      <c r="G21" s="291">
        <v>0</v>
      </c>
      <c r="I21" s="288">
        <f t="shared" si="1"/>
        <v>-0.3</v>
      </c>
      <c r="J21" s="289"/>
      <c r="K21" s="290">
        <f>COUNTIF('2016-17 disagg'!$AY$12:$AY$220,"&lt;="&amp;$B21)</f>
        <v>0</v>
      </c>
      <c r="L21" s="290">
        <f>COUNTIF('2016-17 disagg'!$AZ$12:$AZ$220,"&lt;="&amp;$B21)</f>
        <v>0</v>
      </c>
      <c r="M21" s="290">
        <f>COUNTIF('2016-17 disagg'!$BA$12:$BA$220,"&lt;="&amp;$B21)</f>
        <v>0</v>
      </c>
      <c r="N21" s="291">
        <f>COUNTIF('2016-17 disagg'!$BB$12:$BB$220,"&lt;="&amp;$B21)</f>
        <v>0</v>
      </c>
      <c r="P21" s="288">
        <f t="shared" si="2"/>
        <v>-0.3</v>
      </c>
      <c r="Q21" s="289"/>
      <c r="R21" s="290">
        <f>COUNTIF('2017-18 disagg'!$AY$12:$AY$220,"&lt;="&amp;$B21)</f>
        <v>0</v>
      </c>
      <c r="S21" s="290">
        <f>COUNTIF('2017-18 disagg'!$AZ$12:$AZ$220,"&lt;="&amp;$B21)</f>
        <v>0</v>
      </c>
      <c r="T21" s="290">
        <f>COUNTIF('2017-18 disagg'!$BA$12:$BA$220,"&lt;="&amp;$B21)</f>
        <v>0</v>
      </c>
      <c r="U21" s="291">
        <f>COUNTIF('2017-18 disagg'!$BB$12:$BB$220,"&lt;="&amp;$B21)</f>
        <v>0</v>
      </c>
    </row>
    <row r="22" spans="2:21" x14ac:dyDescent="0.2">
      <c r="B22" s="288"/>
      <c r="C22" s="289"/>
      <c r="D22" s="198"/>
      <c r="E22" s="198"/>
      <c r="F22" s="198"/>
      <c r="G22" s="300"/>
      <c r="I22" s="288"/>
      <c r="J22" s="289"/>
      <c r="K22" s="198"/>
      <c r="L22" s="198"/>
      <c r="M22" s="198"/>
      <c r="N22" s="300"/>
      <c r="P22" s="288"/>
      <c r="Q22" s="289"/>
      <c r="R22" s="198"/>
      <c r="S22" s="198"/>
      <c r="T22" s="198"/>
      <c r="U22" s="300"/>
    </row>
    <row r="23" spans="2:21" x14ac:dyDescent="0.2">
      <c r="B23" s="288"/>
      <c r="C23" s="289" t="s">
        <v>591</v>
      </c>
      <c r="D23" s="246">
        <f>SUM(D6:D21)</f>
        <v>209</v>
      </c>
      <c r="E23" s="246">
        <f>SUM(E6:E21)</f>
        <v>209</v>
      </c>
      <c r="F23" s="246">
        <f>SUM(F6:F21)</f>
        <v>209</v>
      </c>
      <c r="G23" s="248">
        <f>SUM(G6:G21)</f>
        <v>209</v>
      </c>
      <c r="I23" s="288"/>
      <c r="J23" s="289" t="s">
        <v>591</v>
      </c>
      <c r="K23" s="246">
        <f>SUM(K6:K21)</f>
        <v>209</v>
      </c>
      <c r="L23" s="246">
        <f>SUM(L6:L21)</f>
        <v>209</v>
      </c>
      <c r="M23" s="246">
        <f>SUM(M6:M21)</f>
        <v>209</v>
      </c>
      <c r="N23" s="248">
        <f>SUM(N6:N21)</f>
        <v>209</v>
      </c>
      <c r="P23" s="288"/>
      <c r="Q23" s="289" t="s">
        <v>591</v>
      </c>
      <c r="R23" s="246">
        <f>SUM(R6:R21)</f>
        <v>209</v>
      </c>
      <c r="S23" s="246">
        <f>SUM(S6:S21)</f>
        <v>209</v>
      </c>
      <c r="T23" s="246">
        <f>SUM(T6:T21)</f>
        <v>209</v>
      </c>
      <c r="U23" s="248">
        <f>SUM(U6:U21)</f>
        <v>209</v>
      </c>
    </row>
    <row r="24" spans="2:21" x14ac:dyDescent="0.2">
      <c r="B24" s="288"/>
      <c r="C24" s="289"/>
      <c r="D24" s="198"/>
      <c r="E24" s="198"/>
      <c r="F24" s="198"/>
      <c r="G24" s="300"/>
      <c r="I24" s="288"/>
      <c r="J24" s="289"/>
      <c r="K24" s="198"/>
      <c r="L24" s="198"/>
      <c r="M24" s="198"/>
      <c r="N24" s="300"/>
      <c r="P24" s="288"/>
      <c r="Q24" s="289"/>
      <c r="R24" s="198"/>
      <c r="S24" s="198"/>
      <c r="T24" s="198"/>
      <c r="U24" s="300"/>
    </row>
    <row r="25" spans="2:21" x14ac:dyDescent="0.2">
      <c r="B25" s="288" t="s">
        <v>593</v>
      </c>
      <c r="C25" s="289"/>
      <c r="D25" s="246">
        <f>SUM(D16:D21)</f>
        <v>24</v>
      </c>
      <c r="E25" s="246">
        <f>SUM(E16:E21)</f>
        <v>50</v>
      </c>
      <c r="F25" s="246">
        <f>SUM(F16:F21)</f>
        <v>51</v>
      </c>
      <c r="G25" s="248">
        <f>SUM(G16:G21)</f>
        <v>10</v>
      </c>
      <c r="I25" s="288" t="s">
        <v>593</v>
      </c>
      <c r="J25" s="289"/>
      <c r="K25" s="246">
        <f>SUM(K16:K21)</f>
        <v>0</v>
      </c>
      <c r="L25" s="246">
        <f>SUM(L16:L21)</f>
        <v>50</v>
      </c>
      <c r="M25" s="246">
        <f>SUM(M16:M21)</f>
        <v>51</v>
      </c>
      <c r="N25" s="248">
        <f>SUM(N16:N21)</f>
        <v>0</v>
      </c>
      <c r="P25" s="288" t="s">
        <v>593</v>
      </c>
      <c r="Q25" s="289"/>
      <c r="R25" s="246">
        <f>SUM(R16:R21)</f>
        <v>0</v>
      </c>
      <c r="S25" s="246">
        <f>SUM(S16:S21)</f>
        <v>28</v>
      </c>
      <c r="T25" s="246">
        <f>SUM(T16:T21)</f>
        <v>51</v>
      </c>
      <c r="U25" s="248">
        <f>SUM(U16:U21)</f>
        <v>0</v>
      </c>
    </row>
    <row r="26" spans="2:21" x14ac:dyDescent="0.2">
      <c r="B26" s="288" t="s">
        <v>594</v>
      </c>
      <c r="C26" s="289"/>
      <c r="D26" s="246">
        <f>SUM(D12:D15)</f>
        <v>157</v>
      </c>
      <c r="E26" s="246">
        <f>SUM(E12:E15)</f>
        <v>111</v>
      </c>
      <c r="F26" s="246">
        <f>SUM(F12:F15)</f>
        <v>117</v>
      </c>
      <c r="G26" s="248">
        <f>SUM(G12:G15)</f>
        <v>179</v>
      </c>
      <c r="I26" s="288" t="s">
        <v>594</v>
      </c>
      <c r="J26" s="289"/>
      <c r="K26" s="246">
        <f>SUM(K12:K15)</f>
        <v>186</v>
      </c>
      <c r="L26" s="246">
        <f>SUM(L12:L15)</f>
        <v>111</v>
      </c>
      <c r="M26" s="246">
        <f>SUM(M12:M15)</f>
        <v>117</v>
      </c>
      <c r="N26" s="248">
        <f>SUM(N12:N15)</f>
        <v>193</v>
      </c>
      <c r="P26" s="288" t="s">
        <v>594</v>
      </c>
      <c r="Q26" s="289"/>
      <c r="R26" s="246">
        <f>SUM(R12:R15)</f>
        <v>186</v>
      </c>
      <c r="S26" s="246">
        <f>SUM(S12:S15)</f>
        <v>144</v>
      </c>
      <c r="T26" s="246">
        <f>SUM(T12:T15)</f>
        <v>117</v>
      </c>
      <c r="U26" s="248">
        <f>SUM(U12:U15)</f>
        <v>196</v>
      </c>
    </row>
    <row r="27" spans="2:21" ht="13.5" thickBot="1" x14ac:dyDescent="0.25">
      <c r="B27" s="301" t="s">
        <v>595</v>
      </c>
      <c r="C27" s="302"/>
      <c r="D27" s="303">
        <f>SUM(D13:D14)</f>
        <v>95</v>
      </c>
      <c r="E27" s="303">
        <f>SUM(E13:E14)</f>
        <v>59</v>
      </c>
      <c r="F27" s="303">
        <f>SUM(F13:F14)</f>
        <v>71</v>
      </c>
      <c r="G27" s="304">
        <f>SUM(G13:G14)</f>
        <v>103</v>
      </c>
      <c r="I27" s="301" t="s">
        <v>595</v>
      </c>
      <c r="J27" s="302"/>
      <c r="K27" s="303">
        <f>SUM(K13:K14)</f>
        <v>110</v>
      </c>
      <c r="L27" s="303">
        <f>SUM(L13:L14)</f>
        <v>64</v>
      </c>
      <c r="M27" s="303">
        <f>SUM(M13:M14)</f>
        <v>71</v>
      </c>
      <c r="N27" s="304">
        <f>SUM(N13:N14)</f>
        <v>128</v>
      </c>
      <c r="P27" s="301" t="s">
        <v>595</v>
      </c>
      <c r="Q27" s="302"/>
      <c r="R27" s="303">
        <f>SUM(R13:R14)</f>
        <v>115</v>
      </c>
      <c r="S27" s="303">
        <f>SUM(S13:S14)</f>
        <v>63</v>
      </c>
      <c r="T27" s="303">
        <f>SUM(T13:T14)</f>
        <v>71</v>
      </c>
      <c r="U27" s="304">
        <f>SUM(U13:U14)</f>
        <v>134</v>
      </c>
    </row>
    <row r="28" spans="2:21" x14ac:dyDescent="0.2">
      <c r="B28" s="280"/>
      <c r="C28" s="280"/>
      <c r="I28" s="280"/>
      <c r="J28" s="280"/>
      <c r="P28" s="280"/>
      <c r="Q28" s="280"/>
    </row>
    <row r="29" spans="2:21" ht="13.5" thickBot="1" x14ac:dyDescent="0.25"/>
    <row r="30" spans="2:21" ht="25.5" x14ac:dyDescent="0.2">
      <c r="B30" s="381" t="s">
        <v>620</v>
      </c>
      <c r="C30" s="382"/>
      <c r="D30" s="282" t="s">
        <v>621</v>
      </c>
      <c r="E30" s="282" t="s">
        <v>622</v>
      </c>
      <c r="F30" s="282" t="s">
        <v>601</v>
      </c>
      <c r="G30" s="283" t="s">
        <v>591</v>
      </c>
      <c r="I30" s="381" t="s">
        <v>620</v>
      </c>
      <c r="J30" s="382"/>
      <c r="K30" s="282" t="s">
        <v>621</v>
      </c>
      <c r="L30" s="282" t="s">
        <v>622</v>
      </c>
      <c r="M30" s="282" t="s">
        <v>601</v>
      </c>
      <c r="N30" s="283" t="s">
        <v>591</v>
      </c>
      <c r="P30" s="381" t="s">
        <v>620</v>
      </c>
      <c r="Q30" s="382"/>
      <c r="R30" s="282" t="s">
        <v>621</v>
      </c>
      <c r="S30" s="282" t="s">
        <v>622</v>
      </c>
      <c r="T30" s="282" t="s">
        <v>601</v>
      </c>
      <c r="U30" s="283" t="s">
        <v>591</v>
      </c>
    </row>
    <row r="31" spans="2:21" x14ac:dyDescent="0.2">
      <c r="B31" s="284" t="s">
        <v>623</v>
      </c>
      <c r="C31" s="285" t="s">
        <v>624</v>
      </c>
      <c r="D31" s="286" t="s">
        <v>59</v>
      </c>
      <c r="E31" s="286" t="s">
        <v>59</v>
      </c>
      <c r="F31" s="286" t="s">
        <v>59</v>
      </c>
      <c r="G31" s="287" t="s">
        <v>59</v>
      </c>
      <c r="I31" s="284" t="s">
        <v>623</v>
      </c>
      <c r="J31" s="285" t="s">
        <v>624</v>
      </c>
      <c r="K31" s="286" t="s">
        <v>60</v>
      </c>
      <c r="L31" s="286" t="s">
        <v>60</v>
      </c>
      <c r="M31" s="286" t="s">
        <v>60</v>
      </c>
      <c r="N31" s="287" t="s">
        <v>60</v>
      </c>
      <c r="P31" s="284" t="s">
        <v>623</v>
      </c>
      <c r="Q31" s="285" t="s">
        <v>624</v>
      </c>
      <c r="R31" s="286" t="s">
        <v>61</v>
      </c>
      <c r="S31" s="286" t="s">
        <v>61</v>
      </c>
      <c r="T31" s="286" t="s">
        <v>61</v>
      </c>
      <c r="U31" s="287" t="s">
        <v>61</v>
      </c>
    </row>
    <row r="32" spans="2:21" x14ac:dyDescent="0.2">
      <c r="B32" s="288"/>
      <c r="C32" s="289">
        <v>0.3</v>
      </c>
      <c r="D32" s="246">
        <f>COUNTIF('2018-19 disagg'!$AY$12:$AY$220,"&gt;"&amp;$C32)</f>
        <v>0</v>
      </c>
      <c r="E32" s="246">
        <f>COUNTIF('2018-19 disagg'!$AZ$12:$AZ$220,"&gt;"&amp;$C32)</f>
        <v>0</v>
      </c>
      <c r="F32" s="246">
        <f>COUNTIF('2018-19 disagg'!$BA$12:$BA$220,"&gt;"&amp;$C32)</f>
        <v>0</v>
      </c>
      <c r="G32" s="248">
        <f>COUNTIF('2018-19 disagg'!$BB$12:$BB$220,"&gt;"&amp;$C32)</f>
        <v>0</v>
      </c>
      <c r="I32" s="288"/>
      <c r="J32" s="289">
        <v>0.3</v>
      </c>
      <c r="K32" s="246">
        <f>COUNTIF('2019-20 disagg'!$AY$12:$AY$220,"&gt;"&amp;$C32)</f>
        <v>0</v>
      </c>
      <c r="L32" s="246">
        <f>COUNTIF('2019-20 disagg'!$AZ$12:$AZ$220,"&gt;"&amp;$C32)</f>
        <v>0</v>
      </c>
      <c r="M32" s="246">
        <f>COUNTIF('2019-20 disagg'!$BA$12:$BA$220,"&gt;"&amp;$C32)</f>
        <v>0</v>
      </c>
      <c r="N32" s="248">
        <f>COUNTIF('2019-20 disagg'!$BB$12:$BB$220,"&gt;"&amp;$C32)</f>
        <v>0</v>
      </c>
      <c r="P32" s="288"/>
      <c r="Q32" s="289">
        <v>0.3</v>
      </c>
      <c r="R32" s="246">
        <f>COUNTIF('2020-21 disagg'!$AY$12:$AY$220,"&gt;"&amp;$C32)</f>
        <v>0</v>
      </c>
      <c r="S32" s="246">
        <f>COUNTIF('2020-21 disagg'!$AZ$12:$AZ$220,"&gt;"&amp;$C32)</f>
        <v>0</v>
      </c>
      <c r="T32" s="246">
        <f>COUNTIF('2020-21 disagg'!$BA$12:$BA$220,"&gt;"&amp;$C32)</f>
        <v>0</v>
      </c>
      <c r="U32" s="248">
        <f>COUNTIF('2020-21 disagg'!$BB$12:$BB$220,"&gt;"&amp;$C32)</f>
        <v>0</v>
      </c>
    </row>
    <row r="33" spans="2:21" x14ac:dyDescent="0.2">
      <c r="B33" s="288">
        <f t="shared" ref="B33:B47" si="3">C32</f>
        <v>0.3</v>
      </c>
      <c r="C33" s="289">
        <v>0.25</v>
      </c>
      <c r="D33" s="290">
        <f>COUNTIF('2018-19 disagg'!$AY$12:$AY$220,"&gt;"&amp;$C33)-SUM(D$32:D32)</f>
        <v>1</v>
      </c>
      <c r="E33" s="290">
        <f>COUNTIF('2018-19 disagg'!$AZ$12:$AZ$220,"&gt;"&amp;$C33)-SUM(E$32:E32)</f>
        <v>1</v>
      </c>
      <c r="F33" s="290">
        <f>COUNTIF('2018-19 disagg'!$BA$12:$BA$220,"&gt;"&amp;$C33)-SUM(F$32:F32)</f>
        <v>0</v>
      </c>
      <c r="G33" s="291">
        <f>COUNTIF('2018-19 disagg'!$BB$12:$BB$220,"&gt;"&amp;$C33)-SUM(G$32:G32)</f>
        <v>0</v>
      </c>
      <c r="I33" s="288">
        <f t="shared" ref="I33:I47" si="4">J32</f>
        <v>0.3</v>
      </c>
      <c r="J33" s="289">
        <v>0.25</v>
      </c>
      <c r="K33" s="290">
        <f>COUNTIF('2019-20 disagg'!$AY$12:$AY$220,"&gt;"&amp;$C33)-SUM(K$32:K32)</f>
        <v>0</v>
      </c>
      <c r="L33" s="290">
        <f>COUNTIF('2019-20 disagg'!$AZ$12:$AZ$220,"&gt;"&amp;$C33)-SUM(L$32:L32)</f>
        <v>0</v>
      </c>
      <c r="M33" s="290">
        <f>COUNTIF('2019-20 disagg'!$BA$12:$BA$220,"&gt;"&amp;$C33)-SUM(M$32:M32)</f>
        <v>0</v>
      </c>
      <c r="N33" s="291">
        <f>COUNTIF('2019-20 disagg'!$BB$12:$BB$220,"&gt;"&amp;$C33)-SUM(N$32:N32)</f>
        <v>0</v>
      </c>
      <c r="P33" s="288">
        <f t="shared" ref="P33:P47" si="5">Q32</f>
        <v>0.3</v>
      </c>
      <c r="Q33" s="289">
        <v>0.25</v>
      </c>
      <c r="R33" s="290">
        <f>COUNTIF('2020-21 disagg'!$AY$12:$AY$220,"&gt;"&amp;$C33)-SUM(R$32:R32)</f>
        <v>0</v>
      </c>
      <c r="S33" s="290">
        <f>COUNTIF('2020-21 disagg'!$AZ$12:$AZ$220,"&gt;"&amp;$C33)-SUM(S$32:S32)</f>
        <v>0</v>
      </c>
      <c r="T33" s="290">
        <f>COUNTIF('2020-21 disagg'!$BA$12:$BA$220,"&gt;"&amp;$C33)-SUM(T$32:T32)</f>
        <v>0</v>
      </c>
      <c r="U33" s="291">
        <f>COUNTIF('2020-21 disagg'!$BB$12:$BB$220,"&gt;"&amp;$C33)-SUM(U$32:U32)</f>
        <v>0</v>
      </c>
    </row>
    <row r="34" spans="2:21" x14ac:dyDescent="0.2">
      <c r="B34" s="288">
        <f t="shared" si="3"/>
        <v>0.25</v>
      </c>
      <c r="C34" s="289">
        <v>0.2</v>
      </c>
      <c r="D34" s="290">
        <f>COUNTIF('2018-19 disagg'!$AY$12:$AY$220,"&gt;"&amp;$C34)-SUM(D$32:D33)</f>
        <v>0</v>
      </c>
      <c r="E34" s="290">
        <f>COUNTIF('2018-19 disagg'!$AZ$12:$AZ$220,"&gt;"&amp;$C34)-SUM(E$32:E33)</f>
        <v>0</v>
      </c>
      <c r="F34" s="290">
        <f>COUNTIF('2018-19 disagg'!$BA$12:$BA$220,"&gt;"&amp;$C34)-SUM(F$32:F33)</f>
        <v>1</v>
      </c>
      <c r="G34" s="291">
        <f>COUNTIF('2018-19 disagg'!$BB$12:$BB$220,"&gt;"&amp;$C34)-SUM(G$32:G33)</f>
        <v>0</v>
      </c>
      <c r="I34" s="288">
        <f t="shared" si="4"/>
        <v>0.25</v>
      </c>
      <c r="J34" s="289">
        <v>0.2</v>
      </c>
      <c r="K34" s="290">
        <f>COUNTIF('2019-20 disagg'!$AY$12:$AY$220,"&gt;"&amp;$C34)-SUM(K$32:K33)</f>
        <v>1</v>
      </c>
      <c r="L34" s="290">
        <f>COUNTIF('2019-20 disagg'!$AZ$12:$AZ$220,"&gt;"&amp;$C34)-SUM(L$32:L33)</f>
        <v>1</v>
      </c>
      <c r="M34" s="290">
        <f>COUNTIF('2019-20 disagg'!$BA$12:$BA$220,"&gt;"&amp;$C34)-SUM(M$32:M33)</f>
        <v>1</v>
      </c>
      <c r="N34" s="291">
        <f>COUNTIF('2019-20 disagg'!$BB$12:$BB$220,"&gt;"&amp;$C34)-SUM(N$32:N33)</f>
        <v>0</v>
      </c>
      <c r="P34" s="288">
        <f t="shared" si="5"/>
        <v>0.25</v>
      </c>
      <c r="Q34" s="289">
        <v>0.2</v>
      </c>
      <c r="R34" s="290">
        <f>COUNTIF('2020-21 disagg'!$AY$12:$AY$220,"&gt;"&amp;$C34)-SUM(R$32:R33)</f>
        <v>1</v>
      </c>
      <c r="S34" s="290">
        <f>COUNTIF('2020-21 disagg'!$AZ$12:$AZ$220,"&gt;"&amp;$C34)-SUM(S$32:S33)</f>
        <v>1</v>
      </c>
      <c r="T34" s="290">
        <f>COUNTIF('2020-21 disagg'!$BA$12:$BA$220,"&gt;"&amp;$C34)-SUM(T$32:T33)</f>
        <v>1</v>
      </c>
      <c r="U34" s="291">
        <f>COUNTIF('2020-21 disagg'!$BB$12:$BB$220,"&gt;"&amp;$C34)-SUM(U$32:U33)</f>
        <v>0</v>
      </c>
    </row>
    <row r="35" spans="2:21" x14ac:dyDescent="0.2">
      <c r="B35" s="288">
        <f t="shared" si="3"/>
        <v>0.2</v>
      </c>
      <c r="C35" s="289">
        <v>0.15</v>
      </c>
      <c r="D35" s="290">
        <f>COUNTIF('2018-19 disagg'!$AY$12:$AY$220,"&gt;"&amp;$C35)-SUM(D$32:D34)</f>
        <v>1</v>
      </c>
      <c r="E35" s="290">
        <f>COUNTIF('2018-19 disagg'!$AZ$12:$AZ$220,"&gt;"&amp;$C35)-SUM(E$32:E34)</f>
        <v>4</v>
      </c>
      <c r="F35" s="290">
        <f>COUNTIF('2018-19 disagg'!$BA$12:$BA$220,"&gt;"&amp;$C35)-SUM(F$32:F34)</f>
        <v>6</v>
      </c>
      <c r="G35" s="291">
        <f>COUNTIF('2018-19 disagg'!$BB$12:$BB$220,"&gt;"&amp;$C35)-SUM(G$32:G34)</f>
        <v>1</v>
      </c>
      <c r="I35" s="288">
        <f t="shared" si="4"/>
        <v>0.2</v>
      </c>
      <c r="J35" s="289">
        <v>0.15</v>
      </c>
      <c r="K35" s="290">
        <f>COUNTIF('2019-20 disagg'!$AY$12:$AY$220,"&gt;"&amp;$C35)-SUM(K$32:K34)</f>
        <v>0</v>
      </c>
      <c r="L35" s="290">
        <f>COUNTIF('2019-20 disagg'!$AZ$12:$AZ$220,"&gt;"&amp;$C35)-SUM(L$32:L34)</f>
        <v>3</v>
      </c>
      <c r="M35" s="290">
        <f>COUNTIF('2019-20 disagg'!$BA$12:$BA$220,"&gt;"&amp;$C35)-SUM(M$32:M34)</f>
        <v>6</v>
      </c>
      <c r="N35" s="291">
        <f>COUNTIF('2019-20 disagg'!$BB$12:$BB$220,"&gt;"&amp;$C35)-SUM(N$32:N34)</f>
        <v>1</v>
      </c>
      <c r="P35" s="288">
        <f t="shared" si="5"/>
        <v>0.2</v>
      </c>
      <c r="Q35" s="289">
        <v>0.15</v>
      </c>
      <c r="R35" s="290">
        <f>COUNTIF('2020-21 disagg'!$AY$12:$AY$220,"&gt;"&amp;$C35)-SUM(R$32:R34)</f>
        <v>0</v>
      </c>
      <c r="S35" s="290">
        <f>COUNTIF('2020-21 disagg'!$AZ$12:$AZ$220,"&gt;"&amp;$C35)-SUM(S$32:S34)</f>
        <v>0</v>
      </c>
      <c r="T35" s="290">
        <f>COUNTIF('2020-21 disagg'!$BA$12:$BA$220,"&gt;"&amp;$C35)-SUM(T$32:T34)</f>
        <v>6</v>
      </c>
      <c r="U35" s="291">
        <f>COUNTIF('2020-21 disagg'!$BB$12:$BB$220,"&gt;"&amp;$C35)-SUM(U$32:U34)</f>
        <v>1</v>
      </c>
    </row>
    <row r="36" spans="2:21" x14ac:dyDescent="0.2">
      <c r="B36" s="288">
        <f t="shared" si="3"/>
        <v>0.15</v>
      </c>
      <c r="C36" s="289">
        <v>0.1</v>
      </c>
      <c r="D36" s="290">
        <f>COUNTIF('2018-19 disagg'!$AY$12:$AY$220,"&gt;"&amp;$C36)-SUM(D$32:D35)</f>
        <v>2</v>
      </c>
      <c r="E36" s="290">
        <f>COUNTIF('2018-19 disagg'!$AZ$12:$AZ$220,"&gt;"&amp;$C36)-SUM(E$32:E35)</f>
        <v>4</v>
      </c>
      <c r="F36" s="290">
        <f>COUNTIF('2018-19 disagg'!$BA$12:$BA$220,"&gt;"&amp;$C36)-SUM(F$32:F35)</f>
        <v>8</v>
      </c>
      <c r="G36" s="291">
        <f>COUNTIF('2018-19 disagg'!$BB$12:$BB$220,"&gt;"&amp;$C36)-SUM(G$32:G35)</f>
        <v>1</v>
      </c>
      <c r="I36" s="288">
        <f t="shared" si="4"/>
        <v>0.15</v>
      </c>
      <c r="J36" s="289">
        <v>0.1</v>
      </c>
      <c r="K36" s="290">
        <f>COUNTIF('2019-20 disagg'!$AY$12:$AY$220,"&gt;"&amp;$C36)-SUM(K$32:K35)</f>
        <v>3</v>
      </c>
      <c r="L36" s="290">
        <f>COUNTIF('2019-20 disagg'!$AZ$12:$AZ$220,"&gt;"&amp;$C36)-SUM(L$32:L35)</f>
        <v>3</v>
      </c>
      <c r="M36" s="290">
        <f>COUNTIF('2019-20 disagg'!$BA$12:$BA$220,"&gt;"&amp;$C36)-SUM(M$32:M35)</f>
        <v>8</v>
      </c>
      <c r="N36" s="291">
        <f>COUNTIF('2019-20 disagg'!$BB$12:$BB$220,"&gt;"&amp;$C36)-SUM(N$32:N35)</f>
        <v>0</v>
      </c>
      <c r="P36" s="288">
        <f t="shared" si="5"/>
        <v>0.15</v>
      </c>
      <c r="Q36" s="289">
        <v>0.1</v>
      </c>
      <c r="R36" s="290">
        <f>COUNTIF('2020-21 disagg'!$AY$12:$AY$220,"&gt;"&amp;$C36)-SUM(R$32:R35)</f>
        <v>0</v>
      </c>
      <c r="S36" s="290">
        <f>COUNTIF('2020-21 disagg'!$AZ$12:$AZ$220,"&gt;"&amp;$C36)-SUM(S$32:S35)</f>
        <v>4</v>
      </c>
      <c r="T36" s="290">
        <f>COUNTIF('2020-21 disagg'!$BA$12:$BA$220,"&gt;"&amp;$C36)-SUM(T$32:T35)</f>
        <v>8</v>
      </c>
      <c r="U36" s="291">
        <f>COUNTIF('2020-21 disagg'!$BB$12:$BB$220,"&gt;"&amp;$C36)-SUM(U$32:U35)</f>
        <v>0</v>
      </c>
    </row>
    <row r="37" spans="2:21" x14ac:dyDescent="0.2">
      <c r="B37" s="288">
        <f t="shared" si="3"/>
        <v>0.1</v>
      </c>
      <c r="C37" s="289">
        <v>0.05</v>
      </c>
      <c r="D37" s="290">
        <f>COUNTIF('2018-19 disagg'!$AY$12:$AY$220,"&gt;"&amp;$C37)-SUM(D$32:D36)</f>
        <v>20</v>
      </c>
      <c r="E37" s="290">
        <f>COUNTIF('2018-19 disagg'!$AZ$12:$AZ$220,"&gt;"&amp;$C37)-SUM(E$32:E36)</f>
        <v>20</v>
      </c>
      <c r="F37" s="290">
        <f>COUNTIF('2018-19 disagg'!$BA$12:$BA$220,"&gt;"&amp;$C37)-SUM(F$32:F36)</f>
        <v>26</v>
      </c>
      <c r="G37" s="291">
        <f>COUNTIF('2018-19 disagg'!$BB$12:$BB$220,"&gt;"&amp;$C37)-SUM(G$32:G36)</f>
        <v>10</v>
      </c>
      <c r="I37" s="288">
        <f t="shared" si="4"/>
        <v>0.1</v>
      </c>
      <c r="J37" s="289">
        <v>0.05</v>
      </c>
      <c r="K37" s="290">
        <f>COUNTIF('2019-20 disagg'!$AY$12:$AY$220,"&gt;"&amp;$C37)-SUM(K$32:K36)</f>
        <v>18</v>
      </c>
      <c r="L37" s="290">
        <f>COUNTIF('2019-20 disagg'!$AZ$12:$AZ$220,"&gt;"&amp;$C37)-SUM(L$32:L36)</f>
        <v>15</v>
      </c>
      <c r="M37" s="290">
        <f>COUNTIF('2019-20 disagg'!$BA$12:$BA$220,"&gt;"&amp;$C37)-SUM(M$32:M36)</f>
        <v>26</v>
      </c>
      <c r="N37" s="291">
        <f>COUNTIF('2019-20 disagg'!$BB$12:$BB$220,"&gt;"&amp;$C37)-SUM(N$32:N36)</f>
        <v>10</v>
      </c>
      <c r="P37" s="288">
        <f t="shared" si="5"/>
        <v>0.1</v>
      </c>
      <c r="Q37" s="289">
        <v>0.05</v>
      </c>
      <c r="R37" s="290">
        <f>COUNTIF('2020-21 disagg'!$AY$12:$AY$220,"&gt;"&amp;$C37)-SUM(R$32:R36)</f>
        <v>18</v>
      </c>
      <c r="S37" s="290">
        <f>COUNTIF('2020-21 disagg'!$AZ$12:$AZ$220,"&gt;"&amp;$C37)-SUM(S$32:S36)</f>
        <v>15</v>
      </c>
      <c r="T37" s="290">
        <f>COUNTIF('2020-21 disagg'!$BA$12:$BA$220,"&gt;"&amp;$C37)-SUM(T$32:T36)</f>
        <v>26</v>
      </c>
      <c r="U37" s="291">
        <f>COUNTIF('2020-21 disagg'!$BB$12:$BB$220,"&gt;"&amp;$C37)-SUM(U$32:U36)</f>
        <v>9</v>
      </c>
    </row>
    <row r="38" spans="2:21" x14ac:dyDescent="0.2">
      <c r="B38" s="292">
        <f t="shared" si="3"/>
        <v>0.05</v>
      </c>
      <c r="C38" s="293">
        <v>2.5000000000000001E-2</v>
      </c>
      <c r="D38" s="294">
        <f>COUNTIF('2018-19 disagg'!$AY$12:$AY$220,"&gt;"&amp;$C38)-SUM(D$32:D37)</f>
        <v>24</v>
      </c>
      <c r="E38" s="294">
        <f>COUNTIF('2018-19 disagg'!$AZ$12:$AZ$220,"&gt;"&amp;$C38)-SUM(E$32:E37)</f>
        <v>21</v>
      </c>
      <c r="F38" s="294">
        <f>COUNTIF('2018-19 disagg'!$BA$12:$BA$220,"&gt;"&amp;$C38)-SUM(F$32:F37)</f>
        <v>24</v>
      </c>
      <c r="G38" s="295">
        <f>COUNTIF('2018-19 disagg'!$BB$12:$BB$220,"&gt;"&amp;$C38)-SUM(G$32:G37)</f>
        <v>30</v>
      </c>
      <c r="I38" s="292">
        <f t="shared" si="4"/>
        <v>0.05</v>
      </c>
      <c r="J38" s="293">
        <v>2.5000000000000001E-2</v>
      </c>
      <c r="K38" s="294">
        <f>COUNTIF('2019-20 disagg'!$AY$12:$AY$220,"&gt;"&amp;$C38)-SUM(K$32:K37)</f>
        <v>26</v>
      </c>
      <c r="L38" s="294">
        <f>COUNTIF('2019-20 disagg'!$AZ$12:$AZ$220,"&gt;"&amp;$C38)-SUM(L$32:L37)</f>
        <v>23</v>
      </c>
      <c r="M38" s="294">
        <f>COUNTIF('2019-20 disagg'!$BA$12:$BA$220,"&gt;"&amp;$C38)-SUM(M$32:M37)</f>
        <v>24</v>
      </c>
      <c r="N38" s="295">
        <f>COUNTIF('2019-20 disagg'!$BB$12:$BB$220,"&gt;"&amp;$C38)-SUM(N$32:N37)</f>
        <v>32</v>
      </c>
      <c r="P38" s="292">
        <f t="shared" si="5"/>
        <v>0.05</v>
      </c>
      <c r="Q38" s="293">
        <v>2.5000000000000001E-2</v>
      </c>
      <c r="R38" s="294">
        <f>COUNTIF('2020-21 disagg'!$AY$12:$AY$220,"&gt;"&amp;$C38)-SUM(R$32:R37)</f>
        <v>30</v>
      </c>
      <c r="S38" s="294">
        <f>COUNTIF('2020-21 disagg'!$AZ$12:$AZ$220,"&gt;"&amp;$C38)-SUM(S$32:S37)</f>
        <v>25</v>
      </c>
      <c r="T38" s="294">
        <f>COUNTIF('2020-21 disagg'!$BA$12:$BA$220,"&gt;"&amp;$C38)-SUM(T$32:T37)</f>
        <v>24</v>
      </c>
      <c r="U38" s="295">
        <f>COUNTIF('2020-21 disagg'!$BB$12:$BB$220,"&gt;"&amp;$C38)-SUM(U$32:U37)</f>
        <v>33</v>
      </c>
    </row>
    <row r="39" spans="2:21" x14ac:dyDescent="0.2">
      <c r="B39" s="296">
        <f t="shared" si="3"/>
        <v>2.5000000000000001E-2</v>
      </c>
      <c r="C39" s="297">
        <v>0</v>
      </c>
      <c r="D39" s="298">
        <f>COUNTIF('2018-19 disagg'!$AY$12:$AY$220,"&gt;"&amp;$C39)-SUM(D$32:D38)</f>
        <v>36</v>
      </c>
      <c r="E39" s="298">
        <f>COUNTIF('2018-19 disagg'!$AZ$12:$AZ$220,"&gt;"&amp;$C39)-SUM(E$32:E38)</f>
        <v>28</v>
      </c>
      <c r="F39" s="298">
        <f>COUNTIF('2018-19 disagg'!$BA$12:$BA$220,"&gt;"&amp;$C39)-SUM(F$32:F38)</f>
        <v>33</v>
      </c>
      <c r="G39" s="299">
        <f>COUNTIF('2018-19 disagg'!$BB$12:$BB$220,"&gt;"&amp;$C39)-SUM(G$32:G38)</f>
        <v>36</v>
      </c>
      <c r="I39" s="296">
        <f t="shared" si="4"/>
        <v>2.5000000000000001E-2</v>
      </c>
      <c r="J39" s="297">
        <v>0</v>
      </c>
      <c r="K39" s="298">
        <f>COUNTIF('2019-20 disagg'!$AY$12:$AY$220,"&gt;"&amp;$C39)-SUM(K$32:K38)</f>
        <v>39</v>
      </c>
      <c r="L39" s="298">
        <f>COUNTIF('2019-20 disagg'!$AZ$12:$AZ$220,"&gt;"&amp;$C39)-SUM(L$32:L38)</f>
        <v>31</v>
      </c>
      <c r="M39" s="298">
        <f>COUNTIF('2019-20 disagg'!$BA$12:$BA$220,"&gt;"&amp;$C39)-SUM(M$32:M38)</f>
        <v>33</v>
      </c>
      <c r="N39" s="299">
        <f>COUNTIF('2019-20 disagg'!$BB$12:$BB$220,"&gt;"&amp;$C39)-SUM(N$32:N38)</f>
        <v>36</v>
      </c>
      <c r="P39" s="296">
        <f t="shared" si="5"/>
        <v>2.5000000000000001E-2</v>
      </c>
      <c r="Q39" s="297">
        <v>0</v>
      </c>
      <c r="R39" s="298">
        <f>COUNTIF('2020-21 disagg'!$AY$12:$AY$220,"&gt;"&amp;$C39)-SUM(R$32:R38)</f>
        <v>41</v>
      </c>
      <c r="S39" s="298">
        <f>COUNTIF('2020-21 disagg'!$AZ$12:$AZ$220,"&gt;"&amp;$C39)-SUM(S$32:S38)</f>
        <v>34</v>
      </c>
      <c r="T39" s="298">
        <f>COUNTIF('2020-21 disagg'!$BA$12:$BA$220,"&gt;"&amp;$C39)-SUM(T$32:T38)</f>
        <v>33</v>
      </c>
      <c r="U39" s="299">
        <f>COUNTIF('2020-21 disagg'!$BB$12:$BB$220,"&gt;"&amp;$C39)-SUM(U$32:U38)</f>
        <v>36</v>
      </c>
    </row>
    <row r="40" spans="2:21" x14ac:dyDescent="0.2">
      <c r="B40" s="296">
        <f t="shared" si="3"/>
        <v>0</v>
      </c>
      <c r="C40" s="297">
        <v>-2.5000000000000001E-2</v>
      </c>
      <c r="D40" s="298">
        <f>COUNTIF('2018-19 disagg'!$AY$12:$AY$220,"&gt;"&amp;$C40)-SUM(D$32:D39)</f>
        <v>79</v>
      </c>
      <c r="E40" s="298">
        <f>COUNTIF('2018-19 disagg'!$AZ$12:$AZ$220,"&gt;"&amp;$C40)-SUM(E$32:E39)</f>
        <v>43</v>
      </c>
      <c r="F40" s="298">
        <f>COUNTIF('2018-19 disagg'!$BA$12:$BA$220,"&gt;"&amp;$C40)-SUM(F$32:F39)</f>
        <v>38</v>
      </c>
      <c r="G40" s="299">
        <f>COUNTIF('2018-19 disagg'!$BB$12:$BB$220,"&gt;"&amp;$C40)-SUM(G$32:G39)</f>
        <v>105</v>
      </c>
      <c r="I40" s="296">
        <f t="shared" si="4"/>
        <v>0</v>
      </c>
      <c r="J40" s="297">
        <v>-2.5000000000000001E-2</v>
      </c>
      <c r="K40" s="298">
        <f>COUNTIF('2019-20 disagg'!$AY$12:$AY$220,"&gt;"&amp;$C40)-SUM(K$32:K39)</f>
        <v>81</v>
      </c>
      <c r="L40" s="298">
        <f>COUNTIF('2019-20 disagg'!$AZ$12:$AZ$220,"&gt;"&amp;$C40)-SUM(L$32:L39)</f>
        <v>44</v>
      </c>
      <c r="M40" s="298">
        <f>COUNTIF('2019-20 disagg'!$BA$12:$BA$220,"&gt;"&amp;$C40)-SUM(M$32:M39)</f>
        <v>38</v>
      </c>
      <c r="N40" s="299">
        <f>COUNTIF('2019-20 disagg'!$BB$12:$BB$220,"&gt;"&amp;$C40)-SUM(N$32:N39)</f>
        <v>119</v>
      </c>
      <c r="P40" s="296">
        <f t="shared" si="5"/>
        <v>0</v>
      </c>
      <c r="Q40" s="297">
        <v>-2.5000000000000001E-2</v>
      </c>
      <c r="R40" s="298">
        <f>COUNTIF('2020-21 disagg'!$AY$12:$AY$220,"&gt;"&amp;$C40)-SUM(R$32:R39)</f>
        <v>84</v>
      </c>
      <c r="S40" s="298">
        <f>COUNTIF('2020-21 disagg'!$AZ$12:$AZ$220,"&gt;"&amp;$C40)-SUM(S$32:S39)</f>
        <v>46</v>
      </c>
      <c r="T40" s="298">
        <f>COUNTIF('2020-21 disagg'!$BA$12:$BA$220,"&gt;"&amp;$C40)-SUM(T$32:T39)</f>
        <v>38</v>
      </c>
      <c r="U40" s="299">
        <f>COUNTIF('2020-21 disagg'!$BB$12:$BB$220,"&gt;"&amp;$C40)-SUM(U$32:U39)</f>
        <v>130</v>
      </c>
    </row>
    <row r="41" spans="2:21" x14ac:dyDescent="0.2">
      <c r="B41" s="292">
        <f t="shared" si="3"/>
        <v>-2.5000000000000001E-2</v>
      </c>
      <c r="C41" s="293">
        <v>-0.05</v>
      </c>
      <c r="D41" s="294">
        <f>COUNTIF('2018-19 disagg'!$AY$12:$AY$220,"&gt;"&amp;$C41)-SUM(D$32:D40)</f>
        <v>46</v>
      </c>
      <c r="E41" s="294">
        <f>COUNTIF('2018-19 disagg'!$AZ$12:$AZ$220,"&gt;"&amp;$C41)-SUM(E$32:E40)</f>
        <v>88</v>
      </c>
      <c r="F41" s="294">
        <f>COUNTIF('2018-19 disagg'!$BA$12:$BA$220,"&gt;"&amp;$C41)-SUM(F$32:F40)</f>
        <v>22</v>
      </c>
      <c r="G41" s="295">
        <f>COUNTIF('2018-19 disagg'!$BB$12:$BB$220,"&gt;"&amp;$C41)-SUM(G$32:G40)</f>
        <v>26</v>
      </c>
      <c r="I41" s="292">
        <f t="shared" si="4"/>
        <v>-2.5000000000000001E-2</v>
      </c>
      <c r="J41" s="293">
        <v>-0.05</v>
      </c>
      <c r="K41" s="294">
        <f>COUNTIF('2019-20 disagg'!$AY$12:$AY$220,"&gt;"&amp;$C41)-SUM(K$32:K40)</f>
        <v>41</v>
      </c>
      <c r="L41" s="294">
        <f>COUNTIF('2019-20 disagg'!$AZ$12:$AZ$220,"&gt;"&amp;$C41)-SUM(L$32:L40)</f>
        <v>89</v>
      </c>
      <c r="M41" s="294">
        <f>COUNTIF('2019-20 disagg'!$BA$12:$BA$220,"&gt;"&amp;$C41)-SUM(M$32:M40)</f>
        <v>22</v>
      </c>
      <c r="N41" s="295">
        <f>COUNTIF('2019-20 disagg'!$BB$12:$BB$220,"&gt;"&amp;$C41)-SUM(N$32:N40)</f>
        <v>11</v>
      </c>
      <c r="P41" s="292">
        <f t="shared" si="5"/>
        <v>-2.5000000000000001E-2</v>
      </c>
      <c r="Q41" s="293">
        <v>-0.05</v>
      </c>
      <c r="R41" s="294">
        <f>COUNTIF('2020-21 disagg'!$AY$12:$AY$220,"&gt;"&amp;$C41)-SUM(R$32:R40)</f>
        <v>35</v>
      </c>
      <c r="S41" s="294">
        <f>COUNTIF('2020-21 disagg'!$AZ$12:$AZ$220,"&gt;"&amp;$C41)-SUM(S$32:S40)</f>
        <v>84</v>
      </c>
      <c r="T41" s="294">
        <f>COUNTIF('2020-21 disagg'!$BA$12:$BA$220,"&gt;"&amp;$C41)-SUM(T$32:T40)</f>
        <v>22</v>
      </c>
      <c r="U41" s="295">
        <f>COUNTIF('2020-21 disagg'!$BB$12:$BB$220,"&gt;"&amp;$C41)-SUM(U$32:U40)</f>
        <v>0</v>
      </c>
    </row>
    <row r="42" spans="2:21" x14ac:dyDescent="0.2">
      <c r="B42" s="288">
        <f t="shared" si="3"/>
        <v>-0.05</v>
      </c>
      <c r="C42" s="289">
        <v>-0.1</v>
      </c>
      <c r="D42" s="290">
        <f>COUNTIF('2018-19 disagg'!$AY$12:$AY$220,"&gt;"&amp;$C42)-SUM(D$32:D41)</f>
        <v>0</v>
      </c>
      <c r="E42" s="290">
        <f>COUNTIF('2018-19 disagg'!$AZ$12:$AZ$220,"&gt;"&amp;$C42)-SUM(E$32:E41)</f>
        <v>0</v>
      </c>
      <c r="F42" s="290">
        <f>COUNTIF('2018-19 disagg'!$BA$12:$BA$220,"&gt;"&amp;$C42)-SUM(F$32:F41)</f>
        <v>30</v>
      </c>
      <c r="G42" s="291">
        <f>COUNTIF('2018-19 disagg'!$BB$12:$BB$220,"&gt;"&amp;$C42)-SUM(G$32:G41)</f>
        <v>0</v>
      </c>
      <c r="I42" s="288">
        <f t="shared" si="4"/>
        <v>-0.05</v>
      </c>
      <c r="J42" s="289">
        <v>-0.1</v>
      </c>
      <c r="K42" s="290">
        <f>COUNTIF('2019-20 disagg'!$AY$12:$AY$220,"&gt;"&amp;$C42)-SUM(K$32:K41)</f>
        <v>0</v>
      </c>
      <c r="L42" s="290">
        <f>COUNTIF('2019-20 disagg'!$AZ$12:$AZ$220,"&gt;"&amp;$C42)-SUM(L$32:L41)</f>
        <v>0</v>
      </c>
      <c r="M42" s="290">
        <f>COUNTIF('2019-20 disagg'!$BA$12:$BA$220,"&gt;"&amp;$C42)-SUM(M$32:M41)</f>
        <v>30</v>
      </c>
      <c r="N42" s="291">
        <f>COUNTIF('2019-20 disagg'!$BB$12:$BB$220,"&gt;"&amp;$C42)-SUM(N$32:N41)</f>
        <v>0</v>
      </c>
      <c r="P42" s="288">
        <f t="shared" si="5"/>
        <v>-0.05</v>
      </c>
      <c r="Q42" s="289">
        <v>-0.1</v>
      </c>
      <c r="R42" s="290">
        <f>COUNTIF('2020-21 disagg'!$AY$12:$AY$220,"&gt;"&amp;$C42)-SUM(R$32:R41)</f>
        <v>0</v>
      </c>
      <c r="S42" s="290">
        <f>COUNTIF('2020-21 disagg'!$AZ$12:$AZ$220,"&gt;"&amp;$C42)-SUM(S$32:S41)</f>
        <v>0</v>
      </c>
      <c r="T42" s="290">
        <f>COUNTIF('2020-21 disagg'!$BA$12:$BA$220,"&gt;"&amp;$C42)-SUM(T$32:T41)</f>
        <v>30</v>
      </c>
      <c r="U42" s="291">
        <f>COUNTIF('2020-21 disagg'!$BB$12:$BB$220,"&gt;"&amp;$C42)-SUM(U$32:U41)</f>
        <v>0</v>
      </c>
    </row>
    <row r="43" spans="2:21" x14ac:dyDescent="0.2">
      <c r="B43" s="288">
        <f t="shared" si="3"/>
        <v>-0.1</v>
      </c>
      <c r="C43" s="289">
        <v>-0.15</v>
      </c>
      <c r="D43" s="290">
        <f>COUNTIF('2018-19 disagg'!$AY$12:$AY$220,"&gt;"&amp;$C43)-SUM(D$32:D42)</f>
        <v>0</v>
      </c>
      <c r="E43" s="290">
        <f>COUNTIF('2018-19 disagg'!$AZ$12:$AZ$220,"&gt;"&amp;$C43)-SUM(E$32:E42)</f>
        <v>0</v>
      </c>
      <c r="F43" s="290">
        <f>COUNTIF('2018-19 disagg'!$BA$12:$BA$220,"&gt;"&amp;$C43)-SUM(F$32:F42)</f>
        <v>14</v>
      </c>
      <c r="G43" s="291">
        <f>COUNTIF('2018-19 disagg'!$BB$12:$BB$220,"&gt;"&amp;$C43)-SUM(G$32:G42)</f>
        <v>0</v>
      </c>
      <c r="I43" s="288">
        <f t="shared" si="4"/>
        <v>-0.1</v>
      </c>
      <c r="J43" s="289">
        <v>-0.15</v>
      </c>
      <c r="K43" s="290">
        <f>COUNTIF('2019-20 disagg'!$AY$12:$AY$220,"&gt;"&amp;$C43)-SUM(K$32:K42)</f>
        <v>0</v>
      </c>
      <c r="L43" s="290">
        <f>COUNTIF('2019-20 disagg'!$AZ$12:$AZ$220,"&gt;"&amp;$C43)-SUM(L$32:L42)</f>
        <v>0</v>
      </c>
      <c r="M43" s="290">
        <f>COUNTIF('2019-20 disagg'!$BA$12:$BA$220,"&gt;"&amp;$C43)-SUM(M$32:M42)</f>
        <v>14</v>
      </c>
      <c r="N43" s="291">
        <f>COUNTIF('2019-20 disagg'!$BB$12:$BB$220,"&gt;"&amp;$C43)-SUM(N$32:N42)</f>
        <v>0</v>
      </c>
      <c r="P43" s="288">
        <f t="shared" si="5"/>
        <v>-0.1</v>
      </c>
      <c r="Q43" s="289">
        <v>-0.15</v>
      </c>
      <c r="R43" s="290">
        <f>COUNTIF('2020-21 disagg'!$AY$12:$AY$220,"&gt;"&amp;$C43)-SUM(R$32:R42)</f>
        <v>0</v>
      </c>
      <c r="S43" s="290">
        <f>COUNTIF('2020-21 disagg'!$AZ$12:$AZ$220,"&gt;"&amp;$C43)-SUM(S$32:S42)</f>
        <v>0</v>
      </c>
      <c r="T43" s="290">
        <f>COUNTIF('2020-21 disagg'!$BA$12:$BA$220,"&gt;"&amp;$C43)-SUM(T$32:T42)</f>
        <v>14</v>
      </c>
      <c r="U43" s="291">
        <f>COUNTIF('2020-21 disagg'!$BB$12:$BB$220,"&gt;"&amp;$C43)-SUM(U$32:U42)</f>
        <v>0</v>
      </c>
    </row>
    <row r="44" spans="2:21" x14ac:dyDescent="0.2">
      <c r="B44" s="288">
        <f t="shared" si="3"/>
        <v>-0.15</v>
      </c>
      <c r="C44" s="289">
        <v>-0.2</v>
      </c>
      <c r="D44" s="290">
        <f>COUNTIF('2018-19 disagg'!$AY$12:$AY$220,"&gt;"&amp;$C44)-SUM(D$32:D43)</f>
        <v>0</v>
      </c>
      <c r="E44" s="290">
        <f>COUNTIF('2018-19 disagg'!$AZ$12:$AZ$220,"&gt;"&amp;$C44)-SUM(E$32:E43)</f>
        <v>0</v>
      </c>
      <c r="F44" s="290">
        <f>COUNTIF('2018-19 disagg'!$BA$12:$BA$220,"&gt;"&amp;$C44)-SUM(F$32:F43)</f>
        <v>4</v>
      </c>
      <c r="G44" s="291">
        <f>COUNTIF('2018-19 disagg'!$BB$12:$BB$220,"&gt;"&amp;$C44)-SUM(G$32:G43)</f>
        <v>0</v>
      </c>
      <c r="I44" s="288">
        <f t="shared" si="4"/>
        <v>-0.15</v>
      </c>
      <c r="J44" s="289">
        <v>-0.2</v>
      </c>
      <c r="K44" s="290">
        <f>COUNTIF('2019-20 disagg'!$AY$12:$AY$220,"&gt;"&amp;$C44)-SUM(K$32:K43)</f>
        <v>0</v>
      </c>
      <c r="L44" s="290">
        <f>COUNTIF('2019-20 disagg'!$AZ$12:$AZ$220,"&gt;"&amp;$C44)-SUM(L$32:L43)</f>
        <v>0</v>
      </c>
      <c r="M44" s="290">
        <f>COUNTIF('2019-20 disagg'!$BA$12:$BA$220,"&gt;"&amp;$C44)-SUM(M$32:M43)</f>
        <v>4</v>
      </c>
      <c r="N44" s="291">
        <f>COUNTIF('2019-20 disagg'!$BB$12:$BB$220,"&gt;"&amp;$C44)-SUM(N$32:N43)</f>
        <v>0</v>
      </c>
      <c r="P44" s="288">
        <f t="shared" si="5"/>
        <v>-0.15</v>
      </c>
      <c r="Q44" s="289">
        <v>-0.2</v>
      </c>
      <c r="R44" s="290">
        <f>COUNTIF('2020-21 disagg'!$AY$12:$AY$220,"&gt;"&amp;$C44)-SUM(R$32:R43)</f>
        <v>0</v>
      </c>
      <c r="S44" s="290">
        <f>COUNTIF('2020-21 disagg'!$AZ$12:$AZ$220,"&gt;"&amp;$C44)-SUM(S$32:S43)</f>
        <v>0</v>
      </c>
      <c r="T44" s="290">
        <f>COUNTIF('2020-21 disagg'!$BA$12:$BA$220,"&gt;"&amp;$C44)-SUM(T$32:T43)</f>
        <v>4</v>
      </c>
      <c r="U44" s="291">
        <f>COUNTIF('2020-21 disagg'!$BB$12:$BB$220,"&gt;"&amp;$C44)-SUM(U$32:U43)</f>
        <v>0</v>
      </c>
    </row>
    <row r="45" spans="2:21" x14ac:dyDescent="0.2">
      <c r="B45" s="288">
        <f t="shared" si="3"/>
        <v>-0.2</v>
      </c>
      <c r="C45" s="289">
        <v>-0.25</v>
      </c>
      <c r="D45" s="290">
        <f>COUNTIF('2018-19 disagg'!$AY$12:$AY$220,"&gt;"&amp;$C45)-SUM(D$32:D44)</f>
        <v>0</v>
      </c>
      <c r="E45" s="290">
        <f>COUNTIF('2018-19 disagg'!$AZ$12:$AZ$220,"&gt;"&amp;$C45)-SUM(E$32:E44)</f>
        <v>0</v>
      </c>
      <c r="F45" s="290">
        <f>COUNTIF('2018-19 disagg'!$BA$12:$BA$220,"&gt;"&amp;$C45)-SUM(F$32:F44)</f>
        <v>3</v>
      </c>
      <c r="G45" s="291">
        <f>COUNTIF('2018-19 disagg'!$BB$12:$BB$220,"&gt;"&amp;$C45)-SUM(G$32:G44)</f>
        <v>0</v>
      </c>
      <c r="I45" s="288">
        <f t="shared" si="4"/>
        <v>-0.2</v>
      </c>
      <c r="J45" s="289">
        <v>-0.25</v>
      </c>
      <c r="K45" s="290">
        <f>COUNTIF('2019-20 disagg'!$AY$12:$AY$220,"&gt;"&amp;$C45)-SUM(K$32:K44)</f>
        <v>0</v>
      </c>
      <c r="L45" s="290">
        <f>COUNTIF('2019-20 disagg'!$AZ$12:$AZ$220,"&gt;"&amp;$C45)-SUM(L$32:L44)</f>
        <v>0</v>
      </c>
      <c r="M45" s="290">
        <f>COUNTIF('2019-20 disagg'!$BA$12:$BA$220,"&gt;"&amp;$C45)-SUM(M$32:M44)</f>
        <v>3</v>
      </c>
      <c r="N45" s="291">
        <f>COUNTIF('2019-20 disagg'!$BB$12:$BB$220,"&gt;"&amp;$C45)-SUM(N$32:N44)</f>
        <v>0</v>
      </c>
      <c r="P45" s="288">
        <f t="shared" si="5"/>
        <v>-0.2</v>
      </c>
      <c r="Q45" s="289">
        <v>-0.25</v>
      </c>
      <c r="R45" s="290">
        <f>COUNTIF('2020-21 disagg'!$AY$12:$AY$220,"&gt;"&amp;$C45)-SUM(R$32:R44)</f>
        <v>0</v>
      </c>
      <c r="S45" s="290">
        <f>COUNTIF('2020-21 disagg'!$AZ$12:$AZ$220,"&gt;"&amp;$C45)-SUM(S$32:S44)</f>
        <v>0</v>
      </c>
      <c r="T45" s="290">
        <f>COUNTIF('2020-21 disagg'!$BA$12:$BA$220,"&gt;"&amp;$C45)-SUM(T$32:T44)</f>
        <v>3</v>
      </c>
      <c r="U45" s="291">
        <f>COUNTIF('2020-21 disagg'!$BB$12:$BB$220,"&gt;"&amp;$C45)-SUM(U$32:U44)</f>
        <v>0</v>
      </c>
    </row>
    <row r="46" spans="2:21" x14ac:dyDescent="0.2">
      <c r="B46" s="288">
        <f t="shared" si="3"/>
        <v>-0.25</v>
      </c>
      <c r="C46" s="289">
        <v>-0.3</v>
      </c>
      <c r="D46" s="290">
        <f>COUNTIF('2018-19 disagg'!$AY$12:$AY$220,"&gt;"&amp;$C46)-SUM(D$32:D45)</f>
        <v>0</v>
      </c>
      <c r="E46" s="290">
        <f>COUNTIF('2018-19 disagg'!$AZ$12:$AZ$220,"&gt;"&amp;$C46)-SUM(E$32:E45)</f>
        <v>0</v>
      </c>
      <c r="F46" s="290">
        <f>COUNTIF('2018-19 disagg'!$BA$12:$BA$220,"&gt;"&amp;$C46)-SUM(F$32:F45)</f>
        <v>0</v>
      </c>
      <c r="G46" s="291">
        <f>COUNTIF('2018-19 disagg'!$BB$12:$BB$220,"&gt;"&amp;$C46)-SUM(G$32:G45)</f>
        <v>0</v>
      </c>
      <c r="I46" s="288">
        <f t="shared" si="4"/>
        <v>-0.25</v>
      </c>
      <c r="J46" s="289">
        <v>-0.3</v>
      </c>
      <c r="K46" s="290">
        <f>COUNTIF('2019-20 disagg'!$AY$12:$AY$220,"&gt;"&amp;$C46)-SUM(K$32:K45)</f>
        <v>0</v>
      </c>
      <c r="L46" s="290">
        <f>COUNTIF('2019-20 disagg'!$AZ$12:$AZ$220,"&gt;"&amp;$C46)-SUM(L$32:L45)</f>
        <v>0</v>
      </c>
      <c r="M46" s="290">
        <f>COUNTIF('2019-20 disagg'!$BA$12:$BA$220,"&gt;"&amp;$C46)-SUM(M$32:M45)</f>
        <v>0</v>
      </c>
      <c r="N46" s="291">
        <f>COUNTIF('2019-20 disagg'!$BB$12:$BB$220,"&gt;"&amp;$C46)-SUM(N$32:N45)</f>
        <v>0</v>
      </c>
      <c r="P46" s="288">
        <f t="shared" si="5"/>
        <v>-0.25</v>
      </c>
      <c r="Q46" s="289">
        <v>-0.3</v>
      </c>
      <c r="R46" s="290">
        <f>COUNTIF('2020-21 disagg'!$AY$12:$AY$220,"&gt;"&amp;$C46)-SUM(R$32:R45)</f>
        <v>0</v>
      </c>
      <c r="S46" s="290">
        <f>COUNTIF('2020-21 disagg'!$AZ$12:$AZ$220,"&gt;"&amp;$C46)-SUM(S$32:S45)</f>
        <v>0</v>
      </c>
      <c r="T46" s="290">
        <f>COUNTIF('2020-21 disagg'!$BA$12:$BA$220,"&gt;"&amp;$C46)-SUM(T$32:T45)</f>
        <v>0</v>
      </c>
      <c r="U46" s="291">
        <f>COUNTIF('2020-21 disagg'!$BB$12:$BB$220,"&gt;"&amp;$C46)-SUM(U$32:U45)</f>
        <v>0</v>
      </c>
    </row>
    <row r="47" spans="2:21" x14ac:dyDescent="0.2">
      <c r="B47" s="288">
        <f t="shared" si="3"/>
        <v>-0.3</v>
      </c>
      <c r="C47" s="289"/>
      <c r="D47" s="290">
        <f>COUNTIF('2018-19 disagg'!$AY$12:$AY$220,"&lt;="&amp;$B47)</f>
        <v>0</v>
      </c>
      <c r="E47" s="290">
        <f>COUNTIF('2018-19 disagg'!$AZ$12:$AZ$220,"&lt;="&amp;$B47)</f>
        <v>0</v>
      </c>
      <c r="F47" s="290">
        <f>COUNTIF('2018-19 disagg'!$BA$12:$BA$220,"&lt;="&amp;$B47)</f>
        <v>0</v>
      </c>
      <c r="G47" s="291">
        <f>COUNTIF('2018-19 disagg'!$BB$12:$BB$220,"&lt;="&amp;$B47)</f>
        <v>0</v>
      </c>
      <c r="I47" s="288">
        <f t="shared" si="4"/>
        <v>-0.3</v>
      </c>
      <c r="J47" s="289"/>
      <c r="K47" s="290">
        <f>COUNTIF('2019-20 disagg'!$AY$12:$AY$220,"&lt;="&amp;$B47)</f>
        <v>0</v>
      </c>
      <c r="L47" s="290">
        <f>COUNTIF('2019-20 disagg'!$AZ$12:$AZ$220,"&lt;="&amp;$B47)</f>
        <v>0</v>
      </c>
      <c r="M47" s="290">
        <f>COUNTIF('2019-20 disagg'!$BA$12:$BA$220,"&lt;="&amp;$B47)</f>
        <v>0</v>
      </c>
      <c r="N47" s="291">
        <f>COUNTIF('2019-20 disagg'!$BB$12:$BB$220,"&lt;="&amp;$B47)</f>
        <v>0</v>
      </c>
      <c r="P47" s="288">
        <f t="shared" si="5"/>
        <v>-0.3</v>
      </c>
      <c r="Q47" s="289"/>
      <c r="R47" s="290">
        <f>COUNTIF('2020-21 disagg'!$AY$12:$AY$220,"&lt;="&amp;$B47)</f>
        <v>0</v>
      </c>
      <c r="S47" s="290">
        <f>COUNTIF('2020-21 disagg'!$AZ$12:$AZ$220,"&lt;="&amp;$B47)</f>
        <v>0</v>
      </c>
      <c r="T47" s="290">
        <f>COUNTIF('2020-21 disagg'!$BA$12:$BA$220,"&lt;="&amp;$B47)</f>
        <v>0</v>
      </c>
      <c r="U47" s="291">
        <f>COUNTIF('2020-21 disagg'!$BB$12:$BB$220,"&lt;="&amp;$B47)</f>
        <v>0</v>
      </c>
    </row>
    <row r="48" spans="2:21" x14ac:dyDescent="0.2">
      <c r="B48" s="288"/>
      <c r="C48" s="289"/>
      <c r="D48" s="198"/>
      <c r="E48" s="198"/>
      <c r="F48" s="198"/>
      <c r="G48" s="300"/>
      <c r="I48" s="288"/>
      <c r="J48" s="289"/>
      <c r="K48" s="198"/>
      <c r="L48" s="198"/>
      <c r="M48" s="198"/>
      <c r="N48" s="300"/>
      <c r="P48" s="288"/>
      <c r="Q48" s="289"/>
      <c r="R48" s="198"/>
      <c r="S48" s="198"/>
      <c r="T48" s="198"/>
      <c r="U48" s="300"/>
    </row>
    <row r="49" spans="2:21" x14ac:dyDescent="0.2">
      <c r="B49" s="288"/>
      <c r="C49" s="289" t="s">
        <v>591</v>
      </c>
      <c r="D49" s="246">
        <f>SUM(D32:D47)</f>
        <v>209</v>
      </c>
      <c r="E49" s="246">
        <f>SUM(E32:E47)</f>
        <v>209</v>
      </c>
      <c r="F49" s="246">
        <f>SUM(F32:F47)</f>
        <v>209</v>
      </c>
      <c r="G49" s="248">
        <f>SUM(G32:G47)</f>
        <v>209</v>
      </c>
      <c r="I49" s="288"/>
      <c r="J49" s="289" t="s">
        <v>591</v>
      </c>
      <c r="K49" s="246">
        <f>SUM(K32:K47)</f>
        <v>209</v>
      </c>
      <c r="L49" s="246">
        <f>SUM(L32:L47)</f>
        <v>209</v>
      </c>
      <c r="M49" s="246">
        <f>SUM(M32:M47)</f>
        <v>209</v>
      </c>
      <c r="N49" s="248">
        <f>SUM(N32:N47)</f>
        <v>209</v>
      </c>
      <c r="P49" s="288"/>
      <c r="Q49" s="289" t="s">
        <v>591</v>
      </c>
      <c r="R49" s="246">
        <f>SUM(R32:R47)</f>
        <v>209</v>
      </c>
      <c r="S49" s="246">
        <f>SUM(S32:S47)</f>
        <v>209</v>
      </c>
      <c r="T49" s="246">
        <f>SUM(T32:T47)</f>
        <v>209</v>
      </c>
      <c r="U49" s="248">
        <f>SUM(U32:U47)</f>
        <v>209</v>
      </c>
    </row>
    <row r="50" spans="2:21" x14ac:dyDescent="0.2">
      <c r="B50" s="288"/>
      <c r="C50" s="289"/>
      <c r="D50" s="198"/>
      <c r="E50" s="198"/>
      <c r="F50" s="198"/>
      <c r="G50" s="300"/>
      <c r="I50" s="288"/>
      <c r="J50" s="289"/>
      <c r="K50" s="198"/>
      <c r="L50" s="198"/>
      <c r="M50" s="198"/>
      <c r="N50" s="300"/>
      <c r="P50" s="288"/>
      <c r="Q50" s="289"/>
      <c r="R50" s="198"/>
      <c r="S50" s="198"/>
      <c r="T50" s="198"/>
      <c r="U50" s="300"/>
    </row>
    <row r="51" spans="2:21" x14ac:dyDescent="0.2">
      <c r="B51" s="288" t="s">
        <v>593</v>
      </c>
      <c r="C51" s="289"/>
      <c r="D51" s="246">
        <f>SUM(D42:D47)</f>
        <v>0</v>
      </c>
      <c r="E51" s="246">
        <f>SUM(E42:E47)</f>
        <v>0</v>
      </c>
      <c r="F51" s="246">
        <f>SUM(F42:F47)</f>
        <v>51</v>
      </c>
      <c r="G51" s="248">
        <f>SUM(G42:G47)</f>
        <v>0</v>
      </c>
      <c r="I51" s="288" t="s">
        <v>593</v>
      </c>
      <c r="J51" s="289"/>
      <c r="K51" s="246">
        <f>SUM(K42:K47)</f>
        <v>0</v>
      </c>
      <c r="L51" s="246">
        <f>SUM(L42:L47)</f>
        <v>0</v>
      </c>
      <c r="M51" s="246">
        <f>SUM(M42:M47)</f>
        <v>51</v>
      </c>
      <c r="N51" s="248">
        <f>SUM(N42:N47)</f>
        <v>0</v>
      </c>
      <c r="P51" s="288" t="s">
        <v>593</v>
      </c>
      <c r="Q51" s="289"/>
      <c r="R51" s="246">
        <f>SUM(R42:R47)</f>
        <v>0</v>
      </c>
      <c r="S51" s="246">
        <f>SUM(S42:S47)</f>
        <v>0</v>
      </c>
      <c r="T51" s="246">
        <f>SUM(T42:T47)</f>
        <v>51</v>
      </c>
      <c r="U51" s="248">
        <f>SUM(U42:U47)</f>
        <v>0</v>
      </c>
    </row>
    <row r="52" spans="2:21" x14ac:dyDescent="0.2">
      <c r="B52" s="288" t="s">
        <v>594</v>
      </c>
      <c r="C52" s="289"/>
      <c r="D52" s="246">
        <f>SUM(D38:D41)</f>
        <v>185</v>
      </c>
      <c r="E52" s="246">
        <f>SUM(E38:E41)</f>
        <v>180</v>
      </c>
      <c r="F52" s="246">
        <f>SUM(F38:F41)</f>
        <v>117</v>
      </c>
      <c r="G52" s="248">
        <f>SUM(G38:G41)</f>
        <v>197</v>
      </c>
      <c r="I52" s="288" t="s">
        <v>594</v>
      </c>
      <c r="J52" s="289"/>
      <c r="K52" s="246">
        <f>SUM(K38:K41)</f>
        <v>187</v>
      </c>
      <c r="L52" s="246">
        <f>SUM(L38:L41)</f>
        <v>187</v>
      </c>
      <c r="M52" s="246">
        <f>SUM(M38:M41)</f>
        <v>117</v>
      </c>
      <c r="N52" s="248">
        <f>SUM(N38:N41)</f>
        <v>198</v>
      </c>
      <c r="P52" s="288" t="s">
        <v>594</v>
      </c>
      <c r="Q52" s="289"/>
      <c r="R52" s="246">
        <f>SUM(R38:R41)</f>
        <v>190</v>
      </c>
      <c r="S52" s="246">
        <f>SUM(S38:S41)</f>
        <v>189</v>
      </c>
      <c r="T52" s="246">
        <f>SUM(T38:T41)</f>
        <v>117</v>
      </c>
      <c r="U52" s="248">
        <f>SUM(U38:U41)</f>
        <v>199</v>
      </c>
    </row>
    <row r="53" spans="2:21" ht="13.5" thickBot="1" x14ac:dyDescent="0.25">
      <c r="B53" s="301" t="s">
        <v>595</v>
      </c>
      <c r="C53" s="302"/>
      <c r="D53" s="303">
        <f>SUM(D39:D40)</f>
        <v>115</v>
      </c>
      <c r="E53" s="303">
        <f>SUM(E39:E40)</f>
        <v>71</v>
      </c>
      <c r="F53" s="303">
        <f>SUM(F39:F40)</f>
        <v>71</v>
      </c>
      <c r="G53" s="304">
        <f>SUM(G39:G40)</f>
        <v>141</v>
      </c>
      <c r="I53" s="301" t="s">
        <v>595</v>
      </c>
      <c r="J53" s="302"/>
      <c r="K53" s="303">
        <f>SUM(K39:K40)</f>
        <v>120</v>
      </c>
      <c r="L53" s="303">
        <f>SUM(L39:L40)</f>
        <v>75</v>
      </c>
      <c r="M53" s="303">
        <f>SUM(M39:M40)</f>
        <v>71</v>
      </c>
      <c r="N53" s="304">
        <f>SUM(N39:N40)</f>
        <v>155</v>
      </c>
      <c r="P53" s="301" t="s">
        <v>595</v>
      </c>
      <c r="Q53" s="302"/>
      <c r="R53" s="303">
        <f>SUM(R39:R40)</f>
        <v>125</v>
      </c>
      <c r="S53" s="303">
        <f>SUM(S39:S40)</f>
        <v>80</v>
      </c>
      <c r="T53" s="303">
        <f>SUM(T39:T40)</f>
        <v>71</v>
      </c>
      <c r="U53" s="304">
        <f>SUM(U39:U40)</f>
        <v>166</v>
      </c>
    </row>
  </sheetData>
  <mergeCells count="6">
    <mergeCell ref="B4:C4"/>
    <mergeCell ref="I4:J4"/>
    <mergeCell ref="P4:Q4"/>
    <mergeCell ref="B30:C30"/>
    <mergeCell ref="I30:J30"/>
    <mergeCell ref="P30:Q3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0"/>
  <sheetViews>
    <sheetView workbookViewId="0"/>
  </sheetViews>
  <sheetFormatPr defaultRowHeight="12.75" x14ac:dyDescent="0.2"/>
  <cols>
    <col min="1" max="3" width="9.140625" style="156"/>
    <col min="4" max="4" width="31" style="156" bestFit="1" customWidth="1"/>
    <col min="5" max="7" width="9.140625" style="156"/>
    <col min="8" max="9" width="11.28515625" style="156" customWidth="1"/>
    <col min="10" max="16384" width="9.140625" style="156"/>
  </cols>
  <sheetData>
    <row r="1" spans="1:22" x14ac:dyDescent="0.2">
      <c r="A1" s="321" t="s">
        <v>616</v>
      </c>
    </row>
    <row r="2" spans="1:22" x14ac:dyDescent="0.2">
      <c r="A2" s="279" t="s">
        <v>949</v>
      </c>
    </row>
    <row r="3" spans="1:22" ht="13.5" thickBot="1" x14ac:dyDescent="0.25">
      <c r="A3" s="354" t="s">
        <v>955</v>
      </c>
    </row>
    <row r="4" spans="1:22" x14ac:dyDescent="0.2">
      <c r="B4" s="238"/>
      <c r="C4" s="239"/>
      <c r="D4" s="240"/>
      <c r="E4" s="385" t="s">
        <v>0</v>
      </c>
      <c r="F4" s="383"/>
      <c r="G4" s="386"/>
      <c r="H4" s="385" t="s">
        <v>13</v>
      </c>
      <c r="I4" s="383"/>
      <c r="J4" s="386"/>
      <c r="K4" s="385" t="s">
        <v>58</v>
      </c>
      <c r="L4" s="383"/>
      <c r="M4" s="386"/>
      <c r="N4" s="385" t="s">
        <v>59</v>
      </c>
      <c r="O4" s="383"/>
      <c r="P4" s="386"/>
      <c r="Q4" s="385" t="s">
        <v>60</v>
      </c>
      <c r="R4" s="383"/>
      <c r="S4" s="386"/>
      <c r="T4" s="383" t="s">
        <v>61</v>
      </c>
      <c r="U4" s="383"/>
      <c r="V4" s="384"/>
    </row>
    <row r="5" spans="1:22" x14ac:dyDescent="0.2">
      <c r="B5" s="241"/>
      <c r="C5" s="242"/>
      <c r="D5" s="243"/>
      <c r="E5" s="242" t="s">
        <v>67</v>
      </c>
      <c r="F5" s="242" t="s">
        <v>627</v>
      </c>
      <c r="G5" s="243" t="s">
        <v>591</v>
      </c>
      <c r="H5" s="242" t="s">
        <v>67</v>
      </c>
      <c r="I5" s="242" t="s">
        <v>627</v>
      </c>
      <c r="J5" s="243" t="s">
        <v>591</v>
      </c>
      <c r="K5" s="242" t="s">
        <v>67</v>
      </c>
      <c r="L5" s="242" t="s">
        <v>627</v>
      </c>
      <c r="M5" s="243" t="s">
        <v>591</v>
      </c>
      <c r="N5" s="242" t="s">
        <v>67</v>
      </c>
      <c r="O5" s="242" t="s">
        <v>627</v>
      </c>
      <c r="P5" s="243" t="s">
        <v>591</v>
      </c>
      <c r="Q5" s="242" t="s">
        <v>67</v>
      </c>
      <c r="R5" s="242" t="s">
        <v>627</v>
      </c>
      <c r="S5" s="243" t="s">
        <v>591</v>
      </c>
      <c r="T5" s="242" t="s">
        <v>67</v>
      </c>
      <c r="U5" s="242" t="s">
        <v>627</v>
      </c>
      <c r="V5" s="244" t="s">
        <v>591</v>
      </c>
    </row>
    <row r="6" spans="1:22" x14ac:dyDescent="0.2">
      <c r="B6" s="245" t="s">
        <v>625</v>
      </c>
      <c r="C6" s="198"/>
      <c r="D6" s="218" t="s">
        <v>607</v>
      </c>
      <c r="E6" s="246">
        <f>SUM('DfT summary'!D16:D21)</f>
        <v>24</v>
      </c>
      <c r="F6" s="246">
        <f>SUM('DfT summary'!E16:E21)</f>
        <v>50</v>
      </c>
      <c r="G6" s="247">
        <f>SUM('DfT summary'!G16:G21)</f>
        <v>10</v>
      </c>
      <c r="H6" s="246">
        <f>SUM('DfT summary'!K16:K21)</f>
        <v>0</v>
      </c>
      <c r="I6" s="246">
        <f>SUM('DfT summary'!L16:L21)</f>
        <v>50</v>
      </c>
      <c r="J6" s="247">
        <f>SUM('DfT summary'!N16:N21)</f>
        <v>0</v>
      </c>
      <c r="K6" s="246">
        <f>SUM('DfT summary'!R16:R21)</f>
        <v>0</v>
      </c>
      <c r="L6" s="246">
        <f>SUM('DfT summary'!S16:S21)</f>
        <v>28</v>
      </c>
      <c r="M6" s="247">
        <f>SUM('DfT summary'!U16:U21)</f>
        <v>0</v>
      </c>
      <c r="N6" s="246">
        <f>SUM('DfT summary'!D42:D47)</f>
        <v>0</v>
      </c>
      <c r="O6" s="246">
        <f>SUM('DfT summary'!E42:E47)</f>
        <v>0</v>
      </c>
      <c r="P6" s="247">
        <f>SUM('DfT summary'!G42:G47)</f>
        <v>0</v>
      </c>
      <c r="Q6" s="246">
        <f>SUM('DfT summary'!K42:K47)</f>
        <v>0</v>
      </c>
      <c r="R6" s="246">
        <f>SUM('DfT summary'!L42:L47)</f>
        <v>0</v>
      </c>
      <c r="S6" s="247">
        <f>SUM('DfT summary'!N42:N47)</f>
        <v>0</v>
      </c>
      <c r="T6" s="246">
        <f>SUM('DfT summary'!R42:R47)</f>
        <v>0</v>
      </c>
      <c r="U6" s="246">
        <f>SUM('DfT summary'!S42:S47)</f>
        <v>0</v>
      </c>
      <c r="V6" s="248">
        <f>SUM('DfT summary'!U42:U47)</f>
        <v>0</v>
      </c>
    </row>
    <row r="7" spans="1:22" x14ac:dyDescent="0.2">
      <c r="B7" s="245"/>
      <c r="C7" s="198"/>
      <c r="D7" s="249" t="s">
        <v>628</v>
      </c>
      <c r="E7" s="246">
        <f>'DfT summary'!D15</f>
        <v>39</v>
      </c>
      <c r="F7" s="246">
        <f>'DfT summary'!E15</f>
        <v>26</v>
      </c>
      <c r="G7" s="247">
        <f>'DfT summary'!G15</f>
        <v>48</v>
      </c>
      <c r="H7" s="246">
        <f>'DfT summary'!K15</f>
        <v>56</v>
      </c>
      <c r="I7" s="246">
        <f>'DfT summary'!L15</f>
        <v>22</v>
      </c>
      <c r="J7" s="247">
        <f>'DfT summary'!N15</f>
        <v>38</v>
      </c>
      <c r="K7" s="246">
        <f>'DfT summary'!R15</f>
        <v>51</v>
      </c>
      <c r="L7" s="246">
        <f>'DfT summary'!S15</f>
        <v>55</v>
      </c>
      <c r="M7" s="247">
        <f>'DfT summary'!U15</f>
        <v>32</v>
      </c>
      <c r="N7" s="246">
        <f>'DfT summary'!D41</f>
        <v>46</v>
      </c>
      <c r="O7" s="246">
        <f>'DfT summary'!E41</f>
        <v>88</v>
      </c>
      <c r="P7" s="247">
        <f>'DfT summary'!G41</f>
        <v>26</v>
      </c>
      <c r="Q7" s="246">
        <f>'DfT summary'!K41</f>
        <v>41</v>
      </c>
      <c r="R7" s="246">
        <f>'DfT summary'!L41</f>
        <v>89</v>
      </c>
      <c r="S7" s="247">
        <f>'DfT summary'!N41</f>
        <v>11</v>
      </c>
      <c r="T7" s="246">
        <f>'DfT summary'!R41</f>
        <v>35</v>
      </c>
      <c r="U7" s="246">
        <f>'DfT summary'!S41</f>
        <v>84</v>
      </c>
      <c r="V7" s="248">
        <f>'DfT summary'!U41</f>
        <v>0</v>
      </c>
    </row>
    <row r="8" spans="1:22" x14ac:dyDescent="0.2">
      <c r="B8" s="245"/>
      <c r="C8" s="198"/>
      <c r="D8" s="249" t="s">
        <v>629</v>
      </c>
      <c r="E8" s="246">
        <f>'DfT summary'!D14</f>
        <v>57</v>
      </c>
      <c r="F8" s="246">
        <f>'DfT summary'!E14</f>
        <v>29</v>
      </c>
      <c r="G8" s="247">
        <f>'DfT summary'!G14</f>
        <v>58</v>
      </c>
      <c r="H8" s="246">
        <f>'DfT summary'!K14</f>
        <v>73</v>
      </c>
      <c r="I8" s="246">
        <f>'DfT summary'!L14</f>
        <v>29</v>
      </c>
      <c r="J8" s="247">
        <f>'DfT summary'!N14</f>
        <v>89</v>
      </c>
      <c r="K8" s="246">
        <f>'DfT summary'!R14</f>
        <v>77</v>
      </c>
      <c r="L8" s="246">
        <f>'DfT summary'!S14</f>
        <v>32</v>
      </c>
      <c r="M8" s="247">
        <f>'DfT summary'!U14</f>
        <v>98</v>
      </c>
      <c r="N8" s="246">
        <f>'DfT summary'!D40</f>
        <v>79</v>
      </c>
      <c r="O8" s="246">
        <f>'DfT summary'!E40</f>
        <v>43</v>
      </c>
      <c r="P8" s="247">
        <f>'DfT summary'!G40</f>
        <v>105</v>
      </c>
      <c r="Q8" s="246">
        <f>'DfT summary'!K40</f>
        <v>81</v>
      </c>
      <c r="R8" s="246">
        <f>'DfT summary'!L40</f>
        <v>44</v>
      </c>
      <c r="S8" s="247">
        <f>'DfT summary'!N40</f>
        <v>119</v>
      </c>
      <c r="T8" s="246">
        <f>'DfT summary'!R40</f>
        <v>84</v>
      </c>
      <c r="U8" s="246">
        <f>'DfT summary'!S40</f>
        <v>46</v>
      </c>
      <c r="V8" s="248">
        <f>'DfT summary'!U40</f>
        <v>130</v>
      </c>
    </row>
    <row r="9" spans="1:22" x14ac:dyDescent="0.2">
      <c r="B9" s="245"/>
      <c r="C9" s="198"/>
      <c r="D9" s="249" t="s">
        <v>630</v>
      </c>
      <c r="E9" s="246">
        <f>'DfT summary'!D13</f>
        <v>38</v>
      </c>
      <c r="F9" s="246">
        <f>'DfT summary'!E13</f>
        <v>30</v>
      </c>
      <c r="G9" s="247">
        <f>'DfT summary'!G13</f>
        <v>45</v>
      </c>
      <c r="H9" s="246">
        <f>'DfT summary'!K13</f>
        <v>37</v>
      </c>
      <c r="I9" s="246">
        <f>'DfT summary'!L13</f>
        <v>35</v>
      </c>
      <c r="J9" s="247">
        <f>'DfT summary'!N13</f>
        <v>39</v>
      </c>
      <c r="K9" s="246">
        <f>'DfT summary'!R13</f>
        <v>38</v>
      </c>
      <c r="L9" s="246">
        <f>'DfT summary'!S13</f>
        <v>31</v>
      </c>
      <c r="M9" s="247">
        <f>'DfT summary'!U13</f>
        <v>36</v>
      </c>
      <c r="N9" s="246">
        <f>'DfT summary'!D39</f>
        <v>36</v>
      </c>
      <c r="O9" s="246">
        <f>'DfT summary'!E39</f>
        <v>28</v>
      </c>
      <c r="P9" s="247">
        <f>'DfT summary'!G39</f>
        <v>36</v>
      </c>
      <c r="Q9" s="246">
        <f>'DfT summary'!K39</f>
        <v>39</v>
      </c>
      <c r="R9" s="246">
        <f>'DfT summary'!L39</f>
        <v>31</v>
      </c>
      <c r="S9" s="247">
        <f>'DfT summary'!N39</f>
        <v>36</v>
      </c>
      <c r="T9" s="246">
        <f>'DfT summary'!R39</f>
        <v>41</v>
      </c>
      <c r="U9" s="246">
        <f>'DfT summary'!S39</f>
        <v>34</v>
      </c>
      <c r="V9" s="248">
        <f>'DfT summary'!U39</f>
        <v>36</v>
      </c>
    </row>
    <row r="10" spans="1:22" x14ac:dyDescent="0.2">
      <c r="B10" s="245"/>
      <c r="C10" s="198"/>
      <c r="D10" s="249" t="s">
        <v>631</v>
      </c>
      <c r="E10" s="246">
        <f>'DfT summary'!D12</f>
        <v>23</v>
      </c>
      <c r="F10" s="246">
        <f>'DfT summary'!E12</f>
        <v>26</v>
      </c>
      <c r="G10" s="247">
        <f>'DfT summary'!G12</f>
        <v>28</v>
      </c>
      <c r="H10" s="246">
        <f>'DfT summary'!K12</f>
        <v>20</v>
      </c>
      <c r="I10" s="246">
        <f>'DfT summary'!L12</f>
        <v>25</v>
      </c>
      <c r="J10" s="247">
        <f>'DfT summary'!N12</f>
        <v>27</v>
      </c>
      <c r="K10" s="246">
        <f>'DfT summary'!R12</f>
        <v>20</v>
      </c>
      <c r="L10" s="246">
        <f>'DfT summary'!S12</f>
        <v>26</v>
      </c>
      <c r="M10" s="247">
        <f>'DfT summary'!U12</f>
        <v>30</v>
      </c>
      <c r="N10" s="246">
        <f>'DfT summary'!D38</f>
        <v>24</v>
      </c>
      <c r="O10" s="246">
        <f>'DfT summary'!E38</f>
        <v>21</v>
      </c>
      <c r="P10" s="247">
        <f>'DfT summary'!G38</f>
        <v>30</v>
      </c>
      <c r="Q10" s="246">
        <f>'DfT summary'!K38</f>
        <v>26</v>
      </c>
      <c r="R10" s="246">
        <f>'DfT summary'!L38</f>
        <v>23</v>
      </c>
      <c r="S10" s="247">
        <f>'DfT summary'!N38</f>
        <v>32</v>
      </c>
      <c r="T10" s="246">
        <f>'DfT summary'!R38</f>
        <v>30</v>
      </c>
      <c r="U10" s="246">
        <f>'DfT summary'!S38</f>
        <v>25</v>
      </c>
      <c r="V10" s="248">
        <f>'DfT summary'!U38</f>
        <v>33</v>
      </c>
    </row>
    <row r="11" spans="1:22" x14ac:dyDescent="0.2">
      <c r="B11" s="250"/>
      <c r="C11" s="219"/>
      <c r="D11" s="251" t="s">
        <v>632</v>
      </c>
      <c r="E11" s="252">
        <f>SUM('DfT summary'!D6:D11)</f>
        <v>28</v>
      </c>
      <c r="F11" s="252">
        <f>SUM('DfT summary'!E6:E11)</f>
        <v>48</v>
      </c>
      <c r="G11" s="253">
        <f>SUM('DfT summary'!G6:G11)</f>
        <v>20</v>
      </c>
      <c r="H11" s="252">
        <f>SUM('DfT summary'!K6:K11)</f>
        <v>23</v>
      </c>
      <c r="I11" s="252">
        <f>SUM('DfT summary'!L6:L11)</f>
        <v>48</v>
      </c>
      <c r="J11" s="253">
        <f>SUM('DfT summary'!N6:N11)</f>
        <v>16</v>
      </c>
      <c r="K11" s="252">
        <f>SUM('DfT summary'!R6:R11)</f>
        <v>23</v>
      </c>
      <c r="L11" s="252">
        <f>SUM('DfT summary'!S6:S11)</f>
        <v>37</v>
      </c>
      <c r="M11" s="253">
        <f>SUM('DfT summary'!U6:U11)</f>
        <v>13</v>
      </c>
      <c r="N11" s="252">
        <f>SUM('DfT summary'!D32:D37)</f>
        <v>24</v>
      </c>
      <c r="O11" s="252">
        <f>SUM('DfT summary'!E32:E37)</f>
        <v>29</v>
      </c>
      <c r="P11" s="253">
        <f>SUM('DfT summary'!G32:G37)</f>
        <v>12</v>
      </c>
      <c r="Q11" s="252">
        <f>SUM('DfT summary'!K32:K37)</f>
        <v>22</v>
      </c>
      <c r="R11" s="252">
        <f>SUM('DfT summary'!L32:L37)</f>
        <v>22</v>
      </c>
      <c r="S11" s="253">
        <f>SUM('DfT summary'!N32:N37)</f>
        <v>11</v>
      </c>
      <c r="T11" s="252">
        <f>SUM('DfT summary'!R32:R37)</f>
        <v>19</v>
      </c>
      <c r="U11" s="252">
        <f>SUM('DfT summary'!S32:S37)</f>
        <v>20</v>
      </c>
      <c r="V11" s="254">
        <f>SUM('DfT summary'!U32:U37)</f>
        <v>10</v>
      </c>
    </row>
    <row r="12" spans="1:22" x14ac:dyDescent="0.2">
      <c r="B12" s="255"/>
      <c r="C12" s="256"/>
      <c r="D12" s="257"/>
      <c r="E12" s="256"/>
      <c r="F12" s="256"/>
      <c r="G12" s="257"/>
      <c r="H12" s="256"/>
      <c r="I12" s="256"/>
      <c r="J12" s="257"/>
      <c r="K12" s="256"/>
      <c r="L12" s="256"/>
      <c r="M12" s="257"/>
      <c r="N12" s="256"/>
      <c r="O12" s="256"/>
      <c r="P12" s="257"/>
      <c r="Q12" s="256"/>
      <c r="R12" s="256"/>
      <c r="S12" s="257"/>
      <c r="T12" s="256"/>
      <c r="U12" s="256"/>
      <c r="V12" s="258"/>
    </row>
    <row r="13" spans="1:22" x14ac:dyDescent="0.2">
      <c r="B13" s="245" t="s">
        <v>633</v>
      </c>
      <c r="C13" s="198"/>
      <c r="D13" s="218" t="s">
        <v>634</v>
      </c>
      <c r="E13" s="259"/>
      <c r="F13" s="259"/>
      <c r="G13" s="260"/>
      <c r="H13" s="216">
        <f>MAX('2016-17 disagg'!$BE$12:$BE$220)</f>
        <v>9.64953562939459E-2</v>
      </c>
      <c r="I13" s="216">
        <f>MAX('2016-17 disagg'!$BF$12:$BF$220)</f>
        <v>0.119926189191081</v>
      </c>
      <c r="J13" s="261">
        <f>MAX('2016-17'!$AH$12:$AH$220)</f>
        <v>9.3956537098392801E-2</v>
      </c>
      <c r="K13" s="214">
        <f>MAX('2017-18 disagg'!$BE$12:$BE$220)</f>
        <v>3.4349330445577309E-2</v>
      </c>
      <c r="L13" s="216">
        <f>MAX('2017-18 disagg'!$BF$12:$BF$220)</f>
        <v>0.11742986082620632</v>
      </c>
      <c r="M13" s="261">
        <f>MAX('2017-18'!$AH$12:$AH$220)</f>
        <v>4.0278451143117122E-2</v>
      </c>
      <c r="N13" s="214">
        <f>MAX('2018-19 disagg'!$BE$12:$BE$220)</f>
        <v>3.6349269063611134E-2</v>
      </c>
      <c r="O13" s="216">
        <f>MAX('2018-19 disagg'!$BF$12:$BF$220)</f>
        <v>5.7515140392732533E-2</v>
      </c>
      <c r="P13" s="261">
        <f>MAX('2018-19'!$AH$12:$AH$220)</f>
        <v>3.9368242284429478E-2</v>
      </c>
      <c r="Q13" s="214">
        <f>MAX('2019-20 disagg'!$BE$12:$BE$220)</f>
        <v>3.7321668639765715E-2</v>
      </c>
      <c r="R13" s="216">
        <f>MAX('2019-20 disagg'!$BF$12:$BF$220)</f>
        <v>4.9774190448736322E-2</v>
      </c>
      <c r="S13" s="261">
        <f>MAX('2019-20'!$AH$12:$AH$220)</f>
        <v>4.0001380964790334E-2</v>
      </c>
      <c r="T13" s="216">
        <f>MAX('2020-21 disagg'!$BE$12:$BE$220)</f>
        <v>5.2277341035737113E-2</v>
      </c>
      <c r="U13" s="216">
        <f>MAX('2020-21 disagg'!$BF$12:$BF$220)</f>
        <v>9.2397570912445159E-2</v>
      </c>
      <c r="V13" s="262">
        <f>MAX('2020-21'!$AH$12:$AH$220)</f>
        <v>5.36196230614161E-2</v>
      </c>
    </row>
    <row r="14" spans="1:22" x14ac:dyDescent="0.2">
      <c r="B14" s="245"/>
      <c r="C14" s="198"/>
      <c r="D14" s="218" t="s">
        <v>635</v>
      </c>
      <c r="E14" s="259"/>
      <c r="F14" s="259"/>
      <c r="G14" s="260"/>
      <c r="H14" s="216">
        <f>'2016-17 disagg'!$BE$9</f>
        <v>3.7369768177528684E-2</v>
      </c>
      <c r="I14" s="216">
        <f>'2016-17 disagg'!$BF$9</f>
        <v>3.9264425125302704E-2</v>
      </c>
      <c r="J14" s="217">
        <f>'2016-17'!$AH$8</f>
        <v>4.3535153838077711E-2</v>
      </c>
      <c r="K14" s="214">
        <f>'2017-18 disagg'!$BE$9</f>
        <v>2.1405663278374121E-2</v>
      </c>
      <c r="L14" s="216">
        <f>'2017-18 disagg'!$BF$9</f>
        <v>3.1444548986074849E-2</v>
      </c>
      <c r="M14" s="217">
        <f>'2017-18'!$AH$8</f>
        <v>2.6372146988571377E-2</v>
      </c>
      <c r="N14" s="214">
        <f>'2018-19 disagg'!$BE$9</f>
        <v>2.1454070318438045E-2</v>
      </c>
      <c r="O14" s="216">
        <f>'2018-19 disagg'!$BF$9</f>
        <v>2.4850808549938153E-2</v>
      </c>
      <c r="P14" s="217">
        <f>'2018-19'!$AH$8</f>
        <v>2.5486443052915808E-2</v>
      </c>
      <c r="Q14" s="214">
        <f>'2019-20 disagg'!$BE$9</f>
        <v>2.2355184870710199E-2</v>
      </c>
      <c r="R14" s="216">
        <f>'2019-20 disagg'!$BF$9</f>
        <v>3.0439825772549778E-2</v>
      </c>
      <c r="S14" s="217">
        <f>'2019-20'!$AH$8</f>
        <v>2.665323895268723E-2</v>
      </c>
      <c r="T14" s="216">
        <f>'2020-21 disagg'!$BE$9</f>
        <v>3.8508201500837558E-2</v>
      </c>
      <c r="U14" s="216">
        <f>'2020-21 disagg'!$BF$9</f>
        <v>4.2193163470976236E-2</v>
      </c>
      <c r="V14" s="263">
        <f>'2020-21'!$AH$8</f>
        <v>4.0768757263071498E-2</v>
      </c>
    </row>
    <row r="15" spans="1:22" x14ac:dyDescent="0.2">
      <c r="B15" s="245"/>
      <c r="C15" s="198"/>
      <c r="D15" s="218" t="s">
        <v>636</v>
      </c>
      <c r="E15" s="259"/>
      <c r="F15" s="259"/>
      <c r="G15" s="260"/>
      <c r="H15" s="216">
        <f>MEDIAN('2016-17 disagg'!$BE$12:$BE$220)</f>
        <v>3.0488469366015902E-2</v>
      </c>
      <c r="I15" s="216">
        <f>MEDIAN('2016-17 disagg'!$BF$12:$BF$220)</f>
        <v>3.5656915049539828E-2</v>
      </c>
      <c r="J15" s="217">
        <f>MEDIAN('2016-17'!$AH$12:$AH$220)</f>
        <v>3.8843285905013625E-2</v>
      </c>
      <c r="K15" s="214">
        <f>MEDIAN('2017-18 disagg'!$BE$12:$BE$220)</f>
        <v>2.0033191085822688E-2</v>
      </c>
      <c r="L15" s="216">
        <f>MEDIAN('2017-18 disagg'!$BF$12:$BF$220)</f>
        <v>1.9409434641699752E-2</v>
      </c>
      <c r="M15" s="217">
        <f>MEDIAN('2017-18'!$AH$12:$AH$220)</f>
        <v>2.58293106913976E-2</v>
      </c>
      <c r="N15" s="214">
        <f>MEDIAN('2018-19 disagg'!$BE$12:$BE$220)</f>
        <v>1.9871013477881228E-2</v>
      </c>
      <c r="O15" s="216">
        <f>MEDIAN('2018-19 disagg'!$BF$12:$BF$220)</f>
        <v>2.2235398754817615E-2</v>
      </c>
      <c r="P15" s="217">
        <f>MEDIAN('2018-19'!$AH$12:$AH$220)</f>
        <v>2.4403806154540186E-2</v>
      </c>
      <c r="Q15" s="214">
        <f>MEDIAN('2019-20 disagg'!$BE$12:$BE$220)</f>
        <v>2.0786840519439131E-2</v>
      </c>
      <c r="R15" s="216">
        <f>MEDIAN('2019-20 disagg'!$BF$12:$BF$220)</f>
        <v>3.0622768742562423E-2</v>
      </c>
      <c r="S15" s="217">
        <f>MEDIAN('2019-20'!$AH$12:$AH$220)</f>
        <v>2.5516399330197226E-2</v>
      </c>
      <c r="T15" s="216">
        <f>MEDIAN('2020-21 disagg'!$BE$12:$BE$220)</f>
        <v>3.6601631872430707E-2</v>
      </c>
      <c r="U15" s="216">
        <f>MEDIAN('2020-21 disagg'!$BF$12:$BF$220)</f>
        <v>4.1066666666666585E-2</v>
      </c>
      <c r="V15" s="263">
        <f>MEDIAN('2020-21'!$AH$12:$AH$220)</f>
        <v>3.9722172740804362E-2</v>
      </c>
    </row>
    <row r="16" spans="1:22" x14ac:dyDescent="0.2">
      <c r="B16" s="245"/>
      <c r="C16" s="198"/>
      <c r="D16" s="218" t="s">
        <v>24</v>
      </c>
      <c r="E16" s="259"/>
      <c r="F16" s="259"/>
      <c r="G16" s="260"/>
      <c r="H16" s="216">
        <f>MIN('2016-17 disagg'!$BE$12:$BE$220)</f>
        <v>1.3887462149348551E-2</v>
      </c>
      <c r="I16" s="216">
        <f>MIN('2016-17 disagg'!$BF$12:$BF$220)</f>
        <v>2.904200920982003E-2</v>
      </c>
      <c r="J16" s="217">
        <f>MIN('2016-17'!$AH$12:$AH$220)</f>
        <v>2.1181587490585407E-2</v>
      </c>
      <c r="K16" s="214">
        <f>MIN('2017-18 disagg'!$BE$12:$BE$220)</f>
        <v>1.6305186570251262E-3</v>
      </c>
      <c r="L16" s="216">
        <f>MIN('2017-18 disagg'!$BF$12:$BF$220)</f>
        <v>9.9828760884614898E-3</v>
      </c>
      <c r="M16" s="217">
        <f>MIN('2017-18'!$AH$12:$AH$220)</f>
        <v>7.1151204104356047E-3</v>
      </c>
      <c r="N16" s="214">
        <f>MIN('2018-19 disagg'!$BE$12:$BE$220)</f>
        <v>5.6904492079179469E-4</v>
      </c>
      <c r="O16" s="216">
        <f>MIN('2018-19 disagg'!$BF$12:$BF$220)</f>
        <v>9.985170538803656E-3</v>
      </c>
      <c r="P16" s="217">
        <f>MIN('2018-19'!$AH$12:$AH$220)</f>
        <v>6.1432713602984634E-3</v>
      </c>
      <c r="Q16" s="214">
        <f>MIN('2019-20 disagg'!$BE$12:$BE$220)</f>
        <v>1.8523436610795585E-4</v>
      </c>
      <c r="R16" s="216">
        <f>MIN('2019-20 disagg'!$BF$12:$BF$220)</f>
        <v>9.98497406814991E-3</v>
      </c>
      <c r="S16" s="217">
        <f>MIN('2019-20'!$AH$12:$AH$220)</f>
        <v>6.2053223129125978E-3</v>
      </c>
      <c r="T16" s="216">
        <f>MIN('2020-21 disagg'!$BE$12:$BE$220)</f>
        <v>1.4600723545712624E-2</v>
      </c>
      <c r="U16" s="216">
        <f>MIN('2020-21 disagg'!$BF$12:$BF$220)</f>
        <v>1.0004980834614541E-2</v>
      </c>
      <c r="V16" s="263">
        <f>MIN('2020-21'!$AH$12:$AH$220)</f>
        <v>1.9661531652925168E-2</v>
      </c>
    </row>
    <row r="17" spans="2:22" x14ac:dyDescent="0.2">
      <c r="B17" s="250"/>
      <c r="C17" s="219"/>
      <c r="D17" s="251" t="s">
        <v>637</v>
      </c>
      <c r="E17" s="242"/>
      <c r="F17" s="242"/>
      <c r="G17" s="243"/>
      <c r="H17" s="212">
        <f>COUNTIF('2016-17 disagg'!$BE$12:$BE$220,"&lt;"&amp;H16+0.1%)</f>
        <v>6</v>
      </c>
      <c r="I17" s="212">
        <f>COUNTIF('2016-17 disagg'!$BF$12:$BF$220,"&lt;"&amp;I16+0.1%)</f>
        <v>27</v>
      </c>
      <c r="J17" s="213">
        <f>COUNTIF('2016-17'!$AH$12:$AH$220,"&lt;"&amp;J16+0.1%)</f>
        <v>1</v>
      </c>
      <c r="K17" s="264">
        <f>COUNTIF('2017-18 disagg'!$BE$12:$BE$220,"&lt;"&amp;K16+0.1%)</f>
        <v>5</v>
      </c>
      <c r="L17" s="212">
        <f>COUNTIF('2017-18 disagg'!$BF$12:$BF$220,"&lt;"&amp;L16+0.1%)</f>
        <v>22</v>
      </c>
      <c r="M17" s="213">
        <f>COUNTIF('2017-18'!$AH$12:$AH$220,"&lt;"&amp;M16+0.1%)</f>
        <v>1</v>
      </c>
      <c r="N17" s="264">
        <f>COUNTIF('2018-19 disagg'!$BE$12:$BE$220,"&lt;"&amp;N16+0.1%)</f>
        <v>5</v>
      </c>
      <c r="O17" s="212">
        <f>COUNTIF('2018-19 disagg'!$BF$12:$BF$220,"&lt;"&amp;O16+0.1%)</f>
        <v>14</v>
      </c>
      <c r="P17" s="213">
        <f>COUNTIF('2018-19'!$AH$12:$AH$220,"&lt;"&amp;P16+0.1%)</f>
        <v>1</v>
      </c>
      <c r="Q17" s="264">
        <f>COUNTIF('2019-20 disagg'!$BE$12:$BE$220,"&lt;"&amp;Q16+0.1%)</f>
        <v>4</v>
      </c>
      <c r="R17" s="212">
        <f>COUNTIF('2019-20 disagg'!$BF$12:$BF$220,"&lt;"&amp;R16+0.1%)</f>
        <v>8</v>
      </c>
      <c r="S17" s="213">
        <f>COUNTIF('2019-20'!$AH$12:$AH$220,"&lt;"&amp;S16+0.1%)</f>
        <v>1</v>
      </c>
      <c r="T17" s="265">
        <f>COUNTIF('2020-21 disagg'!$BE$12:$BE$220,"&lt;"&amp;T16+0.1%)</f>
        <v>4</v>
      </c>
      <c r="U17" s="212">
        <f>COUNTIF('2020-21 disagg'!$BF$12:$BF$220,"&lt;"&amp;U16+0.1%)</f>
        <v>5</v>
      </c>
      <c r="V17" s="266">
        <f>COUNTIF('2020-21'!$AH$12:$AH$220,"&lt;"&amp;V16+0.1%)</f>
        <v>1</v>
      </c>
    </row>
    <row r="18" spans="2:22" x14ac:dyDescent="0.2">
      <c r="B18" s="255"/>
      <c r="C18" s="256"/>
      <c r="D18" s="257"/>
      <c r="E18" s="256"/>
      <c r="F18" s="256"/>
      <c r="G18" s="257"/>
      <c r="H18" s="256"/>
      <c r="I18" s="256"/>
      <c r="J18" s="257"/>
      <c r="K18" s="267"/>
      <c r="L18" s="256"/>
      <c r="M18" s="257"/>
      <c r="N18" s="267"/>
      <c r="O18" s="256"/>
      <c r="P18" s="257"/>
      <c r="Q18" s="267"/>
      <c r="R18" s="256"/>
      <c r="S18" s="257"/>
      <c r="T18" s="268"/>
      <c r="U18" s="256"/>
      <c r="V18" s="258"/>
    </row>
    <row r="19" spans="2:22" x14ac:dyDescent="0.2">
      <c r="B19" s="245" t="s">
        <v>638</v>
      </c>
      <c r="C19" s="198"/>
      <c r="D19" s="218" t="s">
        <v>634</v>
      </c>
      <c r="E19" s="259"/>
      <c r="F19" s="259"/>
      <c r="G19" s="260"/>
      <c r="H19" s="216">
        <f>MAX('2016-17 disagg'!$BJ$12:$BJ$220)</f>
        <v>8.3598746520451961E-2</v>
      </c>
      <c r="I19" s="216">
        <f>MAX('2016-17 disagg'!$BK$12:$BK$220)</f>
        <v>0.10000660357801028</v>
      </c>
      <c r="J19" s="261">
        <f>MAX('2016-17'!$AI$12:$AI$220)</f>
        <v>7.7399999999999913E-2</v>
      </c>
      <c r="K19" s="214">
        <f>MAX('2017-18 disagg'!$BJ$12:$BJ$220)</f>
        <v>2.25102109118962E-2</v>
      </c>
      <c r="L19" s="216">
        <f>MAX('2017-18 disagg'!$BK$12:$BK$220)</f>
        <v>9.9987200483482752E-2</v>
      </c>
      <c r="M19" s="261">
        <f>MAX('2017-18'!$AI$12:$AI$220)</f>
        <v>2.6280144068677957E-2</v>
      </c>
      <c r="N19" s="214">
        <f>MAX('2018-19 disagg'!$BJ$12:$BJ$220)</f>
        <v>2.2957322216629716E-2</v>
      </c>
      <c r="O19" s="216">
        <f>MAX('2018-19 disagg'!$BK$12:$BK$220)</f>
        <v>5.3661316708526474E-2</v>
      </c>
      <c r="P19" s="261">
        <f>MAX('2018-19'!$AI$12:$AI$220)</f>
        <v>2.4999999999999911E-2</v>
      </c>
      <c r="Q19" s="214">
        <f>MAX('2019-20 disagg'!$BJ$12:$BJ$220)</f>
        <v>2.3452875740998858E-2</v>
      </c>
      <c r="R19" s="216">
        <f>MAX('2019-20 disagg'!$BK$12:$BK$220)</f>
        <v>3.71151995361092E-2</v>
      </c>
      <c r="S19" s="261">
        <f>MAX('2019-20'!$AI$12:$AI$220)</f>
        <v>2.625254734376381E-2</v>
      </c>
      <c r="T19" s="216">
        <f>MAX('2020-21 disagg'!$BJ$12:$BJ$220)</f>
        <v>4.074921860770675E-2</v>
      </c>
      <c r="U19" s="216">
        <f>MAX('2020-21 disagg'!$BK$12:$BK$220)</f>
        <v>8.200413906010251E-2</v>
      </c>
      <c r="V19" s="262">
        <f>MAX('2020-21'!$AI$12:$AI$220)</f>
        <v>4.0600000000000191E-2</v>
      </c>
    </row>
    <row r="20" spans="2:22" x14ac:dyDescent="0.2">
      <c r="B20" s="245"/>
      <c r="C20" s="198"/>
      <c r="D20" s="218" t="s">
        <v>635</v>
      </c>
      <c r="E20" s="259"/>
      <c r="F20" s="259"/>
      <c r="G20" s="260"/>
      <c r="H20" s="216">
        <f>'2016-17 disagg'!$BJ$9</f>
        <v>2.967037886173518E-2</v>
      </c>
      <c r="I20" s="216">
        <f>'2016-17 disagg'!$BK$9</f>
        <v>3.1550973609213662E-2</v>
      </c>
      <c r="J20" s="217">
        <f>'2016-17'!$AI$8</f>
        <v>3.5790004846285806E-2</v>
      </c>
      <c r="K20" s="214">
        <f>'2017-18 disagg'!$BJ$9</f>
        <v>1.4103959881075934E-2</v>
      </c>
      <c r="L20" s="216">
        <f>'2017-18 disagg'!$BK$9</f>
        <v>2.4071080795891042E-2</v>
      </c>
      <c r="M20" s="217">
        <f>'2017-18'!$AI$8</f>
        <v>1.903493978286197E-2</v>
      </c>
      <c r="N20" s="214">
        <f>'2018-19 disagg'!$BJ$9</f>
        <v>1.4158480269833351E-2</v>
      </c>
      <c r="O20" s="216">
        <f>'2018-19 disagg'!$BK$9</f>
        <v>1.7530957782854184E-2</v>
      </c>
      <c r="P20" s="217">
        <f>'2018-19'!$AI$8</f>
        <v>1.8162052357029168E-2</v>
      </c>
      <c r="Q20" s="214">
        <f>'2019-20 disagg'!$BJ$9</f>
        <v>1.530913862612171E-2</v>
      </c>
      <c r="R20" s="216">
        <f>'2019-20 disagg'!$BK$9</f>
        <v>2.3338060386014936E-2</v>
      </c>
      <c r="S20" s="217">
        <f>'2019-20'!$AI$8</f>
        <v>1.9577570627366425E-2</v>
      </c>
      <c r="T20" s="216">
        <f>'2020-21 disagg'!$BJ$9</f>
        <v>3.1453818199377537E-2</v>
      </c>
      <c r="U20" s="216">
        <f>'2020-21 disagg'!$BK$9</f>
        <v>3.5113748942848133E-2</v>
      </c>
      <c r="V20" s="263">
        <f>'2020-21'!$AI$8</f>
        <v>3.3699018448002604E-2</v>
      </c>
    </row>
    <row r="21" spans="2:22" x14ac:dyDescent="0.2">
      <c r="B21" s="245"/>
      <c r="C21" s="198"/>
      <c r="D21" s="218" t="s">
        <v>636</v>
      </c>
      <c r="E21" s="259"/>
      <c r="F21" s="259"/>
      <c r="G21" s="260"/>
      <c r="H21" s="216">
        <f>MEDIAN('2016-17 disagg'!$BJ$12:$BJ$220)</f>
        <v>2.6491038926695243E-2</v>
      </c>
      <c r="I21" s="216">
        <f>MEDIAN('2016-17 disagg'!$BK$12:$BK$220)</f>
        <v>2.9768459190782082E-2</v>
      </c>
      <c r="J21" s="217">
        <f>MEDIAN('2016-17'!$AI$12:$AI$220)</f>
        <v>3.307861056264616E-2</v>
      </c>
      <c r="K21" s="214">
        <f>MEDIAN('2017-18 disagg'!$BJ$12:$BJ$220)</f>
        <v>1.5019607632415166E-2</v>
      </c>
      <c r="L21" s="216">
        <f>MEDIAN('2017-18 disagg'!$BK$12:$BK$220)</f>
        <v>1.4282356910050309E-2</v>
      </c>
      <c r="M21" s="217">
        <f>MEDIAN('2017-18'!$AI$12:$AI$220)</f>
        <v>1.9480737255354263E-2</v>
      </c>
      <c r="N21" s="214">
        <f>MEDIAN('2018-19 disagg'!$BJ$12:$BJ$220)</f>
        <v>1.4699319085754725E-2</v>
      </c>
      <c r="O21" s="216">
        <f>MEDIAN('2018-19 disagg'!$BK$12:$BK$220)</f>
        <v>1.5968536118749155E-2</v>
      </c>
      <c r="P21" s="217">
        <f>MEDIAN('2018-19'!$AI$12:$AI$220)</f>
        <v>1.851845605885849E-2</v>
      </c>
      <c r="Q21" s="214">
        <f>MEDIAN('2019-20 disagg'!$BJ$12:$BJ$220)</f>
        <v>1.5742023636868385E-2</v>
      </c>
      <c r="R21" s="216">
        <f>MEDIAN('2019-20 disagg'!$BK$12:$BK$220)</f>
        <v>2.4728124596763434E-2</v>
      </c>
      <c r="S21" s="217">
        <f>MEDIAN('2019-20'!$AI$12:$AI$220)</f>
        <v>1.9713567989061431E-2</v>
      </c>
      <c r="T21" s="216">
        <f>MEDIAN('2020-21 disagg'!$BJ$12:$BJ$220)</f>
        <v>3.2353506019458855E-2</v>
      </c>
      <c r="U21" s="216">
        <f>MEDIAN('2020-21 disagg'!$BK$12:$BK$220)</f>
        <v>3.4504468751210604E-2</v>
      </c>
      <c r="V21" s="263">
        <f>MEDIAN('2020-21'!$AI$12:$AI$220)</f>
        <v>3.4272584454658528E-2</v>
      </c>
    </row>
    <row r="22" spans="2:22" x14ac:dyDescent="0.2">
      <c r="B22" s="245"/>
      <c r="C22" s="198"/>
      <c r="D22" s="218" t="s">
        <v>24</v>
      </c>
      <c r="E22" s="259"/>
      <c r="F22" s="259"/>
      <c r="G22" s="260"/>
      <c r="H22" s="216">
        <f>MIN('2016-17 disagg'!$BJ$12:$BJ$220)</f>
        <v>-6.7706032743619637E-4</v>
      </c>
      <c r="I22" s="216">
        <f>MIN('2016-17 disagg'!$BK$12:$BK$220)</f>
        <v>1.2498987978495135E-2</v>
      </c>
      <c r="J22" s="217">
        <f>MIN('2016-17'!$AI$12:$AI$220)</f>
        <v>1.2839872013269416E-2</v>
      </c>
      <c r="K22" s="214">
        <f>MIN('2017-18 disagg'!$BJ$12:$BJ$220)</f>
        <v>-1.0780076555003681E-2</v>
      </c>
      <c r="L22" s="216">
        <f>MIN('2017-18 disagg'!$BK$12:$BK$220)</f>
        <v>4.2925609070731952E-4</v>
      </c>
      <c r="M22" s="217">
        <f>MIN('2017-18'!$AI$12:$AI$220)</f>
        <v>8.0575281188699499E-4</v>
      </c>
      <c r="N22" s="214">
        <f>MIN('2018-19 disagg'!$BJ$12:$BJ$220)</f>
        <v>-1.1359754399699939E-2</v>
      </c>
      <c r="O22" s="216">
        <f>MIN('2018-19 disagg'!$BK$12:$BK$220)</f>
        <v>4.8763228653925239E-4</v>
      </c>
      <c r="P22" s="217">
        <f>MIN('2018-19'!$AI$12:$AI$220)</f>
        <v>4.0448547541749313E-4</v>
      </c>
      <c r="Q22" s="214">
        <f>MIN('2019-20 disagg'!$BJ$12:$BJ$220)</f>
        <v>-1.0080115294021641E-2</v>
      </c>
      <c r="R22" s="216">
        <f>MIN('2019-20 disagg'!$BK$12:$BK$220)</f>
        <v>6.8264009968421746E-4</v>
      </c>
      <c r="S22" s="217">
        <f>MIN('2019-20'!$AI$12:$AI$220)</f>
        <v>2.0646317163746097E-3</v>
      </c>
      <c r="T22" s="216">
        <f>MIN('2020-21 disagg'!$BJ$12:$BJ$220)</f>
        <v>5.1596754288667501E-3</v>
      </c>
      <c r="U22" s="216">
        <f>MIN('2020-21 disagg'!$BK$12:$BK$220)</f>
        <v>4.4252693881747796E-3</v>
      </c>
      <c r="V22" s="263">
        <f>MIN('2020-21'!$AI$12:$AI$220)</f>
        <v>1.5000486085163134E-2</v>
      </c>
    </row>
    <row r="23" spans="2:22" ht="13.5" thickBot="1" x14ac:dyDescent="0.25">
      <c r="B23" s="269"/>
      <c r="C23" s="270"/>
      <c r="D23" s="271" t="s">
        <v>637</v>
      </c>
      <c r="E23" s="272"/>
      <c r="F23" s="272"/>
      <c r="G23" s="273"/>
      <c r="H23" s="274">
        <f>COUNTIF('2016-17 disagg'!$BJ$12:$BJ$220,"&lt;"&amp;H22+0.1%)</f>
        <v>2</v>
      </c>
      <c r="I23" s="274">
        <f>COUNTIF('2016-17 disagg'!$BK$12:$BK$220,"&lt;"&amp;I22+0.1%)</f>
        <v>1</v>
      </c>
      <c r="J23" s="275">
        <f>COUNTIF('2016-17'!$AI$12:$AI$220,"&lt;"&amp;J22+0.1%)</f>
        <v>1</v>
      </c>
      <c r="K23" s="274">
        <f>COUNTIF('2017-18 disagg'!$BJ$12:$BJ$220,"&lt;"&amp;K22+0.1%)</f>
        <v>2</v>
      </c>
      <c r="L23" s="274">
        <f>COUNTIF('2017-18 disagg'!$BK$12:$BK$220,"&lt;"&amp;L22+0.1%)</f>
        <v>1</v>
      </c>
      <c r="M23" s="275">
        <f>COUNTIF('2017-18'!$AI$12:$AI$220,"&lt;"&amp;M22+0.1%)</f>
        <v>2</v>
      </c>
      <c r="N23" s="274">
        <f>COUNTIF('2018-19 disagg'!$BJ$12:$BJ$220,"&lt;"&amp;N22+0.1%)</f>
        <v>2</v>
      </c>
      <c r="O23" s="274">
        <f>COUNTIF('2018-19 disagg'!$BK$12:$BK$220,"&lt;"&amp;O22+0.1%)</f>
        <v>1</v>
      </c>
      <c r="P23" s="275">
        <f>COUNTIF('2018-19'!$AI$12:$AI$220,"&lt;"&amp;P22+0.1%)</f>
        <v>2</v>
      </c>
      <c r="Q23" s="274">
        <f>COUNTIF('2019-20 disagg'!$BJ$12:$BJ$220,"&lt;"&amp;Q22+0.1%)</f>
        <v>2</v>
      </c>
      <c r="R23" s="274">
        <f>COUNTIF('2019-20 disagg'!$BK$12:$BK$220,"&lt;"&amp;R22+0.1%)</f>
        <v>1</v>
      </c>
      <c r="S23" s="275">
        <f>COUNTIF('2019-20'!$AI$12:$AI$220,"&lt;"&amp;S22+0.1%)</f>
        <v>2</v>
      </c>
      <c r="T23" s="276">
        <f>COUNTIF('2020-21 disagg'!$BJ$12:$BJ$220,"&lt;"&amp;T22+0.1%)</f>
        <v>2</v>
      </c>
      <c r="U23" s="274">
        <f>COUNTIF('2020-21 disagg'!$BK$12:$BK$220,"&lt;"&amp;U22+0.1%)</f>
        <v>3</v>
      </c>
      <c r="V23" s="277">
        <f>COUNTIF('2020-21'!$AI$12:$AI$220,"&lt;"&amp;V22+0.1%)</f>
        <v>1</v>
      </c>
    </row>
    <row r="24" spans="2:22" s="278" customFormat="1" x14ac:dyDescent="0.25"/>
    <row r="25" spans="2:22" s="278" customFormat="1" x14ac:dyDescent="0.25"/>
    <row r="26" spans="2:22" s="278" customFormat="1" x14ac:dyDescent="0.25"/>
    <row r="27" spans="2:22" s="278" customFormat="1" x14ac:dyDescent="0.25"/>
    <row r="28" spans="2:22" s="278" customFormat="1" x14ac:dyDescent="0.25"/>
    <row r="29" spans="2:22" s="278" customFormat="1" x14ac:dyDescent="0.25"/>
    <row r="30" spans="2:22" s="278" customFormat="1" x14ac:dyDescent="0.25"/>
    <row r="31" spans="2:22" s="278" customFormat="1" x14ac:dyDescent="0.25"/>
    <row r="32" spans="2:22" s="278" customFormat="1" x14ac:dyDescent="0.25"/>
    <row r="33" s="278" customFormat="1" x14ac:dyDescent="0.25"/>
    <row r="34" s="278" customFormat="1" x14ac:dyDescent="0.25"/>
    <row r="35" s="278" customFormat="1" x14ac:dyDescent="0.25"/>
    <row r="36" s="278" customFormat="1" x14ac:dyDescent="0.25"/>
    <row r="37" s="278" customFormat="1" x14ac:dyDescent="0.25"/>
    <row r="38" s="278" customFormat="1" x14ac:dyDescent="0.25"/>
    <row r="39" s="278" customFormat="1" x14ac:dyDescent="0.25"/>
    <row r="40" s="278" customFormat="1" x14ac:dyDescent="0.25"/>
  </sheetData>
  <mergeCells count="6">
    <mergeCell ref="T4:V4"/>
    <mergeCell ref="E4:G4"/>
    <mergeCell ref="H4:J4"/>
    <mergeCell ref="K4:M4"/>
    <mergeCell ref="N4:P4"/>
    <mergeCell ref="Q4:S4"/>
  </mergeCells>
  <conditionalFormatting sqref="E6:V7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H214"/>
  <sheetViews>
    <sheetView workbookViewId="0"/>
  </sheetViews>
  <sheetFormatPr defaultRowHeight="12.75" x14ac:dyDescent="0.2"/>
  <cols>
    <col min="1" max="2" width="9.140625" style="156"/>
    <col min="3" max="3" width="11.5703125" style="156" bestFit="1" customWidth="1"/>
    <col min="4" max="5" width="11.7109375" style="156" bestFit="1" customWidth="1"/>
    <col min="6" max="7" width="11.5703125" style="156" bestFit="1" customWidth="1"/>
    <col min="8" max="8" width="11.7109375" style="156" bestFit="1" customWidth="1"/>
    <col min="9" max="9" width="13.42578125" style="156" bestFit="1" customWidth="1"/>
    <col min="10" max="10" width="11.7109375" style="156" bestFit="1" customWidth="1"/>
    <col min="11" max="12" width="13.42578125" style="156" bestFit="1" customWidth="1"/>
    <col min="13" max="13" width="14.42578125" style="156" bestFit="1" customWidth="1"/>
    <col min="14" max="14" width="9.28515625" style="156" bestFit="1" customWidth="1"/>
    <col min="15" max="15" width="9.140625" style="156"/>
    <col min="16" max="17" width="11.5703125" style="156" bestFit="1" customWidth="1"/>
    <col min="18" max="18" width="11.7109375" style="156" bestFit="1" customWidth="1"/>
    <col min="19" max="22" width="11.5703125" style="156" bestFit="1" customWidth="1"/>
    <col min="23" max="23" width="11.7109375" style="156" bestFit="1" customWidth="1"/>
    <col min="24" max="24" width="11.5703125" style="156" bestFit="1" customWidth="1"/>
    <col min="25" max="25" width="11.7109375" style="156" bestFit="1" customWidth="1"/>
    <col min="26" max="26" width="14.42578125" style="156" bestFit="1" customWidth="1"/>
    <col min="27" max="29" width="9.140625" style="156"/>
    <col min="30" max="30" width="5.42578125" style="156" bestFit="1" customWidth="1"/>
    <col min="31" max="31" width="70.5703125" style="156" bestFit="1" customWidth="1"/>
    <col min="32" max="32" width="11.42578125" style="156" customWidth="1"/>
    <col min="33" max="33" width="10.7109375" style="156" customWidth="1"/>
    <col min="34" max="16384" width="9.140625" style="156"/>
  </cols>
  <sheetData>
    <row r="1" spans="1:34" x14ac:dyDescent="0.2">
      <c r="A1" s="305" t="s">
        <v>616</v>
      </c>
    </row>
    <row r="2" spans="1:34" ht="12.75" customHeight="1" x14ac:dyDescent="0.2">
      <c r="A2" s="279" t="s">
        <v>949</v>
      </c>
      <c r="AD2" s="54"/>
      <c r="AE2" s="54"/>
      <c r="AF2" s="223" t="s">
        <v>649</v>
      </c>
      <c r="AG2" s="223" t="s">
        <v>649</v>
      </c>
    </row>
    <row r="3" spans="1:34" ht="51" x14ac:dyDescent="0.2">
      <c r="A3" s="357" t="s">
        <v>956</v>
      </c>
      <c r="AD3" s="44" t="s">
        <v>650</v>
      </c>
      <c r="AE3" s="45" t="s">
        <v>68</v>
      </c>
      <c r="AF3" s="224" t="s">
        <v>651</v>
      </c>
      <c r="AG3" s="224" t="s">
        <v>652</v>
      </c>
    </row>
    <row r="4" spans="1:34" ht="13.5" thickBot="1" x14ac:dyDescent="0.25">
      <c r="A4" s="389" t="s">
        <v>597</v>
      </c>
      <c r="B4" s="156" t="s">
        <v>0</v>
      </c>
      <c r="O4" s="156" t="s">
        <v>13</v>
      </c>
      <c r="AD4" s="225" t="s">
        <v>105</v>
      </c>
      <c r="AE4" s="54" t="s">
        <v>653</v>
      </c>
      <c r="AF4" s="226">
        <v>233249</v>
      </c>
      <c r="AG4" s="226">
        <v>243219.91491845754</v>
      </c>
      <c r="AH4" s="156" t="s">
        <v>868</v>
      </c>
    </row>
    <row r="5" spans="1:34" x14ac:dyDescent="0.2">
      <c r="A5" s="389"/>
      <c r="B5" s="230"/>
      <c r="C5" s="231" t="s">
        <v>542</v>
      </c>
      <c r="D5" s="231" t="s">
        <v>543</v>
      </c>
      <c r="E5" s="231" t="s">
        <v>544</v>
      </c>
      <c r="F5" s="231" t="s">
        <v>545</v>
      </c>
      <c r="G5" s="231" t="s">
        <v>546</v>
      </c>
      <c r="H5" s="231" t="s">
        <v>547</v>
      </c>
      <c r="I5" s="231" t="s">
        <v>548</v>
      </c>
      <c r="J5" s="231" t="s">
        <v>549</v>
      </c>
      <c r="K5" s="231" t="s">
        <v>550</v>
      </c>
      <c r="L5" s="231" t="s">
        <v>551</v>
      </c>
      <c r="M5" s="232" t="s">
        <v>600</v>
      </c>
      <c r="O5" s="230"/>
      <c r="P5" s="231" t="s">
        <v>542</v>
      </c>
      <c r="Q5" s="231" t="s">
        <v>543</v>
      </c>
      <c r="R5" s="231" t="s">
        <v>544</v>
      </c>
      <c r="S5" s="231" t="s">
        <v>545</v>
      </c>
      <c r="T5" s="231" t="s">
        <v>546</v>
      </c>
      <c r="U5" s="231" t="s">
        <v>547</v>
      </c>
      <c r="V5" s="231" t="s">
        <v>548</v>
      </c>
      <c r="W5" s="231" t="s">
        <v>549</v>
      </c>
      <c r="X5" s="231" t="s">
        <v>550</v>
      </c>
      <c r="Y5" s="231" t="s">
        <v>551</v>
      </c>
      <c r="Z5" s="232" t="s">
        <v>600</v>
      </c>
      <c r="AD5" s="225" t="s">
        <v>127</v>
      </c>
      <c r="AE5" s="54" t="s">
        <v>654</v>
      </c>
      <c r="AF5" s="226">
        <v>209608</v>
      </c>
      <c r="AG5" s="226">
        <v>217794.74282333886</v>
      </c>
      <c r="AH5" s="156" t="s">
        <v>869</v>
      </c>
    </row>
    <row r="6" spans="1:34" x14ac:dyDescent="0.2">
      <c r="A6" s="389"/>
      <c r="B6" s="233" t="s">
        <v>553</v>
      </c>
      <c r="C6" s="212">
        <v>0</v>
      </c>
      <c r="D6" s="212">
        <v>0</v>
      </c>
      <c r="E6" s="212">
        <v>0</v>
      </c>
      <c r="F6" s="212">
        <v>383066</v>
      </c>
      <c r="G6" s="212">
        <v>0</v>
      </c>
      <c r="H6" s="212">
        <v>289780</v>
      </c>
      <c r="I6" s="212">
        <v>1392504</v>
      </c>
      <c r="J6" s="212">
        <v>682545</v>
      </c>
      <c r="K6" s="212">
        <v>1901345</v>
      </c>
      <c r="L6" s="212">
        <v>1154138</v>
      </c>
      <c r="M6" s="234">
        <f>SUM(C6:L6)</f>
        <v>5803378</v>
      </c>
      <c r="O6" s="233" t="s">
        <v>553</v>
      </c>
      <c r="P6" s="212">
        <v>0</v>
      </c>
      <c r="Q6" s="212">
        <v>0</v>
      </c>
      <c r="R6" s="212">
        <v>0</v>
      </c>
      <c r="S6" s="212">
        <v>387047.6765216536</v>
      </c>
      <c r="T6" s="212">
        <v>0</v>
      </c>
      <c r="U6" s="212">
        <v>292406.3740017435</v>
      </c>
      <c r="V6" s="212">
        <v>1408009.232595793</v>
      </c>
      <c r="W6" s="212">
        <v>690580.05416568939</v>
      </c>
      <c r="X6" s="212">
        <v>1928971.3409983199</v>
      </c>
      <c r="Y6" s="212">
        <v>1171727.0107573739</v>
      </c>
      <c r="Z6" s="234">
        <f>SUM(P6:Y6)</f>
        <v>5878741.6890405733</v>
      </c>
      <c r="AD6" s="225" t="s">
        <v>143</v>
      </c>
      <c r="AE6" s="54" t="s">
        <v>655</v>
      </c>
      <c r="AF6" s="226">
        <v>121822</v>
      </c>
      <c r="AG6" s="226">
        <v>124357.8275788888</v>
      </c>
      <c r="AH6" s="156" t="s">
        <v>870</v>
      </c>
    </row>
    <row r="7" spans="1:34" x14ac:dyDescent="0.2">
      <c r="A7" s="389"/>
      <c r="B7" s="233" t="s">
        <v>554</v>
      </c>
      <c r="C7" s="212">
        <v>202572</v>
      </c>
      <c r="D7" s="212">
        <v>0</v>
      </c>
      <c r="E7" s="212">
        <v>220663</v>
      </c>
      <c r="F7" s="212">
        <v>1117331</v>
      </c>
      <c r="G7" s="212">
        <v>300870</v>
      </c>
      <c r="H7" s="212">
        <v>305682</v>
      </c>
      <c r="I7" s="212">
        <v>954600</v>
      </c>
      <c r="J7" s="212">
        <v>1314252</v>
      </c>
      <c r="K7" s="212">
        <v>385874</v>
      </c>
      <c r="L7" s="212">
        <v>1586460</v>
      </c>
      <c r="M7" s="234">
        <f t="shared" ref="M7:M15" si="0">SUM(C7:L7)</f>
        <v>6388304</v>
      </c>
      <c r="O7" s="233" t="s">
        <v>554</v>
      </c>
      <c r="P7" s="212">
        <v>205978.27216850297</v>
      </c>
      <c r="Q7" s="212">
        <v>0</v>
      </c>
      <c r="R7" s="212">
        <v>223668.53740759115</v>
      </c>
      <c r="S7" s="212">
        <v>1134099.2956460554</v>
      </c>
      <c r="T7" s="212">
        <v>306383.74502067611</v>
      </c>
      <c r="U7" s="212">
        <v>310631.61894347944</v>
      </c>
      <c r="V7" s="212">
        <v>962746.31904544809</v>
      </c>
      <c r="W7" s="212">
        <v>1329018.4772667629</v>
      </c>
      <c r="X7" s="212">
        <v>388379.66907791467</v>
      </c>
      <c r="Y7" s="212">
        <v>1598719.1095000796</v>
      </c>
      <c r="Z7" s="234">
        <f t="shared" ref="Z7:Z15" si="1">SUM(P7:Y7)</f>
        <v>6459625.0440765107</v>
      </c>
      <c r="AD7" s="225" t="s">
        <v>145</v>
      </c>
      <c r="AE7" s="54" t="s">
        <v>656</v>
      </c>
      <c r="AF7" s="226">
        <v>254756</v>
      </c>
      <c r="AG7" s="226">
        <v>267051.41655584279</v>
      </c>
      <c r="AH7" s="156" t="s">
        <v>871</v>
      </c>
    </row>
    <row r="8" spans="1:34" x14ac:dyDescent="0.2">
      <c r="A8" s="389"/>
      <c r="B8" s="233" t="s">
        <v>555</v>
      </c>
      <c r="C8" s="212">
        <v>349804</v>
      </c>
      <c r="D8" s="212">
        <v>449768</v>
      </c>
      <c r="E8" s="212">
        <v>0</v>
      </c>
      <c r="F8" s="212">
        <v>231121</v>
      </c>
      <c r="G8" s="212">
        <v>0</v>
      </c>
      <c r="H8" s="212">
        <v>170549</v>
      </c>
      <c r="I8" s="212">
        <v>928313</v>
      </c>
      <c r="J8" s="212">
        <v>411563</v>
      </c>
      <c r="K8" s="212">
        <v>847402</v>
      </c>
      <c r="L8" s="212">
        <v>2348769</v>
      </c>
      <c r="M8" s="234">
        <f t="shared" si="0"/>
        <v>5737289</v>
      </c>
      <c r="O8" s="233" t="s">
        <v>555</v>
      </c>
      <c r="P8" s="212">
        <v>353983.50737408566</v>
      </c>
      <c r="Q8" s="212">
        <v>455542.84796893958</v>
      </c>
      <c r="R8" s="212">
        <v>0</v>
      </c>
      <c r="S8" s="212">
        <v>233868.89498865441</v>
      </c>
      <c r="T8" s="212">
        <v>0</v>
      </c>
      <c r="U8" s="212">
        <v>172324.04288625121</v>
      </c>
      <c r="V8" s="212">
        <v>937866.7320057468</v>
      </c>
      <c r="W8" s="212">
        <v>414465.83065524063</v>
      </c>
      <c r="X8" s="212">
        <v>853432.95637109643</v>
      </c>
      <c r="Y8" s="212">
        <v>2359245.2485109009</v>
      </c>
      <c r="Z8" s="234">
        <f t="shared" si="1"/>
        <v>5780730.0607609153</v>
      </c>
      <c r="AD8" s="225" t="s">
        <v>147</v>
      </c>
      <c r="AE8" s="54" t="s">
        <v>657</v>
      </c>
      <c r="AF8" s="226">
        <v>312827</v>
      </c>
      <c r="AG8" s="226">
        <v>315540.81774448365</v>
      </c>
      <c r="AH8" s="156" t="s">
        <v>872</v>
      </c>
    </row>
    <row r="9" spans="1:34" x14ac:dyDescent="0.2">
      <c r="A9" s="389"/>
      <c r="B9" s="233" t="s">
        <v>556</v>
      </c>
      <c r="C9" s="212">
        <v>261382</v>
      </c>
      <c r="D9" s="212">
        <v>1933723</v>
      </c>
      <c r="E9" s="212">
        <v>1396136</v>
      </c>
      <c r="F9" s="212">
        <v>0</v>
      </c>
      <c r="G9" s="212">
        <v>872143</v>
      </c>
      <c r="H9" s="212">
        <v>965436</v>
      </c>
      <c r="I9" s="212">
        <v>178869</v>
      </c>
      <c r="J9" s="212">
        <v>1639484</v>
      </c>
      <c r="K9" s="212">
        <v>129967</v>
      </c>
      <c r="L9" s="212">
        <v>267959</v>
      </c>
      <c r="M9" s="234">
        <f t="shared" si="0"/>
        <v>7645099</v>
      </c>
      <c r="O9" s="233" t="s">
        <v>556</v>
      </c>
      <c r="P9" s="212">
        <v>263544.59316069831</v>
      </c>
      <c r="Q9" s="212">
        <v>1950877.9644393066</v>
      </c>
      <c r="R9" s="212">
        <v>1409049.75069244</v>
      </c>
      <c r="S9" s="212">
        <v>0</v>
      </c>
      <c r="T9" s="212">
        <v>879105.21525950148</v>
      </c>
      <c r="U9" s="212">
        <v>971928.47371478658</v>
      </c>
      <c r="V9" s="212">
        <v>179606.06599177167</v>
      </c>
      <c r="W9" s="212">
        <v>1647899.9012094436</v>
      </c>
      <c r="X9" s="212">
        <v>130252.77513152988</v>
      </c>
      <c r="Y9" s="212">
        <v>268895.63283631467</v>
      </c>
      <c r="Z9" s="234">
        <f t="shared" si="1"/>
        <v>7701160.3724357933</v>
      </c>
      <c r="AD9" s="225" t="s">
        <v>153</v>
      </c>
      <c r="AE9" s="54" t="s">
        <v>658</v>
      </c>
      <c r="AF9" s="226">
        <v>463950</v>
      </c>
      <c r="AG9" s="226">
        <v>458326.65441518062</v>
      </c>
      <c r="AH9" s="156" t="s">
        <v>873</v>
      </c>
    </row>
    <row r="10" spans="1:34" x14ac:dyDescent="0.2">
      <c r="A10" s="389"/>
      <c r="B10" s="233" t="s">
        <v>557</v>
      </c>
      <c r="C10" s="212">
        <v>1474330</v>
      </c>
      <c r="D10" s="212">
        <v>463067</v>
      </c>
      <c r="E10" s="212">
        <v>643162</v>
      </c>
      <c r="F10" s="212">
        <v>0</v>
      </c>
      <c r="G10" s="212">
        <v>746834</v>
      </c>
      <c r="H10" s="212">
        <v>199627</v>
      </c>
      <c r="I10" s="212">
        <v>217989</v>
      </c>
      <c r="J10" s="212">
        <v>668737</v>
      </c>
      <c r="K10" s="212">
        <v>278179</v>
      </c>
      <c r="L10" s="212">
        <v>578417</v>
      </c>
      <c r="M10" s="234">
        <f t="shared" si="0"/>
        <v>5270342</v>
      </c>
      <c r="O10" s="233" t="s">
        <v>557</v>
      </c>
      <c r="P10" s="212">
        <v>1487168.940026802</v>
      </c>
      <c r="Q10" s="212">
        <v>468578.25997253071</v>
      </c>
      <c r="R10" s="212">
        <v>650121.77110691206</v>
      </c>
      <c r="S10" s="212">
        <v>0</v>
      </c>
      <c r="T10" s="212">
        <v>752872.46768435719</v>
      </c>
      <c r="U10" s="212">
        <v>200719.43926118876</v>
      </c>
      <c r="V10" s="212">
        <v>219380.78816837631</v>
      </c>
      <c r="W10" s="212">
        <v>670977.67746722756</v>
      </c>
      <c r="X10" s="212">
        <v>279628.36379639048</v>
      </c>
      <c r="Y10" s="212">
        <v>579875.55661033676</v>
      </c>
      <c r="Z10" s="234">
        <f t="shared" si="1"/>
        <v>5309323.2640941218</v>
      </c>
      <c r="AD10" s="225" t="s">
        <v>69</v>
      </c>
      <c r="AE10" s="54" t="s">
        <v>659</v>
      </c>
      <c r="AF10" s="226">
        <v>138169</v>
      </c>
      <c r="AG10" s="226">
        <v>136904.09205259327</v>
      </c>
      <c r="AH10" s="156" t="s">
        <v>874</v>
      </c>
    </row>
    <row r="11" spans="1:34" x14ac:dyDescent="0.2">
      <c r="A11" s="389"/>
      <c r="B11" s="233" t="s">
        <v>558</v>
      </c>
      <c r="C11" s="212">
        <v>653027</v>
      </c>
      <c r="D11" s="212">
        <v>845696</v>
      </c>
      <c r="E11" s="212">
        <v>0</v>
      </c>
      <c r="F11" s="212">
        <v>532541</v>
      </c>
      <c r="G11" s="212">
        <v>103736</v>
      </c>
      <c r="H11" s="212">
        <v>543780</v>
      </c>
      <c r="I11" s="212">
        <v>508812</v>
      </c>
      <c r="J11" s="212">
        <v>921163</v>
      </c>
      <c r="K11" s="212">
        <v>1008422</v>
      </c>
      <c r="L11" s="212">
        <v>0</v>
      </c>
      <c r="M11" s="234">
        <f t="shared" si="0"/>
        <v>5117177</v>
      </c>
      <c r="O11" s="233" t="s">
        <v>558</v>
      </c>
      <c r="P11" s="212">
        <v>657483.2956052185</v>
      </c>
      <c r="Q11" s="212">
        <v>851805.14538946282</v>
      </c>
      <c r="R11" s="212">
        <v>0</v>
      </c>
      <c r="S11" s="212">
        <v>537751.53064047522</v>
      </c>
      <c r="T11" s="212">
        <v>103918.87308908495</v>
      </c>
      <c r="U11" s="212">
        <v>547711.69542619039</v>
      </c>
      <c r="V11" s="212">
        <v>511964.32640873198</v>
      </c>
      <c r="W11" s="212">
        <v>926188.06469170726</v>
      </c>
      <c r="X11" s="212">
        <v>1011100.3597874227</v>
      </c>
      <c r="Y11" s="212">
        <v>0</v>
      </c>
      <c r="Z11" s="234">
        <f t="shared" si="1"/>
        <v>5147923.2910382934</v>
      </c>
      <c r="AD11" s="225" t="s">
        <v>71</v>
      </c>
      <c r="AE11" s="54" t="s">
        <v>660</v>
      </c>
      <c r="AF11" s="226">
        <v>419202</v>
      </c>
      <c r="AG11" s="226">
        <v>400815.88603580359</v>
      </c>
      <c r="AH11" s="156" t="s">
        <v>875</v>
      </c>
    </row>
    <row r="12" spans="1:34" x14ac:dyDescent="0.2">
      <c r="A12" s="389"/>
      <c r="B12" s="233" t="s">
        <v>559</v>
      </c>
      <c r="C12" s="212">
        <v>537015</v>
      </c>
      <c r="D12" s="212">
        <v>1211792</v>
      </c>
      <c r="E12" s="212">
        <v>597506</v>
      </c>
      <c r="F12" s="212">
        <v>179028</v>
      </c>
      <c r="G12" s="212">
        <v>1109884</v>
      </c>
      <c r="H12" s="212">
        <v>471955</v>
      </c>
      <c r="I12" s="212">
        <v>107294</v>
      </c>
      <c r="J12" s="212">
        <v>0</v>
      </c>
      <c r="K12" s="212">
        <v>519592</v>
      </c>
      <c r="L12" s="212">
        <v>0</v>
      </c>
      <c r="M12" s="234">
        <f t="shared" si="0"/>
        <v>4734066</v>
      </c>
      <c r="O12" s="233" t="s">
        <v>559</v>
      </c>
      <c r="P12" s="212">
        <v>541244.49542746809</v>
      </c>
      <c r="Q12" s="212">
        <v>1221410.5936798775</v>
      </c>
      <c r="R12" s="212">
        <v>600141.85155967285</v>
      </c>
      <c r="S12" s="212">
        <v>180177.05129155828</v>
      </c>
      <c r="T12" s="212">
        <v>1114899.5221833787</v>
      </c>
      <c r="U12" s="212">
        <v>474206.11728372099</v>
      </c>
      <c r="V12" s="212">
        <v>107471.85765858984</v>
      </c>
      <c r="W12" s="212">
        <v>0</v>
      </c>
      <c r="X12" s="212">
        <v>521014.33750608424</v>
      </c>
      <c r="Y12" s="212">
        <v>0</v>
      </c>
      <c r="Z12" s="234">
        <f t="shared" si="1"/>
        <v>4760565.8265903499</v>
      </c>
      <c r="AD12" s="225" t="s">
        <v>77</v>
      </c>
      <c r="AE12" s="54" t="s">
        <v>661</v>
      </c>
      <c r="AF12" s="226">
        <v>324037</v>
      </c>
      <c r="AG12" s="226">
        <v>317252.80933228531</v>
      </c>
      <c r="AH12" s="156" t="s">
        <v>876</v>
      </c>
    </row>
    <row r="13" spans="1:34" x14ac:dyDescent="0.2">
      <c r="A13" s="389"/>
      <c r="B13" s="233" t="s">
        <v>560</v>
      </c>
      <c r="C13" s="212">
        <v>448325</v>
      </c>
      <c r="D13" s="212">
        <v>857801</v>
      </c>
      <c r="E13" s="212">
        <v>851968</v>
      </c>
      <c r="F13" s="212">
        <v>1026476</v>
      </c>
      <c r="G13" s="212">
        <v>401119</v>
      </c>
      <c r="H13" s="212">
        <v>601355</v>
      </c>
      <c r="I13" s="212">
        <v>102517</v>
      </c>
      <c r="J13" s="212">
        <v>334489</v>
      </c>
      <c r="K13" s="212">
        <v>289662</v>
      </c>
      <c r="L13" s="212">
        <v>171870</v>
      </c>
      <c r="M13" s="234">
        <f t="shared" si="0"/>
        <v>5085582</v>
      </c>
      <c r="O13" s="233" t="s">
        <v>560</v>
      </c>
      <c r="P13" s="212">
        <v>450862.83347282698</v>
      </c>
      <c r="Q13" s="212">
        <v>862878.12906338903</v>
      </c>
      <c r="R13" s="212">
        <v>857328.8942669786</v>
      </c>
      <c r="S13" s="212">
        <v>1031468.8238538841</v>
      </c>
      <c r="T13" s="212">
        <v>402922.92288852052</v>
      </c>
      <c r="U13" s="212">
        <v>603519.081803601</v>
      </c>
      <c r="V13" s="212">
        <v>102916.05634859092</v>
      </c>
      <c r="W13" s="212">
        <v>335080.7681850947</v>
      </c>
      <c r="X13" s="212">
        <v>290894.96607145155</v>
      </c>
      <c r="Y13" s="212">
        <v>171812.53507200532</v>
      </c>
      <c r="Z13" s="234">
        <f t="shared" si="1"/>
        <v>5109685.0110263424</v>
      </c>
      <c r="AD13" s="225" t="s">
        <v>75</v>
      </c>
      <c r="AE13" s="54" t="s">
        <v>662</v>
      </c>
      <c r="AF13" s="226">
        <v>377914</v>
      </c>
      <c r="AG13" s="226">
        <v>380346.32327577448</v>
      </c>
      <c r="AH13" s="156" t="s">
        <v>877</v>
      </c>
    </row>
    <row r="14" spans="1:34" x14ac:dyDescent="0.2">
      <c r="A14" s="389"/>
      <c r="B14" s="233" t="s">
        <v>561</v>
      </c>
      <c r="C14" s="212">
        <v>713836</v>
      </c>
      <c r="D14" s="212">
        <v>724461</v>
      </c>
      <c r="E14" s="212">
        <v>1202050</v>
      </c>
      <c r="F14" s="212">
        <v>808613</v>
      </c>
      <c r="G14" s="212">
        <v>1746068</v>
      </c>
      <c r="H14" s="212">
        <v>539062</v>
      </c>
      <c r="I14" s="212">
        <v>0</v>
      </c>
      <c r="J14" s="212">
        <v>0</v>
      </c>
      <c r="K14" s="212">
        <v>143694</v>
      </c>
      <c r="L14" s="212">
        <v>0</v>
      </c>
      <c r="M14" s="234">
        <f t="shared" si="0"/>
        <v>5877784</v>
      </c>
      <c r="O14" s="233" t="s">
        <v>561</v>
      </c>
      <c r="P14" s="212">
        <v>718049.83951380407</v>
      </c>
      <c r="Q14" s="212">
        <v>728344.53661244875</v>
      </c>
      <c r="R14" s="212">
        <v>1211791.5638017613</v>
      </c>
      <c r="S14" s="212">
        <v>811382.49845258612</v>
      </c>
      <c r="T14" s="212">
        <v>1751169.5585445198</v>
      </c>
      <c r="U14" s="212">
        <v>542915.79307982838</v>
      </c>
      <c r="V14" s="212">
        <v>0</v>
      </c>
      <c r="W14" s="212">
        <v>0</v>
      </c>
      <c r="X14" s="212">
        <v>144918.74935233721</v>
      </c>
      <c r="Y14" s="212">
        <v>0</v>
      </c>
      <c r="Z14" s="234">
        <f t="shared" si="1"/>
        <v>5908572.539357285</v>
      </c>
      <c r="AD14" s="225" t="s">
        <v>83</v>
      </c>
      <c r="AE14" s="54" t="s">
        <v>663</v>
      </c>
      <c r="AF14" s="226">
        <v>392938</v>
      </c>
      <c r="AG14" s="226">
        <v>386854.58460895822</v>
      </c>
      <c r="AH14" s="156" t="s">
        <v>878</v>
      </c>
    </row>
    <row r="15" spans="1:34" x14ac:dyDescent="0.2">
      <c r="A15" s="389"/>
      <c r="B15" s="233" t="s">
        <v>562</v>
      </c>
      <c r="C15" s="212">
        <v>0</v>
      </c>
      <c r="D15" s="212">
        <v>326625</v>
      </c>
      <c r="E15" s="212">
        <v>1896015</v>
      </c>
      <c r="F15" s="212">
        <v>1076048</v>
      </c>
      <c r="G15" s="212">
        <v>308224</v>
      </c>
      <c r="H15" s="212">
        <v>543489</v>
      </c>
      <c r="I15" s="212">
        <v>1037555</v>
      </c>
      <c r="J15" s="212">
        <v>482202</v>
      </c>
      <c r="K15" s="212">
        <v>0</v>
      </c>
      <c r="L15" s="212">
        <v>0</v>
      </c>
      <c r="M15" s="234">
        <f t="shared" si="0"/>
        <v>5670158</v>
      </c>
      <c r="O15" s="233" t="s">
        <v>562</v>
      </c>
      <c r="P15" s="212">
        <v>0</v>
      </c>
      <c r="Q15" s="212">
        <v>327635.72116877424</v>
      </c>
      <c r="R15" s="212">
        <v>1907467.2182789489</v>
      </c>
      <c r="S15" s="212">
        <v>1082190.550762939</v>
      </c>
      <c r="T15" s="212">
        <v>309474.76225201553</v>
      </c>
      <c r="U15" s="212">
        <v>545482.94386322564</v>
      </c>
      <c r="V15" s="212">
        <v>1044515.3109161453</v>
      </c>
      <c r="W15" s="212">
        <v>484765.9481706589</v>
      </c>
      <c r="X15" s="212">
        <v>0</v>
      </c>
      <c r="Y15" s="212">
        <v>0</v>
      </c>
      <c r="Z15" s="234">
        <f t="shared" si="1"/>
        <v>5701532.4554127082</v>
      </c>
      <c r="AD15" s="225" t="s">
        <v>93</v>
      </c>
      <c r="AE15" s="54" t="s">
        <v>664</v>
      </c>
      <c r="AF15" s="226">
        <v>361406</v>
      </c>
      <c r="AG15" s="226">
        <v>373904.28944158688</v>
      </c>
      <c r="AH15" s="156" t="s">
        <v>879</v>
      </c>
    </row>
    <row r="16" spans="1:34" ht="13.5" thickBot="1" x14ac:dyDescent="0.25">
      <c r="A16" s="389"/>
      <c r="B16" s="235" t="s">
        <v>599</v>
      </c>
      <c r="C16" s="236">
        <f>SUM(C6:C15)</f>
        <v>4640291</v>
      </c>
      <c r="D16" s="236">
        <f t="shared" ref="D16:M16" si="2">SUM(D6:D15)</f>
        <v>6812933</v>
      </c>
      <c r="E16" s="236">
        <f t="shared" si="2"/>
        <v>6807500</v>
      </c>
      <c r="F16" s="236">
        <f t="shared" si="2"/>
        <v>5354224</v>
      </c>
      <c r="G16" s="236">
        <f t="shared" si="2"/>
        <v>5588878</v>
      </c>
      <c r="H16" s="236">
        <f t="shared" si="2"/>
        <v>4630715</v>
      </c>
      <c r="I16" s="236">
        <f t="shared" si="2"/>
        <v>5428453</v>
      </c>
      <c r="J16" s="236">
        <f t="shared" si="2"/>
        <v>6454435</v>
      </c>
      <c r="K16" s="236">
        <f t="shared" si="2"/>
        <v>5504137</v>
      </c>
      <c r="L16" s="236">
        <f t="shared" si="2"/>
        <v>6107613</v>
      </c>
      <c r="M16" s="237">
        <f t="shared" si="2"/>
        <v>57329179</v>
      </c>
      <c r="O16" s="235" t="s">
        <v>599</v>
      </c>
      <c r="P16" s="236">
        <f>SUM(P6:P15)</f>
        <v>4678315.7767494069</v>
      </c>
      <c r="Q16" s="236">
        <f t="shared" ref="Q16:Z16" si="3">SUM(Q6:Q15)</f>
        <v>6867073.1982947299</v>
      </c>
      <c r="R16" s="236">
        <f t="shared" si="3"/>
        <v>6859569.5871143052</v>
      </c>
      <c r="S16" s="236">
        <f t="shared" si="3"/>
        <v>5397986.3221578067</v>
      </c>
      <c r="T16" s="236">
        <f t="shared" si="3"/>
        <v>5620747.0669220537</v>
      </c>
      <c r="U16" s="236">
        <f t="shared" si="3"/>
        <v>4661845.5802640161</v>
      </c>
      <c r="V16" s="236">
        <f t="shared" si="3"/>
        <v>5474476.6891391948</v>
      </c>
      <c r="W16" s="236">
        <f t="shared" si="3"/>
        <v>6498976.7218118254</v>
      </c>
      <c r="X16" s="236">
        <f t="shared" si="3"/>
        <v>5548593.5180925457</v>
      </c>
      <c r="Y16" s="236">
        <f t="shared" si="3"/>
        <v>6150275.0932870116</v>
      </c>
      <c r="Z16" s="237">
        <f t="shared" si="3"/>
        <v>57757859.553832896</v>
      </c>
      <c r="AD16" s="225" t="s">
        <v>95</v>
      </c>
      <c r="AE16" s="54" t="s">
        <v>665</v>
      </c>
      <c r="AF16" s="226">
        <v>231391</v>
      </c>
      <c r="AG16" s="226">
        <v>247186.78942991397</v>
      </c>
      <c r="AH16" s="156" t="s">
        <v>880</v>
      </c>
    </row>
    <row r="17" spans="1:34" x14ac:dyDescent="0.2">
      <c r="AD17" s="225" t="s">
        <v>97</v>
      </c>
      <c r="AE17" s="54" t="s">
        <v>666</v>
      </c>
      <c r="AF17" s="226">
        <v>241793</v>
      </c>
      <c r="AG17" s="226">
        <v>242830.35889779546</v>
      </c>
      <c r="AH17" s="156" t="s">
        <v>881</v>
      </c>
    </row>
    <row r="18" spans="1:34" x14ac:dyDescent="0.2">
      <c r="A18" s="229" t="s">
        <v>591</v>
      </c>
      <c r="AD18" s="225" t="s">
        <v>123</v>
      </c>
      <c r="AE18" s="54" t="s">
        <v>667</v>
      </c>
      <c r="AF18" s="226">
        <v>306130</v>
      </c>
      <c r="AG18" s="226">
        <v>307629.52799340407</v>
      </c>
      <c r="AH18" s="156" t="s">
        <v>882</v>
      </c>
    </row>
    <row r="19" spans="1:34" x14ac:dyDescent="0.2">
      <c r="AD19" s="225" t="s">
        <v>113</v>
      </c>
      <c r="AE19" s="54" t="s">
        <v>668</v>
      </c>
      <c r="AF19" s="226">
        <v>288366</v>
      </c>
      <c r="AG19" s="226">
        <v>298356.46735828387</v>
      </c>
      <c r="AH19" s="156" t="s">
        <v>883</v>
      </c>
    </row>
    <row r="20" spans="1:34" x14ac:dyDescent="0.2">
      <c r="AD20" s="225" t="s">
        <v>125</v>
      </c>
      <c r="AE20" s="54" t="s">
        <v>669</v>
      </c>
      <c r="AF20" s="226">
        <v>345254</v>
      </c>
      <c r="AG20" s="226">
        <v>357620.58458225307</v>
      </c>
      <c r="AH20" s="156" t="s">
        <v>882</v>
      </c>
    </row>
    <row r="21" spans="1:34" ht="15" customHeight="1" thickBot="1" x14ac:dyDescent="0.25">
      <c r="A21" s="389" t="s">
        <v>598</v>
      </c>
      <c r="B21" s="156" t="s">
        <v>648</v>
      </c>
      <c r="O21" s="156" t="s">
        <v>13</v>
      </c>
      <c r="AD21" s="225" t="s">
        <v>121</v>
      </c>
      <c r="AE21" s="54" t="s">
        <v>670</v>
      </c>
      <c r="AF21" s="226">
        <v>261724</v>
      </c>
      <c r="AG21" s="226">
        <v>262833.54943886236</v>
      </c>
      <c r="AH21" s="156" t="s">
        <v>884</v>
      </c>
    </row>
    <row r="22" spans="1:34" x14ac:dyDescent="0.2">
      <c r="A22" s="389"/>
      <c r="B22" s="230"/>
      <c r="C22" s="231" t="s">
        <v>542</v>
      </c>
      <c r="D22" s="231" t="s">
        <v>543</v>
      </c>
      <c r="E22" s="231" t="s">
        <v>544</v>
      </c>
      <c r="F22" s="231" t="s">
        <v>545</v>
      </c>
      <c r="G22" s="231" t="s">
        <v>546</v>
      </c>
      <c r="H22" s="231" t="s">
        <v>547</v>
      </c>
      <c r="I22" s="231" t="s">
        <v>548</v>
      </c>
      <c r="J22" s="231" t="s">
        <v>549</v>
      </c>
      <c r="K22" s="231" t="s">
        <v>550</v>
      </c>
      <c r="L22" s="231" t="s">
        <v>551</v>
      </c>
      <c r="M22" s="232" t="s">
        <v>600</v>
      </c>
      <c r="O22" s="230"/>
      <c r="P22" s="231" t="s">
        <v>542</v>
      </c>
      <c r="Q22" s="231" t="s">
        <v>543</v>
      </c>
      <c r="R22" s="231" t="s">
        <v>544</v>
      </c>
      <c r="S22" s="231" t="s">
        <v>545</v>
      </c>
      <c r="T22" s="231" t="s">
        <v>546</v>
      </c>
      <c r="U22" s="231" t="s">
        <v>547</v>
      </c>
      <c r="V22" s="231" t="s">
        <v>548</v>
      </c>
      <c r="W22" s="231" t="s">
        <v>549</v>
      </c>
      <c r="X22" s="231" t="s">
        <v>550</v>
      </c>
      <c r="Y22" s="231" t="s">
        <v>551</v>
      </c>
      <c r="Z22" s="232" t="s">
        <v>600</v>
      </c>
      <c r="AD22" s="225" t="s">
        <v>129</v>
      </c>
      <c r="AE22" s="54" t="s">
        <v>671</v>
      </c>
      <c r="AF22" s="226">
        <v>213847</v>
      </c>
      <c r="AG22" s="226">
        <v>218246.68691501857</v>
      </c>
      <c r="AH22" s="156" t="s">
        <v>884</v>
      </c>
    </row>
    <row r="23" spans="1:34" x14ac:dyDescent="0.2">
      <c r="A23" s="389"/>
      <c r="B23" s="233" t="s">
        <v>553</v>
      </c>
      <c r="C23" s="212">
        <f>SUMIF($AH$4:$AH$212,C$22&amp;$B23,$AG$4:$AG$212)</f>
        <v>0</v>
      </c>
      <c r="D23" s="212">
        <f t="shared" ref="D23:L23" si="4">SUMIF($AH$4:$AH$212,D$22&amp;$B23,$AG$4:$AG$212)</f>
        <v>0</v>
      </c>
      <c r="E23" s="212">
        <f t="shared" si="4"/>
        <v>0</v>
      </c>
      <c r="F23" s="212">
        <f t="shared" si="4"/>
        <v>375933.90396427328</v>
      </c>
      <c r="G23" s="212">
        <f t="shared" si="4"/>
        <v>0</v>
      </c>
      <c r="H23" s="212">
        <f t="shared" si="4"/>
        <v>307186.77378705691</v>
      </c>
      <c r="I23" s="212">
        <f t="shared" si="4"/>
        <v>1537249.6719245021</v>
      </c>
      <c r="J23" s="212">
        <f t="shared" si="4"/>
        <v>751053.51852016349</v>
      </c>
      <c r="K23" s="212">
        <f t="shared" si="4"/>
        <v>2160827.7423773943</v>
      </c>
      <c r="L23" s="212">
        <f t="shared" si="4"/>
        <v>1278291.8531954917</v>
      </c>
      <c r="M23" s="234">
        <f>SUM(C23:L23)</f>
        <v>6410543.4637688827</v>
      </c>
      <c r="O23" s="233" t="s">
        <v>553</v>
      </c>
      <c r="P23" s="212">
        <v>0</v>
      </c>
      <c r="Q23" s="212">
        <v>0</v>
      </c>
      <c r="R23" s="212">
        <v>0</v>
      </c>
      <c r="S23" s="212">
        <v>389060.87703129515</v>
      </c>
      <c r="T23" s="212">
        <v>0</v>
      </c>
      <c r="U23" s="212">
        <v>310209.57203275722</v>
      </c>
      <c r="V23" s="212">
        <v>1609119.7111321827</v>
      </c>
      <c r="W23" s="212">
        <v>794294.73567889212</v>
      </c>
      <c r="X23" s="212">
        <v>2244768.552539865</v>
      </c>
      <c r="Y23" s="212">
        <v>1348120.4014083524</v>
      </c>
      <c r="Z23" s="234">
        <f>SUM(P23:Y23)</f>
        <v>6695573.8498233445</v>
      </c>
      <c r="AD23" s="225" t="s">
        <v>137</v>
      </c>
      <c r="AE23" s="54" t="s">
        <v>672</v>
      </c>
      <c r="AF23" s="226">
        <v>361877</v>
      </c>
      <c r="AG23" s="226">
        <v>371430.51406165771</v>
      </c>
      <c r="AH23" s="156" t="s">
        <v>876</v>
      </c>
    </row>
    <row r="24" spans="1:34" x14ac:dyDescent="0.2">
      <c r="A24" s="389"/>
      <c r="B24" s="233" t="s">
        <v>554</v>
      </c>
      <c r="C24" s="212">
        <f t="shared" ref="C24:L32" si="5">SUMIF($AH$4:$AH$212,C$22&amp;$B24,$AG$4:$AG$212)</f>
        <v>211367.75083859646</v>
      </c>
      <c r="D24" s="212">
        <f t="shared" si="5"/>
        <v>0</v>
      </c>
      <c r="E24" s="212">
        <f t="shared" si="5"/>
        <v>237284.5704123571</v>
      </c>
      <c r="F24" s="212">
        <f t="shared" si="5"/>
        <v>1207872.4488261454</v>
      </c>
      <c r="G24" s="212">
        <f t="shared" si="5"/>
        <v>325178.06531768315</v>
      </c>
      <c r="H24" s="212">
        <f t="shared" si="5"/>
        <v>340575.02637762285</v>
      </c>
      <c r="I24" s="212">
        <f t="shared" si="5"/>
        <v>1057194.5884427025</v>
      </c>
      <c r="J24" s="212">
        <f t="shared" si="5"/>
        <v>1467718.2044814196</v>
      </c>
      <c r="K24" s="212">
        <f t="shared" si="5"/>
        <v>421665.08708581107</v>
      </c>
      <c r="L24" s="212">
        <f t="shared" si="5"/>
        <v>1816415.8103277637</v>
      </c>
      <c r="M24" s="234">
        <f t="shared" ref="M24:M32" si="6">SUM(C24:L24)</f>
        <v>7085271.552110103</v>
      </c>
      <c r="O24" s="233" t="s">
        <v>554</v>
      </c>
      <c r="P24" s="212">
        <v>218051.56303947119</v>
      </c>
      <c r="Q24" s="212">
        <v>0</v>
      </c>
      <c r="R24" s="212">
        <v>237537.08404657253</v>
      </c>
      <c r="S24" s="212">
        <v>1276889.1457209056</v>
      </c>
      <c r="T24" s="212">
        <v>339655.22964329552</v>
      </c>
      <c r="U24" s="212">
        <v>339966.36625969608</v>
      </c>
      <c r="V24" s="212">
        <v>1098336.3496093752</v>
      </c>
      <c r="W24" s="212">
        <v>1552131.382644196</v>
      </c>
      <c r="X24" s="212">
        <v>433082.25256521639</v>
      </c>
      <c r="Y24" s="212">
        <v>1986478.9656303944</v>
      </c>
      <c r="Z24" s="234">
        <f t="shared" ref="Z24:Z32" si="7">SUM(P24:Y24)</f>
        <v>7482128.3391591227</v>
      </c>
      <c r="AD24" s="225" t="s">
        <v>139</v>
      </c>
      <c r="AE24" s="54" t="s">
        <v>673</v>
      </c>
      <c r="AF24" s="226">
        <v>320951</v>
      </c>
      <c r="AG24" s="226">
        <v>324114.42410090897</v>
      </c>
      <c r="AH24" s="156" t="s">
        <v>879</v>
      </c>
    </row>
    <row r="25" spans="1:34" x14ac:dyDescent="0.2">
      <c r="A25" s="389"/>
      <c r="B25" s="233" t="s">
        <v>555</v>
      </c>
      <c r="C25" s="212">
        <f t="shared" si="5"/>
        <v>367434.19903788046</v>
      </c>
      <c r="D25" s="212">
        <f t="shared" si="5"/>
        <v>504582.89891789027</v>
      </c>
      <c r="E25" s="212">
        <f t="shared" si="5"/>
        <v>0</v>
      </c>
      <c r="F25" s="212">
        <f t="shared" si="5"/>
        <v>251796.90805572606</v>
      </c>
      <c r="G25" s="212">
        <f t="shared" si="5"/>
        <v>0</v>
      </c>
      <c r="H25" s="212">
        <f t="shared" si="5"/>
        <v>189378.11115185579</v>
      </c>
      <c r="I25" s="212">
        <f t="shared" si="5"/>
        <v>1032348.2981172432</v>
      </c>
      <c r="J25" s="212">
        <f t="shared" si="5"/>
        <v>467299.68177592033</v>
      </c>
      <c r="K25" s="212">
        <f t="shared" si="5"/>
        <v>1079647.1704563894</v>
      </c>
      <c r="L25" s="212">
        <f t="shared" si="5"/>
        <v>3017827.8644289151</v>
      </c>
      <c r="M25" s="234">
        <f t="shared" si="6"/>
        <v>6910315.1319418214</v>
      </c>
      <c r="O25" s="233" t="s">
        <v>555</v>
      </c>
      <c r="P25" s="212">
        <v>374968.93203514302</v>
      </c>
      <c r="Q25" s="212">
        <v>526869.48258460604</v>
      </c>
      <c r="R25" s="212">
        <v>0</v>
      </c>
      <c r="S25" s="212">
        <v>261417.28191331253</v>
      </c>
      <c r="T25" s="212">
        <v>0</v>
      </c>
      <c r="U25" s="212">
        <v>201376.25357259947</v>
      </c>
      <c r="V25" s="212">
        <v>1093620.7713244562</v>
      </c>
      <c r="W25" s="212">
        <v>486137.87819019041</v>
      </c>
      <c r="X25" s="212">
        <v>1136867.4210502524</v>
      </c>
      <c r="Y25" s="212">
        <v>3168640.9849570673</v>
      </c>
      <c r="Z25" s="234">
        <f t="shared" si="7"/>
        <v>7249899.0056276275</v>
      </c>
      <c r="AD25" s="225" t="s">
        <v>141</v>
      </c>
      <c r="AE25" s="54" t="s">
        <v>674</v>
      </c>
      <c r="AF25" s="226">
        <v>278524</v>
      </c>
      <c r="AG25" s="226">
        <v>282604.93667708029</v>
      </c>
      <c r="AH25" s="156" t="s">
        <v>885</v>
      </c>
    </row>
    <row r="26" spans="1:34" x14ac:dyDescent="0.2">
      <c r="A26" s="389"/>
      <c r="B26" s="233" t="s">
        <v>556</v>
      </c>
      <c r="C26" s="212">
        <f t="shared" si="5"/>
        <v>291537.02369601594</v>
      </c>
      <c r="D26" s="212">
        <f t="shared" si="5"/>
        <v>2081584.9566513416</v>
      </c>
      <c r="E26" s="212">
        <f t="shared" si="5"/>
        <v>1519048.3601951974</v>
      </c>
      <c r="F26" s="212">
        <f t="shared" si="5"/>
        <v>0</v>
      </c>
      <c r="G26" s="212">
        <f t="shared" si="5"/>
        <v>971714.34610635659</v>
      </c>
      <c r="H26" s="212">
        <f t="shared" si="5"/>
        <v>1074962.3726932262</v>
      </c>
      <c r="I26" s="212">
        <f t="shared" si="5"/>
        <v>193198.99994768188</v>
      </c>
      <c r="J26" s="212">
        <f t="shared" si="5"/>
        <v>2020279.672789979</v>
      </c>
      <c r="K26" s="212">
        <f t="shared" si="5"/>
        <v>180243.61703347915</v>
      </c>
      <c r="L26" s="212">
        <f t="shared" si="5"/>
        <v>318576.48612225492</v>
      </c>
      <c r="M26" s="234">
        <f t="shared" si="6"/>
        <v>8651145.8352355324</v>
      </c>
      <c r="O26" s="233" t="s">
        <v>556</v>
      </c>
      <c r="P26" s="212">
        <v>296830.03776048863</v>
      </c>
      <c r="Q26" s="212">
        <v>2228813.3635066245</v>
      </c>
      <c r="R26" s="212">
        <v>1599747.0469295834</v>
      </c>
      <c r="S26" s="212">
        <v>0</v>
      </c>
      <c r="T26" s="212">
        <v>1027183.4392253499</v>
      </c>
      <c r="U26" s="212">
        <v>1140326.110357088</v>
      </c>
      <c r="V26" s="212">
        <v>212688.06916118655</v>
      </c>
      <c r="W26" s="212">
        <v>2119393.3608076009</v>
      </c>
      <c r="X26" s="212">
        <v>185779.0340879338</v>
      </c>
      <c r="Y26" s="212">
        <v>345327.04684094054</v>
      </c>
      <c r="Z26" s="234">
        <f t="shared" si="7"/>
        <v>9156087.5086767953</v>
      </c>
      <c r="AD26" s="225" t="s">
        <v>151</v>
      </c>
      <c r="AE26" s="54" t="s">
        <v>675</v>
      </c>
      <c r="AF26" s="226">
        <v>421609</v>
      </c>
      <c r="AG26" s="226">
        <v>422245.69161530636</v>
      </c>
      <c r="AH26" s="156" t="s">
        <v>886</v>
      </c>
    </row>
    <row r="27" spans="1:34" x14ac:dyDescent="0.2">
      <c r="A27" s="389"/>
      <c r="B27" s="233" t="s">
        <v>557</v>
      </c>
      <c r="C27" s="212">
        <f t="shared" si="5"/>
        <v>1576950.3573895684</v>
      </c>
      <c r="D27" s="212">
        <f t="shared" si="5"/>
        <v>505599.26973454002</v>
      </c>
      <c r="E27" s="212">
        <f t="shared" si="5"/>
        <v>773227.91439968138</v>
      </c>
      <c r="F27" s="212">
        <f t="shared" si="5"/>
        <v>0</v>
      </c>
      <c r="G27" s="212">
        <f t="shared" si="5"/>
        <v>867984.03604451043</v>
      </c>
      <c r="H27" s="212">
        <f t="shared" si="5"/>
        <v>247186.78942991397</v>
      </c>
      <c r="I27" s="212">
        <f t="shared" si="5"/>
        <v>247691.16948258362</v>
      </c>
      <c r="J27" s="212">
        <f t="shared" si="5"/>
        <v>858025.26501453226</v>
      </c>
      <c r="K27" s="212">
        <f t="shared" si="5"/>
        <v>330607.03408233757</v>
      </c>
      <c r="L27" s="212">
        <f t="shared" si="5"/>
        <v>754324.31548063539</v>
      </c>
      <c r="M27" s="234">
        <f t="shared" si="6"/>
        <v>6161596.1510583023</v>
      </c>
      <c r="O27" s="233" t="s">
        <v>557</v>
      </c>
      <c r="P27" s="212">
        <v>1701975.6013886798</v>
      </c>
      <c r="Q27" s="212">
        <v>548527.58726159553</v>
      </c>
      <c r="R27" s="212">
        <v>804390.71373796463</v>
      </c>
      <c r="S27" s="212">
        <v>0</v>
      </c>
      <c r="T27" s="212">
        <v>923449.59582059924</v>
      </c>
      <c r="U27" s="212">
        <v>257534.44210958367</v>
      </c>
      <c r="V27" s="212">
        <v>258694.64720640221</v>
      </c>
      <c r="W27" s="212">
        <v>909755.40080522874</v>
      </c>
      <c r="X27" s="212">
        <v>350413.35518727382</v>
      </c>
      <c r="Y27" s="212">
        <v>795156.61618841509</v>
      </c>
      <c r="Z27" s="234">
        <f t="shared" si="7"/>
        <v>6549897.959705743</v>
      </c>
      <c r="AD27" s="225" t="s">
        <v>89</v>
      </c>
      <c r="AE27" s="54" t="s">
        <v>676</v>
      </c>
      <c r="AF27" s="226">
        <v>207493</v>
      </c>
      <c r="AG27" s="226">
        <v>211039.05457238661</v>
      </c>
      <c r="AH27" s="156" t="s">
        <v>883</v>
      </c>
    </row>
    <row r="28" spans="1:34" x14ac:dyDescent="0.2">
      <c r="A28" s="389"/>
      <c r="B28" s="233" t="s">
        <v>558</v>
      </c>
      <c r="C28" s="212">
        <f t="shared" si="5"/>
        <v>675644.8829859189</v>
      </c>
      <c r="D28" s="212">
        <f t="shared" si="5"/>
        <v>900752.47008846025</v>
      </c>
      <c r="E28" s="212">
        <f t="shared" si="5"/>
        <v>0</v>
      </c>
      <c r="F28" s="212">
        <f t="shared" si="5"/>
        <v>606556.02677162364</v>
      </c>
      <c r="G28" s="212">
        <f t="shared" si="5"/>
        <v>124357.8275788888</v>
      </c>
      <c r="H28" s="212">
        <f t="shared" si="5"/>
        <v>654234.15920026333</v>
      </c>
      <c r="I28" s="212">
        <f t="shared" si="5"/>
        <v>656387.47353866335</v>
      </c>
      <c r="J28" s="212">
        <f t="shared" si="5"/>
        <v>1132149.5831053422</v>
      </c>
      <c r="K28" s="212">
        <f t="shared" si="5"/>
        <v>1321662.0931317853</v>
      </c>
      <c r="L28" s="212">
        <f t="shared" si="5"/>
        <v>0</v>
      </c>
      <c r="M28" s="234">
        <f t="shared" si="6"/>
        <v>6071744.5164009454</v>
      </c>
      <c r="O28" s="233" t="s">
        <v>558</v>
      </c>
      <c r="P28" s="212">
        <v>730182.42451831652</v>
      </c>
      <c r="Q28" s="212">
        <v>938253.37189471954</v>
      </c>
      <c r="R28" s="212">
        <v>0</v>
      </c>
      <c r="S28" s="212">
        <v>649595.81495184277</v>
      </c>
      <c r="T28" s="212">
        <v>132748.07522841898</v>
      </c>
      <c r="U28" s="212">
        <v>666289.15904536482</v>
      </c>
      <c r="V28" s="212">
        <v>685459.57478359644</v>
      </c>
      <c r="W28" s="212">
        <v>1206519.3221797987</v>
      </c>
      <c r="X28" s="212">
        <v>1368878.3553248523</v>
      </c>
      <c r="Y28" s="212">
        <v>0</v>
      </c>
      <c r="Z28" s="234">
        <f t="shared" si="7"/>
        <v>6377926.09792691</v>
      </c>
      <c r="AD28" s="225" t="s">
        <v>91</v>
      </c>
      <c r="AE28" s="54" t="s">
        <v>677</v>
      </c>
      <c r="AF28" s="226">
        <v>234892</v>
      </c>
      <c r="AG28" s="226">
        <v>237911.47640678659</v>
      </c>
      <c r="AH28" s="156" t="s">
        <v>887</v>
      </c>
    </row>
    <row r="29" spans="1:34" x14ac:dyDescent="0.2">
      <c r="A29" s="389"/>
      <c r="B29" s="233" t="s">
        <v>559</v>
      </c>
      <c r="C29" s="212">
        <f t="shared" si="5"/>
        <v>572045.46440189891</v>
      </c>
      <c r="D29" s="212">
        <f t="shared" si="5"/>
        <v>1320861.5933496756</v>
      </c>
      <c r="E29" s="212">
        <f t="shared" si="5"/>
        <v>684080.4079345963</v>
      </c>
      <c r="F29" s="212">
        <f t="shared" si="5"/>
        <v>219935.98521513259</v>
      </c>
      <c r="G29" s="212">
        <f t="shared" si="5"/>
        <v>1346569.4447090647</v>
      </c>
      <c r="H29" s="212">
        <f t="shared" si="5"/>
        <v>595879.47052059672</v>
      </c>
      <c r="I29" s="212">
        <f t="shared" si="5"/>
        <v>136904.09205259327</v>
      </c>
      <c r="J29" s="212">
        <f t="shared" si="5"/>
        <v>0</v>
      </c>
      <c r="K29" s="212">
        <f t="shared" si="5"/>
        <v>688897.3168043152</v>
      </c>
      <c r="L29" s="212">
        <f t="shared" si="5"/>
        <v>0</v>
      </c>
      <c r="M29" s="234">
        <f t="shared" si="6"/>
        <v>5565173.7749878727</v>
      </c>
      <c r="O29" s="233" t="s">
        <v>559</v>
      </c>
      <c r="P29" s="212">
        <v>621444.8138633885</v>
      </c>
      <c r="Q29" s="212">
        <v>1389993.387434785</v>
      </c>
      <c r="R29" s="212">
        <v>732234.37409997056</v>
      </c>
      <c r="S29" s="212">
        <v>225481.60740136224</v>
      </c>
      <c r="T29" s="212">
        <v>1412549.7008092464</v>
      </c>
      <c r="U29" s="212">
        <v>622080.36754518829</v>
      </c>
      <c r="V29" s="212">
        <v>145176.79095484084</v>
      </c>
      <c r="W29" s="212">
        <v>0</v>
      </c>
      <c r="X29" s="212">
        <v>729196.78729534009</v>
      </c>
      <c r="Y29" s="212">
        <v>0</v>
      </c>
      <c r="Z29" s="234">
        <f t="shared" si="7"/>
        <v>5878157.8294041213</v>
      </c>
      <c r="AD29" s="225" t="s">
        <v>99</v>
      </c>
      <c r="AE29" s="54" t="s">
        <v>678</v>
      </c>
      <c r="AF29" s="226">
        <v>220904</v>
      </c>
      <c r="AG29" s="226">
        <v>219935.98521513259</v>
      </c>
      <c r="AH29" s="156" t="s">
        <v>888</v>
      </c>
    </row>
    <row r="30" spans="1:34" x14ac:dyDescent="0.2">
      <c r="A30" s="389"/>
      <c r="B30" s="233" t="s">
        <v>560</v>
      </c>
      <c r="C30" s="212">
        <f t="shared" si="5"/>
        <v>493556.24244147353</v>
      </c>
      <c r="D30" s="212">
        <f t="shared" si="5"/>
        <v>965684.24554137723</v>
      </c>
      <c r="E30" s="212">
        <f t="shared" si="5"/>
        <v>944976.48105031461</v>
      </c>
      <c r="F30" s="212">
        <f t="shared" si="5"/>
        <v>1171297.1654644425</v>
      </c>
      <c r="G30" s="212">
        <f t="shared" si="5"/>
        <v>481183.63061284588</v>
      </c>
      <c r="H30" s="212">
        <f t="shared" si="5"/>
        <v>737974.29520969291</v>
      </c>
      <c r="I30" s="212">
        <f t="shared" si="5"/>
        <v>134457.24144577913</v>
      </c>
      <c r="J30" s="212">
        <f t="shared" si="5"/>
        <v>458326.65441518062</v>
      </c>
      <c r="K30" s="212">
        <f t="shared" si="5"/>
        <v>400815.88603580359</v>
      </c>
      <c r="L30" s="212">
        <f t="shared" si="5"/>
        <v>237911.47640678659</v>
      </c>
      <c r="M30" s="234">
        <f t="shared" si="6"/>
        <v>6026183.3186236974</v>
      </c>
      <c r="O30" s="233" t="s">
        <v>560</v>
      </c>
      <c r="P30" s="212">
        <v>504610.08960508852</v>
      </c>
      <c r="Q30" s="212">
        <v>1035136.9876044444</v>
      </c>
      <c r="R30" s="212">
        <v>997951.018777841</v>
      </c>
      <c r="S30" s="212">
        <v>1248753.5303418525</v>
      </c>
      <c r="T30" s="212">
        <v>515113.32669266488</v>
      </c>
      <c r="U30" s="212">
        <v>783882.55494156922</v>
      </c>
      <c r="V30" s="212">
        <v>140623.83777073066</v>
      </c>
      <c r="W30" s="212">
        <v>497941.4274456852</v>
      </c>
      <c r="X30" s="212">
        <v>422406.5136037413</v>
      </c>
      <c r="Y30" s="212">
        <v>262383.61677625799</v>
      </c>
      <c r="Z30" s="234">
        <f t="shared" si="7"/>
        <v>6408802.9035598757</v>
      </c>
      <c r="AD30" s="225" t="s">
        <v>103</v>
      </c>
      <c r="AE30" s="54" t="s">
        <v>679</v>
      </c>
      <c r="AF30" s="226">
        <v>502520</v>
      </c>
      <c r="AG30" s="226">
        <v>477678.94173875771</v>
      </c>
      <c r="AH30" s="156" t="s">
        <v>877</v>
      </c>
    </row>
    <row r="31" spans="1:34" x14ac:dyDescent="0.2">
      <c r="A31" s="389"/>
      <c r="B31" s="233" t="s">
        <v>561</v>
      </c>
      <c r="C31" s="212">
        <f t="shared" si="5"/>
        <v>787328.17012733698</v>
      </c>
      <c r="D31" s="212">
        <f t="shared" si="5"/>
        <v>824887.88614854671</v>
      </c>
      <c r="E31" s="212">
        <f t="shared" si="5"/>
        <v>1378771.4292701096</v>
      </c>
      <c r="F31" s="212">
        <f t="shared" si="5"/>
        <v>940318.26558246172</v>
      </c>
      <c r="G31" s="212">
        <f t="shared" si="5"/>
        <v>2131247.1690351591</v>
      </c>
      <c r="H31" s="212">
        <f t="shared" si="5"/>
        <v>658932.77523022331</v>
      </c>
      <c r="I31" s="212">
        <f t="shared" si="5"/>
        <v>0</v>
      </c>
      <c r="J31" s="212">
        <f t="shared" si="5"/>
        <v>0</v>
      </c>
      <c r="K31" s="212">
        <f t="shared" si="5"/>
        <v>191698.45880191663</v>
      </c>
      <c r="L31" s="212">
        <f t="shared" si="5"/>
        <v>0</v>
      </c>
      <c r="M31" s="234">
        <f t="shared" si="6"/>
        <v>6913184.1541957548</v>
      </c>
      <c r="O31" s="233" t="s">
        <v>561</v>
      </c>
      <c r="P31" s="212">
        <v>860121.83755083394</v>
      </c>
      <c r="Q31" s="212">
        <v>871706.26704587776</v>
      </c>
      <c r="R31" s="212">
        <v>1458323.2381262928</v>
      </c>
      <c r="S31" s="212">
        <v>987546.94194042229</v>
      </c>
      <c r="T31" s="212">
        <v>2273383.2486888506</v>
      </c>
      <c r="U31" s="212">
        <v>714186.94153095281</v>
      </c>
      <c r="V31" s="212">
        <v>0</v>
      </c>
      <c r="W31" s="212">
        <v>0</v>
      </c>
      <c r="X31" s="212">
        <v>203062.17658148898</v>
      </c>
      <c r="Y31" s="212">
        <v>0</v>
      </c>
      <c r="Z31" s="234">
        <f t="shared" si="7"/>
        <v>7368330.6514647193</v>
      </c>
      <c r="AD31" s="225" t="s">
        <v>109</v>
      </c>
      <c r="AE31" s="54" t="s">
        <v>680</v>
      </c>
      <c r="AF31" s="226">
        <v>250940</v>
      </c>
      <c r="AG31" s="226">
        <v>251981.21228796613</v>
      </c>
      <c r="AH31" s="156" t="s">
        <v>889</v>
      </c>
    </row>
    <row r="32" spans="1:34" x14ac:dyDescent="0.2">
      <c r="A32" s="389"/>
      <c r="B32" s="233" t="s">
        <v>562</v>
      </c>
      <c r="C32" s="212">
        <f t="shared" si="5"/>
        <v>0</v>
      </c>
      <c r="D32" s="212">
        <f t="shared" si="5"/>
        <v>385794.58120974933</v>
      </c>
      <c r="E32" s="212">
        <f t="shared" si="5"/>
        <v>2353137.2958388701</v>
      </c>
      <c r="F32" s="212">
        <f t="shared" si="5"/>
        <v>1334013.9281594583</v>
      </c>
      <c r="G32" s="212">
        <f t="shared" si="5"/>
        <v>371063.07276403566</v>
      </c>
      <c r="H32" s="212">
        <f t="shared" si="5"/>
        <v>649473.41865041142</v>
      </c>
      <c r="I32" s="212">
        <f t="shared" si="5"/>
        <v>1288061.4894816072</v>
      </c>
      <c r="J32" s="212">
        <f t="shared" si="5"/>
        <v>610298.315573022</v>
      </c>
      <c r="K32" s="212">
        <f t="shared" si="5"/>
        <v>0</v>
      </c>
      <c r="L32" s="212">
        <f t="shared" si="5"/>
        <v>0</v>
      </c>
      <c r="M32" s="234">
        <f t="shared" si="6"/>
        <v>6991842.1016771533</v>
      </c>
      <c r="O32" s="233" t="s">
        <v>562</v>
      </c>
      <c r="P32" s="212">
        <v>0</v>
      </c>
      <c r="Q32" s="212">
        <v>399834.59592591273</v>
      </c>
      <c r="R32" s="212">
        <v>2462633.0237519485</v>
      </c>
      <c r="S32" s="212">
        <v>1405726.7834846275</v>
      </c>
      <c r="T32" s="212">
        <v>399083.02873060736</v>
      </c>
      <c r="U32" s="212">
        <v>698700.20895126741</v>
      </c>
      <c r="V32" s="212">
        <v>1366514.7603648941</v>
      </c>
      <c r="W32" s="212">
        <v>653421.7068161082</v>
      </c>
      <c r="X32" s="212">
        <v>0</v>
      </c>
      <c r="Y32" s="212">
        <v>0</v>
      </c>
      <c r="Z32" s="234">
        <f t="shared" si="7"/>
        <v>7385914.1080253655</v>
      </c>
      <c r="AD32" s="225" t="s">
        <v>117</v>
      </c>
      <c r="AE32" s="54" t="s">
        <v>681</v>
      </c>
      <c r="AF32" s="226">
        <v>199448</v>
      </c>
      <c r="AG32" s="226">
        <v>189276.9633034479</v>
      </c>
      <c r="AH32" s="156" t="s">
        <v>890</v>
      </c>
    </row>
    <row r="33" spans="1:34" ht="13.5" thickBot="1" x14ac:dyDescent="0.25">
      <c r="A33" s="389"/>
      <c r="B33" s="235" t="s">
        <v>599</v>
      </c>
      <c r="C33" s="236">
        <f>SUM(C23:C32)</f>
        <v>4975864.090918689</v>
      </c>
      <c r="D33" s="236">
        <f t="shared" ref="D33:M33" si="8">SUM(D23:D32)</f>
        <v>7489747.9016415803</v>
      </c>
      <c r="E33" s="236">
        <f t="shared" si="8"/>
        <v>7890526.4591011275</v>
      </c>
      <c r="F33" s="236">
        <f t="shared" si="8"/>
        <v>6107724.6320392638</v>
      </c>
      <c r="G33" s="236">
        <f t="shared" si="8"/>
        <v>6619297.5921685435</v>
      </c>
      <c r="H33" s="236">
        <f t="shared" si="8"/>
        <v>5455783.1922508627</v>
      </c>
      <c r="I33" s="236">
        <f t="shared" si="8"/>
        <v>6283493.0244333558</v>
      </c>
      <c r="J33" s="236">
        <f t="shared" si="8"/>
        <v>7765150.8956755595</v>
      </c>
      <c r="K33" s="236">
        <f t="shared" si="8"/>
        <v>6776064.405809233</v>
      </c>
      <c r="L33" s="236">
        <f t="shared" si="8"/>
        <v>7423347.8059618473</v>
      </c>
      <c r="M33" s="237">
        <f t="shared" si="8"/>
        <v>66787000.000000075</v>
      </c>
      <c r="O33" s="235" t="s">
        <v>599</v>
      </c>
      <c r="P33" s="236">
        <f>SUM(P23:P32)</f>
        <v>5308185.2997614099</v>
      </c>
      <c r="Q33" s="236">
        <f t="shared" ref="Q33:Z33" si="9">SUM(Q23:Q32)</f>
        <v>7939135.0432585645</v>
      </c>
      <c r="R33" s="236">
        <f t="shared" si="9"/>
        <v>8292816.4994701724</v>
      </c>
      <c r="S33" s="236">
        <f t="shared" si="9"/>
        <v>6444471.9827856207</v>
      </c>
      <c r="T33" s="236">
        <f t="shared" si="9"/>
        <v>7023165.6448390335</v>
      </c>
      <c r="U33" s="236">
        <f t="shared" si="9"/>
        <v>5734551.9763460672</v>
      </c>
      <c r="V33" s="236">
        <f t="shared" si="9"/>
        <v>6610234.5123076644</v>
      </c>
      <c r="W33" s="236">
        <f t="shared" si="9"/>
        <v>8219595.2145677004</v>
      </c>
      <c r="X33" s="236">
        <f t="shared" si="9"/>
        <v>7074454.4482359644</v>
      </c>
      <c r="Y33" s="236">
        <f t="shared" si="9"/>
        <v>7906107.6318014283</v>
      </c>
      <c r="Z33" s="237">
        <f t="shared" si="9"/>
        <v>70552718.253373638</v>
      </c>
      <c r="AD33" s="225" t="s">
        <v>149</v>
      </c>
      <c r="AE33" s="54" t="s">
        <v>682</v>
      </c>
      <c r="AF33" s="226">
        <v>139385</v>
      </c>
      <c r="AG33" s="226">
        <v>139960.53549763237</v>
      </c>
      <c r="AH33" s="156" t="s">
        <v>891</v>
      </c>
    </row>
    <row r="34" spans="1:34" x14ac:dyDescent="0.2">
      <c r="A34" s="389"/>
      <c r="AD34" s="225" t="s">
        <v>107</v>
      </c>
      <c r="AE34" s="54" t="s">
        <v>683</v>
      </c>
      <c r="AF34" s="226">
        <v>203167</v>
      </c>
      <c r="AG34" s="226">
        <v>200113.74168684235</v>
      </c>
      <c r="AH34" s="156" t="s">
        <v>892</v>
      </c>
    </row>
    <row r="35" spans="1:34" x14ac:dyDescent="0.2">
      <c r="A35" s="389"/>
      <c r="B35" s="156" t="s">
        <v>25</v>
      </c>
      <c r="AD35" s="225" t="s">
        <v>111</v>
      </c>
      <c r="AE35" s="54" t="s">
        <v>684</v>
      </c>
      <c r="AF35" s="226">
        <v>181728</v>
      </c>
      <c r="AG35" s="226">
        <v>180243.61703347915</v>
      </c>
      <c r="AH35" s="156" t="s">
        <v>893</v>
      </c>
    </row>
    <row r="36" spans="1:34" ht="13.5" thickBot="1" x14ac:dyDescent="0.25">
      <c r="A36" s="389"/>
      <c r="B36" s="156" t="s">
        <v>596</v>
      </c>
      <c r="O36" s="156" t="s">
        <v>13</v>
      </c>
      <c r="AD36" s="225" t="s">
        <v>115</v>
      </c>
      <c r="AE36" s="54" t="s">
        <v>685</v>
      </c>
      <c r="AF36" s="226">
        <v>249136</v>
      </c>
      <c r="AG36" s="226">
        <v>238620.30715039928</v>
      </c>
      <c r="AH36" s="156" t="s">
        <v>883</v>
      </c>
    </row>
    <row r="37" spans="1:34" x14ac:dyDescent="0.2">
      <c r="A37" s="389"/>
      <c r="B37" s="230"/>
      <c r="C37" s="231" t="s">
        <v>542</v>
      </c>
      <c r="D37" s="231" t="s">
        <v>543</v>
      </c>
      <c r="E37" s="231" t="s">
        <v>544</v>
      </c>
      <c r="F37" s="231" t="s">
        <v>545</v>
      </c>
      <c r="G37" s="231" t="s">
        <v>546</v>
      </c>
      <c r="H37" s="231" t="s">
        <v>547</v>
      </c>
      <c r="I37" s="231" t="s">
        <v>548</v>
      </c>
      <c r="J37" s="231" t="s">
        <v>549</v>
      </c>
      <c r="K37" s="231" t="s">
        <v>550</v>
      </c>
      <c r="L37" s="231" t="s">
        <v>551</v>
      </c>
      <c r="M37" s="232" t="s">
        <v>600</v>
      </c>
      <c r="O37" s="230"/>
      <c r="P37" s="231" t="s">
        <v>542</v>
      </c>
      <c r="Q37" s="231" t="s">
        <v>543</v>
      </c>
      <c r="R37" s="231" t="s">
        <v>544</v>
      </c>
      <c r="S37" s="231" t="s">
        <v>545</v>
      </c>
      <c r="T37" s="231" t="s">
        <v>546</v>
      </c>
      <c r="U37" s="231" t="s">
        <v>547</v>
      </c>
      <c r="V37" s="231" t="s">
        <v>548</v>
      </c>
      <c r="W37" s="231" t="s">
        <v>549</v>
      </c>
      <c r="X37" s="231" t="s">
        <v>550</v>
      </c>
      <c r="Y37" s="231" t="s">
        <v>551</v>
      </c>
      <c r="Z37" s="232" t="s">
        <v>600</v>
      </c>
      <c r="AD37" s="225" t="s">
        <v>131</v>
      </c>
      <c r="AE37" s="54" t="s">
        <v>686</v>
      </c>
      <c r="AF37" s="226">
        <v>227181</v>
      </c>
      <c r="AG37" s="226">
        <v>212695.54431069273</v>
      </c>
      <c r="AH37" s="156" t="s">
        <v>894</v>
      </c>
    </row>
    <row r="38" spans="1:34" x14ac:dyDescent="0.2">
      <c r="A38" s="389"/>
      <c r="B38" s="233" t="s">
        <v>553</v>
      </c>
      <c r="C38" s="212" t="str">
        <f>IF(C6&gt;0,1000*C23/C6,"")</f>
        <v/>
      </c>
      <c r="D38" s="212" t="str">
        <f t="shared" ref="D38:M38" si="10">IF(D6&gt;0,1000*D23/D6,"")</f>
        <v/>
      </c>
      <c r="E38" s="212" t="str">
        <f t="shared" si="10"/>
        <v/>
      </c>
      <c r="F38" s="212">
        <f t="shared" si="10"/>
        <v>981.3815477340022</v>
      </c>
      <c r="G38" s="212" t="str">
        <f t="shared" si="10"/>
        <v/>
      </c>
      <c r="H38" s="212">
        <f t="shared" si="10"/>
        <v>1060.0689274175475</v>
      </c>
      <c r="I38" s="212">
        <f t="shared" si="10"/>
        <v>1103.9463239778859</v>
      </c>
      <c r="J38" s="212">
        <f t="shared" si="10"/>
        <v>1100.3721637696615</v>
      </c>
      <c r="K38" s="212">
        <f t="shared" si="10"/>
        <v>1136.4732557097182</v>
      </c>
      <c r="L38" s="212">
        <f t="shared" si="10"/>
        <v>1107.5727973565481</v>
      </c>
      <c r="M38" s="234">
        <f t="shared" si="10"/>
        <v>1104.622766907288</v>
      </c>
      <c r="O38" s="233" t="s">
        <v>553</v>
      </c>
      <c r="P38" s="212" t="str">
        <f>IF(P6&gt;0,1000*P23/P6,"")</f>
        <v/>
      </c>
      <c r="Q38" s="212" t="str">
        <f t="shared" ref="Q38:Z38" si="11">IF(Q6&gt;0,1000*Q23/Q6,"")</f>
        <v/>
      </c>
      <c r="R38" s="212" t="str">
        <f t="shared" si="11"/>
        <v/>
      </c>
      <c r="S38" s="212">
        <f t="shared" si="11"/>
        <v>1005.2014277097177</v>
      </c>
      <c r="T38" s="212" t="str">
        <f t="shared" si="11"/>
        <v/>
      </c>
      <c r="U38" s="212">
        <f t="shared" si="11"/>
        <v>1060.8851229450545</v>
      </c>
      <c r="V38" s="212">
        <f t="shared" si="11"/>
        <v>1142.8332100959483</v>
      </c>
      <c r="W38" s="212">
        <f t="shared" si="11"/>
        <v>1150.1848784765491</v>
      </c>
      <c r="X38" s="212">
        <f t="shared" si="11"/>
        <v>1163.71275447675</v>
      </c>
      <c r="Y38" s="212">
        <f t="shared" si="11"/>
        <v>1150.5413710118046</v>
      </c>
      <c r="Z38" s="234">
        <f t="shared" si="11"/>
        <v>1138.9467685415652</v>
      </c>
      <c r="AD38" s="225" t="s">
        <v>133</v>
      </c>
      <c r="AE38" s="54" t="s">
        <v>687</v>
      </c>
      <c r="AF38" s="226">
        <v>168838</v>
      </c>
      <c r="AG38" s="226">
        <v>161562.51913545968</v>
      </c>
      <c r="AH38" s="156" t="s">
        <v>895</v>
      </c>
    </row>
    <row r="39" spans="1:34" x14ac:dyDescent="0.2">
      <c r="A39" s="389"/>
      <c r="B39" s="233" t="s">
        <v>554</v>
      </c>
      <c r="C39" s="212">
        <f t="shared" ref="C39:C48" si="12">IF(C7&gt;0,1000*C24/C7,"")</f>
        <v>1043.4203682571947</v>
      </c>
      <c r="D39" s="212" t="str">
        <f t="shared" ref="D39:M39" si="13">IF(D7&gt;0,1000*D24/D7,"")</f>
        <v/>
      </c>
      <c r="E39" s="212">
        <f t="shared" si="13"/>
        <v>1075.3255888497713</v>
      </c>
      <c r="F39" s="212">
        <f t="shared" si="13"/>
        <v>1081.0336854756069</v>
      </c>
      <c r="G39" s="212">
        <f t="shared" si="13"/>
        <v>1080.7925858931869</v>
      </c>
      <c r="H39" s="212">
        <f t="shared" si="13"/>
        <v>1114.1481224855336</v>
      </c>
      <c r="I39" s="212">
        <f t="shared" si="13"/>
        <v>1107.4739036692881</v>
      </c>
      <c r="J39" s="212">
        <f t="shared" si="13"/>
        <v>1116.7707597031767</v>
      </c>
      <c r="K39" s="212">
        <f t="shared" si="13"/>
        <v>1092.7533005224791</v>
      </c>
      <c r="L39" s="212">
        <f t="shared" si="13"/>
        <v>1144.9490124729041</v>
      </c>
      <c r="M39" s="234">
        <f t="shared" si="13"/>
        <v>1109.1005612929664</v>
      </c>
      <c r="O39" s="233" t="s">
        <v>554</v>
      </c>
      <c r="P39" s="212">
        <f t="shared" ref="P39:Z39" si="14">IF(P7&gt;0,1000*P24/P7,"")</f>
        <v>1058.6143904590651</v>
      </c>
      <c r="Q39" s="212" t="str">
        <f t="shared" si="14"/>
        <v/>
      </c>
      <c r="R39" s="212">
        <f t="shared" si="14"/>
        <v>1062.0049060083436</v>
      </c>
      <c r="S39" s="212">
        <f t="shared" si="14"/>
        <v>1125.9059507602533</v>
      </c>
      <c r="T39" s="212">
        <f t="shared" si="14"/>
        <v>1108.5941573707642</v>
      </c>
      <c r="U39" s="212">
        <f t="shared" si="14"/>
        <v>1094.4358060392885</v>
      </c>
      <c r="V39" s="212">
        <f t="shared" si="14"/>
        <v>1140.8367166735709</v>
      </c>
      <c r="W39" s="212">
        <f t="shared" si="14"/>
        <v>1167.8779559455663</v>
      </c>
      <c r="X39" s="212">
        <f t="shared" si="14"/>
        <v>1115.1002151926075</v>
      </c>
      <c r="Y39" s="212">
        <f t="shared" si="14"/>
        <v>1242.5440803366437</v>
      </c>
      <c r="Z39" s="234">
        <f t="shared" si="14"/>
        <v>1158.2914314849047</v>
      </c>
      <c r="AD39" s="225" t="s">
        <v>135</v>
      </c>
      <c r="AE39" s="54" t="s">
        <v>688</v>
      </c>
      <c r="AF39" s="226">
        <v>272294</v>
      </c>
      <c r="AG39" s="226">
        <v>267034.89345168788</v>
      </c>
      <c r="AH39" s="156" t="s">
        <v>896</v>
      </c>
    </row>
    <row r="40" spans="1:34" x14ac:dyDescent="0.2">
      <c r="A40" s="389"/>
      <c r="B40" s="233" t="s">
        <v>555</v>
      </c>
      <c r="C40" s="212">
        <f t="shared" si="12"/>
        <v>1050.4002213750571</v>
      </c>
      <c r="D40" s="212">
        <f t="shared" ref="D40:M40" si="15">IF(D8&gt;0,1000*D25/D8,"")</f>
        <v>1121.8737191571884</v>
      </c>
      <c r="E40" s="212" t="str">
        <f t="shared" si="15"/>
        <v/>
      </c>
      <c r="F40" s="212">
        <f t="shared" si="15"/>
        <v>1089.4592358795871</v>
      </c>
      <c r="G40" s="212" t="str">
        <f t="shared" si="15"/>
        <v/>
      </c>
      <c r="H40" s="212">
        <f t="shared" si="15"/>
        <v>1110.4029408079543</v>
      </c>
      <c r="I40" s="212">
        <f t="shared" si="15"/>
        <v>1112.0692030783187</v>
      </c>
      <c r="J40" s="212">
        <f t="shared" si="15"/>
        <v>1135.4268526955054</v>
      </c>
      <c r="K40" s="212">
        <f t="shared" si="15"/>
        <v>1274.0672909155153</v>
      </c>
      <c r="L40" s="212">
        <f t="shared" si="15"/>
        <v>1284.8551153514522</v>
      </c>
      <c r="M40" s="234">
        <f t="shared" si="15"/>
        <v>1204.456518042201</v>
      </c>
      <c r="O40" s="233" t="s">
        <v>555</v>
      </c>
      <c r="P40" s="212">
        <f t="shared" ref="P40:Z40" si="16">IF(P8&gt;0,1000*P25/P8,"")</f>
        <v>1059.2836226092313</v>
      </c>
      <c r="Q40" s="212">
        <f t="shared" si="16"/>
        <v>1156.5750289652879</v>
      </c>
      <c r="R40" s="212" t="str">
        <f t="shared" si="16"/>
        <v/>
      </c>
      <c r="S40" s="212">
        <f t="shared" si="16"/>
        <v>1117.7941466991349</v>
      </c>
      <c r="T40" s="212" t="str">
        <f t="shared" si="16"/>
        <v/>
      </c>
      <c r="U40" s="212">
        <f t="shared" si="16"/>
        <v>1168.5905820206717</v>
      </c>
      <c r="V40" s="212">
        <f t="shared" si="16"/>
        <v>1166.0726774960976</v>
      </c>
      <c r="W40" s="212">
        <f t="shared" si="16"/>
        <v>1172.9263119752031</v>
      </c>
      <c r="X40" s="212">
        <f t="shared" si="16"/>
        <v>1332.1109907500581</v>
      </c>
      <c r="Y40" s="212">
        <f t="shared" si="16"/>
        <v>1343.0740135884719</v>
      </c>
      <c r="Z40" s="234">
        <f t="shared" si="16"/>
        <v>1254.1493772281983</v>
      </c>
      <c r="AD40" s="225" t="s">
        <v>119</v>
      </c>
      <c r="AE40" s="54" t="s">
        <v>689</v>
      </c>
      <c r="AF40" s="226">
        <v>736051</v>
      </c>
      <c r="AG40" s="226">
        <v>690654.95926060283</v>
      </c>
      <c r="AH40" s="156" t="s">
        <v>883</v>
      </c>
    </row>
    <row r="41" spans="1:34" x14ac:dyDescent="0.2">
      <c r="A41" s="389"/>
      <c r="B41" s="233" t="s">
        <v>556</v>
      </c>
      <c r="C41" s="212">
        <f t="shared" si="12"/>
        <v>1115.367637006435</v>
      </c>
      <c r="D41" s="212">
        <f t="shared" ref="D41:M41" si="17">IF(D9&gt;0,1000*D26/D9,"")</f>
        <v>1076.4649107712644</v>
      </c>
      <c r="E41" s="212">
        <f t="shared" si="17"/>
        <v>1088.0375265699024</v>
      </c>
      <c r="F41" s="212" t="str">
        <f t="shared" si="17"/>
        <v/>
      </c>
      <c r="G41" s="212">
        <f t="shared" si="17"/>
        <v>1114.1686009133325</v>
      </c>
      <c r="H41" s="212">
        <f t="shared" si="17"/>
        <v>1113.4475746639096</v>
      </c>
      <c r="I41" s="212">
        <f t="shared" si="17"/>
        <v>1080.1144969093687</v>
      </c>
      <c r="J41" s="212">
        <f t="shared" si="17"/>
        <v>1232.265562085375</v>
      </c>
      <c r="K41" s="212">
        <f t="shared" si="17"/>
        <v>1386.84140615294</v>
      </c>
      <c r="L41" s="212">
        <f t="shared" si="17"/>
        <v>1188.900115772394</v>
      </c>
      <c r="M41" s="234">
        <f t="shared" si="17"/>
        <v>1131.5936962013877</v>
      </c>
      <c r="O41" s="233" t="s">
        <v>556</v>
      </c>
      <c r="P41" s="212">
        <f t="shared" ref="P41:Z41" si="18">IF(P9&gt;0,1000*P26/P9,"")</f>
        <v>1126.2990987619855</v>
      </c>
      <c r="Q41" s="212">
        <f t="shared" si="18"/>
        <v>1142.4668298753368</v>
      </c>
      <c r="R41" s="212">
        <f t="shared" si="18"/>
        <v>1135.3375181702636</v>
      </c>
      <c r="S41" s="212" t="str">
        <f t="shared" si="18"/>
        <v/>
      </c>
      <c r="T41" s="212">
        <f t="shared" si="18"/>
        <v>1168.4419810001211</v>
      </c>
      <c r="U41" s="212">
        <f t="shared" si="18"/>
        <v>1173.2613471016778</v>
      </c>
      <c r="V41" s="212">
        <f t="shared" si="18"/>
        <v>1184.1920148227648</v>
      </c>
      <c r="W41" s="212">
        <f t="shared" si="18"/>
        <v>1286.1177789088488</v>
      </c>
      <c r="X41" s="212">
        <f t="shared" si="18"/>
        <v>1426.2961683567451</v>
      </c>
      <c r="Y41" s="212">
        <f t="shared" si="18"/>
        <v>1284.2419313338276</v>
      </c>
      <c r="Z41" s="234">
        <f t="shared" si="18"/>
        <v>1188.923105854089</v>
      </c>
      <c r="AD41" s="225" t="s">
        <v>73</v>
      </c>
      <c r="AE41" s="54" t="s">
        <v>690</v>
      </c>
      <c r="AF41" s="226">
        <v>664611</v>
      </c>
      <c r="AG41" s="226">
        <v>640776.02949032153</v>
      </c>
      <c r="AH41" s="156" t="s">
        <v>879</v>
      </c>
    </row>
    <row r="42" spans="1:34" x14ac:dyDescent="0.2">
      <c r="A42" s="389"/>
      <c r="B42" s="233" t="s">
        <v>557</v>
      </c>
      <c r="C42" s="212">
        <f t="shared" si="12"/>
        <v>1069.604740722612</v>
      </c>
      <c r="D42" s="212">
        <f t="shared" ref="D42:M42" si="19">IF(D10&gt;0,1000*D27/D10,"")</f>
        <v>1091.8490623053253</v>
      </c>
      <c r="E42" s="212">
        <f t="shared" si="19"/>
        <v>1202.2288543161465</v>
      </c>
      <c r="F42" s="212" t="str">
        <f t="shared" si="19"/>
        <v/>
      </c>
      <c r="G42" s="212">
        <f t="shared" si="19"/>
        <v>1162.2181583116335</v>
      </c>
      <c r="H42" s="212">
        <f t="shared" si="19"/>
        <v>1238.2432708497045</v>
      </c>
      <c r="I42" s="212">
        <f t="shared" si="19"/>
        <v>1136.2553591354776</v>
      </c>
      <c r="J42" s="212">
        <f t="shared" si="19"/>
        <v>1283.053375264913</v>
      </c>
      <c r="K42" s="212">
        <f t="shared" si="19"/>
        <v>1188.4686985082899</v>
      </c>
      <c r="L42" s="212">
        <f t="shared" si="19"/>
        <v>1304.1185087586211</v>
      </c>
      <c r="M42" s="234">
        <f t="shared" si="19"/>
        <v>1169.1074603997808</v>
      </c>
      <c r="O42" s="233" t="s">
        <v>557</v>
      </c>
      <c r="P42" s="212">
        <f t="shared" ref="P42:Z42" si="20">IF(P10&gt;0,1000*P27/P10,"")</f>
        <v>1144.4399863259694</v>
      </c>
      <c r="Q42" s="212">
        <f t="shared" si="20"/>
        <v>1170.6210768159658</v>
      </c>
      <c r="R42" s="212">
        <f t="shared" si="20"/>
        <v>1237.2923804234256</v>
      </c>
      <c r="S42" s="212" t="str">
        <f t="shared" si="20"/>
        <v/>
      </c>
      <c r="T42" s="212">
        <f t="shared" si="20"/>
        <v>1226.5684235484046</v>
      </c>
      <c r="U42" s="212">
        <f t="shared" si="20"/>
        <v>1283.0568033545753</v>
      </c>
      <c r="V42" s="212">
        <f t="shared" si="20"/>
        <v>1179.2037459900648</v>
      </c>
      <c r="W42" s="212">
        <f t="shared" si="20"/>
        <v>1355.8653757891427</v>
      </c>
      <c r="X42" s="212">
        <f t="shared" si="20"/>
        <v>1253.1395257257414</v>
      </c>
      <c r="Y42" s="212">
        <f t="shared" si="20"/>
        <v>1371.2538959850351</v>
      </c>
      <c r="Z42" s="234">
        <f t="shared" si="20"/>
        <v>1233.6596650652968</v>
      </c>
      <c r="AD42" s="225" t="s">
        <v>81</v>
      </c>
      <c r="AE42" s="54" t="s">
        <v>691</v>
      </c>
      <c r="AF42" s="226">
        <v>427185</v>
      </c>
      <c r="AG42" s="226">
        <v>415247.17739356396</v>
      </c>
      <c r="AH42" s="156" t="s">
        <v>897</v>
      </c>
    </row>
    <row r="43" spans="1:34" x14ac:dyDescent="0.2">
      <c r="A43" s="389"/>
      <c r="B43" s="233" t="s">
        <v>558</v>
      </c>
      <c r="C43" s="212">
        <f t="shared" si="12"/>
        <v>1034.635448436158</v>
      </c>
      <c r="D43" s="212">
        <f t="shared" ref="D43:M43" si="21">IF(D11&gt;0,1000*D28/D11,"")</f>
        <v>1065.1019634578622</v>
      </c>
      <c r="E43" s="212" t="str">
        <f t="shared" si="21"/>
        <v/>
      </c>
      <c r="F43" s="212">
        <f t="shared" si="21"/>
        <v>1138.9846542737998</v>
      </c>
      <c r="G43" s="212">
        <f t="shared" si="21"/>
        <v>1198.7914280374105</v>
      </c>
      <c r="H43" s="212">
        <f t="shared" si="21"/>
        <v>1203.122879106005</v>
      </c>
      <c r="I43" s="212">
        <f t="shared" si="21"/>
        <v>1290.0392945501744</v>
      </c>
      <c r="J43" s="212">
        <f t="shared" si="21"/>
        <v>1229.0437013919818</v>
      </c>
      <c r="K43" s="212">
        <f t="shared" si="21"/>
        <v>1310.6240176550941</v>
      </c>
      <c r="L43" s="212" t="str">
        <f t="shared" si="21"/>
        <v/>
      </c>
      <c r="M43" s="234">
        <f t="shared" si="21"/>
        <v>1186.5418210863031</v>
      </c>
      <c r="O43" s="233" t="s">
        <v>558</v>
      </c>
      <c r="P43" s="212">
        <f>IF(P11&gt;0,1000*P28/P11,"")</f>
        <v>1110.5718265377038</v>
      </c>
      <c r="Q43" s="212">
        <f t="shared" ref="Q43:Z43" si="22">IF(Q11&gt;0,1000*Q28/Q11,"")</f>
        <v>1101.488265213203</v>
      </c>
      <c r="R43" s="212" t="str">
        <f t="shared" si="22"/>
        <v/>
      </c>
      <c r="S43" s="212">
        <f t="shared" si="22"/>
        <v>1207.9850598996125</v>
      </c>
      <c r="T43" s="212">
        <f t="shared" si="22"/>
        <v>1277.4202729721678</v>
      </c>
      <c r="U43" s="212">
        <f t="shared" si="22"/>
        <v>1216.4961321976261</v>
      </c>
      <c r="V43" s="212">
        <f t="shared" si="22"/>
        <v>1338.8815185461822</v>
      </c>
      <c r="W43" s="212">
        <f t="shared" si="22"/>
        <v>1302.6720686380288</v>
      </c>
      <c r="X43" s="212">
        <f t="shared" si="22"/>
        <v>1353.8501317640219</v>
      </c>
      <c r="Y43" s="212" t="str">
        <f t="shared" si="22"/>
        <v/>
      </c>
      <c r="Z43" s="234">
        <f t="shared" si="22"/>
        <v>1238.9318444254704</v>
      </c>
      <c r="AD43" s="225" t="s">
        <v>85</v>
      </c>
      <c r="AE43" s="54" t="s">
        <v>692</v>
      </c>
      <c r="AF43" s="226">
        <v>234040</v>
      </c>
      <c r="AG43" s="226">
        <v>214650.56961472792</v>
      </c>
      <c r="AH43" s="156" t="s">
        <v>896</v>
      </c>
    </row>
    <row r="44" spans="1:34" x14ac:dyDescent="0.2">
      <c r="A44" s="389"/>
      <c r="B44" s="233" t="s">
        <v>559</v>
      </c>
      <c r="C44" s="212">
        <f t="shared" si="12"/>
        <v>1065.2318173643173</v>
      </c>
      <c r="D44" s="212">
        <f t="shared" ref="D44:M44" si="23">IF(D12&gt;0,1000*D29/D12,"")</f>
        <v>1090.0068603767606</v>
      </c>
      <c r="E44" s="212">
        <f t="shared" si="23"/>
        <v>1144.8929515931159</v>
      </c>
      <c r="F44" s="212">
        <f t="shared" si="23"/>
        <v>1228.5004871591739</v>
      </c>
      <c r="G44" s="212">
        <f t="shared" si="23"/>
        <v>1213.2524162066168</v>
      </c>
      <c r="H44" s="212">
        <f t="shared" si="23"/>
        <v>1262.5768781358324</v>
      </c>
      <c r="I44" s="212">
        <f t="shared" si="23"/>
        <v>1275.9715552835505</v>
      </c>
      <c r="J44" s="212" t="str">
        <f t="shared" si="23"/>
        <v/>
      </c>
      <c r="K44" s="212">
        <f t="shared" si="23"/>
        <v>1325.8428089814993</v>
      </c>
      <c r="L44" s="212" t="str">
        <f t="shared" si="23"/>
        <v/>
      </c>
      <c r="M44" s="234">
        <f t="shared" si="23"/>
        <v>1175.5589750941101</v>
      </c>
      <c r="O44" s="233" t="s">
        <v>559</v>
      </c>
      <c r="P44" s="212">
        <f t="shared" ref="P44:Z44" si="24">IF(P12&gt;0,1000*P29/P12,"")</f>
        <v>1148.1776149475279</v>
      </c>
      <c r="Q44" s="212">
        <f t="shared" si="24"/>
        <v>1138.0230322442185</v>
      </c>
      <c r="R44" s="212">
        <f t="shared" si="24"/>
        <v>1220.102167840837</v>
      </c>
      <c r="S44" s="212">
        <f t="shared" si="24"/>
        <v>1251.4446528292506</v>
      </c>
      <c r="T44" s="212">
        <f t="shared" si="24"/>
        <v>1266.9748911928496</v>
      </c>
      <c r="U44" s="212">
        <f t="shared" si="24"/>
        <v>1311.8353915561006</v>
      </c>
      <c r="V44" s="212">
        <f t="shared" si="24"/>
        <v>1350.8354104758268</v>
      </c>
      <c r="W44" s="212" t="str">
        <f t="shared" si="24"/>
        <v/>
      </c>
      <c r="X44" s="212">
        <f t="shared" si="24"/>
        <v>1399.571441326842</v>
      </c>
      <c r="Y44" s="212" t="str">
        <f t="shared" si="24"/>
        <v/>
      </c>
      <c r="Z44" s="234">
        <f t="shared" si="24"/>
        <v>1234.7603296590107</v>
      </c>
      <c r="AD44" s="225" t="s">
        <v>87</v>
      </c>
      <c r="AE44" s="54" t="s">
        <v>693</v>
      </c>
      <c r="AF44" s="226">
        <v>433207</v>
      </c>
      <c r="AG44" s="226">
        <v>386833.84713783982</v>
      </c>
      <c r="AH44" s="156" t="s">
        <v>894</v>
      </c>
    </row>
    <row r="45" spans="1:34" x14ac:dyDescent="0.2">
      <c r="A45" s="389"/>
      <c r="B45" s="233" t="s">
        <v>560</v>
      </c>
      <c r="C45" s="212">
        <f t="shared" si="12"/>
        <v>1100.8894048769832</v>
      </c>
      <c r="D45" s="212">
        <f t="shared" ref="D45:M45" si="25">IF(D13&gt;0,1000*D30/D13,"")</f>
        <v>1125.7672182025635</v>
      </c>
      <c r="E45" s="212">
        <f t="shared" si="25"/>
        <v>1109.1689841054063</v>
      </c>
      <c r="F45" s="212">
        <f t="shared" si="25"/>
        <v>1141.0857783956396</v>
      </c>
      <c r="G45" s="212">
        <f t="shared" si="25"/>
        <v>1199.6031866175522</v>
      </c>
      <c r="H45" s="212">
        <f t="shared" si="25"/>
        <v>1227.1857641654146</v>
      </c>
      <c r="I45" s="212">
        <f t="shared" si="25"/>
        <v>1311.5604382276026</v>
      </c>
      <c r="J45" s="212">
        <f t="shared" si="25"/>
        <v>1370.2293779920435</v>
      </c>
      <c r="K45" s="212">
        <f t="shared" si="25"/>
        <v>1383.7365137153083</v>
      </c>
      <c r="L45" s="212">
        <f t="shared" si="25"/>
        <v>1384.2524955302647</v>
      </c>
      <c r="M45" s="234">
        <f t="shared" si="25"/>
        <v>1184.9545083775461</v>
      </c>
      <c r="O45" s="233" t="s">
        <v>560</v>
      </c>
      <c r="P45" s="212">
        <f t="shared" ref="P45:Z45" si="26">IF(P13&gt;0,1000*P30/P13,"")</f>
        <v>1119.2097732214177</v>
      </c>
      <c r="Q45" s="212">
        <f t="shared" si="26"/>
        <v>1199.6328945410098</v>
      </c>
      <c r="R45" s="212">
        <f t="shared" si="26"/>
        <v>1164.0235450492953</v>
      </c>
      <c r="S45" s="212">
        <f t="shared" si="26"/>
        <v>1210.6556218307462</v>
      </c>
      <c r="T45" s="212">
        <f t="shared" si="26"/>
        <v>1278.4413530008687</v>
      </c>
      <c r="U45" s="212">
        <f t="shared" si="26"/>
        <v>1298.8529751187928</v>
      </c>
      <c r="V45" s="212">
        <f t="shared" si="26"/>
        <v>1366.3935712268092</v>
      </c>
      <c r="W45" s="212">
        <f t="shared" si="26"/>
        <v>1486.0340393234032</v>
      </c>
      <c r="X45" s="212">
        <f t="shared" si="26"/>
        <v>1452.092895619194</v>
      </c>
      <c r="Y45" s="212">
        <f t="shared" si="26"/>
        <v>1527.1506043857337</v>
      </c>
      <c r="Z45" s="234">
        <f t="shared" si="26"/>
        <v>1254.2461795061981</v>
      </c>
      <c r="AD45" s="225" t="s">
        <v>101</v>
      </c>
      <c r="AE45" s="54" t="s">
        <v>694</v>
      </c>
      <c r="AF45" s="226">
        <v>685654</v>
      </c>
      <c r="AG45" s="226">
        <v>643692.21720330848</v>
      </c>
      <c r="AH45" s="156" t="s">
        <v>897</v>
      </c>
    </row>
    <row r="46" spans="1:34" x14ac:dyDescent="0.2">
      <c r="A46" s="389"/>
      <c r="B46" s="233" t="s">
        <v>561</v>
      </c>
      <c r="C46" s="212">
        <f t="shared" si="12"/>
        <v>1102.9538579272228</v>
      </c>
      <c r="D46" s="212">
        <f t="shared" ref="D46:M46" si="27">IF(D14&gt;0,1000*D31/D14,"")</f>
        <v>1138.6229019209409</v>
      </c>
      <c r="E46" s="212">
        <f t="shared" si="27"/>
        <v>1147.0167041887689</v>
      </c>
      <c r="F46" s="212">
        <f t="shared" si="27"/>
        <v>1162.8779967456146</v>
      </c>
      <c r="G46" s="212">
        <f t="shared" si="27"/>
        <v>1220.5980345754913</v>
      </c>
      <c r="H46" s="212">
        <f t="shared" si="27"/>
        <v>1222.3691805955962</v>
      </c>
      <c r="I46" s="212" t="str">
        <f t="shared" si="27"/>
        <v/>
      </c>
      <c r="J46" s="212" t="str">
        <f t="shared" si="27"/>
        <v/>
      </c>
      <c r="K46" s="212">
        <f t="shared" si="27"/>
        <v>1334.0742049209894</v>
      </c>
      <c r="L46" s="212" t="str">
        <f t="shared" si="27"/>
        <v/>
      </c>
      <c r="M46" s="234">
        <f t="shared" si="27"/>
        <v>1176.154849207755</v>
      </c>
      <c r="O46" s="233" t="s">
        <v>561</v>
      </c>
      <c r="P46" s="212">
        <f t="shared" ref="P46:Z46" si="28">IF(P14&gt;0,1000*P31/P14,"")</f>
        <v>1197.8581293649863</v>
      </c>
      <c r="Q46" s="212">
        <f t="shared" si="28"/>
        <v>1196.8323001367025</v>
      </c>
      <c r="R46" s="212">
        <f t="shared" si="28"/>
        <v>1203.4439599093148</v>
      </c>
      <c r="S46" s="212">
        <f t="shared" si="28"/>
        <v>1217.1163955641207</v>
      </c>
      <c r="T46" s="212">
        <f t="shared" si="28"/>
        <v>1298.2085244665668</v>
      </c>
      <c r="U46" s="212">
        <f t="shared" si="28"/>
        <v>1315.4654011436012</v>
      </c>
      <c r="V46" s="212" t="str">
        <f t="shared" si="28"/>
        <v/>
      </c>
      <c r="W46" s="212" t="str">
        <f t="shared" si="28"/>
        <v/>
      </c>
      <c r="X46" s="212">
        <f t="shared" si="28"/>
        <v>1401.213973271251</v>
      </c>
      <c r="Y46" s="212" t="str">
        <f t="shared" si="28"/>
        <v/>
      </c>
      <c r="Z46" s="234">
        <f t="shared" si="28"/>
        <v>1247.0576611159322</v>
      </c>
      <c r="AD46" s="225" t="s">
        <v>79</v>
      </c>
      <c r="AE46" s="54" t="s">
        <v>695</v>
      </c>
      <c r="AF46" s="226">
        <v>292786</v>
      </c>
      <c r="AG46" s="226">
        <v>284065.48949998309</v>
      </c>
      <c r="AH46" s="156" t="s">
        <v>890</v>
      </c>
    </row>
    <row r="47" spans="1:34" x14ac:dyDescent="0.2">
      <c r="A47" s="389"/>
      <c r="B47" s="233" t="s">
        <v>562</v>
      </c>
      <c r="C47" s="212" t="str">
        <f t="shared" si="12"/>
        <v/>
      </c>
      <c r="D47" s="212">
        <f t="shared" ref="D47:M47" si="29">IF(D15&gt;0,1000*D32/D15,"")</f>
        <v>1181.1544774887084</v>
      </c>
      <c r="E47" s="212">
        <f t="shared" si="29"/>
        <v>1241.0963498911506</v>
      </c>
      <c r="F47" s="212">
        <f t="shared" si="29"/>
        <v>1239.7345919136121</v>
      </c>
      <c r="G47" s="212">
        <f t="shared" si="29"/>
        <v>1203.8746910170385</v>
      </c>
      <c r="H47" s="212">
        <f t="shared" si="29"/>
        <v>1195.007476969012</v>
      </c>
      <c r="I47" s="212">
        <f t="shared" si="29"/>
        <v>1241.4392388659949</v>
      </c>
      <c r="J47" s="212">
        <f t="shared" si="29"/>
        <v>1265.6486608786815</v>
      </c>
      <c r="K47" s="212" t="str">
        <f t="shared" si="29"/>
        <v/>
      </c>
      <c r="L47" s="212" t="str">
        <f t="shared" si="29"/>
        <v/>
      </c>
      <c r="M47" s="234">
        <f t="shared" si="29"/>
        <v>1233.0947570909229</v>
      </c>
      <c r="O47" s="233" t="s">
        <v>562</v>
      </c>
      <c r="P47" s="212" t="str">
        <f t="shared" ref="P47:Z47" si="30">IF(P15&gt;0,1000*P32/P15,"")</f>
        <v/>
      </c>
      <c r="Q47" s="212">
        <f t="shared" si="30"/>
        <v>1220.3632573993568</v>
      </c>
      <c r="R47" s="212">
        <f t="shared" si="30"/>
        <v>1291.0486744689165</v>
      </c>
      <c r="S47" s="212">
        <f t="shared" si="30"/>
        <v>1298.9642004299492</v>
      </c>
      <c r="T47" s="212">
        <f t="shared" si="30"/>
        <v>1289.5495122979394</v>
      </c>
      <c r="U47" s="212">
        <f t="shared" si="30"/>
        <v>1280.8836954697879</v>
      </c>
      <c r="V47" s="212">
        <f t="shared" si="30"/>
        <v>1308.276428390813</v>
      </c>
      <c r="W47" s="212">
        <f t="shared" si="30"/>
        <v>1347.9117278800184</v>
      </c>
      <c r="X47" s="212" t="str">
        <f t="shared" si="30"/>
        <v/>
      </c>
      <c r="Y47" s="212" t="str">
        <f t="shared" si="30"/>
        <v/>
      </c>
      <c r="Z47" s="234">
        <f t="shared" si="30"/>
        <v>1295.4261272359508</v>
      </c>
      <c r="AD47" s="225" t="s">
        <v>169</v>
      </c>
      <c r="AE47" s="54" t="s">
        <v>696</v>
      </c>
      <c r="AF47" s="226">
        <v>359393</v>
      </c>
      <c r="AG47" s="226">
        <v>353029.51031004987</v>
      </c>
      <c r="AH47" s="156" t="s">
        <v>898</v>
      </c>
    </row>
    <row r="48" spans="1:34" ht="13.5" thickBot="1" x14ac:dyDescent="0.25">
      <c r="A48" s="389"/>
      <c r="B48" s="235" t="s">
        <v>599</v>
      </c>
      <c r="C48" s="236">
        <f t="shared" si="12"/>
        <v>1072.317251422096</v>
      </c>
      <c r="D48" s="236">
        <f t="shared" ref="D48:M48" si="31">IF(D16&gt;0,1000*D33/D16,"")</f>
        <v>1099.3426622046013</v>
      </c>
      <c r="E48" s="236">
        <f t="shared" si="31"/>
        <v>1159.0931265664528</v>
      </c>
      <c r="F48" s="236">
        <f t="shared" si="31"/>
        <v>1140.7301285936605</v>
      </c>
      <c r="G48" s="236">
        <f t="shared" si="31"/>
        <v>1184.3696699352793</v>
      </c>
      <c r="H48" s="236">
        <f t="shared" si="31"/>
        <v>1178.1729586577587</v>
      </c>
      <c r="I48" s="236">
        <f t="shared" si="31"/>
        <v>1157.5108091445859</v>
      </c>
      <c r="J48" s="236">
        <f t="shared" si="31"/>
        <v>1203.072135001059</v>
      </c>
      <c r="K48" s="236">
        <f t="shared" si="31"/>
        <v>1231.0857098595534</v>
      </c>
      <c r="L48" s="236">
        <f t="shared" si="31"/>
        <v>1215.4253725574702</v>
      </c>
      <c r="M48" s="237">
        <f t="shared" si="31"/>
        <v>1164.9739480832279</v>
      </c>
      <c r="O48" s="235" t="s">
        <v>599</v>
      </c>
      <c r="P48" s="236">
        <f t="shared" ref="P48:Z48" si="32">IF(P16&gt;0,1000*P33/P16,"")</f>
        <v>1134.6359572695731</v>
      </c>
      <c r="Q48" s="236">
        <f t="shared" si="32"/>
        <v>1156.1162687518834</v>
      </c>
      <c r="R48" s="236">
        <f t="shared" si="32"/>
        <v>1208.9412308096153</v>
      </c>
      <c r="S48" s="236">
        <f t="shared" si="32"/>
        <v>1193.8659341043845</v>
      </c>
      <c r="T48" s="236">
        <f t="shared" si="32"/>
        <v>1249.5075051802589</v>
      </c>
      <c r="U48" s="236">
        <f t="shared" si="32"/>
        <v>1230.1033737847019</v>
      </c>
      <c r="V48" s="236">
        <f t="shared" si="32"/>
        <v>1207.4641810826772</v>
      </c>
      <c r="W48" s="236">
        <f t="shared" si="32"/>
        <v>1264.7522166037534</v>
      </c>
      <c r="X48" s="236">
        <f t="shared" si="32"/>
        <v>1274.9995877636336</v>
      </c>
      <c r="Y48" s="236">
        <f t="shared" si="32"/>
        <v>1285.488455700282</v>
      </c>
      <c r="Z48" s="237">
        <f t="shared" si="32"/>
        <v>1221.5258459779898</v>
      </c>
      <c r="AD48" s="225" t="s">
        <v>173</v>
      </c>
      <c r="AE48" s="54" t="s">
        <v>697</v>
      </c>
      <c r="AF48" s="226">
        <v>176385</v>
      </c>
      <c r="AG48" s="226">
        <v>167521.79790552761</v>
      </c>
      <c r="AH48" s="156" t="s">
        <v>899</v>
      </c>
    </row>
    <row r="49" spans="2:34" x14ac:dyDescent="0.2">
      <c r="AD49" s="225" t="s">
        <v>175</v>
      </c>
      <c r="AE49" s="54" t="s">
        <v>698</v>
      </c>
      <c r="AF49" s="226">
        <v>180913</v>
      </c>
      <c r="AG49" s="226">
        <v>176419.56708636868</v>
      </c>
      <c r="AH49" s="156" t="s">
        <v>900</v>
      </c>
    </row>
    <row r="50" spans="2:34" x14ac:dyDescent="0.2">
      <c r="B50" s="156" t="s">
        <v>640</v>
      </c>
      <c r="AD50" s="225" t="s">
        <v>177</v>
      </c>
      <c r="AE50" s="54" t="s">
        <v>699</v>
      </c>
      <c r="AF50" s="226">
        <v>363907</v>
      </c>
      <c r="AG50" s="226">
        <v>340850.2478413927</v>
      </c>
      <c r="AH50" s="156" t="s">
        <v>883</v>
      </c>
    </row>
    <row r="51" spans="2:34" x14ac:dyDescent="0.2">
      <c r="D51" s="156" t="s">
        <v>641</v>
      </c>
      <c r="AD51" s="225" t="s">
        <v>185</v>
      </c>
      <c r="AE51" s="54" t="s">
        <v>700</v>
      </c>
      <c r="AF51" s="226">
        <v>212762</v>
      </c>
      <c r="AG51" s="226">
        <v>207211.85373789934</v>
      </c>
      <c r="AH51" s="156" t="s">
        <v>896</v>
      </c>
    </row>
    <row r="52" spans="2:34" x14ac:dyDescent="0.2">
      <c r="AD52" s="225" t="s">
        <v>189</v>
      </c>
      <c r="AE52" s="54" t="s">
        <v>701</v>
      </c>
      <c r="AF52" s="226">
        <v>208430</v>
      </c>
      <c r="AG52" s="226">
        <v>207561.70863415184</v>
      </c>
      <c r="AH52" s="156" t="s">
        <v>901</v>
      </c>
    </row>
    <row r="53" spans="2:34" ht="13.5" thickBot="1" x14ac:dyDescent="0.25">
      <c r="D53" s="156" t="s">
        <v>645</v>
      </c>
      <c r="M53" s="156" t="s">
        <v>646</v>
      </c>
      <c r="AD53" s="225" t="s">
        <v>193</v>
      </c>
      <c r="AE53" s="54" t="s">
        <v>702</v>
      </c>
      <c r="AF53" s="226">
        <v>151403</v>
      </c>
      <c r="AG53" s="226">
        <v>144263.91037722488</v>
      </c>
      <c r="AH53" s="156" t="s">
        <v>902</v>
      </c>
    </row>
    <row r="54" spans="2:34" x14ac:dyDescent="0.2">
      <c r="C54" s="230"/>
      <c r="D54" s="231" t="s">
        <v>553</v>
      </c>
      <c r="E54" s="231" t="s">
        <v>554</v>
      </c>
      <c r="F54" s="231" t="s">
        <v>555</v>
      </c>
      <c r="G54" s="231" t="s">
        <v>556</v>
      </c>
      <c r="H54" s="231" t="s">
        <v>557</v>
      </c>
      <c r="I54" s="231" t="s">
        <v>558</v>
      </c>
      <c r="J54" s="231" t="s">
        <v>559</v>
      </c>
      <c r="K54" s="231" t="s">
        <v>560</v>
      </c>
      <c r="L54" s="231" t="s">
        <v>561</v>
      </c>
      <c r="M54" s="231" t="s">
        <v>562</v>
      </c>
      <c r="N54" s="232" t="s">
        <v>599</v>
      </c>
      <c r="AD54" s="225" t="s">
        <v>197</v>
      </c>
      <c r="AE54" s="54" t="s">
        <v>703</v>
      </c>
      <c r="AF54" s="226">
        <v>376168</v>
      </c>
      <c r="AG54" s="226">
        <v>368522.82739112468</v>
      </c>
      <c r="AH54" s="156" t="s">
        <v>903</v>
      </c>
    </row>
    <row r="55" spans="2:34" ht="15.75" customHeight="1" x14ac:dyDescent="0.2">
      <c r="B55" s="388" t="s">
        <v>643</v>
      </c>
      <c r="C55" s="233" t="s">
        <v>542</v>
      </c>
      <c r="D55" s="212" t="str">
        <f>IF(INDEX($P$6:$Z$16,1,1)&gt;0,1000*INDEX($C$23:$M$33,1,1)/INDEX($P$6:$Z$16,1,1)*$Z$33/$M$33,"")</f>
        <v/>
      </c>
      <c r="E55" s="212">
        <f>IF(INDEX($P$6:$Z$16,2,1)&gt;0,1000*INDEX($C$23:$M$33,2,1)/INDEX($P$6:$Z$16,2,1)*$Z$33/$M$33,"")</f>
        <v>1084.0245813054348</v>
      </c>
      <c r="F55" s="212">
        <f>IF(INDEX($P$6:$Z$16,3,1)&gt;0,1000*INDEX($C$23:$M$33,3,1)/INDEX($P$6:$Z$16,3,1)*$Z$33/$M$33,"")</f>
        <v>1096.5245585746025</v>
      </c>
      <c r="G55" s="212">
        <f>IF(INDEX($P$6:$Z$16,4,1)&gt;0,1000*INDEX($C$23:$M$33,4,1)/INDEX($P$6:$Z$16,4,1)*$Z$33/$M$33,"")</f>
        <v>1168.5879939504796</v>
      </c>
      <c r="H55" s="212">
        <f>IF(INDEX($P$6:$Z$16,5,1)&gt;0,1000*INDEX($C$23:$M$33,5,1)/INDEX($P$6:$Z$16,5,1)*$Z$33/$M$33,"")</f>
        <v>1120.1586333439313</v>
      </c>
      <c r="I55" s="212">
        <f>IF(INDEX($P$6:$Z$16,6,1)&gt;0,1000*INDEX($C$23:$M$33,6,1)/INDEX($P$6:$Z$16,6,1)*$Z$33/$M$33,"")</f>
        <v>1085.5643775256844</v>
      </c>
      <c r="J55" s="212">
        <f>IF(INDEX($P$6:$Z$16,7,1)&gt;0,1000*INDEX($C$23:$M$33,7,1)/INDEX($P$6:$Z$16,7,1)*$Z$33/$M$33,"")</f>
        <v>1116.5003641803357</v>
      </c>
      <c r="K55" s="212">
        <f>IF(INDEX($P$6:$Z$16,8,1)&gt;0,1000*INDEX($C$23:$M$33,8,1)/INDEX($P$6:$Z$16,8,1)*$Z$33/$M$33,"")</f>
        <v>1156.415830363688</v>
      </c>
      <c r="L55" s="212">
        <f>IF(INDEX($P$6:$Z$16,9,1)&gt;0,1000*INDEX($C$23:$M$33,9,1)/INDEX($P$6:$Z$16,9,1)*$Z$33/$M$33,"")</f>
        <v>1158.3052267929656</v>
      </c>
      <c r="M55" s="212" t="str">
        <f>IF(INDEX($P$6:$Z$16,10,1)&gt;0,1000*INDEX($C$23:$M$33,10,1)/INDEX($P$6:$Z$16,10,1)*$Z$33/$M$33,"")</f>
        <v/>
      </c>
      <c r="N55" s="234">
        <f>IF(INDEX($P$6:$Z$16,11,1)&gt;0,1000*INDEX($C$23:$M$33,11,1)/INDEX($P$6:$Z$16,11,1)*$Z$33/$M$33,"")</f>
        <v>1123.5717010222447</v>
      </c>
      <c r="AD55" s="225" t="s">
        <v>157</v>
      </c>
      <c r="AE55" s="54" t="s">
        <v>704</v>
      </c>
      <c r="AF55" s="226">
        <v>353721</v>
      </c>
      <c r="AG55" s="226">
        <v>325873.10846245493</v>
      </c>
      <c r="AH55" s="156" t="s">
        <v>894</v>
      </c>
    </row>
    <row r="56" spans="2:34" x14ac:dyDescent="0.2">
      <c r="B56" s="388"/>
      <c r="C56" s="233" t="s">
        <v>543</v>
      </c>
      <c r="D56" s="212" t="str">
        <f>IF(INDEX($P$6:$Z$16,1,2)&gt;0,1000*INDEX($C$23:$M$33,1,2)/INDEX($P$6:$Z$16,1,2)*$Z$33/$M$33,"")</f>
        <v/>
      </c>
      <c r="E56" s="212" t="str">
        <f>IF(INDEX($P$6:$Z$16,2,2)&gt;0,1000*INDEX($C$23:$M$33,2,2)/INDEX($P$6:$Z$16,2,2)*$Z$33/$M$33,"")</f>
        <v/>
      </c>
      <c r="F56" s="212">
        <f>IF(INDEX($P$6:$Z$16,3,2)&gt;0,1000*INDEX($C$23:$M$33,3,2)/INDEX($P$6:$Z$16,3,2)*$Z$33/$M$33,"")</f>
        <v>1170.1057404585192</v>
      </c>
      <c r="G56" s="212">
        <f>IF(INDEX($P$6:$Z$16,4,2)&gt;0,1000*INDEX($C$23:$M$33,4,2)/INDEX($P$6:$Z$16,4,2)*$Z$33/$M$33,"")</f>
        <v>1127.1607370342838</v>
      </c>
      <c r="H56" s="212">
        <f>IF(INDEX($P$6:$Z$16,5,2)&gt;0,1000*INDEX($C$23:$M$33,5,2)/INDEX($P$6:$Z$16,5,2)*$Z$33/$M$33,"")</f>
        <v>1139.8458377775696</v>
      </c>
      <c r="I56" s="212">
        <f>IF(INDEX($P$6:$Z$16,6,2)&gt;0,1000*INDEX($C$23:$M$33,6,2)/INDEX($P$6:$Z$16,6,2)*$Z$33/$M$33,"")</f>
        <v>1117.0870510987752</v>
      </c>
      <c r="J56" s="212">
        <f>IF(INDEX($P$6:$Z$16,7,2)&gt;0,1000*INDEX($C$23:$M$33,7,2)/INDEX($P$6:$Z$16,7,2)*$Z$33/$M$33,"")</f>
        <v>1142.3980285962496</v>
      </c>
      <c r="K56" s="212">
        <f>IF(INDEX($P$6:$Z$16,8,2)&gt;0,1000*INDEX($C$23:$M$33,8,2)/INDEX($P$6:$Z$16,8,2)*$Z$33/$M$33,"")</f>
        <v>1182.2450382481586</v>
      </c>
      <c r="L56" s="212">
        <f>IF(INDEX($P$6:$Z$16,9,2)&gt;0,1000*INDEX($C$23:$M$33,9,2)/INDEX($P$6:$Z$16,9,2)*$Z$33/$M$33,"")</f>
        <v>1196.4095582215184</v>
      </c>
      <c r="M56" s="212">
        <f>IF(INDEX($P$6:$Z$16,10,2)&gt;0,1000*INDEX($C$23:$M$33,10,2)/INDEX($P$6:$Z$16,10,2)*$Z$33/$M$33,"")</f>
        <v>1243.9035087045377</v>
      </c>
      <c r="N56" s="234">
        <f>IF(INDEX($P$6:$Z$16,11,2)&gt;0,1000*INDEX($C$23:$M$33,11,2)/INDEX($P$6:$Z$16,11,2)*$Z$33/$M$33,"")</f>
        <v>1152.1720569952374</v>
      </c>
      <c r="AD56" s="225" t="s">
        <v>159</v>
      </c>
      <c r="AE56" s="54" t="s">
        <v>705</v>
      </c>
      <c r="AF56" s="226">
        <v>146274</v>
      </c>
      <c r="AG56" s="226">
        <v>142695.10619357083</v>
      </c>
      <c r="AH56" s="156" t="s">
        <v>901</v>
      </c>
    </row>
    <row r="57" spans="2:34" x14ac:dyDescent="0.2">
      <c r="B57" s="388"/>
      <c r="C57" s="233" t="s">
        <v>544</v>
      </c>
      <c r="D57" s="212" t="str">
        <f>IF(INDEX($P$6:$Z$16,1,3)&gt;0,1000*INDEX($C$23:$M$33,1,3)/INDEX($P$6:$Z$16,1,3)*$Z$33/$M$33,"")</f>
        <v/>
      </c>
      <c r="E57" s="212">
        <f>IF(INDEX($P$6:$Z$16,2,3)&gt;0,1000*INDEX($C$23:$M$33,2,3)/INDEX($P$6:$Z$16,2,3)*$Z$33/$M$33,"")</f>
        <v>1120.6923722799193</v>
      </c>
      <c r="F57" s="212" t="str">
        <f>IF(INDEX($P$6:$Z$16,3,3)&gt;0,1000*INDEX($C$23:$M$33,3,3)/INDEX($P$6:$Z$16,3,3)*$Z$33/$M$33,"")</f>
        <v/>
      </c>
      <c r="G57" s="212">
        <f>IF(INDEX($P$6:$Z$16,4,3)&gt;0,1000*INDEX($C$23:$M$33,4,3)/INDEX($P$6:$Z$16,4,3)*$Z$33/$M$33,"")</f>
        <v>1138.8514729021199</v>
      </c>
      <c r="H57" s="212">
        <f>IF(INDEX($P$6:$Z$16,5,3)&gt;0,1000*INDEX($C$23:$M$33,5,3)/INDEX($P$6:$Z$16,5,3)*$Z$33/$M$33,"")</f>
        <v>1256.4193878013971</v>
      </c>
      <c r="I57" s="212" t="str">
        <f>IF(INDEX($P$6:$Z$16,6,3)&gt;0,1000*INDEX($C$23:$M$33,6,3)/INDEX($P$6:$Z$16,6,3)*$Z$33/$M$33,"")</f>
        <v/>
      </c>
      <c r="J57" s="212">
        <f>IF(INDEX($P$6:$Z$16,7,3)&gt;0,1000*INDEX($C$23:$M$33,7,3)/INDEX($P$6:$Z$16,7,3)*$Z$33/$M$33,"")</f>
        <v>1204.1346495703856</v>
      </c>
      <c r="K57" s="212">
        <f>IF(INDEX($P$6:$Z$16,8,3)&gt;0,1000*INDEX($C$23:$M$33,8,3)/INDEX($P$6:$Z$16,8,3)*$Z$33/$M$33,"")</f>
        <v>1164.3816536165709</v>
      </c>
      <c r="L57" s="212">
        <f>IF(INDEX($P$6:$Z$16,9,3)&gt;0,1000*INDEX($C$23:$M$33,9,3)/INDEX($P$6:$Z$16,9,3)*$Z$33/$M$33,"")</f>
        <v>1201.9493467220195</v>
      </c>
      <c r="M57" s="212">
        <f>IF(INDEX($P$6:$Z$16,10,3)&gt;0,1000*INDEX($C$23:$M$33,10,3)/INDEX($P$6:$Z$16,10,3)*$Z$33/$M$33,"")</f>
        <v>1303.2027847739344</v>
      </c>
      <c r="N57" s="234">
        <f>IF(INDEX($P$6:$Z$16,11,3)&gt;0,1000*INDEX($C$23:$M$33,11,3)/INDEX($P$6:$Z$16,11,3)*$Z$33/$M$33,"")</f>
        <v>1215.1529046355645</v>
      </c>
      <c r="AD57" s="225" t="s">
        <v>167</v>
      </c>
      <c r="AE57" s="54" t="s">
        <v>706</v>
      </c>
      <c r="AF57" s="226">
        <v>421381</v>
      </c>
      <c r="AG57" s="226">
        <v>396259.59322079783</v>
      </c>
      <c r="AH57" s="156" t="s">
        <v>894</v>
      </c>
    </row>
    <row r="58" spans="2:34" x14ac:dyDescent="0.2">
      <c r="B58" s="388"/>
      <c r="C58" s="233" t="s">
        <v>545</v>
      </c>
      <c r="D58" s="212">
        <f>IF(INDEX($P$6:$Z$16,1,4)&gt;0,1000*INDEX($C$23:$M$33,1,4)/INDEX($P$6:$Z$16,1,4)*$Z$33/$M$33,"")</f>
        <v>1026.0507569242004</v>
      </c>
      <c r="E58" s="212">
        <f>IF(INDEX($P$6:$Z$16,2,4)&gt;0,1000*INDEX($C$23:$M$33,2,4)/INDEX($P$6:$Z$16,2,4)*$Z$33/$M$33,"")</f>
        <v>1125.1017743331561</v>
      </c>
      <c r="F58" s="212">
        <f>IF(INDEX($P$6:$Z$16,3,4)&gt;0,1000*INDEX($C$23:$M$33,3,4)/INDEX($P$6:$Z$16,3,4)*$Z$33/$M$33,"")</f>
        <v>1137.3646978727515</v>
      </c>
      <c r="G58" s="212" t="str">
        <f>IF(INDEX($P$6:$Z$16,4,4)&gt;0,1000*INDEX($C$23:$M$33,4,4)/INDEX($P$6:$Z$16,4,4)*$Z$33/$M$33,"")</f>
        <v/>
      </c>
      <c r="H58" s="212" t="str">
        <f>IF(INDEX($P$6:$Z$16,5,4)&gt;0,1000*INDEX($C$23:$M$33,5,4)/INDEX($P$6:$Z$16,5,4)*$Z$33/$M$33,"")</f>
        <v/>
      </c>
      <c r="I58" s="212">
        <f>IF(INDEX($P$6:$Z$16,6,4)&gt;0,1000*INDEX($C$23:$M$33,6,4)/INDEX($P$6:$Z$16,6,4)*$Z$33/$M$33,"")</f>
        <v>1191.5467380149321</v>
      </c>
      <c r="J58" s="212">
        <f>IF(INDEX($P$6:$Z$16,7,4)&gt;0,1000*INDEX($C$23:$M$33,7,4)/INDEX($P$6:$Z$16,7,4)*$Z$33/$M$33,"")</f>
        <v>1289.4919430053278</v>
      </c>
      <c r="K58" s="212">
        <f>IF(INDEX($P$6:$Z$16,8,4)&gt;0,1000*INDEX($C$23:$M$33,8,4)/INDEX($P$6:$Z$16,8,4)*$Z$33/$M$33,"")</f>
        <v>1199.5899023052018</v>
      </c>
      <c r="L58" s="212">
        <f>IF(INDEX($P$6:$Z$16,9,4)&gt;0,1000*INDEX($C$23:$M$33,9,4)/INDEX($P$6:$Z$16,9,4)*$Z$33/$M$33,"")</f>
        <v>1224.2526468124706</v>
      </c>
      <c r="M58" s="212">
        <f>IF(INDEX($P$6:$Z$16,10,4)&gt;0,1000*INDEX($C$23:$M$33,10,4)/INDEX($P$6:$Z$16,10,4)*$Z$33/$M$33,"")</f>
        <v>1302.2022502392012</v>
      </c>
      <c r="N58" s="234">
        <f>IF(INDEX($P$6:$Z$16,11,4)&gt;0,1000*INDEX($C$23:$M$33,11,4)/INDEX($P$6:$Z$16,11,4)*$Z$33/$M$33,"")</f>
        <v>1195.2795351401394</v>
      </c>
      <c r="AD58" s="225" t="s">
        <v>191</v>
      </c>
      <c r="AE58" s="54" t="s">
        <v>707</v>
      </c>
      <c r="AF58" s="226">
        <v>339829</v>
      </c>
      <c r="AG58" s="226">
        <v>323342.60728514526</v>
      </c>
      <c r="AH58" s="156" t="s">
        <v>904</v>
      </c>
    </row>
    <row r="59" spans="2:34" x14ac:dyDescent="0.2">
      <c r="B59" s="388"/>
      <c r="C59" s="233" t="s">
        <v>546</v>
      </c>
      <c r="D59" s="212" t="str">
        <f>IF(INDEX($P$6:$Z$16,1,5)&gt;0,1000*INDEX($C$23:$M$33,1,5)/INDEX($P$6:$Z$16,1,5)*$Z$33/$M$33,"")</f>
        <v/>
      </c>
      <c r="E59" s="212">
        <f>IF(INDEX($P$6:$Z$16,2,5)&gt;0,1000*INDEX($C$23:$M$33,2,5)/INDEX($P$6:$Z$16,2,5)*$Z$33/$M$33,"")</f>
        <v>1121.1851514847572</v>
      </c>
      <c r="F59" s="212" t="str">
        <f>IF(INDEX($P$6:$Z$16,3,5)&gt;0,1000*INDEX($C$23:$M$33,3,5)/INDEX($P$6:$Z$16,3,5)*$Z$33/$M$33,"")</f>
        <v/>
      </c>
      <c r="G59" s="212">
        <f>IF(INDEX($P$6:$Z$16,4,5)&gt;0,1000*INDEX($C$23:$M$33,4,5)/INDEX($P$6:$Z$16,4,5)*$Z$33/$M$33,"")</f>
        <v>1167.6685232203588</v>
      </c>
      <c r="H59" s="212">
        <f>IF(INDEX($P$6:$Z$16,5,5)&gt;0,1000*INDEX($C$23:$M$33,5,5)/INDEX($P$6:$Z$16,5,5)*$Z$33/$M$33,"")</f>
        <v>1217.9014213957873</v>
      </c>
      <c r="I59" s="212">
        <f>IF(INDEX($P$6:$Z$16,6,5)&gt;0,1000*INDEX($C$23:$M$33,6,5)/INDEX($P$6:$Z$16,6,5)*$Z$33/$M$33,"")</f>
        <v>1264.1555427661874</v>
      </c>
      <c r="J59" s="212">
        <f>IF(INDEX($P$6:$Z$16,7,5)&gt;0,1000*INDEX($C$23:$M$33,7,5)/INDEX($P$6:$Z$16,7,5)*$Z$33/$M$33,"")</f>
        <v>1275.8947231483317</v>
      </c>
      <c r="K59" s="212">
        <f>IF(INDEX($P$6:$Z$16,8,5)&gt;0,1000*INDEX($C$23:$M$33,8,5)/INDEX($P$6:$Z$16,8,5)*$Z$33/$M$33,"")</f>
        <v>1261.568056550768</v>
      </c>
      <c r="L59" s="212">
        <f>IF(INDEX($P$6:$Z$16,9,5)&gt;0,1000*INDEX($C$23:$M$33,9,5)/INDEX($P$6:$Z$16,9,5)*$Z$33/$M$33,"")</f>
        <v>1285.6638581207499</v>
      </c>
      <c r="M59" s="212">
        <f>IF(INDEX($P$6:$Z$16,10,5)&gt;0,1000*INDEX($C$23:$M$33,10,5)/INDEX($P$6:$Z$16,10,5)*$Z$33/$M$33,"")</f>
        <v>1266.6140865847033</v>
      </c>
      <c r="N59" s="234">
        <f>IF(INDEX($P$6:$Z$16,11,5)&gt;0,1000*INDEX($C$23:$M$33,11,5)/INDEX($P$6:$Z$16,11,5)*$Z$33/$M$33,"")</f>
        <v>1244.0552810591973</v>
      </c>
      <c r="AD59" s="225" t="s">
        <v>195</v>
      </c>
      <c r="AE59" s="54" t="s">
        <v>708</v>
      </c>
      <c r="AF59" s="226">
        <v>708033</v>
      </c>
      <c r="AG59" s="226">
        <v>681484.92975716176</v>
      </c>
      <c r="AH59" s="156" t="s">
        <v>879</v>
      </c>
    </row>
    <row r="60" spans="2:34" x14ac:dyDescent="0.2">
      <c r="B60" s="387" t="s">
        <v>644</v>
      </c>
      <c r="C60" s="233" t="s">
        <v>547</v>
      </c>
      <c r="D60" s="212">
        <f>IF(INDEX($P$6:$Z$16,1,6)&gt;0,1000*INDEX($C$23:$M$33,1,6)/INDEX($P$6:$Z$16,1,6)*$Z$33/$M$33,"")</f>
        <v>1109.781529752245</v>
      </c>
      <c r="E60" s="212">
        <f>IF(INDEX($P$6:$Z$16,2,6)&gt;0,1000*INDEX($C$23:$M$33,2,6)/INDEX($P$6:$Z$16,2,6)*$Z$33/$M$33,"")</f>
        <v>1158.2143830687774</v>
      </c>
      <c r="F60" s="212">
        <f>IF(INDEX($P$6:$Z$16,3,6)&gt;0,1000*INDEX($C$23:$M$33,3,6)/INDEX($P$6:$Z$16,3,6)*$Z$33/$M$33,"")</f>
        <v>1160.9291619960163</v>
      </c>
      <c r="G60" s="212">
        <f>IF(INDEX($P$6:$Z$16,4,6)&gt;0,1000*INDEX($C$23:$M$33,4,6)/INDEX($P$6:$Z$16,4,6)*$Z$33/$M$33,"")</f>
        <v>1168.3710093451803</v>
      </c>
      <c r="H60" s="212">
        <f>IF(INDEX($P$6:$Z$16,5,6)&gt;0,1000*INDEX($C$23:$M$33,5,6)/INDEX($P$6:$Z$16,5,6)*$Z$33/$M$33,"")</f>
        <v>1300.941107120532</v>
      </c>
      <c r="I60" s="212">
        <f>IF(INDEX($P$6:$Z$16,6,6)&gt;0,1000*INDEX($C$23:$M$33,6,6)/INDEX($P$6:$Z$16,6,6)*$Z$33/$M$33,"")</f>
        <v>1261.8362986375525</v>
      </c>
      <c r="J60" s="212">
        <f>IF(INDEX($P$6:$Z$16,7,6)&gt;0,1000*INDEX($C$23:$M$33,7,6)/INDEX($P$6:$Z$16,7,6)*$Z$33/$M$33,"")</f>
        <v>1327.4344552890616</v>
      </c>
      <c r="K60" s="212">
        <f>IF(INDEX($P$6:$Z$16,8,6)&gt;0,1000*INDEX($C$23:$M$33,8,6)/INDEX($P$6:$Z$16,8,6)*$Z$33/$M$33,"")</f>
        <v>1291.7308861923505</v>
      </c>
      <c r="L60" s="212">
        <f>IF(INDEX($P$6:$Z$16,9,6)&gt;0,1000*INDEX($C$23:$M$33,9,6)/INDEX($P$6:$Z$16,9,6)*$Z$33/$M$33,"")</f>
        <v>1282.1252395841027</v>
      </c>
      <c r="M60" s="212">
        <f>IF(INDEX($P$6:$Z$16,10,6)&gt;0,1000*INDEX($C$23:$M$33,10,6)/INDEX($P$6:$Z$16,10,6)*$Z$33/$M$33,"")</f>
        <v>1257.7722842620435</v>
      </c>
      <c r="N60" s="234">
        <f>IF(INDEX($P$6:$Z$16,11,6)&gt;0,1000*INDEX($C$23:$M$33,11,6)/INDEX($P$6:$Z$16,11,6)*$Z$33/$M$33,"")</f>
        <v>1236.2919312189808</v>
      </c>
      <c r="AD60" s="225" t="s">
        <v>155</v>
      </c>
      <c r="AE60" s="54" t="s">
        <v>709</v>
      </c>
      <c r="AF60" s="226">
        <v>191282</v>
      </c>
      <c r="AG60" s="226">
        <v>186422.53430011746</v>
      </c>
      <c r="AH60" s="156" t="s">
        <v>891</v>
      </c>
    </row>
    <row r="61" spans="2:34" x14ac:dyDescent="0.2">
      <c r="B61" s="387"/>
      <c r="C61" s="233" t="s">
        <v>548</v>
      </c>
      <c r="D61" s="212">
        <f>IF(INDEX($P$6:$Z$16,1,7)&gt;0,1000*INDEX($C$23:$M$33,1,7)/INDEX($P$6:$Z$16,1,7)*$Z$33/$M$33,"")</f>
        <v>1153.3489418082936</v>
      </c>
      <c r="E61" s="212">
        <f>IF(INDEX($P$6:$Z$16,2,7)&gt;0,1000*INDEX($C$23:$M$33,2,7)/INDEX($P$6:$Z$16,2,7)*$Z$33/$M$33,"")</f>
        <v>1160.0184043736335</v>
      </c>
      <c r="F61" s="212">
        <f>IF(INDEX($P$6:$Z$16,3,7)&gt;0,1000*INDEX($C$23:$M$33,3,7)/INDEX($P$6:$Z$16,3,7)*$Z$33/$M$33,"")</f>
        <v>1162.8051065713216</v>
      </c>
      <c r="G61" s="212">
        <f>IF(INDEX($P$6:$Z$16,4,7)&gt;0,1000*INDEX($C$23:$M$33,4,7)/INDEX($P$6:$Z$16,4,7)*$Z$33/$M$33,"")</f>
        <v>1136.3331820949581</v>
      </c>
      <c r="H61" s="212">
        <f>IF(INDEX($P$6:$Z$16,5,7)&gt;0,1000*INDEX($C$23:$M$33,5,7)/INDEX($P$6:$Z$16,5,7)*$Z$33/$M$33,"")</f>
        <v>1192.7069399994211</v>
      </c>
      <c r="I61" s="212">
        <f>IF(INDEX($P$6:$Z$16,6,7)&gt;0,1000*INDEX($C$23:$M$33,6,7)/INDEX($P$6:$Z$16,6,7)*$Z$33/$M$33,"")</f>
        <v>1354.3858224586943</v>
      </c>
      <c r="J61" s="212">
        <f>IF(INDEX($P$6:$Z$16,7,7)&gt;0,1000*INDEX($C$23:$M$33,7,7)/INDEX($P$6:$Z$16,7,7)*$Z$33/$M$33,"")</f>
        <v>1345.6852391193124</v>
      </c>
      <c r="K61" s="212">
        <f>IF(INDEX($P$6:$Z$16,8,7)&gt;0,1000*INDEX($C$23:$M$33,8,7)/INDEX($P$6:$Z$16,8,7)*$Z$33/$M$33,"")</f>
        <v>1380.1391510543424</v>
      </c>
      <c r="L61" s="212" t="str">
        <f>IF(INDEX($P$6:$Z$16,9,7)&gt;0,1000*INDEX($C$23:$M$33,9,7)/INDEX($P$6:$Z$16,9,7)*$Z$33/$M$33,"")</f>
        <v/>
      </c>
      <c r="M61" s="212">
        <f>IF(INDEX($P$6:$Z$16,10,7)&gt;0,1000*INDEX($C$23:$M$33,10,7)/INDEX($P$6:$Z$16,10,7)*$Z$33/$M$33,"")</f>
        <v>1302.6975623613955</v>
      </c>
      <c r="N61" s="234">
        <f>IF(INDEX($P$6:$Z$16,11,7)&gt;0,1000*INDEX($C$23:$M$33,11,7)/INDEX($P$6:$Z$16,11,7)*$Z$33/$M$33,"")</f>
        <v>1212.4960752067043</v>
      </c>
      <c r="AD61" s="225" t="s">
        <v>163</v>
      </c>
      <c r="AE61" s="54" t="s">
        <v>710</v>
      </c>
      <c r="AF61" s="226">
        <v>411057</v>
      </c>
      <c r="AG61" s="226">
        <v>414397.05788073223</v>
      </c>
      <c r="AH61" s="156" t="s">
        <v>882</v>
      </c>
    </row>
    <row r="62" spans="2:34" x14ac:dyDescent="0.2">
      <c r="B62" s="387"/>
      <c r="C62" s="233" t="s">
        <v>549</v>
      </c>
      <c r="D62" s="212">
        <f>IF(INDEX($P$6:$Z$16,1,8)&gt;0,1000*INDEX($C$23:$M$33,1,8)/INDEX($P$6:$Z$16,1,8)*$Z$33/$M$33,"")</f>
        <v>1148.8905823919063</v>
      </c>
      <c r="E62" s="212">
        <f>IF(INDEX($P$6:$Z$16,2,8)&gt;0,1000*INDEX($C$23:$M$33,2,8)/INDEX($P$6:$Z$16,2,8)*$Z$33/$M$33,"")</f>
        <v>1166.6309048680141</v>
      </c>
      <c r="F62" s="212">
        <f>IF(INDEX($P$6:$Z$16,3,8)&gt;0,1000*INDEX($C$23:$M$33,3,8)/INDEX($P$6:$Z$16,3,8)*$Z$33/$M$33,"")</f>
        <v>1191.0460907482402</v>
      </c>
      <c r="G62" s="212">
        <f>IF(INDEX($P$6:$Z$16,4,8)&gt;0,1000*INDEX($C$23:$M$33,4,8)/INDEX($P$6:$Z$16,4,8)*$Z$33/$M$33,"")</f>
        <v>1295.0975491088709</v>
      </c>
      <c r="H62" s="212">
        <f>IF(INDEX($P$6:$Z$16,5,8)&gt;0,1000*INDEX($C$23:$M$33,5,8)/INDEX($P$6:$Z$16,5,8)*$Z$33/$M$33,"")</f>
        <v>1350.8708151983278</v>
      </c>
      <c r="I62" s="212">
        <f>IF(INDEX($P$6:$Z$16,6,8)&gt;0,1000*INDEX($C$23:$M$33,6,8)/INDEX($P$6:$Z$16,6,8)*$Z$33/$M$33,"")</f>
        <v>1291.2979032680669</v>
      </c>
      <c r="J62" s="212" t="str">
        <f>IF(INDEX($P$6:$Z$16,7,8)&gt;0,1000*INDEX($C$23:$M$33,7,8)/INDEX($P$6:$Z$16,7,8)*$Z$33/$M$33,"")</f>
        <v/>
      </c>
      <c r="K62" s="212">
        <f>IF(INDEX($P$6:$Z$16,8,8)&gt;0,1000*INDEX($C$23:$M$33,8,8)/INDEX($P$6:$Z$16,8,8)*$Z$33/$M$33,"")</f>
        <v>1444.93206050445</v>
      </c>
      <c r="L62" s="212" t="str">
        <f>IF(INDEX($P$6:$Z$16,9,8)&gt;0,1000*INDEX($C$23:$M$33,9,8)/INDEX($P$6:$Z$16,9,8)*$Z$33/$M$33,"")</f>
        <v/>
      </c>
      <c r="M62" s="212">
        <f>IF(INDEX($P$6:$Z$16,10,8)&gt;0,1000*INDEX($C$23:$M$33,10,8)/INDEX($P$6:$Z$16,10,8)*$Z$33/$M$33,"")</f>
        <v>1329.9394865621791</v>
      </c>
      <c r="N62" s="234">
        <f>IF(INDEX($P$6:$Z$16,11,8)&gt;0,1000*INDEX($C$23:$M$33,11,8)/INDEX($P$6:$Z$16,11,8)*$Z$33/$M$33,"")</f>
        <v>1262.1958071525326</v>
      </c>
      <c r="AD62" s="225" t="s">
        <v>165</v>
      </c>
      <c r="AE62" s="54" t="s">
        <v>711</v>
      </c>
      <c r="AF62" s="226">
        <v>268575</v>
      </c>
      <c r="AG62" s="226">
        <v>247691.16948258362</v>
      </c>
      <c r="AH62" s="156" t="s">
        <v>905</v>
      </c>
    </row>
    <row r="63" spans="2:34" x14ac:dyDescent="0.2">
      <c r="B63" s="387"/>
      <c r="C63" s="233" t="s">
        <v>550</v>
      </c>
      <c r="D63" s="212">
        <f>IF(INDEX($P$6:$Z$16,1,9)&gt;0,1000*INDEX($C$23:$M$33,1,9)/INDEX($P$6:$Z$16,1,9)*$Z$33/$M$33,"")</f>
        <v>1183.3580970105279</v>
      </c>
      <c r="E63" s="212">
        <f>IF(INDEX($P$6:$Z$16,2,9)&gt;0,1000*INDEX($C$23:$M$33,2,9)/INDEX($P$6:$Z$16,2,9)*$Z$33/$M$33,"")</f>
        <v>1146.9195921096612</v>
      </c>
      <c r="F63" s="212">
        <f>IF(INDEX($P$6:$Z$16,3,9)&gt;0,1000*INDEX($C$23:$M$33,3,9)/INDEX($P$6:$Z$16,3,9)*$Z$33/$M$33,"")</f>
        <v>1336.3931973034323</v>
      </c>
      <c r="G63" s="212">
        <f>IF(INDEX($P$6:$Z$16,4,9)&gt;0,1000*INDEX($C$23:$M$33,4,9)/INDEX($P$6:$Z$16,4,9)*$Z$33/$M$33,"")</f>
        <v>1461.8227754953771</v>
      </c>
      <c r="H63" s="212">
        <f>IF(INDEX($P$6:$Z$16,5,9)&gt;0,1000*INDEX($C$23:$M$33,5,9)/INDEX($P$6:$Z$16,5,9)*$Z$33/$M$33,"")</f>
        <v>1248.9719446734862</v>
      </c>
      <c r="I63" s="212">
        <f>IF(INDEX($P$6:$Z$16,6,9)&gt;0,1000*INDEX($C$23:$M$33,6,9)/INDEX($P$6:$Z$16,6,9)*$Z$33/$M$33,"")</f>
        <v>1380.8547054442481</v>
      </c>
      <c r="J63" s="212">
        <f>IF(INDEX($P$6:$Z$16,7,9)&gt;0,1000*INDEX($C$23:$M$33,7,9)/INDEX($P$6:$Z$16,7,9)*$Z$33/$M$33,"")</f>
        <v>1396.7755802392528</v>
      </c>
      <c r="K63" s="212">
        <f>IF(INDEX($P$6:$Z$16,8,9)&gt;0,1000*INDEX($C$23:$M$33,8,9)/INDEX($P$6:$Z$16,8,9)*$Z$33/$M$33,"")</f>
        <v>1455.5614177329883</v>
      </c>
      <c r="L63" s="212">
        <f>IF(INDEX($P$6:$Z$16,9,9)&gt;0,1000*INDEX($C$23:$M$33,9,9)/INDEX($P$6:$Z$16,9,9)*$Z$33/$M$33,"")</f>
        <v>1397.3842980171526</v>
      </c>
      <c r="M63" s="212" t="str">
        <f>IF(INDEX($P$6:$Z$16,10,9)&gt;0,1000*INDEX($C$23:$M$33,10,9)/INDEX($P$6:$Z$16,10,9)*$Z$33/$M$33,"")</f>
        <v/>
      </c>
      <c r="N63" s="234">
        <f>IF(INDEX($P$6:$Z$16,11,9)&gt;0,1000*INDEX($C$23:$M$33,11,9)/INDEX($P$6:$Z$16,11,9)*$Z$33/$M$33,"")</f>
        <v>1290.0793692183549</v>
      </c>
      <c r="AD63" s="225" t="s">
        <v>179</v>
      </c>
      <c r="AE63" s="54" t="s">
        <v>712</v>
      </c>
      <c r="AF63" s="226">
        <v>238569</v>
      </c>
      <c r="AG63" s="226">
        <v>229352.93736238801</v>
      </c>
      <c r="AH63" s="156" t="s">
        <v>906</v>
      </c>
    </row>
    <row r="64" spans="2:34" x14ac:dyDescent="0.2">
      <c r="B64" s="387"/>
      <c r="C64" s="233" t="s">
        <v>551</v>
      </c>
      <c r="D64" s="212">
        <f>IF(INDEX($P$6:$Z$16,1,10)&gt;0,1000*INDEX($C$23:$M$33,1,10)/INDEX($P$6:$Z$16,1,10)*$Z$33/$M$33,"")</f>
        <v>1152.458763446672</v>
      </c>
      <c r="E64" s="212">
        <f>IF(INDEX($P$6:$Z$16,2,10)&gt;0,1000*INDEX($C$23:$M$33,2,10)/INDEX($P$6:$Z$16,2,10)*$Z$33/$M$33,"")</f>
        <v>1200.2312283684003</v>
      </c>
      <c r="F64" s="212">
        <f>IF(INDEX($P$6:$Z$16,3,10)&gt;0,1000*INDEX($C$23:$M$33,3,10)/INDEX($P$6:$Z$16,3,10)*$Z$33/$M$33,"")</f>
        <v>1351.2732831821099</v>
      </c>
      <c r="G64" s="212">
        <f>IF(INDEX($P$6:$Z$16,4,10)&gt;0,1000*INDEX($C$23:$M$33,4,10)/INDEX($P$6:$Z$16,4,10)*$Z$33/$M$33,"")</f>
        <v>1251.5603149905664</v>
      </c>
      <c r="H64" s="212">
        <f>IF(INDEX($P$6:$Z$16,5,10)&gt;0,1000*INDEX($C$23:$M$33,5,10)/INDEX($P$6:$Z$16,5,10)*$Z$33/$M$33,"")</f>
        <v>1374.1847351786816</v>
      </c>
      <c r="I64" s="212" t="str">
        <f>IF(INDEX($P$6:$Z$16,6,10)&gt;0,1000*INDEX($C$23:$M$33,6,10)/INDEX($P$6:$Z$16,6,10)*$Z$33/$M$33,"")</f>
        <v/>
      </c>
      <c r="J64" s="212" t="str">
        <f>IF(INDEX($P$6:$Z$16,7,10)&gt;0,1000*INDEX($C$23:$M$33,7,10)/INDEX($P$6:$Z$16,7,10)*$Z$33/$M$33,"")</f>
        <v/>
      </c>
      <c r="K64" s="212">
        <f>IF(INDEX($P$6:$Z$16,8,10)&gt;0,1000*INDEX($C$23:$M$33,8,10)/INDEX($P$6:$Z$16,8,10)*$Z$33/$M$33,"")</f>
        <v>1462.7912750883379</v>
      </c>
      <c r="L64" s="212" t="str">
        <f>IF(INDEX($P$6:$Z$16,9,10)&gt;0,1000*INDEX($C$23:$M$33,9,10)/INDEX($P$6:$Z$16,9,10)*$Z$33/$M$33,"")</f>
        <v/>
      </c>
      <c r="M64" s="212" t="str">
        <f>IF(INDEX($P$6:$Z$16,10,10)&gt;0,1000*INDEX($C$23:$M$33,10,10)/INDEX($P$6:$Z$16,10,10)*$Z$33/$M$33,"")</f>
        <v/>
      </c>
      <c r="N64" s="234">
        <f>IF(INDEX($P$6:$Z$16,11,10)&gt;0,1000*INDEX($C$23:$M$33,11,10)/INDEX($P$6:$Z$16,11,10)*$Z$33/$M$33,"")</f>
        <v>1275.0496091233133</v>
      </c>
      <c r="AD64" s="225" t="s">
        <v>161</v>
      </c>
      <c r="AE64" s="54" t="s">
        <v>713</v>
      </c>
      <c r="AF64" s="226">
        <v>120080</v>
      </c>
      <c r="AG64" s="226">
        <v>121565.11505375657</v>
      </c>
      <c r="AH64" s="156" t="s">
        <v>881</v>
      </c>
    </row>
    <row r="65" spans="2:34" ht="13.5" thickBot="1" x14ac:dyDescent="0.25">
      <c r="C65" s="235" t="s">
        <v>642</v>
      </c>
      <c r="D65" s="236">
        <f>IF(INDEX($P$6:$Z$16,1,11)&gt;0,1000*INDEX($C$23:$M$33,1,11)/INDEX($P$6:$Z$16,1,11)*$Z$33/$M$33,"")</f>
        <v>1151.9464383696052</v>
      </c>
      <c r="E65" s="236">
        <f>IF(INDEX($P$6:$Z$16,2,11)&gt;0,1000*INDEX($C$23:$M$33,2,11)/INDEX($P$6:$Z$16,2,11)*$Z$33/$M$33,"")</f>
        <v>1158.6999952855465</v>
      </c>
      <c r="F65" s="236">
        <f>IF(INDEX($P$6:$Z$16,3,11)&gt;0,1000*INDEX($C$23:$M$33,3,11)/INDEX($P$6:$Z$16,3,11)*$Z$33/$M$33,"")</f>
        <v>1262.8069929414851</v>
      </c>
      <c r="G65" s="236">
        <f>IF(INDEX($P$6:$Z$16,4,11)&gt;0,1000*INDEX($C$23:$M$33,4,11)/INDEX($P$6:$Z$16,4,11)*$Z$33/$M$33,"")</f>
        <v>1186.6954596345199</v>
      </c>
      <c r="H65" s="236">
        <f>IF(INDEX($P$6:$Z$16,5,11)&gt;0,1000*INDEX($C$23:$M$33,5,11)/INDEX($P$6:$Z$16,5,11)*$Z$33/$M$33,"")</f>
        <v>1225.9588028185717</v>
      </c>
      <c r="I65" s="236">
        <f>IF(INDEX($P$6:$Z$16,6,11)&gt;0,1000*INDEX($C$23:$M$33,6,11)/INDEX($P$6:$Z$16,6,11)*$Z$33/$M$33,"")</f>
        <v>1245.9575251450631</v>
      </c>
      <c r="J65" s="236">
        <f>IF(INDEX($P$6:$Z$16,7,11)&gt;0,1000*INDEX($C$23:$M$33,7,11)/INDEX($P$6:$Z$16,7,11)*$Z$33/$M$33,"")</f>
        <v>1234.9289456434881</v>
      </c>
      <c r="K65" s="236">
        <f>IF(INDEX($P$6:$Z$16,8,11)&gt;0,1000*INDEX($C$23:$M$33,8,11)/INDEX($P$6:$Z$16,8,11)*$Z$33/$M$33,"")</f>
        <v>1245.8622457583438</v>
      </c>
      <c r="L65" s="236">
        <f>IF(INDEX($P$6:$Z$16,9,11)&gt;0,1000*INDEX($C$23:$M$33,9,11)/INDEX($P$6:$Z$16,9,11)*$Z$33/$M$33,"")</f>
        <v>1235.9968648259978</v>
      </c>
      <c r="M65" s="236">
        <f>IF(INDEX($P$6:$Z$16,10,11)&gt;0,1000*INDEX($C$23:$M$33,10,11)/INDEX($P$6:$Z$16,10,11)*$Z$33/$M$33,"")</f>
        <v>1295.4534924161139</v>
      </c>
      <c r="N65" s="237">
        <f>IF(INDEX($P$6:$Z$16,11,11)&gt;0,1000*INDEX($C$23:$M$33,11,11)/INDEX($P$6:$Z$16,11,11)*$Z$33/$M$33,"")</f>
        <v>1221.5258459779898</v>
      </c>
      <c r="AD65" s="225" t="s">
        <v>171</v>
      </c>
      <c r="AE65" s="54" t="s">
        <v>714</v>
      </c>
      <c r="AF65" s="226">
        <v>277784</v>
      </c>
      <c r="AG65" s="226">
        <v>265564.80148135056</v>
      </c>
      <c r="AH65" s="156" t="s">
        <v>889</v>
      </c>
    </row>
    <row r="66" spans="2:34" x14ac:dyDescent="0.2">
      <c r="AD66" s="225" t="s">
        <v>183</v>
      </c>
      <c r="AE66" s="54" t="s">
        <v>715</v>
      </c>
      <c r="AF66" s="226">
        <v>389602</v>
      </c>
      <c r="AG66" s="226">
        <v>381906.74947280524</v>
      </c>
      <c r="AH66" s="156" t="s">
        <v>907</v>
      </c>
    </row>
    <row r="67" spans="2:34" x14ac:dyDescent="0.2">
      <c r="B67" s="156" t="s">
        <v>647</v>
      </c>
      <c r="AD67" s="225" t="s">
        <v>181</v>
      </c>
      <c r="AE67" s="54" t="s">
        <v>716</v>
      </c>
      <c r="AF67" s="226">
        <v>347692</v>
      </c>
      <c r="AG67" s="226">
        <v>335542.78740882652</v>
      </c>
      <c r="AH67" s="156" t="s">
        <v>883</v>
      </c>
    </row>
    <row r="68" spans="2:34" ht="17.25" customHeight="1" x14ac:dyDescent="0.2">
      <c r="AD68" s="225" t="s">
        <v>187</v>
      </c>
      <c r="AE68" s="54" t="s">
        <v>717</v>
      </c>
      <c r="AF68" s="226">
        <v>225220</v>
      </c>
      <c r="AG68" s="226">
        <v>208794.02410270105</v>
      </c>
      <c r="AH68" s="156" t="s">
        <v>908</v>
      </c>
    </row>
    <row r="69" spans="2:34" x14ac:dyDescent="0.2">
      <c r="AD69" s="225" t="s">
        <v>199</v>
      </c>
      <c r="AE69" s="54" t="s">
        <v>718</v>
      </c>
      <c r="AF69" s="226">
        <v>467131</v>
      </c>
      <c r="AG69" s="226">
        <v>435263.05142711033</v>
      </c>
      <c r="AH69" s="156" t="s">
        <v>904</v>
      </c>
    </row>
    <row r="70" spans="2:34" ht="13.5" thickBot="1" x14ac:dyDescent="0.25">
      <c r="D70" s="156" t="s">
        <v>645</v>
      </c>
      <c r="M70" s="156" t="s">
        <v>646</v>
      </c>
      <c r="AD70" s="225" t="s">
        <v>207</v>
      </c>
      <c r="AE70" s="54" t="s">
        <v>719</v>
      </c>
      <c r="AF70" s="226">
        <v>549908</v>
      </c>
      <c r="AG70" s="226">
        <v>558482.53723646933</v>
      </c>
      <c r="AH70" s="156" t="s">
        <v>907</v>
      </c>
    </row>
    <row r="71" spans="2:34" x14ac:dyDescent="0.2">
      <c r="C71" s="230"/>
      <c r="D71" s="231" t="s">
        <v>553</v>
      </c>
      <c r="E71" s="231" t="s">
        <v>554</v>
      </c>
      <c r="F71" s="231" t="s">
        <v>555</v>
      </c>
      <c r="G71" s="231" t="s">
        <v>556</v>
      </c>
      <c r="H71" s="231" t="s">
        <v>557</v>
      </c>
      <c r="I71" s="231" t="s">
        <v>558</v>
      </c>
      <c r="J71" s="231" t="s">
        <v>559</v>
      </c>
      <c r="K71" s="231" t="s">
        <v>560</v>
      </c>
      <c r="L71" s="231" t="s">
        <v>561</v>
      </c>
      <c r="M71" s="231" t="s">
        <v>562</v>
      </c>
      <c r="N71" s="232" t="s">
        <v>599</v>
      </c>
      <c r="AD71" s="225" t="s">
        <v>213</v>
      </c>
      <c r="AE71" s="54" t="s">
        <v>720</v>
      </c>
      <c r="AF71" s="226">
        <v>214139</v>
      </c>
      <c r="AG71" s="226">
        <v>209500.55362857596</v>
      </c>
      <c r="AH71" s="156" t="s">
        <v>895</v>
      </c>
    </row>
    <row r="72" spans="2:34" x14ac:dyDescent="0.2">
      <c r="B72" s="388" t="s">
        <v>643</v>
      </c>
      <c r="C72" s="233" t="s">
        <v>542</v>
      </c>
      <c r="D72" s="212" t="str">
        <f>INDEX($P$38:$Z$48,1,1)</f>
        <v/>
      </c>
      <c r="E72" s="212">
        <f>INDEX($P$38:$Z$48,2,1)</f>
        <v>1058.6143904590651</v>
      </c>
      <c r="F72" s="212">
        <f>INDEX($P$38:$Z$48,3,1)</f>
        <v>1059.2836226092313</v>
      </c>
      <c r="G72" s="212">
        <f>INDEX($P$38:$Z$48,4,1)</f>
        <v>1126.2990987619855</v>
      </c>
      <c r="H72" s="212">
        <f>INDEX($P$38:$Z$48,5,1)</f>
        <v>1144.4399863259694</v>
      </c>
      <c r="I72" s="212">
        <f>INDEX($P$38:$Z$48,6,1)</f>
        <v>1110.5718265377038</v>
      </c>
      <c r="J72" s="212">
        <f>INDEX($P$38:$Z$48,7,1)</f>
        <v>1148.1776149475279</v>
      </c>
      <c r="K72" s="212">
        <f>INDEX($P$38:$Z$48,8,1)</f>
        <v>1119.2097732214177</v>
      </c>
      <c r="L72" s="212">
        <f>INDEX($P$38:$Z$48,9,1)</f>
        <v>1197.8581293649863</v>
      </c>
      <c r="M72" s="212" t="str">
        <f>INDEX($P$38:$Z$48,10,1)</f>
        <v/>
      </c>
      <c r="N72" s="234">
        <f>INDEX($P$38:$Z$48,11,1)</f>
        <v>1134.6359572695731</v>
      </c>
      <c r="AD72" s="225" t="s">
        <v>239</v>
      </c>
      <c r="AE72" s="54" t="s">
        <v>721</v>
      </c>
      <c r="AF72" s="226">
        <v>215385</v>
      </c>
      <c r="AG72" s="226">
        <v>232880.16739066257</v>
      </c>
      <c r="AH72" s="156" t="s">
        <v>876</v>
      </c>
    </row>
    <row r="73" spans="2:34" x14ac:dyDescent="0.2">
      <c r="B73" s="388"/>
      <c r="C73" s="233" t="s">
        <v>543</v>
      </c>
      <c r="D73" s="212" t="str">
        <f>INDEX($P$38:$Z$48,1,2)</f>
        <v/>
      </c>
      <c r="E73" s="212" t="str">
        <f>INDEX($P$38:$Z$48,2,2)</f>
        <v/>
      </c>
      <c r="F73" s="212">
        <f>INDEX($P$38:$Z$48,3,2)</f>
        <v>1156.5750289652879</v>
      </c>
      <c r="G73" s="212">
        <f>INDEX($P$38:$Z$48,4,2)</f>
        <v>1142.4668298753368</v>
      </c>
      <c r="H73" s="212">
        <f>INDEX($P$38:$Z$48,5,2)</f>
        <v>1170.6210768159658</v>
      </c>
      <c r="I73" s="212">
        <f>INDEX($P$38:$Z$48,6,2)</f>
        <v>1101.488265213203</v>
      </c>
      <c r="J73" s="212">
        <f>INDEX($P$38:$Z$48,7,2)</f>
        <v>1138.0230322442185</v>
      </c>
      <c r="K73" s="212">
        <f>INDEX($P$38:$Z$48,8,2)</f>
        <v>1199.6328945410098</v>
      </c>
      <c r="L73" s="212">
        <f>INDEX($P$38:$Z$48,9,2)</f>
        <v>1196.8323001367025</v>
      </c>
      <c r="M73" s="212">
        <f>INDEX($P$38:$Z$48,10,2)</f>
        <v>1220.3632573993568</v>
      </c>
      <c r="N73" s="234">
        <f>INDEX($P$38:$Z$48,11,2)</f>
        <v>1156.1162687518834</v>
      </c>
      <c r="AD73" s="225" t="s">
        <v>217</v>
      </c>
      <c r="AE73" s="54" t="s">
        <v>722</v>
      </c>
      <c r="AF73" s="226">
        <v>187074</v>
      </c>
      <c r="AG73" s="226">
        <v>187216.31664672281</v>
      </c>
      <c r="AH73" s="156" t="s">
        <v>869</v>
      </c>
    </row>
    <row r="74" spans="2:34" x14ac:dyDescent="0.2">
      <c r="B74" s="388"/>
      <c r="C74" s="233" t="s">
        <v>544</v>
      </c>
      <c r="D74" s="212" t="str">
        <f>INDEX($P$38:$Z$48,1,3)</f>
        <v/>
      </c>
      <c r="E74" s="212">
        <f>INDEX($P$38:$Z$48,2,3)</f>
        <v>1062.0049060083436</v>
      </c>
      <c r="F74" s="212" t="str">
        <f>INDEX($P$38:$Z$48,3,3)</f>
        <v/>
      </c>
      <c r="G74" s="212">
        <f>INDEX($P$38:$Z$48,4,3)</f>
        <v>1135.3375181702636</v>
      </c>
      <c r="H74" s="212">
        <f>INDEX($P$38:$Z$48,5,3)</f>
        <v>1237.2923804234256</v>
      </c>
      <c r="I74" s="212" t="str">
        <f>INDEX($P$38:$Z$48,6,3)</f>
        <v/>
      </c>
      <c r="J74" s="212">
        <f>INDEX($P$38:$Z$48,7,3)</f>
        <v>1220.102167840837</v>
      </c>
      <c r="K74" s="212">
        <f>INDEX($P$38:$Z$48,8,3)</f>
        <v>1164.0235450492953</v>
      </c>
      <c r="L74" s="212">
        <f>INDEX($P$38:$Z$48,9,3)</f>
        <v>1203.4439599093148</v>
      </c>
      <c r="M74" s="212">
        <f>INDEX($P$38:$Z$48,10,3)</f>
        <v>1291.0486744689165</v>
      </c>
      <c r="N74" s="234">
        <f>INDEX($P$38:$Z$48,11,3)</f>
        <v>1208.9412308096153</v>
      </c>
      <c r="AD74" s="225" t="s">
        <v>227</v>
      </c>
      <c r="AE74" s="54" t="s">
        <v>723</v>
      </c>
      <c r="AF74" s="226">
        <v>304745</v>
      </c>
      <c r="AG74" s="226">
        <v>307643.20763261541</v>
      </c>
      <c r="AH74" s="156" t="s">
        <v>909</v>
      </c>
    </row>
    <row r="75" spans="2:34" x14ac:dyDescent="0.2">
      <c r="B75" s="388"/>
      <c r="C75" s="233" t="s">
        <v>545</v>
      </c>
      <c r="D75" s="212">
        <f>INDEX($P$38:$Z$48,1,4)</f>
        <v>1005.2014277097177</v>
      </c>
      <c r="E75" s="212">
        <f>INDEX($P$38:$Z$48,2,4)</f>
        <v>1125.9059507602533</v>
      </c>
      <c r="F75" s="212">
        <f>INDEX($P$38:$Z$48,3,4)</f>
        <v>1117.7941466991349</v>
      </c>
      <c r="G75" s="212" t="str">
        <f>INDEX($P$38:$Z$48,4,4)</f>
        <v/>
      </c>
      <c r="H75" s="212" t="str">
        <f>INDEX($P$38:$Z$48,5,4)</f>
        <v/>
      </c>
      <c r="I75" s="212">
        <f>INDEX($P$38:$Z$48,6,4)</f>
        <v>1207.9850598996125</v>
      </c>
      <c r="J75" s="212">
        <f>INDEX($P$38:$Z$48,7,4)</f>
        <v>1251.4446528292506</v>
      </c>
      <c r="K75" s="212">
        <f>INDEX($P$38:$Z$48,8,4)</f>
        <v>1210.6556218307462</v>
      </c>
      <c r="L75" s="212">
        <f>INDEX($P$38:$Z$48,9,4)</f>
        <v>1217.1163955641207</v>
      </c>
      <c r="M75" s="212">
        <f>INDEX($P$38:$Z$48,10,4)</f>
        <v>1298.9642004299492</v>
      </c>
      <c r="N75" s="234">
        <f>INDEX($P$38:$Z$48,11,4)</f>
        <v>1193.8659341043845</v>
      </c>
      <c r="AD75" s="225" t="s">
        <v>229</v>
      </c>
      <c r="AE75" s="54" t="s">
        <v>724</v>
      </c>
      <c r="AF75" s="226">
        <v>318932</v>
      </c>
      <c r="AG75" s="226">
        <v>322196.04412133951</v>
      </c>
      <c r="AH75" s="156" t="s">
        <v>910</v>
      </c>
    </row>
    <row r="76" spans="2:34" x14ac:dyDescent="0.2">
      <c r="B76" s="388"/>
      <c r="C76" s="233" t="s">
        <v>546</v>
      </c>
      <c r="D76" s="212" t="str">
        <f>INDEX($P$38:$Z$48,1,5)</f>
        <v/>
      </c>
      <c r="E76" s="212">
        <f>INDEX($P$38:$Z$48,2,5)</f>
        <v>1108.5941573707642</v>
      </c>
      <c r="F76" s="212" t="str">
        <f>INDEX($P$38:$Z$48,3,5)</f>
        <v/>
      </c>
      <c r="G76" s="212">
        <f>INDEX($P$38:$Z$48,4,5)</f>
        <v>1168.4419810001211</v>
      </c>
      <c r="H76" s="212">
        <f>INDEX($P$38:$Z$48,5,5)</f>
        <v>1226.5684235484046</v>
      </c>
      <c r="I76" s="212">
        <f>INDEX($P$38:$Z$48,6,5)</f>
        <v>1277.4202729721678</v>
      </c>
      <c r="J76" s="212">
        <f>INDEX($P$38:$Z$48,7,5)</f>
        <v>1266.9748911928496</v>
      </c>
      <c r="K76" s="212">
        <f>INDEX($P$38:$Z$48,8,5)</f>
        <v>1278.4413530008687</v>
      </c>
      <c r="L76" s="212">
        <f>INDEX($P$38:$Z$48,9,5)</f>
        <v>1298.2085244665668</v>
      </c>
      <c r="M76" s="212">
        <f>INDEX($P$38:$Z$48,10,5)</f>
        <v>1289.5495122979394</v>
      </c>
      <c r="N76" s="234">
        <f>INDEX($P$38:$Z$48,11,5)</f>
        <v>1249.5075051802589</v>
      </c>
      <c r="AD76" s="225" t="s">
        <v>243</v>
      </c>
      <c r="AE76" s="54" t="s">
        <v>725</v>
      </c>
      <c r="AF76" s="226">
        <v>128883</v>
      </c>
      <c r="AG76" s="226">
        <v>128240.27699214323</v>
      </c>
      <c r="AH76" s="156" t="s">
        <v>911</v>
      </c>
    </row>
    <row r="77" spans="2:34" x14ac:dyDescent="0.2">
      <c r="B77" s="387" t="s">
        <v>644</v>
      </c>
      <c r="C77" s="233" t="s">
        <v>547</v>
      </c>
      <c r="D77" s="212">
        <f>INDEX($P$38:$Z$48,1,6)</f>
        <v>1060.8851229450545</v>
      </c>
      <c r="E77" s="212">
        <f>INDEX($P$38:$Z$48,2,6)</f>
        <v>1094.4358060392885</v>
      </c>
      <c r="F77" s="212">
        <f>INDEX($P$38:$Z$48,3,6)</f>
        <v>1168.5905820206717</v>
      </c>
      <c r="G77" s="212">
        <f>INDEX($P$38:$Z$48,4,6)</f>
        <v>1173.2613471016778</v>
      </c>
      <c r="H77" s="212">
        <f>INDEX($P$38:$Z$48,5,6)</f>
        <v>1283.0568033545753</v>
      </c>
      <c r="I77" s="212">
        <f>INDEX($P$38:$Z$48,6,6)</f>
        <v>1216.4961321976261</v>
      </c>
      <c r="J77" s="212">
        <f>INDEX($P$38:$Z$48,7,6)</f>
        <v>1311.8353915561006</v>
      </c>
      <c r="K77" s="212">
        <f>INDEX($P$38:$Z$48,8,6)</f>
        <v>1298.8529751187928</v>
      </c>
      <c r="L77" s="212">
        <f>INDEX($P$38:$Z$48,9,6)</f>
        <v>1315.4654011436012</v>
      </c>
      <c r="M77" s="212">
        <f>INDEX($P$38:$Z$48,10,6)</f>
        <v>1280.8836954697879</v>
      </c>
      <c r="N77" s="234">
        <f>INDEX($P$38:$Z$48,11,6)</f>
        <v>1230.1033737847019</v>
      </c>
      <c r="AD77" s="225" t="s">
        <v>203</v>
      </c>
      <c r="AE77" s="54" t="s">
        <v>726</v>
      </c>
      <c r="AF77" s="226">
        <v>283916</v>
      </c>
      <c r="AG77" s="226">
        <v>289067.89367902116</v>
      </c>
      <c r="AH77" s="156" t="s">
        <v>884</v>
      </c>
    </row>
    <row r="78" spans="2:34" x14ac:dyDescent="0.2">
      <c r="B78" s="387"/>
      <c r="C78" s="233" t="s">
        <v>548</v>
      </c>
      <c r="D78" s="212">
        <f>INDEX($P$38:$Z$48,1,7)</f>
        <v>1142.8332100959483</v>
      </c>
      <c r="E78" s="212">
        <f>INDEX($P$38:$Z$48,2,7)</f>
        <v>1140.8367166735709</v>
      </c>
      <c r="F78" s="212">
        <f>INDEX($P$38:$Z$48,3,7)</f>
        <v>1166.0726774960976</v>
      </c>
      <c r="G78" s="212">
        <f>INDEX($P$38:$Z$48,4,7)</f>
        <v>1184.1920148227648</v>
      </c>
      <c r="H78" s="212">
        <f>INDEX($P$38:$Z$48,5,7)</f>
        <v>1179.2037459900648</v>
      </c>
      <c r="I78" s="212">
        <f>INDEX($P$38:$Z$48,6,7)</f>
        <v>1338.8815185461822</v>
      </c>
      <c r="J78" s="212">
        <f>INDEX($P$38:$Z$48,7,7)</f>
        <v>1350.8354104758268</v>
      </c>
      <c r="K78" s="212">
        <f>INDEX($P$38:$Z$48,8,7)</f>
        <v>1366.3935712268092</v>
      </c>
      <c r="L78" s="212" t="str">
        <f>INDEX($P$38:$Z$48,9,7)</f>
        <v/>
      </c>
      <c r="M78" s="212">
        <f>INDEX($P$38:$Z$48,10,7)</f>
        <v>1308.276428390813</v>
      </c>
      <c r="N78" s="234">
        <f>INDEX($P$38:$Z$48,11,7)</f>
        <v>1207.4641810826772</v>
      </c>
      <c r="AD78" s="225" t="s">
        <v>209</v>
      </c>
      <c r="AE78" s="54" t="s">
        <v>727</v>
      </c>
      <c r="AF78" s="226">
        <v>382950</v>
      </c>
      <c r="AG78" s="226">
        <v>387717.48038197024</v>
      </c>
      <c r="AH78" s="156" t="s">
        <v>901</v>
      </c>
    </row>
    <row r="79" spans="2:34" x14ac:dyDescent="0.2">
      <c r="B79" s="387"/>
      <c r="C79" s="233" t="s">
        <v>549</v>
      </c>
      <c r="D79" s="212">
        <f>INDEX($P$38:$Z$48,1,8)</f>
        <v>1150.1848784765491</v>
      </c>
      <c r="E79" s="212">
        <f>INDEX($P$38:$Z$48,2,8)</f>
        <v>1167.8779559455663</v>
      </c>
      <c r="F79" s="212">
        <f>INDEX($P$38:$Z$48,3,8)</f>
        <v>1172.9263119752031</v>
      </c>
      <c r="G79" s="212">
        <f>INDEX($P$38:$Z$48,4,8)</f>
        <v>1286.1177789088488</v>
      </c>
      <c r="H79" s="212">
        <f>INDEX($P$38:$Z$48,5,8)</f>
        <v>1355.8653757891427</v>
      </c>
      <c r="I79" s="212">
        <f>INDEX($P$38:$Z$48,6,8)</f>
        <v>1302.6720686380288</v>
      </c>
      <c r="J79" s="212" t="str">
        <f>INDEX($P$38:$Z$48,7,8)</f>
        <v/>
      </c>
      <c r="K79" s="212">
        <f>INDEX($P$38:$Z$48,8,8)</f>
        <v>1486.0340393234032</v>
      </c>
      <c r="L79" s="212" t="str">
        <f>INDEX($P$38:$Z$48,9,8)</f>
        <v/>
      </c>
      <c r="M79" s="212">
        <f>INDEX($P$38:$Z$48,10,8)</f>
        <v>1347.9117278800184</v>
      </c>
      <c r="N79" s="234">
        <f>INDEX($P$38:$Z$48,11,8)</f>
        <v>1264.7522166037534</v>
      </c>
      <c r="AD79" s="225" t="s">
        <v>219</v>
      </c>
      <c r="AE79" s="54" t="s">
        <v>728</v>
      </c>
      <c r="AF79" s="226">
        <v>630093</v>
      </c>
      <c r="AG79" s="226">
        <v>643397.55067140842</v>
      </c>
      <c r="AH79" s="156" t="s">
        <v>884</v>
      </c>
    </row>
    <row r="80" spans="2:34" x14ac:dyDescent="0.2">
      <c r="B80" s="387"/>
      <c r="C80" s="233" t="s">
        <v>550</v>
      </c>
      <c r="D80" s="212">
        <f>INDEX($P$38:$Z$48,1,9)</f>
        <v>1163.71275447675</v>
      </c>
      <c r="E80" s="212">
        <f>INDEX($P$38:$Z$48,2,9)</f>
        <v>1115.1002151926075</v>
      </c>
      <c r="F80" s="212">
        <f>INDEX($P$38:$Z$48,3,9)</f>
        <v>1332.1109907500581</v>
      </c>
      <c r="G80" s="212">
        <f>INDEX($P$38:$Z$48,4,9)</f>
        <v>1426.2961683567451</v>
      </c>
      <c r="H80" s="212">
        <f>INDEX($P$38:$Z$48,5,9)</f>
        <v>1253.1395257257414</v>
      </c>
      <c r="I80" s="212">
        <f>INDEX($P$38:$Z$48,6,9)</f>
        <v>1353.8501317640219</v>
      </c>
      <c r="J80" s="212">
        <f>INDEX($P$38:$Z$48,7,9)</f>
        <v>1399.571441326842</v>
      </c>
      <c r="K80" s="212">
        <f>INDEX($P$38:$Z$48,8,9)</f>
        <v>1452.092895619194</v>
      </c>
      <c r="L80" s="212">
        <f>INDEX($P$38:$Z$48,9,9)</f>
        <v>1401.213973271251</v>
      </c>
      <c r="M80" s="212" t="str">
        <f>INDEX($P$38:$Z$48,10,9)</f>
        <v/>
      </c>
      <c r="N80" s="234">
        <f>INDEX($P$38:$Z$48,11,9)</f>
        <v>1274.9995877636336</v>
      </c>
      <c r="AD80" s="225" t="s">
        <v>223</v>
      </c>
      <c r="AE80" s="54" t="s">
        <v>729</v>
      </c>
      <c r="AF80" s="226">
        <v>274504</v>
      </c>
      <c r="AG80" s="226">
        <v>279069.34846453456</v>
      </c>
      <c r="AH80" s="156" t="s">
        <v>869</v>
      </c>
    </row>
    <row r="81" spans="2:34" x14ac:dyDescent="0.2">
      <c r="B81" s="387"/>
      <c r="C81" s="233" t="s">
        <v>551</v>
      </c>
      <c r="D81" s="212">
        <f>INDEX($P$38:$Z$48,1,10)</f>
        <v>1150.5413710118046</v>
      </c>
      <c r="E81" s="212">
        <f>INDEX($P$38:$Z$48,2,10)</f>
        <v>1242.5440803366437</v>
      </c>
      <c r="F81" s="212">
        <f>INDEX($P$38:$Z$48,3,10)</f>
        <v>1343.0740135884719</v>
      </c>
      <c r="G81" s="212">
        <f>INDEX($P$38:$Z$48,4,10)</f>
        <v>1284.2419313338276</v>
      </c>
      <c r="H81" s="212">
        <f>INDEX($P$38:$Z$48,5,10)</f>
        <v>1371.2538959850351</v>
      </c>
      <c r="I81" s="212" t="str">
        <f>INDEX($P$38:$Z$48,6,10)</f>
        <v/>
      </c>
      <c r="J81" s="212" t="str">
        <f>INDEX($P$38:$Z$48,7,10)</f>
        <v/>
      </c>
      <c r="K81" s="212">
        <f>INDEX($P$38:$Z$48,8,10)</f>
        <v>1527.1506043857337</v>
      </c>
      <c r="L81" s="212" t="str">
        <f>INDEX($P$38:$Z$48,9,10)</f>
        <v/>
      </c>
      <c r="M81" s="212" t="str">
        <f>INDEX($P$38:$Z$48,10,10)</f>
        <v/>
      </c>
      <c r="N81" s="234">
        <f>INDEX($P$38:$Z$48,11,10)</f>
        <v>1285.488455700282</v>
      </c>
      <c r="AD81" s="225" t="s">
        <v>237</v>
      </c>
      <c r="AE81" s="54" t="s">
        <v>730</v>
      </c>
      <c r="AF81" s="226">
        <v>358676</v>
      </c>
      <c r="AG81" s="226">
        <v>330607.03408233757</v>
      </c>
      <c r="AH81" s="156" t="s">
        <v>912</v>
      </c>
    </row>
    <row r="82" spans="2:34" ht="13.5" thickBot="1" x14ac:dyDescent="0.25">
      <c r="C82" s="235" t="s">
        <v>642</v>
      </c>
      <c r="D82" s="236">
        <f>INDEX($P$38:$Z$48,1,11)</f>
        <v>1138.9467685415652</v>
      </c>
      <c r="E82" s="236">
        <f>INDEX($P$38:$Z$48,2,11)</f>
        <v>1158.2914314849047</v>
      </c>
      <c r="F82" s="236">
        <f>INDEX($P$38:$Z$48,3,11)</f>
        <v>1254.1493772281983</v>
      </c>
      <c r="G82" s="236">
        <f>INDEX($P$38:$Z$48,4,11)</f>
        <v>1188.923105854089</v>
      </c>
      <c r="H82" s="236">
        <f>INDEX($P$38:$Z$48,5,11)</f>
        <v>1233.6596650652968</v>
      </c>
      <c r="I82" s="236">
        <f>INDEX($P$38:$Z$48,6,11)</f>
        <v>1238.9318444254704</v>
      </c>
      <c r="J82" s="236">
        <f>INDEX($P$38:$Z$48,7,11)</f>
        <v>1234.7603296590107</v>
      </c>
      <c r="K82" s="236">
        <f>INDEX($P$38:$Z$48,8,11)</f>
        <v>1254.2461795061981</v>
      </c>
      <c r="L82" s="236">
        <f>INDEX($P$38:$Z$48,9,11)</f>
        <v>1247.0576611159322</v>
      </c>
      <c r="M82" s="236">
        <f>INDEX($P$38:$Z$48,10,11)</f>
        <v>1295.4261272359508</v>
      </c>
      <c r="N82" s="237">
        <f>INDEX($P$38:$Z$48,11,11)</f>
        <v>1221.5258459779898</v>
      </c>
      <c r="AD82" s="225" t="s">
        <v>241</v>
      </c>
      <c r="AE82" s="54" t="s">
        <v>731</v>
      </c>
      <c r="AF82" s="226">
        <v>319353</v>
      </c>
      <c r="AG82" s="226">
        <v>318576.48612225492</v>
      </c>
      <c r="AH82" s="156" t="s">
        <v>913</v>
      </c>
    </row>
    <row r="83" spans="2:34" x14ac:dyDescent="0.2">
      <c r="AD83" s="225" t="s">
        <v>201</v>
      </c>
      <c r="AE83" s="54" t="s">
        <v>732</v>
      </c>
      <c r="AF83" s="226">
        <v>891383</v>
      </c>
      <c r="AG83" s="226">
        <v>902764.04083702317</v>
      </c>
      <c r="AH83" s="156" t="s">
        <v>883</v>
      </c>
    </row>
    <row r="84" spans="2:34" x14ac:dyDescent="0.2">
      <c r="AD84" s="225" t="s">
        <v>249</v>
      </c>
      <c r="AE84" s="54" t="s">
        <v>733</v>
      </c>
      <c r="AF84" s="226">
        <v>120038</v>
      </c>
      <c r="AG84" s="226">
        <v>122537.01771716579</v>
      </c>
      <c r="AH84" s="156" t="s">
        <v>890</v>
      </c>
    </row>
    <row r="85" spans="2:34" x14ac:dyDescent="0.2">
      <c r="AD85" s="225" t="s">
        <v>251</v>
      </c>
      <c r="AE85" s="54" t="s">
        <v>734</v>
      </c>
      <c r="AF85" s="226">
        <v>136735</v>
      </c>
      <c r="AG85" s="226">
        <v>134457.24144577913</v>
      </c>
      <c r="AH85" s="156" t="s">
        <v>914</v>
      </c>
    </row>
    <row r="86" spans="2:34" x14ac:dyDescent="0.2">
      <c r="AD86" s="225" t="s">
        <v>259</v>
      </c>
      <c r="AE86" s="54" t="s">
        <v>735</v>
      </c>
      <c r="AF86" s="226">
        <v>240029</v>
      </c>
      <c r="AG86" s="226">
        <v>242676.28758142507</v>
      </c>
      <c r="AH86" s="156" t="s">
        <v>904</v>
      </c>
    </row>
    <row r="87" spans="2:34" x14ac:dyDescent="0.2">
      <c r="AD87" s="225" t="s">
        <v>265</v>
      </c>
      <c r="AE87" s="54" t="s">
        <v>736</v>
      </c>
      <c r="AF87" s="226">
        <v>153315</v>
      </c>
      <c r="AG87" s="226">
        <v>154800.56081509599</v>
      </c>
      <c r="AH87" s="156" t="s">
        <v>891</v>
      </c>
    </row>
    <row r="88" spans="2:34" x14ac:dyDescent="0.2">
      <c r="AD88" s="225" t="s">
        <v>267</v>
      </c>
      <c r="AE88" s="54" t="s">
        <v>737</v>
      </c>
      <c r="AF88" s="226">
        <v>377209</v>
      </c>
      <c r="AG88" s="226">
        <v>351402.59437481599</v>
      </c>
      <c r="AH88" s="156" t="s">
        <v>910</v>
      </c>
    </row>
    <row r="89" spans="2:34" x14ac:dyDescent="0.2">
      <c r="AD89" s="225" t="s">
        <v>269</v>
      </c>
      <c r="AE89" s="54" t="s">
        <v>738</v>
      </c>
      <c r="AF89" s="226">
        <v>400958</v>
      </c>
      <c r="AG89" s="226">
        <v>402870.12962345325</v>
      </c>
      <c r="AH89" s="156" t="s">
        <v>884</v>
      </c>
    </row>
    <row r="90" spans="2:34" x14ac:dyDescent="0.2">
      <c r="AD90" s="225" t="s">
        <v>271</v>
      </c>
      <c r="AE90" s="54" t="s">
        <v>739</v>
      </c>
      <c r="AF90" s="226">
        <v>171720</v>
      </c>
      <c r="AG90" s="226">
        <v>176361.0085983871</v>
      </c>
      <c r="AH90" s="156" t="s">
        <v>872</v>
      </c>
    </row>
    <row r="91" spans="2:34" x14ac:dyDescent="0.2">
      <c r="AD91" s="225" t="s">
        <v>273</v>
      </c>
      <c r="AE91" s="54" t="s">
        <v>740</v>
      </c>
      <c r="AF91" s="226">
        <v>110833</v>
      </c>
      <c r="AG91" s="226">
        <v>115009.88094902593</v>
      </c>
      <c r="AH91" s="156" t="s">
        <v>909</v>
      </c>
    </row>
    <row r="92" spans="2:34" x14ac:dyDescent="0.2">
      <c r="AD92" s="225" t="s">
        <v>275</v>
      </c>
      <c r="AE92" s="54" t="s">
        <v>741</v>
      </c>
      <c r="AF92" s="226">
        <v>131262</v>
      </c>
      <c r="AG92" s="226">
        <v>134737.30825145595</v>
      </c>
      <c r="AH92" s="156" t="s">
        <v>915</v>
      </c>
    </row>
    <row r="93" spans="2:34" x14ac:dyDescent="0.2">
      <c r="AD93" s="225" t="s">
        <v>281</v>
      </c>
      <c r="AE93" s="54" t="s">
        <v>742</v>
      </c>
      <c r="AF93" s="226">
        <v>635369</v>
      </c>
      <c r="AG93" s="226">
        <v>654234.15920026333</v>
      </c>
      <c r="AH93" s="156" t="s">
        <v>916</v>
      </c>
    </row>
    <row r="94" spans="2:34" x14ac:dyDescent="0.2">
      <c r="AD94" s="225" t="s">
        <v>289</v>
      </c>
      <c r="AE94" s="54" t="s">
        <v>743</v>
      </c>
      <c r="AF94" s="226">
        <v>925821</v>
      </c>
      <c r="AG94" s="226">
        <v>955674.49968870485</v>
      </c>
      <c r="AH94" s="156" t="s">
        <v>885</v>
      </c>
    </row>
    <row r="95" spans="2:34" x14ac:dyDescent="0.2">
      <c r="AD95" s="225" t="s">
        <v>299</v>
      </c>
      <c r="AE95" s="54" t="s">
        <v>744</v>
      </c>
      <c r="AF95" s="226">
        <v>425130</v>
      </c>
      <c r="AG95" s="226">
        <v>440096.27403400838</v>
      </c>
      <c r="AH95" s="156" t="s">
        <v>872</v>
      </c>
    </row>
    <row r="96" spans="2:34" x14ac:dyDescent="0.2">
      <c r="AD96" s="225" t="s">
        <v>295</v>
      </c>
      <c r="AE96" s="54" t="s">
        <v>745</v>
      </c>
      <c r="AF96" s="226">
        <v>303225</v>
      </c>
      <c r="AG96" s="226">
        <v>296897.30047560082</v>
      </c>
      <c r="AH96" s="156" t="s">
        <v>917</v>
      </c>
    </row>
    <row r="97" spans="30:34" x14ac:dyDescent="0.2">
      <c r="AD97" s="225" t="s">
        <v>307</v>
      </c>
      <c r="AE97" s="54" t="s">
        <v>746</v>
      </c>
      <c r="AF97" s="226">
        <v>215516</v>
      </c>
      <c r="AG97" s="226">
        <v>208688.10562583923</v>
      </c>
      <c r="AH97" s="156" t="s">
        <v>892</v>
      </c>
    </row>
    <row r="98" spans="30:34" x14ac:dyDescent="0.2">
      <c r="AD98" s="225" t="s">
        <v>309</v>
      </c>
      <c r="AE98" s="54" t="s">
        <v>747</v>
      </c>
      <c r="AF98" s="226">
        <v>225906</v>
      </c>
      <c r="AG98" s="226">
        <v>229674.43891254885</v>
      </c>
      <c r="AH98" s="156" t="s">
        <v>889</v>
      </c>
    </row>
    <row r="99" spans="30:34" x14ac:dyDescent="0.2">
      <c r="AD99" s="225" t="s">
        <v>311</v>
      </c>
      <c r="AE99" s="54" t="s">
        <v>748</v>
      </c>
      <c r="AF99" s="226">
        <v>250209</v>
      </c>
      <c r="AG99" s="226">
        <v>252817.84653657896</v>
      </c>
      <c r="AH99" s="156" t="s">
        <v>918</v>
      </c>
    </row>
    <row r="100" spans="30:34" x14ac:dyDescent="0.2">
      <c r="AD100" s="225" t="s">
        <v>319</v>
      </c>
      <c r="AE100" s="54" t="s">
        <v>749</v>
      </c>
      <c r="AF100" s="226">
        <v>220358</v>
      </c>
      <c r="AG100" s="226">
        <v>222178.97210666563</v>
      </c>
      <c r="AH100" s="156" t="s">
        <v>902</v>
      </c>
    </row>
    <row r="101" spans="30:34" x14ac:dyDescent="0.2">
      <c r="AD101" s="225" t="s">
        <v>321</v>
      </c>
      <c r="AE101" s="54" t="s">
        <v>750</v>
      </c>
      <c r="AF101" s="226">
        <v>274194</v>
      </c>
      <c r="AG101" s="226">
        <v>273478.59678354854</v>
      </c>
      <c r="AH101" s="156" t="s">
        <v>918</v>
      </c>
    </row>
    <row r="102" spans="30:34" x14ac:dyDescent="0.2">
      <c r="AD102" s="225" t="s">
        <v>303</v>
      </c>
      <c r="AE102" s="54" t="s">
        <v>751</v>
      </c>
      <c r="AF102" s="226">
        <v>412412</v>
      </c>
      <c r="AG102" s="226">
        <v>426837.27330934984</v>
      </c>
      <c r="AH102" s="156" t="s">
        <v>903</v>
      </c>
    </row>
    <row r="103" spans="30:34" x14ac:dyDescent="0.2">
      <c r="AD103" s="225" t="s">
        <v>305</v>
      </c>
      <c r="AE103" s="54" t="s">
        <v>752</v>
      </c>
      <c r="AF103" s="226">
        <v>415020</v>
      </c>
      <c r="AG103" s="226">
        <v>408994.46198213828</v>
      </c>
      <c r="AH103" s="156" t="s">
        <v>919</v>
      </c>
    </row>
    <row r="104" spans="30:34" x14ac:dyDescent="0.2">
      <c r="AD104" s="225" t="s">
        <v>315</v>
      </c>
      <c r="AE104" s="54" t="s">
        <v>753</v>
      </c>
      <c r="AF104" s="226">
        <v>189097</v>
      </c>
      <c r="AG104" s="226">
        <v>189378.11115185579</v>
      </c>
      <c r="AH104" s="156" t="s">
        <v>920</v>
      </c>
    </row>
    <row r="105" spans="30:34" x14ac:dyDescent="0.2">
      <c r="AD105" s="225" t="s">
        <v>317</v>
      </c>
      <c r="AE105" s="54" t="s">
        <v>754</v>
      </c>
      <c r="AF105" s="226">
        <v>343044</v>
      </c>
      <c r="AG105" s="226">
        <v>353351.51270620868</v>
      </c>
      <c r="AH105" s="156" t="s">
        <v>921</v>
      </c>
    </row>
    <row r="106" spans="30:34" x14ac:dyDescent="0.2">
      <c r="AD106" s="225" t="s">
        <v>285</v>
      </c>
      <c r="AE106" s="54" t="s">
        <v>755</v>
      </c>
      <c r="AF106" s="226">
        <v>311563</v>
      </c>
      <c r="AG106" s="226">
        <v>307874.32398822659</v>
      </c>
      <c r="AH106" s="156" t="s">
        <v>871</v>
      </c>
    </row>
    <row r="107" spans="30:34" x14ac:dyDescent="0.2">
      <c r="AD107" s="225" t="s">
        <v>291</v>
      </c>
      <c r="AE107" s="54" t="s">
        <v>756</v>
      </c>
      <c r="AF107" s="226">
        <v>212362</v>
      </c>
      <c r="AG107" s="226">
        <v>218272.78330422175</v>
      </c>
      <c r="AH107" s="156" t="s">
        <v>899</v>
      </c>
    </row>
    <row r="108" spans="30:34" x14ac:dyDescent="0.2">
      <c r="AD108" s="225" t="s">
        <v>313</v>
      </c>
      <c r="AE108" s="54" t="s">
        <v>757</v>
      </c>
      <c r="AF108" s="226">
        <v>224578</v>
      </c>
      <c r="AG108" s="226">
        <v>234141.78192335699</v>
      </c>
      <c r="AH108" s="156" t="s">
        <v>886</v>
      </c>
    </row>
    <row r="109" spans="30:34" x14ac:dyDescent="0.2">
      <c r="AD109" s="225" t="s">
        <v>245</v>
      </c>
      <c r="AE109" s="54" t="s">
        <v>758</v>
      </c>
      <c r="AF109" s="226">
        <v>84009</v>
      </c>
      <c r="AG109" s="226">
        <v>91959.011407968632</v>
      </c>
      <c r="AH109" s="156" t="s">
        <v>907</v>
      </c>
    </row>
    <row r="110" spans="30:34" x14ac:dyDescent="0.2">
      <c r="AD110" s="225" t="s">
        <v>261</v>
      </c>
      <c r="AE110" s="54" t="s">
        <v>759</v>
      </c>
      <c r="AF110" s="226">
        <v>274687</v>
      </c>
      <c r="AG110" s="226">
        <v>289576.84179106262</v>
      </c>
      <c r="AH110" s="156" t="s">
        <v>922</v>
      </c>
    </row>
    <row r="111" spans="30:34" x14ac:dyDescent="0.2">
      <c r="AD111" s="225" t="s">
        <v>263</v>
      </c>
      <c r="AE111" s="54" t="s">
        <v>760</v>
      </c>
      <c r="AF111" s="226">
        <v>709177</v>
      </c>
      <c r="AG111" s="226">
        <v>742361.40874396858</v>
      </c>
      <c r="AH111" s="156" t="s">
        <v>906</v>
      </c>
    </row>
    <row r="112" spans="30:34" x14ac:dyDescent="0.2">
      <c r="AD112" s="225" t="s">
        <v>287</v>
      </c>
      <c r="AE112" s="54" t="s">
        <v>761</v>
      </c>
      <c r="AF112" s="226">
        <v>476405</v>
      </c>
      <c r="AG112" s="226">
        <v>505599.26973454002</v>
      </c>
      <c r="AH112" s="156" t="s">
        <v>923</v>
      </c>
    </row>
    <row r="113" spans="30:34" x14ac:dyDescent="0.2">
      <c r="AD113" s="225" t="s">
        <v>293</v>
      </c>
      <c r="AE113" s="54" t="s">
        <v>762</v>
      </c>
      <c r="AF113" s="226">
        <v>642227</v>
      </c>
      <c r="AG113" s="226">
        <v>664207.57715067279</v>
      </c>
      <c r="AH113" s="156" t="s">
        <v>924</v>
      </c>
    </row>
    <row r="114" spans="30:34" x14ac:dyDescent="0.2">
      <c r="AD114" s="225" t="s">
        <v>297</v>
      </c>
      <c r="AE114" s="54" t="s">
        <v>763</v>
      </c>
      <c r="AF114" s="226">
        <v>677314</v>
      </c>
      <c r="AG114" s="226">
        <v>700330.98802496446</v>
      </c>
      <c r="AH114" s="156" t="s">
        <v>924</v>
      </c>
    </row>
    <row r="115" spans="30:34" x14ac:dyDescent="0.2">
      <c r="AD115" s="225" t="s">
        <v>301</v>
      </c>
      <c r="AE115" s="54" t="s">
        <v>764</v>
      </c>
      <c r="AF115" s="226">
        <v>240564</v>
      </c>
      <c r="AG115" s="226">
        <v>252496.99950853255</v>
      </c>
      <c r="AH115" s="156" t="s">
        <v>925</v>
      </c>
    </row>
    <row r="116" spans="30:34" x14ac:dyDescent="0.2">
      <c r="AD116" s="225" t="s">
        <v>255</v>
      </c>
      <c r="AE116" s="54" t="s">
        <v>765</v>
      </c>
      <c r="AF116" s="226">
        <v>316472</v>
      </c>
      <c r="AG116" s="226">
        <v>313401.01509742119</v>
      </c>
      <c r="AH116" s="156" t="s">
        <v>917</v>
      </c>
    </row>
    <row r="117" spans="30:34" x14ac:dyDescent="0.2">
      <c r="AD117" s="225" t="s">
        <v>247</v>
      </c>
      <c r="AE117" s="54" t="s">
        <v>766</v>
      </c>
      <c r="AF117" s="226">
        <v>341166</v>
      </c>
      <c r="AG117" s="226">
        <v>358818.93419001758</v>
      </c>
      <c r="AH117" s="156" t="s">
        <v>915</v>
      </c>
    </row>
    <row r="118" spans="30:34" x14ac:dyDescent="0.2">
      <c r="AD118" s="225" t="s">
        <v>253</v>
      </c>
      <c r="AE118" s="54" t="s">
        <v>767</v>
      </c>
      <c r="AF118" s="226">
        <v>405019</v>
      </c>
      <c r="AG118" s="226">
        <v>421665.08708581107</v>
      </c>
      <c r="AH118" s="156" t="s">
        <v>926</v>
      </c>
    </row>
    <row r="119" spans="30:34" x14ac:dyDescent="0.2">
      <c r="AD119" s="225" t="s">
        <v>257</v>
      </c>
      <c r="AE119" s="54" t="s">
        <v>768</v>
      </c>
      <c r="AF119" s="226">
        <v>265753</v>
      </c>
      <c r="AG119" s="226">
        <v>266592.90359650052</v>
      </c>
      <c r="AH119" s="156" t="s">
        <v>876</v>
      </c>
    </row>
    <row r="120" spans="30:34" x14ac:dyDescent="0.2">
      <c r="AD120" s="225" t="s">
        <v>279</v>
      </c>
      <c r="AE120" s="54" t="s">
        <v>769</v>
      </c>
      <c r="AF120" s="226">
        <v>150152</v>
      </c>
      <c r="AG120" s="226">
        <v>148323.44829429587</v>
      </c>
      <c r="AH120" s="156" t="s">
        <v>918</v>
      </c>
    </row>
    <row r="121" spans="30:34" x14ac:dyDescent="0.2">
      <c r="AD121" s="225" t="s">
        <v>283</v>
      </c>
      <c r="AE121" s="54" t="s">
        <v>770</v>
      </c>
      <c r="AF121" s="226">
        <v>393537</v>
      </c>
      <c r="AG121" s="226">
        <v>407884.82928349799</v>
      </c>
      <c r="AH121" s="156" t="s">
        <v>927</v>
      </c>
    </row>
    <row r="122" spans="30:34" x14ac:dyDescent="0.2">
      <c r="AD122" s="225" t="s">
        <v>277</v>
      </c>
      <c r="AE122" s="54" t="s">
        <v>771</v>
      </c>
      <c r="AF122" s="226">
        <v>188227</v>
      </c>
      <c r="AG122" s="226">
        <v>187469.52123580169</v>
      </c>
      <c r="AH122" s="156" t="s">
        <v>918</v>
      </c>
    </row>
    <row r="123" spans="30:34" x14ac:dyDescent="0.2">
      <c r="AD123" s="225" t="s">
        <v>205</v>
      </c>
      <c r="AE123" s="54" t="s">
        <v>772</v>
      </c>
      <c r="AF123" s="226">
        <v>157219</v>
      </c>
      <c r="AG123" s="226">
        <v>158413.05032795848</v>
      </c>
      <c r="AH123" s="156" t="s">
        <v>876</v>
      </c>
    </row>
    <row r="124" spans="30:34" x14ac:dyDescent="0.2">
      <c r="AD124" s="225" t="s">
        <v>211</v>
      </c>
      <c r="AE124" s="54" t="s">
        <v>773</v>
      </c>
      <c r="AF124" s="226">
        <v>145652</v>
      </c>
      <c r="AG124" s="226">
        <v>151530.76944059136</v>
      </c>
      <c r="AH124" s="156" t="s">
        <v>928</v>
      </c>
    </row>
    <row r="125" spans="30:34" x14ac:dyDescent="0.2">
      <c r="AD125" s="225" t="s">
        <v>215</v>
      </c>
      <c r="AE125" s="54" t="s">
        <v>774</v>
      </c>
      <c r="AF125" s="226">
        <v>262883</v>
      </c>
      <c r="AG125" s="226">
        <v>266719.62708630622</v>
      </c>
      <c r="AH125" s="156" t="s">
        <v>910</v>
      </c>
    </row>
    <row r="126" spans="30:34" x14ac:dyDescent="0.2">
      <c r="AD126" s="225" t="s">
        <v>221</v>
      </c>
      <c r="AE126" s="54" t="s">
        <v>775</v>
      </c>
      <c r="AF126" s="226">
        <v>359269</v>
      </c>
      <c r="AG126" s="226">
        <v>352173.03403730592</v>
      </c>
      <c r="AH126" s="156" t="s">
        <v>898</v>
      </c>
    </row>
    <row r="127" spans="30:34" x14ac:dyDescent="0.2">
      <c r="AD127" s="225" t="s">
        <v>225</v>
      </c>
      <c r="AE127" s="54" t="s">
        <v>776</v>
      </c>
      <c r="AF127" s="226">
        <v>229653</v>
      </c>
      <c r="AG127" s="226">
        <v>234945.75197915471</v>
      </c>
      <c r="AH127" s="156" t="s">
        <v>929</v>
      </c>
    </row>
    <row r="128" spans="30:34" x14ac:dyDescent="0.2">
      <c r="AD128" s="225" t="s">
        <v>231</v>
      </c>
      <c r="AE128" s="54" t="s">
        <v>777</v>
      </c>
      <c r="AF128" s="226">
        <v>161037</v>
      </c>
      <c r="AG128" s="226">
        <v>161091.65634962564</v>
      </c>
      <c r="AH128" s="156" t="s">
        <v>868</v>
      </c>
    </row>
    <row r="129" spans="30:34" x14ac:dyDescent="0.2">
      <c r="AD129" s="225" t="s">
        <v>233</v>
      </c>
      <c r="AE129" s="54" t="s">
        <v>778</v>
      </c>
      <c r="AF129" s="226">
        <v>361091</v>
      </c>
      <c r="AG129" s="226">
        <v>367469.73087167717</v>
      </c>
      <c r="AH129" s="156" t="s">
        <v>878</v>
      </c>
    </row>
    <row r="130" spans="30:34" x14ac:dyDescent="0.2">
      <c r="AD130" s="225" t="s">
        <v>235</v>
      </c>
      <c r="AE130" s="54" t="s">
        <v>779</v>
      </c>
      <c r="AF130" s="226">
        <v>192644</v>
      </c>
      <c r="AG130" s="226">
        <v>193198.99994768188</v>
      </c>
      <c r="AH130" s="156" t="s">
        <v>930</v>
      </c>
    </row>
    <row r="131" spans="30:34" x14ac:dyDescent="0.2">
      <c r="AD131" s="225" t="s">
        <v>323</v>
      </c>
      <c r="AE131" s="54" t="s">
        <v>780</v>
      </c>
      <c r="AF131" s="226">
        <v>250259</v>
      </c>
      <c r="AG131" s="226">
        <v>247907.86199045263</v>
      </c>
      <c r="AH131" s="156" t="s">
        <v>881</v>
      </c>
    </row>
    <row r="132" spans="30:34" x14ac:dyDescent="0.2">
      <c r="AD132" s="225" t="s">
        <v>325</v>
      </c>
      <c r="AE132" s="54" t="s">
        <v>781</v>
      </c>
      <c r="AF132" s="226">
        <v>431762</v>
      </c>
      <c r="AG132" s="226">
        <v>442714.83971196436</v>
      </c>
      <c r="AH132" s="156" t="s">
        <v>922</v>
      </c>
    </row>
    <row r="133" spans="30:34" x14ac:dyDescent="0.2">
      <c r="AD133" s="225" t="s">
        <v>333</v>
      </c>
      <c r="AE133" s="54" t="s">
        <v>782</v>
      </c>
      <c r="AF133" s="226">
        <v>342429</v>
      </c>
      <c r="AG133" s="226">
        <v>297951.65381190454</v>
      </c>
      <c r="AH133" s="156" t="s">
        <v>931</v>
      </c>
    </row>
    <row r="134" spans="30:34" x14ac:dyDescent="0.2">
      <c r="AD134" s="225" t="s">
        <v>337</v>
      </c>
      <c r="AE134" s="54" t="s">
        <v>783</v>
      </c>
      <c r="AF134" s="226">
        <v>353133</v>
      </c>
      <c r="AG134" s="226">
        <v>334764.24525571021</v>
      </c>
      <c r="AH134" s="156" t="s">
        <v>881</v>
      </c>
    </row>
    <row r="135" spans="30:34" x14ac:dyDescent="0.2">
      <c r="AD135" s="225" t="s">
        <v>343</v>
      </c>
      <c r="AE135" s="54" t="s">
        <v>784</v>
      </c>
      <c r="AF135" s="226">
        <v>360706</v>
      </c>
      <c r="AG135" s="226">
        <v>377074.65885123407</v>
      </c>
      <c r="AH135" s="156" t="s">
        <v>925</v>
      </c>
    </row>
    <row r="136" spans="30:34" x14ac:dyDescent="0.2">
      <c r="AD136" s="225" t="s">
        <v>349</v>
      </c>
      <c r="AE136" s="54" t="s">
        <v>785</v>
      </c>
      <c r="AF136" s="226">
        <v>325385</v>
      </c>
      <c r="AG136" s="226">
        <v>327476.59886715363</v>
      </c>
      <c r="AH136" s="156" t="s">
        <v>932</v>
      </c>
    </row>
    <row r="137" spans="30:34" x14ac:dyDescent="0.2">
      <c r="AD137" s="225" t="s">
        <v>353</v>
      </c>
      <c r="AE137" s="54" t="s">
        <v>786</v>
      </c>
      <c r="AF137" s="226">
        <v>315795</v>
      </c>
      <c r="AG137" s="226">
        <v>322044.87667301303</v>
      </c>
      <c r="AH137" s="156" t="s">
        <v>928</v>
      </c>
    </row>
    <row r="138" spans="30:34" x14ac:dyDescent="0.2">
      <c r="AD138" s="225" t="s">
        <v>359</v>
      </c>
      <c r="AE138" s="54" t="s">
        <v>787</v>
      </c>
      <c r="AF138" s="226">
        <v>313358</v>
      </c>
      <c r="AG138" s="226">
        <v>300929.56426704483</v>
      </c>
      <c r="AH138" s="156" t="s">
        <v>932</v>
      </c>
    </row>
    <row r="139" spans="30:34" x14ac:dyDescent="0.2">
      <c r="AD139" s="225" t="s">
        <v>369</v>
      </c>
      <c r="AE139" s="54" t="s">
        <v>788</v>
      </c>
      <c r="AF139" s="226">
        <v>399222</v>
      </c>
      <c r="AG139" s="226">
        <v>392372.78317489888</v>
      </c>
      <c r="AH139" s="156" t="s">
        <v>932</v>
      </c>
    </row>
    <row r="140" spans="30:34" x14ac:dyDescent="0.2">
      <c r="AD140" s="225" t="s">
        <v>371</v>
      </c>
      <c r="AE140" s="54" t="s">
        <v>789</v>
      </c>
      <c r="AF140" s="226">
        <v>314163</v>
      </c>
      <c r="AG140" s="226">
        <v>325178.06531768315</v>
      </c>
      <c r="AH140" s="156" t="s">
        <v>933</v>
      </c>
    </row>
    <row r="141" spans="30:34" x14ac:dyDescent="0.2">
      <c r="AD141" s="225" t="s">
        <v>379</v>
      </c>
      <c r="AE141" s="54" t="s">
        <v>790</v>
      </c>
      <c r="AF141" s="226">
        <v>335940</v>
      </c>
      <c r="AG141" s="226">
        <v>331224.27199777681</v>
      </c>
      <c r="AH141" s="156" t="s">
        <v>881</v>
      </c>
    </row>
    <row r="142" spans="30:34" x14ac:dyDescent="0.2">
      <c r="AD142" s="225" t="s">
        <v>381</v>
      </c>
      <c r="AE142" s="54" t="s">
        <v>791</v>
      </c>
      <c r="AF142" s="226">
        <v>321004</v>
      </c>
      <c r="AG142" s="226">
        <v>331375.18603755831</v>
      </c>
      <c r="AH142" s="156" t="s">
        <v>932</v>
      </c>
    </row>
    <row r="143" spans="30:34" x14ac:dyDescent="0.2">
      <c r="AD143" s="225" t="s">
        <v>329</v>
      </c>
      <c r="AE143" s="54" t="s">
        <v>792</v>
      </c>
      <c r="AF143" s="226">
        <v>384702</v>
      </c>
      <c r="AG143" s="226">
        <v>364176.89272249746</v>
      </c>
      <c r="AH143" s="156" t="s">
        <v>934</v>
      </c>
    </row>
    <row r="144" spans="30:34" x14ac:dyDescent="0.2">
      <c r="AD144" s="225" t="s">
        <v>341</v>
      </c>
      <c r="AE144" s="54" t="s">
        <v>793</v>
      </c>
      <c r="AF144" s="226">
        <v>452261</v>
      </c>
      <c r="AG144" s="226">
        <v>470945.14128423971</v>
      </c>
      <c r="AH144" s="156" t="s">
        <v>931</v>
      </c>
    </row>
    <row r="145" spans="30:34" x14ac:dyDescent="0.2">
      <c r="AD145" s="225" t="s">
        <v>357</v>
      </c>
      <c r="AE145" s="54" t="s">
        <v>794</v>
      </c>
      <c r="AF145" s="226">
        <v>308948</v>
      </c>
      <c r="AG145" s="226">
        <v>340575.02637762285</v>
      </c>
      <c r="AH145" s="156" t="s">
        <v>935</v>
      </c>
    </row>
    <row r="146" spans="30:34" x14ac:dyDescent="0.2">
      <c r="AD146" s="225" t="s">
        <v>347</v>
      </c>
      <c r="AE146" s="54" t="s">
        <v>795</v>
      </c>
      <c r="AF146" s="226">
        <v>249577</v>
      </c>
      <c r="AG146" s="226">
        <v>224280.67522889271</v>
      </c>
      <c r="AH146" s="156" t="s">
        <v>931</v>
      </c>
    </row>
    <row r="147" spans="30:34" x14ac:dyDescent="0.2">
      <c r="AD147" s="225" t="s">
        <v>351</v>
      </c>
      <c r="AE147" s="54" t="s">
        <v>796</v>
      </c>
      <c r="AF147" s="226">
        <v>257460</v>
      </c>
      <c r="AG147" s="226">
        <v>271121.80491105304</v>
      </c>
      <c r="AH147" s="156" t="s">
        <v>936</v>
      </c>
    </row>
    <row r="148" spans="30:34" x14ac:dyDescent="0.2">
      <c r="AD148" s="225" t="s">
        <v>355</v>
      </c>
      <c r="AE148" s="54" t="s">
        <v>797</v>
      </c>
      <c r="AF148" s="226">
        <v>317013</v>
      </c>
      <c r="AG148" s="226">
        <v>333399.60985193617</v>
      </c>
      <c r="AH148" s="156" t="s">
        <v>922</v>
      </c>
    </row>
    <row r="149" spans="30:34" x14ac:dyDescent="0.2">
      <c r="AD149" s="225" t="s">
        <v>385</v>
      </c>
      <c r="AE149" s="54" t="s">
        <v>798</v>
      </c>
      <c r="AF149" s="226">
        <v>341455</v>
      </c>
      <c r="AG149" s="226">
        <v>259625.14936165011</v>
      </c>
      <c r="AH149" s="156" t="s">
        <v>937</v>
      </c>
    </row>
    <row r="150" spans="30:34" x14ac:dyDescent="0.2">
      <c r="AD150" s="225" t="s">
        <v>335</v>
      </c>
      <c r="AE150" s="54" t="s">
        <v>799</v>
      </c>
      <c r="AF150" s="226">
        <v>257319</v>
      </c>
      <c r="AG150" s="226">
        <v>203826.57724319724</v>
      </c>
      <c r="AH150" s="156" t="s">
        <v>931</v>
      </c>
    </row>
    <row r="151" spans="30:34" x14ac:dyDescent="0.2">
      <c r="AD151" s="225" t="s">
        <v>327</v>
      </c>
      <c r="AE151" s="54" t="s">
        <v>800</v>
      </c>
      <c r="AF151" s="226">
        <v>272142</v>
      </c>
      <c r="AG151" s="226">
        <v>280768.92382941232</v>
      </c>
      <c r="AH151" s="156" t="s">
        <v>885</v>
      </c>
    </row>
    <row r="152" spans="30:34" x14ac:dyDescent="0.2">
      <c r="AD152" s="225" t="s">
        <v>331</v>
      </c>
      <c r="AE152" s="54" t="s">
        <v>801</v>
      </c>
      <c r="AF152" s="226">
        <v>398737</v>
      </c>
      <c r="AG152" s="226">
        <v>419876.40169347276</v>
      </c>
      <c r="AH152" s="156" t="s">
        <v>921</v>
      </c>
    </row>
    <row r="153" spans="30:34" x14ac:dyDescent="0.2">
      <c r="AD153" s="225" t="s">
        <v>339</v>
      </c>
      <c r="AE153" s="54" t="s">
        <v>802</v>
      </c>
      <c r="AF153" s="226">
        <v>434164</v>
      </c>
      <c r="AG153" s="226">
        <v>466198.81991640694</v>
      </c>
      <c r="AH153" s="156" t="s">
        <v>937</v>
      </c>
    </row>
    <row r="154" spans="30:34" x14ac:dyDescent="0.2">
      <c r="AD154" s="225" t="s">
        <v>345</v>
      </c>
      <c r="AE154" s="54" t="s">
        <v>803</v>
      </c>
      <c r="AF154" s="226">
        <v>336735</v>
      </c>
      <c r="AG154" s="226">
        <v>340245.62435626792</v>
      </c>
      <c r="AH154" s="156" t="s">
        <v>931</v>
      </c>
    </row>
    <row r="155" spans="30:34" x14ac:dyDescent="0.2">
      <c r="AD155" s="225" t="s">
        <v>361</v>
      </c>
      <c r="AE155" s="54" t="s">
        <v>804</v>
      </c>
      <c r="AF155" s="226">
        <v>207790</v>
      </c>
      <c r="AG155" s="226">
        <v>211367.75083859646</v>
      </c>
      <c r="AH155" s="156" t="s">
        <v>938</v>
      </c>
    </row>
    <row r="156" spans="30:34" x14ac:dyDescent="0.2">
      <c r="AD156" s="225" t="s">
        <v>363</v>
      </c>
      <c r="AE156" s="54" t="s">
        <v>805</v>
      </c>
      <c r="AF156" s="226">
        <v>431061</v>
      </c>
      <c r="AG156" s="226">
        <v>434484.39329671062</v>
      </c>
      <c r="AH156" s="156" t="s">
        <v>932</v>
      </c>
    </row>
    <row r="157" spans="30:34" x14ac:dyDescent="0.2">
      <c r="AD157" s="225" t="s">
        <v>365</v>
      </c>
      <c r="AE157" s="54" t="s">
        <v>806</v>
      </c>
      <c r="AF157" s="226">
        <v>384876</v>
      </c>
      <c r="AG157" s="226">
        <v>386876.62579766603</v>
      </c>
      <c r="AH157" s="156" t="s">
        <v>934</v>
      </c>
    </row>
    <row r="158" spans="30:34" x14ac:dyDescent="0.2">
      <c r="AD158" s="225" t="s">
        <v>373</v>
      </c>
      <c r="AE158" s="54" t="s">
        <v>807</v>
      </c>
      <c r="AF158" s="226">
        <v>216279</v>
      </c>
      <c r="AG158" s="226">
        <v>217036.36641903891</v>
      </c>
      <c r="AH158" s="156" t="s">
        <v>939</v>
      </c>
    </row>
    <row r="159" spans="30:34" x14ac:dyDescent="0.2">
      <c r="AD159" s="225" t="s">
        <v>375</v>
      </c>
      <c r="AE159" s="54" t="s">
        <v>808</v>
      </c>
      <c r="AF159" s="226">
        <v>375544</v>
      </c>
      <c r="AG159" s="226">
        <v>374189.21673402778</v>
      </c>
      <c r="AH159" s="156" t="s">
        <v>932</v>
      </c>
    </row>
    <row r="160" spans="30:34" x14ac:dyDescent="0.2">
      <c r="AD160" s="225" t="s">
        <v>367</v>
      </c>
      <c r="AE160" s="54" t="s">
        <v>809</v>
      </c>
      <c r="AF160" s="226">
        <v>225977</v>
      </c>
      <c r="AG160" s="226">
        <v>237284.5704123571</v>
      </c>
      <c r="AH160" s="156" t="s">
        <v>940</v>
      </c>
    </row>
    <row r="161" spans="30:34" x14ac:dyDescent="0.2">
      <c r="AD161" s="225" t="s">
        <v>377</v>
      </c>
      <c r="AE161" s="54" t="s">
        <v>810</v>
      </c>
      <c r="AF161" s="226">
        <v>222794</v>
      </c>
      <c r="AG161" s="226">
        <v>233461.09400683723</v>
      </c>
      <c r="AH161" s="156" t="s">
        <v>936</v>
      </c>
    </row>
    <row r="162" spans="30:34" x14ac:dyDescent="0.2">
      <c r="AD162" s="225" t="s">
        <v>383</v>
      </c>
      <c r="AE162" s="54" t="s">
        <v>811</v>
      </c>
      <c r="AF162" s="226">
        <v>391761</v>
      </c>
      <c r="AG162" s="226">
        <v>375933.90396427328</v>
      </c>
      <c r="AH162" s="156" t="s">
        <v>941</v>
      </c>
    </row>
    <row r="163" spans="30:34" x14ac:dyDescent="0.2">
      <c r="AD163" s="225" t="s">
        <v>463</v>
      </c>
      <c r="AE163" s="54" t="s">
        <v>812</v>
      </c>
      <c r="AF163" s="226">
        <v>212945</v>
      </c>
      <c r="AG163" s="226">
        <v>211916.6399107649</v>
      </c>
      <c r="AH163" s="156" t="s">
        <v>927</v>
      </c>
    </row>
    <row r="164" spans="30:34" x14ac:dyDescent="0.2">
      <c r="AD164" s="225" t="s">
        <v>469</v>
      </c>
      <c r="AE164" s="54" t="s">
        <v>813</v>
      </c>
      <c r="AF164" s="226">
        <v>693840</v>
      </c>
      <c r="AG164" s="226">
        <v>710030.72907115996</v>
      </c>
      <c r="AH164" s="156" t="s">
        <v>929</v>
      </c>
    </row>
    <row r="165" spans="30:34" x14ac:dyDescent="0.2">
      <c r="AD165" s="225" t="s">
        <v>483</v>
      </c>
      <c r="AE165" s="54" t="s">
        <v>814</v>
      </c>
      <c r="AF165" s="226">
        <v>242522</v>
      </c>
      <c r="AG165" s="226">
        <v>251796.90805572606</v>
      </c>
      <c r="AH165" s="156" t="s">
        <v>942</v>
      </c>
    </row>
    <row r="166" spans="30:34" x14ac:dyDescent="0.2">
      <c r="AD166" s="225" t="s">
        <v>485</v>
      </c>
      <c r="AE166" s="54" t="s">
        <v>815</v>
      </c>
      <c r="AF166" s="226">
        <v>530643</v>
      </c>
      <c r="AG166" s="226">
        <v>543031.1569597359</v>
      </c>
      <c r="AH166" s="156" t="s">
        <v>909</v>
      </c>
    </row>
    <row r="167" spans="30:34" x14ac:dyDescent="0.2">
      <c r="AD167" s="225" t="s">
        <v>465</v>
      </c>
      <c r="AE167" s="54" t="s">
        <v>816</v>
      </c>
      <c r="AF167" s="226">
        <v>535926</v>
      </c>
      <c r="AG167" s="226">
        <v>551532.53257183067</v>
      </c>
      <c r="AH167" s="156" t="s">
        <v>925</v>
      </c>
    </row>
    <row r="168" spans="30:34" x14ac:dyDescent="0.2">
      <c r="AD168" s="225" t="s">
        <v>473</v>
      </c>
      <c r="AE168" s="54" t="s">
        <v>817</v>
      </c>
      <c r="AF168" s="226">
        <v>257644</v>
      </c>
      <c r="AG168" s="226">
        <v>266992.21052129788</v>
      </c>
      <c r="AH168" s="156" t="s">
        <v>918</v>
      </c>
    </row>
    <row r="169" spans="30:34" x14ac:dyDescent="0.2">
      <c r="AD169" s="225" t="s">
        <v>477</v>
      </c>
      <c r="AE169" s="54" t="s">
        <v>818</v>
      </c>
      <c r="AF169" s="226">
        <v>661969</v>
      </c>
      <c r="AG169" s="226">
        <v>668532.05288255087</v>
      </c>
      <c r="AH169" s="156" t="s">
        <v>892</v>
      </c>
    </row>
    <row r="170" spans="30:34" x14ac:dyDescent="0.2">
      <c r="AD170" s="225" t="s">
        <v>481</v>
      </c>
      <c r="AE170" s="54" t="s">
        <v>819</v>
      </c>
      <c r="AF170" s="226">
        <v>264911</v>
      </c>
      <c r="AG170" s="226">
        <v>280951.00089419738</v>
      </c>
      <c r="AH170" s="156" t="s">
        <v>927</v>
      </c>
    </row>
    <row r="171" spans="30:34" x14ac:dyDescent="0.2">
      <c r="AD171" s="225" t="s">
        <v>471</v>
      </c>
      <c r="AE171" s="54" t="s">
        <v>820</v>
      </c>
      <c r="AF171" s="226">
        <v>698894</v>
      </c>
      <c r="AG171" s="226">
        <v>672050.52968356712</v>
      </c>
      <c r="AH171" s="156" t="s">
        <v>902</v>
      </c>
    </row>
    <row r="172" spans="30:34" x14ac:dyDescent="0.2">
      <c r="AD172" s="225" t="s">
        <v>475</v>
      </c>
      <c r="AE172" s="54" t="s">
        <v>821</v>
      </c>
      <c r="AF172" s="226">
        <v>1080801</v>
      </c>
      <c r="AG172" s="226">
        <v>1072307.7744382864</v>
      </c>
      <c r="AH172" s="156" t="s">
        <v>897</v>
      </c>
    </row>
    <row r="173" spans="30:34" x14ac:dyDescent="0.2">
      <c r="AD173" s="225" t="s">
        <v>479</v>
      </c>
      <c r="AE173" s="54" t="s">
        <v>822</v>
      </c>
      <c r="AF173" s="226">
        <v>379182</v>
      </c>
      <c r="AG173" s="226">
        <v>351129.95847759466</v>
      </c>
      <c r="AH173" s="156" t="s">
        <v>911</v>
      </c>
    </row>
    <row r="174" spans="30:34" x14ac:dyDescent="0.2">
      <c r="AD174" s="225" t="s">
        <v>387</v>
      </c>
      <c r="AE174" s="54" t="s">
        <v>823</v>
      </c>
      <c r="AF174" s="226">
        <v>135405</v>
      </c>
      <c r="AG174" s="226">
        <v>132980.38065801916</v>
      </c>
      <c r="AH174" s="156" t="s">
        <v>928</v>
      </c>
    </row>
    <row r="175" spans="30:34" x14ac:dyDescent="0.2">
      <c r="AD175" s="225" t="s">
        <v>395</v>
      </c>
      <c r="AE175" s="54" t="s">
        <v>824</v>
      </c>
      <c r="AF175" s="226">
        <v>244130</v>
      </c>
      <c r="AG175" s="226">
        <v>239299.0650875633</v>
      </c>
      <c r="AH175" s="156" t="s">
        <v>872</v>
      </c>
    </row>
    <row r="176" spans="30:34" x14ac:dyDescent="0.2">
      <c r="AD176" s="225" t="s">
        <v>403</v>
      </c>
      <c r="AE176" s="54" t="s">
        <v>825</v>
      </c>
      <c r="AF176" s="226">
        <v>288825</v>
      </c>
      <c r="AG176" s="226">
        <v>293058.29550044111</v>
      </c>
      <c r="AH176" s="156" t="s">
        <v>871</v>
      </c>
    </row>
    <row r="177" spans="30:34" x14ac:dyDescent="0.2">
      <c r="AD177" s="225" t="s">
        <v>421</v>
      </c>
      <c r="AE177" s="54" t="s">
        <v>826</v>
      </c>
      <c r="AF177" s="226">
        <v>325558</v>
      </c>
      <c r="AG177" s="226">
        <v>327741.92001136061</v>
      </c>
      <c r="AH177" s="156" t="s">
        <v>889</v>
      </c>
    </row>
    <row r="178" spans="30:34" x14ac:dyDescent="0.2">
      <c r="AD178" s="225" t="s">
        <v>441</v>
      </c>
      <c r="AE178" s="54" t="s">
        <v>827</v>
      </c>
      <c r="AF178" s="226">
        <v>260944</v>
      </c>
      <c r="AG178" s="226">
        <v>249938.31324808509</v>
      </c>
      <c r="AH178" s="156" t="s">
        <v>919</v>
      </c>
    </row>
    <row r="179" spans="30:34" x14ac:dyDescent="0.2">
      <c r="AD179" s="225" t="s">
        <v>451</v>
      </c>
      <c r="AE179" s="54" t="s">
        <v>828</v>
      </c>
      <c r="AF179" s="226">
        <v>128877</v>
      </c>
      <c r="AG179" s="226">
        <v>130867.63681166165</v>
      </c>
      <c r="AH179" s="156" t="s">
        <v>904</v>
      </c>
    </row>
    <row r="180" spans="30:34" x14ac:dyDescent="0.2">
      <c r="AD180" s="225" t="s">
        <v>453</v>
      </c>
      <c r="AE180" s="54" t="s">
        <v>829</v>
      </c>
      <c r="AF180" s="226">
        <v>195718</v>
      </c>
      <c r="AG180" s="226">
        <v>191698.45880191663</v>
      </c>
      <c r="AH180" s="156" t="s">
        <v>943</v>
      </c>
    </row>
    <row r="181" spans="30:34" x14ac:dyDescent="0.2">
      <c r="AD181" s="225" t="s">
        <v>457</v>
      </c>
      <c r="AE181" s="54" t="s">
        <v>830</v>
      </c>
      <c r="AF181" s="226">
        <v>505717</v>
      </c>
      <c r="AG181" s="226">
        <v>525501.49264920095</v>
      </c>
      <c r="AH181" s="156" t="s">
        <v>903</v>
      </c>
    </row>
    <row r="182" spans="30:34" x14ac:dyDescent="0.2">
      <c r="AD182" s="225" t="s">
        <v>393</v>
      </c>
      <c r="AE182" s="54" t="s">
        <v>831</v>
      </c>
      <c r="AF182" s="226">
        <v>344198</v>
      </c>
      <c r="AG182" s="226">
        <v>331370.61916464538</v>
      </c>
      <c r="AH182" s="156" t="s">
        <v>937</v>
      </c>
    </row>
    <row r="183" spans="30:34" x14ac:dyDescent="0.2">
      <c r="AD183" s="225" t="s">
        <v>407</v>
      </c>
      <c r="AE183" s="54" t="s">
        <v>832</v>
      </c>
      <c r="AF183" s="226">
        <v>246157</v>
      </c>
      <c r="AG183" s="226">
        <v>256680.02796422568</v>
      </c>
      <c r="AH183" s="156" t="s">
        <v>892</v>
      </c>
    </row>
    <row r="184" spans="30:34" x14ac:dyDescent="0.2">
      <c r="AD184" s="225" t="s">
        <v>399</v>
      </c>
      <c r="AE184" s="54" t="s">
        <v>833</v>
      </c>
      <c r="AF184" s="226">
        <v>637289</v>
      </c>
      <c r="AG184" s="226">
        <v>661904.05545859423</v>
      </c>
      <c r="AH184" s="156" t="s">
        <v>898</v>
      </c>
    </row>
    <row r="185" spans="30:34" x14ac:dyDescent="0.2">
      <c r="AD185" s="225" t="s">
        <v>401</v>
      </c>
      <c r="AE185" s="54" t="s">
        <v>834</v>
      </c>
      <c r="AF185" s="226">
        <v>146416</v>
      </c>
      <c r="AG185" s="226">
        <v>142181.15747118226</v>
      </c>
      <c r="AH185" s="156" t="s">
        <v>922</v>
      </c>
    </row>
    <row r="186" spans="30:34" x14ac:dyDescent="0.2">
      <c r="AD186" s="225" t="s">
        <v>405</v>
      </c>
      <c r="AE186" s="54" t="s">
        <v>835</v>
      </c>
      <c r="AF186" s="226">
        <v>192193</v>
      </c>
      <c r="AG186" s="226">
        <v>194579.28460653071</v>
      </c>
      <c r="AH186" s="156" t="s">
        <v>944</v>
      </c>
    </row>
    <row r="187" spans="30:34" x14ac:dyDescent="0.2">
      <c r="AD187" s="225" t="s">
        <v>411</v>
      </c>
      <c r="AE187" s="54" t="s">
        <v>836</v>
      </c>
      <c r="AF187" s="226">
        <v>230241</v>
      </c>
      <c r="AG187" s="226">
        <v>228014.89256395775</v>
      </c>
      <c r="AH187" s="156" t="s">
        <v>945</v>
      </c>
    </row>
    <row r="188" spans="30:34" x14ac:dyDescent="0.2">
      <c r="AD188" s="225" t="s">
        <v>413</v>
      </c>
      <c r="AE188" s="54" t="s">
        <v>837</v>
      </c>
      <c r="AF188" s="226">
        <v>259047</v>
      </c>
      <c r="AG188" s="226">
        <v>249568.07731414965</v>
      </c>
      <c r="AH188" s="156" t="s">
        <v>902</v>
      </c>
    </row>
    <row r="189" spans="30:34" x14ac:dyDescent="0.2">
      <c r="AD189" s="225" t="s">
        <v>417</v>
      </c>
      <c r="AE189" s="54" t="s">
        <v>838</v>
      </c>
      <c r="AF189" s="226">
        <v>244647</v>
      </c>
      <c r="AG189" s="226">
        <v>249438.60908149873</v>
      </c>
      <c r="AH189" s="156" t="s">
        <v>946</v>
      </c>
    </row>
    <row r="190" spans="30:34" x14ac:dyDescent="0.2">
      <c r="AD190" s="225" t="s">
        <v>431</v>
      </c>
      <c r="AE190" s="54" t="s">
        <v>839</v>
      </c>
      <c r="AF190" s="226">
        <v>398140</v>
      </c>
      <c r="AG190" s="226">
        <v>392084.40990397416</v>
      </c>
      <c r="AH190" s="156" t="s">
        <v>944</v>
      </c>
    </row>
    <row r="191" spans="30:34" x14ac:dyDescent="0.2">
      <c r="AD191" s="225" t="s">
        <v>449</v>
      </c>
      <c r="AE191" s="54" t="s">
        <v>840</v>
      </c>
      <c r="AF191" s="226">
        <v>109823</v>
      </c>
      <c r="AG191" s="226">
        <v>102940.34413976339</v>
      </c>
      <c r="AH191" s="156" t="s">
        <v>945</v>
      </c>
    </row>
    <row r="192" spans="30:34" x14ac:dyDescent="0.2">
      <c r="AD192" s="225" t="s">
        <v>447</v>
      </c>
      <c r="AE192" s="54" t="s">
        <v>841</v>
      </c>
      <c r="AF192" s="226">
        <v>332501</v>
      </c>
      <c r="AG192" s="226">
        <v>322606.85532040015</v>
      </c>
      <c r="AH192" s="156" t="s">
        <v>946</v>
      </c>
    </row>
    <row r="193" spans="30:34" x14ac:dyDescent="0.2">
      <c r="AD193" s="225" t="s">
        <v>415</v>
      </c>
      <c r="AE193" s="54" t="s">
        <v>842</v>
      </c>
      <c r="AF193" s="226">
        <v>190858</v>
      </c>
      <c r="AG193" s="226">
        <v>189015.95068751177</v>
      </c>
      <c r="AH193" s="156" t="s">
        <v>868</v>
      </c>
    </row>
    <row r="194" spans="30:34" x14ac:dyDescent="0.2">
      <c r="AD194" s="225" t="s">
        <v>391</v>
      </c>
      <c r="AE194" s="54" t="s">
        <v>843</v>
      </c>
      <c r="AF194" s="226">
        <v>143660</v>
      </c>
      <c r="AG194" s="226">
        <v>150397.83261884155</v>
      </c>
      <c r="AH194" s="156" t="s">
        <v>939</v>
      </c>
    </row>
    <row r="195" spans="30:34" x14ac:dyDescent="0.2">
      <c r="AD195" s="225" t="s">
        <v>397</v>
      </c>
      <c r="AE195" s="54" t="s">
        <v>844</v>
      </c>
      <c r="AF195" s="226">
        <v>329628</v>
      </c>
      <c r="AG195" s="226">
        <v>344689.64628219779</v>
      </c>
      <c r="AH195" s="156" t="s">
        <v>945</v>
      </c>
    </row>
    <row r="196" spans="30:34" x14ac:dyDescent="0.2">
      <c r="AD196" s="225" t="s">
        <v>423</v>
      </c>
      <c r="AE196" s="54" t="s">
        <v>845</v>
      </c>
      <c r="AF196" s="226">
        <v>120136</v>
      </c>
      <c r="AG196" s="226">
        <v>129197.74352347606</v>
      </c>
      <c r="AH196" s="156" t="s">
        <v>944</v>
      </c>
    </row>
    <row r="197" spans="30:34" x14ac:dyDescent="0.2">
      <c r="AD197" s="225" t="s">
        <v>425</v>
      </c>
      <c r="AE197" s="54" t="s">
        <v>846</v>
      </c>
      <c r="AF197" s="226">
        <v>117665</v>
      </c>
      <c r="AG197" s="226">
        <v>123144.96153449628</v>
      </c>
      <c r="AH197" s="156" t="s">
        <v>947</v>
      </c>
    </row>
    <row r="198" spans="30:34" x14ac:dyDescent="0.2">
      <c r="AD198" s="225" t="s">
        <v>433</v>
      </c>
      <c r="AE198" s="54" t="s">
        <v>847</v>
      </c>
      <c r="AF198" s="226">
        <v>664961</v>
      </c>
      <c r="AG198" s="226">
        <v>717046.3914757045</v>
      </c>
      <c r="AH198" s="156" t="s">
        <v>924</v>
      </c>
    </row>
    <row r="199" spans="30:34" x14ac:dyDescent="0.2">
      <c r="AD199" s="225" t="s">
        <v>437</v>
      </c>
      <c r="AE199" s="54" t="s">
        <v>848</v>
      </c>
      <c r="AF199" s="226">
        <v>163391</v>
      </c>
      <c r="AG199" s="226">
        <v>172095.26833287519</v>
      </c>
      <c r="AH199" s="156" t="s">
        <v>948</v>
      </c>
    </row>
    <row r="200" spans="30:34" x14ac:dyDescent="0.2">
      <c r="AD200" s="225" t="s">
        <v>443</v>
      </c>
      <c r="AE200" s="54" t="s">
        <v>849</v>
      </c>
      <c r="AF200" s="226">
        <v>127074</v>
      </c>
      <c r="AG200" s="226">
        <v>135091.50545418175</v>
      </c>
      <c r="AH200" s="156" t="s">
        <v>948</v>
      </c>
    </row>
    <row r="201" spans="30:34" x14ac:dyDescent="0.2">
      <c r="AD201" s="225" t="s">
        <v>389</v>
      </c>
      <c r="AE201" s="54" t="s">
        <v>850</v>
      </c>
      <c r="AF201" s="226">
        <v>212921</v>
      </c>
      <c r="AG201" s="226">
        <v>218955.55266077607</v>
      </c>
      <c r="AH201" s="156" t="s">
        <v>944</v>
      </c>
    </row>
    <row r="202" spans="30:34" x14ac:dyDescent="0.2">
      <c r="AD202" s="225" t="s">
        <v>459</v>
      </c>
      <c r="AE202" s="54" t="s">
        <v>851</v>
      </c>
      <c r="AF202" s="226">
        <v>155923</v>
      </c>
      <c r="AG202" s="226">
        <v>168392.06216151966</v>
      </c>
      <c r="AH202" s="156" t="s">
        <v>947</v>
      </c>
    </row>
    <row r="203" spans="30:34" x14ac:dyDescent="0.2">
      <c r="AD203" s="225" t="s">
        <v>461</v>
      </c>
      <c r="AE203" s="54" t="s">
        <v>852</v>
      </c>
      <c r="AF203" s="226">
        <v>160628</v>
      </c>
      <c r="AG203" s="226">
        <v>168089.7151675327</v>
      </c>
      <c r="AH203" s="156" t="s">
        <v>944</v>
      </c>
    </row>
    <row r="204" spans="30:34" x14ac:dyDescent="0.2">
      <c r="AD204" s="225" t="s">
        <v>429</v>
      </c>
      <c r="AE204" s="54" t="s">
        <v>853</v>
      </c>
      <c r="AF204" s="226">
        <v>224298</v>
      </c>
      <c r="AG204" s="226">
        <v>229787.58865243482</v>
      </c>
      <c r="AH204" s="156" t="s">
        <v>944</v>
      </c>
    </row>
    <row r="205" spans="30:34" x14ac:dyDescent="0.2">
      <c r="AD205" s="225" t="s">
        <v>409</v>
      </c>
      <c r="AE205" s="54" t="s">
        <v>854</v>
      </c>
      <c r="AF205" s="226">
        <v>217073</v>
      </c>
      <c r="AG205" s="226">
        <v>231560.36419295179</v>
      </c>
      <c r="AH205" s="156" t="s">
        <v>868</v>
      </c>
    </row>
    <row r="206" spans="30:34" x14ac:dyDescent="0.2">
      <c r="AD206" s="225" t="s">
        <v>419</v>
      </c>
      <c r="AE206" s="54" t="s">
        <v>855</v>
      </c>
      <c r="AF206" s="226">
        <v>200762</v>
      </c>
      <c r="AG206" s="226">
        <v>170103.18318067351</v>
      </c>
      <c r="AH206" s="156" t="s">
        <v>911</v>
      </c>
    </row>
    <row r="207" spans="30:34" x14ac:dyDescent="0.2">
      <c r="AD207" s="225" t="s">
        <v>435</v>
      </c>
      <c r="AE207" s="54" t="s">
        <v>856</v>
      </c>
      <c r="AF207" s="226">
        <v>254033</v>
      </c>
      <c r="AG207" s="226">
        <v>258505.65767321928</v>
      </c>
      <c r="AH207" s="156" t="s">
        <v>908</v>
      </c>
    </row>
    <row r="208" spans="30:34" x14ac:dyDescent="0.2">
      <c r="AD208" s="225" t="s">
        <v>439</v>
      </c>
      <c r="AE208" s="54" t="s">
        <v>857</v>
      </c>
      <c r="AF208" s="226">
        <v>233959</v>
      </c>
      <c r="AG208" s="226">
        <v>249689.80589858672</v>
      </c>
      <c r="AH208" s="156" t="s">
        <v>918</v>
      </c>
    </row>
    <row r="209" spans="30:34" x14ac:dyDescent="0.2">
      <c r="AD209" s="225" t="s">
        <v>445</v>
      </c>
      <c r="AE209" s="54" t="s">
        <v>858</v>
      </c>
      <c r="AF209" s="226">
        <v>288363</v>
      </c>
      <c r="AG209" s="226">
        <v>286614.01354982244</v>
      </c>
      <c r="AH209" s="156" t="s">
        <v>925</v>
      </c>
    </row>
    <row r="210" spans="30:34" x14ac:dyDescent="0.2">
      <c r="AD210" s="225" t="s">
        <v>455</v>
      </c>
      <c r="AE210" s="54" t="s">
        <v>859</v>
      </c>
      <c r="AF210" s="226">
        <v>599517</v>
      </c>
      <c r="AG210" s="226">
        <v>610908.6030409683</v>
      </c>
      <c r="AH210" s="156" t="s">
        <v>900</v>
      </c>
    </row>
    <row r="211" spans="30:34" x14ac:dyDescent="0.2">
      <c r="AD211" s="225" t="s">
        <v>467</v>
      </c>
      <c r="AE211" s="54" t="s">
        <v>860</v>
      </c>
      <c r="AF211" s="226">
        <v>961306</v>
      </c>
      <c r="AG211" s="226">
        <v>986030.6960329198</v>
      </c>
      <c r="AH211" s="156" t="s">
        <v>898</v>
      </c>
    </row>
    <row r="212" spans="30:34" x14ac:dyDescent="0.2">
      <c r="AD212" s="225" t="s">
        <v>427</v>
      </c>
      <c r="AE212" s="54" t="s">
        <v>861</v>
      </c>
      <c r="AF212" s="226">
        <v>237594</v>
      </c>
      <c r="AG212" s="226">
        <v>244256.06287484377</v>
      </c>
      <c r="AH212" s="156" t="s">
        <v>944</v>
      </c>
    </row>
    <row r="213" spans="30:34" x14ac:dyDescent="0.2">
      <c r="AD213" s="54"/>
      <c r="AE213" s="54"/>
      <c r="AF213" s="54"/>
      <c r="AG213" s="54"/>
    </row>
    <row r="214" spans="30:34" x14ac:dyDescent="0.2">
      <c r="AD214" s="225" t="s">
        <v>862</v>
      </c>
      <c r="AE214" s="54" t="s">
        <v>12</v>
      </c>
      <c r="AF214" s="226">
        <v>66787000</v>
      </c>
      <c r="AG214" s="226">
        <v>66787000.000000082</v>
      </c>
    </row>
  </sheetData>
  <mergeCells count="6">
    <mergeCell ref="B60:B64"/>
    <mergeCell ref="B72:B76"/>
    <mergeCell ref="B77:B81"/>
    <mergeCell ref="A4:A16"/>
    <mergeCell ref="A21:A48"/>
    <mergeCell ref="B55:B5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325"/>
  <sheetViews>
    <sheetView workbookViewId="0"/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2.140625" style="11" bestFit="1" customWidth="1"/>
    <col min="5" max="5" width="11.28515625" style="75" customWidth="1"/>
    <col min="6" max="6" width="4.7109375" style="1" customWidth="1"/>
    <col min="7" max="7" width="13.42578125" style="53" bestFit="1" customWidth="1"/>
    <col min="8" max="8" width="13.42578125" style="54" bestFit="1" customWidth="1"/>
    <col min="9" max="9" width="12.140625" style="54" bestFit="1" customWidth="1"/>
    <col min="10" max="10" width="13.28515625" style="64" customWidth="1"/>
    <col min="11" max="13" width="11.140625" style="64" customWidth="1"/>
    <col min="14" max="16384" width="9.140625" style="1"/>
  </cols>
  <sheetData>
    <row r="1" spans="1:13" x14ac:dyDescent="0.2">
      <c r="A1" s="321" t="s">
        <v>616</v>
      </c>
    </row>
    <row r="2" spans="1:13" x14ac:dyDescent="0.2">
      <c r="A2" s="322" t="s">
        <v>949</v>
      </c>
    </row>
    <row r="3" spans="1:13" x14ac:dyDescent="0.2">
      <c r="A3" s="358" t="s">
        <v>958</v>
      </c>
    </row>
    <row r="4" spans="1:13" x14ac:dyDescent="0.2">
      <c r="B4" s="1" t="s">
        <v>64</v>
      </c>
      <c r="D4" s="59" t="s">
        <v>0</v>
      </c>
      <c r="E4" s="69"/>
      <c r="G4" s="102"/>
      <c r="H4" s="18"/>
      <c r="I4" s="111"/>
      <c r="J4" s="6"/>
      <c r="K4" s="7"/>
      <c r="L4" s="7"/>
      <c r="M4" s="7"/>
    </row>
    <row r="5" spans="1:13" s="11" customFormat="1" x14ac:dyDescent="0.2">
      <c r="B5" s="12">
        <v>1</v>
      </c>
      <c r="D5" s="13"/>
      <c r="E5" s="69"/>
      <c r="G5" s="103"/>
      <c r="H5" s="97"/>
      <c r="I5" s="126"/>
      <c r="J5" s="20"/>
      <c r="K5" s="21"/>
      <c r="L5" s="21"/>
      <c r="M5" s="21"/>
    </row>
    <row r="6" spans="1:13" s="11" customFormat="1" x14ac:dyDescent="0.2">
      <c r="B6" s="12"/>
      <c r="D6" s="23"/>
      <c r="E6" s="70"/>
      <c r="F6" s="14"/>
      <c r="G6" s="104"/>
      <c r="H6" s="26"/>
      <c r="I6" s="127"/>
      <c r="J6" s="28"/>
      <c r="K6" s="25"/>
      <c r="L6" s="25"/>
      <c r="M6" s="25"/>
    </row>
    <row r="7" spans="1:13" s="11" customFormat="1" x14ac:dyDescent="0.2">
      <c r="B7" s="12"/>
      <c r="D7" s="23"/>
      <c r="E7" s="70"/>
      <c r="F7" s="14"/>
      <c r="G7" s="104"/>
      <c r="H7" s="26"/>
      <c r="I7" s="147"/>
      <c r="J7" s="28"/>
      <c r="K7" s="25"/>
      <c r="L7" s="25"/>
      <c r="M7" s="25"/>
    </row>
    <row r="8" spans="1:13" s="30" customFormat="1" x14ac:dyDescent="0.2">
      <c r="B8" s="31"/>
      <c r="D8" s="32">
        <f>+D26</f>
        <v>5350823.3534933766</v>
      </c>
      <c r="E8" s="71">
        <f>E26</f>
        <v>93.335077299700671</v>
      </c>
      <c r="F8" s="33"/>
      <c r="G8" s="123"/>
      <c r="H8" s="36"/>
      <c r="I8" s="101">
        <f>I26</f>
        <v>5139000.2611975092</v>
      </c>
      <c r="J8" s="101">
        <f>J26</f>
        <v>5139000</v>
      </c>
      <c r="K8" s="34">
        <f t="shared" ref="K8:M8" si="0">+K26</f>
        <v>88.97490384335002</v>
      </c>
      <c r="L8" s="35">
        <f t="shared" si="0"/>
        <v>-3.9587057822621619E-2</v>
      </c>
      <c r="M8" s="35">
        <f t="shared" si="0"/>
        <v>-4.6715271283807369E-2</v>
      </c>
    </row>
    <row r="9" spans="1:13" s="38" customFormat="1" x14ac:dyDescent="0.2">
      <c r="D9" s="373" t="s">
        <v>57</v>
      </c>
      <c r="E9" s="373"/>
      <c r="G9" s="370" t="s">
        <v>36</v>
      </c>
      <c r="H9" s="371"/>
      <c r="I9" s="372"/>
      <c r="J9" s="39"/>
      <c r="K9" s="40"/>
      <c r="L9" s="40"/>
      <c r="M9" s="40"/>
    </row>
    <row r="10" spans="1:13" ht="63.75" x14ac:dyDescent="0.2">
      <c r="A10" s="44"/>
      <c r="B10" s="43" t="s">
        <v>957</v>
      </c>
      <c r="C10" s="43"/>
      <c r="D10" s="67" t="s">
        <v>4</v>
      </c>
      <c r="E10" s="72" t="s">
        <v>5</v>
      </c>
      <c r="F10" s="46"/>
      <c r="G10" s="128" t="s">
        <v>864</v>
      </c>
      <c r="H10" s="98" t="s">
        <v>865</v>
      </c>
      <c r="I10" s="106" t="s">
        <v>35</v>
      </c>
      <c r="J10" s="50" t="s">
        <v>866</v>
      </c>
      <c r="K10" s="50" t="s">
        <v>5</v>
      </c>
      <c r="L10" s="50" t="s">
        <v>10</v>
      </c>
      <c r="M10" s="50" t="s">
        <v>11</v>
      </c>
    </row>
    <row r="11" spans="1:13" x14ac:dyDescent="0.2">
      <c r="B11" s="156"/>
      <c r="D11" s="13"/>
      <c r="E11" s="69"/>
      <c r="G11" s="125"/>
      <c r="H11" s="15"/>
      <c r="I11" s="107"/>
      <c r="J11" s="3"/>
      <c r="K11" s="3"/>
      <c r="L11" s="3"/>
      <c r="M11" s="3"/>
    </row>
    <row r="12" spans="1:13" x14ac:dyDescent="0.2">
      <c r="A12" s="156"/>
      <c r="B12" s="156" t="s">
        <v>577</v>
      </c>
      <c r="D12" s="68">
        <v>359691</v>
      </c>
      <c r="E12" s="73">
        <v>110.81678357097766</v>
      </c>
      <c r="F12" s="55"/>
      <c r="G12" s="103">
        <v>-4.4009577072717576E-2</v>
      </c>
      <c r="H12" s="97">
        <v>-4.6531589025620441E-2</v>
      </c>
      <c r="I12" s="108">
        <v>343861.15121313714</v>
      </c>
      <c r="J12" s="56">
        <f>ROUND(I12,0)</f>
        <v>343861</v>
      </c>
      <c r="K12" s="56">
        <v>105.66025607653356</v>
      </c>
      <c r="L12" s="16">
        <f t="shared" ref="L12:L24" si="1">J12/D12 - 1</f>
        <v>-4.4009997470050632E-2</v>
      </c>
      <c r="M12" s="16">
        <f t="shared" ref="M12:M24" si="2">K12/E12 - 1</f>
        <v>-4.6532008313897477E-2</v>
      </c>
    </row>
    <row r="13" spans="1:13" x14ac:dyDescent="0.2">
      <c r="A13" s="156"/>
      <c r="B13" s="156" t="s">
        <v>578</v>
      </c>
      <c r="D13" s="68">
        <v>494732</v>
      </c>
      <c r="E13" s="73">
        <v>110.51741905016567</v>
      </c>
      <c r="F13" s="55"/>
      <c r="G13" s="103">
        <v>-4.1810245487374997E-2</v>
      </c>
      <c r="H13" s="97">
        <v>-4.6531589025620441E-2</v>
      </c>
      <c r="I13" s="108">
        <v>474047.13362953998</v>
      </c>
      <c r="J13" s="56">
        <f t="shared" ref="J13:J24" si="3">ROUND(I13,0)</f>
        <v>474047</v>
      </c>
      <c r="K13" s="56">
        <v>105.3748382225421</v>
      </c>
      <c r="L13" s="16">
        <f t="shared" si="1"/>
        <v>-4.1810515592280217E-2</v>
      </c>
      <c r="M13" s="16">
        <f t="shared" si="2"/>
        <v>-4.6531857799622323E-2</v>
      </c>
    </row>
    <row r="14" spans="1:13" x14ac:dyDescent="0.2">
      <c r="A14" s="156"/>
      <c r="B14" s="156" t="s">
        <v>579</v>
      </c>
      <c r="D14" s="68">
        <v>279173</v>
      </c>
      <c r="E14" s="73">
        <v>108.58018072258697</v>
      </c>
      <c r="F14" s="55"/>
      <c r="G14" s="103">
        <v>-4.3811820777298727E-2</v>
      </c>
      <c r="H14" s="97">
        <v>-4.6531589025620441E-2</v>
      </c>
      <c r="I14" s="108">
        <v>266941.92255813919</v>
      </c>
      <c r="J14" s="56">
        <f t="shared" si="3"/>
        <v>266942</v>
      </c>
      <c r="K14" s="56">
        <v>103.52780241106191</v>
      </c>
      <c r="L14" s="16">
        <f t="shared" si="1"/>
        <v>-4.3811543379911333E-2</v>
      </c>
      <c r="M14" s="16">
        <f t="shared" si="2"/>
        <v>-4.6531312417258275E-2</v>
      </c>
    </row>
    <row r="15" spans="1:13" x14ac:dyDescent="0.2">
      <c r="A15" s="156"/>
      <c r="B15" s="156" t="s">
        <v>580</v>
      </c>
      <c r="D15" s="68">
        <v>599850.44860976294</v>
      </c>
      <c r="E15" s="73">
        <v>104.7619997432277</v>
      </c>
      <c r="F15" s="55"/>
      <c r="G15" s="103">
        <v>-4.1585353148045789E-2</v>
      </c>
      <c r="H15" s="97">
        <v>-4.6531589025620441E-2</v>
      </c>
      <c r="I15" s="108">
        <v>574905.45586831227</v>
      </c>
      <c r="J15" s="56">
        <f t="shared" si="3"/>
        <v>574905</v>
      </c>
      <c r="K15" s="56">
        <v>99.887178220588737</v>
      </c>
      <c r="L15" s="16">
        <f t="shared" si="1"/>
        <v>-4.1586113117990542E-2</v>
      </c>
      <c r="M15" s="16">
        <f t="shared" si="2"/>
        <v>-4.6532345073473036E-2</v>
      </c>
    </row>
    <row r="16" spans="1:13" x14ac:dyDescent="0.2">
      <c r="A16" s="156"/>
      <c r="B16" s="156" t="s">
        <v>581</v>
      </c>
      <c r="D16" s="68">
        <v>416645.00000000017</v>
      </c>
      <c r="E16" s="73">
        <v>94.646593579038111</v>
      </c>
      <c r="F16" s="55"/>
      <c r="G16" s="103">
        <v>-4.0266732524576909E-2</v>
      </c>
      <c r="H16" s="97">
        <v>-4.6531589025620441E-2</v>
      </c>
      <c r="I16" s="108">
        <v>399868.06722729781</v>
      </c>
      <c r="J16" s="56">
        <f t="shared" si="3"/>
        <v>399868</v>
      </c>
      <c r="K16" s="56">
        <v>90.242522012034385</v>
      </c>
      <c r="L16" s="16">
        <f t="shared" si="1"/>
        <v>-4.0266893878482035E-2</v>
      </c>
      <c r="M16" s="16">
        <f t="shared" si="2"/>
        <v>-4.6531749326254923E-2</v>
      </c>
    </row>
    <row r="17" spans="1:13" x14ac:dyDescent="0.2">
      <c r="A17" s="156"/>
      <c r="B17" s="156" t="s">
        <v>582</v>
      </c>
      <c r="D17" s="68">
        <v>353200.10033054859</v>
      </c>
      <c r="E17" s="73">
        <v>95.537491646706286</v>
      </c>
      <c r="F17" s="55"/>
      <c r="G17" s="103">
        <v>-4.1851342560927374E-2</v>
      </c>
      <c r="H17" s="97">
        <v>-4.6531589025620441E-2</v>
      </c>
      <c r="I17" s="108">
        <v>338418.20193906088</v>
      </c>
      <c r="J17" s="56">
        <f t="shared" si="3"/>
        <v>338418</v>
      </c>
      <c r="K17" s="56">
        <v>91.091925992954174</v>
      </c>
      <c r="L17" s="16">
        <f t="shared" si="1"/>
        <v>-4.1851914302160509E-2</v>
      </c>
      <c r="M17" s="16">
        <f t="shared" si="2"/>
        <v>-4.6532157974082389E-2</v>
      </c>
    </row>
    <row r="18" spans="1:13" x14ac:dyDescent="0.2">
      <c r="A18" s="156"/>
      <c r="B18" s="156" t="s">
        <v>583</v>
      </c>
      <c r="D18" s="68">
        <v>425416</v>
      </c>
      <c r="E18" s="73">
        <v>88.834892966750402</v>
      </c>
      <c r="F18" s="55"/>
      <c r="G18" s="103">
        <v>-3.7806650719986679E-2</v>
      </c>
      <c r="H18" s="97">
        <v>-4.6531589025620441E-2</v>
      </c>
      <c r="I18" s="108">
        <v>409332.44587730616</v>
      </c>
      <c r="J18" s="56">
        <f t="shared" si="3"/>
        <v>409332</v>
      </c>
      <c r="K18" s="56">
        <v>84.70117197276393</v>
      </c>
      <c r="L18" s="16">
        <f t="shared" si="1"/>
        <v>-3.7807698817157842E-2</v>
      </c>
      <c r="M18" s="16">
        <f t="shared" si="2"/>
        <v>-4.6532627618898204E-2</v>
      </c>
    </row>
    <row r="19" spans="1:13" x14ac:dyDescent="0.2">
      <c r="A19" s="156"/>
      <c r="B19" s="156" t="s">
        <v>584</v>
      </c>
      <c r="D19" s="68">
        <v>355470</v>
      </c>
      <c r="E19" s="73">
        <v>80.1713172210344</v>
      </c>
      <c r="F19" s="55"/>
      <c r="G19" s="103">
        <v>-3.9213528353466809E-2</v>
      </c>
      <c r="H19" s="97">
        <v>-4.6531589025620441E-2</v>
      </c>
      <c r="I19" s="108">
        <v>341530.76707619318</v>
      </c>
      <c r="J19" s="56">
        <f t="shared" si="3"/>
        <v>341531</v>
      </c>
      <c r="K19" s="56">
        <v>76.440870569061289</v>
      </c>
      <c r="L19" s="16">
        <f t="shared" si="1"/>
        <v>-3.921287309758914E-2</v>
      </c>
      <c r="M19" s="16">
        <f t="shared" si="2"/>
        <v>-4.6530938760656393E-2</v>
      </c>
    </row>
    <row r="20" spans="1:13" x14ac:dyDescent="0.2">
      <c r="A20" s="156"/>
      <c r="B20" s="156" t="s">
        <v>516</v>
      </c>
      <c r="D20" s="68">
        <v>850223.58205612726</v>
      </c>
      <c r="E20" s="73">
        <v>90.735152275031439</v>
      </c>
      <c r="F20" s="55"/>
      <c r="G20" s="103">
        <v>-3.3627453050132705E-2</v>
      </c>
      <c r="H20" s="97">
        <v>-4.6531589025620441E-2</v>
      </c>
      <c r="I20" s="108">
        <v>821632.72846841917</v>
      </c>
      <c r="J20" s="56">
        <f t="shared" si="3"/>
        <v>821633</v>
      </c>
      <c r="K20" s="56">
        <v>86.513130049873538</v>
      </c>
      <c r="L20" s="16">
        <f t="shared" si="1"/>
        <v>-3.3627133685219079E-2</v>
      </c>
      <c r="M20" s="16">
        <f t="shared" si="2"/>
        <v>-4.653127392524059E-2</v>
      </c>
    </row>
    <row r="21" spans="1:13" x14ac:dyDescent="0.2">
      <c r="A21" s="156"/>
      <c r="B21" s="156" t="s">
        <v>585</v>
      </c>
      <c r="D21" s="68">
        <v>397291</v>
      </c>
      <c r="E21" s="73">
        <v>84.248109410936934</v>
      </c>
      <c r="F21" s="55"/>
      <c r="G21" s="103">
        <v>-3.8604439872696905E-2</v>
      </c>
      <c r="H21" s="97">
        <v>-4.6531589025620441E-2</v>
      </c>
      <c r="I21" s="108">
        <v>381953.80347853637</v>
      </c>
      <c r="J21" s="56">
        <f t="shared" si="3"/>
        <v>381954</v>
      </c>
      <c r="K21" s="56">
        <v>80.327952337662509</v>
      </c>
      <c r="L21" s="16">
        <f t="shared" si="1"/>
        <v>-3.8603945218995683E-2</v>
      </c>
      <c r="M21" s="16">
        <f t="shared" si="2"/>
        <v>-4.6531098450566688E-2</v>
      </c>
    </row>
    <row r="22" spans="1:13" x14ac:dyDescent="0.2">
      <c r="A22" s="156"/>
      <c r="B22" s="156" t="s">
        <v>586</v>
      </c>
      <c r="D22" s="68">
        <v>273461.27952278708</v>
      </c>
      <c r="E22" s="73">
        <v>72.241052338666222</v>
      </c>
      <c r="F22" s="55"/>
      <c r="G22" s="103">
        <v>-3.9386698065951187E-2</v>
      </c>
      <c r="H22" s="97">
        <v>-4.6531589025620441E-2</v>
      </c>
      <c r="I22" s="108">
        <v>262690.54267349438</v>
      </c>
      <c r="J22" s="56">
        <f t="shared" si="3"/>
        <v>262691</v>
      </c>
      <c r="K22" s="56">
        <v>68.879681295132684</v>
      </c>
      <c r="L22" s="16">
        <f t="shared" si="1"/>
        <v>-3.9385025703025045E-2</v>
      </c>
      <c r="M22" s="16">
        <f t="shared" si="2"/>
        <v>-4.6529929101467471E-2</v>
      </c>
    </row>
    <row r="23" spans="1:13" x14ac:dyDescent="0.2">
      <c r="A23" s="156"/>
      <c r="B23" s="156" t="s">
        <v>537</v>
      </c>
      <c r="D23" s="68">
        <v>250080</v>
      </c>
      <c r="E23" s="73">
        <v>88.124665673878127</v>
      </c>
      <c r="F23" s="55"/>
      <c r="G23" s="103">
        <v>-4.0482558575159033E-2</v>
      </c>
      <c r="H23" s="97">
        <v>-4.6531589025620441E-2</v>
      </c>
      <c r="I23" s="108">
        <v>239956.12175152422</v>
      </c>
      <c r="J23" s="56">
        <f t="shared" si="3"/>
        <v>239956</v>
      </c>
      <c r="K23" s="56">
        <v>84.024042314674858</v>
      </c>
      <c r="L23" s="16">
        <f t="shared" si="1"/>
        <v>-4.0483045425463882E-2</v>
      </c>
      <c r="M23" s="16">
        <f t="shared" si="2"/>
        <v>-4.6532072806703129E-2</v>
      </c>
    </row>
    <row r="24" spans="1:13" x14ac:dyDescent="0.2">
      <c r="A24" s="156"/>
      <c r="B24" s="156" t="s">
        <v>587</v>
      </c>
      <c r="D24" s="68">
        <v>295589.94297415134</v>
      </c>
      <c r="E24" s="73">
        <v>90.152719808608467</v>
      </c>
      <c r="F24" s="55"/>
      <c r="G24" s="103">
        <v>-3.9676666329034327E-2</v>
      </c>
      <c r="H24" s="97">
        <v>-4.6531589025620441E-2</v>
      </c>
      <c r="I24" s="108">
        <v>283861.91943654767</v>
      </c>
      <c r="J24" s="56">
        <f t="shared" si="3"/>
        <v>283862</v>
      </c>
      <c r="K24" s="56">
        <v>85.95779489678921</v>
      </c>
      <c r="L24" s="16">
        <f t="shared" si="1"/>
        <v>-3.9676393777635766E-2</v>
      </c>
      <c r="M24" s="16">
        <f t="shared" si="2"/>
        <v>-4.6531318419732126E-2</v>
      </c>
    </row>
    <row r="25" spans="1:13" x14ac:dyDescent="0.2">
      <c r="A25" s="156"/>
      <c r="B25" s="156"/>
      <c r="D25" s="68"/>
      <c r="E25" s="73"/>
      <c r="F25" s="55"/>
      <c r="G25" s="103"/>
      <c r="H25" s="97"/>
      <c r="I25" s="108"/>
      <c r="J25" s="56"/>
      <c r="K25" s="56"/>
      <c r="L25" s="16"/>
      <c r="M25" s="16"/>
    </row>
    <row r="26" spans="1:13" s="43" customFormat="1" x14ac:dyDescent="0.2">
      <c r="A26" s="2"/>
      <c r="B26" s="59" t="s">
        <v>12</v>
      </c>
      <c r="D26" s="23">
        <f>SUM(D12:D24)</f>
        <v>5350823.3534933766</v>
      </c>
      <c r="E26" s="74">
        <v>93.335077299700671</v>
      </c>
      <c r="F26" s="60"/>
      <c r="G26" s="104">
        <f>I26/D26 - 1</f>
        <v>-3.9587009008169805E-2</v>
      </c>
      <c r="H26" s="26">
        <v>-4.6531589025620441E-2</v>
      </c>
      <c r="I26" s="109">
        <f>SUM(I12:I24)</f>
        <v>5139000.2611975092</v>
      </c>
      <c r="J26" s="24">
        <f>SUM(J12:J24)</f>
        <v>5139000</v>
      </c>
      <c r="K26" s="61">
        <v>88.97490384335002</v>
      </c>
      <c r="L26" s="25">
        <f>J26/D26 - 1</f>
        <v>-3.9587057822621619E-2</v>
      </c>
      <c r="M26" s="25">
        <f>K26/E26 - 1</f>
        <v>-4.6715271283807369E-2</v>
      </c>
    </row>
    <row r="27" spans="1:13" x14ac:dyDescent="0.2">
      <c r="D27" s="13"/>
      <c r="E27" s="69"/>
      <c r="G27" s="125"/>
      <c r="H27" s="15"/>
      <c r="I27" s="107"/>
      <c r="J27" s="3"/>
      <c r="K27" s="3"/>
      <c r="L27" s="3"/>
      <c r="M27" s="3"/>
    </row>
    <row r="28" spans="1:13" x14ac:dyDescent="0.2">
      <c r="B28" s="43"/>
      <c r="D28" s="1"/>
    </row>
    <row r="29" spans="1:13" x14ac:dyDescent="0.2">
      <c r="B29" s="225" t="s">
        <v>514</v>
      </c>
      <c r="D29" s="172">
        <f>SUM(D12:D15)</f>
        <v>1733446.4486097628</v>
      </c>
      <c r="E29" s="227">
        <v>108.2099626912086</v>
      </c>
      <c r="J29" s="172">
        <f>SUM(J12:J15)</f>
        <v>1659755</v>
      </c>
      <c r="K29" s="227">
        <v>103.17318874661794</v>
      </c>
      <c r="L29" s="179">
        <f t="shared" ref="L29:M32" si="4">J29/D29 - 1</f>
        <v>-4.2511523023318065E-2</v>
      </c>
      <c r="M29" s="179">
        <f t="shared" si="4"/>
        <v>-4.6546305158276069E-2</v>
      </c>
    </row>
    <row r="30" spans="1:13" x14ac:dyDescent="0.2">
      <c r="B30" s="54" t="s">
        <v>515</v>
      </c>
      <c r="D30" s="55">
        <f>SUM(D16:D19)</f>
        <v>1550731.1003305488</v>
      </c>
      <c r="E30" s="227">
        <v>89.524767377415031</v>
      </c>
      <c r="G30" s="167"/>
      <c r="H30" s="169"/>
      <c r="I30" s="55"/>
      <c r="J30" s="55">
        <f>SUM(J16:J19)</f>
        <v>1489149</v>
      </c>
      <c r="K30" s="227">
        <v>85.354021729249084</v>
      </c>
      <c r="L30" s="179">
        <f t="shared" si="4"/>
        <v>-3.9711656210043245E-2</v>
      </c>
      <c r="M30" s="179">
        <f t="shared" si="4"/>
        <v>-4.658761782181553E-2</v>
      </c>
    </row>
    <row r="31" spans="1:13" x14ac:dyDescent="0.2">
      <c r="B31" s="225" t="s">
        <v>516</v>
      </c>
      <c r="D31" s="55">
        <f>D20</f>
        <v>850223.58205612726</v>
      </c>
      <c r="E31" s="227">
        <v>90.735152275031439</v>
      </c>
      <c r="G31" s="167"/>
      <c r="H31" s="169"/>
      <c r="I31" s="55"/>
      <c r="J31" s="55">
        <f>J20</f>
        <v>821633</v>
      </c>
      <c r="K31" s="227">
        <v>86.513130049873538</v>
      </c>
      <c r="L31" s="179">
        <f t="shared" si="4"/>
        <v>-3.3627133685219079E-2</v>
      </c>
      <c r="M31" s="179">
        <f t="shared" si="4"/>
        <v>-4.653127392524059E-2</v>
      </c>
    </row>
    <row r="32" spans="1:13" x14ac:dyDescent="0.2">
      <c r="B32" s="225" t="s">
        <v>517</v>
      </c>
      <c r="D32" s="55">
        <f>SUM(D21:D24)</f>
        <v>1216422.2224969384</v>
      </c>
      <c r="E32" s="227">
        <v>83.215745637628217</v>
      </c>
      <c r="G32" s="167"/>
      <c r="H32" s="169"/>
      <c r="I32" s="55"/>
      <c r="J32" s="55">
        <f>SUM(J21:J24)</f>
        <v>1168463</v>
      </c>
      <c r="K32" s="227">
        <v>79.342400515437035</v>
      </c>
      <c r="L32" s="179">
        <f t="shared" si="4"/>
        <v>-3.9426460327642632E-2</v>
      </c>
      <c r="M32" s="179">
        <f t="shared" si="4"/>
        <v>-4.6545820054993858E-2</v>
      </c>
    </row>
    <row r="33" spans="2:13" x14ac:dyDescent="0.2">
      <c r="D33" s="55"/>
      <c r="E33" s="166"/>
      <c r="G33" s="167"/>
      <c r="H33" s="169"/>
      <c r="I33" s="55"/>
      <c r="J33" s="55"/>
      <c r="K33" s="166"/>
      <c r="L33" s="171"/>
      <c r="M33" s="171"/>
    </row>
    <row r="34" spans="2:13" x14ac:dyDescent="0.2">
      <c r="B34" s="156"/>
      <c r="D34" s="1"/>
      <c r="I34" s="1"/>
      <c r="J34" s="1"/>
      <c r="K34" s="75"/>
    </row>
    <row r="35" spans="2:13" x14ac:dyDescent="0.2">
      <c r="D35" s="172"/>
      <c r="E35" s="173"/>
      <c r="G35" s="167"/>
      <c r="H35" s="169"/>
      <c r="I35" s="172"/>
      <c r="J35" s="172"/>
      <c r="K35" s="166"/>
      <c r="L35" s="171"/>
      <c r="M35" s="171"/>
    </row>
    <row r="36" spans="2:13" x14ac:dyDescent="0.2">
      <c r="B36" s="156"/>
      <c r="D36" s="1"/>
      <c r="I36" s="1"/>
      <c r="J36" s="1"/>
      <c r="K36" s="75"/>
    </row>
    <row r="37" spans="2:13" x14ac:dyDescent="0.2">
      <c r="B37" s="43"/>
      <c r="D37" s="1"/>
      <c r="I37" s="1"/>
      <c r="J37" s="1"/>
      <c r="K37" s="75"/>
    </row>
    <row r="38" spans="2:13" x14ac:dyDescent="0.2">
      <c r="D38" s="1"/>
      <c r="I38" s="1"/>
      <c r="J38" s="1"/>
      <c r="K38" s="75"/>
    </row>
    <row r="39" spans="2:13" x14ac:dyDescent="0.2">
      <c r="D39" s="55"/>
      <c r="E39" s="166"/>
      <c r="G39" s="167"/>
      <c r="H39" s="169"/>
      <c r="I39" s="55"/>
      <c r="J39" s="55"/>
      <c r="K39" s="166"/>
      <c r="L39" s="171"/>
      <c r="M39" s="171"/>
    </row>
    <row r="40" spans="2:13" x14ac:dyDescent="0.2">
      <c r="D40" s="55"/>
      <c r="E40" s="166"/>
      <c r="G40" s="167"/>
      <c r="H40" s="169"/>
      <c r="I40" s="55"/>
      <c r="J40" s="55"/>
      <c r="K40" s="166"/>
      <c r="L40" s="171"/>
      <c r="M40" s="171"/>
    </row>
    <row r="41" spans="2:13" x14ac:dyDescent="0.2">
      <c r="D41" s="55"/>
      <c r="E41" s="166"/>
      <c r="G41" s="167"/>
      <c r="H41" s="169"/>
      <c r="I41" s="55"/>
      <c r="J41" s="55"/>
      <c r="K41" s="166"/>
      <c r="L41" s="171"/>
      <c r="M41" s="171"/>
    </row>
    <row r="42" spans="2:13" x14ac:dyDescent="0.2">
      <c r="D42" s="55"/>
      <c r="E42" s="166"/>
      <c r="G42" s="167"/>
      <c r="H42" s="169"/>
      <c r="I42" s="55"/>
      <c r="J42" s="55"/>
      <c r="K42" s="166"/>
      <c r="L42" s="171"/>
      <c r="M42" s="171"/>
    </row>
    <row r="43" spans="2:13" x14ac:dyDescent="0.2">
      <c r="D43" s="55"/>
      <c r="E43" s="166"/>
      <c r="G43" s="167"/>
      <c r="H43" s="169"/>
      <c r="I43" s="55"/>
      <c r="J43" s="55"/>
      <c r="K43" s="166"/>
      <c r="L43" s="171"/>
      <c r="M43" s="171"/>
    </row>
    <row r="44" spans="2:13" x14ac:dyDescent="0.2">
      <c r="D44" s="55"/>
      <c r="E44" s="166"/>
      <c r="G44" s="167"/>
      <c r="H44" s="169"/>
      <c r="I44" s="55"/>
      <c r="J44" s="55"/>
      <c r="K44" s="166"/>
      <c r="L44" s="171"/>
      <c r="M44" s="171"/>
    </row>
    <row r="45" spans="2:13" x14ac:dyDescent="0.2">
      <c r="D45" s="55"/>
      <c r="E45" s="166"/>
      <c r="G45" s="167"/>
      <c r="H45" s="169"/>
      <c r="I45" s="55"/>
      <c r="J45" s="55"/>
      <c r="K45" s="166"/>
      <c r="L45" s="171"/>
      <c r="M45" s="171"/>
    </row>
    <row r="46" spans="2:13" x14ac:dyDescent="0.2">
      <c r="D46" s="55"/>
      <c r="E46" s="166"/>
      <c r="G46" s="167"/>
      <c r="H46" s="169"/>
      <c r="I46" s="55"/>
      <c r="J46" s="55"/>
      <c r="K46" s="166"/>
      <c r="L46" s="171"/>
      <c r="M46" s="171"/>
    </row>
    <row r="47" spans="2:13" x14ac:dyDescent="0.2">
      <c r="D47" s="55"/>
      <c r="E47" s="166"/>
      <c r="G47" s="167"/>
      <c r="H47" s="169"/>
      <c r="I47" s="55"/>
      <c r="J47" s="55"/>
      <c r="K47" s="166"/>
      <c r="L47" s="171"/>
      <c r="M47" s="171"/>
    </row>
    <row r="48" spans="2:13" x14ac:dyDescent="0.2">
      <c r="D48" s="55"/>
      <c r="E48" s="166"/>
      <c r="G48" s="167"/>
      <c r="H48" s="169"/>
      <c r="I48" s="55"/>
      <c r="J48" s="55"/>
      <c r="K48" s="166"/>
      <c r="L48" s="171"/>
      <c r="M48" s="171"/>
    </row>
    <row r="49" spans="2:13" x14ac:dyDescent="0.2">
      <c r="D49" s="55"/>
      <c r="E49" s="166"/>
      <c r="G49" s="167"/>
      <c r="H49" s="169"/>
      <c r="I49" s="55"/>
      <c r="J49" s="55"/>
      <c r="K49" s="166"/>
      <c r="L49" s="171"/>
      <c r="M49" s="171"/>
    </row>
    <row r="50" spans="2:13" x14ac:dyDescent="0.2">
      <c r="D50" s="55"/>
      <c r="E50" s="166"/>
      <c r="G50" s="167"/>
      <c r="H50" s="169"/>
      <c r="I50" s="55"/>
      <c r="J50" s="55"/>
      <c r="K50" s="166"/>
      <c r="L50" s="171"/>
      <c r="M50" s="171"/>
    </row>
    <row r="51" spans="2:13" x14ac:dyDescent="0.2">
      <c r="D51" s="55"/>
      <c r="E51" s="166"/>
      <c r="G51" s="167"/>
      <c r="H51" s="169"/>
      <c r="I51" s="55"/>
      <c r="J51" s="55"/>
      <c r="K51" s="166"/>
      <c r="L51" s="171"/>
      <c r="M51" s="171"/>
    </row>
    <row r="52" spans="2:13" x14ac:dyDescent="0.2">
      <c r="D52" s="55"/>
      <c r="E52" s="166"/>
      <c r="G52" s="167"/>
      <c r="H52" s="169"/>
      <c r="I52" s="55"/>
      <c r="J52" s="55"/>
      <c r="K52" s="166"/>
      <c r="L52" s="171"/>
      <c r="M52" s="171"/>
    </row>
    <row r="53" spans="2:13" x14ac:dyDescent="0.2">
      <c r="D53" s="55"/>
      <c r="E53" s="166"/>
      <c r="G53" s="167"/>
      <c r="H53" s="169"/>
      <c r="I53" s="55"/>
      <c r="J53" s="55"/>
      <c r="K53" s="166"/>
      <c r="L53" s="171"/>
      <c r="M53" s="171"/>
    </row>
    <row r="54" spans="2:13" x14ac:dyDescent="0.2">
      <c r="D54" s="55"/>
      <c r="E54" s="166"/>
      <c r="G54" s="167"/>
      <c r="H54" s="169"/>
      <c r="I54" s="55"/>
      <c r="J54" s="55"/>
      <c r="K54" s="166"/>
      <c r="L54" s="171"/>
      <c r="M54" s="171"/>
    </row>
    <row r="55" spans="2:13" x14ac:dyDescent="0.2">
      <c r="D55" s="55"/>
      <c r="E55" s="166"/>
      <c r="G55" s="167"/>
      <c r="H55" s="169"/>
      <c r="I55" s="55"/>
      <c r="J55" s="55"/>
      <c r="K55" s="166"/>
      <c r="L55" s="171"/>
      <c r="M55" s="171"/>
    </row>
    <row r="56" spans="2:13" x14ac:dyDescent="0.2">
      <c r="D56" s="55"/>
      <c r="E56" s="166"/>
      <c r="G56" s="167"/>
      <c r="H56" s="169"/>
      <c r="I56" s="55"/>
      <c r="J56" s="55"/>
      <c r="K56" s="166"/>
      <c r="L56" s="171"/>
      <c r="M56" s="171"/>
    </row>
    <row r="57" spans="2:13" x14ac:dyDescent="0.2">
      <c r="D57" s="55"/>
      <c r="E57" s="166"/>
      <c r="G57" s="167"/>
      <c r="H57" s="169"/>
      <c r="I57" s="55"/>
      <c r="J57" s="55"/>
      <c r="K57" s="166"/>
      <c r="L57" s="171"/>
      <c r="M57" s="171"/>
    </row>
    <row r="58" spans="2:13" x14ac:dyDescent="0.2">
      <c r="D58" s="55"/>
      <c r="E58" s="166"/>
      <c r="G58" s="167"/>
      <c r="H58" s="169"/>
      <c r="I58" s="55"/>
      <c r="J58" s="55"/>
      <c r="K58" s="166"/>
      <c r="L58" s="171"/>
      <c r="M58" s="171"/>
    </row>
    <row r="59" spans="2:13" x14ac:dyDescent="0.2">
      <c r="D59" s="55"/>
      <c r="E59" s="166"/>
      <c r="G59" s="167"/>
      <c r="H59" s="169"/>
      <c r="I59" s="55"/>
      <c r="J59" s="55"/>
      <c r="K59" s="166"/>
      <c r="L59" s="171"/>
      <c r="M59" s="171"/>
    </row>
    <row r="60" spans="2:13" x14ac:dyDescent="0.2">
      <c r="D60" s="55"/>
      <c r="E60" s="166"/>
      <c r="G60" s="167"/>
      <c r="H60" s="169"/>
      <c r="I60" s="55"/>
      <c r="J60" s="55"/>
      <c r="K60" s="166"/>
      <c r="L60" s="171"/>
      <c r="M60" s="171"/>
    </row>
    <row r="61" spans="2:13" x14ac:dyDescent="0.2">
      <c r="D61" s="55"/>
      <c r="E61" s="166"/>
      <c r="G61" s="167"/>
      <c r="H61" s="169"/>
      <c r="I61" s="55"/>
      <c r="J61" s="55"/>
      <c r="K61" s="166"/>
      <c r="L61" s="171"/>
      <c r="M61" s="171"/>
    </row>
    <row r="62" spans="2:13" x14ac:dyDescent="0.2">
      <c r="D62" s="55"/>
      <c r="E62" s="166"/>
      <c r="G62" s="167"/>
      <c r="H62" s="169"/>
      <c r="I62" s="55"/>
      <c r="J62" s="55"/>
      <c r="K62" s="166"/>
      <c r="L62" s="171"/>
      <c r="M62" s="171"/>
    </row>
    <row r="63" spans="2:13" x14ac:dyDescent="0.2">
      <c r="D63" s="55"/>
      <c r="E63" s="166"/>
      <c r="G63" s="167"/>
      <c r="H63" s="169"/>
      <c r="I63" s="55"/>
      <c r="J63" s="55"/>
      <c r="K63" s="166"/>
      <c r="L63" s="171"/>
      <c r="M63" s="171"/>
    </row>
    <row r="64" spans="2:13" x14ac:dyDescent="0.2">
      <c r="B64" s="156"/>
      <c r="D64" s="1"/>
      <c r="I64" s="1"/>
      <c r="J64" s="1"/>
      <c r="K64" s="75"/>
    </row>
    <row r="65" spans="2:13" x14ac:dyDescent="0.2">
      <c r="D65" s="172"/>
      <c r="E65" s="173"/>
      <c r="G65" s="167"/>
      <c r="H65" s="169"/>
      <c r="I65" s="172"/>
      <c r="J65" s="172"/>
      <c r="K65" s="166"/>
      <c r="L65" s="171"/>
      <c r="M65" s="171"/>
    </row>
    <row r="66" spans="2:13" x14ac:dyDescent="0.2">
      <c r="B66" s="156"/>
      <c r="D66" s="1"/>
      <c r="I66" s="1"/>
      <c r="J66" s="1"/>
      <c r="K66" s="75"/>
    </row>
    <row r="67" spans="2:13" x14ac:dyDescent="0.2">
      <c r="B67" s="229"/>
      <c r="D67" s="1"/>
      <c r="I67" s="1"/>
      <c r="J67" s="1"/>
      <c r="K67" s="75"/>
    </row>
    <row r="68" spans="2:13" x14ac:dyDescent="0.2">
      <c r="B68" s="156"/>
      <c r="D68" s="55"/>
      <c r="E68" s="166"/>
      <c r="G68" s="167"/>
      <c r="H68" s="169"/>
      <c r="I68" s="55"/>
      <c r="J68" s="55"/>
      <c r="K68" s="166"/>
      <c r="L68" s="171"/>
      <c r="M68" s="171"/>
    </row>
    <row r="69" spans="2:13" x14ac:dyDescent="0.2">
      <c r="B69" s="156"/>
      <c r="D69" s="55"/>
      <c r="E69" s="166"/>
      <c r="G69" s="167"/>
      <c r="H69" s="169"/>
      <c r="I69" s="55"/>
      <c r="J69" s="55"/>
      <c r="K69" s="166"/>
      <c r="L69" s="171"/>
      <c r="M69" s="171"/>
    </row>
    <row r="70" spans="2:13" x14ac:dyDescent="0.2">
      <c r="B70" s="156"/>
      <c r="D70" s="55"/>
      <c r="E70" s="166"/>
      <c r="G70" s="167"/>
      <c r="H70" s="169"/>
      <c r="I70" s="55"/>
      <c r="J70" s="55"/>
      <c r="K70" s="166"/>
      <c r="L70" s="171"/>
      <c r="M70" s="171"/>
    </row>
    <row r="71" spans="2:13" x14ac:dyDescent="0.2">
      <c r="B71" s="156"/>
      <c r="D71" s="55"/>
      <c r="E71" s="166"/>
      <c r="G71" s="167"/>
      <c r="H71" s="169"/>
      <c r="I71" s="55"/>
      <c r="J71" s="55"/>
      <c r="K71" s="166"/>
      <c r="L71" s="171"/>
      <c r="M71" s="171"/>
    </row>
    <row r="72" spans="2:13" x14ac:dyDescent="0.2">
      <c r="B72" s="156"/>
      <c r="D72" s="55"/>
      <c r="E72" s="166"/>
      <c r="G72" s="167"/>
      <c r="H72" s="169"/>
      <c r="I72" s="55"/>
      <c r="J72" s="55"/>
      <c r="K72" s="166"/>
      <c r="L72" s="171"/>
      <c r="M72" s="171"/>
    </row>
    <row r="73" spans="2:13" x14ac:dyDescent="0.2">
      <c r="B73" s="156"/>
      <c r="D73" s="55"/>
      <c r="E73" s="166"/>
      <c r="G73" s="167"/>
      <c r="H73" s="169"/>
      <c r="I73" s="55"/>
      <c r="J73" s="55"/>
      <c r="K73" s="166"/>
      <c r="L73" s="171"/>
      <c r="M73" s="171"/>
    </row>
    <row r="74" spans="2:13" x14ac:dyDescent="0.2">
      <c r="B74" s="156"/>
      <c r="D74" s="55"/>
      <c r="E74" s="166"/>
      <c r="G74" s="167"/>
      <c r="H74" s="169"/>
      <c r="I74" s="55"/>
      <c r="J74" s="55"/>
      <c r="K74" s="166"/>
      <c r="L74" s="171"/>
      <c r="M74" s="171"/>
    </row>
    <row r="75" spans="2:13" x14ac:dyDescent="0.2">
      <c r="B75" s="156"/>
      <c r="D75" s="55"/>
      <c r="E75" s="166"/>
      <c r="G75" s="167"/>
      <c r="H75" s="169"/>
      <c r="I75" s="55"/>
      <c r="J75" s="55"/>
      <c r="K75" s="166"/>
      <c r="L75" s="171"/>
      <c r="M75" s="171"/>
    </row>
    <row r="76" spans="2:13" x14ac:dyDescent="0.2">
      <c r="B76" s="156"/>
      <c r="D76" s="55"/>
      <c r="E76" s="166"/>
      <c r="G76" s="167"/>
      <c r="H76" s="169"/>
      <c r="I76" s="55"/>
      <c r="J76" s="55"/>
      <c r="K76" s="166"/>
      <c r="L76" s="171"/>
      <c r="M76" s="171"/>
    </row>
    <row r="77" spans="2:13" x14ac:dyDescent="0.2">
      <c r="B77" s="156"/>
      <c r="D77" s="55"/>
      <c r="E77" s="166"/>
      <c r="G77" s="167"/>
      <c r="H77" s="169"/>
      <c r="I77" s="55"/>
      <c r="J77" s="55"/>
      <c r="K77" s="166"/>
      <c r="L77" s="171"/>
      <c r="M77" s="171"/>
    </row>
    <row r="78" spans="2:13" x14ac:dyDescent="0.2">
      <c r="B78" s="156"/>
      <c r="D78" s="1"/>
      <c r="I78" s="1"/>
      <c r="J78" s="1"/>
      <c r="K78" s="75"/>
    </row>
    <row r="79" spans="2:13" x14ac:dyDescent="0.2">
      <c r="B79" s="156"/>
      <c r="D79" s="172"/>
      <c r="E79" s="173"/>
      <c r="G79" s="167"/>
      <c r="H79" s="169"/>
      <c r="I79" s="172"/>
      <c r="J79" s="172"/>
      <c r="K79" s="166"/>
      <c r="L79" s="171"/>
      <c r="M79" s="171"/>
    </row>
    <row r="80" spans="2:13" x14ac:dyDescent="0.2">
      <c r="B80" s="156"/>
      <c r="D80" s="1"/>
      <c r="I80" s="1"/>
      <c r="J80" s="1"/>
      <c r="K80" s="75"/>
    </row>
    <row r="81" spans="2:13" x14ac:dyDescent="0.2">
      <c r="B81" s="229"/>
      <c r="D81" s="1"/>
      <c r="I81" s="1"/>
      <c r="J81" s="1"/>
      <c r="K81" s="75"/>
    </row>
    <row r="82" spans="2:13" x14ac:dyDescent="0.2">
      <c r="B82" s="156"/>
      <c r="D82" s="55"/>
      <c r="E82" s="166"/>
      <c r="G82" s="167"/>
      <c r="H82" s="169"/>
      <c r="I82" s="55"/>
      <c r="J82" s="55"/>
      <c r="K82" s="166"/>
      <c r="L82" s="171"/>
      <c r="M82" s="171"/>
    </row>
    <row r="83" spans="2:13" x14ac:dyDescent="0.2">
      <c r="B83" s="156"/>
      <c r="D83" s="55"/>
      <c r="E83" s="166"/>
      <c r="G83" s="167"/>
      <c r="H83" s="169"/>
      <c r="I83" s="55"/>
      <c r="J83" s="55"/>
      <c r="K83" s="166"/>
      <c r="L83" s="171"/>
      <c r="M83" s="171"/>
    </row>
    <row r="84" spans="2:13" x14ac:dyDescent="0.2">
      <c r="B84" s="156"/>
      <c r="D84" s="55"/>
      <c r="E84" s="166"/>
      <c r="G84" s="167"/>
      <c r="H84" s="169"/>
      <c r="I84" s="55"/>
      <c r="J84" s="55"/>
      <c r="K84" s="166"/>
      <c r="L84" s="171"/>
      <c r="M84" s="171"/>
    </row>
    <row r="85" spans="2:13" x14ac:dyDescent="0.2">
      <c r="B85" s="156"/>
      <c r="D85" s="55"/>
      <c r="E85" s="166"/>
      <c r="G85" s="167"/>
      <c r="H85" s="169"/>
      <c r="I85" s="55"/>
      <c r="J85" s="55"/>
      <c r="K85" s="166"/>
      <c r="L85" s="171"/>
      <c r="M85" s="171"/>
    </row>
    <row r="86" spans="2:13" x14ac:dyDescent="0.2">
      <c r="B86" s="156"/>
      <c r="D86" s="55"/>
      <c r="E86" s="166"/>
      <c r="G86" s="167"/>
      <c r="H86" s="169"/>
      <c r="I86" s="55"/>
      <c r="J86" s="55"/>
      <c r="K86" s="166"/>
      <c r="L86" s="171"/>
      <c r="M86" s="171"/>
    </row>
    <row r="87" spans="2:13" x14ac:dyDescent="0.2">
      <c r="B87" s="156"/>
      <c r="D87" s="55"/>
      <c r="E87" s="166"/>
      <c r="G87" s="167"/>
      <c r="H87" s="169"/>
      <c r="I87" s="55"/>
      <c r="J87" s="55"/>
      <c r="K87" s="166"/>
      <c r="L87" s="171"/>
      <c r="M87" s="171"/>
    </row>
    <row r="88" spans="2:13" x14ac:dyDescent="0.2">
      <c r="B88" s="156"/>
      <c r="D88" s="55"/>
      <c r="E88" s="166"/>
      <c r="G88" s="167"/>
      <c r="H88" s="169"/>
      <c r="I88" s="55"/>
      <c r="J88" s="55"/>
      <c r="K88" s="166"/>
      <c r="L88" s="171"/>
      <c r="M88" s="171"/>
    </row>
    <row r="89" spans="2:13" x14ac:dyDescent="0.2">
      <c r="B89" s="156"/>
      <c r="D89" s="55"/>
      <c r="E89" s="166"/>
      <c r="G89" s="167"/>
      <c r="H89" s="169"/>
      <c r="I89" s="55"/>
      <c r="J89" s="55"/>
      <c r="K89" s="166"/>
      <c r="L89" s="171"/>
      <c r="M89" s="171"/>
    </row>
    <row r="90" spans="2:13" x14ac:dyDescent="0.2">
      <c r="B90" s="156"/>
      <c r="D90" s="55"/>
      <c r="E90" s="166"/>
      <c r="G90" s="167"/>
      <c r="H90" s="169"/>
      <c r="I90" s="55"/>
      <c r="J90" s="55"/>
      <c r="K90" s="166"/>
      <c r="L90" s="171"/>
      <c r="M90" s="171"/>
    </row>
    <row r="91" spans="2:13" x14ac:dyDescent="0.2">
      <c r="B91" s="156"/>
      <c r="D91" s="55"/>
      <c r="E91" s="166"/>
      <c r="G91" s="167"/>
      <c r="H91" s="169"/>
      <c r="I91" s="55"/>
      <c r="J91" s="55"/>
      <c r="K91" s="166"/>
      <c r="L91" s="171"/>
      <c r="M91" s="171"/>
    </row>
    <row r="92" spans="2:13" x14ac:dyDescent="0.2">
      <c r="B92" s="156"/>
      <c r="D92" s="1"/>
      <c r="I92" s="1"/>
      <c r="J92" s="1"/>
      <c r="K92" s="75"/>
    </row>
    <row r="93" spans="2:13" x14ac:dyDescent="0.2">
      <c r="B93" s="156"/>
      <c r="D93" s="172"/>
      <c r="E93" s="173"/>
      <c r="G93" s="167"/>
      <c r="H93" s="169"/>
      <c r="I93" s="172"/>
      <c r="J93" s="172"/>
      <c r="K93" s="166"/>
      <c r="L93" s="171"/>
      <c r="M93" s="171"/>
    </row>
    <row r="94" spans="2:13" x14ac:dyDescent="0.2">
      <c r="B94" s="156"/>
      <c r="D94" s="1"/>
      <c r="I94" s="1"/>
      <c r="J94" s="1"/>
      <c r="K94" s="75"/>
    </row>
    <row r="95" spans="2:13" x14ac:dyDescent="0.2">
      <c r="B95" s="229"/>
      <c r="D95" s="1"/>
      <c r="I95" s="1"/>
      <c r="J95" s="1"/>
      <c r="K95" s="75"/>
    </row>
    <row r="96" spans="2:13" x14ac:dyDescent="0.2">
      <c r="B96" s="156"/>
      <c r="D96" s="1"/>
      <c r="I96" s="1"/>
      <c r="J96" s="1"/>
      <c r="K96" s="75"/>
    </row>
    <row r="97" spans="2:13" x14ac:dyDescent="0.2">
      <c r="B97" s="156"/>
      <c r="D97" s="55"/>
      <c r="E97" s="166"/>
      <c r="G97" s="167"/>
      <c r="H97" s="169"/>
      <c r="I97" s="55"/>
      <c r="J97" s="55"/>
      <c r="K97" s="166"/>
      <c r="L97" s="171"/>
      <c r="M97" s="171"/>
    </row>
    <row r="98" spans="2:13" x14ac:dyDescent="0.2">
      <c r="B98" s="156"/>
      <c r="D98" s="55"/>
      <c r="E98" s="166"/>
      <c r="G98" s="167"/>
      <c r="H98" s="169"/>
      <c r="I98" s="55"/>
      <c r="J98" s="55"/>
      <c r="K98" s="166"/>
      <c r="L98" s="171"/>
      <c r="M98" s="171"/>
    </row>
    <row r="99" spans="2:13" x14ac:dyDescent="0.2">
      <c r="B99" s="156"/>
      <c r="D99" s="55"/>
      <c r="E99" s="166"/>
      <c r="G99" s="167"/>
      <c r="H99" s="169"/>
      <c r="I99" s="55"/>
      <c r="J99" s="55"/>
      <c r="K99" s="166"/>
      <c r="L99" s="171"/>
      <c r="M99" s="171"/>
    </row>
    <row r="100" spans="2:13" x14ac:dyDescent="0.2">
      <c r="B100" s="156"/>
      <c r="D100" s="55"/>
      <c r="E100" s="166"/>
      <c r="G100" s="167"/>
      <c r="H100" s="169"/>
      <c r="I100" s="55"/>
      <c r="J100" s="55"/>
      <c r="K100" s="166"/>
      <c r="L100" s="171"/>
      <c r="M100" s="171"/>
    </row>
    <row r="101" spans="2:13" x14ac:dyDescent="0.2">
      <c r="B101" s="156"/>
      <c r="D101" s="55"/>
      <c r="E101" s="166"/>
      <c r="G101" s="167"/>
      <c r="H101" s="169"/>
      <c r="I101" s="55"/>
      <c r="J101" s="55"/>
      <c r="K101" s="166"/>
      <c r="L101" s="171"/>
      <c r="M101" s="171"/>
    </row>
    <row r="102" spans="2:13" x14ac:dyDescent="0.2">
      <c r="B102" s="156"/>
      <c r="D102" s="55"/>
      <c r="E102" s="166"/>
      <c r="G102" s="167"/>
      <c r="H102" s="169"/>
      <c r="I102" s="55"/>
      <c r="J102" s="55"/>
      <c r="K102" s="166"/>
      <c r="L102" s="171"/>
      <c r="M102" s="171"/>
    </row>
    <row r="103" spans="2:13" x14ac:dyDescent="0.2">
      <c r="B103" s="156"/>
      <c r="D103" s="55"/>
      <c r="E103" s="166"/>
      <c r="G103" s="167"/>
      <c r="H103" s="169"/>
      <c r="I103" s="55"/>
      <c r="J103" s="55"/>
      <c r="K103" s="166"/>
      <c r="L103" s="171"/>
      <c r="M103" s="171"/>
    </row>
    <row r="104" spans="2:13" x14ac:dyDescent="0.2">
      <c r="B104" s="156"/>
      <c r="D104" s="55"/>
      <c r="E104" s="166"/>
      <c r="G104" s="167"/>
      <c r="H104" s="169"/>
      <c r="I104" s="55"/>
      <c r="J104" s="55"/>
      <c r="K104" s="166"/>
      <c r="L104" s="171"/>
      <c r="M104" s="171"/>
    </row>
    <row r="105" spans="2:13" x14ac:dyDescent="0.2">
      <c r="B105" s="156"/>
      <c r="D105" s="55"/>
      <c r="E105" s="166"/>
      <c r="G105" s="167"/>
      <c r="H105" s="169"/>
      <c r="I105" s="55"/>
      <c r="J105" s="55"/>
      <c r="K105" s="166"/>
      <c r="L105" s="171"/>
      <c r="M105" s="171"/>
    </row>
    <row r="106" spans="2:13" x14ac:dyDescent="0.2">
      <c r="B106" s="156"/>
      <c r="D106" s="55"/>
      <c r="E106" s="166"/>
      <c r="G106" s="167"/>
      <c r="H106" s="169"/>
      <c r="I106" s="55"/>
      <c r="J106" s="55"/>
      <c r="K106" s="166"/>
      <c r="L106" s="171"/>
      <c r="M106" s="171"/>
    </row>
    <row r="107" spans="2:13" x14ac:dyDescent="0.2">
      <c r="B107" s="156"/>
      <c r="D107" s="55"/>
      <c r="E107" s="166"/>
      <c r="G107" s="167"/>
      <c r="H107" s="169"/>
      <c r="I107" s="55"/>
      <c r="J107" s="55"/>
      <c r="K107" s="166"/>
      <c r="L107" s="171"/>
      <c r="M107" s="171"/>
    </row>
    <row r="108" spans="2:13" x14ac:dyDescent="0.2">
      <c r="B108" s="156"/>
      <c r="D108" s="55"/>
      <c r="E108" s="166"/>
      <c r="G108" s="167"/>
      <c r="H108" s="169"/>
      <c r="I108" s="55"/>
      <c r="J108" s="55"/>
      <c r="K108" s="166"/>
      <c r="L108" s="171"/>
      <c r="M108" s="171"/>
    </row>
    <row r="109" spans="2:13" x14ac:dyDescent="0.2">
      <c r="B109" s="156"/>
      <c r="D109" s="1"/>
      <c r="I109" s="1"/>
      <c r="J109" s="1"/>
      <c r="K109" s="75"/>
    </row>
    <row r="110" spans="2:13" x14ac:dyDescent="0.2">
      <c r="B110" s="156"/>
      <c r="D110" s="172"/>
      <c r="E110" s="173"/>
      <c r="G110" s="167"/>
      <c r="H110" s="169"/>
      <c r="I110" s="172"/>
      <c r="J110" s="172"/>
      <c r="K110" s="166"/>
      <c r="L110" s="171"/>
      <c r="M110" s="171"/>
    </row>
    <row r="111" spans="2:13" x14ac:dyDescent="0.2">
      <c r="B111" s="156"/>
      <c r="D111" s="1"/>
      <c r="I111" s="1"/>
      <c r="J111" s="1"/>
      <c r="K111" s="75"/>
    </row>
    <row r="112" spans="2:13" x14ac:dyDescent="0.2">
      <c r="B112" s="43"/>
      <c r="D112" s="1"/>
      <c r="I112" s="1"/>
      <c r="J112" s="1"/>
      <c r="K112" s="75"/>
    </row>
    <row r="113" spans="2:13" x14ac:dyDescent="0.2">
      <c r="B113" s="156"/>
      <c r="D113" s="1"/>
      <c r="I113" s="1"/>
      <c r="J113" s="1"/>
      <c r="K113" s="75"/>
    </row>
    <row r="114" spans="2:13" x14ac:dyDescent="0.2">
      <c r="B114" s="156"/>
      <c r="D114" s="55"/>
      <c r="E114" s="166"/>
      <c r="G114" s="167"/>
      <c r="H114" s="169"/>
      <c r="I114" s="55"/>
      <c r="J114" s="55"/>
      <c r="K114" s="166"/>
      <c r="L114" s="171"/>
      <c r="M114" s="171"/>
    </row>
    <row r="115" spans="2:13" x14ac:dyDescent="0.2">
      <c r="B115" s="156"/>
      <c r="D115" s="55"/>
      <c r="E115" s="166"/>
      <c r="G115" s="167"/>
      <c r="H115" s="169"/>
      <c r="I115" s="55"/>
      <c r="J115" s="55"/>
      <c r="K115" s="166"/>
      <c r="L115" s="171"/>
      <c r="M115" s="171"/>
    </row>
    <row r="116" spans="2:13" x14ac:dyDescent="0.2">
      <c r="B116" s="156"/>
      <c r="D116" s="55"/>
      <c r="E116" s="166"/>
      <c r="G116" s="167"/>
      <c r="H116" s="169"/>
      <c r="I116" s="55"/>
      <c r="J116" s="55"/>
      <c r="K116" s="166"/>
      <c r="L116" s="171"/>
      <c r="M116" s="171"/>
    </row>
    <row r="117" spans="2:13" x14ac:dyDescent="0.2">
      <c r="B117" s="156"/>
      <c r="D117" s="55"/>
      <c r="E117" s="166"/>
      <c r="G117" s="167"/>
      <c r="H117" s="169"/>
      <c r="I117" s="55"/>
      <c r="J117" s="55"/>
      <c r="K117" s="166"/>
      <c r="L117" s="171"/>
      <c r="M117" s="171"/>
    </row>
    <row r="118" spans="2:13" x14ac:dyDescent="0.2">
      <c r="B118" s="156"/>
      <c r="D118" s="55"/>
      <c r="E118" s="166"/>
      <c r="G118" s="167"/>
      <c r="H118" s="169"/>
      <c r="I118" s="55"/>
      <c r="J118" s="55"/>
      <c r="K118" s="166"/>
      <c r="L118" s="171"/>
      <c r="M118" s="171"/>
    </row>
    <row r="119" spans="2:13" x14ac:dyDescent="0.2">
      <c r="B119" s="156"/>
      <c r="D119" s="55"/>
      <c r="E119" s="166"/>
      <c r="G119" s="167"/>
      <c r="H119" s="169"/>
      <c r="I119" s="55"/>
      <c r="J119" s="55"/>
      <c r="K119" s="166"/>
      <c r="L119" s="171"/>
      <c r="M119" s="171"/>
    </row>
    <row r="120" spans="2:13" x14ac:dyDescent="0.2">
      <c r="B120" s="156"/>
      <c r="D120" s="55"/>
      <c r="E120" s="166"/>
      <c r="G120" s="167"/>
      <c r="H120" s="169"/>
      <c r="I120" s="55"/>
      <c r="J120" s="55"/>
      <c r="K120" s="166"/>
      <c r="L120" s="171"/>
      <c r="M120" s="171"/>
    </row>
    <row r="121" spans="2:13" x14ac:dyDescent="0.2">
      <c r="B121" s="156"/>
      <c r="D121" s="55"/>
      <c r="E121" s="166"/>
      <c r="G121" s="167"/>
      <c r="H121" s="169"/>
      <c r="I121" s="55"/>
      <c r="J121" s="55"/>
      <c r="K121" s="166"/>
      <c r="L121" s="171"/>
      <c r="M121" s="171"/>
    </row>
    <row r="122" spans="2:13" x14ac:dyDescent="0.2">
      <c r="B122" s="156"/>
      <c r="D122" s="55"/>
      <c r="E122" s="166"/>
      <c r="G122" s="167"/>
      <c r="H122" s="169"/>
      <c r="I122" s="55"/>
      <c r="J122" s="55"/>
      <c r="K122" s="166"/>
      <c r="L122" s="171"/>
      <c r="M122" s="171"/>
    </row>
    <row r="123" spans="2:13" x14ac:dyDescent="0.2">
      <c r="B123" s="156"/>
      <c r="D123" s="55"/>
      <c r="E123" s="166"/>
      <c r="G123" s="167"/>
      <c r="H123" s="169"/>
      <c r="I123" s="55"/>
      <c r="J123" s="55"/>
      <c r="K123" s="166"/>
      <c r="L123" s="171"/>
      <c r="M123" s="171"/>
    </row>
    <row r="124" spans="2:13" x14ac:dyDescent="0.2">
      <c r="B124" s="156"/>
      <c r="D124" s="55"/>
      <c r="E124" s="166"/>
      <c r="G124" s="167"/>
      <c r="H124" s="169"/>
      <c r="I124" s="55"/>
      <c r="J124" s="55"/>
      <c r="K124" s="166"/>
      <c r="L124" s="171"/>
      <c r="M124" s="171"/>
    </row>
    <row r="125" spans="2:13" x14ac:dyDescent="0.2">
      <c r="B125" s="156"/>
      <c r="D125" s="55"/>
      <c r="E125" s="166"/>
      <c r="G125" s="167"/>
      <c r="H125" s="169"/>
      <c r="I125" s="55"/>
      <c r="J125" s="55"/>
      <c r="K125" s="166"/>
      <c r="L125" s="171"/>
      <c r="M125" s="171"/>
    </row>
    <row r="126" spans="2:13" x14ac:dyDescent="0.2">
      <c r="B126" s="156"/>
      <c r="D126" s="55"/>
      <c r="E126" s="166"/>
      <c r="G126" s="167"/>
      <c r="H126" s="169"/>
      <c r="I126" s="55"/>
      <c r="J126" s="55"/>
      <c r="K126" s="166"/>
      <c r="L126" s="171"/>
      <c r="M126" s="171"/>
    </row>
    <row r="127" spans="2:13" x14ac:dyDescent="0.2">
      <c r="B127" s="156"/>
      <c r="D127" s="1"/>
      <c r="E127" s="173"/>
      <c r="I127" s="1"/>
      <c r="J127" s="1"/>
      <c r="K127" s="173"/>
    </row>
    <row r="128" spans="2:13" x14ac:dyDescent="0.2">
      <c r="B128" s="156"/>
      <c r="D128" s="172"/>
      <c r="E128" s="173"/>
      <c r="G128" s="167"/>
      <c r="H128" s="169"/>
      <c r="I128" s="172"/>
      <c r="J128" s="172"/>
      <c r="K128" s="166"/>
      <c r="L128" s="171"/>
      <c r="M128" s="171"/>
    </row>
    <row r="130" spans="4:14" x14ac:dyDescent="0.2">
      <c r="N130" s="64"/>
    </row>
    <row r="132" spans="4:14" x14ac:dyDescent="0.2">
      <c r="D132" s="1"/>
      <c r="E132" s="1"/>
      <c r="G132" s="1"/>
      <c r="H132" s="1"/>
      <c r="I132" s="1"/>
      <c r="J132" s="1"/>
      <c r="K132" s="1"/>
      <c r="L132" s="1"/>
      <c r="M132" s="1"/>
    </row>
    <row r="133" spans="4:14" x14ac:dyDescent="0.2">
      <c r="D133" s="1"/>
      <c r="E133" s="1"/>
      <c r="G133" s="1"/>
      <c r="H133" s="1"/>
      <c r="I133" s="1"/>
      <c r="J133" s="1"/>
      <c r="K133" s="1"/>
      <c r="L133" s="1"/>
      <c r="M133" s="1"/>
    </row>
    <row r="134" spans="4:14" x14ac:dyDescent="0.2">
      <c r="D134" s="1"/>
      <c r="E134" s="1"/>
      <c r="G134" s="1"/>
      <c r="H134" s="1"/>
      <c r="I134" s="1"/>
      <c r="J134" s="1"/>
      <c r="K134" s="1"/>
      <c r="L134" s="1"/>
      <c r="M134" s="1"/>
    </row>
    <row r="135" spans="4:14" x14ac:dyDescent="0.2">
      <c r="D135" s="1"/>
      <c r="E135" s="1"/>
      <c r="G135" s="1"/>
      <c r="H135" s="1"/>
      <c r="I135" s="1"/>
      <c r="J135" s="1"/>
      <c r="K135" s="1"/>
      <c r="L135" s="1"/>
      <c r="M135" s="1"/>
    </row>
    <row r="136" spans="4:14" x14ac:dyDescent="0.2">
      <c r="D136" s="1"/>
      <c r="E136" s="1"/>
      <c r="G136" s="1"/>
      <c r="H136" s="1"/>
      <c r="I136" s="1"/>
      <c r="J136" s="1"/>
      <c r="K136" s="1"/>
      <c r="L136" s="1"/>
      <c r="M136" s="1"/>
    </row>
    <row r="137" spans="4:14" x14ac:dyDescent="0.2">
      <c r="D137" s="1"/>
      <c r="E137" s="1"/>
      <c r="G137" s="1"/>
      <c r="H137" s="1"/>
      <c r="I137" s="1"/>
      <c r="J137" s="1"/>
      <c r="K137" s="1"/>
      <c r="L137" s="1"/>
      <c r="M137" s="1"/>
    </row>
    <row r="138" spans="4:14" x14ac:dyDescent="0.2">
      <c r="D138" s="1"/>
      <c r="E138" s="1"/>
      <c r="G138" s="1"/>
      <c r="H138" s="1"/>
      <c r="I138" s="1"/>
      <c r="J138" s="1"/>
      <c r="K138" s="1"/>
      <c r="L138" s="1"/>
      <c r="M138" s="1"/>
    </row>
    <row r="139" spans="4:14" x14ac:dyDescent="0.2">
      <c r="D139" s="1"/>
      <c r="E139" s="1"/>
      <c r="G139" s="1"/>
      <c r="H139" s="1"/>
      <c r="I139" s="1"/>
      <c r="J139" s="1"/>
      <c r="K139" s="1"/>
      <c r="L139" s="1"/>
      <c r="M139" s="1"/>
    </row>
    <row r="140" spans="4:14" x14ac:dyDescent="0.2">
      <c r="D140" s="1"/>
      <c r="E140" s="1"/>
      <c r="G140" s="1"/>
      <c r="H140" s="1"/>
      <c r="I140" s="1"/>
      <c r="J140" s="1"/>
      <c r="K140" s="1"/>
      <c r="L140" s="1"/>
      <c r="M140" s="1"/>
    </row>
    <row r="141" spans="4:14" x14ac:dyDescent="0.2">
      <c r="D141" s="1"/>
      <c r="E141" s="1"/>
      <c r="G141" s="1"/>
      <c r="H141" s="1"/>
      <c r="I141" s="1"/>
      <c r="J141" s="1"/>
      <c r="K141" s="1"/>
      <c r="L141" s="1"/>
      <c r="M141" s="1"/>
    </row>
    <row r="142" spans="4:14" x14ac:dyDescent="0.2">
      <c r="D142" s="1"/>
      <c r="E142" s="1"/>
      <c r="G142" s="1"/>
      <c r="H142" s="1"/>
      <c r="I142" s="1"/>
      <c r="J142" s="1"/>
      <c r="K142" s="1"/>
      <c r="L142" s="1"/>
      <c r="M142" s="1"/>
    </row>
    <row r="143" spans="4:14" x14ac:dyDescent="0.2">
      <c r="D143" s="1"/>
      <c r="E143" s="1"/>
      <c r="G143" s="1"/>
      <c r="H143" s="1"/>
      <c r="I143" s="1"/>
      <c r="J143" s="1"/>
      <c r="K143" s="1"/>
      <c r="L143" s="1"/>
      <c r="M143" s="1"/>
    </row>
    <row r="144" spans="4:14" x14ac:dyDescent="0.2">
      <c r="D144" s="1"/>
      <c r="E144" s="1"/>
      <c r="G144" s="1"/>
      <c r="H144" s="1"/>
      <c r="I144" s="1"/>
      <c r="J144" s="1"/>
      <c r="K144" s="1"/>
      <c r="L144" s="1"/>
      <c r="M144" s="1"/>
    </row>
    <row r="145" spans="4:13" x14ac:dyDescent="0.2">
      <c r="D145" s="1"/>
      <c r="E145" s="1"/>
      <c r="G145" s="1"/>
      <c r="H145" s="1"/>
      <c r="I145" s="1"/>
      <c r="J145" s="1"/>
      <c r="K145" s="1"/>
      <c r="L145" s="1"/>
      <c r="M145" s="1"/>
    </row>
    <row r="146" spans="4:13" x14ac:dyDescent="0.2">
      <c r="D146" s="1"/>
      <c r="E146" s="1"/>
      <c r="G146" s="1"/>
      <c r="H146" s="1"/>
      <c r="I146" s="1"/>
      <c r="J146" s="1"/>
      <c r="K146" s="1"/>
      <c r="L146" s="1"/>
      <c r="M146" s="1"/>
    </row>
    <row r="147" spans="4:13" x14ac:dyDescent="0.2">
      <c r="D147" s="1"/>
      <c r="E147" s="1"/>
      <c r="G147" s="1"/>
      <c r="H147" s="1"/>
      <c r="I147" s="1"/>
      <c r="J147" s="1"/>
      <c r="K147" s="1"/>
      <c r="L147" s="1"/>
      <c r="M147" s="1"/>
    </row>
    <row r="148" spans="4:13" x14ac:dyDescent="0.2">
      <c r="D148" s="1"/>
      <c r="E148" s="1"/>
      <c r="G148" s="1"/>
      <c r="H148" s="1"/>
      <c r="I148" s="1"/>
      <c r="J148" s="1"/>
      <c r="K148" s="1"/>
      <c r="L148" s="1"/>
      <c r="M148" s="1"/>
    </row>
    <row r="149" spans="4:13" x14ac:dyDescent="0.2">
      <c r="D149" s="1"/>
      <c r="E149" s="1"/>
      <c r="G149" s="1"/>
      <c r="H149" s="1"/>
      <c r="I149" s="1"/>
      <c r="J149" s="1"/>
      <c r="K149" s="1"/>
      <c r="L149" s="1"/>
      <c r="M149" s="1"/>
    </row>
    <row r="150" spans="4:13" x14ac:dyDescent="0.2">
      <c r="D150" s="1"/>
      <c r="E150" s="1"/>
      <c r="G150" s="1"/>
      <c r="H150" s="1"/>
      <c r="I150" s="1"/>
      <c r="J150" s="1"/>
      <c r="K150" s="1"/>
      <c r="L150" s="1"/>
      <c r="M150" s="1"/>
    </row>
    <row r="151" spans="4:13" x14ac:dyDescent="0.2">
      <c r="D151" s="1"/>
      <c r="E151" s="1"/>
      <c r="G151" s="1"/>
      <c r="H151" s="1"/>
      <c r="I151" s="1"/>
      <c r="J151" s="1"/>
      <c r="K151" s="1"/>
      <c r="L151" s="1"/>
      <c r="M151" s="1"/>
    </row>
    <row r="152" spans="4:13" x14ac:dyDescent="0.2">
      <c r="D152" s="1"/>
      <c r="E152" s="1"/>
      <c r="G152" s="1"/>
      <c r="H152" s="1"/>
      <c r="I152" s="1"/>
      <c r="J152" s="1"/>
      <c r="K152" s="1"/>
      <c r="L152" s="1"/>
      <c r="M152" s="1"/>
    </row>
    <row r="153" spans="4:13" x14ac:dyDescent="0.2">
      <c r="D153" s="1"/>
      <c r="E153" s="1"/>
      <c r="G153" s="1"/>
      <c r="H153" s="1"/>
      <c r="I153" s="1"/>
      <c r="J153" s="1"/>
      <c r="K153" s="1"/>
      <c r="L153" s="1"/>
      <c r="M153" s="1"/>
    </row>
    <row r="154" spans="4:13" x14ac:dyDescent="0.2">
      <c r="D154" s="1"/>
      <c r="E154" s="1"/>
      <c r="G154" s="1"/>
      <c r="H154" s="1"/>
      <c r="I154" s="1"/>
      <c r="J154" s="1"/>
      <c r="K154" s="1"/>
      <c r="L154" s="1"/>
      <c r="M154" s="1"/>
    </row>
    <row r="155" spans="4:13" x14ac:dyDescent="0.2">
      <c r="D155" s="1"/>
      <c r="E155" s="1"/>
      <c r="G155" s="1"/>
      <c r="H155" s="1"/>
      <c r="I155" s="1"/>
      <c r="J155" s="1"/>
      <c r="K155" s="1"/>
      <c r="L155" s="1"/>
      <c r="M155" s="1"/>
    </row>
    <row r="156" spans="4:13" x14ac:dyDescent="0.2">
      <c r="D156" s="1"/>
      <c r="E156" s="1"/>
      <c r="G156" s="1"/>
      <c r="H156" s="1"/>
      <c r="I156" s="1"/>
      <c r="J156" s="1"/>
      <c r="K156" s="1"/>
      <c r="L156" s="1"/>
      <c r="M156" s="1"/>
    </row>
    <row r="157" spans="4:13" x14ac:dyDescent="0.2">
      <c r="D157" s="1"/>
      <c r="E157" s="1"/>
      <c r="G157" s="1"/>
      <c r="H157" s="1"/>
      <c r="I157" s="1"/>
      <c r="J157" s="1"/>
      <c r="K157" s="1"/>
      <c r="L157" s="1"/>
      <c r="M157" s="1"/>
    </row>
    <row r="158" spans="4:13" x14ac:dyDescent="0.2">
      <c r="D158" s="1"/>
      <c r="E158" s="1"/>
      <c r="G158" s="1"/>
      <c r="H158" s="1"/>
      <c r="I158" s="1"/>
      <c r="J158" s="1"/>
      <c r="K158" s="1"/>
      <c r="L158" s="1"/>
      <c r="M158" s="1"/>
    </row>
    <row r="159" spans="4:13" x14ac:dyDescent="0.2">
      <c r="D159" s="1"/>
      <c r="E159" s="1"/>
      <c r="G159" s="1"/>
      <c r="H159" s="1"/>
      <c r="I159" s="1"/>
      <c r="J159" s="1"/>
      <c r="K159" s="1"/>
      <c r="L159" s="1"/>
      <c r="M159" s="1"/>
    </row>
    <row r="160" spans="4:13" x14ac:dyDescent="0.2">
      <c r="D160" s="1"/>
      <c r="E160" s="1"/>
      <c r="G160" s="1"/>
      <c r="H160" s="1"/>
      <c r="I160" s="1"/>
      <c r="J160" s="1"/>
      <c r="K160" s="1"/>
      <c r="L160" s="1"/>
      <c r="M160" s="1"/>
    </row>
    <row r="161" spans="4:13" x14ac:dyDescent="0.2">
      <c r="D161" s="1"/>
      <c r="E161" s="1"/>
      <c r="G161" s="1"/>
      <c r="H161" s="1"/>
      <c r="I161" s="1"/>
      <c r="J161" s="1"/>
      <c r="K161" s="1"/>
      <c r="L161" s="1"/>
      <c r="M161" s="1"/>
    </row>
    <row r="162" spans="4:13" x14ac:dyDescent="0.2">
      <c r="D162" s="1"/>
      <c r="E162" s="1"/>
      <c r="G162" s="1"/>
      <c r="H162" s="1"/>
      <c r="I162" s="1"/>
      <c r="J162" s="1"/>
      <c r="K162" s="1"/>
      <c r="L162" s="1"/>
      <c r="M162" s="1"/>
    </row>
    <row r="163" spans="4:13" x14ac:dyDescent="0.2">
      <c r="D163" s="1"/>
      <c r="E163" s="1"/>
      <c r="G163" s="1"/>
      <c r="H163" s="1"/>
      <c r="I163" s="1"/>
      <c r="J163" s="1"/>
      <c r="K163" s="1"/>
      <c r="L163" s="1"/>
      <c r="M163" s="1"/>
    </row>
    <row r="164" spans="4:13" x14ac:dyDescent="0.2">
      <c r="D164" s="1"/>
      <c r="E164" s="1"/>
      <c r="G164" s="1"/>
      <c r="H164" s="1"/>
      <c r="I164" s="1"/>
      <c r="J164" s="1"/>
      <c r="K164" s="1"/>
      <c r="L164" s="1"/>
      <c r="M164" s="1"/>
    </row>
    <row r="165" spans="4:13" x14ac:dyDescent="0.2">
      <c r="D165" s="1"/>
      <c r="E165" s="1"/>
      <c r="G165" s="1"/>
      <c r="H165" s="1"/>
      <c r="I165" s="1"/>
      <c r="J165" s="1"/>
      <c r="K165" s="1"/>
      <c r="L165" s="1"/>
      <c r="M165" s="1"/>
    </row>
    <row r="166" spans="4:13" x14ac:dyDescent="0.2">
      <c r="D166" s="1"/>
      <c r="E166" s="1"/>
      <c r="G166" s="1"/>
      <c r="H166" s="1"/>
      <c r="I166" s="1"/>
      <c r="J166" s="1"/>
      <c r="K166" s="1"/>
      <c r="L166" s="1"/>
      <c r="M166" s="1"/>
    </row>
    <row r="167" spans="4:13" x14ac:dyDescent="0.2">
      <c r="D167" s="1"/>
      <c r="E167" s="1"/>
      <c r="G167" s="1"/>
      <c r="H167" s="1"/>
      <c r="I167" s="1"/>
      <c r="J167" s="1"/>
      <c r="K167" s="1"/>
      <c r="L167" s="1"/>
      <c r="M167" s="1"/>
    </row>
    <row r="168" spans="4:13" x14ac:dyDescent="0.2">
      <c r="D168" s="1"/>
      <c r="E168" s="1"/>
      <c r="G168" s="1"/>
      <c r="H168" s="1"/>
      <c r="I168" s="1"/>
      <c r="J168" s="1"/>
      <c r="K168" s="1"/>
      <c r="L168" s="1"/>
      <c r="M168" s="1"/>
    </row>
    <row r="169" spans="4:13" x14ac:dyDescent="0.2">
      <c r="D169" s="1"/>
      <c r="E169" s="1"/>
      <c r="G169" s="1"/>
      <c r="H169" s="1"/>
      <c r="I169" s="1"/>
      <c r="J169" s="1"/>
      <c r="K169" s="1"/>
      <c r="L169" s="1"/>
      <c r="M169" s="1"/>
    </row>
    <row r="170" spans="4:13" x14ac:dyDescent="0.2">
      <c r="D170" s="1"/>
      <c r="E170" s="1"/>
      <c r="G170" s="1"/>
      <c r="H170" s="1"/>
      <c r="I170" s="1"/>
      <c r="J170" s="1"/>
      <c r="K170" s="1"/>
      <c r="L170" s="1"/>
      <c r="M170" s="1"/>
    </row>
    <row r="171" spans="4:13" x14ac:dyDescent="0.2">
      <c r="D171" s="1"/>
      <c r="E171" s="1"/>
      <c r="G171" s="1"/>
      <c r="H171" s="1"/>
      <c r="I171" s="1"/>
      <c r="J171" s="1"/>
      <c r="K171" s="1"/>
      <c r="L171" s="1"/>
      <c r="M171" s="1"/>
    </row>
    <row r="172" spans="4:13" x14ac:dyDescent="0.2">
      <c r="D172" s="1"/>
      <c r="E172" s="1"/>
      <c r="G172" s="1"/>
      <c r="H172" s="1"/>
      <c r="I172" s="1"/>
      <c r="J172" s="1"/>
      <c r="K172" s="1"/>
      <c r="L172" s="1"/>
      <c r="M172" s="1"/>
    </row>
    <row r="173" spans="4:13" x14ac:dyDescent="0.2">
      <c r="D173" s="1"/>
      <c r="E173" s="1"/>
      <c r="G173" s="1"/>
      <c r="H173" s="1"/>
      <c r="I173" s="1"/>
      <c r="J173" s="1"/>
      <c r="K173" s="1"/>
      <c r="L173" s="1"/>
      <c r="M173" s="1"/>
    </row>
    <row r="174" spans="4:13" x14ac:dyDescent="0.2">
      <c r="D174" s="1"/>
      <c r="E174" s="1"/>
      <c r="G174" s="1"/>
      <c r="H174" s="1"/>
      <c r="I174" s="1"/>
      <c r="J174" s="1"/>
      <c r="K174" s="1"/>
      <c r="L174" s="1"/>
      <c r="M174" s="1"/>
    </row>
    <row r="175" spans="4:13" x14ac:dyDescent="0.2">
      <c r="D175" s="1"/>
      <c r="E175" s="1"/>
      <c r="G175" s="1"/>
      <c r="H175" s="1"/>
      <c r="I175" s="1"/>
      <c r="J175" s="1"/>
      <c r="K175" s="1"/>
      <c r="L175" s="1"/>
      <c r="M175" s="1"/>
    </row>
    <row r="176" spans="4:13" x14ac:dyDescent="0.2">
      <c r="D176" s="1"/>
      <c r="E176" s="1"/>
      <c r="G176" s="1"/>
      <c r="H176" s="1"/>
      <c r="I176" s="1"/>
      <c r="J176" s="1"/>
      <c r="K176" s="1"/>
      <c r="L176" s="1"/>
      <c r="M176" s="1"/>
    </row>
    <row r="177" spans="4:13" x14ac:dyDescent="0.2">
      <c r="D177" s="1"/>
      <c r="E177" s="1"/>
      <c r="G177" s="1"/>
      <c r="H177" s="1"/>
      <c r="I177" s="1"/>
      <c r="J177" s="1"/>
      <c r="K177" s="1"/>
      <c r="L177" s="1"/>
      <c r="M177" s="1"/>
    </row>
    <row r="178" spans="4:13" x14ac:dyDescent="0.2">
      <c r="D178" s="1"/>
      <c r="E178" s="1"/>
      <c r="G178" s="1"/>
      <c r="H178" s="1"/>
      <c r="I178" s="1"/>
      <c r="J178" s="1"/>
      <c r="K178" s="1"/>
      <c r="L178" s="1"/>
      <c r="M178" s="1"/>
    </row>
    <row r="179" spans="4:13" x14ac:dyDescent="0.2">
      <c r="D179" s="1"/>
      <c r="E179" s="1"/>
      <c r="G179" s="1"/>
      <c r="H179" s="1"/>
      <c r="I179" s="1"/>
      <c r="J179" s="1"/>
      <c r="K179" s="1"/>
      <c r="L179" s="1"/>
      <c r="M179" s="1"/>
    </row>
    <row r="180" spans="4:13" x14ac:dyDescent="0.2">
      <c r="D180" s="1"/>
      <c r="E180" s="1"/>
      <c r="G180" s="1"/>
      <c r="H180" s="1"/>
      <c r="I180" s="1"/>
      <c r="J180" s="1"/>
      <c r="K180" s="1"/>
      <c r="L180" s="1"/>
      <c r="M180" s="1"/>
    </row>
    <row r="181" spans="4:13" x14ac:dyDescent="0.2">
      <c r="D181" s="1"/>
      <c r="E181" s="1"/>
      <c r="G181" s="1"/>
      <c r="H181" s="1"/>
      <c r="I181" s="1"/>
      <c r="J181" s="1"/>
      <c r="K181" s="1"/>
      <c r="L181" s="1"/>
      <c r="M181" s="1"/>
    </row>
    <row r="182" spans="4:13" x14ac:dyDescent="0.2">
      <c r="D182" s="1"/>
      <c r="E182" s="1"/>
      <c r="G182" s="1"/>
      <c r="H182" s="1"/>
      <c r="I182" s="1"/>
      <c r="J182" s="1"/>
      <c r="K182" s="1"/>
      <c r="L182" s="1"/>
      <c r="M182" s="1"/>
    </row>
    <row r="183" spans="4:13" x14ac:dyDescent="0.2">
      <c r="D183" s="1"/>
      <c r="E183" s="1"/>
      <c r="G183" s="1"/>
      <c r="H183" s="1"/>
      <c r="I183" s="1"/>
      <c r="J183" s="1"/>
      <c r="K183" s="1"/>
      <c r="L183" s="1"/>
      <c r="M183" s="1"/>
    </row>
    <row r="184" spans="4:13" x14ac:dyDescent="0.2">
      <c r="D184" s="1"/>
      <c r="E184" s="1"/>
      <c r="G184" s="1"/>
      <c r="H184" s="1"/>
      <c r="I184" s="1"/>
      <c r="J184" s="1"/>
      <c r="K184" s="1"/>
      <c r="L184" s="1"/>
      <c r="M184" s="1"/>
    </row>
    <row r="185" spans="4:13" x14ac:dyDescent="0.2">
      <c r="D185" s="1"/>
      <c r="E185" s="1"/>
      <c r="G185" s="1"/>
      <c r="H185" s="1"/>
      <c r="I185" s="1"/>
      <c r="J185" s="1"/>
      <c r="K185" s="1"/>
      <c r="L185" s="1"/>
      <c r="M185" s="1"/>
    </row>
    <row r="186" spans="4:13" x14ac:dyDescent="0.2">
      <c r="D186" s="1"/>
      <c r="E186" s="1"/>
      <c r="G186" s="1"/>
      <c r="H186" s="1"/>
      <c r="I186" s="1"/>
      <c r="J186" s="1"/>
      <c r="K186" s="1"/>
      <c r="L186" s="1"/>
      <c r="M186" s="1"/>
    </row>
    <row r="187" spans="4:13" x14ac:dyDescent="0.2">
      <c r="D187" s="1"/>
      <c r="E187" s="1"/>
      <c r="G187" s="1"/>
      <c r="H187" s="1"/>
      <c r="I187" s="1"/>
      <c r="J187" s="1"/>
      <c r="K187" s="1"/>
      <c r="L187" s="1"/>
      <c r="M187" s="1"/>
    </row>
    <row r="188" spans="4:13" x14ac:dyDescent="0.2">
      <c r="D188" s="1"/>
      <c r="E188" s="1"/>
      <c r="G188" s="1"/>
      <c r="H188" s="1"/>
      <c r="I188" s="1"/>
      <c r="J188" s="1"/>
      <c r="K188" s="1"/>
      <c r="L188" s="1"/>
      <c r="M188" s="1"/>
    </row>
    <row r="189" spans="4:13" x14ac:dyDescent="0.2">
      <c r="D189" s="1"/>
      <c r="E189" s="1"/>
      <c r="G189" s="1"/>
      <c r="H189" s="1"/>
      <c r="I189" s="1"/>
      <c r="J189" s="1"/>
      <c r="K189" s="1"/>
      <c r="L189" s="1"/>
      <c r="M189" s="1"/>
    </row>
    <row r="190" spans="4:13" x14ac:dyDescent="0.2">
      <c r="D190" s="1"/>
      <c r="E190" s="1"/>
      <c r="G190" s="1"/>
      <c r="H190" s="1"/>
      <c r="I190" s="1"/>
      <c r="J190" s="1"/>
      <c r="K190" s="1"/>
      <c r="L190" s="1"/>
      <c r="M190" s="1"/>
    </row>
    <row r="191" spans="4:13" x14ac:dyDescent="0.2">
      <c r="D191" s="1"/>
      <c r="E191" s="1"/>
      <c r="G191" s="1"/>
      <c r="H191" s="1"/>
      <c r="I191" s="1"/>
      <c r="J191" s="1"/>
      <c r="K191" s="1"/>
      <c r="L191" s="1"/>
      <c r="M191" s="1"/>
    </row>
    <row r="192" spans="4:13" x14ac:dyDescent="0.2">
      <c r="D192" s="1"/>
      <c r="E192" s="1"/>
      <c r="G192" s="1"/>
      <c r="H192" s="1"/>
      <c r="I192" s="1"/>
      <c r="J192" s="1"/>
      <c r="K192" s="1"/>
      <c r="L192" s="1"/>
      <c r="M192" s="1"/>
    </row>
    <row r="193" spans="4:13" x14ac:dyDescent="0.2">
      <c r="D193" s="1"/>
      <c r="E193" s="1"/>
      <c r="G193" s="1"/>
      <c r="H193" s="1"/>
      <c r="I193" s="1"/>
      <c r="J193" s="1"/>
      <c r="K193" s="1"/>
      <c r="L193" s="1"/>
      <c r="M193" s="1"/>
    </row>
    <row r="194" spans="4:13" x14ac:dyDescent="0.2">
      <c r="D194" s="1"/>
      <c r="E194" s="1"/>
      <c r="G194" s="1"/>
      <c r="H194" s="1"/>
      <c r="I194" s="1"/>
      <c r="J194" s="1"/>
      <c r="K194" s="1"/>
      <c r="L194" s="1"/>
      <c r="M194" s="1"/>
    </row>
    <row r="195" spans="4:13" x14ac:dyDescent="0.2">
      <c r="D195" s="1"/>
      <c r="E195" s="1"/>
      <c r="G195" s="1"/>
      <c r="H195" s="1"/>
      <c r="I195" s="1"/>
      <c r="J195" s="1"/>
      <c r="K195" s="1"/>
      <c r="L195" s="1"/>
      <c r="M195" s="1"/>
    </row>
    <row r="196" spans="4:13" x14ac:dyDescent="0.2">
      <c r="D196" s="1"/>
      <c r="E196" s="1"/>
      <c r="G196" s="1"/>
      <c r="H196" s="1"/>
      <c r="I196" s="1"/>
      <c r="J196" s="1"/>
      <c r="K196" s="1"/>
      <c r="L196" s="1"/>
      <c r="M196" s="1"/>
    </row>
    <row r="197" spans="4:13" x14ac:dyDescent="0.2">
      <c r="D197" s="1"/>
      <c r="E197" s="1"/>
      <c r="G197" s="1"/>
      <c r="H197" s="1"/>
      <c r="I197" s="1"/>
      <c r="J197" s="1"/>
      <c r="K197" s="1"/>
      <c r="L197" s="1"/>
      <c r="M197" s="1"/>
    </row>
    <row r="198" spans="4:13" x14ac:dyDescent="0.2">
      <c r="D198" s="1"/>
      <c r="E198" s="1"/>
      <c r="G198" s="1"/>
      <c r="H198" s="1"/>
      <c r="I198" s="1"/>
      <c r="J198" s="1"/>
      <c r="K198" s="1"/>
      <c r="L198" s="1"/>
      <c r="M198" s="1"/>
    </row>
    <row r="199" spans="4:13" x14ac:dyDescent="0.2">
      <c r="D199" s="1"/>
      <c r="E199" s="1"/>
      <c r="G199" s="1"/>
      <c r="H199" s="1"/>
      <c r="I199" s="1"/>
      <c r="J199" s="1"/>
      <c r="K199" s="1"/>
      <c r="L199" s="1"/>
      <c r="M199" s="1"/>
    </row>
    <row r="200" spans="4:13" x14ac:dyDescent="0.2">
      <c r="D200" s="1"/>
      <c r="E200" s="1"/>
      <c r="G200" s="1"/>
      <c r="H200" s="1"/>
      <c r="I200" s="1"/>
      <c r="J200" s="1"/>
      <c r="K200" s="1"/>
      <c r="L200" s="1"/>
      <c r="M200" s="1"/>
    </row>
    <row r="201" spans="4:13" x14ac:dyDescent="0.2">
      <c r="D201" s="1"/>
      <c r="E201" s="1"/>
      <c r="G201" s="1"/>
      <c r="H201" s="1"/>
      <c r="I201" s="1"/>
      <c r="J201" s="1"/>
      <c r="K201" s="1"/>
      <c r="L201" s="1"/>
      <c r="M201" s="1"/>
    </row>
    <row r="202" spans="4:13" x14ac:dyDescent="0.2">
      <c r="D202" s="1"/>
      <c r="E202" s="1"/>
      <c r="G202" s="1"/>
      <c r="H202" s="1"/>
      <c r="I202" s="1"/>
      <c r="J202" s="1"/>
      <c r="K202" s="1"/>
      <c r="L202" s="1"/>
      <c r="M202" s="1"/>
    </row>
    <row r="203" spans="4:13" x14ac:dyDescent="0.2">
      <c r="D203" s="1"/>
      <c r="E203" s="1"/>
      <c r="G203" s="1"/>
      <c r="H203" s="1"/>
      <c r="I203" s="1"/>
      <c r="J203" s="1"/>
      <c r="K203" s="1"/>
      <c r="L203" s="1"/>
      <c r="M203" s="1"/>
    </row>
    <row r="204" spans="4:13" x14ac:dyDescent="0.2">
      <c r="D204" s="1"/>
      <c r="E204" s="1"/>
      <c r="G204" s="1"/>
      <c r="H204" s="1"/>
      <c r="I204" s="1"/>
      <c r="J204" s="1"/>
      <c r="K204" s="1"/>
      <c r="L204" s="1"/>
      <c r="M204" s="1"/>
    </row>
    <row r="205" spans="4:13" x14ac:dyDescent="0.2">
      <c r="D205" s="1"/>
      <c r="E205" s="1"/>
      <c r="G205" s="1"/>
      <c r="H205" s="1"/>
      <c r="I205" s="1"/>
      <c r="J205" s="1"/>
      <c r="K205" s="1"/>
      <c r="L205" s="1"/>
      <c r="M205" s="1"/>
    </row>
    <row r="206" spans="4:13" x14ac:dyDescent="0.2">
      <c r="D206" s="1"/>
      <c r="E206" s="1"/>
      <c r="G206" s="1"/>
      <c r="H206" s="1"/>
      <c r="I206" s="1"/>
      <c r="J206" s="1"/>
      <c r="K206" s="1"/>
      <c r="L206" s="1"/>
      <c r="M206" s="1"/>
    </row>
    <row r="207" spans="4:13" x14ac:dyDescent="0.2">
      <c r="D207" s="1"/>
      <c r="E207" s="1"/>
      <c r="G207" s="1"/>
      <c r="H207" s="1"/>
      <c r="I207" s="1"/>
      <c r="J207" s="1"/>
      <c r="K207" s="1"/>
      <c r="L207" s="1"/>
      <c r="M207" s="1"/>
    </row>
    <row r="208" spans="4:13" x14ac:dyDescent="0.2">
      <c r="D208" s="1"/>
      <c r="E208" s="1"/>
      <c r="G208" s="1"/>
      <c r="H208" s="1"/>
      <c r="I208" s="1"/>
      <c r="J208" s="1"/>
      <c r="K208" s="1"/>
      <c r="L208" s="1"/>
      <c r="M208" s="1"/>
    </row>
    <row r="209" spans="4:13" x14ac:dyDescent="0.2">
      <c r="D209" s="1"/>
      <c r="E209" s="1"/>
      <c r="G209" s="1"/>
      <c r="H209" s="1"/>
      <c r="I209" s="1"/>
      <c r="J209" s="1"/>
      <c r="K209" s="1"/>
      <c r="L209" s="1"/>
      <c r="M209" s="1"/>
    </row>
    <row r="210" spans="4:13" x14ac:dyDescent="0.2">
      <c r="D210" s="1"/>
      <c r="E210" s="1"/>
      <c r="G210" s="1"/>
      <c r="H210" s="1"/>
      <c r="I210" s="1"/>
      <c r="J210" s="1"/>
      <c r="K210" s="1"/>
      <c r="L210" s="1"/>
      <c r="M210" s="1"/>
    </row>
    <row r="211" spans="4:13" x14ac:dyDescent="0.2">
      <c r="D211" s="1"/>
      <c r="E211" s="1"/>
      <c r="G211" s="1"/>
      <c r="H211" s="1"/>
      <c r="I211" s="1"/>
      <c r="J211" s="1"/>
      <c r="K211" s="1"/>
      <c r="L211" s="1"/>
      <c r="M211" s="1"/>
    </row>
    <row r="212" spans="4:13" x14ac:dyDescent="0.2">
      <c r="D212" s="1"/>
      <c r="E212" s="1"/>
      <c r="G212" s="1"/>
      <c r="H212" s="1"/>
      <c r="I212" s="1"/>
      <c r="J212" s="1"/>
      <c r="K212" s="1"/>
      <c r="L212" s="1"/>
      <c r="M212" s="1"/>
    </row>
    <row r="213" spans="4:13" x14ac:dyDescent="0.2">
      <c r="D213" s="1"/>
      <c r="E213" s="1"/>
      <c r="G213" s="1"/>
      <c r="H213" s="1"/>
      <c r="I213" s="1"/>
      <c r="J213" s="1"/>
      <c r="K213" s="1"/>
      <c r="L213" s="1"/>
      <c r="M213" s="1"/>
    </row>
    <row r="214" spans="4:13" x14ac:dyDescent="0.2">
      <c r="D214" s="1"/>
      <c r="E214" s="1"/>
      <c r="G214" s="1"/>
      <c r="H214" s="1"/>
      <c r="I214" s="1"/>
      <c r="J214" s="1"/>
      <c r="K214" s="1"/>
      <c r="L214" s="1"/>
      <c r="M214" s="1"/>
    </row>
    <row r="215" spans="4:13" x14ac:dyDescent="0.2">
      <c r="D215" s="1"/>
      <c r="E215" s="1"/>
      <c r="G215" s="1"/>
      <c r="H215" s="1"/>
      <c r="I215" s="1"/>
      <c r="J215" s="1"/>
      <c r="K215" s="1"/>
      <c r="L215" s="1"/>
      <c r="M215" s="1"/>
    </row>
    <row r="216" spans="4:13" x14ac:dyDescent="0.2">
      <c r="D216" s="1"/>
      <c r="E216" s="1"/>
      <c r="G216" s="1"/>
      <c r="H216" s="1"/>
      <c r="I216" s="1"/>
      <c r="J216" s="1"/>
      <c r="K216" s="1"/>
      <c r="L216" s="1"/>
      <c r="M216" s="1"/>
    </row>
    <row r="217" spans="4:13" x14ac:dyDescent="0.2">
      <c r="D217" s="1"/>
      <c r="E217" s="1"/>
      <c r="G217" s="1"/>
      <c r="H217" s="1"/>
      <c r="I217" s="1"/>
      <c r="J217" s="1"/>
      <c r="K217" s="1"/>
      <c r="L217" s="1"/>
      <c r="M217" s="1"/>
    </row>
    <row r="218" spans="4:13" x14ac:dyDescent="0.2">
      <c r="D218" s="1"/>
      <c r="E218" s="1"/>
      <c r="G218" s="1"/>
      <c r="H218" s="1"/>
      <c r="I218" s="1"/>
      <c r="J218" s="1"/>
      <c r="K218" s="1"/>
      <c r="L218" s="1"/>
      <c r="M218" s="1"/>
    </row>
    <row r="219" spans="4:13" x14ac:dyDescent="0.2">
      <c r="D219" s="1"/>
      <c r="E219" s="1"/>
      <c r="G219" s="1"/>
      <c r="H219" s="1"/>
      <c r="I219" s="1"/>
      <c r="J219" s="1"/>
      <c r="K219" s="1"/>
      <c r="L219" s="1"/>
      <c r="M219" s="1"/>
    </row>
    <row r="220" spans="4:13" x14ac:dyDescent="0.2">
      <c r="D220" s="1"/>
      <c r="E220" s="1"/>
      <c r="G220" s="1"/>
      <c r="H220" s="1"/>
      <c r="I220" s="1"/>
      <c r="J220" s="1"/>
      <c r="K220" s="1"/>
      <c r="L220" s="1"/>
      <c r="M220" s="1"/>
    </row>
    <row r="221" spans="4:13" x14ac:dyDescent="0.2">
      <c r="D221" s="1"/>
      <c r="E221" s="1"/>
      <c r="G221" s="1"/>
      <c r="H221" s="1"/>
      <c r="I221" s="1"/>
      <c r="J221" s="1"/>
      <c r="K221" s="1"/>
      <c r="L221" s="1"/>
      <c r="M221" s="1"/>
    </row>
    <row r="222" spans="4:13" x14ac:dyDescent="0.2">
      <c r="D222" s="1"/>
      <c r="E222" s="1"/>
      <c r="G222" s="1"/>
      <c r="H222" s="1"/>
      <c r="I222" s="1"/>
      <c r="J222" s="1"/>
      <c r="K222" s="1"/>
      <c r="L222" s="1"/>
      <c r="M222" s="1"/>
    </row>
    <row r="223" spans="4:13" x14ac:dyDescent="0.2">
      <c r="D223" s="1"/>
      <c r="E223" s="1"/>
      <c r="G223" s="1"/>
      <c r="H223" s="1"/>
      <c r="I223" s="1"/>
      <c r="J223" s="1"/>
      <c r="K223" s="1"/>
      <c r="L223" s="1"/>
      <c r="M223" s="1"/>
    </row>
    <row r="224" spans="4:13" x14ac:dyDescent="0.2">
      <c r="D224" s="1"/>
      <c r="E224" s="1"/>
      <c r="G224" s="1"/>
      <c r="H224" s="1"/>
      <c r="I224" s="1"/>
      <c r="J224" s="1"/>
      <c r="K224" s="1"/>
      <c r="L224" s="1"/>
      <c r="M224" s="1"/>
    </row>
    <row r="225" spans="4:13" x14ac:dyDescent="0.2">
      <c r="D225" s="1"/>
      <c r="E225" s="1"/>
      <c r="G225" s="1"/>
      <c r="H225" s="1"/>
      <c r="I225" s="1"/>
      <c r="J225" s="1"/>
      <c r="K225" s="1"/>
      <c r="L225" s="1"/>
      <c r="M225" s="1"/>
    </row>
    <row r="226" spans="4:13" x14ac:dyDescent="0.2">
      <c r="D226" s="1"/>
      <c r="E226" s="1"/>
      <c r="G226" s="1"/>
      <c r="H226" s="1"/>
      <c r="I226" s="1"/>
      <c r="J226" s="1"/>
      <c r="K226" s="1"/>
      <c r="L226" s="1"/>
      <c r="M226" s="1"/>
    </row>
    <row r="227" spans="4:13" x14ac:dyDescent="0.2">
      <c r="D227" s="1"/>
      <c r="E227" s="1"/>
      <c r="G227" s="1"/>
      <c r="H227" s="1"/>
      <c r="I227" s="1"/>
      <c r="J227" s="1"/>
      <c r="K227" s="1"/>
      <c r="L227" s="1"/>
      <c r="M227" s="1"/>
    </row>
    <row r="228" spans="4:13" x14ac:dyDescent="0.2">
      <c r="D228" s="1"/>
      <c r="E228" s="1"/>
      <c r="G228" s="1"/>
      <c r="H228" s="1"/>
      <c r="I228" s="1"/>
      <c r="J228" s="1"/>
      <c r="K228" s="1"/>
      <c r="L228" s="1"/>
      <c r="M228" s="1"/>
    </row>
    <row r="229" spans="4:13" x14ac:dyDescent="0.2">
      <c r="D229" s="1"/>
      <c r="E229" s="1"/>
      <c r="G229" s="1"/>
      <c r="H229" s="1"/>
      <c r="I229" s="1"/>
      <c r="J229" s="1"/>
      <c r="K229" s="1"/>
      <c r="L229" s="1"/>
      <c r="M229" s="1"/>
    </row>
    <row r="230" spans="4:13" x14ac:dyDescent="0.2">
      <c r="D230" s="1"/>
      <c r="E230" s="1"/>
      <c r="G230" s="1"/>
      <c r="H230" s="1"/>
      <c r="I230" s="1"/>
      <c r="J230" s="1"/>
      <c r="K230" s="1"/>
      <c r="L230" s="1"/>
      <c r="M230" s="1"/>
    </row>
    <row r="231" spans="4:13" x14ac:dyDescent="0.2">
      <c r="D231" s="1"/>
      <c r="E231" s="1"/>
      <c r="G231" s="1"/>
      <c r="H231" s="1"/>
      <c r="I231" s="1"/>
      <c r="J231" s="1"/>
      <c r="K231" s="1"/>
      <c r="L231" s="1"/>
      <c r="M231" s="1"/>
    </row>
    <row r="232" spans="4:13" x14ac:dyDescent="0.2">
      <c r="D232" s="1"/>
      <c r="E232" s="1"/>
      <c r="G232" s="1"/>
      <c r="H232" s="1"/>
      <c r="I232" s="1"/>
      <c r="J232" s="1"/>
      <c r="K232" s="1"/>
      <c r="L232" s="1"/>
      <c r="M232" s="1"/>
    </row>
    <row r="233" spans="4:13" x14ac:dyDescent="0.2">
      <c r="D233" s="1"/>
      <c r="E233" s="1"/>
      <c r="G233" s="1"/>
      <c r="H233" s="1"/>
      <c r="I233" s="1"/>
      <c r="J233" s="1"/>
      <c r="K233" s="1"/>
      <c r="L233" s="1"/>
      <c r="M233" s="1"/>
    </row>
    <row r="234" spans="4:13" x14ac:dyDescent="0.2">
      <c r="D234" s="1"/>
      <c r="E234" s="1"/>
      <c r="G234" s="1"/>
      <c r="H234" s="1"/>
      <c r="I234" s="1"/>
      <c r="J234" s="1"/>
      <c r="K234" s="1"/>
      <c r="L234" s="1"/>
      <c r="M234" s="1"/>
    </row>
    <row r="235" spans="4:13" x14ac:dyDescent="0.2">
      <c r="D235" s="1"/>
      <c r="E235" s="1"/>
      <c r="G235" s="1"/>
      <c r="H235" s="1"/>
      <c r="I235" s="1"/>
      <c r="J235" s="1"/>
      <c r="K235" s="1"/>
      <c r="L235" s="1"/>
      <c r="M235" s="1"/>
    </row>
    <row r="236" spans="4:13" x14ac:dyDescent="0.2">
      <c r="D236" s="1"/>
      <c r="E236" s="1"/>
      <c r="G236" s="1"/>
      <c r="H236" s="1"/>
      <c r="I236" s="1"/>
      <c r="J236" s="1"/>
      <c r="K236" s="1"/>
      <c r="L236" s="1"/>
      <c r="M236" s="1"/>
    </row>
    <row r="237" spans="4:13" x14ac:dyDescent="0.2">
      <c r="D237" s="1"/>
      <c r="E237" s="1"/>
      <c r="G237" s="1"/>
      <c r="H237" s="1"/>
      <c r="I237" s="1"/>
      <c r="J237" s="1"/>
      <c r="K237" s="1"/>
      <c r="L237" s="1"/>
      <c r="M237" s="1"/>
    </row>
    <row r="238" spans="4:13" x14ac:dyDescent="0.2">
      <c r="D238" s="1"/>
      <c r="E238" s="1"/>
      <c r="G238" s="1"/>
      <c r="H238" s="1"/>
      <c r="I238" s="1"/>
      <c r="J238" s="1"/>
      <c r="K238" s="1"/>
      <c r="L238" s="1"/>
      <c r="M238" s="1"/>
    </row>
    <row r="239" spans="4:13" x14ac:dyDescent="0.2">
      <c r="D239" s="1"/>
      <c r="E239" s="1"/>
      <c r="G239" s="1"/>
      <c r="H239" s="1"/>
      <c r="I239" s="1"/>
      <c r="J239" s="1"/>
      <c r="K239" s="1"/>
      <c r="L239" s="1"/>
      <c r="M239" s="1"/>
    </row>
    <row r="240" spans="4:13" x14ac:dyDescent="0.2">
      <c r="D240" s="1"/>
      <c r="E240" s="1"/>
      <c r="G240" s="1"/>
      <c r="H240" s="1"/>
      <c r="I240" s="1"/>
      <c r="J240" s="1"/>
      <c r="K240" s="1"/>
      <c r="L240" s="1"/>
      <c r="M240" s="1"/>
    </row>
    <row r="241" spans="4:13" x14ac:dyDescent="0.2">
      <c r="D241" s="1"/>
      <c r="E241" s="1"/>
      <c r="G241" s="1"/>
      <c r="H241" s="1"/>
      <c r="I241" s="1"/>
      <c r="J241" s="1"/>
      <c r="K241" s="1"/>
      <c r="L241" s="1"/>
      <c r="M241" s="1"/>
    </row>
    <row r="242" spans="4:13" x14ac:dyDescent="0.2">
      <c r="D242" s="1"/>
      <c r="E242" s="1"/>
      <c r="G242" s="1"/>
      <c r="H242" s="1"/>
      <c r="I242" s="1"/>
      <c r="J242" s="1"/>
      <c r="K242" s="1"/>
      <c r="L242" s="1"/>
      <c r="M242" s="1"/>
    </row>
    <row r="243" spans="4:13" x14ac:dyDescent="0.2">
      <c r="D243" s="1"/>
      <c r="E243" s="1"/>
      <c r="G243" s="1"/>
      <c r="H243" s="1"/>
      <c r="I243" s="1"/>
      <c r="J243" s="1"/>
      <c r="K243" s="1"/>
      <c r="L243" s="1"/>
      <c r="M243" s="1"/>
    </row>
    <row r="244" spans="4:13" x14ac:dyDescent="0.2">
      <c r="D244" s="1"/>
      <c r="E244" s="1"/>
      <c r="G244" s="1"/>
      <c r="H244" s="1"/>
      <c r="I244" s="1"/>
      <c r="J244" s="1"/>
      <c r="K244" s="1"/>
      <c r="L244" s="1"/>
      <c r="M244" s="1"/>
    </row>
    <row r="245" spans="4:13" x14ac:dyDescent="0.2">
      <c r="D245" s="1"/>
      <c r="E245" s="1"/>
      <c r="G245" s="1"/>
      <c r="H245" s="1"/>
      <c r="I245" s="1"/>
      <c r="J245" s="1"/>
      <c r="K245" s="1"/>
      <c r="L245" s="1"/>
      <c r="M245" s="1"/>
    </row>
    <row r="246" spans="4:13" x14ac:dyDescent="0.2">
      <c r="D246" s="1"/>
      <c r="E246" s="1"/>
      <c r="G246" s="1"/>
      <c r="H246" s="1"/>
      <c r="I246" s="1"/>
      <c r="J246" s="1"/>
      <c r="K246" s="1"/>
      <c r="L246" s="1"/>
      <c r="M246" s="1"/>
    </row>
    <row r="247" spans="4:13" x14ac:dyDescent="0.2">
      <c r="D247" s="1"/>
      <c r="E247" s="1"/>
      <c r="G247" s="1"/>
      <c r="H247" s="1"/>
      <c r="I247" s="1"/>
      <c r="J247" s="1"/>
      <c r="K247" s="1"/>
      <c r="L247" s="1"/>
      <c r="M247" s="1"/>
    </row>
    <row r="248" spans="4:13" x14ac:dyDescent="0.2">
      <c r="D248" s="1"/>
      <c r="E248" s="1"/>
      <c r="G248" s="1"/>
      <c r="H248" s="1"/>
      <c r="I248" s="1"/>
      <c r="J248" s="1"/>
      <c r="K248" s="1"/>
      <c r="L248" s="1"/>
      <c r="M248" s="1"/>
    </row>
    <row r="249" spans="4:13" x14ac:dyDescent="0.2">
      <c r="D249" s="1"/>
      <c r="E249" s="1"/>
      <c r="G249" s="1"/>
      <c r="H249" s="1"/>
      <c r="I249" s="1"/>
      <c r="J249" s="1"/>
      <c r="K249" s="1"/>
      <c r="L249" s="1"/>
      <c r="M249" s="1"/>
    </row>
    <row r="250" spans="4:13" x14ac:dyDescent="0.2">
      <c r="D250" s="1"/>
      <c r="E250" s="1"/>
      <c r="G250" s="1"/>
      <c r="H250" s="1"/>
      <c r="I250" s="1"/>
      <c r="J250" s="1"/>
      <c r="K250" s="1"/>
      <c r="L250" s="1"/>
      <c r="M250" s="1"/>
    </row>
    <row r="251" spans="4:13" x14ac:dyDescent="0.2">
      <c r="D251" s="1"/>
      <c r="E251" s="1"/>
      <c r="G251" s="1"/>
      <c r="H251" s="1"/>
      <c r="I251" s="1"/>
      <c r="J251" s="1"/>
      <c r="K251" s="1"/>
      <c r="L251" s="1"/>
      <c r="M251" s="1"/>
    </row>
    <row r="252" spans="4:13" x14ac:dyDescent="0.2">
      <c r="D252" s="1"/>
      <c r="E252" s="1"/>
      <c r="G252" s="1"/>
      <c r="H252" s="1"/>
      <c r="I252" s="1"/>
      <c r="J252" s="1"/>
      <c r="K252" s="1"/>
      <c r="L252" s="1"/>
      <c r="M252" s="1"/>
    </row>
    <row r="253" spans="4:13" x14ac:dyDescent="0.2">
      <c r="D253" s="1"/>
      <c r="E253" s="1"/>
      <c r="G253" s="1"/>
      <c r="H253" s="1"/>
      <c r="I253" s="1"/>
      <c r="J253" s="1"/>
      <c r="K253" s="1"/>
      <c r="L253" s="1"/>
      <c r="M253" s="1"/>
    </row>
    <row r="254" spans="4:13" x14ac:dyDescent="0.2">
      <c r="D254" s="1"/>
      <c r="E254" s="1"/>
      <c r="G254" s="1"/>
      <c r="H254" s="1"/>
      <c r="I254" s="1"/>
      <c r="J254" s="1"/>
      <c r="K254" s="1"/>
      <c r="L254" s="1"/>
      <c r="M254" s="1"/>
    </row>
    <row r="255" spans="4:13" x14ac:dyDescent="0.2">
      <c r="D255" s="1"/>
      <c r="E255" s="1"/>
      <c r="G255" s="1"/>
      <c r="H255" s="1"/>
      <c r="I255" s="1"/>
      <c r="J255" s="1"/>
      <c r="K255" s="1"/>
      <c r="L255" s="1"/>
      <c r="M255" s="1"/>
    </row>
    <row r="256" spans="4:13" x14ac:dyDescent="0.2">
      <c r="D256" s="1"/>
      <c r="E256" s="1"/>
      <c r="G256" s="1"/>
      <c r="H256" s="1"/>
      <c r="I256" s="1"/>
      <c r="J256" s="1"/>
      <c r="K256" s="1"/>
      <c r="L256" s="1"/>
      <c r="M256" s="1"/>
    </row>
    <row r="257" spans="4:13" x14ac:dyDescent="0.2">
      <c r="D257" s="1"/>
      <c r="E257" s="1"/>
      <c r="G257" s="1"/>
      <c r="H257" s="1"/>
      <c r="I257" s="1"/>
      <c r="J257" s="1"/>
      <c r="K257" s="1"/>
      <c r="L257" s="1"/>
      <c r="M257" s="1"/>
    </row>
    <row r="258" spans="4:13" x14ac:dyDescent="0.2">
      <c r="D258" s="1"/>
      <c r="E258" s="1"/>
      <c r="G258" s="1"/>
      <c r="H258" s="1"/>
      <c r="I258" s="1"/>
      <c r="J258" s="1"/>
      <c r="K258" s="1"/>
      <c r="L258" s="1"/>
      <c r="M258" s="1"/>
    </row>
    <row r="259" spans="4:13" x14ac:dyDescent="0.2">
      <c r="D259" s="1"/>
      <c r="E259" s="1"/>
      <c r="G259" s="1"/>
      <c r="H259" s="1"/>
      <c r="I259" s="1"/>
      <c r="J259" s="1"/>
      <c r="K259" s="1"/>
      <c r="L259" s="1"/>
      <c r="M259" s="1"/>
    </row>
    <row r="260" spans="4:13" x14ac:dyDescent="0.2">
      <c r="D260" s="1"/>
      <c r="E260" s="1"/>
      <c r="G260" s="1"/>
      <c r="H260" s="1"/>
      <c r="I260" s="1"/>
      <c r="J260" s="1"/>
      <c r="K260" s="1"/>
      <c r="L260" s="1"/>
      <c r="M260" s="1"/>
    </row>
    <row r="261" spans="4:13" x14ac:dyDescent="0.2">
      <c r="D261" s="1"/>
      <c r="E261" s="1"/>
      <c r="G261" s="1"/>
      <c r="H261" s="1"/>
      <c r="I261" s="1"/>
      <c r="J261" s="1"/>
      <c r="K261" s="1"/>
      <c r="L261" s="1"/>
      <c r="M261" s="1"/>
    </row>
    <row r="262" spans="4:13" x14ac:dyDescent="0.2">
      <c r="D262" s="1"/>
      <c r="E262" s="1"/>
      <c r="G262" s="1"/>
      <c r="H262" s="1"/>
      <c r="I262" s="1"/>
      <c r="J262" s="1"/>
      <c r="K262" s="1"/>
      <c r="L262" s="1"/>
      <c r="M262" s="1"/>
    </row>
    <row r="263" spans="4:13" x14ac:dyDescent="0.2">
      <c r="D263" s="1"/>
      <c r="E263" s="1"/>
      <c r="G263" s="1"/>
      <c r="H263" s="1"/>
      <c r="I263" s="1"/>
      <c r="J263" s="1"/>
      <c r="K263" s="1"/>
      <c r="L263" s="1"/>
      <c r="M263" s="1"/>
    </row>
    <row r="264" spans="4:13" x14ac:dyDescent="0.2">
      <c r="D264" s="1"/>
      <c r="E264" s="1"/>
      <c r="G264" s="1"/>
      <c r="H264" s="1"/>
      <c r="I264" s="1"/>
      <c r="J264" s="1"/>
      <c r="K264" s="1"/>
      <c r="L264" s="1"/>
      <c r="M264" s="1"/>
    </row>
    <row r="265" spans="4:13" x14ac:dyDescent="0.2">
      <c r="D265" s="1"/>
      <c r="E265" s="1"/>
      <c r="G265" s="1"/>
      <c r="H265" s="1"/>
      <c r="I265" s="1"/>
      <c r="J265" s="1"/>
      <c r="K265" s="1"/>
      <c r="L265" s="1"/>
      <c r="M265" s="1"/>
    </row>
    <row r="266" spans="4:13" x14ac:dyDescent="0.2">
      <c r="D266" s="1"/>
      <c r="E266" s="1"/>
      <c r="G266" s="1"/>
      <c r="H266" s="1"/>
      <c r="I266" s="1"/>
      <c r="J266" s="1"/>
      <c r="K266" s="1"/>
      <c r="L266" s="1"/>
      <c r="M266" s="1"/>
    </row>
    <row r="267" spans="4:13" x14ac:dyDescent="0.2">
      <c r="D267" s="1"/>
      <c r="E267" s="1"/>
      <c r="G267" s="1"/>
      <c r="H267" s="1"/>
      <c r="I267" s="1"/>
      <c r="J267" s="1"/>
      <c r="K267" s="1"/>
      <c r="L267" s="1"/>
      <c r="M267" s="1"/>
    </row>
    <row r="268" spans="4:13" x14ac:dyDescent="0.2">
      <c r="D268" s="1"/>
      <c r="E268" s="1"/>
      <c r="G268" s="1"/>
      <c r="H268" s="1"/>
      <c r="I268" s="1"/>
      <c r="J268" s="1"/>
      <c r="K268" s="1"/>
      <c r="L268" s="1"/>
      <c r="M268" s="1"/>
    </row>
    <row r="269" spans="4:13" x14ac:dyDescent="0.2">
      <c r="D269" s="1"/>
      <c r="E269" s="1"/>
      <c r="G269" s="1"/>
      <c r="H269" s="1"/>
      <c r="I269" s="1"/>
      <c r="J269" s="1"/>
      <c r="K269" s="1"/>
      <c r="L269" s="1"/>
      <c r="M269" s="1"/>
    </row>
    <row r="270" spans="4:13" x14ac:dyDescent="0.2">
      <c r="D270" s="1"/>
      <c r="E270" s="1"/>
      <c r="G270" s="1"/>
      <c r="H270" s="1"/>
      <c r="I270" s="1"/>
      <c r="J270" s="1"/>
      <c r="K270" s="1"/>
      <c r="L270" s="1"/>
      <c r="M270" s="1"/>
    </row>
    <row r="271" spans="4:13" x14ac:dyDescent="0.2">
      <c r="D271" s="1"/>
      <c r="E271" s="1"/>
      <c r="G271" s="1"/>
      <c r="H271" s="1"/>
      <c r="I271" s="1"/>
      <c r="J271" s="1"/>
      <c r="K271" s="1"/>
      <c r="L271" s="1"/>
      <c r="M271" s="1"/>
    </row>
    <row r="272" spans="4:13" x14ac:dyDescent="0.2">
      <c r="D272" s="1"/>
      <c r="E272" s="1"/>
      <c r="G272" s="1"/>
      <c r="H272" s="1"/>
      <c r="I272" s="1"/>
      <c r="J272" s="1"/>
      <c r="K272" s="1"/>
      <c r="L272" s="1"/>
      <c r="M272" s="1"/>
    </row>
    <row r="273" spans="4:13" x14ac:dyDescent="0.2">
      <c r="D273" s="1"/>
      <c r="E273" s="1"/>
      <c r="G273" s="1"/>
      <c r="H273" s="1"/>
      <c r="I273" s="1"/>
      <c r="J273" s="1"/>
      <c r="K273" s="1"/>
      <c r="L273" s="1"/>
      <c r="M273" s="1"/>
    </row>
    <row r="274" spans="4:13" x14ac:dyDescent="0.2">
      <c r="D274" s="1"/>
      <c r="E274" s="1"/>
      <c r="G274" s="1"/>
      <c r="H274" s="1"/>
      <c r="I274" s="1"/>
      <c r="J274" s="1"/>
      <c r="K274" s="1"/>
      <c r="L274" s="1"/>
      <c r="M274" s="1"/>
    </row>
    <row r="275" spans="4:13" x14ac:dyDescent="0.2">
      <c r="D275" s="1"/>
      <c r="E275" s="1"/>
      <c r="G275" s="1"/>
      <c r="H275" s="1"/>
      <c r="I275" s="1"/>
      <c r="J275" s="1"/>
      <c r="K275" s="1"/>
      <c r="L275" s="1"/>
      <c r="M275" s="1"/>
    </row>
    <row r="276" spans="4:13" x14ac:dyDescent="0.2">
      <c r="D276" s="1"/>
      <c r="E276" s="1"/>
      <c r="G276" s="1"/>
      <c r="H276" s="1"/>
      <c r="I276" s="1"/>
      <c r="J276" s="1"/>
      <c r="K276" s="1"/>
      <c r="L276" s="1"/>
      <c r="M276" s="1"/>
    </row>
    <row r="277" spans="4:13" x14ac:dyDescent="0.2">
      <c r="D277" s="1"/>
      <c r="E277" s="1"/>
      <c r="G277" s="1"/>
      <c r="H277" s="1"/>
      <c r="I277" s="1"/>
      <c r="J277" s="1"/>
      <c r="K277" s="1"/>
      <c r="L277" s="1"/>
      <c r="M277" s="1"/>
    </row>
    <row r="278" spans="4:13" x14ac:dyDescent="0.2">
      <c r="D278" s="1"/>
      <c r="E278" s="1"/>
      <c r="G278" s="1"/>
      <c r="H278" s="1"/>
      <c r="I278" s="1"/>
      <c r="J278" s="1"/>
      <c r="K278" s="1"/>
      <c r="L278" s="1"/>
      <c r="M278" s="1"/>
    </row>
    <row r="279" spans="4:13" x14ac:dyDescent="0.2">
      <c r="D279" s="1"/>
      <c r="E279" s="1"/>
      <c r="G279" s="1"/>
      <c r="H279" s="1"/>
      <c r="I279" s="1"/>
      <c r="J279" s="1"/>
      <c r="K279" s="1"/>
      <c r="L279" s="1"/>
      <c r="M279" s="1"/>
    </row>
    <row r="280" spans="4:13" x14ac:dyDescent="0.2">
      <c r="D280" s="1"/>
      <c r="E280" s="1"/>
      <c r="G280" s="1"/>
      <c r="H280" s="1"/>
      <c r="I280" s="1"/>
      <c r="J280" s="1"/>
      <c r="K280" s="1"/>
      <c r="L280" s="1"/>
      <c r="M280" s="1"/>
    </row>
    <row r="281" spans="4:13" x14ac:dyDescent="0.2">
      <c r="D281" s="1"/>
      <c r="E281" s="1"/>
      <c r="G281" s="1"/>
      <c r="H281" s="1"/>
      <c r="I281" s="1"/>
      <c r="J281" s="1"/>
      <c r="K281" s="1"/>
      <c r="L281" s="1"/>
      <c r="M281" s="1"/>
    </row>
    <row r="282" spans="4:13" x14ac:dyDescent="0.2">
      <c r="D282" s="1"/>
      <c r="E282" s="1"/>
      <c r="G282" s="1"/>
      <c r="H282" s="1"/>
      <c r="I282" s="1"/>
      <c r="J282" s="1"/>
      <c r="K282" s="1"/>
      <c r="L282" s="1"/>
      <c r="M282" s="1"/>
    </row>
    <row r="283" spans="4:13" x14ac:dyDescent="0.2">
      <c r="D283" s="1"/>
      <c r="E283" s="1"/>
      <c r="G283" s="1"/>
      <c r="H283" s="1"/>
      <c r="I283" s="1"/>
      <c r="J283" s="1"/>
      <c r="K283" s="1"/>
      <c r="L283" s="1"/>
      <c r="M283" s="1"/>
    </row>
    <row r="284" spans="4:13" x14ac:dyDescent="0.2">
      <c r="D284" s="1"/>
      <c r="E284" s="1"/>
      <c r="G284" s="1"/>
      <c r="H284" s="1"/>
      <c r="I284" s="1"/>
      <c r="J284" s="1"/>
      <c r="K284" s="1"/>
      <c r="L284" s="1"/>
      <c r="M284" s="1"/>
    </row>
    <row r="285" spans="4:13" x14ac:dyDescent="0.2">
      <c r="D285" s="1"/>
      <c r="E285" s="1"/>
      <c r="G285" s="1"/>
      <c r="H285" s="1"/>
      <c r="I285" s="1"/>
      <c r="J285" s="1"/>
      <c r="K285" s="1"/>
      <c r="L285" s="1"/>
      <c r="M285" s="1"/>
    </row>
    <row r="286" spans="4:13" x14ac:dyDescent="0.2">
      <c r="D286" s="1"/>
      <c r="E286" s="1"/>
      <c r="G286" s="1"/>
      <c r="H286" s="1"/>
      <c r="I286" s="1"/>
      <c r="J286" s="1"/>
      <c r="K286" s="1"/>
      <c r="L286" s="1"/>
      <c r="M286" s="1"/>
    </row>
    <row r="287" spans="4:13" x14ac:dyDescent="0.2">
      <c r="D287" s="1"/>
      <c r="E287" s="1"/>
      <c r="G287" s="1"/>
      <c r="H287" s="1"/>
      <c r="I287" s="1"/>
      <c r="J287" s="1"/>
      <c r="K287" s="1"/>
      <c r="L287" s="1"/>
      <c r="M287" s="1"/>
    </row>
    <row r="288" spans="4:13" x14ac:dyDescent="0.2">
      <c r="D288" s="1"/>
      <c r="E288" s="1"/>
      <c r="G288" s="1"/>
      <c r="H288" s="1"/>
      <c r="I288" s="1"/>
      <c r="J288" s="1"/>
      <c r="K288" s="1"/>
      <c r="L288" s="1"/>
      <c r="M288" s="1"/>
    </row>
    <row r="289" spans="4:13" x14ac:dyDescent="0.2">
      <c r="D289" s="1"/>
      <c r="E289" s="1"/>
      <c r="G289" s="1"/>
      <c r="H289" s="1"/>
      <c r="I289" s="1"/>
      <c r="J289" s="1"/>
      <c r="K289" s="1"/>
      <c r="L289" s="1"/>
      <c r="M289" s="1"/>
    </row>
    <row r="290" spans="4:13" x14ac:dyDescent="0.2">
      <c r="D290" s="1"/>
      <c r="E290" s="1"/>
      <c r="G290" s="1"/>
      <c r="H290" s="1"/>
      <c r="I290" s="1"/>
      <c r="J290" s="1"/>
      <c r="K290" s="1"/>
      <c r="L290" s="1"/>
      <c r="M290" s="1"/>
    </row>
    <row r="291" spans="4:13" x14ac:dyDescent="0.2">
      <c r="D291" s="1"/>
      <c r="E291" s="1"/>
      <c r="G291" s="1"/>
      <c r="H291" s="1"/>
      <c r="I291" s="1"/>
      <c r="J291" s="1"/>
      <c r="K291" s="1"/>
      <c r="L291" s="1"/>
      <c r="M291" s="1"/>
    </row>
    <row r="292" spans="4:13" x14ac:dyDescent="0.2">
      <c r="D292" s="1"/>
      <c r="E292" s="1"/>
      <c r="G292" s="1"/>
      <c r="H292" s="1"/>
      <c r="I292" s="1"/>
      <c r="J292" s="1"/>
      <c r="K292" s="1"/>
      <c r="L292" s="1"/>
      <c r="M292" s="1"/>
    </row>
    <row r="293" spans="4:13" x14ac:dyDescent="0.2">
      <c r="D293" s="1"/>
      <c r="E293" s="1"/>
      <c r="G293" s="1"/>
      <c r="H293" s="1"/>
      <c r="I293" s="1"/>
      <c r="J293" s="1"/>
      <c r="K293" s="1"/>
      <c r="L293" s="1"/>
      <c r="M293" s="1"/>
    </row>
    <row r="294" spans="4:13" x14ac:dyDescent="0.2">
      <c r="D294" s="1"/>
      <c r="E294" s="1"/>
      <c r="G294" s="1"/>
      <c r="H294" s="1"/>
      <c r="I294" s="1"/>
      <c r="J294" s="1"/>
      <c r="K294" s="1"/>
      <c r="L294" s="1"/>
      <c r="M294" s="1"/>
    </row>
    <row r="295" spans="4:13" x14ac:dyDescent="0.2">
      <c r="D295" s="1"/>
      <c r="E295" s="1"/>
      <c r="G295" s="1"/>
      <c r="H295" s="1"/>
      <c r="I295" s="1"/>
      <c r="J295" s="1"/>
      <c r="K295" s="1"/>
      <c r="L295" s="1"/>
      <c r="M295" s="1"/>
    </row>
    <row r="296" spans="4:13" x14ac:dyDescent="0.2">
      <c r="D296" s="1"/>
      <c r="E296" s="1"/>
      <c r="G296" s="1"/>
      <c r="H296" s="1"/>
      <c r="I296" s="1"/>
      <c r="J296" s="1"/>
      <c r="K296" s="1"/>
      <c r="L296" s="1"/>
      <c r="M296" s="1"/>
    </row>
    <row r="297" spans="4:13" x14ac:dyDescent="0.2">
      <c r="D297" s="1"/>
      <c r="E297" s="1"/>
      <c r="G297" s="1"/>
      <c r="H297" s="1"/>
      <c r="I297" s="1"/>
      <c r="J297" s="1"/>
      <c r="K297" s="1"/>
      <c r="L297" s="1"/>
      <c r="M297" s="1"/>
    </row>
    <row r="298" spans="4:13" x14ac:dyDescent="0.2">
      <c r="D298" s="1"/>
      <c r="E298" s="1"/>
      <c r="G298" s="1"/>
      <c r="H298" s="1"/>
      <c r="I298" s="1"/>
      <c r="J298" s="1"/>
      <c r="K298" s="1"/>
      <c r="L298" s="1"/>
      <c r="M298" s="1"/>
    </row>
    <row r="299" spans="4:13" x14ac:dyDescent="0.2">
      <c r="D299" s="1"/>
      <c r="E299" s="1"/>
      <c r="G299" s="1"/>
      <c r="H299" s="1"/>
      <c r="I299" s="1"/>
      <c r="J299" s="1"/>
      <c r="K299" s="1"/>
      <c r="L299" s="1"/>
      <c r="M299" s="1"/>
    </row>
    <row r="300" spans="4:13" x14ac:dyDescent="0.2">
      <c r="D300" s="1"/>
      <c r="E300" s="1"/>
      <c r="G300" s="1"/>
      <c r="H300" s="1"/>
      <c r="I300" s="1"/>
      <c r="J300" s="1"/>
      <c r="K300" s="1"/>
      <c r="L300" s="1"/>
      <c r="M300" s="1"/>
    </row>
    <row r="301" spans="4:13" x14ac:dyDescent="0.2">
      <c r="D301" s="1"/>
      <c r="E301" s="1"/>
      <c r="G301" s="1"/>
      <c r="H301" s="1"/>
      <c r="I301" s="1"/>
      <c r="J301" s="1"/>
      <c r="K301" s="1"/>
      <c r="L301" s="1"/>
      <c r="M301" s="1"/>
    </row>
    <row r="302" spans="4:13" x14ac:dyDescent="0.2">
      <c r="D302" s="1"/>
      <c r="E302" s="1"/>
      <c r="G302" s="1"/>
      <c r="H302" s="1"/>
      <c r="I302" s="1"/>
      <c r="J302" s="1"/>
      <c r="K302" s="1"/>
      <c r="L302" s="1"/>
      <c r="M302" s="1"/>
    </row>
    <row r="303" spans="4:13" x14ac:dyDescent="0.2">
      <c r="D303" s="1"/>
      <c r="E303" s="1"/>
      <c r="G303" s="1"/>
      <c r="H303" s="1"/>
      <c r="I303" s="1"/>
      <c r="J303" s="1"/>
      <c r="K303" s="1"/>
      <c r="L303" s="1"/>
      <c r="M303" s="1"/>
    </row>
    <row r="304" spans="4:13" x14ac:dyDescent="0.2">
      <c r="D304" s="1"/>
      <c r="E304" s="1"/>
      <c r="G304" s="1"/>
      <c r="H304" s="1"/>
      <c r="I304" s="1"/>
      <c r="J304" s="1"/>
      <c r="K304" s="1"/>
      <c r="L304" s="1"/>
      <c r="M304" s="1"/>
    </row>
    <row r="305" spans="4:13" x14ac:dyDescent="0.2">
      <c r="D305" s="1"/>
      <c r="E305" s="1"/>
      <c r="G305" s="1"/>
      <c r="H305" s="1"/>
      <c r="I305" s="1"/>
      <c r="J305" s="1"/>
      <c r="K305" s="1"/>
      <c r="L305" s="1"/>
      <c r="M305" s="1"/>
    </row>
    <row r="306" spans="4:13" x14ac:dyDescent="0.2">
      <c r="D306" s="1"/>
      <c r="E306" s="1"/>
      <c r="G306" s="1"/>
      <c r="H306" s="1"/>
      <c r="I306" s="1"/>
      <c r="J306" s="1"/>
      <c r="K306" s="1"/>
      <c r="L306" s="1"/>
      <c r="M306" s="1"/>
    </row>
    <row r="307" spans="4:13" x14ac:dyDescent="0.2">
      <c r="D307" s="1"/>
      <c r="E307" s="1"/>
      <c r="G307" s="1"/>
      <c r="H307" s="1"/>
      <c r="I307" s="1"/>
      <c r="J307" s="1"/>
      <c r="K307" s="1"/>
      <c r="L307" s="1"/>
      <c r="M307" s="1"/>
    </row>
    <row r="308" spans="4:13" x14ac:dyDescent="0.2">
      <c r="D308" s="1"/>
      <c r="E308" s="1"/>
      <c r="G308" s="1"/>
      <c r="H308" s="1"/>
      <c r="I308" s="1"/>
      <c r="J308" s="1"/>
      <c r="K308" s="1"/>
      <c r="L308" s="1"/>
      <c r="M308" s="1"/>
    </row>
    <row r="309" spans="4:13" x14ac:dyDescent="0.2">
      <c r="D309" s="1"/>
      <c r="E309" s="1"/>
      <c r="G309" s="1"/>
      <c r="H309" s="1"/>
      <c r="I309" s="1"/>
      <c r="J309" s="1"/>
      <c r="K309" s="1"/>
      <c r="L309" s="1"/>
      <c r="M309" s="1"/>
    </row>
    <row r="310" spans="4:13" x14ac:dyDescent="0.2">
      <c r="D310" s="1"/>
      <c r="E310" s="1"/>
      <c r="G310" s="1"/>
      <c r="H310" s="1"/>
      <c r="I310" s="1"/>
      <c r="J310" s="1"/>
      <c r="K310" s="1"/>
      <c r="L310" s="1"/>
      <c r="M310" s="1"/>
    </row>
    <row r="311" spans="4:13" x14ac:dyDescent="0.2">
      <c r="D311" s="1"/>
      <c r="E311" s="1"/>
      <c r="G311" s="1"/>
      <c r="H311" s="1"/>
      <c r="I311" s="1"/>
      <c r="J311" s="1"/>
      <c r="K311" s="1"/>
      <c r="L311" s="1"/>
      <c r="M311" s="1"/>
    </row>
    <row r="312" spans="4:13" x14ac:dyDescent="0.2">
      <c r="D312" s="1"/>
      <c r="E312" s="1"/>
      <c r="G312" s="1"/>
      <c r="H312" s="1"/>
      <c r="I312" s="1"/>
      <c r="J312" s="1"/>
      <c r="K312" s="1"/>
      <c r="L312" s="1"/>
      <c r="M312" s="1"/>
    </row>
    <row r="313" spans="4:13" x14ac:dyDescent="0.2">
      <c r="D313" s="1"/>
      <c r="E313" s="1"/>
      <c r="G313" s="1"/>
      <c r="H313" s="1"/>
      <c r="I313" s="1"/>
      <c r="J313" s="1"/>
      <c r="K313" s="1"/>
      <c r="L313" s="1"/>
      <c r="M313" s="1"/>
    </row>
    <row r="314" spans="4:13" x14ac:dyDescent="0.2">
      <c r="D314" s="1"/>
      <c r="E314" s="1"/>
      <c r="G314" s="1"/>
      <c r="H314" s="1"/>
      <c r="I314" s="1"/>
      <c r="J314" s="1"/>
      <c r="K314" s="1"/>
      <c r="L314" s="1"/>
      <c r="M314" s="1"/>
    </row>
    <row r="315" spans="4:13" x14ac:dyDescent="0.2">
      <c r="D315" s="1"/>
      <c r="E315" s="1"/>
      <c r="G315" s="1"/>
      <c r="H315" s="1"/>
      <c r="I315" s="1"/>
      <c r="J315" s="1"/>
      <c r="K315" s="1"/>
      <c r="L315" s="1"/>
      <c r="M315" s="1"/>
    </row>
    <row r="316" spans="4:13" x14ac:dyDescent="0.2">
      <c r="D316" s="1"/>
      <c r="E316" s="1"/>
      <c r="G316" s="1"/>
      <c r="H316" s="1"/>
      <c r="I316" s="1"/>
      <c r="J316" s="1"/>
      <c r="K316" s="1"/>
      <c r="L316" s="1"/>
      <c r="M316" s="1"/>
    </row>
    <row r="317" spans="4:13" x14ac:dyDescent="0.2">
      <c r="D317" s="1"/>
      <c r="E317" s="1"/>
      <c r="G317" s="1"/>
      <c r="H317" s="1"/>
      <c r="I317" s="1"/>
      <c r="J317" s="1"/>
      <c r="K317" s="1"/>
      <c r="L317" s="1"/>
      <c r="M317" s="1"/>
    </row>
    <row r="318" spans="4:13" x14ac:dyDescent="0.2">
      <c r="D318" s="1"/>
      <c r="E318" s="1"/>
      <c r="G318" s="1"/>
      <c r="H318" s="1"/>
      <c r="I318" s="1"/>
      <c r="J318" s="1"/>
      <c r="K318" s="1"/>
      <c r="L318" s="1"/>
      <c r="M318" s="1"/>
    </row>
    <row r="319" spans="4:13" x14ac:dyDescent="0.2">
      <c r="D319" s="1"/>
      <c r="E319" s="1"/>
      <c r="G319" s="1"/>
      <c r="H319" s="1"/>
      <c r="I319" s="1"/>
      <c r="J319" s="1"/>
      <c r="K319" s="1"/>
      <c r="L319" s="1"/>
      <c r="M319" s="1"/>
    </row>
    <row r="320" spans="4:13" x14ac:dyDescent="0.2">
      <c r="D320" s="1"/>
      <c r="E320" s="1"/>
      <c r="G320" s="1"/>
      <c r="H320" s="1"/>
      <c r="I320" s="1"/>
      <c r="J320" s="1"/>
      <c r="K320" s="1"/>
      <c r="L320" s="1"/>
      <c r="M320" s="1"/>
    </row>
    <row r="321" spans="4:13" x14ac:dyDescent="0.2">
      <c r="D321" s="1"/>
      <c r="E321" s="1"/>
      <c r="G321" s="1"/>
      <c r="H321" s="1"/>
      <c r="I321" s="1"/>
      <c r="J321" s="1"/>
      <c r="K321" s="1"/>
      <c r="L321" s="1"/>
      <c r="M321" s="1"/>
    </row>
    <row r="322" spans="4:13" x14ac:dyDescent="0.2">
      <c r="D322" s="1"/>
      <c r="E322" s="1"/>
      <c r="G322" s="1"/>
      <c r="H322" s="1"/>
      <c r="I322" s="1"/>
      <c r="J322" s="1"/>
      <c r="K322" s="1"/>
      <c r="L322" s="1"/>
      <c r="M322" s="1"/>
    </row>
    <row r="323" spans="4:13" x14ac:dyDescent="0.2">
      <c r="D323" s="1"/>
      <c r="E323" s="1"/>
      <c r="G323" s="1"/>
      <c r="H323" s="1"/>
      <c r="I323" s="1"/>
      <c r="J323" s="1"/>
      <c r="K323" s="1"/>
      <c r="L323" s="1"/>
      <c r="M323" s="1"/>
    </row>
    <row r="324" spans="4:13" x14ac:dyDescent="0.2">
      <c r="D324" s="1"/>
      <c r="E324" s="1"/>
      <c r="G324" s="1"/>
      <c r="H324" s="1"/>
      <c r="I324" s="1"/>
      <c r="J324" s="1"/>
      <c r="K324" s="1"/>
      <c r="L324" s="1"/>
      <c r="M324" s="1"/>
    </row>
    <row r="325" spans="4:13" x14ac:dyDescent="0.2">
      <c r="D325" s="1"/>
      <c r="E325" s="1"/>
      <c r="G325" s="1"/>
      <c r="H325" s="1"/>
      <c r="I325" s="1"/>
      <c r="J325" s="1"/>
      <c r="K325" s="1"/>
      <c r="L325" s="1"/>
      <c r="M325" s="1"/>
    </row>
  </sheetData>
  <mergeCells count="2">
    <mergeCell ref="D9:E9"/>
    <mergeCell ref="G9:I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P45"/>
  <sheetViews>
    <sheetView workbookViewId="0"/>
  </sheetViews>
  <sheetFormatPr defaultRowHeight="12.75" x14ac:dyDescent="0.2"/>
  <cols>
    <col min="1" max="1" width="10.5703125" style="156" bestFit="1" customWidth="1"/>
    <col min="2" max="2" width="27.140625" style="156" bestFit="1" customWidth="1"/>
    <col min="3" max="3" width="20.28515625" style="156" bestFit="1" customWidth="1"/>
    <col min="4" max="4" width="7" style="156" bestFit="1" customWidth="1"/>
    <col min="5" max="9" width="12.5703125" style="156" bestFit="1" customWidth="1"/>
    <col min="10" max="10" width="11.5703125" style="156" bestFit="1" customWidth="1"/>
    <col min="11" max="16384" width="9.140625" style="156"/>
  </cols>
  <sheetData>
    <row r="1" spans="1:10" x14ac:dyDescent="0.2">
      <c r="A1" s="321" t="s">
        <v>616</v>
      </c>
    </row>
    <row r="2" spans="1:10" x14ac:dyDescent="0.2">
      <c r="A2" s="279" t="s">
        <v>949</v>
      </c>
    </row>
    <row r="3" spans="1:10" x14ac:dyDescent="0.2">
      <c r="A3" s="356" t="s">
        <v>950</v>
      </c>
      <c r="B3" s="1"/>
      <c r="C3" s="1"/>
      <c r="D3" s="1"/>
      <c r="E3" s="187" t="s">
        <v>13</v>
      </c>
      <c r="F3" s="187" t="s">
        <v>58</v>
      </c>
      <c r="G3" s="187" t="s">
        <v>59</v>
      </c>
      <c r="H3" s="187" t="s">
        <v>60</v>
      </c>
      <c r="I3" s="187" t="s">
        <v>61</v>
      </c>
    </row>
    <row r="4" spans="1:10" x14ac:dyDescent="0.2">
      <c r="A4" s="186"/>
      <c r="B4" s="11"/>
      <c r="C4" s="12"/>
      <c r="D4" s="11"/>
      <c r="E4" s="13"/>
      <c r="F4" s="13"/>
      <c r="G4" s="13"/>
      <c r="H4" s="13"/>
      <c r="I4" s="13"/>
    </row>
    <row r="5" spans="1:10" x14ac:dyDescent="0.2">
      <c r="A5" s="188"/>
      <c r="B5" s="11"/>
      <c r="C5" s="12"/>
      <c r="D5" s="11"/>
      <c r="E5" s="23"/>
      <c r="F5" s="23"/>
      <c r="G5" s="23"/>
      <c r="H5" s="23"/>
      <c r="I5" s="23"/>
    </row>
    <row r="6" spans="1:10" x14ac:dyDescent="0.2">
      <c r="B6" s="11"/>
      <c r="C6" s="12"/>
      <c r="D6" s="11"/>
      <c r="E6" s="23"/>
      <c r="F6" s="23"/>
      <c r="G6" s="23"/>
      <c r="H6" s="23"/>
      <c r="I6" s="23"/>
    </row>
    <row r="7" spans="1:10" x14ac:dyDescent="0.2">
      <c r="B7" s="30"/>
      <c r="C7" s="31"/>
      <c r="D7" s="30"/>
      <c r="E7" s="32">
        <f>+E238</f>
        <v>0</v>
      </c>
      <c r="F7" s="32">
        <f>+F238</f>
        <v>0</v>
      </c>
      <c r="G7" s="32">
        <f>+G238</f>
        <v>0</v>
      </c>
      <c r="H7" s="32">
        <f>+H238</f>
        <v>0</v>
      </c>
      <c r="I7" s="32">
        <f>+I238</f>
        <v>0</v>
      </c>
    </row>
    <row r="8" spans="1:10" x14ac:dyDescent="0.2">
      <c r="B8" s="38"/>
      <c r="C8" s="38"/>
      <c r="D8" s="38"/>
      <c r="E8" s="184"/>
      <c r="F8" s="184"/>
      <c r="G8" s="184"/>
      <c r="H8" s="184"/>
      <c r="I8" s="184"/>
    </row>
    <row r="9" spans="1:10" x14ac:dyDescent="0.2">
      <c r="B9" s="1"/>
      <c r="C9" s="1"/>
      <c r="D9" s="1"/>
      <c r="E9" s="13"/>
      <c r="F9" s="13"/>
      <c r="G9" s="13"/>
      <c r="H9" s="13"/>
      <c r="I9" s="13"/>
    </row>
    <row r="10" spans="1:10" x14ac:dyDescent="0.2">
      <c r="B10" s="189" t="s">
        <v>17</v>
      </c>
      <c r="C10" s="190"/>
      <c r="D10" s="191"/>
      <c r="E10" s="192">
        <v>1.66E-2</v>
      </c>
      <c r="F10" s="192">
        <v>1.84E-2</v>
      </c>
      <c r="G10" s="192">
        <v>1.9300000000000001E-2</v>
      </c>
      <c r="H10" s="192">
        <v>2.06E-2</v>
      </c>
      <c r="I10" s="193">
        <v>2.1999999999999999E-2</v>
      </c>
      <c r="J10" s="194"/>
    </row>
    <row r="11" spans="1:10" x14ac:dyDescent="0.2">
      <c r="B11" s="195" t="s">
        <v>30</v>
      </c>
      <c r="C11" s="11"/>
      <c r="D11" s="11"/>
      <c r="E11" s="92">
        <v>7.4775282205405968E-3</v>
      </c>
      <c r="F11" s="92">
        <v>7.200152732028231E-3</v>
      </c>
      <c r="G11" s="92">
        <v>7.1937376559367827E-3</v>
      </c>
      <c r="H11" s="92">
        <v>6.9398038257817429E-3</v>
      </c>
      <c r="I11" s="196">
        <v>6.8392623857602697E-3</v>
      </c>
    </row>
    <row r="12" spans="1:10" x14ac:dyDescent="0.2">
      <c r="B12" s="197" t="s">
        <v>31</v>
      </c>
      <c r="C12" s="198"/>
      <c r="D12" s="198"/>
      <c r="E12" s="92">
        <f>((1+E10)/(1+E11) - 1)</f>
        <v>9.0547645222140982E-3</v>
      </c>
      <c r="F12" s="92">
        <f t="shared" ref="F12:H12" si="0">((1+F10)/(1+F11) - 1)</f>
        <v>1.1119783131080974E-2</v>
      </c>
      <c r="G12" s="92">
        <f t="shared" ref="G12" si="1">((1+G10)/(1+G11) - 1)</f>
        <v>1.2019795091496865E-2</v>
      </c>
      <c r="H12" s="92">
        <f t="shared" si="0"/>
        <v>1.356605044543624E-2</v>
      </c>
      <c r="I12" s="196">
        <f t="shared" ref="I12" si="2">((1+I10)/(1+I11) - 1)</f>
        <v>1.5057753685842057E-2</v>
      </c>
    </row>
    <row r="13" spans="1:10" ht="7.5" customHeight="1" x14ac:dyDescent="0.2">
      <c r="B13" s="199"/>
      <c r="C13" s="54"/>
      <c r="D13" s="11"/>
      <c r="E13" s="91"/>
      <c r="F13" s="91"/>
      <c r="G13" s="91"/>
      <c r="H13" s="91"/>
      <c r="I13" s="200"/>
    </row>
    <row r="14" spans="1:10" x14ac:dyDescent="0.2">
      <c r="B14" s="199" t="s">
        <v>33</v>
      </c>
      <c r="C14" s="54"/>
      <c r="D14" s="11"/>
      <c r="E14" s="68">
        <f>'2016-17'!$AK$8</f>
        <v>92393127.90849492</v>
      </c>
      <c r="F14" s="68">
        <f>'2017-18'!$AK$8</f>
        <v>94829716.878834367</v>
      </c>
      <c r="G14" s="68">
        <f>'2018-19'!$AK$8</f>
        <v>97246569.278791621</v>
      </c>
      <c r="H14" s="68">
        <f>'2019-20'!$AK$8</f>
        <v>99838483.828704447</v>
      </c>
      <c r="I14" s="201">
        <f>'2020-21'!$AK$8</f>
        <v>103908754.0357523</v>
      </c>
    </row>
    <row r="15" spans="1:10" ht="14.25" customHeight="1" x14ac:dyDescent="0.2">
      <c r="B15" s="199"/>
      <c r="C15" s="54"/>
      <c r="D15" s="11"/>
      <c r="E15" s="91">
        <f>E14/'2016-17'!D8-1</f>
        <v>4.3536099458952204E-2</v>
      </c>
      <c r="F15" s="93">
        <f>F14/E14-1</f>
        <v>2.6371971871680833E-2</v>
      </c>
      <c r="G15" s="93">
        <f t="shared" ref="G15:I15" si="3">G14/F14-1</f>
        <v>2.5486234479064285E-2</v>
      </c>
      <c r="H15" s="93">
        <f t="shared" si="3"/>
        <v>2.6653017881609564E-2</v>
      </c>
      <c r="I15" s="202">
        <f t="shared" si="3"/>
        <v>4.0768549871323279E-2</v>
      </c>
    </row>
    <row r="16" spans="1:10" ht="14.25" customHeight="1" x14ac:dyDescent="0.2">
      <c r="B16" s="203" t="s">
        <v>25</v>
      </c>
      <c r="C16" s="204"/>
      <c r="D16" s="204"/>
      <c r="E16" s="205"/>
      <c r="F16" s="206"/>
      <c r="G16" s="206"/>
      <c r="H16" s="206"/>
      <c r="I16" s="207"/>
    </row>
    <row r="17" spans="1:16" ht="15" customHeight="1" x14ac:dyDescent="0.2">
      <c r="A17" s="208"/>
      <c r="B17" s="199" t="s">
        <v>18</v>
      </c>
      <c r="C17" s="54"/>
      <c r="D17" s="11"/>
      <c r="E17" s="92">
        <v>7.7399999999999997E-2</v>
      </c>
      <c r="F17" s="92">
        <v>2.5000000000000001E-2</v>
      </c>
      <c r="G17" s="92">
        <v>2.5000000000000001E-2</v>
      </c>
      <c r="H17" s="92">
        <v>2.6252547343763918E-2</v>
      </c>
      <c r="I17" s="196">
        <v>4.0599999999999997E-2</v>
      </c>
    </row>
    <row r="18" spans="1:16" ht="15" customHeight="1" x14ac:dyDescent="0.2">
      <c r="A18" s="208"/>
      <c r="B18" s="199" t="s">
        <v>19</v>
      </c>
      <c r="C18" s="54"/>
      <c r="D18" s="11"/>
      <c r="E18" s="92">
        <v>-0.08</v>
      </c>
      <c r="F18" s="92">
        <v>-4.2000000000000003E-2</v>
      </c>
      <c r="G18" s="92">
        <v>-3.6999999999999998E-2</v>
      </c>
      <c r="H18" s="92">
        <v>-0.03</v>
      </c>
      <c r="I18" s="196">
        <v>-2.4E-2</v>
      </c>
    </row>
    <row r="19" spans="1:16" x14ac:dyDescent="0.2">
      <c r="A19" s="208"/>
      <c r="B19" s="199" t="s">
        <v>20</v>
      </c>
      <c r="C19" s="54"/>
      <c r="D19" s="11"/>
      <c r="E19" s="92">
        <v>2.9690000000000001E-2</v>
      </c>
      <c r="F19" s="92">
        <v>2.6625905586912895E-2</v>
      </c>
      <c r="G19" s="92">
        <v>9.0860539990887165E-3</v>
      </c>
      <c r="H19" s="92">
        <v>1.7667711371971739E-3</v>
      </c>
      <c r="I19" s="196">
        <v>6.4867179120686467E-3</v>
      </c>
    </row>
    <row r="20" spans="1:16" x14ac:dyDescent="0.2">
      <c r="A20" s="208"/>
      <c r="B20" s="199"/>
      <c r="C20" s="198" t="s">
        <v>32</v>
      </c>
      <c r="D20" s="198"/>
      <c r="E20" s="92">
        <f>E18+E17-E22</f>
        <v>-1.1654764522214103E-2</v>
      </c>
      <c r="F20" s="92">
        <f>F18+F17-F22</f>
        <v>-2.8119783131080975E-2</v>
      </c>
      <c r="G20" s="92">
        <f>G18+G17-G22</f>
        <v>-2.4019795091496862E-2</v>
      </c>
      <c r="H20" s="92">
        <f>H18+H17-H22</f>
        <v>-1.7313503101672321E-2</v>
      </c>
      <c r="I20" s="196">
        <f>I18+I17-I22</f>
        <v>-7.9068911605558213E-3</v>
      </c>
      <c r="K20" s="194"/>
      <c r="L20" s="194"/>
      <c r="M20" s="194"/>
      <c r="N20" s="194"/>
      <c r="O20" s="194"/>
    </row>
    <row r="21" spans="1:16" x14ac:dyDescent="0.2">
      <c r="A21" s="208"/>
      <c r="B21" s="197"/>
      <c r="C21" s="54" t="s">
        <v>619</v>
      </c>
      <c r="D21" s="198"/>
      <c r="E21" s="92">
        <f>E18+2*(E17-E22)</f>
        <v>5.6690470955571795E-2</v>
      </c>
      <c r="F21" s="92">
        <f>F18+2*(F17-F22)</f>
        <v>-1.4239566262161947E-2</v>
      </c>
      <c r="G21" s="92">
        <f>G18+2*(G17-G22)</f>
        <v>-1.1039590182993726E-2</v>
      </c>
      <c r="H21" s="92">
        <f>H18+2*(H17-H22)</f>
        <v>-4.6270062033446427E-3</v>
      </c>
      <c r="I21" s="196">
        <f>I18+2*(I17-I22)</f>
        <v>8.1862176788883578E-3</v>
      </c>
    </row>
    <row r="22" spans="1:16" x14ac:dyDescent="0.2">
      <c r="A22" s="208"/>
      <c r="B22" s="197" t="s">
        <v>24</v>
      </c>
      <c r="C22" s="54"/>
      <c r="D22" s="198"/>
      <c r="E22" s="92">
        <f>(1+E10)/(1+E11)-1</f>
        <v>9.0547645222140982E-3</v>
      </c>
      <c r="F22" s="92">
        <f t="shared" ref="F22:H22" si="4">(1+F10)/(1+F11)-1</f>
        <v>1.1119783131080974E-2</v>
      </c>
      <c r="G22" s="92">
        <f t="shared" si="4"/>
        <v>1.2019795091496865E-2</v>
      </c>
      <c r="H22" s="92">
        <f t="shared" si="4"/>
        <v>1.356605044543624E-2</v>
      </c>
      <c r="I22" s="196">
        <v>2.4506891160555818E-2</v>
      </c>
    </row>
    <row r="23" spans="1:16" s="210" customFormat="1" x14ac:dyDescent="0.2">
      <c r="A23" s="209"/>
      <c r="B23" s="203" t="s">
        <v>27</v>
      </c>
      <c r="C23" s="204"/>
      <c r="D23" s="204"/>
      <c r="E23" s="205"/>
      <c r="F23" s="206"/>
      <c r="G23" s="206"/>
      <c r="H23" s="206"/>
      <c r="I23" s="207"/>
    </row>
    <row r="24" spans="1:16" ht="15" customHeight="1" x14ac:dyDescent="0.2">
      <c r="A24" s="208"/>
      <c r="B24" s="199" t="s">
        <v>26</v>
      </c>
      <c r="C24" s="198"/>
      <c r="D24" s="198"/>
      <c r="E24" s="92">
        <v>3.0386941478720321E-2</v>
      </c>
      <c r="F24" s="92">
        <v>1.9644681315626574E-2</v>
      </c>
      <c r="G24" s="92">
        <v>1.9732353921844841E-2</v>
      </c>
      <c r="H24" s="92">
        <v>2.0738822378003872E-2</v>
      </c>
      <c r="I24" s="196">
        <v>3.2992755077120454E-2</v>
      </c>
      <c r="L24" s="194"/>
      <c r="M24" s="194"/>
      <c r="N24" s="194"/>
      <c r="O24" s="194"/>
      <c r="P24" s="194"/>
    </row>
    <row r="25" spans="1:16" ht="15" customHeight="1" x14ac:dyDescent="0.2">
      <c r="A25" s="208"/>
      <c r="B25" s="199" t="s">
        <v>21</v>
      </c>
      <c r="C25" s="198"/>
      <c r="D25" s="198"/>
      <c r="E25" s="92">
        <v>0.05</v>
      </c>
      <c r="F25" s="92">
        <v>0.05</v>
      </c>
      <c r="G25" s="92">
        <v>0.05</v>
      </c>
      <c r="H25" s="92">
        <v>0.05</v>
      </c>
      <c r="I25" s="196">
        <v>0.05</v>
      </c>
      <c r="L25" s="194"/>
      <c r="M25" s="194"/>
      <c r="N25" s="194"/>
      <c r="O25" s="194"/>
      <c r="P25" s="194"/>
    </row>
    <row r="26" spans="1:16" x14ac:dyDescent="0.2">
      <c r="A26" s="208"/>
      <c r="B26" s="199" t="s">
        <v>22</v>
      </c>
      <c r="C26" s="198"/>
      <c r="D26" s="198"/>
      <c r="E26" s="92">
        <v>0.1</v>
      </c>
      <c r="F26" s="92">
        <v>0.1</v>
      </c>
      <c r="G26" s="92">
        <v>0.1</v>
      </c>
      <c r="H26" s="92">
        <v>0.1</v>
      </c>
      <c r="I26" s="196">
        <v>0.1</v>
      </c>
      <c r="J26" s="211"/>
    </row>
    <row r="27" spans="1:16" x14ac:dyDescent="0.2">
      <c r="A27" s="208"/>
      <c r="B27" s="199" t="s">
        <v>23</v>
      </c>
      <c r="C27" s="198"/>
      <c r="D27" s="198"/>
      <c r="E27" s="92">
        <v>1.3786941478720323E-2</v>
      </c>
      <c r="F27" s="92">
        <v>1.2446813156265757E-3</v>
      </c>
      <c r="G27" s="92">
        <v>4.3235392184484147E-4</v>
      </c>
      <c r="H27" s="92">
        <v>1.3882237800387053E-4</v>
      </c>
      <c r="I27" s="196">
        <v>1.0992755077120457E-2</v>
      </c>
    </row>
    <row r="28" spans="1:16" s="210" customFormat="1" x14ac:dyDescent="0.2">
      <c r="A28" s="209"/>
      <c r="B28" s="203" t="s">
        <v>29</v>
      </c>
      <c r="C28" s="204"/>
      <c r="D28" s="204"/>
      <c r="E28" s="205"/>
      <c r="F28" s="206"/>
      <c r="G28" s="206"/>
      <c r="H28" s="206"/>
      <c r="I28" s="207"/>
    </row>
    <row r="29" spans="1:16" ht="15" customHeight="1" x14ac:dyDescent="0.2">
      <c r="A29" s="208"/>
      <c r="B29" s="199" t="s">
        <v>28</v>
      </c>
      <c r="C29" s="198"/>
      <c r="D29" s="198"/>
      <c r="E29" s="68">
        <v>1</v>
      </c>
      <c r="F29" s="68">
        <v>1</v>
      </c>
      <c r="G29" s="68">
        <v>1</v>
      </c>
      <c r="H29" s="68">
        <v>1</v>
      </c>
      <c r="I29" s="201">
        <v>1</v>
      </c>
    </row>
    <row r="30" spans="1:16" ht="15" customHeight="1" x14ac:dyDescent="0.2">
      <c r="A30" s="208"/>
      <c r="B30" s="199" t="s">
        <v>62</v>
      </c>
      <c r="C30" s="198"/>
      <c r="D30" s="198"/>
      <c r="E30" s="68">
        <v>1</v>
      </c>
      <c r="F30" s="68">
        <v>1</v>
      </c>
      <c r="G30" s="68">
        <v>1</v>
      </c>
      <c r="H30" s="68">
        <v>1</v>
      </c>
      <c r="I30" s="201">
        <v>1</v>
      </c>
    </row>
    <row r="31" spans="1:16" x14ac:dyDescent="0.2">
      <c r="A31" s="208"/>
      <c r="B31" s="199" t="s">
        <v>63</v>
      </c>
      <c r="C31" s="198"/>
      <c r="D31" s="198"/>
      <c r="E31" s="68">
        <v>1</v>
      </c>
      <c r="F31" s="68">
        <v>1</v>
      </c>
      <c r="G31" s="68">
        <v>1</v>
      </c>
      <c r="H31" s="68">
        <v>1</v>
      </c>
      <c r="I31" s="201">
        <v>1</v>
      </c>
    </row>
    <row r="32" spans="1:16" x14ac:dyDescent="0.2">
      <c r="A32" s="209"/>
      <c r="B32" s="203" t="s">
        <v>952</v>
      </c>
      <c r="C32" s="204"/>
      <c r="D32" s="204"/>
      <c r="E32" s="205"/>
      <c r="F32" s="206"/>
      <c r="G32" s="206"/>
      <c r="H32" s="206"/>
      <c r="I32" s="207"/>
    </row>
    <row r="33" spans="1:9" x14ac:dyDescent="0.2">
      <c r="A33" s="208"/>
      <c r="B33" s="199" t="s">
        <v>66</v>
      </c>
      <c r="C33" s="198"/>
      <c r="D33" s="198"/>
      <c r="E33" s="212">
        <f>'2016-17 disagg'!$AQ$5</f>
        <v>81.908494919538498</v>
      </c>
      <c r="F33" s="212">
        <f>'2017-18 disagg'!$AQ$5</f>
        <v>68.878834366798401</v>
      </c>
      <c r="G33" s="212">
        <f>'2018-19 disagg'!$AQ$5</f>
        <v>52.2787916213274</v>
      </c>
      <c r="H33" s="212">
        <f>'2019-20 disagg'!$AQ$5</f>
        <v>0</v>
      </c>
      <c r="I33" s="213">
        <f>'2020-21 disagg'!$AQ$5</f>
        <v>7.0357522964477539</v>
      </c>
    </row>
    <row r="34" spans="1:9" x14ac:dyDescent="0.2">
      <c r="A34" s="208"/>
      <c r="B34" s="199"/>
      <c r="C34" s="198"/>
      <c r="D34" s="198"/>
      <c r="E34" s="212"/>
      <c r="F34" s="212"/>
      <c r="G34" s="212"/>
      <c r="H34" s="212"/>
      <c r="I34" s="213"/>
    </row>
    <row r="35" spans="1:9" x14ac:dyDescent="0.2">
      <c r="A35" s="208"/>
      <c r="B35" s="199" t="s">
        <v>605</v>
      </c>
      <c r="C35" s="198"/>
      <c r="D35" s="198"/>
      <c r="E35" s="214">
        <f>'2016-17'!$K$4</f>
        <v>-8.0049183480927932E-2</v>
      </c>
      <c r="F35" s="214">
        <f>'2017-18'!$K$4</f>
        <v>-4.2554433254857194E-2</v>
      </c>
      <c r="G35" s="214">
        <f>'2018-19'!$K$4</f>
        <v>-3.7057341898043439E-2</v>
      </c>
      <c r="H35" s="214">
        <f>'2019-20'!$K$4</f>
        <v>-3.0925773607578089E-2</v>
      </c>
      <c r="I35" s="215">
        <f>'2020-21'!$K$4</f>
        <v>-2.4764419261959936E-2</v>
      </c>
    </row>
    <row r="36" spans="1:9" x14ac:dyDescent="0.2">
      <c r="A36" s="208"/>
      <c r="B36" s="199" t="s">
        <v>609</v>
      </c>
      <c r="C36" s="198"/>
      <c r="D36" s="198"/>
      <c r="E36" s="216">
        <f>'2016-17'!$AL$4</f>
        <v>-4.9309481245687015E-2</v>
      </c>
      <c r="F36" s="216">
        <f>'2017-18'!$AL$4</f>
        <v>-4.3848472299452212E-2</v>
      </c>
      <c r="G36" s="216">
        <f>'2018-19'!$AL$4</f>
        <v>-3.7524396916991276E-2</v>
      </c>
      <c r="H36" s="216">
        <f>'2019-20'!$AL$4</f>
        <v>-3.1312262836333815E-2</v>
      </c>
      <c r="I36" s="217">
        <f>'2020-21'!$AL$4</f>
        <v>-2.4930556188961339E-2</v>
      </c>
    </row>
    <row r="37" spans="1:9" x14ac:dyDescent="0.2">
      <c r="A37" s="208"/>
      <c r="B37" s="199" t="s">
        <v>611</v>
      </c>
      <c r="C37" s="198"/>
      <c r="D37" s="198"/>
      <c r="E37" s="216">
        <f>'2016-17'!$AL$5</f>
        <v>0.23053900950256323</v>
      </c>
      <c r="F37" s="216">
        <f>'2017-18'!$AL$5</f>
        <v>0.21243696455759076</v>
      </c>
      <c r="G37" s="216">
        <f>'2018-19'!$AL$5</f>
        <v>0.19433384171713164</v>
      </c>
      <c r="H37" s="216">
        <f>'2019-20'!$AL$5</f>
        <v>0.17624086320551213</v>
      </c>
      <c r="I37" s="217">
        <f>'2020-21'!$AL$5</f>
        <v>0.15830541899339567</v>
      </c>
    </row>
    <row r="38" spans="1:9" x14ac:dyDescent="0.2">
      <c r="A38" s="208"/>
      <c r="B38" s="199" t="s">
        <v>606</v>
      </c>
      <c r="C38" s="198"/>
      <c r="D38" s="198" t="s">
        <v>607</v>
      </c>
      <c r="E38" s="198">
        <f>'2016-17'!$AN4</f>
        <v>0</v>
      </c>
      <c r="F38" s="198">
        <f>'2017-18'!$AN4</f>
        <v>0</v>
      </c>
      <c r="G38" s="198">
        <f>'2018-19'!$AN4</f>
        <v>0</v>
      </c>
      <c r="H38" s="198">
        <f>'2019-20'!$AN4</f>
        <v>0</v>
      </c>
      <c r="I38" s="218">
        <f>'2020-21'!$AN4</f>
        <v>0</v>
      </c>
    </row>
    <row r="39" spans="1:9" x14ac:dyDescent="0.2">
      <c r="A39" s="208"/>
      <c r="B39" s="199"/>
      <c r="C39" s="198"/>
      <c r="D39" s="198" t="s">
        <v>608</v>
      </c>
      <c r="E39" s="198">
        <f>'2016-17'!$AN5</f>
        <v>38</v>
      </c>
      <c r="F39" s="198">
        <f>'2017-18'!$AN5</f>
        <v>32</v>
      </c>
      <c r="G39" s="198">
        <f>'2018-19'!$AN5</f>
        <v>26</v>
      </c>
      <c r="H39" s="198">
        <f>'2019-20'!$AN5</f>
        <v>11</v>
      </c>
      <c r="I39" s="218">
        <f>'2020-21'!$AN5</f>
        <v>0</v>
      </c>
    </row>
    <row r="40" spans="1:9" x14ac:dyDescent="0.2">
      <c r="A40" s="208"/>
      <c r="B40" s="199"/>
      <c r="C40" s="198"/>
      <c r="D40" s="198"/>
      <c r="E40" s="198"/>
      <c r="F40" s="198"/>
      <c r="G40" s="198"/>
      <c r="H40" s="198"/>
      <c r="I40" s="218"/>
    </row>
    <row r="41" spans="1:9" x14ac:dyDescent="0.2">
      <c r="B41" s="197" t="s">
        <v>612</v>
      </c>
      <c r="C41" s="198"/>
      <c r="D41" s="198"/>
      <c r="E41" s="214">
        <f>'2016-17 disagg'!$AY$4</f>
        <v>-4.9958786664706878E-2</v>
      </c>
      <c r="F41" s="214">
        <f>'2017-18 disagg'!$AY$4</f>
        <v>-4.9948490506086629E-2</v>
      </c>
      <c r="G41" s="214">
        <f>'2018-19 disagg'!$AY$4</f>
        <v>-4.7621448014229295E-2</v>
      </c>
      <c r="H41" s="214">
        <f>'2019-20 disagg'!$AY$4</f>
        <v>-4.8329727791866839E-2</v>
      </c>
      <c r="I41" s="215">
        <f>'2020-21 disagg'!$AY$4</f>
        <v>-4.8254041094376698E-2</v>
      </c>
    </row>
    <row r="42" spans="1:9" x14ac:dyDescent="0.2">
      <c r="B42" s="197" t="s">
        <v>613</v>
      </c>
      <c r="C42" s="198"/>
      <c r="D42" s="198"/>
      <c r="E42" s="214">
        <f>'2016-17 disagg'!$AY$5</f>
        <v>0.30509896457134933</v>
      </c>
      <c r="F42" s="214">
        <f>'2017-18 disagg'!$AY$5</f>
        <v>0.28367813292812927</v>
      </c>
      <c r="G42" s="214">
        <f>'2018-19 disagg'!$AY$5</f>
        <v>0.26146863427773748</v>
      </c>
      <c r="H42" s="214">
        <f>'2019-20 disagg'!$AY$5</f>
        <v>0.23823447219867622</v>
      </c>
      <c r="I42" s="215">
        <f>'2020-21 disagg'!$AY$5</f>
        <v>0.21317102068579907</v>
      </c>
    </row>
    <row r="43" spans="1:9" x14ac:dyDescent="0.2">
      <c r="B43" s="197"/>
      <c r="C43" s="198"/>
      <c r="D43" s="198"/>
      <c r="E43" s="214"/>
      <c r="F43" s="214"/>
      <c r="G43" s="214"/>
      <c r="H43" s="214"/>
      <c r="I43" s="215"/>
    </row>
    <row r="44" spans="1:9" x14ac:dyDescent="0.2">
      <c r="B44" s="197" t="s">
        <v>614</v>
      </c>
      <c r="C44" s="198"/>
      <c r="D44" s="198"/>
      <c r="E44" s="214">
        <f>'2016-17 disagg'!$AZ$4</f>
        <v>-0.12280110480860984</v>
      </c>
      <c r="F44" s="214">
        <f>'2017-18 disagg'!$AZ$4</f>
        <v>-5.8403807539895158E-2</v>
      </c>
      <c r="G44" s="214">
        <f>'2018-19 disagg'!$AZ$4</f>
        <v>-4.9922785841499673E-2</v>
      </c>
      <c r="H44" s="214">
        <f>'2019-20 disagg'!$AZ$4</f>
        <v>-4.9913492589294228E-2</v>
      </c>
      <c r="I44" s="215">
        <f>'2020-21 disagg'!$AZ$4</f>
        <v>-4.9401769825966668E-2</v>
      </c>
    </row>
    <row r="45" spans="1:9" x14ac:dyDescent="0.2">
      <c r="B45" s="220" t="s">
        <v>615</v>
      </c>
      <c r="C45" s="219"/>
      <c r="D45" s="219"/>
      <c r="E45" s="221">
        <f>'2016-17 disagg'!$AZ$5</f>
        <v>0.29023799306472609</v>
      </c>
      <c r="F45" s="221">
        <f>'2017-18 disagg'!$AZ$5</f>
        <v>0.2705116599109989</v>
      </c>
      <c r="G45" s="221">
        <f>'2018-19 disagg'!$AZ$5</f>
        <v>0.25115818085015529</v>
      </c>
      <c r="H45" s="221">
        <f>'2019-20 disagg'!$AZ$5</f>
        <v>0.23012057515743156</v>
      </c>
      <c r="I45" s="222">
        <f>'2020-21 disagg'!$AZ$5</f>
        <v>0.20054547667298639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R326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2.140625" style="11" bestFit="1" customWidth="1"/>
    <col min="5" max="5" width="11.28515625" style="75" customWidth="1"/>
    <col min="6" max="6" width="4.7109375" style="1" customWidth="1"/>
    <col min="7" max="7" width="12.28515625" style="11" customWidth="1"/>
    <col min="8" max="8" width="12.28515625" style="75" customWidth="1"/>
    <col min="9" max="9" width="3.140625" style="150" customWidth="1"/>
    <col min="10" max="10" width="11.140625" style="53" customWidth="1"/>
    <col min="11" max="11" width="11.140625" style="119" customWidth="1"/>
    <col min="12" max="12" width="13.28515625" style="64" customWidth="1"/>
    <col min="13" max="13" width="13.42578125" style="53" bestFit="1" customWidth="1"/>
    <col min="14" max="14" width="13.42578125" style="54" bestFit="1" customWidth="1"/>
    <col min="15" max="15" width="12.140625" style="54" bestFit="1" customWidth="1"/>
    <col min="16" max="16" width="10.5703125" style="52" customWidth="1"/>
    <col min="17" max="18" width="13.85546875" style="52" customWidth="1"/>
    <col min="19" max="19" width="12" style="52" customWidth="1"/>
    <col min="20" max="20" width="13" style="53" bestFit="1" customWidth="1"/>
    <col min="21" max="21" width="13" style="54" bestFit="1" customWidth="1"/>
    <col min="22" max="22" width="12.5703125" style="119" customWidth="1"/>
    <col min="23" max="23" width="10.5703125" style="53" customWidth="1"/>
    <col min="24" max="25" width="13" style="54" bestFit="1" customWidth="1"/>
    <col min="26" max="26" width="12" style="139" customWidth="1"/>
    <col min="27" max="29" width="12" style="54" customWidth="1"/>
    <col min="30" max="30" width="13" style="54" bestFit="1" customWidth="1"/>
    <col min="31" max="31" width="13" style="119" bestFit="1" customWidth="1"/>
    <col min="32" max="32" width="13.28515625" style="64" customWidth="1"/>
    <col min="33" max="35" width="11.140625" style="64" customWidth="1"/>
    <col min="36" max="36" width="5.7109375" style="64" customWidth="1"/>
    <col min="37" max="37" width="12.85546875" style="64" customWidth="1"/>
    <col min="38" max="38" width="11.140625" style="64" customWidth="1"/>
    <col min="39" max="39" width="13.140625" style="64" bestFit="1" customWidth="1"/>
    <col min="40" max="40" width="11.140625" style="52" customWidth="1"/>
    <col min="41" max="41" width="9.140625" style="1"/>
    <col min="42" max="43" width="11.140625" style="64" customWidth="1"/>
    <col min="44" max="16384" width="9.140625" style="1"/>
  </cols>
  <sheetData>
    <row r="1" spans="1:43" x14ac:dyDescent="0.2">
      <c r="A1" s="321" t="s">
        <v>616</v>
      </c>
    </row>
    <row r="2" spans="1:43" x14ac:dyDescent="0.2">
      <c r="A2" s="279" t="s">
        <v>949</v>
      </c>
    </row>
    <row r="3" spans="1:43" x14ac:dyDescent="0.2">
      <c r="A3" s="354" t="s">
        <v>963</v>
      </c>
    </row>
    <row r="4" spans="1:43" x14ac:dyDescent="0.2">
      <c r="B4" s="1" t="s">
        <v>64</v>
      </c>
      <c r="D4" s="59" t="s">
        <v>0</v>
      </c>
      <c r="E4" s="69"/>
      <c r="G4" s="83" t="s">
        <v>13</v>
      </c>
      <c r="H4" s="76"/>
      <c r="I4" s="149"/>
      <c r="J4" s="125"/>
      <c r="K4" s="111">
        <f>MIN(K12:K220)</f>
        <v>-8.0049183480927932E-2</v>
      </c>
      <c r="L4" s="6"/>
      <c r="M4" s="102"/>
      <c r="N4" s="18"/>
      <c r="O4" s="111"/>
      <c r="P4" s="4"/>
      <c r="Q4" s="5"/>
      <c r="R4" s="5"/>
      <c r="S4" s="148"/>
      <c r="T4" s="120"/>
      <c r="U4" s="144"/>
      <c r="V4" s="110"/>
      <c r="W4" s="125"/>
      <c r="X4" s="129"/>
      <c r="Y4" s="129"/>
      <c r="Z4" s="134"/>
      <c r="AA4" s="129"/>
      <c r="AB4" s="129"/>
      <c r="AC4" s="129"/>
      <c r="AD4" s="129"/>
      <c r="AE4" s="140"/>
      <c r="AF4" s="6"/>
      <c r="AG4" s="7"/>
      <c r="AH4" s="7"/>
      <c r="AI4" s="7"/>
      <c r="AJ4" s="7"/>
      <c r="AK4" s="7" t="s">
        <v>1</v>
      </c>
      <c r="AL4" s="8">
        <f>MIN(AM12:AM220)</f>
        <v>-4.9309481245687015E-2</v>
      </c>
      <c r="AM4" s="228" t="s">
        <v>2</v>
      </c>
      <c r="AN4" s="9">
        <f>COUNTIF(AN12:AN220,"&lt;-5%")</f>
        <v>0</v>
      </c>
      <c r="AP4" s="7"/>
      <c r="AQ4" s="7"/>
    </row>
    <row r="5" spans="1:43" s="11" customFormat="1" x14ac:dyDescent="0.2">
      <c r="B5" s="12">
        <v>1</v>
      </c>
      <c r="D5" s="13"/>
      <c r="E5" s="69"/>
      <c r="G5" s="84"/>
      <c r="H5" s="77"/>
      <c r="I5" s="150"/>
      <c r="J5" s="125"/>
      <c r="K5" s="9">
        <f>COUNTIF(K12:K220,"&lt;-5%")</f>
        <v>6</v>
      </c>
      <c r="L5" s="20"/>
      <c r="M5" s="103"/>
      <c r="N5" s="97"/>
      <c r="O5" s="126"/>
      <c r="P5" s="17"/>
      <c r="Q5" s="18"/>
      <c r="R5" s="18"/>
      <c r="S5" s="155"/>
      <c r="T5" s="102"/>
      <c r="U5" s="18"/>
      <c r="V5" s="111"/>
      <c r="W5" s="130"/>
      <c r="X5" s="18"/>
      <c r="Y5" s="18"/>
      <c r="Z5" s="135"/>
      <c r="AA5" s="157"/>
      <c r="AB5" s="18"/>
      <c r="AC5" s="18"/>
      <c r="AD5" s="18"/>
      <c r="AE5" s="111"/>
      <c r="AF5" s="20"/>
      <c r="AG5" s="21"/>
      <c r="AH5" s="21"/>
      <c r="AI5" s="21"/>
      <c r="AJ5" s="21"/>
      <c r="AK5" s="7" t="s">
        <v>610</v>
      </c>
      <c r="AL5" s="8">
        <f>MAX(AM12:AM220)</f>
        <v>0.23053900950256323</v>
      </c>
      <c r="AM5" s="228" t="s">
        <v>14</v>
      </c>
      <c r="AN5" s="9">
        <f>COUNTIF(AN12:AN220,"&lt;-2.5%")</f>
        <v>38</v>
      </c>
      <c r="AP5" s="21"/>
      <c r="AQ5" s="21"/>
    </row>
    <row r="6" spans="1:43" s="11" customFormat="1" x14ac:dyDescent="0.2">
      <c r="B6" s="12"/>
      <c r="D6" s="23"/>
      <c r="E6" s="70"/>
      <c r="F6" s="14"/>
      <c r="G6" s="85"/>
      <c r="H6" s="78"/>
      <c r="I6" s="149"/>
      <c r="J6" s="104"/>
      <c r="K6" s="127"/>
      <c r="L6" s="28"/>
      <c r="M6" s="104"/>
      <c r="N6" s="26"/>
      <c r="O6" s="127"/>
      <c r="P6" s="26"/>
      <c r="Q6" s="27"/>
      <c r="R6" s="27"/>
      <c r="S6" s="27"/>
      <c r="T6" s="121"/>
      <c r="U6" s="145"/>
      <c r="V6" s="112"/>
      <c r="W6" s="104"/>
      <c r="X6" s="27"/>
      <c r="Y6" s="27"/>
      <c r="Z6" s="136"/>
      <c r="AA6" s="27"/>
      <c r="AB6" s="27"/>
      <c r="AC6" s="27"/>
      <c r="AD6" s="27"/>
      <c r="AE6" s="113"/>
      <c r="AF6" s="28"/>
      <c r="AG6" s="25"/>
      <c r="AH6" s="25"/>
      <c r="AI6" s="25"/>
      <c r="AJ6" s="25"/>
      <c r="AK6" s="28"/>
      <c r="AL6" s="28"/>
      <c r="AM6" s="28"/>
      <c r="AN6" s="29"/>
      <c r="AP6" s="25"/>
      <c r="AQ6" s="25"/>
    </row>
    <row r="7" spans="1:43" s="11" customFormat="1" x14ac:dyDescent="0.2">
      <c r="B7" s="12"/>
      <c r="D7" s="23"/>
      <c r="E7" s="70"/>
      <c r="F7" s="14"/>
      <c r="G7" s="85"/>
      <c r="H7" s="78"/>
      <c r="I7" s="149"/>
      <c r="J7" s="104"/>
      <c r="K7" s="127"/>
      <c r="L7" s="28">
        <f>AK8-L8</f>
        <v>316725.90849491954</v>
      </c>
      <c r="M7" s="104"/>
      <c r="N7" s="26"/>
      <c r="O7" s="147">
        <f>AK8-O8</f>
        <v>316725.90849491954</v>
      </c>
      <c r="P7" s="26"/>
      <c r="Q7" s="27"/>
      <c r="R7" s="27"/>
      <c r="S7" s="147">
        <f>AK8-S8</f>
        <v>349.90594987571239</v>
      </c>
      <c r="T7" s="122"/>
      <c r="U7" s="27"/>
      <c r="V7" s="147">
        <f>AK8-V8</f>
        <v>-20040.795956209302</v>
      </c>
      <c r="W7" s="104"/>
      <c r="X7" s="27"/>
      <c r="Y7" s="27"/>
      <c r="Z7" s="147">
        <f>AK8-Z8</f>
        <v>83.723860114812851</v>
      </c>
      <c r="AA7" s="27"/>
      <c r="AB7" s="27"/>
      <c r="AC7" s="29">
        <f>AK8-AC8</f>
        <v>83.723860114812851</v>
      </c>
      <c r="AD7" s="27"/>
      <c r="AE7" s="113"/>
      <c r="AF7" s="28">
        <f>AK8-AF8</f>
        <v>83.723860114812851</v>
      </c>
      <c r="AG7" s="25"/>
      <c r="AH7" s="25"/>
      <c r="AI7" s="25"/>
      <c r="AJ7" s="25"/>
      <c r="AK7" s="25">
        <f>AK8/D8-1</f>
        <v>4.3536099458952204E-2</v>
      </c>
      <c r="AL7" s="28"/>
      <c r="AM7" s="28"/>
      <c r="AN7" s="29"/>
      <c r="AP7" s="25"/>
      <c r="AQ7" s="25"/>
    </row>
    <row r="8" spans="1:43" s="30" customFormat="1" x14ac:dyDescent="0.2">
      <c r="B8" s="31"/>
      <c r="D8" s="32">
        <f>+D222</f>
        <v>88538506.675905585</v>
      </c>
      <c r="E8" s="71">
        <f>E222</f>
        <v>1544.3881845212816</v>
      </c>
      <c r="F8" s="33"/>
      <c r="G8" s="86">
        <f t="shared" ref="G8:H8" si="0">G222</f>
        <v>88538506.67590566</v>
      </c>
      <c r="H8" s="79">
        <f t="shared" si="0"/>
        <v>1532.9256894186631</v>
      </c>
      <c r="I8" s="151"/>
      <c r="J8" s="123">
        <f>+J222</f>
        <v>-8.8817841970012523E-16</v>
      </c>
      <c r="K8" s="105">
        <f>+K222</f>
        <v>7.4775282205397087E-3</v>
      </c>
      <c r="L8" s="101">
        <f>L222</f>
        <v>92076402</v>
      </c>
      <c r="M8" s="123"/>
      <c r="N8" s="36"/>
      <c r="O8" s="101">
        <f>O222</f>
        <v>92076402</v>
      </c>
      <c r="P8" s="105"/>
      <c r="Q8" s="35">
        <f>Q222</f>
        <v>4.3532147438944069E-2</v>
      </c>
      <c r="R8" s="35"/>
      <c r="S8" s="100">
        <f>S222</f>
        <v>92392778.002545044</v>
      </c>
      <c r="T8" s="123">
        <f t="shared" ref="T8:AI8" si="1">+T222</f>
        <v>4.3762450644539541E-2</v>
      </c>
      <c r="U8" s="36"/>
      <c r="V8" s="114">
        <f t="shared" si="1"/>
        <v>92413168.704451129</v>
      </c>
      <c r="W8" s="123"/>
      <c r="X8" s="36">
        <f>X222</f>
        <v>4.3535153838077711E-2</v>
      </c>
      <c r="Y8" s="36"/>
      <c r="Z8" s="137">
        <f>Z222</f>
        <v>92393044.184634805</v>
      </c>
      <c r="AA8" s="133"/>
      <c r="AB8" s="133">
        <f>AB222</f>
        <v>64561609.459950745</v>
      </c>
      <c r="AC8" s="133">
        <f>AC222</f>
        <v>92393044.184634805</v>
      </c>
      <c r="AD8" s="36">
        <f>AD222</f>
        <v>4.3535153838077711E-2</v>
      </c>
      <c r="AE8" s="105"/>
      <c r="AF8" s="101">
        <f>AF222</f>
        <v>92393044.184634805</v>
      </c>
      <c r="AG8" s="34">
        <f t="shared" si="1"/>
        <v>1599.6618451298448</v>
      </c>
      <c r="AH8" s="35">
        <f t="shared" si="1"/>
        <v>4.3535153838077711E-2</v>
      </c>
      <c r="AI8" s="35">
        <f t="shared" si="1"/>
        <v>3.5790004846285806E-2</v>
      </c>
      <c r="AJ8" s="65"/>
      <c r="AK8" s="34">
        <f>+AK222</f>
        <v>92393127.90849492</v>
      </c>
      <c r="AL8" s="34">
        <f>+AL222</f>
        <v>1599.6632946963757</v>
      </c>
      <c r="AM8" s="35">
        <f>+AM222</f>
        <v>-9.0616977699298218E-7</v>
      </c>
      <c r="AN8" s="36">
        <f>+AN222</f>
        <v>-9.0616977699298218E-7</v>
      </c>
      <c r="AP8" s="101">
        <f>AP222</f>
        <v>127</v>
      </c>
      <c r="AQ8" s="101">
        <f>AQ222</f>
        <v>0</v>
      </c>
    </row>
    <row r="9" spans="1:43" s="38" customFormat="1" x14ac:dyDescent="0.2">
      <c r="D9" s="373" t="s">
        <v>57</v>
      </c>
      <c r="E9" s="373"/>
      <c r="G9" s="375"/>
      <c r="H9" s="376"/>
      <c r="I9" s="152"/>
      <c r="J9" s="95"/>
      <c r="K9" s="96"/>
      <c r="L9" s="39"/>
      <c r="M9" s="370" t="s">
        <v>36</v>
      </c>
      <c r="N9" s="371"/>
      <c r="O9" s="372"/>
      <c r="P9" s="371" t="s">
        <v>951</v>
      </c>
      <c r="Q9" s="371"/>
      <c r="R9" s="371"/>
      <c r="S9" s="372"/>
      <c r="T9" s="367" t="s">
        <v>39</v>
      </c>
      <c r="U9" s="368"/>
      <c r="V9" s="369"/>
      <c r="W9" s="370" t="s">
        <v>40</v>
      </c>
      <c r="X9" s="371"/>
      <c r="Y9" s="371"/>
      <c r="Z9" s="372"/>
      <c r="AA9" s="141"/>
      <c r="AB9" s="142"/>
      <c r="AC9" s="142"/>
      <c r="AD9" s="142"/>
      <c r="AE9" s="143"/>
      <c r="AF9" s="39"/>
      <c r="AG9" s="40"/>
      <c r="AH9" s="40"/>
      <c r="AI9" s="40"/>
      <c r="AJ9" s="41"/>
      <c r="AK9" s="374" t="s">
        <v>3</v>
      </c>
      <c r="AL9" s="374"/>
      <c r="AM9" s="374"/>
      <c r="AN9" s="374"/>
      <c r="AP9" s="40"/>
      <c r="AQ9" s="40"/>
    </row>
    <row r="10" spans="1:43" ht="63.75" x14ac:dyDescent="0.2">
      <c r="A10" s="44" t="s">
        <v>67</v>
      </c>
      <c r="B10" s="45" t="s">
        <v>68</v>
      </c>
      <c r="C10" s="43"/>
      <c r="D10" s="67" t="s">
        <v>4</v>
      </c>
      <c r="E10" s="72" t="s">
        <v>5</v>
      </c>
      <c r="F10" s="46"/>
      <c r="G10" s="87" t="s">
        <v>15</v>
      </c>
      <c r="H10" s="80" t="s">
        <v>16</v>
      </c>
      <c r="I10" s="153"/>
      <c r="J10" s="128" t="s">
        <v>8</v>
      </c>
      <c r="K10" s="115" t="s">
        <v>9</v>
      </c>
      <c r="L10" s="50" t="s">
        <v>488</v>
      </c>
      <c r="M10" s="128" t="s">
        <v>44</v>
      </c>
      <c r="N10" s="98" t="s">
        <v>46</v>
      </c>
      <c r="O10" s="106" t="s">
        <v>35</v>
      </c>
      <c r="P10" s="49" t="s">
        <v>34</v>
      </c>
      <c r="Q10" s="49" t="s">
        <v>45</v>
      </c>
      <c r="R10" s="49" t="s">
        <v>48</v>
      </c>
      <c r="S10" s="49" t="s">
        <v>37</v>
      </c>
      <c r="T10" s="124" t="s">
        <v>47</v>
      </c>
      <c r="U10" s="47" t="s">
        <v>49</v>
      </c>
      <c r="V10" s="115" t="s">
        <v>38</v>
      </c>
      <c r="W10" s="128" t="s">
        <v>34</v>
      </c>
      <c r="X10" s="98" t="s">
        <v>51</v>
      </c>
      <c r="Y10" s="98" t="s">
        <v>52</v>
      </c>
      <c r="Z10" s="138" t="s">
        <v>50</v>
      </c>
      <c r="AA10" s="98" t="s">
        <v>41</v>
      </c>
      <c r="AB10" s="98" t="s">
        <v>42</v>
      </c>
      <c r="AC10" s="98" t="s">
        <v>43</v>
      </c>
      <c r="AD10" s="98" t="s">
        <v>53</v>
      </c>
      <c r="AE10" s="115" t="s">
        <v>54</v>
      </c>
      <c r="AF10" s="50" t="s">
        <v>487</v>
      </c>
      <c r="AG10" s="50" t="s">
        <v>5</v>
      </c>
      <c r="AH10" s="50" t="s">
        <v>10</v>
      </c>
      <c r="AI10" s="50" t="s">
        <v>11</v>
      </c>
      <c r="AJ10" s="48"/>
      <c r="AK10" s="48" t="s">
        <v>6</v>
      </c>
      <c r="AL10" s="48" t="s">
        <v>7</v>
      </c>
      <c r="AM10" s="48" t="s">
        <v>8</v>
      </c>
      <c r="AN10" s="49" t="s">
        <v>9</v>
      </c>
      <c r="AP10" s="50" t="s">
        <v>511</v>
      </c>
      <c r="AQ10" s="50" t="s">
        <v>512</v>
      </c>
    </row>
    <row r="11" spans="1:43" x14ac:dyDescent="0.2">
      <c r="D11" s="13"/>
      <c r="E11" s="69"/>
      <c r="G11" s="84"/>
      <c r="H11" s="77"/>
      <c r="J11" s="125"/>
      <c r="K11" s="116"/>
      <c r="L11" s="3"/>
      <c r="M11" s="125"/>
      <c r="N11" s="15"/>
      <c r="O11" s="107"/>
      <c r="P11" s="4"/>
      <c r="Q11" s="4"/>
      <c r="R11" s="4"/>
      <c r="S11" s="4"/>
      <c r="T11" s="125"/>
      <c r="U11" s="15"/>
      <c r="V11" s="116"/>
      <c r="W11" s="125"/>
      <c r="X11" s="15"/>
      <c r="Y11" s="15"/>
      <c r="Z11" s="107"/>
      <c r="AA11" s="15"/>
      <c r="AB11" s="15"/>
      <c r="AC11" s="15"/>
      <c r="AD11" s="15"/>
      <c r="AE11" s="116"/>
      <c r="AF11" s="3"/>
      <c r="AG11" s="3"/>
      <c r="AH11" s="3"/>
      <c r="AI11" s="3"/>
      <c r="AJ11" s="3"/>
      <c r="AK11" s="3"/>
      <c r="AL11" s="3"/>
      <c r="AM11" s="3"/>
      <c r="AN11" s="4"/>
      <c r="AP11" s="3"/>
      <c r="AQ11" s="3"/>
    </row>
    <row r="12" spans="1:43" x14ac:dyDescent="0.2">
      <c r="A12" s="156" t="s">
        <v>69</v>
      </c>
      <c r="B12" s="156" t="s">
        <v>70</v>
      </c>
      <c r="D12" s="68">
        <v>178303.45041101996</v>
      </c>
      <c r="E12" s="73">
        <v>1661.8212613102312</v>
      </c>
      <c r="F12" s="55"/>
      <c r="G12" s="88">
        <v>177031.7383391342</v>
      </c>
      <c r="H12" s="81">
        <v>1647.2380974516884</v>
      </c>
      <c r="I12" s="90"/>
      <c r="J12" s="103">
        <f>D12/G12-1</f>
        <v>7.1835258683929926E-3</v>
      </c>
      <c r="K12" s="126">
        <f>E12/H12-1</f>
        <v>8.8531001566216627E-3</v>
      </c>
      <c r="L12" s="56">
        <v>184764</v>
      </c>
      <c r="M12" s="103">
        <v>1.0727440699883406E-2</v>
      </c>
      <c r="N12" s="97">
        <f>INDEX('Pace of change parameters'!$E$22:$I$22,1,$B$5)</f>
        <v>9.0547645222140982E-3</v>
      </c>
      <c r="O12" s="108">
        <f>MAX(L12,IF(INDEX('Pace of change parameters'!$E$30:$I$30,1,$B$5)=1,(1+M12)*D12,D12))</f>
        <v>184764</v>
      </c>
      <c r="P12" s="94">
        <f>IF(K12&lt;INDEX('Pace of change parameters'!$E$18:$I$18,1,$B$5),1,IF(K12&gt;INDEX('Pace of change parameters'!$E$19:$I$19,1,$B$5),0,(K12-INDEX('Pace of change parameters'!$E$19:$I$19,1,$B$5))/(INDEX('Pace of change parameters'!$E$18:$I$18,1,$B$5)-INDEX('Pace of change parameters'!$E$19:$I$19,1,$B$5))))</f>
        <v>0.18996170884655245</v>
      </c>
      <c r="Q12" s="57">
        <v>2.3731939868690821E-2</v>
      </c>
      <c r="R12" s="57">
        <v>2.2037742245094361E-2</v>
      </c>
      <c r="S12" s="9">
        <f>MAX(IF(INDEX('Pace of change parameters'!$E$31:$I$31,1,$B$5)=1,D12*(1+Q12),D12),L12)</f>
        <v>184764</v>
      </c>
      <c r="T12" s="103">
        <f>IF(Q12&lt;INDEX('Pace of change parameters'!$E$24:$I$24,1,$B$5),INDEX('Pace of change parameters'!$E$24:$I$24,1,$B$5),Q12)</f>
        <v>3.0386941478720321E-2</v>
      </c>
      <c r="U12" s="132">
        <v>2.8681730339306322E-2</v>
      </c>
      <c r="V12" s="117">
        <f>MAX(D12*(1+T12),L12)</f>
        <v>184764</v>
      </c>
      <c r="W12" s="131">
        <f>IF(J12&gt;INDEX('Pace of change parameters'!$E$26:$I$26,1,$B$5),0,IF(J12&lt;INDEX('Pace of change parameters'!$E$25:$I$25,1,$B$5),1,(J12-INDEX('Pace of change parameters'!$E$26:$I$26,1,$B$5))/(INDEX('Pace of change parameters'!$E$25:$I$25,1,$B$5)-INDEX('Pace of change parameters'!$E$26:$I$26,1,$B$5))))</f>
        <v>1</v>
      </c>
      <c r="X12" s="132">
        <f>MIN(T12, T12+(INDEX('Pace of change parameters'!$E$27:$I$27,1,$B$5)-T12)*(1-W12))</f>
        <v>3.0386941478720321E-2</v>
      </c>
      <c r="Y12" s="132">
        <v>2.8681730339306322E-2</v>
      </c>
      <c r="Z12" s="108">
        <f>MAX(D12*(1+X12),L12)</f>
        <v>184764</v>
      </c>
      <c r="AA12" s="97">
        <v>-2.5000000000000001E-2</v>
      </c>
      <c r="AB12" s="99">
        <f t="shared" ref="AB12:AB75" si="2">(1+AA12)*AK12</f>
        <v>179996.03050641128</v>
      </c>
      <c r="AC12" s="99">
        <f>MAX(IF(INDEX('Pace of change parameters'!$E$29:$I$29,1,$B$5)=1,MAX(AB12,Z12),Z12),L12)</f>
        <v>184764</v>
      </c>
      <c r="AD12" s="97">
        <f t="shared" ref="AD12" si="3">AC12/D12-1</f>
        <v>3.6233452432285373E-2</v>
      </c>
      <c r="AE12" s="146">
        <v>3.4518565766907816E-2</v>
      </c>
      <c r="AF12" s="56">
        <f>AC12</f>
        <v>184764</v>
      </c>
      <c r="AG12" s="56">
        <v>1719.1849478116142</v>
      </c>
      <c r="AH12" s="16">
        <f t="shared" ref="AH12:AH75" si="4">AF12/D12 - 1</f>
        <v>3.6233452432285373E-2</v>
      </c>
      <c r="AI12" s="16">
        <f t="shared" ref="AI12:AI75" si="5">AG12/E12 - 1</f>
        <v>3.4518565766907816E-2</v>
      </c>
      <c r="AJ12" s="56"/>
      <c r="AK12" s="56">
        <v>184611.31333990901</v>
      </c>
      <c r="AL12" s="56">
        <v>1717.7642348601732</v>
      </c>
      <c r="AM12" s="16">
        <f>AF12/AK12-1</f>
        <v>8.2707098134249257E-4</v>
      </c>
      <c r="AN12" s="58">
        <f>AG12/AL12-1</f>
        <v>8.2707098134249257E-4</v>
      </c>
      <c r="AP12" s="56">
        <f t="shared" ref="AP12:AP75" si="6">IF(AF12=L12,1,0)</f>
        <v>1</v>
      </c>
      <c r="AQ12" s="56">
        <f t="shared" ref="AQ12:AQ75" si="7">IF(AB12=AF12,1,0)</f>
        <v>0</v>
      </c>
    </row>
    <row r="13" spans="1:43" x14ac:dyDescent="0.2">
      <c r="A13" s="156" t="s">
        <v>71</v>
      </c>
      <c r="B13" s="156" t="s">
        <v>72</v>
      </c>
      <c r="D13" s="68">
        <v>529519.45427297661</v>
      </c>
      <c r="E13" s="73">
        <v>1828.0597878664673</v>
      </c>
      <c r="F13" s="55"/>
      <c r="G13" s="88">
        <v>506503.49176679767</v>
      </c>
      <c r="H13" s="81">
        <v>1741.1902949272312</v>
      </c>
      <c r="I13" s="90"/>
      <c r="J13" s="103">
        <f t="shared" ref="J13:J76" si="8">D13/G13-1</f>
        <v>4.5440876282795362E-2</v>
      </c>
      <c r="K13" s="126">
        <f t="shared" ref="K13:K76" si="9">E13/H13-1</f>
        <v>4.9890866720496252E-2</v>
      </c>
      <c r="L13" s="56">
        <v>548171</v>
      </c>
      <c r="M13" s="103">
        <v>1.3349874991976929E-2</v>
      </c>
      <c r="N13" s="97">
        <f>INDEX('Pace of change parameters'!$E$22:$I$22,1,$B$5)</f>
        <v>9.0547645222140982E-3</v>
      </c>
      <c r="O13" s="108">
        <f>MAX(L13,IF(INDEX('Pace of change parameters'!$E$30:$I$30,1,$B$5)=1,(1+M13)*D13,D13))</f>
        <v>548171</v>
      </c>
      <c r="P13" s="94">
        <f>IF(K13&lt;INDEX('Pace of change parameters'!$E$18:$I$18,1,$B$5),1,IF(K13&gt;INDEX('Pace of change parameters'!$E$19:$I$19,1,$B$5),0,(K13-INDEX('Pace of change parameters'!$E$19:$I$19,1,$B$5))/(INDEX('Pace of change parameters'!$E$18:$I$18,1,$B$5)-INDEX('Pace of change parameters'!$E$19:$I$19,1,$B$5))))</f>
        <v>0</v>
      </c>
      <c r="Q13" s="57">
        <v>1.3349874991976929E-2</v>
      </c>
      <c r="R13" s="57">
        <v>9.0547645222140982E-3</v>
      </c>
      <c r="S13" s="9">
        <f>MAX(IF(INDEX('Pace of change parameters'!$E$31:$I$31,1,$B$5)=1,D13*(1+Q13),D13),L13)</f>
        <v>548171</v>
      </c>
      <c r="T13" s="103">
        <f>IF(Q13&lt;INDEX('Pace of change parameters'!$E$24:$I$24,1,$B$5),INDEX('Pace of change parameters'!$E$24:$I$24,1,$B$5),Q13)</f>
        <v>3.0386941478720321E-2</v>
      </c>
      <c r="U13" s="132">
        <v>2.6019618948299073E-2</v>
      </c>
      <c r="V13" s="117">
        <f t="shared" ref="V13:V76" si="10">MAX(D13*(1+T13),L13)</f>
        <v>548171</v>
      </c>
      <c r="W13" s="131">
        <f>IF(J13&gt;INDEX('Pace of change parameters'!$E$26:$I$26,1,$B$5),0,IF(J13&lt;INDEX('Pace of change parameters'!$E$25:$I$25,1,$B$5),1,(J13-INDEX('Pace of change parameters'!$E$26:$I$26,1,$B$5))/(INDEX('Pace of change parameters'!$E$25:$I$25,1,$B$5)-INDEX('Pace of change parameters'!$E$26:$I$26,1,$B$5))))</f>
        <v>1</v>
      </c>
      <c r="X13" s="132">
        <f>MIN(T13, T13+(INDEX('Pace of change parameters'!$E$27:$I$27,1,$B$5)-T13)*(1-W13))</f>
        <v>3.0386941478720321E-2</v>
      </c>
      <c r="Y13" s="132">
        <v>2.6019618948299073E-2</v>
      </c>
      <c r="Z13" s="108">
        <f t="shared" ref="Z13:Z76" si="11">MAX(D13*(1+X13),L13)</f>
        <v>548171</v>
      </c>
      <c r="AA13" s="97">
        <v>-2.5000000000000001E-2</v>
      </c>
      <c r="AB13" s="99">
        <f t="shared" si="2"/>
        <v>514762.27592079557</v>
      </c>
      <c r="AC13" s="99">
        <f>MAX(IF(INDEX('Pace of change parameters'!$E$29:$I$29,1,$B$5)=1,MAX(AB13,Z13),Z13),L13)</f>
        <v>548171</v>
      </c>
      <c r="AD13" s="97">
        <f t="shared" ref="AD13:AD76" si="12">AC13/D13-1</f>
        <v>3.5223532537877578E-2</v>
      </c>
      <c r="AE13" s="146">
        <v>3.0835709987266924E-2</v>
      </c>
      <c r="AF13" s="56">
        <f t="shared" ref="AF13:AF76" si="13">AC13</f>
        <v>548171</v>
      </c>
      <c r="AG13" s="56">
        <v>1884.4293093245024</v>
      </c>
      <c r="AH13" s="16">
        <f t="shared" si="4"/>
        <v>3.5223532537877578E-2</v>
      </c>
      <c r="AI13" s="16">
        <f t="shared" si="5"/>
        <v>3.0835709987266924E-2</v>
      </c>
      <c r="AJ13" s="56"/>
      <c r="AK13" s="56">
        <v>527961.30863671342</v>
      </c>
      <c r="AL13" s="56">
        <v>1814.9551220045248</v>
      </c>
      <c r="AM13" s="16">
        <f t="shared" ref="AM13:AM76" si="14">AF13/AK13-1</f>
        <v>3.8278735643472617E-2</v>
      </c>
      <c r="AN13" s="58">
        <f t="shared" ref="AN13:AN76" si="15">AG13/AL13-1</f>
        <v>3.8278735643472395E-2</v>
      </c>
      <c r="AP13" s="56">
        <f t="shared" si="6"/>
        <v>1</v>
      </c>
      <c r="AQ13" s="56">
        <f t="shared" si="7"/>
        <v>0</v>
      </c>
    </row>
    <row r="14" spans="1:43" x14ac:dyDescent="0.2">
      <c r="A14" s="156" t="s">
        <v>73</v>
      </c>
      <c r="B14" s="156" t="s">
        <v>74</v>
      </c>
      <c r="D14" s="68">
        <v>865283.73218427598</v>
      </c>
      <c r="E14" s="73">
        <v>1699.2536186834534</v>
      </c>
      <c r="F14" s="55"/>
      <c r="G14" s="88">
        <v>844363.49002955446</v>
      </c>
      <c r="H14" s="81">
        <v>1652.5931681281936</v>
      </c>
      <c r="I14" s="90"/>
      <c r="J14" s="103">
        <f t="shared" si="8"/>
        <v>2.4776346208419397E-2</v>
      </c>
      <c r="K14" s="126">
        <f t="shared" si="9"/>
        <v>2.8234686827435906E-2</v>
      </c>
      <c r="L14" s="56">
        <v>897104</v>
      </c>
      <c r="M14" s="103">
        <v>1.246004909174081E-2</v>
      </c>
      <c r="N14" s="97">
        <f>INDEX('Pace of change parameters'!$E$22:$I$22,1,$B$5)</f>
        <v>9.0547645222140982E-3</v>
      </c>
      <c r="O14" s="108">
        <f>MAX(L14,IF(INDEX('Pace of change parameters'!$E$30:$I$30,1,$B$5)=1,(1+M14)*D14,D14))</f>
        <v>897104</v>
      </c>
      <c r="P14" s="94">
        <f>IF(K14&lt;INDEX('Pace of change parameters'!$E$18:$I$18,1,$B$5),1,IF(K14&gt;INDEX('Pace of change parameters'!$E$19:$I$19,1,$B$5),0,(K14-INDEX('Pace of change parameters'!$E$19:$I$19,1,$B$5))/(INDEX('Pace of change parameters'!$E$18:$I$18,1,$B$5)-INDEX('Pace of change parameters'!$E$19:$I$19,1,$B$5))))</f>
        <v>1.3267510006054285E-2</v>
      </c>
      <c r="Q14" s="57">
        <v>1.3369880292397385E-2</v>
      </c>
      <c r="R14" s="57">
        <v>9.9615356177817915E-3</v>
      </c>
      <c r="S14" s="9">
        <f>MAX(IF(INDEX('Pace of change parameters'!$E$31:$I$31,1,$B$5)=1,D14*(1+Q14),D14),L14)</f>
        <v>897104</v>
      </c>
      <c r="T14" s="103">
        <f>IF(Q14&lt;INDEX('Pace of change parameters'!$E$24:$I$24,1,$B$5),INDEX('Pace of change parameters'!$E$24:$I$24,1,$B$5),Q14)</f>
        <v>3.0386941478720321E-2</v>
      </c>
      <c r="U14" s="132">
        <v>2.6921362016491646E-2</v>
      </c>
      <c r="V14" s="117">
        <f t="shared" si="10"/>
        <v>897104</v>
      </c>
      <c r="W14" s="131">
        <f>IF(J14&gt;INDEX('Pace of change parameters'!$E$26:$I$26,1,$B$5),0,IF(J14&lt;INDEX('Pace of change parameters'!$E$25:$I$25,1,$B$5),1,(J14-INDEX('Pace of change parameters'!$E$26:$I$26,1,$B$5))/(INDEX('Pace of change parameters'!$E$25:$I$25,1,$B$5)-INDEX('Pace of change parameters'!$E$26:$I$26,1,$B$5))))</f>
        <v>1</v>
      </c>
      <c r="X14" s="132">
        <f>MIN(T14, T14+(INDEX('Pace of change parameters'!$E$27:$I$27,1,$B$5)-T14)*(1-W14))</f>
        <v>3.0386941478720321E-2</v>
      </c>
      <c r="Y14" s="132">
        <v>2.6921362016491646E-2</v>
      </c>
      <c r="Z14" s="108">
        <f t="shared" si="11"/>
        <v>897104</v>
      </c>
      <c r="AA14" s="97">
        <v>-2.5000000000000001E-2</v>
      </c>
      <c r="AB14" s="99">
        <f t="shared" si="2"/>
        <v>858871.27226012887</v>
      </c>
      <c r="AC14" s="99">
        <f>MAX(IF(INDEX('Pace of change parameters'!$E$29:$I$29,1,$B$5)=1,MAX(AB14,Z14),Z14),L14)</f>
        <v>897104</v>
      </c>
      <c r="AD14" s="97">
        <f t="shared" si="12"/>
        <v>3.6774374268424781E-2</v>
      </c>
      <c r="AE14" s="146">
        <v>3.3287311463384484E-2</v>
      </c>
      <c r="AF14" s="56">
        <f t="shared" si="13"/>
        <v>897104</v>
      </c>
      <c r="AG14" s="56">
        <v>1755.817203143853</v>
      </c>
      <c r="AH14" s="16">
        <f t="shared" si="4"/>
        <v>3.6774374268424781E-2</v>
      </c>
      <c r="AI14" s="16">
        <f t="shared" si="5"/>
        <v>3.3287311463384706E-2</v>
      </c>
      <c r="AJ14" s="56"/>
      <c r="AK14" s="56">
        <v>880893.61257449118</v>
      </c>
      <c r="AL14" s="56">
        <v>1724.0901379303043</v>
      </c>
      <c r="AM14" s="16">
        <f t="shared" si="14"/>
        <v>1.8402207933069903E-2</v>
      </c>
      <c r="AN14" s="58">
        <f t="shared" si="15"/>
        <v>1.8402207933069903E-2</v>
      </c>
      <c r="AP14" s="56">
        <f t="shared" si="6"/>
        <v>1</v>
      </c>
      <c r="AQ14" s="56">
        <f t="shared" si="7"/>
        <v>0</v>
      </c>
    </row>
    <row r="15" spans="1:43" x14ac:dyDescent="0.2">
      <c r="A15" s="156" t="s">
        <v>75</v>
      </c>
      <c r="B15" s="156" t="s">
        <v>76</v>
      </c>
      <c r="D15" s="68">
        <v>488039.47765047976</v>
      </c>
      <c r="E15" s="73">
        <v>1657.4500348120569</v>
      </c>
      <c r="F15" s="55"/>
      <c r="G15" s="88">
        <v>489084.5397355844</v>
      </c>
      <c r="H15" s="81">
        <v>1652.6318733862447</v>
      </c>
      <c r="I15" s="90"/>
      <c r="J15" s="103">
        <f t="shared" si="8"/>
        <v>-2.1367718670265434E-3</v>
      </c>
      <c r="K15" s="126">
        <f t="shared" si="9"/>
        <v>2.9154474770838323E-3</v>
      </c>
      <c r="L15" s="56">
        <v>505934</v>
      </c>
      <c r="M15" s="103">
        <v>1.4163647039234339E-2</v>
      </c>
      <c r="N15" s="97">
        <f>INDEX('Pace of change parameters'!$E$22:$I$22,1,$B$5)</f>
        <v>9.0547645222140982E-3</v>
      </c>
      <c r="O15" s="108">
        <f>MAX(L15,IF(INDEX('Pace of change parameters'!$E$30:$I$30,1,$B$5)=1,(1+M15)*D15,D15))</f>
        <v>505934</v>
      </c>
      <c r="P15" s="94">
        <f>IF(K15&lt;INDEX('Pace of change parameters'!$E$18:$I$18,1,$B$5),1,IF(K15&gt;INDEX('Pace of change parameters'!$E$19:$I$19,1,$B$5),0,(K15-INDEX('Pace of change parameters'!$E$19:$I$19,1,$B$5))/(INDEX('Pace of change parameters'!$E$18:$I$18,1,$B$5)-INDEX('Pace of change parameters'!$E$19:$I$19,1,$B$5))))</f>
        <v>0.24409292116798401</v>
      </c>
      <c r="Q15" s="57">
        <v>3.0930699791142047E-2</v>
      </c>
      <c r="R15" s="57">
        <v>2.5737352697900562E-2</v>
      </c>
      <c r="S15" s="9">
        <f>MAX(IF(INDEX('Pace of change parameters'!$E$31:$I$31,1,$B$5)=1,D15*(1+Q15),D15),L15)</f>
        <v>505934</v>
      </c>
      <c r="T15" s="103">
        <f>IF(Q15&lt;INDEX('Pace of change parameters'!$E$24:$I$24,1,$B$5),INDEX('Pace of change parameters'!$E$24:$I$24,1,$B$5),Q15)</f>
        <v>3.0930699791142047E-2</v>
      </c>
      <c r="U15" s="132">
        <v>2.5737352697900562E-2</v>
      </c>
      <c r="V15" s="117">
        <f t="shared" si="10"/>
        <v>505934</v>
      </c>
      <c r="W15" s="131">
        <f>IF(J15&gt;INDEX('Pace of change parameters'!$E$26:$I$26,1,$B$5),0,IF(J15&lt;INDEX('Pace of change parameters'!$E$25:$I$25,1,$B$5),1,(J15-INDEX('Pace of change parameters'!$E$26:$I$26,1,$B$5))/(INDEX('Pace of change parameters'!$E$25:$I$25,1,$B$5)-INDEX('Pace of change parameters'!$E$26:$I$26,1,$B$5))))</f>
        <v>1</v>
      </c>
      <c r="X15" s="132">
        <f>MIN(T15, T15+(INDEX('Pace of change parameters'!$E$27:$I$27,1,$B$5)-T15)*(1-W15))</f>
        <v>3.0930699791142047E-2</v>
      </c>
      <c r="Y15" s="132">
        <v>2.5737352697900562E-2</v>
      </c>
      <c r="Z15" s="108">
        <f t="shared" si="11"/>
        <v>505934</v>
      </c>
      <c r="AA15" s="97">
        <v>-2.5000000000000001E-2</v>
      </c>
      <c r="AB15" s="99">
        <f t="shared" si="2"/>
        <v>497228.23734168522</v>
      </c>
      <c r="AC15" s="99">
        <f>MAX(IF(INDEX('Pace of change parameters'!$E$29:$I$29,1,$B$5)=1,MAX(AB15,Z15),Z15),L15)</f>
        <v>505934</v>
      </c>
      <c r="AD15" s="97">
        <f t="shared" si="12"/>
        <v>3.6666137001186927E-2</v>
      </c>
      <c r="AE15" s="146">
        <v>3.1443897455553538E-2</v>
      </c>
      <c r="AF15" s="56">
        <f t="shared" si="13"/>
        <v>505934</v>
      </c>
      <c r="AG15" s="56">
        <v>1709.5667237443909</v>
      </c>
      <c r="AH15" s="16">
        <f t="shared" si="4"/>
        <v>3.6666137001186927E-2</v>
      </c>
      <c r="AI15" s="16">
        <f t="shared" si="5"/>
        <v>3.1443897455553538E-2</v>
      </c>
      <c r="AJ15" s="56"/>
      <c r="AK15" s="56">
        <v>509977.67932480539</v>
      </c>
      <c r="AL15" s="56">
        <v>1723.2304419668872</v>
      </c>
      <c r="AM15" s="16">
        <f t="shared" si="14"/>
        <v>-7.9291300163549794E-3</v>
      </c>
      <c r="AN15" s="58">
        <f t="shared" si="15"/>
        <v>-7.9291300163549794E-3</v>
      </c>
      <c r="AP15" s="56">
        <f t="shared" si="6"/>
        <v>1</v>
      </c>
      <c r="AQ15" s="56">
        <f t="shared" si="7"/>
        <v>0</v>
      </c>
    </row>
    <row r="16" spans="1:43" x14ac:dyDescent="0.2">
      <c r="A16" s="156" t="s">
        <v>77</v>
      </c>
      <c r="B16" s="156" t="s">
        <v>78</v>
      </c>
      <c r="D16" s="68">
        <v>414575.17701064586</v>
      </c>
      <c r="E16" s="73">
        <v>1649.1905792826262</v>
      </c>
      <c r="F16" s="55"/>
      <c r="G16" s="88">
        <v>395098.98760825547</v>
      </c>
      <c r="H16" s="81">
        <v>1565.4364161052915</v>
      </c>
      <c r="I16" s="90"/>
      <c r="J16" s="103">
        <f t="shared" si="8"/>
        <v>4.9294455347228538E-2</v>
      </c>
      <c r="K16" s="126">
        <f t="shared" si="9"/>
        <v>5.3502117566492924E-2</v>
      </c>
      <c r="L16" s="56">
        <v>428818</v>
      </c>
      <c r="M16" s="103">
        <v>1.3101065909029153E-2</v>
      </c>
      <c r="N16" s="97">
        <f>INDEX('Pace of change parameters'!$E$22:$I$22,1,$B$5)</f>
        <v>9.0547645222140982E-3</v>
      </c>
      <c r="O16" s="108">
        <f>MAX(L16,IF(INDEX('Pace of change parameters'!$E$30:$I$30,1,$B$5)=1,(1+M16)*D16,D16))</f>
        <v>428818</v>
      </c>
      <c r="P16" s="94">
        <f>IF(K16&lt;INDEX('Pace of change parameters'!$E$18:$I$18,1,$B$5),1,IF(K16&gt;INDEX('Pace of change parameters'!$E$19:$I$19,1,$B$5),0,(K16-INDEX('Pace of change parameters'!$E$19:$I$19,1,$B$5))/(INDEX('Pace of change parameters'!$E$18:$I$18,1,$B$5)-INDEX('Pace of change parameters'!$E$19:$I$19,1,$B$5))))</f>
        <v>0</v>
      </c>
      <c r="Q16" s="57">
        <v>1.3101065909029153E-2</v>
      </c>
      <c r="R16" s="57">
        <v>9.0547645222140982E-3</v>
      </c>
      <c r="S16" s="9">
        <f>MAX(IF(INDEX('Pace of change parameters'!$E$31:$I$31,1,$B$5)=1,D16*(1+Q16),D16),L16)</f>
        <v>428818</v>
      </c>
      <c r="T16" s="103">
        <f>IF(Q16&lt;INDEX('Pace of change parameters'!$E$24:$I$24,1,$B$5),INDEX('Pace of change parameters'!$E$24:$I$24,1,$B$5),Q16)</f>
        <v>3.0386941478720321E-2</v>
      </c>
      <c r="U16" s="132">
        <v>2.6271600718990262E-2</v>
      </c>
      <c r="V16" s="117">
        <f t="shared" si="10"/>
        <v>428818</v>
      </c>
      <c r="W16" s="131">
        <f>IF(J16&gt;INDEX('Pace of change parameters'!$E$26:$I$26,1,$B$5),0,IF(J16&lt;INDEX('Pace of change parameters'!$E$25:$I$25,1,$B$5),1,(J16-INDEX('Pace of change parameters'!$E$26:$I$26,1,$B$5))/(INDEX('Pace of change parameters'!$E$25:$I$25,1,$B$5)-INDEX('Pace of change parameters'!$E$26:$I$26,1,$B$5))))</f>
        <v>1</v>
      </c>
      <c r="X16" s="132">
        <f>MIN(T16, T16+(INDEX('Pace of change parameters'!$E$27:$I$27,1,$B$5)-T16)*(1-W16))</f>
        <v>3.0386941478720321E-2</v>
      </c>
      <c r="Y16" s="132">
        <v>2.6271600718990262E-2</v>
      </c>
      <c r="Z16" s="108">
        <f t="shared" si="11"/>
        <v>428818</v>
      </c>
      <c r="AA16" s="97">
        <v>-2.5000000000000001E-2</v>
      </c>
      <c r="AB16" s="99">
        <f t="shared" si="2"/>
        <v>401684.2146441238</v>
      </c>
      <c r="AC16" s="99">
        <f>MAX(IF(INDEX('Pace of change parameters'!$E$29:$I$29,1,$B$5)=1,MAX(AB16,Z16),Z16),L16)</f>
        <v>428818</v>
      </c>
      <c r="AD16" s="97">
        <f t="shared" si="12"/>
        <v>3.4355223802964074E-2</v>
      </c>
      <c r="AE16" s="146">
        <v>3.0224033818697427E-2</v>
      </c>
      <c r="AF16" s="56">
        <f t="shared" si="13"/>
        <v>428818</v>
      </c>
      <c r="AG16" s="56">
        <v>1699.0357711243414</v>
      </c>
      <c r="AH16" s="16">
        <f t="shared" si="4"/>
        <v>3.4355223802964074E-2</v>
      </c>
      <c r="AI16" s="16">
        <f t="shared" si="5"/>
        <v>3.0224033818697427E-2</v>
      </c>
      <c r="AJ16" s="56"/>
      <c r="AK16" s="56">
        <v>411983.80989140901</v>
      </c>
      <c r="AL16" s="56">
        <v>1632.336399427249</v>
      </c>
      <c r="AM16" s="16">
        <f t="shared" si="14"/>
        <v>4.0861290430388886E-2</v>
      </c>
      <c r="AN16" s="58">
        <f t="shared" si="15"/>
        <v>4.0861290430389108E-2</v>
      </c>
      <c r="AP16" s="56">
        <f t="shared" si="6"/>
        <v>1</v>
      </c>
      <c r="AQ16" s="56">
        <f t="shared" si="7"/>
        <v>0</v>
      </c>
    </row>
    <row r="17" spans="1:43" x14ac:dyDescent="0.2">
      <c r="A17" s="156" t="s">
        <v>79</v>
      </c>
      <c r="B17" s="156" t="s">
        <v>80</v>
      </c>
      <c r="D17" s="68">
        <v>376383.52648439532</v>
      </c>
      <c r="E17" s="73">
        <v>1736.5028811541299</v>
      </c>
      <c r="F17" s="55"/>
      <c r="G17" s="88">
        <v>363866.83634121995</v>
      </c>
      <c r="H17" s="81">
        <v>1668.626235584396</v>
      </c>
      <c r="I17" s="90"/>
      <c r="J17" s="103">
        <f t="shared" si="8"/>
        <v>3.4399095748967046E-2</v>
      </c>
      <c r="K17" s="126">
        <f t="shared" si="9"/>
        <v>4.0678160346652836E-2</v>
      </c>
      <c r="L17" s="56">
        <v>390287</v>
      </c>
      <c r="M17" s="103">
        <v>1.5179982607840925E-2</v>
      </c>
      <c r="N17" s="97">
        <f>INDEX('Pace of change parameters'!$E$22:$I$22,1,$B$5)</f>
        <v>9.0547645222140982E-3</v>
      </c>
      <c r="O17" s="108">
        <f>MAX(L17,IF(INDEX('Pace of change parameters'!$E$30:$I$30,1,$B$5)=1,(1+M17)*D17,D17))</f>
        <v>390287</v>
      </c>
      <c r="P17" s="94">
        <f>IF(K17&lt;INDEX('Pace of change parameters'!$E$18:$I$18,1,$B$5),1,IF(K17&gt;INDEX('Pace of change parameters'!$E$19:$I$19,1,$B$5),0,(K17-INDEX('Pace of change parameters'!$E$19:$I$19,1,$B$5))/(INDEX('Pace of change parameters'!$E$18:$I$18,1,$B$5)-INDEX('Pace of change parameters'!$E$19:$I$19,1,$B$5))))</f>
        <v>0</v>
      </c>
      <c r="Q17" s="57">
        <v>1.5179982607840925E-2</v>
      </c>
      <c r="R17" s="57">
        <v>9.0547645222140982E-3</v>
      </c>
      <c r="S17" s="9">
        <f>MAX(IF(INDEX('Pace of change parameters'!$E$31:$I$31,1,$B$5)=1,D17*(1+Q17),D17),L17)</f>
        <v>390287</v>
      </c>
      <c r="T17" s="103">
        <f>IF(Q17&lt;INDEX('Pace of change parameters'!$E$24:$I$24,1,$B$5),INDEX('Pace of change parameters'!$E$24:$I$24,1,$B$5),Q17)</f>
        <v>3.0386941478720321E-2</v>
      </c>
      <c r="U17" s="132">
        <v>2.416997026448664E-2</v>
      </c>
      <c r="V17" s="117">
        <f t="shared" si="10"/>
        <v>390287</v>
      </c>
      <c r="W17" s="131">
        <f>IF(J17&gt;INDEX('Pace of change parameters'!$E$26:$I$26,1,$B$5),0,IF(J17&lt;INDEX('Pace of change parameters'!$E$25:$I$25,1,$B$5),1,(J17-INDEX('Pace of change parameters'!$E$26:$I$26,1,$B$5))/(INDEX('Pace of change parameters'!$E$25:$I$25,1,$B$5)-INDEX('Pace of change parameters'!$E$26:$I$26,1,$B$5))))</f>
        <v>1</v>
      </c>
      <c r="X17" s="132">
        <f>MIN(T17, T17+(INDEX('Pace of change parameters'!$E$27:$I$27,1,$B$5)-T17)*(1-W17))</f>
        <v>3.0386941478720321E-2</v>
      </c>
      <c r="Y17" s="132">
        <v>2.416997026448664E-2</v>
      </c>
      <c r="Z17" s="108">
        <f t="shared" si="11"/>
        <v>390287</v>
      </c>
      <c r="AA17" s="97">
        <v>-2.5000000000000001E-2</v>
      </c>
      <c r="AB17" s="99">
        <f t="shared" si="2"/>
        <v>370111.51683120063</v>
      </c>
      <c r="AC17" s="99">
        <f>MAX(IF(INDEX('Pace of change parameters'!$E$29:$I$29,1,$B$5)=1,MAX(AB17,Z17),Z17),L17)</f>
        <v>390287</v>
      </c>
      <c r="AD17" s="97">
        <f t="shared" si="12"/>
        <v>3.6939644105760561E-2</v>
      </c>
      <c r="AE17" s="146">
        <v>3.0683136323303994E-2</v>
      </c>
      <c r="AF17" s="56">
        <f t="shared" si="13"/>
        <v>390287</v>
      </c>
      <c r="AG17" s="56">
        <v>1789.7842357823924</v>
      </c>
      <c r="AH17" s="16">
        <f t="shared" si="4"/>
        <v>3.6939644105760561E-2</v>
      </c>
      <c r="AI17" s="16">
        <f t="shared" si="5"/>
        <v>3.0683136323304216E-2</v>
      </c>
      <c r="AJ17" s="56"/>
      <c r="AK17" s="56">
        <v>379601.55572430836</v>
      </c>
      <c r="AL17" s="56">
        <v>1740.7827581083625</v>
      </c>
      <c r="AM17" s="16">
        <f t="shared" si="14"/>
        <v>2.8149105593898271E-2</v>
      </c>
      <c r="AN17" s="58">
        <f t="shared" si="15"/>
        <v>2.8149105593898271E-2</v>
      </c>
      <c r="AP17" s="56">
        <f t="shared" si="6"/>
        <v>1</v>
      </c>
      <c r="AQ17" s="56">
        <f t="shared" si="7"/>
        <v>0</v>
      </c>
    </row>
    <row r="18" spans="1:43" x14ac:dyDescent="0.2">
      <c r="A18" s="156" t="s">
        <v>81</v>
      </c>
      <c r="B18" s="156" t="s">
        <v>82</v>
      </c>
      <c r="D18" s="68">
        <v>552824.63527389825</v>
      </c>
      <c r="E18" s="73">
        <v>1713.7385464682013</v>
      </c>
      <c r="F18" s="55"/>
      <c r="G18" s="88">
        <v>535252.27132795344</v>
      </c>
      <c r="H18" s="81">
        <v>1656.5228862246724</v>
      </c>
      <c r="I18" s="90"/>
      <c r="J18" s="103">
        <f t="shared" si="8"/>
        <v>3.2830059557427127E-2</v>
      </c>
      <c r="K18" s="126">
        <f t="shared" si="9"/>
        <v>3.4539613499652511E-2</v>
      </c>
      <c r="L18" s="56">
        <v>572800</v>
      </c>
      <c r="M18" s="103">
        <v>1.072496528239486E-2</v>
      </c>
      <c r="N18" s="97">
        <f>INDEX('Pace of change parameters'!$E$22:$I$22,1,$B$5)</f>
        <v>9.0547645222140982E-3</v>
      </c>
      <c r="O18" s="108">
        <f>MAX(L18,IF(INDEX('Pace of change parameters'!$E$30:$I$30,1,$B$5)=1,(1+M18)*D18,D18))</f>
        <v>572800</v>
      </c>
      <c r="P18" s="94">
        <f>IF(K18&lt;INDEX('Pace of change parameters'!$E$18:$I$18,1,$B$5),1,IF(K18&gt;INDEX('Pace of change parameters'!$E$19:$I$19,1,$B$5),0,(K18-INDEX('Pace of change parameters'!$E$19:$I$19,1,$B$5))/(INDEX('Pace of change parameters'!$E$18:$I$18,1,$B$5)-INDEX('Pace of change parameters'!$E$19:$I$19,1,$B$5))))</f>
        <v>0</v>
      </c>
      <c r="Q18" s="57">
        <v>1.072496528239486E-2</v>
      </c>
      <c r="R18" s="57">
        <v>9.0547645222140982E-3</v>
      </c>
      <c r="S18" s="9">
        <f>MAX(IF(INDEX('Pace of change parameters'!$E$31:$I$31,1,$B$5)=1,D18*(1+Q18),D18),L18)</f>
        <v>572800</v>
      </c>
      <c r="T18" s="103">
        <f>IF(Q18&lt;INDEX('Pace of change parameters'!$E$24:$I$24,1,$B$5),INDEX('Pace of change parameters'!$E$24:$I$24,1,$B$5),Q18)</f>
        <v>3.0386941478720321E-2</v>
      </c>
      <c r="U18" s="132">
        <v>2.8684249735613676E-2</v>
      </c>
      <c r="V18" s="117">
        <f t="shared" si="10"/>
        <v>572800</v>
      </c>
      <c r="W18" s="131">
        <f>IF(J18&gt;INDEX('Pace of change parameters'!$E$26:$I$26,1,$B$5),0,IF(J18&lt;INDEX('Pace of change parameters'!$E$25:$I$25,1,$B$5),1,(J18-INDEX('Pace of change parameters'!$E$26:$I$26,1,$B$5))/(INDEX('Pace of change parameters'!$E$25:$I$25,1,$B$5)-INDEX('Pace of change parameters'!$E$26:$I$26,1,$B$5))))</f>
        <v>1</v>
      </c>
      <c r="X18" s="132">
        <f>MIN(T18, T18+(INDEX('Pace of change parameters'!$E$27:$I$27,1,$B$5)-T18)*(1-W18))</f>
        <v>3.0386941478720321E-2</v>
      </c>
      <c r="Y18" s="132">
        <v>2.8684249735613676E-2</v>
      </c>
      <c r="Z18" s="108">
        <f t="shared" si="11"/>
        <v>572800</v>
      </c>
      <c r="AA18" s="97">
        <v>-2.5000000000000001E-2</v>
      </c>
      <c r="AB18" s="99">
        <f t="shared" si="2"/>
        <v>544370.40693322651</v>
      </c>
      <c r="AC18" s="99">
        <f>MAX(IF(INDEX('Pace of change parameters'!$E$29:$I$29,1,$B$5)=1,MAX(AB18,Z18),Z18),L18)</f>
        <v>572800</v>
      </c>
      <c r="AD18" s="97">
        <f t="shared" si="12"/>
        <v>3.6133275276715837E-2</v>
      </c>
      <c r="AE18" s="146">
        <v>3.4421087843478526E-2</v>
      </c>
      <c r="AF18" s="56">
        <f t="shared" si="13"/>
        <v>572800</v>
      </c>
      <c r="AG18" s="56">
        <v>1772.7272915169385</v>
      </c>
      <c r="AH18" s="16">
        <f t="shared" si="4"/>
        <v>3.6133275276715837E-2</v>
      </c>
      <c r="AI18" s="16">
        <f t="shared" si="5"/>
        <v>3.4421087843478526E-2</v>
      </c>
      <c r="AJ18" s="56"/>
      <c r="AK18" s="56">
        <v>558328.6224956169</v>
      </c>
      <c r="AL18" s="56">
        <v>1727.9406192965052</v>
      </c>
      <c r="AM18" s="16">
        <f t="shared" si="14"/>
        <v>2.5919103770283058E-2</v>
      </c>
      <c r="AN18" s="58">
        <f t="shared" si="15"/>
        <v>2.5919103770283058E-2</v>
      </c>
      <c r="AP18" s="56">
        <f t="shared" si="6"/>
        <v>1</v>
      </c>
      <c r="AQ18" s="56">
        <f t="shared" si="7"/>
        <v>0</v>
      </c>
    </row>
    <row r="19" spans="1:43" x14ac:dyDescent="0.2">
      <c r="A19" s="156" t="s">
        <v>83</v>
      </c>
      <c r="B19" s="156" t="s">
        <v>84</v>
      </c>
      <c r="D19" s="68">
        <v>524036.1120414075</v>
      </c>
      <c r="E19" s="73">
        <v>1785.5939486213967</v>
      </c>
      <c r="F19" s="55"/>
      <c r="G19" s="88">
        <v>515879.12452593027</v>
      </c>
      <c r="H19" s="81">
        <v>1754.7102314863491</v>
      </c>
      <c r="I19" s="90"/>
      <c r="J19" s="103">
        <f t="shared" si="8"/>
        <v>1.5811819334564436E-2</v>
      </c>
      <c r="K19" s="126">
        <f t="shared" si="9"/>
        <v>1.7600465638641261E-2</v>
      </c>
      <c r="L19" s="56">
        <v>543486</v>
      </c>
      <c r="M19" s="103">
        <v>1.0831512971898549E-2</v>
      </c>
      <c r="N19" s="97">
        <f>INDEX('Pace of change parameters'!$E$22:$I$22,1,$B$5)</f>
        <v>9.0547645222140982E-3</v>
      </c>
      <c r="O19" s="108">
        <f>MAX(L19,IF(INDEX('Pace of change parameters'!$E$30:$I$30,1,$B$5)=1,(1+M19)*D19,D19))</f>
        <v>543486</v>
      </c>
      <c r="P19" s="94">
        <f>IF(K19&lt;INDEX('Pace of change parameters'!$E$18:$I$18,1,$B$5),1,IF(K19&gt;INDEX('Pace of change parameters'!$E$19:$I$19,1,$B$5),0,(K19-INDEX('Pace of change parameters'!$E$19:$I$19,1,$B$5))/(INDEX('Pace of change parameters'!$E$18:$I$18,1,$B$5)-INDEX('Pace of change parameters'!$E$19:$I$19,1,$B$5))))</f>
        <v>0.11021546505022098</v>
      </c>
      <c r="Q19" s="57">
        <v>1.8377478501560462E-2</v>
      </c>
      <c r="R19" s="57">
        <v>1.6587466434365039E-2</v>
      </c>
      <c r="S19" s="9">
        <f>MAX(IF(INDEX('Pace of change parameters'!$E$31:$I$31,1,$B$5)=1,D19*(1+Q19),D19),L19)</f>
        <v>543486</v>
      </c>
      <c r="T19" s="103">
        <f>IF(Q19&lt;INDEX('Pace of change parameters'!$E$24:$I$24,1,$B$5),INDEX('Pace of change parameters'!$E$24:$I$24,1,$B$5),Q19)</f>
        <v>3.0386941478720321E-2</v>
      </c>
      <c r="U19" s="132">
        <v>2.8575820260838158E-2</v>
      </c>
      <c r="V19" s="117">
        <f t="shared" si="10"/>
        <v>543486</v>
      </c>
      <c r="W19" s="131">
        <f>IF(J19&gt;INDEX('Pace of change parameters'!$E$26:$I$26,1,$B$5),0,IF(J19&lt;INDEX('Pace of change parameters'!$E$25:$I$25,1,$B$5),1,(J19-INDEX('Pace of change parameters'!$E$26:$I$26,1,$B$5))/(INDEX('Pace of change parameters'!$E$25:$I$25,1,$B$5)-INDEX('Pace of change parameters'!$E$26:$I$26,1,$B$5))))</f>
        <v>1</v>
      </c>
      <c r="X19" s="132">
        <f>MIN(T19, T19+(INDEX('Pace of change parameters'!$E$27:$I$27,1,$B$5)-T19)*(1-W19))</f>
        <v>3.0386941478720321E-2</v>
      </c>
      <c r="Y19" s="132">
        <v>2.8575820260838158E-2</v>
      </c>
      <c r="Z19" s="108">
        <f t="shared" si="11"/>
        <v>543486</v>
      </c>
      <c r="AA19" s="97">
        <v>-2.5000000000000001E-2</v>
      </c>
      <c r="AB19" s="99">
        <f t="shared" si="2"/>
        <v>524830.01037776051</v>
      </c>
      <c r="AC19" s="99">
        <f>MAX(IF(INDEX('Pace of change parameters'!$E$29:$I$29,1,$B$5)=1,MAX(AB19,Z19),Z19),L19)</f>
        <v>543486</v>
      </c>
      <c r="AD19" s="97">
        <f t="shared" si="12"/>
        <v>3.7115548931970554E-2</v>
      </c>
      <c r="AE19" s="146">
        <v>3.529260077487284E-2</v>
      </c>
      <c r="AF19" s="56">
        <f t="shared" si="13"/>
        <v>543486</v>
      </c>
      <c r="AG19" s="56">
        <v>1848.6122029961205</v>
      </c>
      <c r="AH19" s="16">
        <f t="shared" si="4"/>
        <v>3.7115548931970554E-2</v>
      </c>
      <c r="AI19" s="16">
        <f t="shared" si="5"/>
        <v>3.529260077487284E-2</v>
      </c>
      <c r="AJ19" s="56"/>
      <c r="AK19" s="56">
        <v>538287.19013103645</v>
      </c>
      <c r="AL19" s="56">
        <v>1830.928981413922</v>
      </c>
      <c r="AM19" s="16">
        <f t="shared" si="14"/>
        <v>9.6580597946200886E-3</v>
      </c>
      <c r="AN19" s="58">
        <f t="shared" si="15"/>
        <v>9.6580597946200886E-3</v>
      </c>
      <c r="AP19" s="56">
        <f t="shared" si="6"/>
        <v>1</v>
      </c>
      <c r="AQ19" s="56">
        <f t="shared" si="7"/>
        <v>0</v>
      </c>
    </row>
    <row r="20" spans="1:43" x14ac:dyDescent="0.2">
      <c r="A20" s="156" t="s">
        <v>85</v>
      </c>
      <c r="B20" s="156" t="s">
        <v>86</v>
      </c>
      <c r="D20" s="68">
        <v>292605.37213032891</v>
      </c>
      <c r="E20" s="73">
        <v>1884.7852577865381</v>
      </c>
      <c r="F20" s="55"/>
      <c r="G20" s="88">
        <v>273938.55780179944</v>
      </c>
      <c r="H20" s="81">
        <v>1759.983674990835</v>
      </c>
      <c r="I20" s="90"/>
      <c r="J20" s="103">
        <f t="shared" si="8"/>
        <v>6.8142339940459706E-2</v>
      </c>
      <c r="K20" s="126">
        <f t="shared" si="9"/>
        <v>7.0910647961750506E-2</v>
      </c>
      <c r="L20" s="56">
        <v>299586</v>
      </c>
      <c r="M20" s="103">
        <v>1.166993507963654E-2</v>
      </c>
      <c r="N20" s="97">
        <f>INDEX('Pace of change parameters'!$E$22:$I$22,1,$B$5)</f>
        <v>9.0547645222140982E-3</v>
      </c>
      <c r="O20" s="108">
        <f>MAX(L20,IF(INDEX('Pace of change parameters'!$E$30:$I$30,1,$B$5)=1,(1+M20)*D20,D20))</f>
        <v>299586</v>
      </c>
      <c r="P20" s="94">
        <f>IF(K20&lt;INDEX('Pace of change parameters'!$E$18:$I$18,1,$B$5),1,IF(K20&gt;INDEX('Pace of change parameters'!$E$19:$I$19,1,$B$5),0,(K20-INDEX('Pace of change parameters'!$E$19:$I$19,1,$B$5))/(INDEX('Pace of change parameters'!$E$18:$I$18,1,$B$5)-INDEX('Pace of change parameters'!$E$19:$I$19,1,$B$5))))</f>
        <v>0</v>
      </c>
      <c r="Q20" s="57">
        <v>1.166993507963654E-2</v>
      </c>
      <c r="R20" s="57">
        <v>9.0547645222140982E-3</v>
      </c>
      <c r="S20" s="9">
        <f>MAX(IF(INDEX('Pace of change parameters'!$E$31:$I$31,1,$B$5)=1,D20*(1+Q20),D20),L20)</f>
        <v>299586</v>
      </c>
      <c r="T20" s="103">
        <f>IF(Q20&lt;INDEX('Pace of change parameters'!$E$24:$I$24,1,$B$5),INDEX('Pace of change parameters'!$E$24:$I$24,1,$B$5),Q20)</f>
        <v>3.0386941478720321E-2</v>
      </c>
      <c r="U20" s="132">
        <v>2.7723387389910314E-2</v>
      </c>
      <c r="V20" s="117">
        <f t="shared" si="10"/>
        <v>301496.7544496124</v>
      </c>
      <c r="W20" s="131">
        <f>IF(J20&gt;INDEX('Pace of change parameters'!$E$26:$I$26,1,$B$5),0,IF(J20&lt;INDEX('Pace of change parameters'!$E$25:$I$25,1,$B$5),1,(J20-INDEX('Pace of change parameters'!$E$26:$I$26,1,$B$5))/(INDEX('Pace of change parameters'!$E$25:$I$25,1,$B$5)-INDEX('Pace of change parameters'!$E$26:$I$26,1,$B$5))))</f>
        <v>0.63715320119080598</v>
      </c>
      <c r="X20" s="132">
        <f>MIN(T20, T20+(INDEX('Pace of change parameters'!$E$27:$I$27,1,$B$5)-T20)*(1-W20))</f>
        <v>2.4363684618487702E-2</v>
      </c>
      <c r="Y20" s="132">
        <v>2.1715700671138372E-2</v>
      </c>
      <c r="Z20" s="108">
        <f t="shared" si="11"/>
        <v>299734.3171345875</v>
      </c>
      <c r="AA20" s="97">
        <v>-2.5000000000000001E-2</v>
      </c>
      <c r="AB20" s="99">
        <f t="shared" si="2"/>
        <v>278486.4571230681</v>
      </c>
      <c r="AC20" s="99">
        <f>MAX(IF(INDEX('Pace of change parameters'!$E$29:$I$29,1,$B$5)=1,MAX(AB20,Z20),Z20),L20)</f>
        <v>299734.3171345875</v>
      </c>
      <c r="AD20" s="97">
        <f t="shared" si="12"/>
        <v>2.4363684618487813E-2</v>
      </c>
      <c r="AE20" s="146">
        <v>2.1715700671138372E-2</v>
      </c>
      <c r="AF20" s="56">
        <f t="shared" si="13"/>
        <v>299734.3171345875</v>
      </c>
      <c r="AG20" s="56">
        <v>1925.7146902740051</v>
      </c>
      <c r="AH20" s="16">
        <f t="shared" si="4"/>
        <v>2.4363684618487813E-2</v>
      </c>
      <c r="AI20" s="16">
        <f t="shared" si="5"/>
        <v>2.1715700671138372E-2</v>
      </c>
      <c r="AJ20" s="56"/>
      <c r="AK20" s="56">
        <v>285627.13551083911</v>
      </c>
      <c r="AL20" s="56">
        <v>1835.0797334531699</v>
      </c>
      <c r="AM20" s="16">
        <f t="shared" si="14"/>
        <v>4.9390200964337438E-2</v>
      </c>
      <c r="AN20" s="58">
        <f t="shared" si="15"/>
        <v>4.939020096433766E-2</v>
      </c>
      <c r="AP20" s="56">
        <f t="shared" si="6"/>
        <v>0</v>
      </c>
      <c r="AQ20" s="56">
        <f t="shared" si="7"/>
        <v>0</v>
      </c>
    </row>
    <row r="21" spans="1:43" x14ac:dyDescent="0.2">
      <c r="A21" s="156" t="s">
        <v>87</v>
      </c>
      <c r="B21" s="156" t="s">
        <v>88</v>
      </c>
      <c r="D21" s="68">
        <v>533868.81106982962</v>
      </c>
      <c r="E21" s="73">
        <v>1879.7270946848735</v>
      </c>
      <c r="F21" s="55"/>
      <c r="G21" s="88">
        <v>465766.23089262145</v>
      </c>
      <c r="H21" s="81">
        <v>1638.1687680165962</v>
      </c>
      <c r="I21" s="90"/>
      <c r="J21" s="103">
        <f t="shared" si="8"/>
        <v>0.14621622535127221</v>
      </c>
      <c r="K21" s="126">
        <f t="shared" si="9"/>
        <v>0.14745631303955498</v>
      </c>
      <c r="L21" s="56">
        <v>545177</v>
      </c>
      <c r="M21" s="103">
        <v>1.0146457662314035E-2</v>
      </c>
      <c r="N21" s="97">
        <f>INDEX('Pace of change parameters'!$E$22:$I$22,1,$B$5)</f>
        <v>9.0547645222140982E-3</v>
      </c>
      <c r="O21" s="108">
        <f>MAX(L21,IF(INDEX('Pace of change parameters'!$E$30:$I$30,1,$B$5)=1,(1+M21)*D21,D21))</f>
        <v>545177</v>
      </c>
      <c r="P21" s="94">
        <f>IF(K21&lt;INDEX('Pace of change parameters'!$E$18:$I$18,1,$B$5),1,IF(K21&gt;INDEX('Pace of change parameters'!$E$19:$I$19,1,$B$5),0,(K21-INDEX('Pace of change parameters'!$E$19:$I$19,1,$B$5))/(INDEX('Pace of change parameters'!$E$18:$I$18,1,$B$5)-INDEX('Pace of change parameters'!$E$19:$I$19,1,$B$5))))</f>
        <v>0</v>
      </c>
      <c r="Q21" s="57">
        <v>1.0146457662314035E-2</v>
      </c>
      <c r="R21" s="57">
        <v>9.0547645222140982E-3</v>
      </c>
      <c r="S21" s="9">
        <f>MAX(IF(INDEX('Pace of change parameters'!$E$31:$I$31,1,$B$5)=1,D21*(1+Q21),D21),L21)</f>
        <v>545177</v>
      </c>
      <c r="T21" s="103">
        <f>IF(Q21&lt;INDEX('Pace of change parameters'!$E$24:$I$24,1,$B$5),INDEX('Pace of change parameters'!$E$24:$I$24,1,$B$5),Q21)</f>
        <v>3.0386941478720321E-2</v>
      </c>
      <c r="U21" s="132">
        <v>2.9273373889458165E-2</v>
      </c>
      <c r="V21" s="117">
        <f t="shared" si="10"/>
        <v>550091.45138912252</v>
      </c>
      <c r="W21" s="131">
        <f>IF(J21&gt;INDEX('Pace of change parameters'!$E$26:$I$26,1,$B$5),0,IF(J21&lt;INDEX('Pace of change parameters'!$E$25:$I$25,1,$B$5),1,(J21-INDEX('Pace of change parameters'!$E$26:$I$26,1,$B$5))/(INDEX('Pace of change parameters'!$E$25:$I$25,1,$B$5)-INDEX('Pace of change parameters'!$E$26:$I$26,1,$B$5))))</f>
        <v>0</v>
      </c>
      <c r="X21" s="132">
        <f>MIN(T21, T21+(INDEX('Pace of change parameters'!$E$27:$I$27,1,$B$5)-T21)*(1-W21))</f>
        <v>1.3786941478720324E-2</v>
      </c>
      <c r="Y21" s="132">
        <v>1.2691313967343021E-2</v>
      </c>
      <c r="Z21" s="108">
        <f t="shared" si="11"/>
        <v>545177</v>
      </c>
      <c r="AA21" s="97">
        <v>-2.5000000000000001E-2</v>
      </c>
      <c r="AB21" s="99">
        <f t="shared" si="2"/>
        <v>473454.74396389117</v>
      </c>
      <c r="AC21" s="99">
        <f>MAX(IF(INDEX('Pace of change parameters'!$E$29:$I$29,1,$B$5)=1,MAX(AB21,Z21),Z21),L21)</f>
        <v>545177</v>
      </c>
      <c r="AD21" s="97">
        <f t="shared" si="12"/>
        <v>2.1181587490585407E-2</v>
      </c>
      <c r="AE21" s="146">
        <v>2.0077968381293276E-2</v>
      </c>
      <c r="AF21" s="56">
        <f t="shared" si="13"/>
        <v>545177</v>
      </c>
      <c r="AG21" s="56">
        <v>1917.4681958574167</v>
      </c>
      <c r="AH21" s="16">
        <f t="shared" si="4"/>
        <v>2.1181587490585407E-2</v>
      </c>
      <c r="AI21" s="16">
        <f t="shared" si="5"/>
        <v>2.0077968381293276E-2</v>
      </c>
      <c r="AJ21" s="56"/>
      <c r="AK21" s="56">
        <v>485594.60919373453</v>
      </c>
      <c r="AL21" s="56">
        <v>1707.9081091256555</v>
      </c>
      <c r="AM21" s="16">
        <f t="shared" si="14"/>
        <v>0.12269986049720383</v>
      </c>
      <c r="AN21" s="58">
        <f t="shared" si="15"/>
        <v>0.12269986049720383</v>
      </c>
      <c r="AP21" s="56">
        <f t="shared" si="6"/>
        <v>1</v>
      </c>
      <c r="AQ21" s="56">
        <f t="shared" si="7"/>
        <v>0</v>
      </c>
    </row>
    <row r="22" spans="1:43" x14ac:dyDescent="0.2">
      <c r="A22" s="156" t="s">
        <v>89</v>
      </c>
      <c r="B22" s="156" t="s">
        <v>90</v>
      </c>
      <c r="D22" s="68">
        <v>275851.59862019273</v>
      </c>
      <c r="E22" s="73">
        <v>1610.5395210165443</v>
      </c>
      <c r="F22" s="55"/>
      <c r="G22" s="88">
        <v>279752.64871653763</v>
      </c>
      <c r="H22" s="81">
        <v>1630.3351819996626</v>
      </c>
      <c r="I22" s="90"/>
      <c r="J22" s="103">
        <f t="shared" si="8"/>
        <v>-1.3944640432333122E-2</v>
      </c>
      <c r="K22" s="126">
        <f t="shared" si="9"/>
        <v>-1.2142080476260197E-2</v>
      </c>
      <c r="L22" s="56">
        <v>286064</v>
      </c>
      <c r="M22" s="103">
        <v>1.0899368574475377E-2</v>
      </c>
      <c r="N22" s="97">
        <f>INDEX('Pace of change parameters'!$E$22:$I$22,1,$B$5)</f>
        <v>9.0547645222140982E-3</v>
      </c>
      <c r="O22" s="108">
        <f>MAX(L22,IF(INDEX('Pace of change parameters'!$E$30:$I$30,1,$B$5)=1,(1+M22)*D22,D22))</f>
        <v>286064</v>
      </c>
      <c r="P22" s="94">
        <f>IF(K22&lt;INDEX('Pace of change parameters'!$E$18:$I$18,1,$B$5),1,IF(K22&gt;INDEX('Pace of change parameters'!$E$19:$I$19,1,$B$5),0,(K22-INDEX('Pace of change parameters'!$E$19:$I$19,1,$B$5))/(INDEX('Pace of change parameters'!$E$18:$I$18,1,$B$5)-INDEX('Pace of change parameters'!$E$19:$I$19,1,$B$5))))</f>
        <v>0.38136640054936816</v>
      </c>
      <c r="Q22" s="57">
        <v>3.7011592410802097E-2</v>
      </c>
      <c r="R22" s="57">
        <v>3.5119340971076385E-2</v>
      </c>
      <c r="S22" s="9">
        <f>MAX(IF(INDEX('Pace of change parameters'!$E$31:$I$31,1,$B$5)=1,D22*(1+Q22),D22),L22)</f>
        <v>286064</v>
      </c>
      <c r="T22" s="103">
        <f>IF(Q22&lt;INDEX('Pace of change parameters'!$E$24:$I$24,1,$B$5),INDEX('Pace of change parameters'!$E$24:$I$24,1,$B$5),Q22)</f>
        <v>3.7011592410802097E-2</v>
      </c>
      <c r="U22" s="132">
        <v>3.5119340971076385E-2</v>
      </c>
      <c r="V22" s="117">
        <f t="shared" si="10"/>
        <v>286064</v>
      </c>
      <c r="W22" s="131">
        <f>IF(J22&gt;INDEX('Pace of change parameters'!$E$26:$I$26,1,$B$5),0,IF(J22&lt;INDEX('Pace of change parameters'!$E$25:$I$25,1,$B$5),1,(J22-INDEX('Pace of change parameters'!$E$26:$I$26,1,$B$5))/(INDEX('Pace of change parameters'!$E$25:$I$25,1,$B$5)-INDEX('Pace of change parameters'!$E$26:$I$26,1,$B$5))))</f>
        <v>1</v>
      </c>
      <c r="X22" s="132">
        <f>MIN(T22, T22+(INDEX('Pace of change parameters'!$E$27:$I$27,1,$B$5)-T22)*(1-W22))</f>
        <v>3.7011592410802097E-2</v>
      </c>
      <c r="Y22" s="132">
        <v>3.5119340971076385E-2</v>
      </c>
      <c r="Z22" s="108">
        <f t="shared" si="11"/>
        <v>286064</v>
      </c>
      <c r="AA22" s="97">
        <v>-2.5000000000000001E-2</v>
      </c>
      <c r="AB22" s="99">
        <f t="shared" si="2"/>
        <v>284642.73369635845</v>
      </c>
      <c r="AC22" s="99">
        <f>MAX(IF(INDEX('Pace of change parameters'!$E$29:$I$29,1,$B$5)=1,MAX(AB22,Z22),Z22),L22)</f>
        <v>286064</v>
      </c>
      <c r="AD22" s="97">
        <f t="shared" si="12"/>
        <v>3.7021360147592386E-2</v>
      </c>
      <c r="AE22" s="146">
        <v>3.5129090884522984E-2</v>
      </c>
      <c r="AF22" s="56">
        <f t="shared" si="13"/>
        <v>286064</v>
      </c>
      <c r="AG22" s="56">
        <v>1667.1163102234511</v>
      </c>
      <c r="AH22" s="16">
        <f t="shared" si="4"/>
        <v>3.7021360147592386E-2</v>
      </c>
      <c r="AI22" s="16">
        <f t="shared" si="5"/>
        <v>3.5129090884523206E-2</v>
      </c>
      <c r="AJ22" s="56"/>
      <c r="AK22" s="56">
        <v>291941.26532959845</v>
      </c>
      <c r="AL22" s="56">
        <v>1701.367683659061</v>
      </c>
      <c r="AM22" s="16">
        <f t="shared" si="14"/>
        <v>-2.0131670399397228E-2</v>
      </c>
      <c r="AN22" s="58">
        <f t="shared" si="15"/>
        <v>-2.0131670399397006E-2</v>
      </c>
      <c r="AP22" s="56">
        <f t="shared" si="6"/>
        <v>1</v>
      </c>
      <c r="AQ22" s="56">
        <f t="shared" si="7"/>
        <v>0</v>
      </c>
    </row>
    <row r="23" spans="1:43" x14ac:dyDescent="0.2">
      <c r="A23" s="156" t="s">
        <v>91</v>
      </c>
      <c r="B23" s="156" t="s">
        <v>92</v>
      </c>
      <c r="D23" s="68">
        <v>313447.16707626701</v>
      </c>
      <c r="E23" s="73">
        <v>1823.7456628630187</v>
      </c>
      <c r="F23" s="55"/>
      <c r="G23" s="88">
        <v>324816.78936715005</v>
      </c>
      <c r="H23" s="81">
        <v>1890.5302178972088</v>
      </c>
      <c r="I23" s="90"/>
      <c r="J23" s="103">
        <f t="shared" si="8"/>
        <v>-3.5003185374237633E-2</v>
      </c>
      <c r="K23" s="126">
        <f t="shared" si="9"/>
        <v>-3.5325833145620433E-2</v>
      </c>
      <c r="L23" s="56">
        <v>328619</v>
      </c>
      <c r="M23" s="103">
        <v>8.717385925682164E-3</v>
      </c>
      <c r="N23" s="97">
        <f>INDEX('Pace of change parameters'!$E$22:$I$22,1,$B$5)</f>
        <v>9.0547645222140982E-3</v>
      </c>
      <c r="O23" s="108">
        <f>MAX(L23,IF(INDEX('Pace of change parameters'!$E$30:$I$30,1,$B$5)=1,(1+M23)*D23,D23))</f>
        <v>328619</v>
      </c>
      <c r="P23" s="94">
        <f>IF(K23&lt;INDEX('Pace of change parameters'!$E$18:$I$18,1,$B$5),1,IF(K23&gt;INDEX('Pace of change parameters'!$E$19:$I$19,1,$B$5),0,(K23-INDEX('Pace of change parameters'!$E$19:$I$19,1,$B$5))/(INDEX('Pace of change parameters'!$E$18:$I$18,1,$B$5)-INDEX('Pace of change parameters'!$E$19:$I$19,1,$B$5))))</f>
        <v>0.59272343099298408</v>
      </c>
      <c r="Q23" s="57">
        <v>4.9213663885351089E-2</v>
      </c>
      <c r="R23" s="57">
        <v>4.9564586986630799E-2</v>
      </c>
      <c r="S23" s="9">
        <f>MAX(IF(INDEX('Pace of change parameters'!$E$31:$I$31,1,$B$5)=1,D23*(1+Q23),D23),L23)</f>
        <v>328873.0506025739</v>
      </c>
      <c r="T23" s="103">
        <f>IF(Q23&lt;INDEX('Pace of change parameters'!$E$24:$I$24,1,$B$5),INDEX('Pace of change parameters'!$E$24:$I$24,1,$B$5),Q23)</f>
        <v>4.9213663885351089E-2</v>
      </c>
      <c r="U23" s="132">
        <v>4.9564586986630799E-2</v>
      </c>
      <c r="V23" s="117">
        <f t="shared" si="10"/>
        <v>328873.0506025739</v>
      </c>
      <c r="W23" s="131">
        <f>IF(J23&gt;INDEX('Pace of change parameters'!$E$26:$I$26,1,$B$5),0,IF(J23&lt;INDEX('Pace of change parameters'!$E$25:$I$25,1,$B$5),1,(J23-INDEX('Pace of change parameters'!$E$26:$I$26,1,$B$5))/(INDEX('Pace of change parameters'!$E$25:$I$25,1,$B$5)-INDEX('Pace of change parameters'!$E$26:$I$26,1,$B$5))))</f>
        <v>1</v>
      </c>
      <c r="X23" s="132">
        <f>MIN(T23, T23+(INDEX('Pace of change parameters'!$E$27:$I$27,1,$B$5)-T23)*(1-W23))</f>
        <v>4.9213663885351089E-2</v>
      </c>
      <c r="Y23" s="132">
        <v>4.9564586986630799E-2</v>
      </c>
      <c r="Z23" s="108">
        <f t="shared" si="11"/>
        <v>328873.0506025739</v>
      </c>
      <c r="AA23" s="97">
        <v>-4.2383220460944449E-2</v>
      </c>
      <c r="AB23" s="99">
        <f t="shared" si="2"/>
        <v>324498.31794856023</v>
      </c>
      <c r="AC23" s="99">
        <f>MAX(IF(INDEX('Pace of change parameters'!$E$29:$I$29,1,$B$5)=1,MAX(AB23,Z23),Z23),L23)</f>
        <v>328873.0506025739</v>
      </c>
      <c r="AD23" s="97">
        <f t="shared" si="12"/>
        <v>4.9213663885351089E-2</v>
      </c>
      <c r="AE23" s="146">
        <v>4.9564586986630799E-2</v>
      </c>
      <c r="AF23" s="56">
        <f t="shared" si="13"/>
        <v>328873.0506025739</v>
      </c>
      <c r="AG23" s="56">
        <v>1914.1388634114833</v>
      </c>
      <c r="AH23" s="16">
        <f t="shared" si="4"/>
        <v>4.9213663885351089E-2</v>
      </c>
      <c r="AI23" s="16">
        <f t="shared" si="5"/>
        <v>4.9564586986630799E-2</v>
      </c>
      <c r="AJ23" s="56"/>
      <c r="AK23" s="56">
        <v>338860.30913614109</v>
      </c>
      <c r="AL23" s="56">
        <v>1972.2676753132553</v>
      </c>
      <c r="AM23" s="16">
        <f t="shared" si="14"/>
        <v>-2.9473084525678983E-2</v>
      </c>
      <c r="AN23" s="58">
        <f t="shared" si="15"/>
        <v>-2.9473084525678983E-2</v>
      </c>
      <c r="AP23" s="56">
        <f t="shared" si="6"/>
        <v>0</v>
      </c>
      <c r="AQ23" s="56">
        <f t="shared" si="7"/>
        <v>0</v>
      </c>
    </row>
    <row r="24" spans="1:43" x14ac:dyDescent="0.2">
      <c r="A24" s="156" t="s">
        <v>93</v>
      </c>
      <c r="B24" s="156" t="s">
        <v>94</v>
      </c>
      <c r="D24" s="68">
        <v>482309.23824387108</v>
      </c>
      <c r="E24" s="73">
        <v>1599.5557221869719</v>
      </c>
      <c r="F24" s="55"/>
      <c r="G24" s="88">
        <v>501309.81250370067</v>
      </c>
      <c r="H24" s="81">
        <v>1652.5504904839709</v>
      </c>
      <c r="I24" s="90"/>
      <c r="J24" s="103">
        <f t="shared" si="8"/>
        <v>-3.7901859859743592E-2</v>
      </c>
      <c r="K24" s="126">
        <f t="shared" si="9"/>
        <v>-3.2068471494313466E-2</v>
      </c>
      <c r="L24" s="56">
        <v>506509</v>
      </c>
      <c r="M24" s="103">
        <v>1.5172860044764036E-2</v>
      </c>
      <c r="N24" s="97">
        <f>INDEX('Pace of change parameters'!$E$22:$I$22,1,$B$5)</f>
        <v>9.0547645222140982E-3</v>
      </c>
      <c r="O24" s="108">
        <f>MAX(L24,IF(INDEX('Pace of change parameters'!$E$30:$I$30,1,$B$5)=1,(1+M24)*D24,D24))</f>
        <v>506509</v>
      </c>
      <c r="P24" s="94">
        <f>IF(K24&lt;INDEX('Pace of change parameters'!$E$18:$I$18,1,$B$5),1,IF(K24&gt;INDEX('Pace of change parameters'!$E$19:$I$19,1,$B$5),0,(K24-INDEX('Pace of change parameters'!$E$19:$I$19,1,$B$5))/(INDEX('Pace of change parameters'!$E$18:$I$18,1,$B$5)-INDEX('Pace of change parameters'!$E$19:$I$19,1,$B$5))))</f>
        <v>0.56302736342705317</v>
      </c>
      <c r="Q24" s="57">
        <v>5.3886410952955544E-2</v>
      </c>
      <c r="R24" s="57">
        <v>4.7535002256072989E-2</v>
      </c>
      <c r="S24" s="9">
        <f>MAX(IF(INDEX('Pace of change parameters'!$E$31:$I$31,1,$B$5)=1,D24*(1+Q24),D24),L24)</f>
        <v>508299.15206228726</v>
      </c>
      <c r="T24" s="103">
        <f>IF(Q24&lt;INDEX('Pace of change parameters'!$E$24:$I$24,1,$B$5),INDEX('Pace of change parameters'!$E$24:$I$24,1,$B$5),Q24)</f>
        <v>5.3886410952955544E-2</v>
      </c>
      <c r="U24" s="132">
        <v>4.7535002256072989E-2</v>
      </c>
      <c r="V24" s="117">
        <f t="shared" si="10"/>
        <v>508299.15206228726</v>
      </c>
      <c r="W24" s="131">
        <f>IF(J24&gt;INDEX('Pace of change parameters'!$E$26:$I$26,1,$B$5),0,IF(J24&lt;INDEX('Pace of change parameters'!$E$25:$I$25,1,$B$5),1,(J24-INDEX('Pace of change parameters'!$E$26:$I$26,1,$B$5))/(INDEX('Pace of change parameters'!$E$25:$I$25,1,$B$5)-INDEX('Pace of change parameters'!$E$26:$I$26,1,$B$5))))</f>
        <v>1</v>
      </c>
      <c r="X24" s="132">
        <f>MIN(T24, T24+(INDEX('Pace of change parameters'!$E$27:$I$27,1,$B$5)-T24)*(1-W24))</f>
        <v>5.3886410952955544E-2</v>
      </c>
      <c r="Y24" s="132">
        <v>4.7535002256072989E-2</v>
      </c>
      <c r="Z24" s="108">
        <f t="shared" si="11"/>
        <v>508299.15206228726</v>
      </c>
      <c r="AA24" s="97">
        <v>-3.9150317271543278E-2</v>
      </c>
      <c r="AB24" s="99">
        <f t="shared" si="2"/>
        <v>502536.46219731239</v>
      </c>
      <c r="AC24" s="99">
        <f>MAX(IF(INDEX('Pace of change parameters'!$E$29:$I$29,1,$B$5)=1,MAX(AB24,Z24),Z24),L24)</f>
        <v>508299.15206228726</v>
      </c>
      <c r="AD24" s="97">
        <f t="shared" si="12"/>
        <v>5.3886410952955544E-2</v>
      </c>
      <c r="AE24" s="146">
        <v>4.7535002256072989E-2</v>
      </c>
      <c r="AF24" s="56">
        <f t="shared" si="13"/>
        <v>508299.15206228726</v>
      </c>
      <c r="AG24" s="56">
        <v>1675.590607049844</v>
      </c>
      <c r="AH24" s="16">
        <f t="shared" si="4"/>
        <v>5.3886410952955544E-2</v>
      </c>
      <c r="AI24" s="16">
        <f t="shared" si="5"/>
        <v>4.7535002256072989E-2</v>
      </c>
      <c r="AJ24" s="56"/>
      <c r="AK24" s="56">
        <v>523012.57025999657</v>
      </c>
      <c r="AL24" s="56">
        <v>1724.092882195597</v>
      </c>
      <c r="AM24" s="16">
        <f t="shared" si="14"/>
        <v>-2.8132054628046688E-2</v>
      </c>
      <c r="AN24" s="58">
        <f t="shared" si="15"/>
        <v>-2.8132054628046688E-2</v>
      </c>
      <c r="AP24" s="56">
        <f t="shared" si="6"/>
        <v>0</v>
      </c>
      <c r="AQ24" s="56">
        <f t="shared" si="7"/>
        <v>0</v>
      </c>
    </row>
    <row r="25" spans="1:43" x14ac:dyDescent="0.2">
      <c r="A25" s="156" t="s">
        <v>95</v>
      </c>
      <c r="B25" s="156" t="s">
        <v>96</v>
      </c>
      <c r="D25" s="68">
        <v>318832.09145529149</v>
      </c>
      <c r="E25" s="73">
        <v>1597.1391217384999</v>
      </c>
      <c r="F25" s="55"/>
      <c r="G25" s="88">
        <v>325424.49391003442</v>
      </c>
      <c r="H25" s="81">
        <v>1621.2903698209898</v>
      </c>
      <c r="I25" s="90"/>
      <c r="J25" s="103">
        <f t="shared" si="8"/>
        <v>-2.0257855748760711E-2</v>
      </c>
      <c r="K25" s="126">
        <f t="shared" si="9"/>
        <v>-1.4896312549587565E-2</v>
      </c>
      <c r="L25" s="56">
        <v>332842</v>
      </c>
      <c r="M25" s="103">
        <v>1.4576718173041181E-2</v>
      </c>
      <c r="N25" s="97">
        <f>INDEX('Pace of change parameters'!$E$22:$I$22,1,$B$5)</f>
        <v>9.0547645222140982E-3</v>
      </c>
      <c r="O25" s="108">
        <f>MAX(L25,IF(INDEX('Pace of change parameters'!$E$30:$I$30,1,$B$5)=1,(1+M25)*D25,D25))</f>
        <v>332842</v>
      </c>
      <c r="P25" s="94">
        <f>IF(K25&lt;INDEX('Pace of change parameters'!$E$18:$I$18,1,$B$5),1,IF(K25&gt;INDEX('Pace of change parameters'!$E$19:$I$19,1,$B$5),0,(K25-INDEX('Pace of change parameters'!$E$19:$I$19,1,$B$5))/(INDEX('Pace of change parameters'!$E$18:$I$18,1,$B$5)-INDEX('Pace of change parameters'!$E$19:$I$19,1,$B$5))))</f>
        <v>0.40647563633501288</v>
      </c>
      <c r="Q25" s="57">
        <v>4.250941827461463E-2</v>
      </c>
      <c r="R25" s="57">
        <v>3.6835437603513377E-2</v>
      </c>
      <c r="S25" s="9">
        <f>MAX(IF(INDEX('Pace of change parameters'!$E$31:$I$31,1,$B$5)=1,D25*(1+Q25),D25),L25)</f>
        <v>332842</v>
      </c>
      <c r="T25" s="103">
        <f>IF(Q25&lt;INDEX('Pace of change parameters'!$E$24:$I$24,1,$B$5),INDEX('Pace of change parameters'!$E$24:$I$24,1,$B$5),Q25)</f>
        <v>4.250941827461463E-2</v>
      </c>
      <c r="U25" s="132">
        <v>3.6835437603513377E-2</v>
      </c>
      <c r="V25" s="117">
        <f t="shared" si="10"/>
        <v>332842</v>
      </c>
      <c r="W25" s="131">
        <f>IF(J25&gt;INDEX('Pace of change parameters'!$E$26:$I$26,1,$B$5),0,IF(J25&lt;INDEX('Pace of change parameters'!$E$25:$I$25,1,$B$5),1,(J25-INDEX('Pace of change parameters'!$E$26:$I$26,1,$B$5))/(INDEX('Pace of change parameters'!$E$25:$I$25,1,$B$5)-INDEX('Pace of change parameters'!$E$26:$I$26,1,$B$5))))</f>
        <v>1</v>
      </c>
      <c r="X25" s="132">
        <f>MIN(T25, T25+(INDEX('Pace of change parameters'!$E$27:$I$27,1,$B$5)-T25)*(1-W25))</f>
        <v>4.250941827461463E-2</v>
      </c>
      <c r="Y25" s="132">
        <v>3.6835437603513377E-2</v>
      </c>
      <c r="Z25" s="108">
        <f t="shared" si="11"/>
        <v>332842</v>
      </c>
      <c r="AA25" s="97">
        <v>-2.5000000000000001E-2</v>
      </c>
      <c r="AB25" s="99">
        <f t="shared" si="2"/>
        <v>331224.27770482894</v>
      </c>
      <c r="AC25" s="99">
        <f>MAX(IF(INDEX('Pace of change parameters'!$E$29:$I$29,1,$B$5)=1,MAX(AB25,Z25),Z25),L25)</f>
        <v>332842</v>
      </c>
      <c r="AD25" s="97">
        <f t="shared" si="12"/>
        <v>4.3941337525846391E-2</v>
      </c>
      <c r="AE25" s="146">
        <v>3.8259563465053326E-2</v>
      </c>
      <c r="AF25" s="56">
        <f t="shared" si="13"/>
        <v>332842</v>
      </c>
      <c r="AG25" s="56">
        <v>1658.2449673291735</v>
      </c>
      <c r="AH25" s="16">
        <f t="shared" si="4"/>
        <v>4.3941337525846391E-2</v>
      </c>
      <c r="AI25" s="16">
        <f t="shared" si="5"/>
        <v>3.8259563465053326E-2</v>
      </c>
      <c r="AJ25" s="56"/>
      <c r="AK25" s="56">
        <v>339717.20790238865</v>
      </c>
      <c r="AL25" s="56">
        <v>1692.4977927042096</v>
      </c>
      <c r="AM25" s="16">
        <f t="shared" si="14"/>
        <v>-2.0238032523698712E-2</v>
      </c>
      <c r="AN25" s="58">
        <f t="shared" si="15"/>
        <v>-2.0238032523698712E-2</v>
      </c>
      <c r="AP25" s="56">
        <f t="shared" si="6"/>
        <v>1</v>
      </c>
      <c r="AQ25" s="56">
        <f t="shared" si="7"/>
        <v>0</v>
      </c>
    </row>
    <row r="26" spans="1:43" x14ac:dyDescent="0.2">
      <c r="A26" s="156" t="s">
        <v>97</v>
      </c>
      <c r="B26" s="156" t="s">
        <v>98</v>
      </c>
      <c r="D26" s="68">
        <v>362615.25587669242</v>
      </c>
      <c r="E26" s="73">
        <v>1614.2132749731454</v>
      </c>
      <c r="F26" s="55"/>
      <c r="G26" s="88">
        <v>371427.73297269992</v>
      </c>
      <c r="H26" s="81">
        <v>1641.0345830011374</v>
      </c>
      <c r="I26" s="90"/>
      <c r="J26" s="103">
        <f t="shared" si="8"/>
        <v>-2.372595343238737E-2</v>
      </c>
      <c r="K26" s="126">
        <f t="shared" si="9"/>
        <v>-1.6344145520042042E-2</v>
      </c>
      <c r="L26" s="56">
        <v>380507</v>
      </c>
      <c r="M26" s="103">
        <v>1.6684434153326544E-2</v>
      </c>
      <c r="N26" s="97">
        <f>INDEX('Pace of change parameters'!$E$22:$I$22,1,$B$5)</f>
        <v>9.0547645222140982E-3</v>
      </c>
      <c r="O26" s="108">
        <f>MAX(L26,IF(INDEX('Pace of change parameters'!$E$30:$I$30,1,$B$5)=1,(1+M26)*D26,D26))</f>
        <v>380507</v>
      </c>
      <c r="P26" s="94">
        <f>IF(K26&lt;INDEX('Pace of change parameters'!$E$18:$I$18,1,$B$5),1,IF(K26&gt;INDEX('Pace of change parameters'!$E$19:$I$19,1,$B$5),0,(K26-INDEX('Pace of change parameters'!$E$19:$I$19,1,$B$5))/(INDEX('Pace of change parameters'!$E$18:$I$18,1,$B$5)-INDEX('Pace of change parameters'!$E$19:$I$19,1,$B$5))))</f>
        <v>0.41967495232055829</v>
      </c>
      <c r="Q26" s="57">
        <v>4.5584093990849395E-2</v>
      </c>
      <c r="R26" s="57">
        <v>3.7737547962691131E-2</v>
      </c>
      <c r="S26" s="9">
        <f>MAX(IF(INDEX('Pace of change parameters'!$E$31:$I$31,1,$B$5)=1,D26*(1+Q26),D26),L26)</f>
        <v>380507</v>
      </c>
      <c r="T26" s="103">
        <f>IF(Q26&lt;INDEX('Pace of change parameters'!$E$24:$I$24,1,$B$5),INDEX('Pace of change parameters'!$E$24:$I$24,1,$B$5),Q26)</f>
        <v>4.5584093990849395E-2</v>
      </c>
      <c r="U26" s="132">
        <v>3.7737547962691131E-2</v>
      </c>
      <c r="V26" s="117">
        <f t="shared" si="10"/>
        <v>380507</v>
      </c>
      <c r="W26" s="131">
        <f>IF(J26&gt;INDEX('Pace of change parameters'!$E$26:$I$26,1,$B$5),0,IF(J26&lt;INDEX('Pace of change parameters'!$E$25:$I$25,1,$B$5),1,(J26-INDEX('Pace of change parameters'!$E$26:$I$26,1,$B$5))/(INDEX('Pace of change parameters'!$E$25:$I$25,1,$B$5)-INDEX('Pace of change parameters'!$E$26:$I$26,1,$B$5))))</f>
        <v>1</v>
      </c>
      <c r="X26" s="132">
        <f>MIN(T26, T26+(INDEX('Pace of change parameters'!$E$27:$I$27,1,$B$5)-T26)*(1-W26))</f>
        <v>4.5584093990849395E-2</v>
      </c>
      <c r="Y26" s="132">
        <v>3.7737547962691131E-2</v>
      </c>
      <c r="Z26" s="108">
        <f t="shared" si="11"/>
        <v>380507</v>
      </c>
      <c r="AA26" s="97">
        <v>-2.5000000000000001E-2</v>
      </c>
      <c r="AB26" s="99">
        <f t="shared" si="2"/>
        <v>378960.73339943122</v>
      </c>
      <c r="AC26" s="99">
        <f>MAX(IF(INDEX('Pace of change parameters'!$E$29:$I$29,1,$B$5)=1,MAX(AB26,Z26),Z26),L26)</f>
        <v>380507</v>
      </c>
      <c r="AD26" s="97">
        <f t="shared" si="12"/>
        <v>4.9340847725920511E-2</v>
      </c>
      <c r="AE26" s="146">
        <v>4.1466109282376262E-2</v>
      </c>
      <c r="AF26" s="56">
        <f t="shared" si="13"/>
        <v>380507</v>
      </c>
      <c r="AG26" s="56">
        <v>1681.1484190382446</v>
      </c>
      <c r="AH26" s="16">
        <f t="shared" si="4"/>
        <v>4.9340847725920511E-2</v>
      </c>
      <c r="AI26" s="16">
        <f t="shared" si="5"/>
        <v>4.1466109282376484E-2</v>
      </c>
      <c r="AJ26" s="56"/>
      <c r="AK26" s="56">
        <v>388677.67528146791</v>
      </c>
      <c r="AL26" s="56">
        <v>1717.2479331915051</v>
      </c>
      <c r="AM26" s="16">
        <f t="shared" si="14"/>
        <v>-2.1021725200838892E-2</v>
      </c>
      <c r="AN26" s="58">
        <f t="shared" si="15"/>
        <v>-2.1021725200839003E-2</v>
      </c>
      <c r="AP26" s="56">
        <f t="shared" si="6"/>
        <v>1</v>
      </c>
      <c r="AQ26" s="56">
        <f t="shared" si="7"/>
        <v>0</v>
      </c>
    </row>
    <row r="27" spans="1:43" x14ac:dyDescent="0.2">
      <c r="A27" s="156" t="s">
        <v>99</v>
      </c>
      <c r="B27" s="156" t="s">
        <v>100</v>
      </c>
      <c r="D27" s="68">
        <v>287757.75024847849</v>
      </c>
      <c r="E27" s="73">
        <v>1607.3337704073022</v>
      </c>
      <c r="F27" s="55"/>
      <c r="G27" s="88">
        <v>280025.63611839747</v>
      </c>
      <c r="H27" s="81">
        <v>1554.1692691222177</v>
      </c>
      <c r="I27" s="90"/>
      <c r="J27" s="103">
        <f t="shared" si="8"/>
        <v>2.7612165219086604E-2</v>
      </c>
      <c r="K27" s="126">
        <f t="shared" si="9"/>
        <v>3.4207664725677711E-2</v>
      </c>
      <c r="L27" s="56">
        <v>298557</v>
      </c>
      <c r="M27" s="103">
        <v>1.5531157491064151E-2</v>
      </c>
      <c r="N27" s="97">
        <f>INDEX('Pace of change parameters'!$E$22:$I$22,1,$B$5)</f>
        <v>9.0547645222140982E-3</v>
      </c>
      <c r="O27" s="108">
        <f>MAX(L27,IF(INDEX('Pace of change parameters'!$E$30:$I$30,1,$B$5)=1,(1+M27)*D27,D27))</f>
        <v>298557</v>
      </c>
      <c r="P27" s="94">
        <f>IF(K27&lt;INDEX('Pace of change parameters'!$E$18:$I$18,1,$B$5),1,IF(K27&gt;INDEX('Pace of change parameters'!$E$19:$I$19,1,$B$5),0,(K27-INDEX('Pace of change parameters'!$E$19:$I$19,1,$B$5))/(INDEX('Pace of change parameters'!$E$18:$I$18,1,$B$5)-INDEX('Pace of change parameters'!$E$19:$I$19,1,$B$5))))</f>
        <v>0</v>
      </c>
      <c r="Q27" s="57">
        <v>1.5531157491064151E-2</v>
      </c>
      <c r="R27" s="57">
        <v>9.0547645222140982E-3</v>
      </c>
      <c r="S27" s="9">
        <f>MAX(IF(INDEX('Pace of change parameters'!$E$31:$I$31,1,$B$5)=1,D27*(1+Q27),D27),L27)</f>
        <v>298557</v>
      </c>
      <c r="T27" s="103">
        <f>IF(Q27&lt;INDEX('Pace of change parameters'!$E$24:$I$24,1,$B$5),INDEX('Pace of change parameters'!$E$24:$I$24,1,$B$5),Q27)</f>
        <v>3.0386941478720321E-2</v>
      </c>
      <c r="U27" s="132">
        <v>2.3815808044002074E-2</v>
      </c>
      <c r="V27" s="117">
        <f t="shared" si="10"/>
        <v>298557</v>
      </c>
      <c r="W27" s="131">
        <f>IF(J27&gt;INDEX('Pace of change parameters'!$E$26:$I$26,1,$B$5),0,IF(J27&lt;INDEX('Pace of change parameters'!$E$25:$I$25,1,$B$5),1,(J27-INDEX('Pace of change parameters'!$E$26:$I$26,1,$B$5))/(INDEX('Pace of change parameters'!$E$25:$I$25,1,$B$5)-INDEX('Pace of change parameters'!$E$26:$I$26,1,$B$5))))</f>
        <v>1</v>
      </c>
      <c r="X27" s="132">
        <f>MIN(T27, T27+(INDEX('Pace of change parameters'!$E$27:$I$27,1,$B$5)-T27)*(1-W27))</f>
        <v>3.0386941478720321E-2</v>
      </c>
      <c r="Y27" s="132">
        <v>2.3815808044002074E-2</v>
      </c>
      <c r="Z27" s="108">
        <f t="shared" si="11"/>
        <v>298557</v>
      </c>
      <c r="AA27" s="97">
        <v>-2.5000000000000001E-2</v>
      </c>
      <c r="AB27" s="99">
        <f t="shared" si="2"/>
        <v>284882.45816853584</v>
      </c>
      <c r="AC27" s="99">
        <f>MAX(IF(INDEX('Pace of change parameters'!$E$29:$I$29,1,$B$5)=1,MAX(AB27,Z27),Z27),L27)</f>
        <v>298557</v>
      </c>
      <c r="AD27" s="97">
        <f t="shared" si="12"/>
        <v>3.7528962268423172E-2</v>
      </c>
      <c r="AE27" s="146">
        <v>3.0912281700183231E-2</v>
      </c>
      <c r="AF27" s="56">
        <f t="shared" si="13"/>
        <v>298557</v>
      </c>
      <c r="AG27" s="56">
        <v>1657.0201247043501</v>
      </c>
      <c r="AH27" s="16">
        <f t="shared" si="4"/>
        <v>3.7528962268423172E-2</v>
      </c>
      <c r="AI27" s="16">
        <f t="shared" si="5"/>
        <v>3.0912281700183009E-2</v>
      </c>
      <c r="AJ27" s="56"/>
      <c r="AK27" s="56">
        <v>292187.13658311369</v>
      </c>
      <c r="AL27" s="56">
        <v>1621.6667688178741</v>
      </c>
      <c r="AM27" s="16">
        <f t="shared" si="14"/>
        <v>2.1800629183668319E-2</v>
      </c>
      <c r="AN27" s="58">
        <f t="shared" si="15"/>
        <v>2.1800629183668319E-2</v>
      </c>
      <c r="AP27" s="56">
        <f t="shared" si="6"/>
        <v>1</v>
      </c>
      <c r="AQ27" s="56">
        <f t="shared" si="7"/>
        <v>0</v>
      </c>
    </row>
    <row r="28" spans="1:43" x14ac:dyDescent="0.2">
      <c r="A28" s="156" t="s">
        <v>101</v>
      </c>
      <c r="B28" s="156" t="s">
        <v>102</v>
      </c>
      <c r="D28" s="68">
        <v>880631.53487744066</v>
      </c>
      <c r="E28" s="73">
        <v>1687.8678252420559</v>
      </c>
      <c r="F28" s="55"/>
      <c r="G28" s="88">
        <v>851387.7831599724</v>
      </c>
      <c r="H28" s="81">
        <v>1632.1889466994617</v>
      </c>
      <c r="I28" s="90"/>
      <c r="J28" s="103">
        <f t="shared" si="8"/>
        <v>3.4348333739213865E-2</v>
      </c>
      <c r="K28" s="126">
        <f t="shared" si="9"/>
        <v>3.4113010417810674E-2</v>
      </c>
      <c r="L28" s="56">
        <v>911701</v>
      </c>
      <c r="M28" s="103">
        <v>8.8251957097360556E-3</v>
      </c>
      <c r="N28" s="97">
        <f>INDEX('Pace of change parameters'!$E$22:$I$22,1,$B$5)</f>
        <v>9.0547645222140982E-3</v>
      </c>
      <c r="O28" s="108">
        <f>MAX(L28,IF(INDEX('Pace of change parameters'!$E$30:$I$30,1,$B$5)=1,(1+M28)*D28,D28))</f>
        <v>911701</v>
      </c>
      <c r="P28" s="94">
        <f>IF(K28&lt;INDEX('Pace of change parameters'!$E$18:$I$18,1,$B$5),1,IF(K28&gt;INDEX('Pace of change parameters'!$E$19:$I$19,1,$B$5),0,(K28-INDEX('Pace of change parameters'!$E$19:$I$19,1,$B$5))/(INDEX('Pace of change parameters'!$E$18:$I$18,1,$B$5)-INDEX('Pace of change parameters'!$E$19:$I$19,1,$B$5))))</f>
        <v>0</v>
      </c>
      <c r="Q28" s="57">
        <v>8.8251957097360556E-3</v>
      </c>
      <c r="R28" s="57">
        <v>9.0547645222140982E-3</v>
      </c>
      <c r="S28" s="9">
        <f>MAX(IF(INDEX('Pace of change parameters'!$E$31:$I$31,1,$B$5)=1,D28*(1+Q28),D28),L28)</f>
        <v>911701</v>
      </c>
      <c r="T28" s="103">
        <f>IF(Q28&lt;INDEX('Pace of change parameters'!$E$24:$I$24,1,$B$5),INDEX('Pace of change parameters'!$E$24:$I$24,1,$B$5),Q28)</f>
        <v>3.0386941478720321E-2</v>
      </c>
      <c r="U28" s="132">
        <v>3.0621416893841014E-2</v>
      </c>
      <c r="V28" s="117">
        <f t="shared" si="10"/>
        <v>911701</v>
      </c>
      <c r="W28" s="131">
        <f>IF(J28&gt;INDEX('Pace of change parameters'!$E$26:$I$26,1,$B$5),0,IF(J28&lt;INDEX('Pace of change parameters'!$E$25:$I$25,1,$B$5),1,(J28-INDEX('Pace of change parameters'!$E$26:$I$26,1,$B$5))/(INDEX('Pace of change parameters'!$E$25:$I$25,1,$B$5)-INDEX('Pace of change parameters'!$E$26:$I$26,1,$B$5))))</f>
        <v>1</v>
      </c>
      <c r="X28" s="132">
        <f>MIN(T28, T28+(INDEX('Pace of change parameters'!$E$27:$I$27,1,$B$5)-T28)*(1-W28))</f>
        <v>3.0386941478720321E-2</v>
      </c>
      <c r="Y28" s="132">
        <v>3.0621416893841014E-2</v>
      </c>
      <c r="Z28" s="108">
        <f t="shared" si="11"/>
        <v>911701</v>
      </c>
      <c r="AA28" s="97">
        <v>-2.5000000000000001E-2</v>
      </c>
      <c r="AB28" s="99">
        <f t="shared" si="2"/>
        <v>865412.36940209125</v>
      </c>
      <c r="AC28" s="99">
        <f>MAX(IF(INDEX('Pace of change parameters'!$E$29:$I$29,1,$B$5)=1,MAX(AB28,Z28),Z28),L28)</f>
        <v>911701</v>
      </c>
      <c r="AD28" s="97">
        <f t="shared" si="12"/>
        <v>3.5280890919813901E-2</v>
      </c>
      <c r="AE28" s="146">
        <v>3.5516480004742057E-2</v>
      </c>
      <c r="AF28" s="56">
        <f t="shared" si="13"/>
        <v>911701</v>
      </c>
      <c r="AG28" s="56">
        <v>1747.8149491079128</v>
      </c>
      <c r="AH28" s="16">
        <f t="shared" si="4"/>
        <v>3.5280890919813901E-2</v>
      </c>
      <c r="AI28" s="16">
        <f t="shared" si="5"/>
        <v>3.5516480004742057E-2</v>
      </c>
      <c r="AJ28" s="56"/>
      <c r="AK28" s="56">
        <v>887602.43015599099</v>
      </c>
      <c r="AL28" s="56">
        <v>1701.615766891945</v>
      </c>
      <c r="AM28" s="16">
        <f t="shared" si="14"/>
        <v>2.715018461562102E-2</v>
      </c>
      <c r="AN28" s="58">
        <f t="shared" si="15"/>
        <v>2.715018461562102E-2</v>
      </c>
      <c r="AP28" s="56">
        <f t="shared" si="6"/>
        <v>1</v>
      </c>
      <c r="AQ28" s="56">
        <f t="shared" si="7"/>
        <v>0</v>
      </c>
    </row>
    <row r="29" spans="1:43" x14ac:dyDescent="0.2">
      <c r="A29" s="156" t="s">
        <v>103</v>
      </c>
      <c r="B29" s="156" t="s">
        <v>104</v>
      </c>
      <c r="D29" s="68">
        <v>652305.05082445266</v>
      </c>
      <c r="E29" s="73">
        <v>1742.8030800712095</v>
      </c>
      <c r="F29" s="55"/>
      <c r="G29" s="88">
        <v>631221.36133326718</v>
      </c>
      <c r="H29" s="81">
        <v>1683.100521241684</v>
      </c>
      <c r="I29" s="90"/>
      <c r="J29" s="103">
        <f t="shared" si="8"/>
        <v>3.3401419506229102E-2</v>
      </c>
      <c r="K29" s="126">
        <f t="shared" si="9"/>
        <v>3.5471772526979528E-2</v>
      </c>
      <c r="L29" s="56">
        <v>676216</v>
      </c>
      <c r="M29" s="103">
        <v>1.1076340591685163E-2</v>
      </c>
      <c r="N29" s="97">
        <f>INDEX('Pace of change parameters'!$E$22:$I$22,1,$B$5)</f>
        <v>9.0547645222140982E-3</v>
      </c>
      <c r="O29" s="108">
        <f>MAX(L29,IF(INDEX('Pace of change parameters'!$E$30:$I$30,1,$B$5)=1,(1+M29)*D29,D29))</f>
        <v>676216</v>
      </c>
      <c r="P29" s="94">
        <f>IF(K29&lt;INDEX('Pace of change parameters'!$E$18:$I$18,1,$B$5),1,IF(K29&gt;INDEX('Pace of change parameters'!$E$19:$I$19,1,$B$5),0,(K29-INDEX('Pace of change parameters'!$E$19:$I$19,1,$B$5))/(INDEX('Pace of change parameters'!$E$18:$I$18,1,$B$5)-INDEX('Pace of change parameters'!$E$19:$I$19,1,$B$5))))</f>
        <v>0</v>
      </c>
      <c r="Q29" s="57">
        <v>1.1076340591685163E-2</v>
      </c>
      <c r="R29" s="57">
        <v>9.0547645222140982E-3</v>
      </c>
      <c r="S29" s="9">
        <f>MAX(IF(INDEX('Pace of change parameters'!$E$31:$I$31,1,$B$5)=1,D29*(1+Q29),D29),L29)</f>
        <v>676216</v>
      </c>
      <c r="T29" s="103">
        <f>IF(Q29&lt;INDEX('Pace of change parameters'!$E$24:$I$24,1,$B$5),INDEX('Pace of change parameters'!$E$24:$I$24,1,$B$5),Q29)</f>
        <v>3.0386941478720321E-2</v>
      </c>
      <c r="U29" s="132">
        <v>2.8326755220213107E-2</v>
      </c>
      <c r="V29" s="117">
        <f t="shared" si="10"/>
        <v>676216</v>
      </c>
      <c r="W29" s="131">
        <f>IF(J29&gt;INDEX('Pace of change parameters'!$E$26:$I$26,1,$B$5),0,IF(J29&lt;INDEX('Pace of change parameters'!$E$25:$I$25,1,$B$5),1,(J29-INDEX('Pace of change parameters'!$E$26:$I$26,1,$B$5))/(INDEX('Pace of change parameters'!$E$25:$I$25,1,$B$5)-INDEX('Pace of change parameters'!$E$26:$I$26,1,$B$5))))</f>
        <v>1</v>
      </c>
      <c r="X29" s="132">
        <f>MIN(T29, T29+(INDEX('Pace of change parameters'!$E$27:$I$27,1,$B$5)-T29)*(1-W29))</f>
        <v>3.0386941478720321E-2</v>
      </c>
      <c r="Y29" s="132">
        <v>2.8326755220213107E-2</v>
      </c>
      <c r="Z29" s="108">
        <f t="shared" si="11"/>
        <v>676216</v>
      </c>
      <c r="AA29" s="97">
        <v>-2.5000000000000001E-2</v>
      </c>
      <c r="AB29" s="99">
        <f t="shared" si="2"/>
        <v>642193.40302822914</v>
      </c>
      <c r="AC29" s="99">
        <f>MAX(IF(INDEX('Pace of change parameters'!$E$29:$I$29,1,$B$5)=1,MAX(AB29,Z29),Z29),L29)</f>
        <v>676216</v>
      </c>
      <c r="AD29" s="97">
        <f t="shared" si="12"/>
        <v>3.6656084672847644E-2</v>
      </c>
      <c r="AE29" s="146">
        <v>3.4583363703212688E-2</v>
      </c>
      <c r="AF29" s="56">
        <f t="shared" si="13"/>
        <v>676216</v>
      </c>
      <c r="AG29" s="56">
        <v>1803.0750728523917</v>
      </c>
      <c r="AH29" s="16">
        <f t="shared" si="4"/>
        <v>3.6656084672847644E-2</v>
      </c>
      <c r="AI29" s="16">
        <f t="shared" si="5"/>
        <v>3.458336370321291E-2</v>
      </c>
      <c r="AJ29" s="56"/>
      <c r="AK29" s="56">
        <v>658659.90054177353</v>
      </c>
      <c r="AL29" s="56">
        <v>1756.2631587455892</v>
      </c>
      <c r="AM29" s="16">
        <f t="shared" si="14"/>
        <v>2.6654270958025306E-2</v>
      </c>
      <c r="AN29" s="58">
        <f t="shared" si="15"/>
        <v>2.6654270958025306E-2</v>
      </c>
      <c r="AP29" s="56">
        <f t="shared" si="6"/>
        <v>1</v>
      </c>
      <c r="AQ29" s="56">
        <f t="shared" si="7"/>
        <v>0</v>
      </c>
    </row>
    <row r="30" spans="1:43" x14ac:dyDescent="0.2">
      <c r="A30" s="156" t="s">
        <v>105</v>
      </c>
      <c r="B30" s="156" t="s">
        <v>106</v>
      </c>
      <c r="D30" s="68">
        <v>316835.31345762586</v>
      </c>
      <c r="E30" s="73">
        <v>1537.1922850942244</v>
      </c>
      <c r="F30" s="55"/>
      <c r="G30" s="88">
        <v>314553.88084897335</v>
      </c>
      <c r="H30" s="81">
        <v>1518.7524383629593</v>
      </c>
      <c r="I30" s="90"/>
      <c r="J30" s="103">
        <f t="shared" si="8"/>
        <v>7.2529151523896829E-3</v>
      </c>
      <c r="K30" s="126">
        <f t="shared" si="9"/>
        <v>1.2141443375156769E-2</v>
      </c>
      <c r="L30" s="56">
        <v>328990</v>
      </c>
      <c r="M30" s="103">
        <v>1.3952037709989318E-2</v>
      </c>
      <c r="N30" s="97">
        <f>INDEX('Pace of change parameters'!$E$22:$I$22,1,$B$5)</f>
        <v>9.0547645222140982E-3</v>
      </c>
      <c r="O30" s="108">
        <f>MAX(L30,IF(INDEX('Pace of change parameters'!$E$30:$I$30,1,$B$5)=1,(1+M30)*D30,D30))</f>
        <v>328990</v>
      </c>
      <c r="P30" s="94">
        <f>IF(K30&lt;INDEX('Pace of change parameters'!$E$18:$I$18,1,$B$5),1,IF(K30&gt;INDEX('Pace of change parameters'!$E$19:$I$19,1,$B$5),0,(K30-INDEX('Pace of change parameters'!$E$19:$I$19,1,$B$5))/(INDEX('Pace of change parameters'!$E$18:$I$18,1,$B$5)-INDEX('Pace of change parameters'!$E$19:$I$19,1,$B$5))))</f>
        <v>0.15998319468359223</v>
      </c>
      <c r="Q30" s="57">
        <v>2.4939193537967475E-2</v>
      </c>
      <c r="R30" s="57">
        <v>1.9988853635352744E-2</v>
      </c>
      <c r="S30" s="9">
        <f>MAX(IF(INDEX('Pace of change parameters'!$E$31:$I$31,1,$B$5)=1,D30*(1+Q30),D30),L30)</f>
        <v>328990</v>
      </c>
      <c r="T30" s="103">
        <f>IF(Q30&lt;INDEX('Pace of change parameters'!$E$24:$I$24,1,$B$5),INDEX('Pace of change parameters'!$E$24:$I$24,1,$B$5),Q30)</f>
        <v>3.0386941478720321E-2</v>
      </c>
      <c r="U30" s="132">
        <v>2.5410289572251443E-2</v>
      </c>
      <c r="V30" s="117">
        <f t="shared" si="10"/>
        <v>328990</v>
      </c>
      <c r="W30" s="131">
        <f>IF(J30&gt;INDEX('Pace of change parameters'!$E$26:$I$26,1,$B$5),0,IF(J30&lt;INDEX('Pace of change parameters'!$E$25:$I$25,1,$B$5),1,(J30-INDEX('Pace of change parameters'!$E$26:$I$26,1,$B$5))/(INDEX('Pace of change parameters'!$E$25:$I$25,1,$B$5)-INDEX('Pace of change parameters'!$E$26:$I$26,1,$B$5))))</f>
        <v>1</v>
      </c>
      <c r="X30" s="132">
        <f>MIN(T30, T30+(INDEX('Pace of change parameters'!$E$27:$I$27,1,$B$5)-T30)*(1-W30))</f>
        <v>3.0386941478720321E-2</v>
      </c>
      <c r="Y30" s="132">
        <v>2.5410289572251443E-2</v>
      </c>
      <c r="Z30" s="108">
        <f t="shared" si="11"/>
        <v>328990</v>
      </c>
      <c r="AA30" s="97">
        <v>-2.5000000000000001E-2</v>
      </c>
      <c r="AB30" s="99">
        <f t="shared" si="2"/>
        <v>319980.20129074965</v>
      </c>
      <c r="AC30" s="99">
        <f>MAX(IF(INDEX('Pace of change parameters'!$E$29:$I$29,1,$B$5)=1,MAX(AB30,Z30),Z30),L30)</f>
        <v>328990</v>
      </c>
      <c r="AD30" s="97">
        <f t="shared" si="12"/>
        <v>3.8362789834661903E-2</v>
      </c>
      <c r="AE30" s="146">
        <v>3.33476154864496E-2</v>
      </c>
      <c r="AF30" s="56">
        <f t="shared" si="13"/>
        <v>328990</v>
      </c>
      <c r="AG30" s="56">
        <v>1588.4539823462833</v>
      </c>
      <c r="AH30" s="16">
        <f t="shared" si="4"/>
        <v>3.8362789834661903E-2</v>
      </c>
      <c r="AI30" s="16">
        <f t="shared" si="5"/>
        <v>3.33476154864496E-2</v>
      </c>
      <c r="AJ30" s="56"/>
      <c r="AK30" s="56">
        <v>328184.82183666632</v>
      </c>
      <c r="AL30" s="56">
        <v>1584.5663612634371</v>
      </c>
      <c r="AM30" s="16">
        <f t="shared" si="14"/>
        <v>2.4534290124313962E-3</v>
      </c>
      <c r="AN30" s="58">
        <f t="shared" si="15"/>
        <v>2.4534290124311742E-3</v>
      </c>
      <c r="AP30" s="56">
        <f t="shared" si="6"/>
        <v>1</v>
      </c>
      <c r="AQ30" s="56">
        <f t="shared" si="7"/>
        <v>0</v>
      </c>
    </row>
    <row r="31" spans="1:43" x14ac:dyDescent="0.2">
      <c r="A31" s="156" t="s">
        <v>107</v>
      </c>
      <c r="B31" s="156" t="s">
        <v>108</v>
      </c>
      <c r="D31" s="68">
        <v>264853.76032443036</v>
      </c>
      <c r="E31" s="73">
        <v>1755.346891151019</v>
      </c>
      <c r="F31" s="55"/>
      <c r="G31" s="88">
        <v>255718.67630411359</v>
      </c>
      <c r="H31" s="81">
        <v>1688.8115583513534</v>
      </c>
      <c r="I31" s="90"/>
      <c r="J31" s="103">
        <f t="shared" si="8"/>
        <v>3.5723178894657259E-2</v>
      </c>
      <c r="K31" s="126">
        <f t="shared" si="9"/>
        <v>3.939772467250191E-2</v>
      </c>
      <c r="L31" s="56">
        <v>274519</v>
      </c>
      <c r="M31" s="103">
        <v>1.2634695917151717E-2</v>
      </c>
      <c r="N31" s="97">
        <f>INDEX('Pace of change parameters'!$E$22:$I$22,1,$B$5)</f>
        <v>9.0547645222140982E-3</v>
      </c>
      <c r="O31" s="108">
        <f>MAX(L31,IF(INDEX('Pace of change parameters'!$E$30:$I$30,1,$B$5)=1,(1+M31)*D31,D31))</f>
        <v>274519</v>
      </c>
      <c r="P31" s="94">
        <f>IF(K31&lt;INDEX('Pace of change parameters'!$E$18:$I$18,1,$B$5),1,IF(K31&gt;INDEX('Pace of change parameters'!$E$19:$I$19,1,$B$5),0,(K31-INDEX('Pace of change parameters'!$E$19:$I$19,1,$B$5))/(INDEX('Pace of change parameters'!$E$18:$I$18,1,$B$5)-INDEX('Pace of change parameters'!$E$19:$I$19,1,$B$5))))</f>
        <v>0</v>
      </c>
      <c r="Q31" s="57">
        <v>1.2634695917151717E-2</v>
      </c>
      <c r="R31" s="57">
        <v>9.0547645222140982E-3</v>
      </c>
      <c r="S31" s="9">
        <f>MAX(IF(INDEX('Pace of change parameters'!$E$31:$I$31,1,$B$5)=1,D31*(1+Q31),D31),L31)</f>
        <v>274519</v>
      </c>
      <c r="T31" s="103">
        <f>IF(Q31&lt;INDEX('Pace of change parameters'!$E$24:$I$24,1,$B$5),INDEX('Pace of change parameters'!$E$24:$I$24,1,$B$5),Q31)</f>
        <v>3.0386941478720321E-2</v>
      </c>
      <c r="U31" s="132">
        <v>2.6744251201954228E-2</v>
      </c>
      <c r="V31" s="117">
        <f t="shared" si="10"/>
        <v>274519</v>
      </c>
      <c r="W31" s="131">
        <f>IF(J31&gt;INDEX('Pace of change parameters'!$E$26:$I$26,1,$B$5),0,IF(J31&lt;INDEX('Pace of change parameters'!$E$25:$I$25,1,$B$5),1,(J31-INDEX('Pace of change parameters'!$E$26:$I$26,1,$B$5))/(INDEX('Pace of change parameters'!$E$25:$I$25,1,$B$5)-INDEX('Pace of change parameters'!$E$26:$I$26,1,$B$5))))</f>
        <v>1</v>
      </c>
      <c r="X31" s="132">
        <f>MIN(T31, T31+(INDEX('Pace of change parameters'!$E$27:$I$27,1,$B$5)-T31)*(1-W31))</f>
        <v>3.0386941478720321E-2</v>
      </c>
      <c r="Y31" s="132">
        <v>2.6744251201954228E-2</v>
      </c>
      <c r="Z31" s="108">
        <f t="shared" si="11"/>
        <v>274519</v>
      </c>
      <c r="AA31" s="97">
        <v>-2.5000000000000001E-2</v>
      </c>
      <c r="AB31" s="99">
        <f t="shared" si="2"/>
        <v>259975.59128333756</v>
      </c>
      <c r="AC31" s="99">
        <f>MAX(IF(INDEX('Pace of change parameters'!$E$29:$I$29,1,$B$5)=1,MAX(AB31,Z31),Z31),L31)</f>
        <v>274519</v>
      </c>
      <c r="AD31" s="97">
        <f t="shared" si="12"/>
        <v>3.649274098933053E-2</v>
      </c>
      <c r="AE31" s="146">
        <v>3.2828465096895521E-2</v>
      </c>
      <c r="AF31" s="56">
        <f t="shared" si="13"/>
        <v>274519</v>
      </c>
      <c r="AG31" s="56">
        <v>1812.9722353001141</v>
      </c>
      <c r="AH31" s="16">
        <f t="shared" si="4"/>
        <v>3.649274098933053E-2</v>
      </c>
      <c r="AI31" s="16">
        <f t="shared" si="5"/>
        <v>3.2828465096895521E-2</v>
      </c>
      <c r="AJ31" s="56"/>
      <c r="AK31" s="56">
        <v>266641.63208547444</v>
      </c>
      <c r="AL31" s="56">
        <v>1760.9486984364405</v>
      </c>
      <c r="AM31" s="16">
        <f t="shared" si="14"/>
        <v>2.9542903157749878E-2</v>
      </c>
      <c r="AN31" s="58">
        <f t="shared" si="15"/>
        <v>2.9542903157749878E-2</v>
      </c>
      <c r="AP31" s="56">
        <f t="shared" si="6"/>
        <v>1</v>
      </c>
      <c r="AQ31" s="56">
        <f t="shared" si="7"/>
        <v>0</v>
      </c>
    </row>
    <row r="32" spans="1:43" x14ac:dyDescent="0.2">
      <c r="A32" s="156" t="s">
        <v>109</v>
      </c>
      <c r="B32" s="156" t="s">
        <v>110</v>
      </c>
      <c r="D32" s="68">
        <v>332257.00656212005</v>
      </c>
      <c r="E32" s="73">
        <v>1575.5215189277671</v>
      </c>
      <c r="F32" s="55"/>
      <c r="G32" s="88">
        <v>334490.59119023127</v>
      </c>
      <c r="H32" s="81">
        <v>1582.3385198980552</v>
      </c>
      <c r="I32" s="90"/>
      <c r="J32" s="103">
        <f t="shared" si="8"/>
        <v>-6.6775708702697667E-3</v>
      </c>
      <c r="K32" s="126">
        <f t="shared" si="9"/>
        <v>-4.3081811411171955E-3</v>
      </c>
      <c r="L32" s="56">
        <v>344624</v>
      </c>
      <c r="M32" s="103">
        <v>1.1461680871929669E-2</v>
      </c>
      <c r="N32" s="97">
        <f>INDEX('Pace of change parameters'!$E$22:$I$22,1,$B$5)</f>
        <v>9.0547645222140982E-3</v>
      </c>
      <c r="O32" s="108">
        <f>MAX(L32,IF(INDEX('Pace of change parameters'!$E$30:$I$30,1,$B$5)=1,(1+M32)*D32,D32))</f>
        <v>344624</v>
      </c>
      <c r="P32" s="94">
        <f>IF(K32&lt;INDEX('Pace of change parameters'!$E$18:$I$18,1,$B$5),1,IF(K32&gt;INDEX('Pace of change parameters'!$E$19:$I$19,1,$B$5),0,(K32-INDEX('Pace of change parameters'!$E$19:$I$19,1,$B$5))/(INDEX('Pace of change parameters'!$E$18:$I$18,1,$B$5)-INDEX('Pace of change parameters'!$E$19:$I$19,1,$B$5))))</f>
        <v>0.30994786344349706</v>
      </c>
      <c r="Q32" s="57">
        <v>3.2695669869563737E-2</v>
      </c>
      <c r="R32" s="57">
        <v>3.0238224235096478E-2</v>
      </c>
      <c r="S32" s="9">
        <f>MAX(IF(INDEX('Pace of change parameters'!$E$31:$I$31,1,$B$5)=1,D32*(1+Q32),D32),L32)</f>
        <v>344624</v>
      </c>
      <c r="T32" s="103">
        <f>IF(Q32&lt;INDEX('Pace of change parameters'!$E$24:$I$24,1,$B$5),INDEX('Pace of change parameters'!$E$24:$I$24,1,$B$5),Q32)</f>
        <v>3.2695669869563737E-2</v>
      </c>
      <c r="U32" s="132">
        <v>3.0238224235096478E-2</v>
      </c>
      <c r="V32" s="117">
        <f t="shared" si="10"/>
        <v>344624</v>
      </c>
      <c r="W32" s="131">
        <f>IF(J32&gt;INDEX('Pace of change parameters'!$E$26:$I$26,1,$B$5),0,IF(J32&lt;INDEX('Pace of change parameters'!$E$25:$I$25,1,$B$5),1,(J32-INDEX('Pace of change parameters'!$E$26:$I$26,1,$B$5))/(INDEX('Pace of change parameters'!$E$25:$I$25,1,$B$5)-INDEX('Pace of change parameters'!$E$26:$I$26,1,$B$5))))</f>
        <v>1</v>
      </c>
      <c r="X32" s="132">
        <f>MIN(T32, T32+(INDEX('Pace of change parameters'!$E$27:$I$27,1,$B$5)-T32)*(1-W32))</f>
        <v>3.2695669869563737E-2</v>
      </c>
      <c r="Y32" s="132">
        <v>3.0238224235096478E-2</v>
      </c>
      <c r="Z32" s="108">
        <f t="shared" si="11"/>
        <v>344624</v>
      </c>
      <c r="AA32" s="97">
        <v>-2.5000000000000001E-2</v>
      </c>
      <c r="AB32" s="99">
        <f t="shared" si="2"/>
        <v>340335.54600813967</v>
      </c>
      <c r="AC32" s="99">
        <f>MAX(IF(INDEX('Pace of change parameters'!$E$29:$I$29,1,$B$5)=1,MAX(AB32,Z32),Z32),L32)</f>
        <v>344624</v>
      </c>
      <c r="AD32" s="97">
        <f t="shared" si="12"/>
        <v>3.7221166728256039E-2</v>
      </c>
      <c r="AE32" s="146">
        <v>3.4752952032947704E-2</v>
      </c>
      <c r="AF32" s="56">
        <f t="shared" si="13"/>
        <v>344624</v>
      </c>
      <c r="AG32" s="56">
        <v>1630.275542701941</v>
      </c>
      <c r="AH32" s="16">
        <f t="shared" si="4"/>
        <v>3.7221166728256039E-2</v>
      </c>
      <c r="AI32" s="16">
        <f t="shared" si="5"/>
        <v>3.4752952032947926E-2</v>
      </c>
      <c r="AJ32" s="56"/>
      <c r="AK32" s="56">
        <v>349062.09846988687</v>
      </c>
      <c r="AL32" s="56">
        <v>1651.2703758869761</v>
      </c>
      <c r="AM32" s="16">
        <f t="shared" si="14"/>
        <v>-1.2714352229420745E-2</v>
      </c>
      <c r="AN32" s="58">
        <f t="shared" si="15"/>
        <v>-1.2714352229420745E-2</v>
      </c>
      <c r="AP32" s="56">
        <f t="shared" si="6"/>
        <v>1</v>
      </c>
      <c r="AQ32" s="56">
        <f t="shared" si="7"/>
        <v>0</v>
      </c>
    </row>
    <row r="33" spans="1:43" x14ac:dyDescent="0.2">
      <c r="A33" s="156" t="s">
        <v>111</v>
      </c>
      <c r="B33" s="156" t="s">
        <v>112</v>
      </c>
      <c r="D33" s="68">
        <v>233848.03482486831</v>
      </c>
      <c r="E33" s="73">
        <v>1799.2877793968339</v>
      </c>
      <c r="F33" s="55"/>
      <c r="G33" s="88">
        <v>225990.12386272423</v>
      </c>
      <c r="H33" s="81">
        <v>1735.0119691079003</v>
      </c>
      <c r="I33" s="90"/>
      <c r="J33" s="103">
        <f t="shared" si="8"/>
        <v>3.477103701627815E-2</v>
      </c>
      <c r="K33" s="126">
        <f t="shared" si="9"/>
        <v>3.7046320966870772E-2</v>
      </c>
      <c r="L33" s="56">
        <v>242331</v>
      </c>
      <c r="M33" s="103">
        <v>1.1273502802332969E-2</v>
      </c>
      <c r="N33" s="97">
        <f>INDEX('Pace of change parameters'!$E$22:$I$22,1,$B$5)</f>
        <v>9.0547645222140982E-3</v>
      </c>
      <c r="O33" s="108">
        <f>MAX(L33,IF(INDEX('Pace of change parameters'!$E$30:$I$30,1,$B$5)=1,(1+M33)*D33,D33))</f>
        <v>242331</v>
      </c>
      <c r="P33" s="94">
        <f>IF(K33&lt;INDEX('Pace of change parameters'!$E$18:$I$18,1,$B$5),1,IF(K33&gt;INDEX('Pace of change parameters'!$E$19:$I$19,1,$B$5),0,(K33-INDEX('Pace of change parameters'!$E$19:$I$19,1,$B$5))/(INDEX('Pace of change parameters'!$E$18:$I$18,1,$B$5)-INDEX('Pace of change parameters'!$E$19:$I$19,1,$B$5))))</f>
        <v>0</v>
      </c>
      <c r="Q33" s="57">
        <v>1.1273502802332969E-2</v>
      </c>
      <c r="R33" s="57">
        <v>9.0547645222140982E-3</v>
      </c>
      <c r="S33" s="9">
        <f>MAX(IF(INDEX('Pace of change parameters'!$E$31:$I$31,1,$B$5)=1,D33*(1+Q33),D33),L33)</f>
        <v>242331</v>
      </c>
      <c r="T33" s="103">
        <f>IF(Q33&lt;INDEX('Pace of change parameters'!$E$24:$I$24,1,$B$5),INDEX('Pace of change parameters'!$E$24:$I$24,1,$B$5),Q33)</f>
        <v>3.0386941478720321E-2</v>
      </c>
      <c r="U33" s="132">
        <v>2.8126268234481167E-2</v>
      </c>
      <c r="V33" s="117">
        <f t="shared" si="10"/>
        <v>242331</v>
      </c>
      <c r="W33" s="131">
        <f>IF(J33&gt;INDEX('Pace of change parameters'!$E$26:$I$26,1,$B$5),0,IF(J33&lt;INDEX('Pace of change parameters'!$E$25:$I$25,1,$B$5),1,(J33-INDEX('Pace of change parameters'!$E$26:$I$26,1,$B$5))/(INDEX('Pace of change parameters'!$E$25:$I$25,1,$B$5)-INDEX('Pace of change parameters'!$E$26:$I$26,1,$B$5))))</f>
        <v>1</v>
      </c>
      <c r="X33" s="132">
        <f>MIN(T33, T33+(INDEX('Pace of change parameters'!$E$27:$I$27,1,$B$5)-T33)*(1-W33))</f>
        <v>3.0386941478720321E-2</v>
      </c>
      <c r="Y33" s="132">
        <v>2.8126268234481167E-2</v>
      </c>
      <c r="Z33" s="108">
        <f t="shared" si="11"/>
        <v>242331</v>
      </c>
      <c r="AA33" s="97">
        <v>-2.5000000000000001E-2</v>
      </c>
      <c r="AB33" s="99">
        <f t="shared" si="2"/>
        <v>229761.97636831351</v>
      </c>
      <c r="AC33" s="99">
        <f>MAX(IF(INDEX('Pace of change parameters'!$E$29:$I$29,1,$B$5)=1,MAX(AB33,Z33),Z33),L33)</f>
        <v>242331</v>
      </c>
      <c r="AD33" s="97">
        <f t="shared" si="12"/>
        <v>3.627554613184869E-2</v>
      </c>
      <c r="AE33" s="146">
        <v>3.4001953264456874E-2</v>
      </c>
      <c r="AF33" s="56">
        <f t="shared" si="13"/>
        <v>242331</v>
      </c>
      <c r="AG33" s="56">
        <v>1860.4670783811937</v>
      </c>
      <c r="AH33" s="16">
        <f t="shared" si="4"/>
        <v>3.627554613184869E-2</v>
      </c>
      <c r="AI33" s="16">
        <f t="shared" si="5"/>
        <v>3.4001953264457097E-2</v>
      </c>
      <c r="AJ33" s="56"/>
      <c r="AK33" s="56">
        <v>235653.30909570618</v>
      </c>
      <c r="AL33" s="56">
        <v>1809.1999103876467</v>
      </c>
      <c r="AM33" s="16">
        <f t="shared" si="14"/>
        <v>2.8336928218486435E-2</v>
      </c>
      <c r="AN33" s="58">
        <f t="shared" si="15"/>
        <v>2.8336928218486435E-2</v>
      </c>
      <c r="AP33" s="56">
        <f t="shared" si="6"/>
        <v>1</v>
      </c>
      <c r="AQ33" s="56">
        <f t="shared" si="7"/>
        <v>0</v>
      </c>
    </row>
    <row r="34" spans="1:43" x14ac:dyDescent="0.2">
      <c r="A34" s="156" t="s">
        <v>113</v>
      </c>
      <c r="B34" s="156" t="s">
        <v>114</v>
      </c>
      <c r="D34" s="68">
        <v>389584.60343908018</v>
      </c>
      <c r="E34" s="73">
        <v>1714.2154533613775</v>
      </c>
      <c r="F34" s="55"/>
      <c r="G34" s="88">
        <v>398348.3324337966</v>
      </c>
      <c r="H34" s="81">
        <v>1748.6487808926574</v>
      </c>
      <c r="I34" s="90"/>
      <c r="J34" s="103">
        <f t="shared" si="8"/>
        <v>-2.2000164883765216E-2</v>
      </c>
      <c r="K34" s="126">
        <f t="shared" si="9"/>
        <v>-1.9691391380321832E-2</v>
      </c>
      <c r="L34" s="56">
        <v>404294</v>
      </c>
      <c r="M34" s="103">
        <v>1.1436849692581408E-2</v>
      </c>
      <c r="N34" s="97">
        <f>INDEX('Pace of change parameters'!$E$22:$I$22,1,$B$5)</f>
        <v>9.0547645222140982E-3</v>
      </c>
      <c r="O34" s="108">
        <f>MAX(L34,IF(INDEX('Pace of change parameters'!$E$30:$I$30,1,$B$5)=1,(1+M34)*D34,D34))</f>
        <v>404294</v>
      </c>
      <c r="P34" s="94">
        <f>IF(K34&lt;INDEX('Pace of change parameters'!$E$18:$I$18,1,$B$5),1,IF(K34&gt;INDEX('Pace of change parameters'!$E$19:$I$19,1,$B$5),0,(K34-INDEX('Pace of change parameters'!$E$19:$I$19,1,$B$5))/(INDEX('Pace of change parameters'!$E$18:$I$18,1,$B$5)-INDEX('Pace of change parameters'!$E$19:$I$19,1,$B$5))))</f>
        <v>0.45019045838564892</v>
      </c>
      <c r="Q34" s="57">
        <v>4.2277857771030769E-2</v>
      </c>
      <c r="R34" s="57">
        <v>3.982313741043364E-2</v>
      </c>
      <c r="S34" s="9">
        <f>MAX(IF(INDEX('Pace of change parameters'!$E$31:$I$31,1,$B$5)=1,D34*(1+Q34),D34),L34)</f>
        <v>406055.40589306102</v>
      </c>
      <c r="T34" s="103">
        <f>IF(Q34&lt;INDEX('Pace of change parameters'!$E$24:$I$24,1,$B$5),INDEX('Pace of change parameters'!$E$24:$I$24,1,$B$5),Q34)</f>
        <v>4.2277857771030769E-2</v>
      </c>
      <c r="U34" s="132">
        <v>3.982313741043364E-2</v>
      </c>
      <c r="V34" s="117">
        <f t="shared" si="10"/>
        <v>406055.40589306102</v>
      </c>
      <c r="W34" s="131">
        <f>IF(J34&gt;INDEX('Pace of change parameters'!$E$26:$I$26,1,$B$5),0,IF(J34&lt;INDEX('Pace of change parameters'!$E$25:$I$25,1,$B$5),1,(J34-INDEX('Pace of change parameters'!$E$26:$I$26,1,$B$5))/(INDEX('Pace of change parameters'!$E$25:$I$25,1,$B$5)-INDEX('Pace of change parameters'!$E$26:$I$26,1,$B$5))))</f>
        <v>1</v>
      </c>
      <c r="X34" s="132">
        <f>MIN(T34, T34+(INDEX('Pace of change parameters'!$E$27:$I$27,1,$B$5)-T34)*(1-W34))</f>
        <v>4.2277857771030769E-2</v>
      </c>
      <c r="Y34" s="132">
        <v>3.982313741043364E-2</v>
      </c>
      <c r="Z34" s="108">
        <f t="shared" si="11"/>
        <v>406055.40589306102</v>
      </c>
      <c r="AA34" s="97">
        <v>-2.6867676080256975E-2</v>
      </c>
      <c r="AB34" s="99">
        <f t="shared" si="2"/>
        <v>404602.18502216961</v>
      </c>
      <c r="AC34" s="99">
        <f>MAX(IF(INDEX('Pace of change parameters'!$E$29:$I$29,1,$B$5)=1,MAX(AB34,Z34),Z34),L34)</f>
        <v>406055.40589306102</v>
      </c>
      <c r="AD34" s="97">
        <f t="shared" si="12"/>
        <v>4.2277857771030769E-2</v>
      </c>
      <c r="AE34" s="146">
        <v>3.982313741043364E-2</v>
      </c>
      <c r="AF34" s="56">
        <f t="shared" si="13"/>
        <v>406055.40589306102</v>
      </c>
      <c r="AG34" s="56">
        <v>1782.4808909116764</v>
      </c>
      <c r="AH34" s="16">
        <f t="shared" si="4"/>
        <v>4.2277857771030769E-2</v>
      </c>
      <c r="AI34" s="16">
        <f t="shared" si="5"/>
        <v>3.982313741043364E-2</v>
      </c>
      <c r="AJ34" s="56"/>
      <c r="AK34" s="56">
        <v>415773.04039438965</v>
      </c>
      <c r="AL34" s="56">
        <v>1825.1388571697196</v>
      </c>
      <c r="AM34" s="16">
        <f t="shared" si="14"/>
        <v>-2.3372449767572134E-2</v>
      </c>
      <c r="AN34" s="58">
        <f t="shared" si="15"/>
        <v>-2.3372449767572134E-2</v>
      </c>
      <c r="AP34" s="56">
        <f t="shared" si="6"/>
        <v>0</v>
      </c>
      <c r="AQ34" s="56">
        <f t="shared" si="7"/>
        <v>0</v>
      </c>
    </row>
    <row r="35" spans="1:43" x14ac:dyDescent="0.2">
      <c r="A35" s="156" t="s">
        <v>115</v>
      </c>
      <c r="B35" s="156" t="s">
        <v>116</v>
      </c>
      <c r="D35" s="68">
        <v>328098.11023162946</v>
      </c>
      <c r="E35" s="73">
        <v>2020.9556645701175</v>
      </c>
      <c r="F35" s="55"/>
      <c r="G35" s="88">
        <v>306104.19680743589</v>
      </c>
      <c r="H35" s="81">
        <v>1884.0533174141119</v>
      </c>
      <c r="I35" s="90"/>
      <c r="J35" s="103">
        <f t="shared" si="8"/>
        <v>7.1851067883363706E-2</v>
      </c>
      <c r="K35" s="126">
        <f t="shared" si="9"/>
        <v>7.2663732969036054E-2</v>
      </c>
      <c r="L35" s="56">
        <v>339400</v>
      </c>
      <c r="M35" s="103">
        <v>9.8198181768025528E-3</v>
      </c>
      <c r="N35" s="97">
        <f>INDEX('Pace of change parameters'!$E$22:$I$22,1,$B$5)</f>
        <v>9.0547645222140982E-3</v>
      </c>
      <c r="O35" s="108">
        <f>MAX(L35,IF(INDEX('Pace of change parameters'!$E$30:$I$30,1,$B$5)=1,(1+M35)*D35,D35))</f>
        <v>339400</v>
      </c>
      <c r="P35" s="94">
        <f>IF(K35&lt;INDEX('Pace of change parameters'!$E$18:$I$18,1,$B$5),1,IF(K35&gt;INDEX('Pace of change parameters'!$E$19:$I$19,1,$B$5),0,(K35-INDEX('Pace of change parameters'!$E$19:$I$19,1,$B$5))/(INDEX('Pace of change parameters'!$E$18:$I$18,1,$B$5)-INDEX('Pace of change parameters'!$E$19:$I$19,1,$B$5))))</f>
        <v>0</v>
      </c>
      <c r="Q35" s="57">
        <v>9.8198181768025528E-3</v>
      </c>
      <c r="R35" s="57">
        <v>9.0547645222140982E-3</v>
      </c>
      <c r="S35" s="9">
        <f>MAX(IF(INDEX('Pace of change parameters'!$E$31:$I$31,1,$B$5)=1,D35*(1+Q35),D35),L35)</f>
        <v>339400</v>
      </c>
      <c r="T35" s="103">
        <f>IF(Q35&lt;INDEX('Pace of change parameters'!$E$24:$I$24,1,$B$5),INDEX('Pace of change parameters'!$E$24:$I$24,1,$B$5),Q35)</f>
        <v>3.0386941478720321E-2</v>
      </c>
      <c r="U35" s="132">
        <v>2.9606305883113082E-2</v>
      </c>
      <c r="V35" s="117">
        <f t="shared" si="10"/>
        <v>339400</v>
      </c>
      <c r="W35" s="131">
        <f>IF(J35&gt;INDEX('Pace of change parameters'!$E$26:$I$26,1,$B$5),0,IF(J35&lt;INDEX('Pace of change parameters'!$E$25:$I$25,1,$B$5),1,(J35-INDEX('Pace of change parameters'!$E$26:$I$26,1,$B$5))/(INDEX('Pace of change parameters'!$E$25:$I$25,1,$B$5)-INDEX('Pace of change parameters'!$E$26:$I$26,1,$B$5))))</f>
        <v>0.56297864233272599</v>
      </c>
      <c r="X35" s="132">
        <f>MIN(T35, T35+(INDEX('Pace of change parameters'!$E$27:$I$27,1,$B$5)-T35)*(1-W35))</f>
        <v>2.3132386941443574E-2</v>
      </c>
      <c r="Y35" s="132">
        <v>2.2357247498081545E-2</v>
      </c>
      <c r="Z35" s="108">
        <f t="shared" si="11"/>
        <v>339400</v>
      </c>
      <c r="AA35" s="97">
        <v>-2.5000000000000001E-2</v>
      </c>
      <c r="AB35" s="99">
        <f t="shared" si="2"/>
        <v>311289.01166538213</v>
      </c>
      <c r="AC35" s="99">
        <f>MAX(IF(INDEX('Pace of change parameters'!$E$29:$I$29,1,$B$5)=1,MAX(AB35,Z35),Z35),L35)</f>
        <v>339400</v>
      </c>
      <c r="AD35" s="97">
        <f t="shared" si="12"/>
        <v>3.4446677429478934E-2</v>
      </c>
      <c r="AE35" s="146">
        <v>3.366296612098707E-2</v>
      </c>
      <c r="AF35" s="56">
        <f t="shared" si="13"/>
        <v>339400</v>
      </c>
      <c r="AG35" s="56">
        <v>2088.9870266385587</v>
      </c>
      <c r="AH35" s="16">
        <f t="shared" si="4"/>
        <v>3.4446677429478934E-2</v>
      </c>
      <c r="AI35" s="16">
        <f t="shared" si="5"/>
        <v>3.3662966120987292E-2</v>
      </c>
      <c r="AJ35" s="56"/>
      <c r="AK35" s="56">
        <v>319270.78119526373</v>
      </c>
      <c r="AL35" s="56">
        <v>1965.0928694804472</v>
      </c>
      <c r="AM35" s="16">
        <f t="shared" si="14"/>
        <v>6.3047481919196846E-2</v>
      </c>
      <c r="AN35" s="58">
        <f t="shared" si="15"/>
        <v>6.3047481919197068E-2</v>
      </c>
      <c r="AP35" s="56">
        <f t="shared" si="6"/>
        <v>1</v>
      </c>
      <c r="AQ35" s="56">
        <f t="shared" si="7"/>
        <v>0</v>
      </c>
    </row>
    <row r="36" spans="1:43" x14ac:dyDescent="0.2">
      <c r="A36" s="156" t="s">
        <v>117</v>
      </c>
      <c r="B36" s="156" t="s">
        <v>118</v>
      </c>
      <c r="D36" s="68">
        <v>257373.57341680914</v>
      </c>
      <c r="E36" s="73">
        <v>1630.6082363472217</v>
      </c>
      <c r="F36" s="55"/>
      <c r="G36" s="88">
        <v>249083.47724770609</v>
      </c>
      <c r="H36" s="81">
        <v>1573.9109947953493</v>
      </c>
      <c r="I36" s="90"/>
      <c r="J36" s="103">
        <f t="shared" si="8"/>
        <v>3.3282400987435956E-2</v>
      </c>
      <c r="K36" s="126">
        <f t="shared" si="9"/>
        <v>3.6023156162807268E-2</v>
      </c>
      <c r="L36" s="56">
        <v>266750</v>
      </c>
      <c r="M36" s="103">
        <v>1.173125651071083E-2</v>
      </c>
      <c r="N36" s="97">
        <f>INDEX('Pace of change parameters'!$E$22:$I$22,1,$B$5)</f>
        <v>9.0547645222140982E-3</v>
      </c>
      <c r="O36" s="108">
        <f>MAX(L36,IF(INDEX('Pace of change parameters'!$E$30:$I$30,1,$B$5)=1,(1+M36)*D36,D36))</f>
        <v>266750</v>
      </c>
      <c r="P36" s="94">
        <f>IF(K36&lt;INDEX('Pace of change parameters'!$E$18:$I$18,1,$B$5),1,IF(K36&gt;INDEX('Pace of change parameters'!$E$19:$I$19,1,$B$5),0,(K36-INDEX('Pace of change parameters'!$E$19:$I$19,1,$B$5))/(INDEX('Pace of change parameters'!$E$18:$I$18,1,$B$5)-INDEX('Pace of change parameters'!$E$19:$I$19,1,$B$5))))</f>
        <v>0</v>
      </c>
      <c r="Q36" s="57">
        <v>1.173125651071083E-2</v>
      </c>
      <c r="R36" s="57">
        <v>9.0547645222140982E-3</v>
      </c>
      <c r="S36" s="9">
        <f>MAX(IF(INDEX('Pace of change parameters'!$E$31:$I$31,1,$B$5)=1,D36*(1+Q36),D36),L36)</f>
        <v>266750</v>
      </c>
      <c r="T36" s="103">
        <f>IF(Q36&lt;INDEX('Pace of change parameters'!$E$24:$I$24,1,$B$5),INDEX('Pace of change parameters'!$E$24:$I$24,1,$B$5),Q36)</f>
        <v>3.0386941478720321E-2</v>
      </c>
      <c r="U36" s="132">
        <v>2.7661096669466811E-2</v>
      </c>
      <c r="V36" s="117">
        <f t="shared" si="10"/>
        <v>266750</v>
      </c>
      <c r="W36" s="131">
        <f>IF(J36&gt;INDEX('Pace of change parameters'!$E$26:$I$26,1,$B$5),0,IF(J36&lt;INDEX('Pace of change parameters'!$E$25:$I$25,1,$B$5),1,(J36-INDEX('Pace of change parameters'!$E$26:$I$26,1,$B$5))/(INDEX('Pace of change parameters'!$E$25:$I$25,1,$B$5)-INDEX('Pace of change parameters'!$E$26:$I$26,1,$B$5))))</f>
        <v>1</v>
      </c>
      <c r="X36" s="132">
        <f>MIN(T36, T36+(INDEX('Pace of change parameters'!$E$27:$I$27,1,$B$5)-T36)*(1-W36))</f>
        <v>3.0386941478720321E-2</v>
      </c>
      <c r="Y36" s="132">
        <v>2.7661096669466811E-2</v>
      </c>
      <c r="Z36" s="108">
        <f t="shared" si="11"/>
        <v>266750</v>
      </c>
      <c r="AA36" s="97">
        <v>-2.5000000000000001E-2</v>
      </c>
      <c r="AB36" s="99">
        <f t="shared" si="2"/>
        <v>253285.19472683221</v>
      </c>
      <c r="AC36" s="99">
        <f>MAX(IF(INDEX('Pace of change parameters'!$E$29:$I$29,1,$B$5)=1,MAX(AB36,Z36),Z36),L36)</f>
        <v>266750</v>
      </c>
      <c r="AD36" s="97">
        <f t="shared" si="12"/>
        <v>3.6431193998328615E-2</v>
      </c>
      <c r="AE36" s="146">
        <v>3.3689359376225969E-2</v>
      </c>
      <c r="AF36" s="56">
        <f t="shared" si="13"/>
        <v>266750</v>
      </c>
      <c r="AG36" s="56">
        <v>1685.5423832233573</v>
      </c>
      <c r="AH36" s="16">
        <f t="shared" si="4"/>
        <v>3.6431193998328615E-2</v>
      </c>
      <c r="AI36" s="16">
        <f t="shared" si="5"/>
        <v>3.3689359376225969E-2</v>
      </c>
      <c r="AJ36" s="56"/>
      <c r="AK36" s="56">
        <v>259779.6868993151</v>
      </c>
      <c r="AL36" s="56">
        <v>1641.4983039148608</v>
      </c>
      <c r="AM36" s="16">
        <f t="shared" si="14"/>
        <v>2.683163254171772E-2</v>
      </c>
      <c r="AN36" s="58">
        <f t="shared" si="15"/>
        <v>2.683163254171772E-2</v>
      </c>
      <c r="AP36" s="56">
        <f t="shared" si="6"/>
        <v>1</v>
      </c>
      <c r="AQ36" s="56">
        <f t="shared" si="7"/>
        <v>0</v>
      </c>
    </row>
    <row r="37" spans="1:43" x14ac:dyDescent="0.2">
      <c r="A37" s="156" t="s">
        <v>119</v>
      </c>
      <c r="B37" s="156" t="s">
        <v>120</v>
      </c>
      <c r="D37" s="68">
        <v>955833.41796543228</v>
      </c>
      <c r="E37" s="73">
        <v>1887.2123384492393</v>
      </c>
      <c r="F37" s="55"/>
      <c r="G37" s="88">
        <v>911978.94206333614</v>
      </c>
      <c r="H37" s="81">
        <v>1796.7722960892124</v>
      </c>
      <c r="I37" s="90"/>
      <c r="J37" s="103">
        <f t="shared" si="8"/>
        <v>4.8087158463194557E-2</v>
      </c>
      <c r="K37" s="126">
        <f t="shared" si="9"/>
        <v>5.0334726641141581E-2</v>
      </c>
      <c r="L37" s="56">
        <v>988161</v>
      </c>
      <c r="M37" s="103">
        <v>1.1218629769710775E-2</v>
      </c>
      <c r="N37" s="97">
        <f>INDEX('Pace of change parameters'!$E$22:$I$22,1,$B$5)</f>
        <v>9.0547645222140982E-3</v>
      </c>
      <c r="O37" s="108">
        <f>MAX(L37,IF(INDEX('Pace of change parameters'!$E$30:$I$30,1,$B$5)=1,(1+M37)*D37,D37))</f>
        <v>988161</v>
      </c>
      <c r="P37" s="94">
        <f>IF(K37&lt;INDEX('Pace of change parameters'!$E$18:$I$18,1,$B$5),1,IF(K37&gt;INDEX('Pace of change parameters'!$E$19:$I$19,1,$B$5),0,(K37-INDEX('Pace of change parameters'!$E$19:$I$19,1,$B$5))/(INDEX('Pace of change parameters'!$E$18:$I$18,1,$B$5)-INDEX('Pace of change parameters'!$E$19:$I$19,1,$B$5))))</f>
        <v>0</v>
      </c>
      <c r="Q37" s="57">
        <v>1.1218629769710775E-2</v>
      </c>
      <c r="R37" s="57">
        <v>9.0547645222140982E-3</v>
      </c>
      <c r="S37" s="9">
        <f>MAX(IF(INDEX('Pace of change parameters'!$E$31:$I$31,1,$B$5)=1,D37*(1+Q37),D37),L37)</f>
        <v>988161</v>
      </c>
      <c r="T37" s="103">
        <f>IF(Q37&lt;INDEX('Pace of change parameters'!$E$24:$I$24,1,$B$5),INDEX('Pace of change parameters'!$E$24:$I$24,1,$B$5),Q37)</f>
        <v>3.0386941478720321E-2</v>
      </c>
      <c r="U37" s="132">
        <v>2.8182058747626026E-2</v>
      </c>
      <c r="V37" s="117">
        <f t="shared" si="10"/>
        <v>988161</v>
      </c>
      <c r="W37" s="131">
        <f>IF(J37&gt;INDEX('Pace of change parameters'!$E$26:$I$26,1,$B$5),0,IF(J37&lt;INDEX('Pace of change parameters'!$E$25:$I$25,1,$B$5),1,(J37-INDEX('Pace of change parameters'!$E$26:$I$26,1,$B$5))/(INDEX('Pace of change parameters'!$E$25:$I$25,1,$B$5)-INDEX('Pace of change parameters'!$E$26:$I$26,1,$B$5))))</f>
        <v>1</v>
      </c>
      <c r="X37" s="132">
        <f>MIN(T37, T37+(INDEX('Pace of change parameters'!$E$27:$I$27,1,$B$5)-T37)*(1-W37))</f>
        <v>3.0386941478720321E-2</v>
      </c>
      <c r="Y37" s="132">
        <v>2.8182058747626026E-2</v>
      </c>
      <c r="Z37" s="108">
        <f t="shared" si="11"/>
        <v>988161</v>
      </c>
      <c r="AA37" s="97">
        <v>-2.5000000000000001E-2</v>
      </c>
      <c r="AB37" s="99">
        <f t="shared" si="2"/>
        <v>927819.06273965992</v>
      </c>
      <c r="AC37" s="99">
        <f>MAX(IF(INDEX('Pace of change parameters'!$E$29:$I$29,1,$B$5)=1,MAX(AB37,Z37),Z37),L37)</f>
        <v>988161</v>
      </c>
      <c r="AD37" s="97">
        <f t="shared" si="12"/>
        <v>3.3821355716333379E-2</v>
      </c>
      <c r="AE37" s="146">
        <v>3.1609123823153285E-2</v>
      </c>
      <c r="AF37" s="56">
        <f t="shared" si="13"/>
        <v>988161</v>
      </c>
      <c r="AG37" s="56">
        <v>1946.8654669358641</v>
      </c>
      <c r="AH37" s="16">
        <f t="shared" si="4"/>
        <v>3.3821355716333379E-2</v>
      </c>
      <c r="AI37" s="16">
        <f t="shared" si="5"/>
        <v>3.1609123823153285E-2</v>
      </c>
      <c r="AJ37" s="56"/>
      <c r="AK37" s="56">
        <v>951609.29511759989</v>
      </c>
      <c r="AL37" s="56">
        <v>1874.8516432844795</v>
      </c>
      <c r="AM37" s="16">
        <f t="shared" si="14"/>
        <v>3.8410411783423193E-2</v>
      </c>
      <c r="AN37" s="58">
        <f t="shared" si="15"/>
        <v>3.8410411783423193E-2</v>
      </c>
      <c r="AP37" s="56">
        <f t="shared" si="6"/>
        <v>1</v>
      </c>
      <c r="AQ37" s="56">
        <f t="shared" si="7"/>
        <v>0</v>
      </c>
    </row>
    <row r="38" spans="1:43" x14ac:dyDescent="0.2">
      <c r="A38" s="156" t="s">
        <v>121</v>
      </c>
      <c r="B38" s="156" t="s">
        <v>122</v>
      </c>
      <c r="D38" s="68">
        <v>362736.79242083966</v>
      </c>
      <c r="E38" s="73">
        <v>1783.9631362542034</v>
      </c>
      <c r="F38" s="55"/>
      <c r="G38" s="88">
        <v>391375.04904872854</v>
      </c>
      <c r="H38" s="81">
        <v>1908.7994190545671</v>
      </c>
      <c r="I38" s="90"/>
      <c r="J38" s="103">
        <f t="shared" si="8"/>
        <v>-7.3173434784605362E-2</v>
      </c>
      <c r="K38" s="126">
        <f t="shared" si="9"/>
        <v>-6.5400419527681719E-2</v>
      </c>
      <c r="L38" s="56">
        <v>393117</v>
      </c>
      <c r="M38" s="103">
        <v>1.751740292088777E-2</v>
      </c>
      <c r="N38" s="97">
        <f>INDEX('Pace of change parameters'!$E$22:$I$22,1,$B$5)</f>
        <v>9.0547645222140982E-3</v>
      </c>
      <c r="O38" s="108">
        <f>MAX(L38,IF(INDEX('Pace of change parameters'!$E$30:$I$30,1,$B$5)=1,(1+M38)*D38,D38))</f>
        <v>393117</v>
      </c>
      <c r="P38" s="94">
        <f>IF(K38&lt;INDEX('Pace of change parameters'!$E$18:$I$18,1,$B$5),1,IF(K38&gt;INDEX('Pace of change parameters'!$E$19:$I$19,1,$B$5),0,(K38-INDEX('Pace of change parameters'!$E$19:$I$19,1,$B$5))/(INDEX('Pace of change parameters'!$E$18:$I$18,1,$B$5)-INDEX('Pace of change parameters'!$E$19:$I$19,1,$B$5))))</f>
        <v>0.86690144523367407</v>
      </c>
      <c r="Q38" s="57">
        <v>7.7262886355741855E-2</v>
      </c>
      <c r="R38" s="57">
        <v>6.8303347932742398E-2</v>
      </c>
      <c r="S38" s="9">
        <f>MAX(IF(INDEX('Pace of change parameters'!$E$31:$I$31,1,$B$5)=1,D38*(1+Q38),D38),L38)</f>
        <v>393117</v>
      </c>
      <c r="T38" s="103">
        <f>IF(Q38&lt;INDEX('Pace of change parameters'!$E$24:$I$24,1,$B$5),INDEX('Pace of change parameters'!$E$24:$I$24,1,$B$5),Q38)</f>
        <v>7.7262886355741855E-2</v>
      </c>
      <c r="U38" s="132">
        <v>6.8303347932742398E-2</v>
      </c>
      <c r="V38" s="117">
        <f t="shared" si="10"/>
        <v>393117</v>
      </c>
      <c r="W38" s="131">
        <f>IF(J38&gt;INDEX('Pace of change parameters'!$E$26:$I$26,1,$B$5),0,IF(J38&lt;INDEX('Pace of change parameters'!$E$25:$I$25,1,$B$5),1,(J38-INDEX('Pace of change parameters'!$E$26:$I$26,1,$B$5))/(INDEX('Pace of change parameters'!$E$25:$I$25,1,$B$5)-INDEX('Pace of change parameters'!$E$26:$I$26,1,$B$5))))</f>
        <v>1</v>
      </c>
      <c r="X38" s="132">
        <f>MIN(T38, T38+(INDEX('Pace of change parameters'!$E$27:$I$27,1,$B$5)-T38)*(1-W38))</f>
        <v>7.7262886355741855E-2</v>
      </c>
      <c r="Y38" s="132">
        <v>6.8303347932742398E-2</v>
      </c>
      <c r="Z38" s="108">
        <f t="shared" si="11"/>
        <v>393117</v>
      </c>
      <c r="AA38" s="97">
        <v>-7.2255326478781523E-2</v>
      </c>
      <c r="AB38" s="99">
        <f t="shared" si="2"/>
        <v>379460.47855308768</v>
      </c>
      <c r="AC38" s="99">
        <f>MAX(IF(INDEX('Pace of change parameters'!$E$29:$I$29,1,$B$5)=1,MAX(AB38,Z38),Z38),L38)</f>
        <v>393117</v>
      </c>
      <c r="AD38" s="97">
        <f t="shared" si="12"/>
        <v>8.3752760166423634E-2</v>
      </c>
      <c r="AE38" s="146">
        <v>7.4739245806349164E-2</v>
      </c>
      <c r="AF38" s="56">
        <f t="shared" si="13"/>
        <v>393117</v>
      </c>
      <c r="AG38" s="56">
        <v>1917.2951956041718</v>
      </c>
      <c r="AH38" s="16">
        <f t="shared" si="4"/>
        <v>8.3752760166423634E-2</v>
      </c>
      <c r="AI38" s="16">
        <f t="shared" si="5"/>
        <v>7.4739245806349164E-2</v>
      </c>
      <c r="AJ38" s="56"/>
      <c r="AK38" s="56">
        <v>409013.91232229915</v>
      </c>
      <c r="AL38" s="56">
        <v>1994.8270083227387</v>
      </c>
      <c r="AM38" s="16">
        <f t="shared" si="14"/>
        <v>-3.8866434229680946E-2</v>
      </c>
      <c r="AN38" s="58">
        <f t="shared" si="15"/>
        <v>-3.8866434229680946E-2</v>
      </c>
      <c r="AP38" s="56">
        <f t="shared" si="6"/>
        <v>1</v>
      </c>
      <c r="AQ38" s="56">
        <f t="shared" si="7"/>
        <v>0</v>
      </c>
    </row>
    <row r="39" spans="1:43" x14ac:dyDescent="0.2">
      <c r="A39" s="156" t="s">
        <v>123</v>
      </c>
      <c r="B39" s="156" t="s">
        <v>124</v>
      </c>
      <c r="D39" s="68">
        <v>412065.68134863104</v>
      </c>
      <c r="E39" s="73">
        <v>1662.6144130076057</v>
      </c>
      <c r="F39" s="55"/>
      <c r="G39" s="88">
        <v>404601.96762073325</v>
      </c>
      <c r="H39" s="81">
        <v>1625.7539580256944</v>
      </c>
      <c r="I39" s="90"/>
      <c r="J39" s="103">
        <f t="shared" si="8"/>
        <v>1.8447052474283021E-2</v>
      </c>
      <c r="K39" s="126">
        <f t="shared" si="9"/>
        <v>2.2672837301084936E-2</v>
      </c>
      <c r="L39" s="56">
        <v>427303</v>
      </c>
      <c r="M39" s="103">
        <v>1.324157845914975E-2</v>
      </c>
      <c r="N39" s="97">
        <f>INDEX('Pace of change parameters'!$E$22:$I$22,1,$B$5)</f>
        <v>9.0547645222140982E-3</v>
      </c>
      <c r="O39" s="108">
        <f>MAX(L39,IF(INDEX('Pace of change parameters'!$E$30:$I$30,1,$B$5)=1,(1+M39)*D39,D39))</f>
        <v>427303</v>
      </c>
      <c r="P39" s="94">
        <f>IF(K39&lt;INDEX('Pace of change parameters'!$E$18:$I$18,1,$B$5),1,IF(K39&gt;INDEX('Pace of change parameters'!$E$19:$I$19,1,$B$5),0,(K39-INDEX('Pace of change parameters'!$E$19:$I$19,1,$B$5))/(INDEX('Pace of change parameters'!$E$18:$I$18,1,$B$5)-INDEX('Pace of change parameters'!$E$19:$I$19,1,$B$5))))</f>
        <v>6.39726748009396E-2</v>
      </c>
      <c r="Q39" s="57">
        <v>1.7631947419256777E-2</v>
      </c>
      <c r="R39" s="57">
        <v>1.3426992045628028E-2</v>
      </c>
      <c r="S39" s="9">
        <f>MAX(IF(INDEX('Pace of change parameters'!$E$31:$I$31,1,$B$5)=1,D39*(1+Q39),D39),L39)</f>
        <v>427303</v>
      </c>
      <c r="T39" s="103">
        <f>IF(Q39&lt;INDEX('Pace of change parameters'!$E$24:$I$24,1,$B$5),INDEX('Pace of change parameters'!$E$24:$I$24,1,$B$5),Q39)</f>
        <v>3.0386941478720321E-2</v>
      </c>
      <c r="U39" s="132">
        <v>2.6129281214146483E-2</v>
      </c>
      <c r="V39" s="117">
        <f t="shared" si="10"/>
        <v>427303</v>
      </c>
      <c r="W39" s="131">
        <f>IF(J39&gt;INDEX('Pace of change parameters'!$E$26:$I$26,1,$B$5),0,IF(J39&lt;INDEX('Pace of change parameters'!$E$25:$I$25,1,$B$5),1,(J39-INDEX('Pace of change parameters'!$E$26:$I$26,1,$B$5))/(INDEX('Pace of change parameters'!$E$25:$I$25,1,$B$5)-INDEX('Pace of change parameters'!$E$26:$I$26,1,$B$5))))</f>
        <v>1</v>
      </c>
      <c r="X39" s="132">
        <f>MIN(T39, T39+(INDEX('Pace of change parameters'!$E$27:$I$27,1,$B$5)-T39)*(1-W39))</f>
        <v>3.0386941478720321E-2</v>
      </c>
      <c r="Y39" s="132">
        <v>2.6129281214146483E-2</v>
      </c>
      <c r="Z39" s="108">
        <f t="shared" si="11"/>
        <v>427303</v>
      </c>
      <c r="AA39" s="97">
        <v>-2.5000000000000001E-2</v>
      </c>
      <c r="AB39" s="99">
        <f t="shared" si="2"/>
        <v>411657.85344831552</v>
      </c>
      <c r="AC39" s="99">
        <f>MAX(IF(INDEX('Pace of change parameters'!$E$29:$I$29,1,$B$5)=1,MAX(AB39,Z39),Z39),L39)</f>
        <v>427303</v>
      </c>
      <c r="AD39" s="97">
        <f t="shared" si="12"/>
        <v>3.6977888091770827E-2</v>
      </c>
      <c r="AE39" s="146">
        <v>3.2692993387035907E-2</v>
      </c>
      <c r="AF39" s="56">
        <f t="shared" si="13"/>
        <v>427303</v>
      </c>
      <c r="AG39" s="56">
        <v>1716.9702550172542</v>
      </c>
      <c r="AH39" s="16">
        <f t="shared" si="4"/>
        <v>3.6977888091770827E-2</v>
      </c>
      <c r="AI39" s="16">
        <f t="shared" si="5"/>
        <v>3.2692993387036129E-2</v>
      </c>
      <c r="AJ39" s="56"/>
      <c r="AK39" s="56">
        <v>422213.18302391336</v>
      </c>
      <c r="AL39" s="56">
        <v>1696.5185747074447</v>
      </c>
      <c r="AM39" s="16">
        <f t="shared" si="14"/>
        <v>1.2055087763089389E-2</v>
      </c>
      <c r="AN39" s="58">
        <f t="shared" si="15"/>
        <v>1.2055087763089389E-2</v>
      </c>
      <c r="AP39" s="56">
        <f t="shared" si="6"/>
        <v>1</v>
      </c>
      <c r="AQ39" s="56">
        <f t="shared" si="7"/>
        <v>0</v>
      </c>
    </row>
    <row r="40" spans="1:43" x14ac:dyDescent="0.2">
      <c r="A40" s="156" t="s">
        <v>125</v>
      </c>
      <c r="B40" s="156" t="s">
        <v>126</v>
      </c>
      <c r="D40" s="68">
        <v>472155.22394630586</v>
      </c>
      <c r="E40" s="73">
        <v>1815.3183411688262</v>
      </c>
      <c r="F40" s="55"/>
      <c r="G40" s="88">
        <v>476107.64674054913</v>
      </c>
      <c r="H40" s="81">
        <v>1811.1072609981056</v>
      </c>
      <c r="I40" s="90"/>
      <c r="J40" s="103">
        <f t="shared" si="8"/>
        <v>-8.3015318516761472E-3</v>
      </c>
      <c r="K40" s="126">
        <f t="shared" si="9"/>
        <v>2.3251412334353017E-3</v>
      </c>
      <c r="L40" s="56">
        <v>490855</v>
      </c>
      <c r="M40" s="103">
        <v>1.9867421243942696E-2</v>
      </c>
      <c r="N40" s="97">
        <f>INDEX('Pace of change parameters'!$E$22:$I$22,1,$B$5)</f>
        <v>9.0547645222140982E-3</v>
      </c>
      <c r="O40" s="108">
        <f>MAX(L40,IF(INDEX('Pace of change parameters'!$E$30:$I$30,1,$B$5)=1,(1+M40)*D40,D40))</f>
        <v>490855</v>
      </c>
      <c r="P40" s="94">
        <f>IF(K40&lt;INDEX('Pace of change parameters'!$E$18:$I$18,1,$B$5),1,IF(K40&gt;INDEX('Pace of change parameters'!$E$19:$I$19,1,$B$5),0,(K40-INDEX('Pace of change parameters'!$E$19:$I$19,1,$B$5))/(INDEX('Pace of change parameters'!$E$18:$I$18,1,$B$5)-INDEX('Pace of change parameters'!$E$19:$I$19,1,$B$5))))</f>
        <v>0.24947450785454187</v>
      </c>
      <c r="Q40" s="57">
        <v>3.710052092900562E-2</v>
      </c>
      <c r="R40" s="57">
        <v>2.6105158507237602E-2</v>
      </c>
      <c r="S40" s="9">
        <f>MAX(IF(INDEX('Pace of change parameters'!$E$31:$I$31,1,$B$5)=1,D40*(1+Q40),D40),L40)</f>
        <v>490855</v>
      </c>
      <c r="T40" s="103">
        <f>IF(Q40&lt;INDEX('Pace of change parameters'!$E$24:$I$24,1,$B$5),INDEX('Pace of change parameters'!$E$24:$I$24,1,$B$5),Q40)</f>
        <v>3.710052092900562E-2</v>
      </c>
      <c r="U40" s="132">
        <v>2.6105158507237602E-2</v>
      </c>
      <c r="V40" s="117">
        <f t="shared" si="10"/>
        <v>490855</v>
      </c>
      <c r="W40" s="131">
        <f>IF(J40&gt;INDEX('Pace of change parameters'!$E$26:$I$26,1,$B$5),0,IF(J40&lt;INDEX('Pace of change parameters'!$E$25:$I$25,1,$B$5),1,(J40-INDEX('Pace of change parameters'!$E$26:$I$26,1,$B$5))/(INDEX('Pace of change parameters'!$E$25:$I$25,1,$B$5)-INDEX('Pace of change parameters'!$E$26:$I$26,1,$B$5))))</f>
        <v>1</v>
      </c>
      <c r="X40" s="132">
        <f>MIN(T40, T40+(INDEX('Pace of change parameters'!$E$27:$I$27,1,$B$5)-T40)*(1-W40))</f>
        <v>3.710052092900562E-2</v>
      </c>
      <c r="Y40" s="132">
        <v>2.6105158507237602E-2</v>
      </c>
      <c r="Z40" s="108">
        <f t="shared" si="11"/>
        <v>490855</v>
      </c>
      <c r="AA40" s="97">
        <v>-2.5000000000000001E-2</v>
      </c>
      <c r="AB40" s="99">
        <f t="shared" si="2"/>
        <v>484629.92755742156</v>
      </c>
      <c r="AC40" s="99">
        <f>MAX(IF(INDEX('Pace of change parameters'!$E$29:$I$29,1,$B$5)=1,MAX(AB40,Z40),Z40),L40)</f>
        <v>490855</v>
      </c>
      <c r="AD40" s="97">
        <f t="shared" si="12"/>
        <v>3.9605144887310928E-2</v>
      </c>
      <c r="AE40" s="146">
        <v>2.8583228387518478E-2</v>
      </c>
      <c r="AF40" s="56">
        <f t="shared" si="13"/>
        <v>490855</v>
      </c>
      <c r="AG40" s="56">
        <v>1867.2059999105061</v>
      </c>
      <c r="AH40" s="16">
        <f t="shared" si="4"/>
        <v>3.9605144887310928E-2</v>
      </c>
      <c r="AI40" s="16">
        <f t="shared" si="5"/>
        <v>2.8583228387518478E-2</v>
      </c>
      <c r="AJ40" s="56"/>
      <c r="AK40" s="56">
        <v>497056.33595632983</v>
      </c>
      <c r="AL40" s="56">
        <v>1890.7958007786235</v>
      </c>
      <c r="AM40" s="16">
        <f t="shared" si="14"/>
        <v>-1.2476122941675327E-2</v>
      </c>
      <c r="AN40" s="58">
        <f t="shared" si="15"/>
        <v>-1.2476122941675216E-2</v>
      </c>
      <c r="AP40" s="56">
        <f t="shared" si="6"/>
        <v>1</v>
      </c>
      <c r="AQ40" s="56">
        <f t="shared" si="7"/>
        <v>0</v>
      </c>
    </row>
    <row r="41" spans="1:43" x14ac:dyDescent="0.2">
      <c r="A41" s="156" t="s">
        <v>127</v>
      </c>
      <c r="B41" s="156" t="s">
        <v>128</v>
      </c>
      <c r="D41" s="68">
        <v>272049.00761401991</v>
      </c>
      <c r="E41" s="73">
        <v>1510.6700036872585</v>
      </c>
      <c r="F41" s="55"/>
      <c r="G41" s="88">
        <v>276375.4905183877</v>
      </c>
      <c r="H41" s="81">
        <v>1529.3743610409954</v>
      </c>
      <c r="I41" s="90"/>
      <c r="J41" s="103">
        <f t="shared" si="8"/>
        <v>-1.5654365357263611E-2</v>
      </c>
      <c r="K41" s="126">
        <f t="shared" si="9"/>
        <v>-1.2230071217491423E-2</v>
      </c>
      <c r="L41" s="56">
        <v>282058</v>
      </c>
      <c r="M41" s="103">
        <v>1.2565015591815776E-2</v>
      </c>
      <c r="N41" s="97">
        <f>INDEX('Pace of change parameters'!$E$22:$I$22,1,$B$5)</f>
        <v>9.0547645222140982E-3</v>
      </c>
      <c r="O41" s="108">
        <f>MAX(L41,IF(INDEX('Pace of change parameters'!$E$30:$I$30,1,$B$5)=1,(1+M41)*D41,D41))</f>
        <v>282058</v>
      </c>
      <c r="P41" s="94">
        <f>IF(K41&lt;INDEX('Pace of change parameters'!$E$18:$I$18,1,$B$5),1,IF(K41&gt;INDEX('Pace of change parameters'!$E$19:$I$19,1,$B$5),0,(K41-INDEX('Pace of change parameters'!$E$19:$I$19,1,$B$5))/(INDEX('Pace of change parameters'!$E$18:$I$18,1,$B$5)-INDEX('Pace of change parameters'!$E$19:$I$19,1,$B$5))))</f>
        <v>0.38216857705799451</v>
      </c>
      <c r="Q41" s="57">
        <v>3.8775279897432124E-2</v>
      </c>
      <c r="R41" s="57">
        <v>3.5174165913453015E-2</v>
      </c>
      <c r="S41" s="9">
        <f>MAX(IF(INDEX('Pace of change parameters'!$E$31:$I$31,1,$B$5)=1,D41*(1+Q41),D41),L41)</f>
        <v>282597.78403007216</v>
      </c>
      <c r="T41" s="103">
        <f>IF(Q41&lt;INDEX('Pace of change parameters'!$E$24:$I$24,1,$B$5),INDEX('Pace of change parameters'!$E$24:$I$24,1,$B$5),Q41)</f>
        <v>3.8775279897432124E-2</v>
      </c>
      <c r="U41" s="132">
        <v>3.5174165913453015E-2</v>
      </c>
      <c r="V41" s="117">
        <f t="shared" si="10"/>
        <v>282597.78403007216</v>
      </c>
      <c r="W41" s="131">
        <f>IF(J41&gt;INDEX('Pace of change parameters'!$E$26:$I$26,1,$B$5),0,IF(J41&lt;INDEX('Pace of change parameters'!$E$25:$I$25,1,$B$5),1,(J41-INDEX('Pace of change parameters'!$E$26:$I$26,1,$B$5))/(INDEX('Pace of change parameters'!$E$25:$I$25,1,$B$5)-INDEX('Pace of change parameters'!$E$26:$I$26,1,$B$5))))</f>
        <v>1</v>
      </c>
      <c r="X41" s="132">
        <f>MIN(T41, T41+(INDEX('Pace of change parameters'!$E$27:$I$27,1,$B$5)-T41)*(1-W41))</f>
        <v>3.8775279897432124E-2</v>
      </c>
      <c r="Y41" s="132">
        <v>3.5174165913453015E-2</v>
      </c>
      <c r="Z41" s="108">
        <f t="shared" si="11"/>
        <v>282597.78403007216</v>
      </c>
      <c r="AA41" s="97">
        <v>-2.5000000000000001E-2</v>
      </c>
      <c r="AB41" s="99">
        <f t="shared" si="2"/>
        <v>280891.97770768148</v>
      </c>
      <c r="AC41" s="99">
        <f>MAX(IF(INDEX('Pace of change parameters'!$E$29:$I$29,1,$B$5)=1,MAX(AB41,Z41),Z41),L41)</f>
        <v>282597.78403007216</v>
      </c>
      <c r="AD41" s="97">
        <f t="shared" si="12"/>
        <v>3.8775279897432124E-2</v>
      </c>
      <c r="AE41" s="146">
        <v>3.5174165913453015E-2</v>
      </c>
      <c r="AF41" s="56">
        <f t="shared" si="13"/>
        <v>282597.78403007216</v>
      </c>
      <c r="AG41" s="56">
        <v>1563.8065610374306</v>
      </c>
      <c r="AH41" s="16">
        <f t="shared" si="4"/>
        <v>3.8775279897432124E-2</v>
      </c>
      <c r="AI41" s="16">
        <f t="shared" si="5"/>
        <v>3.5174165913452793E-2</v>
      </c>
      <c r="AJ41" s="56"/>
      <c r="AK41" s="56">
        <v>288094.33611044253</v>
      </c>
      <c r="AL41" s="56">
        <v>1594.2227379932003</v>
      </c>
      <c r="AM41" s="16">
        <f t="shared" si="14"/>
        <v>-1.9079000839028026E-2</v>
      </c>
      <c r="AN41" s="58">
        <f t="shared" si="15"/>
        <v>-1.9079000839028026E-2</v>
      </c>
      <c r="AP41" s="56">
        <f t="shared" si="6"/>
        <v>0</v>
      </c>
      <c r="AQ41" s="56">
        <f t="shared" si="7"/>
        <v>0</v>
      </c>
    </row>
    <row r="42" spans="1:43" x14ac:dyDescent="0.2">
      <c r="A42" s="156" t="s">
        <v>129</v>
      </c>
      <c r="B42" s="156" t="s">
        <v>130</v>
      </c>
      <c r="D42" s="68">
        <v>293388.95258577255</v>
      </c>
      <c r="E42" s="73">
        <v>1707.6658843107241</v>
      </c>
      <c r="F42" s="55"/>
      <c r="G42" s="88">
        <v>282961.59573275421</v>
      </c>
      <c r="H42" s="81">
        <v>1632.9435451597437</v>
      </c>
      <c r="I42" s="90"/>
      <c r="J42" s="103">
        <f t="shared" si="8"/>
        <v>3.6850784736408349E-2</v>
      </c>
      <c r="K42" s="126">
        <f t="shared" si="9"/>
        <v>4.5759291172353889E-2</v>
      </c>
      <c r="L42" s="56">
        <v>304809</v>
      </c>
      <c r="M42" s="103">
        <v>1.7724450648991308E-2</v>
      </c>
      <c r="N42" s="97">
        <f>INDEX('Pace of change parameters'!$E$22:$I$22,1,$B$5)</f>
        <v>9.0547645222140982E-3</v>
      </c>
      <c r="O42" s="108">
        <f>MAX(L42,IF(INDEX('Pace of change parameters'!$E$30:$I$30,1,$B$5)=1,(1+M42)*D42,D42))</f>
        <v>304809</v>
      </c>
      <c r="P42" s="94">
        <f>IF(K42&lt;INDEX('Pace of change parameters'!$E$18:$I$18,1,$B$5),1,IF(K42&gt;INDEX('Pace of change parameters'!$E$19:$I$19,1,$B$5),0,(K42-INDEX('Pace of change parameters'!$E$19:$I$19,1,$B$5))/(INDEX('Pace of change parameters'!$E$18:$I$18,1,$B$5)-INDEX('Pace of change parameters'!$E$19:$I$19,1,$B$5))))</f>
        <v>0</v>
      </c>
      <c r="Q42" s="57">
        <v>1.7724450648991308E-2</v>
      </c>
      <c r="R42" s="57">
        <v>9.0547645222140982E-3</v>
      </c>
      <c r="S42" s="9">
        <f>MAX(IF(INDEX('Pace of change parameters'!$E$31:$I$31,1,$B$5)=1,D42*(1+Q42),D42),L42)</f>
        <v>304809</v>
      </c>
      <c r="T42" s="103">
        <f>IF(Q42&lt;INDEX('Pace of change parameters'!$E$24:$I$24,1,$B$5),INDEX('Pace of change parameters'!$E$24:$I$24,1,$B$5),Q42)</f>
        <v>3.0386941478720321E-2</v>
      </c>
      <c r="U42" s="132">
        <v>2.1609387430516103E-2</v>
      </c>
      <c r="V42" s="117">
        <f t="shared" si="10"/>
        <v>304809</v>
      </c>
      <c r="W42" s="131">
        <f>IF(J42&gt;INDEX('Pace of change parameters'!$E$26:$I$26,1,$B$5),0,IF(J42&lt;INDEX('Pace of change parameters'!$E$25:$I$25,1,$B$5),1,(J42-INDEX('Pace of change parameters'!$E$26:$I$26,1,$B$5))/(INDEX('Pace of change parameters'!$E$25:$I$25,1,$B$5)-INDEX('Pace of change parameters'!$E$26:$I$26,1,$B$5))))</f>
        <v>1</v>
      </c>
      <c r="X42" s="132">
        <f>MIN(T42, T42+(INDEX('Pace of change parameters'!$E$27:$I$27,1,$B$5)-T42)*(1-W42))</f>
        <v>3.0386941478720321E-2</v>
      </c>
      <c r="Y42" s="132">
        <v>2.1609387430516103E-2</v>
      </c>
      <c r="Z42" s="108">
        <f t="shared" si="11"/>
        <v>304809</v>
      </c>
      <c r="AA42" s="97">
        <v>-2.5000000000000001E-2</v>
      </c>
      <c r="AB42" s="99">
        <f t="shared" si="2"/>
        <v>287807.05139479419</v>
      </c>
      <c r="AC42" s="99">
        <f>MAX(IF(INDEX('Pace of change parameters'!$E$29:$I$29,1,$B$5)=1,MAX(AB42,Z42),Z42),L42)</f>
        <v>304809</v>
      </c>
      <c r="AD42" s="97">
        <f t="shared" si="12"/>
        <v>3.8924599285614869E-2</v>
      </c>
      <c r="AE42" s="146">
        <v>3.0074315518284322E-2</v>
      </c>
      <c r="AF42" s="56">
        <f t="shared" si="13"/>
        <v>304809</v>
      </c>
      <c r="AG42" s="56">
        <v>1759.0227669152946</v>
      </c>
      <c r="AH42" s="16">
        <f t="shared" si="4"/>
        <v>3.8924599285614869E-2</v>
      </c>
      <c r="AI42" s="16">
        <f t="shared" si="5"/>
        <v>3.00743155182841E-2</v>
      </c>
      <c r="AJ42" s="56"/>
      <c r="AK42" s="56">
        <v>295186.7193792761</v>
      </c>
      <c r="AL42" s="56">
        <v>1703.4935316187607</v>
      </c>
      <c r="AM42" s="16">
        <f t="shared" si="14"/>
        <v>3.2597268064626483E-2</v>
      </c>
      <c r="AN42" s="58">
        <f t="shared" si="15"/>
        <v>3.2597268064626483E-2</v>
      </c>
      <c r="AP42" s="56">
        <f t="shared" si="6"/>
        <v>1</v>
      </c>
      <c r="AQ42" s="56">
        <f t="shared" si="7"/>
        <v>0</v>
      </c>
    </row>
    <row r="43" spans="1:43" x14ac:dyDescent="0.2">
      <c r="A43" s="156" t="s">
        <v>131</v>
      </c>
      <c r="B43" s="156" t="s">
        <v>132</v>
      </c>
      <c r="D43" s="68">
        <v>298920.91409997211</v>
      </c>
      <c r="E43" s="73">
        <v>1930.5272838236629</v>
      </c>
      <c r="F43" s="55"/>
      <c r="G43" s="88">
        <v>280259.33242320613</v>
      </c>
      <c r="H43" s="81">
        <v>1809.776004168051</v>
      </c>
      <c r="I43" s="90"/>
      <c r="J43" s="103">
        <f t="shared" si="8"/>
        <v>6.6586834113292026E-2</v>
      </c>
      <c r="K43" s="126">
        <f t="shared" si="9"/>
        <v>6.6721671288332063E-2</v>
      </c>
      <c r="L43" s="56">
        <v>308470</v>
      </c>
      <c r="M43" s="103">
        <v>9.1823285325294268E-3</v>
      </c>
      <c r="N43" s="97">
        <f>INDEX('Pace of change parameters'!$E$22:$I$22,1,$B$5)</f>
        <v>9.0547645222140982E-3</v>
      </c>
      <c r="O43" s="108">
        <f>MAX(L43,IF(INDEX('Pace of change parameters'!$E$30:$I$30,1,$B$5)=1,(1+M43)*D43,D43))</f>
        <v>308470</v>
      </c>
      <c r="P43" s="94">
        <f>IF(K43&lt;INDEX('Pace of change parameters'!$E$18:$I$18,1,$B$5),1,IF(K43&gt;INDEX('Pace of change parameters'!$E$19:$I$19,1,$B$5),0,(K43-INDEX('Pace of change parameters'!$E$19:$I$19,1,$B$5))/(INDEX('Pace of change parameters'!$E$18:$I$18,1,$B$5)-INDEX('Pace of change parameters'!$E$19:$I$19,1,$B$5))))</f>
        <v>0</v>
      </c>
      <c r="Q43" s="57">
        <v>9.1823285325294268E-3</v>
      </c>
      <c r="R43" s="57">
        <v>9.0547645222140982E-3</v>
      </c>
      <c r="S43" s="9">
        <f>MAX(IF(INDEX('Pace of change parameters'!$E$31:$I$31,1,$B$5)=1,D43*(1+Q43),D43),L43)</f>
        <v>308470</v>
      </c>
      <c r="T43" s="103">
        <f>IF(Q43&lt;INDEX('Pace of change parameters'!$E$24:$I$24,1,$B$5),INDEX('Pace of change parameters'!$E$24:$I$24,1,$B$5),Q43)</f>
        <v>3.0386941478720321E-2</v>
      </c>
      <c r="U43" s="132">
        <v>3.0256697134645627E-2</v>
      </c>
      <c r="V43" s="117">
        <f t="shared" si="10"/>
        <v>308470</v>
      </c>
      <c r="W43" s="131">
        <f>IF(J43&gt;INDEX('Pace of change parameters'!$E$26:$I$26,1,$B$5),0,IF(J43&lt;INDEX('Pace of change parameters'!$E$25:$I$25,1,$B$5),1,(J43-INDEX('Pace of change parameters'!$E$26:$I$26,1,$B$5))/(INDEX('Pace of change parameters'!$E$25:$I$25,1,$B$5)-INDEX('Pace of change parameters'!$E$26:$I$26,1,$B$5))))</f>
        <v>0.66826331773415959</v>
      </c>
      <c r="X43" s="132">
        <f>MIN(T43, T43+(INDEX('Pace of change parameters'!$E$27:$I$27,1,$B$5)-T43)*(1-W43))</f>
        <v>2.4880112553107372E-2</v>
      </c>
      <c r="Y43" s="132">
        <v>2.4750564290565213E-2</v>
      </c>
      <c r="Z43" s="108">
        <f t="shared" si="11"/>
        <v>308470</v>
      </c>
      <c r="AA43" s="97">
        <v>-2.5000000000000001E-2</v>
      </c>
      <c r="AB43" s="99">
        <f t="shared" si="2"/>
        <v>285164.92240722699</v>
      </c>
      <c r="AC43" s="99">
        <f>MAX(IF(INDEX('Pace of change parameters'!$E$29:$I$29,1,$B$5)=1,MAX(AB43,Z43),Z43),L43)</f>
        <v>308470</v>
      </c>
      <c r="AD43" s="97">
        <f t="shared" si="12"/>
        <v>3.1945191686501673E-2</v>
      </c>
      <c r="AE43" s="146">
        <v>3.1814750374406398E-2</v>
      </c>
      <c r="AF43" s="56">
        <f t="shared" si="13"/>
        <v>308470</v>
      </c>
      <c r="AG43" s="56">
        <v>1991.9465274494935</v>
      </c>
      <c r="AH43" s="16">
        <f t="shared" si="4"/>
        <v>3.1945191686501673E-2</v>
      </c>
      <c r="AI43" s="16">
        <f t="shared" si="5"/>
        <v>3.1814750374406398E-2</v>
      </c>
      <c r="AJ43" s="56"/>
      <c r="AK43" s="56">
        <v>292476.84349459177</v>
      </c>
      <c r="AL43" s="56">
        <v>1888.6706414187474</v>
      </c>
      <c r="AM43" s="16">
        <f t="shared" si="14"/>
        <v>5.468178716071237E-2</v>
      </c>
      <c r="AN43" s="58">
        <f t="shared" si="15"/>
        <v>5.468178716071237E-2</v>
      </c>
      <c r="AP43" s="56">
        <f t="shared" si="6"/>
        <v>1</v>
      </c>
      <c r="AQ43" s="56">
        <f t="shared" si="7"/>
        <v>0</v>
      </c>
    </row>
    <row r="44" spans="1:43" x14ac:dyDescent="0.2">
      <c r="A44" s="156" t="s">
        <v>133</v>
      </c>
      <c r="B44" s="156" t="s">
        <v>134</v>
      </c>
      <c r="D44" s="68">
        <v>216854.73354729192</v>
      </c>
      <c r="E44" s="73">
        <v>1750.7062700097035</v>
      </c>
      <c r="F44" s="55"/>
      <c r="G44" s="88">
        <v>211393.35906317199</v>
      </c>
      <c r="H44" s="81">
        <v>1703.6971469583227</v>
      </c>
      <c r="I44" s="90"/>
      <c r="J44" s="103">
        <f t="shared" si="8"/>
        <v>2.5835127973381056E-2</v>
      </c>
      <c r="K44" s="126">
        <f t="shared" si="9"/>
        <v>2.7592417546339121E-2</v>
      </c>
      <c r="L44" s="56">
        <v>224703</v>
      </c>
      <c r="M44" s="103">
        <v>1.0783308776437073E-2</v>
      </c>
      <c r="N44" s="97">
        <f>INDEX('Pace of change parameters'!$E$22:$I$22,1,$B$5)</f>
        <v>9.0547645222140982E-3</v>
      </c>
      <c r="O44" s="108">
        <f>MAX(L44,IF(INDEX('Pace of change parameters'!$E$30:$I$30,1,$B$5)=1,(1+M44)*D44,D44))</f>
        <v>224703</v>
      </c>
      <c r="P44" s="94">
        <f>IF(K44&lt;INDEX('Pace of change parameters'!$E$18:$I$18,1,$B$5),1,IF(K44&gt;INDEX('Pace of change parameters'!$E$19:$I$19,1,$B$5),0,(K44-INDEX('Pace of change parameters'!$E$19:$I$19,1,$B$5))/(INDEX('Pace of change parameters'!$E$18:$I$18,1,$B$5)-INDEX('Pace of change parameters'!$E$19:$I$19,1,$B$5))))</f>
        <v>1.9122822988976936E-2</v>
      </c>
      <c r="Q44" s="57">
        <v>1.2092501471862693E-2</v>
      </c>
      <c r="R44" s="57">
        <v>1.0361718362395855E-2</v>
      </c>
      <c r="S44" s="9">
        <f>MAX(IF(INDEX('Pace of change parameters'!$E$31:$I$31,1,$B$5)=1,D44*(1+Q44),D44),L44)</f>
        <v>224703</v>
      </c>
      <c r="T44" s="103">
        <f>IF(Q44&lt;INDEX('Pace of change parameters'!$E$24:$I$24,1,$B$5),INDEX('Pace of change parameters'!$E$24:$I$24,1,$B$5),Q44)</f>
        <v>3.0386941478720321E-2</v>
      </c>
      <c r="U44" s="132">
        <v>2.8624872980106852E-2</v>
      </c>
      <c r="V44" s="117">
        <f t="shared" si="10"/>
        <v>224703</v>
      </c>
      <c r="W44" s="131">
        <f>IF(J44&gt;INDEX('Pace of change parameters'!$E$26:$I$26,1,$B$5),0,IF(J44&lt;INDEX('Pace of change parameters'!$E$25:$I$25,1,$B$5),1,(J44-INDEX('Pace of change parameters'!$E$26:$I$26,1,$B$5))/(INDEX('Pace of change parameters'!$E$25:$I$25,1,$B$5)-INDEX('Pace of change parameters'!$E$26:$I$26,1,$B$5))))</f>
        <v>1</v>
      </c>
      <c r="X44" s="132">
        <f>MIN(T44, T44+(INDEX('Pace of change parameters'!$E$27:$I$27,1,$B$5)-T44)*(1-W44))</f>
        <v>3.0386941478720321E-2</v>
      </c>
      <c r="Y44" s="132">
        <v>2.8624872980106852E-2</v>
      </c>
      <c r="Z44" s="108">
        <f t="shared" si="11"/>
        <v>224703</v>
      </c>
      <c r="AA44" s="97">
        <v>-2.5000000000000001E-2</v>
      </c>
      <c r="AB44" s="99">
        <f t="shared" si="2"/>
        <v>214924.89904006923</v>
      </c>
      <c r="AC44" s="99">
        <f>MAX(IF(INDEX('Pace of change parameters'!$E$29:$I$29,1,$B$5)=1,MAX(AB44,Z44),Z44),L44)</f>
        <v>224703</v>
      </c>
      <c r="AD44" s="97">
        <f t="shared" si="12"/>
        <v>3.6191354112159679E-2</v>
      </c>
      <c r="AE44" s="146">
        <v>3.4419359466151711E-2</v>
      </c>
      <c r="AF44" s="56">
        <f t="shared" si="13"/>
        <v>224703</v>
      </c>
      <c r="AG44" s="56">
        <v>1810.9644584368129</v>
      </c>
      <c r="AH44" s="16">
        <f t="shared" si="4"/>
        <v>3.6191354112159679E-2</v>
      </c>
      <c r="AI44" s="16">
        <f t="shared" si="5"/>
        <v>3.4419359466151489E-2</v>
      </c>
      <c r="AJ44" s="56"/>
      <c r="AK44" s="56">
        <v>220435.7938872505</v>
      </c>
      <c r="AL44" s="56">
        <v>1776.5734685211748</v>
      </c>
      <c r="AM44" s="16">
        <f t="shared" si="14"/>
        <v>1.9358045431279169E-2</v>
      </c>
      <c r="AN44" s="58">
        <f t="shared" si="15"/>
        <v>1.9358045431279169E-2</v>
      </c>
      <c r="AP44" s="56">
        <f t="shared" si="6"/>
        <v>1</v>
      </c>
      <c r="AQ44" s="56">
        <f t="shared" si="7"/>
        <v>0</v>
      </c>
    </row>
    <row r="45" spans="1:43" x14ac:dyDescent="0.2">
      <c r="A45" s="156" t="s">
        <v>135</v>
      </c>
      <c r="B45" s="156" t="s">
        <v>136</v>
      </c>
      <c r="D45" s="68">
        <v>350939.35586894001</v>
      </c>
      <c r="E45" s="73">
        <v>1796.10600324962</v>
      </c>
      <c r="F45" s="55"/>
      <c r="G45" s="88">
        <v>345592.7999664736</v>
      </c>
      <c r="H45" s="81">
        <v>1761.3841479425128</v>
      </c>
      <c r="I45" s="90"/>
      <c r="J45" s="103">
        <f t="shared" si="8"/>
        <v>1.5470680821432214E-2</v>
      </c>
      <c r="K45" s="126">
        <f t="shared" si="9"/>
        <v>1.9712823774226784E-2</v>
      </c>
      <c r="L45" s="56">
        <v>363817</v>
      </c>
      <c r="M45" s="103">
        <v>1.3270104895053869E-2</v>
      </c>
      <c r="N45" s="97">
        <f>INDEX('Pace of change parameters'!$E$22:$I$22,1,$B$5)</f>
        <v>9.0547645222140982E-3</v>
      </c>
      <c r="O45" s="108">
        <f>MAX(L45,IF(INDEX('Pace of change parameters'!$E$30:$I$30,1,$B$5)=1,(1+M45)*D45,D45))</f>
        <v>363817</v>
      </c>
      <c r="P45" s="94">
        <f>IF(K45&lt;INDEX('Pace of change parameters'!$E$18:$I$18,1,$B$5),1,IF(K45&gt;INDEX('Pace of change parameters'!$E$19:$I$19,1,$B$5),0,(K45-INDEX('Pace of change parameters'!$E$19:$I$19,1,$B$5))/(INDEX('Pace of change parameters'!$E$18:$I$18,1,$B$5)-INDEX('Pace of change parameters'!$E$19:$I$19,1,$B$5))))</f>
        <v>9.095793805974306E-2</v>
      </c>
      <c r="Q45" s="57">
        <v>1.9512616280082939E-2</v>
      </c>
      <c r="R45" s="57">
        <v>1.5271306217481184E-2</v>
      </c>
      <c r="S45" s="9">
        <f>MAX(IF(INDEX('Pace of change parameters'!$E$31:$I$31,1,$B$5)=1,D45*(1+Q45),D45),L45)</f>
        <v>363817</v>
      </c>
      <c r="T45" s="103">
        <f>IF(Q45&lt;INDEX('Pace of change parameters'!$E$24:$I$24,1,$B$5),INDEX('Pace of change parameters'!$E$24:$I$24,1,$B$5),Q45)</f>
        <v>3.0386941478720321E-2</v>
      </c>
      <c r="U45" s="132">
        <v>2.6100392755848523E-2</v>
      </c>
      <c r="V45" s="117">
        <f t="shared" si="10"/>
        <v>363817</v>
      </c>
      <c r="W45" s="131">
        <f>IF(J45&gt;INDEX('Pace of change parameters'!$E$26:$I$26,1,$B$5),0,IF(J45&lt;INDEX('Pace of change parameters'!$E$25:$I$25,1,$B$5),1,(J45-INDEX('Pace of change parameters'!$E$26:$I$26,1,$B$5))/(INDEX('Pace of change parameters'!$E$25:$I$25,1,$B$5)-INDEX('Pace of change parameters'!$E$26:$I$26,1,$B$5))))</f>
        <v>1</v>
      </c>
      <c r="X45" s="132">
        <f>MIN(T45, T45+(INDEX('Pace of change parameters'!$E$27:$I$27,1,$B$5)-T45)*(1-W45))</f>
        <v>3.0386941478720321E-2</v>
      </c>
      <c r="Y45" s="132">
        <v>2.6100392755848523E-2</v>
      </c>
      <c r="Z45" s="108">
        <f t="shared" si="11"/>
        <v>363817</v>
      </c>
      <c r="AA45" s="97">
        <v>-2.5000000000000001E-2</v>
      </c>
      <c r="AB45" s="99">
        <f t="shared" si="2"/>
        <v>351329.41627509892</v>
      </c>
      <c r="AC45" s="99">
        <f>MAX(IF(INDEX('Pace of change parameters'!$E$29:$I$29,1,$B$5)=1,MAX(AB45,Z45),Z45),L45)</f>
        <v>363817</v>
      </c>
      <c r="AD45" s="97">
        <f t="shared" si="12"/>
        <v>3.6694784770361366E-2</v>
      </c>
      <c r="AE45" s="146">
        <v>3.2381994568179806E-2</v>
      </c>
      <c r="AF45" s="56">
        <f t="shared" si="13"/>
        <v>363817</v>
      </c>
      <c r="AG45" s="56">
        <v>1854.2674980907243</v>
      </c>
      <c r="AH45" s="16">
        <f t="shared" si="4"/>
        <v>3.6694784770361366E-2</v>
      </c>
      <c r="AI45" s="16">
        <f t="shared" si="5"/>
        <v>3.2381994568179806E-2</v>
      </c>
      <c r="AJ45" s="56"/>
      <c r="AK45" s="56">
        <v>360337.8628462553</v>
      </c>
      <c r="AL45" s="56">
        <v>1836.5353664267598</v>
      </c>
      <c r="AM45" s="16">
        <f t="shared" si="14"/>
        <v>9.655208382109759E-3</v>
      </c>
      <c r="AN45" s="58">
        <f t="shared" si="15"/>
        <v>9.655208382109759E-3</v>
      </c>
      <c r="AP45" s="56">
        <f t="shared" si="6"/>
        <v>1</v>
      </c>
      <c r="AQ45" s="56">
        <f t="shared" si="7"/>
        <v>0</v>
      </c>
    </row>
    <row r="46" spans="1:43" x14ac:dyDescent="0.2">
      <c r="A46" s="156" t="s">
        <v>137</v>
      </c>
      <c r="B46" s="156" t="s">
        <v>138</v>
      </c>
      <c r="D46" s="68">
        <v>481392.04623781092</v>
      </c>
      <c r="E46" s="73">
        <v>1572.4623332466981</v>
      </c>
      <c r="F46" s="55"/>
      <c r="G46" s="88">
        <v>501044.3611811446</v>
      </c>
      <c r="H46" s="81">
        <v>1629.0640220876503</v>
      </c>
      <c r="I46" s="90"/>
      <c r="J46" s="103">
        <f t="shared" si="8"/>
        <v>-3.9222704546571507E-2</v>
      </c>
      <c r="K46" s="126">
        <f t="shared" si="9"/>
        <v>-3.4744913688792289E-2</v>
      </c>
      <c r="L46" s="56">
        <v>510228</v>
      </c>
      <c r="M46" s="103">
        <v>1.375755696012626E-2</v>
      </c>
      <c r="N46" s="97">
        <f>INDEX('Pace of change parameters'!$E$22:$I$22,1,$B$5)</f>
        <v>9.0547645222140982E-3</v>
      </c>
      <c r="O46" s="108">
        <f>MAX(L46,IF(INDEX('Pace of change parameters'!$E$30:$I$30,1,$B$5)=1,(1+M46)*D46,D46))</f>
        <v>510228</v>
      </c>
      <c r="P46" s="94">
        <f>IF(K46&lt;INDEX('Pace of change parameters'!$E$18:$I$18,1,$B$5),1,IF(K46&gt;INDEX('Pace of change parameters'!$E$19:$I$19,1,$B$5),0,(K46-INDEX('Pace of change parameters'!$E$19:$I$19,1,$B$5))/(INDEX('Pace of change parameters'!$E$18:$I$18,1,$B$5)-INDEX('Pace of change parameters'!$E$19:$I$19,1,$B$5))))</f>
        <v>0.58742741989964697</v>
      </c>
      <c r="Q46" s="57">
        <v>5.4092535114312001E-2</v>
      </c>
      <c r="R46" s="57">
        <v>4.92026298613637E-2</v>
      </c>
      <c r="S46" s="9">
        <f>MAX(IF(INDEX('Pace of change parameters'!$E$31:$I$31,1,$B$5)=1,D46*(1+Q46),D46),L46)</f>
        <v>510228</v>
      </c>
      <c r="T46" s="103">
        <f>IF(Q46&lt;INDEX('Pace of change parameters'!$E$24:$I$24,1,$B$5),INDEX('Pace of change parameters'!$E$24:$I$24,1,$B$5),Q46)</f>
        <v>5.4092535114312001E-2</v>
      </c>
      <c r="U46" s="132">
        <v>4.92026298613637E-2</v>
      </c>
      <c r="V46" s="117">
        <f t="shared" si="10"/>
        <v>510228</v>
      </c>
      <c r="W46" s="131">
        <f>IF(J46&gt;INDEX('Pace of change parameters'!$E$26:$I$26,1,$B$5),0,IF(J46&lt;INDEX('Pace of change parameters'!$E$25:$I$25,1,$B$5),1,(J46-INDEX('Pace of change parameters'!$E$26:$I$26,1,$B$5))/(INDEX('Pace of change parameters'!$E$25:$I$25,1,$B$5)-INDEX('Pace of change parameters'!$E$26:$I$26,1,$B$5))))</f>
        <v>1</v>
      </c>
      <c r="X46" s="132">
        <f>MIN(T46, T46+(INDEX('Pace of change parameters'!$E$27:$I$27,1,$B$5)-T46)*(1-W46))</f>
        <v>5.4092535114312001E-2</v>
      </c>
      <c r="Y46" s="132">
        <v>4.92026298613637E-2</v>
      </c>
      <c r="Z46" s="108">
        <f t="shared" si="11"/>
        <v>510228</v>
      </c>
      <c r="AA46" s="97">
        <v>-4.1803310264778348E-2</v>
      </c>
      <c r="AB46" s="99">
        <f t="shared" si="2"/>
        <v>500709.73292408895</v>
      </c>
      <c r="AC46" s="99">
        <f>MAX(IF(INDEX('Pace of change parameters'!$E$29:$I$29,1,$B$5)=1,MAX(AB46,Z46),Z46),L46)</f>
        <v>510228</v>
      </c>
      <c r="AD46" s="97">
        <f t="shared" si="12"/>
        <v>5.9901184466067958E-2</v>
      </c>
      <c r="AE46" s="146">
        <v>5.4984333054190149E-2</v>
      </c>
      <c r="AF46" s="56">
        <f t="shared" si="13"/>
        <v>510228</v>
      </c>
      <c r="AG46" s="56">
        <v>1658.9231258931038</v>
      </c>
      <c r="AH46" s="16">
        <f t="shared" si="4"/>
        <v>5.9901184466067958E-2</v>
      </c>
      <c r="AI46" s="16">
        <f t="shared" si="5"/>
        <v>5.4984333054190371E-2</v>
      </c>
      <c r="AJ46" s="56"/>
      <c r="AK46" s="56">
        <v>522554.22951048811</v>
      </c>
      <c r="AL46" s="56">
        <v>1698.9998507886694</v>
      </c>
      <c r="AM46" s="16">
        <f t="shared" si="14"/>
        <v>-2.3588421668761406E-2</v>
      </c>
      <c r="AN46" s="58">
        <f t="shared" si="15"/>
        <v>-2.3588421668761295E-2</v>
      </c>
      <c r="AP46" s="56">
        <f t="shared" si="6"/>
        <v>1</v>
      </c>
      <c r="AQ46" s="56">
        <f t="shared" si="7"/>
        <v>0</v>
      </c>
    </row>
    <row r="47" spans="1:43" x14ac:dyDescent="0.2">
      <c r="A47" s="156" t="s">
        <v>139</v>
      </c>
      <c r="B47" s="156" t="s">
        <v>140</v>
      </c>
      <c r="D47" s="68">
        <v>418452.50287041691</v>
      </c>
      <c r="E47" s="73">
        <v>1716.1790396115987</v>
      </c>
      <c r="F47" s="55"/>
      <c r="G47" s="88">
        <v>416052.34371267591</v>
      </c>
      <c r="H47" s="81">
        <v>1696.5574304511081</v>
      </c>
      <c r="I47" s="90"/>
      <c r="J47" s="103">
        <f t="shared" si="8"/>
        <v>5.7688874825772007E-3</v>
      </c>
      <c r="K47" s="126">
        <f t="shared" si="9"/>
        <v>1.1565543734805006E-2</v>
      </c>
      <c r="L47" s="56">
        <v>434102</v>
      </c>
      <c r="M47" s="103">
        <v>1.487035862380548E-2</v>
      </c>
      <c r="N47" s="97">
        <f>INDEX('Pace of change parameters'!$E$22:$I$22,1,$B$5)</f>
        <v>9.0547645222140982E-3</v>
      </c>
      <c r="O47" s="108">
        <f>MAX(L47,IF(INDEX('Pace of change parameters'!$E$30:$I$30,1,$B$5)=1,(1+M47)*D47,D47))</f>
        <v>434102</v>
      </c>
      <c r="P47" s="94">
        <f>IF(K47&lt;INDEX('Pace of change parameters'!$E$18:$I$18,1,$B$5),1,IF(K47&gt;INDEX('Pace of change parameters'!$E$19:$I$19,1,$B$5),0,(K47-INDEX('Pace of change parameters'!$E$19:$I$19,1,$B$5))/(INDEX('Pace of change parameters'!$E$18:$I$18,1,$B$5)-INDEX('Pace of change parameters'!$E$19:$I$19,1,$B$5))))</f>
        <v>0.16523344211135924</v>
      </c>
      <c r="Q47" s="57">
        <v>2.6228362828348617E-2</v>
      </c>
      <c r="R47" s="57">
        <v>2.034768303212009E-2</v>
      </c>
      <c r="S47" s="9">
        <f>MAX(IF(INDEX('Pace of change parameters'!$E$31:$I$31,1,$B$5)=1,D47*(1+Q47),D47),L47)</f>
        <v>434102</v>
      </c>
      <c r="T47" s="103">
        <f>IF(Q47&lt;INDEX('Pace of change parameters'!$E$24:$I$24,1,$B$5),INDEX('Pace of change parameters'!$E$24:$I$24,1,$B$5),Q47)</f>
        <v>3.0386941478720321E-2</v>
      </c>
      <c r="U47" s="132">
        <v>2.4482431441254837E-2</v>
      </c>
      <c r="V47" s="117">
        <f t="shared" si="10"/>
        <v>434102</v>
      </c>
      <c r="W47" s="131">
        <f>IF(J47&gt;INDEX('Pace of change parameters'!$E$26:$I$26,1,$B$5),0,IF(J47&lt;INDEX('Pace of change parameters'!$E$25:$I$25,1,$B$5),1,(J47-INDEX('Pace of change parameters'!$E$26:$I$26,1,$B$5))/(INDEX('Pace of change parameters'!$E$25:$I$25,1,$B$5)-INDEX('Pace of change parameters'!$E$26:$I$26,1,$B$5))))</f>
        <v>1</v>
      </c>
      <c r="X47" s="132">
        <f>MIN(T47, T47+(INDEX('Pace of change parameters'!$E$27:$I$27,1,$B$5)-T47)*(1-W47))</f>
        <v>3.0386941478720321E-2</v>
      </c>
      <c r="Y47" s="132">
        <v>2.4482431441254837E-2</v>
      </c>
      <c r="Z47" s="108">
        <f t="shared" si="11"/>
        <v>434102</v>
      </c>
      <c r="AA47" s="97">
        <v>-2.5000000000000001E-2</v>
      </c>
      <c r="AB47" s="99">
        <f t="shared" si="2"/>
        <v>423083.03133692226</v>
      </c>
      <c r="AC47" s="99">
        <f>MAX(IF(INDEX('Pace of change parameters'!$E$29:$I$29,1,$B$5)=1,MAX(AB47,Z47),Z47),L47)</f>
        <v>434102</v>
      </c>
      <c r="AD47" s="97">
        <f t="shared" si="12"/>
        <v>3.739850287006008E-2</v>
      </c>
      <c r="AE47" s="146">
        <v>3.1453813912475592E-2</v>
      </c>
      <c r="AF47" s="56">
        <f t="shared" si="13"/>
        <v>434102</v>
      </c>
      <c r="AG47" s="56">
        <v>1770.1594157640327</v>
      </c>
      <c r="AH47" s="16">
        <f t="shared" si="4"/>
        <v>3.739850287006008E-2</v>
      </c>
      <c r="AI47" s="16">
        <f t="shared" si="5"/>
        <v>3.145381391247537E-2</v>
      </c>
      <c r="AJ47" s="56"/>
      <c r="AK47" s="56">
        <v>433931.31419171515</v>
      </c>
      <c r="AL47" s="56">
        <v>1769.4634017150934</v>
      </c>
      <c r="AM47" s="16">
        <f t="shared" si="14"/>
        <v>3.9334752460251643E-4</v>
      </c>
      <c r="AN47" s="58">
        <f t="shared" si="15"/>
        <v>3.9334752460251643E-4</v>
      </c>
      <c r="AP47" s="56">
        <f t="shared" si="6"/>
        <v>1</v>
      </c>
      <c r="AQ47" s="56">
        <f t="shared" si="7"/>
        <v>0</v>
      </c>
    </row>
    <row r="48" spans="1:43" x14ac:dyDescent="0.2">
      <c r="A48" s="156" t="s">
        <v>141</v>
      </c>
      <c r="B48" s="156" t="s">
        <v>142</v>
      </c>
      <c r="D48" s="68">
        <v>375243.25246596034</v>
      </c>
      <c r="E48" s="73">
        <v>1570.5548729552506</v>
      </c>
      <c r="F48" s="55"/>
      <c r="G48" s="88">
        <v>367236.81892595993</v>
      </c>
      <c r="H48" s="81">
        <v>1526.2499852559615</v>
      </c>
      <c r="I48" s="90"/>
      <c r="J48" s="103">
        <f t="shared" si="8"/>
        <v>2.180182685226506E-2</v>
      </c>
      <c r="K48" s="126">
        <f t="shared" si="9"/>
        <v>2.9028591729590714E-2</v>
      </c>
      <c r="L48" s="56">
        <v>389660</v>
      </c>
      <c r="M48" s="103">
        <v>1.6191374909779732E-2</v>
      </c>
      <c r="N48" s="97">
        <f>INDEX('Pace of change parameters'!$E$22:$I$22,1,$B$5)</f>
        <v>9.0547645222140982E-3</v>
      </c>
      <c r="O48" s="108">
        <f>MAX(L48,IF(INDEX('Pace of change parameters'!$E$30:$I$30,1,$B$5)=1,(1+M48)*D48,D48))</f>
        <v>389660</v>
      </c>
      <c r="P48" s="94">
        <f>IF(K48&lt;INDEX('Pace of change parameters'!$E$18:$I$18,1,$B$5),1,IF(K48&gt;INDEX('Pace of change parameters'!$E$19:$I$19,1,$B$5),0,(K48-INDEX('Pace of change parameters'!$E$19:$I$19,1,$B$5))/(INDEX('Pace of change parameters'!$E$18:$I$18,1,$B$5)-INDEX('Pace of change parameters'!$E$19:$I$19,1,$B$5))))</f>
        <v>6.0297955183634556E-3</v>
      </c>
      <c r="Q48" s="57">
        <v>1.6606397365561909E-2</v>
      </c>
      <c r="R48" s="57">
        <v>9.4668723167994351E-3</v>
      </c>
      <c r="S48" s="9">
        <f>MAX(IF(INDEX('Pace of change parameters'!$E$31:$I$31,1,$B$5)=1,D48*(1+Q48),D48),L48)</f>
        <v>389660</v>
      </c>
      <c r="T48" s="103">
        <f>IF(Q48&lt;INDEX('Pace of change parameters'!$E$24:$I$24,1,$B$5),INDEX('Pace of change parameters'!$E$24:$I$24,1,$B$5),Q48)</f>
        <v>3.0386941478720321E-2</v>
      </c>
      <c r="U48" s="132">
        <v>2.3150637046967182E-2</v>
      </c>
      <c r="V48" s="117">
        <f t="shared" si="10"/>
        <v>389660</v>
      </c>
      <c r="W48" s="131">
        <f>IF(J48&gt;INDEX('Pace of change parameters'!$E$26:$I$26,1,$B$5),0,IF(J48&lt;INDEX('Pace of change parameters'!$E$25:$I$25,1,$B$5),1,(J48-INDEX('Pace of change parameters'!$E$26:$I$26,1,$B$5))/(INDEX('Pace of change parameters'!$E$25:$I$25,1,$B$5)-INDEX('Pace of change parameters'!$E$26:$I$26,1,$B$5))))</f>
        <v>1</v>
      </c>
      <c r="X48" s="132">
        <f>MIN(T48, T48+(INDEX('Pace of change parameters'!$E$27:$I$27,1,$B$5)-T48)*(1-W48))</f>
        <v>3.0386941478720321E-2</v>
      </c>
      <c r="Y48" s="132">
        <v>2.3150637046967182E-2</v>
      </c>
      <c r="Z48" s="108">
        <f t="shared" si="11"/>
        <v>389660</v>
      </c>
      <c r="AA48" s="97">
        <v>-2.5000000000000001E-2</v>
      </c>
      <c r="AB48" s="99">
        <f t="shared" si="2"/>
        <v>373645.34507903102</v>
      </c>
      <c r="AC48" s="99">
        <f>MAX(IF(INDEX('Pace of change parameters'!$E$29:$I$29,1,$B$5)=1,MAX(AB48,Z48),Z48),L48)</f>
        <v>389660</v>
      </c>
      <c r="AD48" s="97">
        <f t="shared" si="12"/>
        <v>3.8419738234593437E-2</v>
      </c>
      <c r="AE48" s="146">
        <v>3.1127020274656081E-2</v>
      </c>
      <c r="AF48" s="56">
        <f t="shared" si="13"/>
        <v>389660</v>
      </c>
      <c r="AG48" s="56">
        <v>1619.4415663281886</v>
      </c>
      <c r="AH48" s="16">
        <f t="shared" si="4"/>
        <v>3.8419738234593437E-2</v>
      </c>
      <c r="AI48" s="16">
        <f t="shared" si="5"/>
        <v>3.1127020274656081E-2</v>
      </c>
      <c r="AJ48" s="56"/>
      <c r="AK48" s="56">
        <v>383225.99495285231</v>
      </c>
      <c r="AL48" s="56">
        <v>1592.7016001748334</v>
      </c>
      <c r="AM48" s="16">
        <f t="shared" si="14"/>
        <v>1.6789062151014278E-2</v>
      </c>
      <c r="AN48" s="58">
        <f t="shared" si="15"/>
        <v>1.6789062151014278E-2</v>
      </c>
      <c r="AP48" s="56">
        <f t="shared" si="6"/>
        <v>1</v>
      </c>
      <c r="AQ48" s="56">
        <f t="shared" si="7"/>
        <v>0</v>
      </c>
    </row>
    <row r="49" spans="1:43" x14ac:dyDescent="0.2">
      <c r="A49" s="156" t="s">
        <v>143</v>
      </c>
      <c r="B49" s="156" t="s">
        <v>144</v>
      </c>
      <c r="D49" s="68">
        <v>158112.91080766998</v>
      </c>
      <c r="E49" s="73">
        <v>1524.1855364354706</v>
      </c>
      <c r="F49" s="55"/>
      <c r="G49" s="88">
        <v>160405.9542314008</v>
      </c>
      <c r="H49" s="81">
        <v>1543.5690309487095</v>
      </c>
      <c r="I49" s="90"/>
      <c r="J49" s="103">
        <f t="shared" si="8"/>
        <v>-1.4295251287386068E-2</v>
      </c>
      <c r="K49" s="126">
        <f t="shared" si="9"/>
        <v>-1.2557581892742031E-2</v>
      </c>
      <c r="L49" s="56">
        <v>163879</v>
      </c>
      <c r="M49" s="103">
        <v>1.0833596960751146E-2</v>
      </c>
      <c r="N49" s="97">
        <f>INDEX('Pace of change parameters'!$E$22:$I$22,1,$B$5)</f>
        <v>9.0547645222140982E-3</v>
      </c>
      <c r="O49" s="108">
        <f>MAX(L49,IF(INDEX('Pace of change parameters'!$E$30:$I$30,1,$B$5)=1,(1+M49)*D49,D49))</f>
        <v>163879</v>
      </c>
      <c r="P49" s="94">
        <f>IF(K49&lt;INDEX('Pace of change parameters'!$E$18:$I$18,1,$B$5),1,IF(K49&gt;INDEX('Pace of change parameters'!$E$19:$I$19,1,$B$5),0,(K49-INDEX('Pace of change parameters'!$E$19:$I$19,1,$B$5))/(INDEX('Pace of change parameters'!$E$18:$I$18,1,$B$5)-INDEX('Pace of change parameters'!$E$19:$I$19,1,$B$5))))</f>
        <v>0.38515436131590874</v>
      </c>
      <c r="Q49" s="57">
        <v>3.7203467329560036E-2</v>
      </c>
      <c r="R49" s="57">
        <v>3.5378230041646086E-2</v>
      </c>
      <c r="S49" s="9">
        <f>MAX(IF(INDEX('Pace of change parameters'!$E$31:$I$31,1,$B$5)=1,D49*(1+Q49),D49),L49)</f>
        <v>163995.25931928476</v>
      </c>
      <c r="T49" s="103">
        <f>IF(Q49&lt;INDEX('Pace of change parameters'!$E$24:$I$24,1,$B$5),INDEX('Pace of change parameters'!$E$24:$I$24,1,$B$5),Q49)</f>
        <v>3.7203467329560036E-2</v>
      </c>
      <c r="U49" s="132">
        <v>3.5378230041646086E-2</v>
      </c>
      <c r="V49" s="117">
        <f t="shared" si="10"/>
        <v>163995.25931928476</v>
      </c>
      <c r="W49" s="131">
        <f>IF(J49&gt;INDEX('Pace of change parameters'!$E$26:$I$26,1,$B$5),0,IF(J49&lt;INDEX('Pace of change parameters'!$E$25:$I$25,1,$B$5),1,(J49-INDEX('Pace of change parameters'!$E$26:$I$26,1,$B$5))/(INDEX('Pace of change parameters'!$E$25:$I$25,1,$B$5)-INDEX('Pace of change parameters'!$E$26:$I$26,1,$B$5))))</f>
        <v>1</v>
      </c>
      <c r="X49" s="132">
        <f>MIN(T49, T49+(INDEX('Pace of change parameters'!$E$27:$I$27,1,$B$5)-T49)*(1-W49))</f>
        <v>3.7203467329560036E-2</v>
      </c>
      <c r="Y49" s="132">
        <v>3.5378230041646086E-2</v>
      </c>
      <c r="Z49" s="108">
        <f t="shared" si="11"/>
        <v>163995.25931928476</v>
      </c>
      <c r="AA49" s="97">
        <v>-2.5000000000000001E-2</v>
      </c>
      <c r="AB49" s="99">
        <f t="shared" si="2"/>
        <v>163049.4849237006</v>
      </c>
      <c r="AC49" s="99">
        <f>MAX(IF(INDEX('Pace of change parameters'!$E$29:$I$29,1,$B$5)=1,MAX(AB49,Z49),Z49),L49)</f>
        <v>163995.25931928476</v>
      </c>
      <c r="AD49" s="97">
        <f t="shared" si="12"/>
        <v>3.7203467329560036E-2</v>
      </c>
      <c r="AE49" s="146">
        <v>3.5378230041646086E-2</v>
      </c>
      <c r="AF49" s="56">
        <f t="shared" si="13"/>
        <v>163995.25931928476</v>
      </c>
      <c r="AG49" s="56">
        <v>1578.1085229696346</v>
      </c>
      <c r="AH49" s="16">
        <f t="shared" si="4"/>
        <v>3.7203467329560036E-2</v>
      </c>
      <c r="AI49" s="16">
        <f t="shared" si="5"/>
        <v>3.5378230041646308E-2</v>
      </c>
      <c r="AJ49" s="56"/>
      <c r="AK49" s="56">
        <v>167230.24094738523</v>
      </c>
      <c r="AL49" s="56">
        <v>1609.2383989193791</v>
      </c>
      <c r="AM49" s="16">
        <f t="shared" si="14"/>
        <v>-1.9344477468750898E-2</v>
      </c>
      <c r="AN49" s="58">
        <f t="shared" si="15"/>
        <v>-1.9344477468750787E-2</v>
      </c>
      <c r="AP49" s="56">
        <f t="shared" si="6"/>
        <v>0</v>
      </c>
      <c r="AQ49" s="56">
        <f t="shared" si="7"/>
        <v>0</v>
      </c>
    </row>
    <row r="50" spans="1:43" x14ac:dyDescent="0.2">
      <c r="A50" s="156" t="s">
        <v>145</v>
      </c>
      <c r="B50" s="156" t="s">
        <v>146</v>
      </c>
      <c r="D50" s="68">
        <v>330913.92662516795</v>
      </c>
      <c r="E50" s="73">
        <v>1543.0028146150953</v>
      </c>
      <c r="F50" s="55"/>
      <c r="G50" s="88">
        <v>335860.18862053758</v>
      </c>
      <c r="H50" s="81">
        <v>1554.1847583074514</v>
      </c>
      <c r="I50" s="90"/>
      <c r="J50" s="103">
        <f t="shared" si="8"/>
        <v>-1.4727145886760717E-2</v>
      </c>
      <c r="K50" s="126">
        <f t="shared" si="9"/>
        <v>-7.1947325648293869E-3</v>
      </c>
      <c r="L50" s="56">
        <v>343300</v>
      </c>
      <c r="M50" s="103">
        <v>1.6768990605998901E-2</v>
      </c>
      <c r="N50" s="97">
        <f>INDEX('Pace of change parameters'!$E$22:$I$22,1,$B$5)</f>
        <v>9.0547645222140982E-3</v>
      </c>
      <c r="O50" s="108">
        <f>MAX(L50,IF(INDEX('Pace of change parameters'!$E$30:$I$30,1,$B$5)=1,(1+M50)*D50,D50))</f>
        <v>343300</v>
      </c>
      <c r="P50" s="94">
        <f>IF(K50&lt;INDEX('Pace of change parameters'!$E$18:$I$18,1,$B$5),1,IF(K50&gt;INDEX('Pace of change parameters'!$E$19:$I$19,1,$B$5),0,(K50-INDEX('Pace of change parameters'!$E$19:$I$19,1,$B$5))/(INDEX('Pace of change parameters'!$E$18:$I$18,1,$B$5)-INDEX('Pace of change parameters'!$E$19:$I$19,1,$B$5))))</f>
        <v>0.33626340199498028</v>
      </c>
      <c r="Q50" s="57">
        <v>3.9926689453415154E-2</v>
      </c>
      <c r="R50" s="57">
        <v>3.20367659141223E-2</v>
      </c>
      <c r="S50" s="9">
        <f>MAX(IF(INDEX('Pace of change parameters'!$E$31:$I$31,1,$B$5)=1,D50*(1+Q50),D50),L50)</f>
        <v>344126.22420934122</v>
      </c>
      <c r="T50" s="103">
        <f>IF(Q50&lt;INDEX('Pace of change parameters'!$E$24:$I$24,1,$B$5),INDEX('Pace of change parameters'!$E$24:$I$24,1,$B$5),Q50)</f>
        <v>3.9926689453415154E-2</v>
      </c>
      <c r="U50" s="132">
        <v>3.20367659141223E-2</v>
      </c>
      <c r="V50" s="117">
        <f t="shared" si="10"/>
        <v>344126.22420934122</v>
      </c>
      <c r="W50" s="131">
        <f>IF(J50&gt;INDEX('Pace of change parameters'!$E$26:$I$26,1,$B$5),0,IF(J50&lt;INDEX('Pace of change parameters'!$E$25:$I$25,1,$B$5),1,(J50-INDEX('Pace of change parameters'!$E$26:$I$26,1,$B$5))/(INDEX('Pace of change parameters'!$E$25:$I$25,1,$B$5)-INDEX('Pace of change parameters'!$E$26:$I$26,1,$B$5))))</f>
        <v>1</v>
      </c>
      <c r="X50" s="132">
        <f>MIN(T50, T50+(INDEX('Pace of change parameters'!$E$27:$I$27,1,$B$5)-T50)*(1-W50))</f>
        <v>3.9926689453415154E-2</v>
      </c>
      <c r="Y50" s="132">
        <v>3.20367659141223E-2</v>
      </c>
      <c r="Z50" s="108">
        <f t="shared" si="11"/>
        <v>344126.22420934122</v>
      </c>
      <c r="AA50" s="97">
        <v>-2.5000000000000001E-2</v>
      </c>
      <c r="AB50" s="99">
        <f t="shared" si="2"/>
        <v>341580.88809803606</v>
      </c>
      <c r="AC50" s="99">
        <f>MAX(IF(INDEX('Pace of change parameters'!$E$29:$I$29,1,$B$5)=1,MAX(AB50,Z50),Z50),L50)</f>
        <v>344126.22420934122</v>
      </c>
      <c r="AD50" s="97">
        <f t="shared" si="12"/>
        <v>3.9926689453415154E-2</v>
      </c>
      <c r="AE50" s="146">
        <v>3.20367659141223E-2</v>
      </c>
      <c r="AF50" s="56">
        <f t="shared" si="13"/>
        <v>344126.22420934122</v>
      </c>
      <c r="AG50" s="56">
        <v>1592.4356345917506</v>
      </c>
      <c r="AH50" s="16">
        <f t="shared" si="4"/>
        <v>3.9926689453415154E-2</v>
      </c>
      <c r="AI50" s="16">
        <f t="shared" si="5"/>
        <v>3.2036765914122078E-2</v>
      </c>
      <c r="AJ50" s="56"/>
      <c r="AK50" s="56">
        <v>350339.37240824214</v>
      </c>
      <c r="AL50" s="56">
        <v>1621.186824994812</v>
      </c>
      <c r="AM50" s="16">
        <f t="shared" si="14"/>
        <v>-1.7734655845820457E-2</v>
      </c>
      <c r="AN50" s="58">
        <f t="shared" si="15"/>
        <v>-1.7734655845820457E-2</v>
      </c>
      <c r="AP50" s="56">
        <f t="shared" si="6"/>
        <v>0</v>
      </c>
      <c r="AQ50" s="56">
        <f t="shared" si="7"/>
        <v>0</v>
      </c>
    </row>
    <row r="51" spans="1:43" x14ac:dyDescent="0.2">
      <c r="A51" s="156" t="s">
        <v>147</v>
      </c>
      <c r="B51" s="156" t="s">
        <v>148</v>
      </c>
      <c r="D51" s="68">
        <v>407374.38158920914</v>
      </c>
      <c r="E51" s="73">
        <v>1570.7514231317107</v>
      </c>
      <c r="F51" s="55"/>
      <c r="G51" s="88">
        <v>408512.78255342034</v>
      </c>
      <c r="H51" s="81">
        <v>1570.5980891348313</v>
      </c>
      <c r="I51" s="90"/>
      <c r="J51" s="103">
        <f t="shared" si="8"/>
        <v>-2.7866960663889273E-3</v>
      </c>
      <c r="K51" s="126">
        <f t="shared" si="9"/>
        <v>9.7627775011321916E-5</v>
      </c>
      <c r="L51" s="56">
        <v>422294</v>
      </c>
      <c r="M51" s="103">
        <v>1.1973338415190993E-2</v>
      </c>
      <c r="N51" s="97">
        <f>INDEX('Pace of change parameters'!$E$22:$I$22,1,$B$5)</f>
        <v>9.0547645222140982E-3</v>
      </c>
      <c r="O51" s="108">
        <f>MAX(L51,IF(INDEX('Pace of change parameters'!$E$30:$I$30,1,$B$5)=1,(1+M51)*D51,D51))</f>
        <v>422294</v>
      </c>
      <c r="P51" s="94">
        <f>IF(K51&lt;INDEX('Pace of change parameters'!$E$18:$I$18,1,$B$5),1,IF(K51&gt;INDEX('Pace of change parameters'!$E$19:$I$19,1,$B$5),0,(K51-INDEX('Pace of change parameters'!$E$19:$I$19,1,$B$5))/(INDEX('Pace of change parameters'!$E$18:$I$18,1,$B$5)-INDEX('Pace of change parameters'!$E$19:$I$19,1,$B$5))))</f>
        <v>0.26978186001448334</v>
      </c>
      <c r="Q51" s="57">
        <v>3.046497382383806E-2</v>
      </c>
      <c r="R51" s="57">
        <v>2.7493069272539028E-2</v>
      </c>
      <c r="S51" s="9">
        <f>MAX(IF(INDEX('Pace of change parameters'!$E$31:$I$31,1,$B$5)=1,D51*(1+Q51),D51),L51)</f>
        <v>422294</v>
      </c>
      <c r="T51" s="103">
        <f>IF(Q51&lt;INDEX('Pace of change parameters'!$E$24:$I$24,1,$B$5),INDEX('Pace of change parameters'!$E$24:$I$24,1,$B$5),Q51)</f>
        <v>3.046497382383806E-2</v>
      </c>
      <c r="U51" s="132">
        <v>2.7493069272539028E-2</v>
      </c>
      <c r="V51" s="117">
        <f t="shared" si="10"/>
        <v>422294</v>
      </c>
      <c r="W51" s="131">
        <f>IF(J51&gt;INDEX('Pace of change parameters'!$E$26:$I$26,1,$B$5),0,IF(J51&lt;INDEX('Pace of change parameters'!$E$25:$I$25,1,$B$5),1,(J51-INDEX('Pace of change parameters'!$E$26:$I$26,1,$B$5))/(INDEX('Pace of change parameters'!$E$25:$I$25,1,$B$5)-INDEX('Pace of change parameters'!$E$26:$I$26,1,$B$5))))</f>
        <v>1</v>
      </c>
      <c r="X51" s="132">
        <f>MIN(T51, T51+(INDEX('Pace of change parameters'!$E$27:$I$27,1,$B$5)-T51)*(1-W51))</f>
        <v>3.046497382383806E-2</v>
      </c>
      <c r="Y51" s="132">
        <v>2.7493069272539028E-2</v>
      </c>
      <c r="Z51" s="108">
        <f t="shared" si="11"/>
        <v>422294</v>
      </c>
      <c r="AA51" s="97">
        <v>-2.5000000000000001E-2</v>
      </c>
      <c r="AB51" s="99">
        <f t="shared" si="2"/>
        <v>415268.42083317647</v>
      </c>
      <c r="AC51" s="99">
        <f>MAX(IF(INDEX('Pace of change parameters'!$E$29:$I$29,1,$B$5)=1,MAX(AB51,Z51),Z51),L51)</f>
        <v>422294</v>
      </c>
      <c r="AD51" s="97">
        <f t="shared" si="12"/>
        <v>3.6623850406566794E-2</v>
      </c>
      <c r="AE51" s="146">
        <v>3.3634183394813499E-2</v>
      </c>
      <c r="AF51" s="56">
        <f t="shared" si="13"/>
        <v>422294</v>
      </c>
      <c r="AG51" s="56">
        <v>1623.5823645649866</v>
      </c>
      <c r="AH51" s="16">
        <f t="shared" si="4"/>
        <v>3.6623850406566794E-2</v>
      </c>
      <c r="AI51" s="16">
        <f t="shared" si="5"/>
        <v>3.3634183394813277E-2</v>
      </c>
      <c r="AJ51" s="56"/>
      <c r="AK51" s="56">
        <v>425916.32905966818</v>
      </c>
      <c r="AL51" s="56">
        <v>1637.5090355097041</v>
      </c>
      <c r="AM51" s="16">
        <f t="shared" si="14"/>
        <v>-8.5047902898334193E-3</v>
      </c>
      <c r="AN51" s="58">
        <f t="shared" si="15"/>
        <v>-8.5047902898334193E-3</v>
      </c>
      <c r="AP51" s="56">
        <f t="shared" si="6"/>
        <v>1</v>
      </c>
      <c r="AQ51" s="56">
        <f t="shared" si="7"/>
        <v>0</v>
      </c>
    </row>
    <row r="52" spans="1:43" x14ac:dyDescent="0.2">
      <c r="A52" s="156" t="s">
        <v>149</v>
      </c>
      <c r="B52" s="156" t="s">
        <v>150</v>
      </c>
      <c r="D52" s="68">
        <v>178915.35018779043</v>
      </c>
      <c r="E52" s="73">
        <v>1598.9146382222241</v>
      </c>
      <c r="F52" s="55"/>
      <c r="G52" s="88">
        <v>176994.16027402124</v>
      </c>
      <c r="H52" s="81">
        <v>1580.4980414212091</v>
      </c>
      <c r="I52" s="90"/>
      <c r="J52" s="103">
        <f t="shared" si="8"/>
        <v>1.085453842541928E-2</v>
      </c>
      <c r="K52" s="126">
        <f t="shared" si="9"/>
        <v>1.1652400900449278E-2</v>
      </c>
      <c r="L52" s="56">
        <v>185383</v>
      </c>
      <c r="M52" s="103">
        <v>9.851206444626337E-3</v>
      </c>
      <c r="N52" s="97">
        <f>INDEX('Pace of change parameters'!$E$22:$I$22,1,$B$5)</f>
        <v>9.0547645222140982E-3</v>
      </c>
      <c r="O52" s="108">
        <f>MAX(L52,IF(INDEX('Pace of change parameters'!$E$30:$I$30,1,$B$5)=1,(1+M52)*D52,D52))</f>
        <v>185383</v>
      </c>
      <c r="P52" s="94">
        <f>IF(K52&lt;INDEX('Pace of change parameters'!$E$18:$I$18,1,$B$5),1,IF(K52&gt;INDEX('Pace of change parameters'!$E$19:$I$19,1,$B$5),0,(K52-INDEX('Pace of change parameters'!$E$19:$I$19,1,$B$5))/(INDEX('Pace of change parameters'!$E$18:$I$18,1,$B$5)-INDEX('Pace of change parameters'!$E$19:$I$19,1,$B$5))))</f>
        <v>0.16444159995943769</v>
      </c>
      <c r="Q52" s="57">
        <v>2.1098877045210962E-2</v>
      </c>
      <c r="R52" s="57">
        <v>2.0293564393785823E-2</v>
      </c>
      <c r="S52" s="9">
        <f>MAX(IF(INDEX('Pace of change parameters'!$E$31:$I$31,1,$B$5)=1,D52*(1+Q52),D52),L52)</f>
        <v>185383</v>
      </c>
      <c r="T52" s="103">
        <f>IF(Q52&lt;INDEX('Pace of change parameters'!$E$24:$I$24,1,$B$5),INDEX('Pace of change parameters'!$E$24:$I$24,1,$B$5),Q52)</f>
        <v>3.0386941478720321E-2</v>
      </c>
      <c r="U52" s="132">
        <v>2.9574303585867989E-2</v>
      </c>
      <c r="V52" s="117">
        <f t="shared" si="10"/>
        <v>185383</v>
      </c>
      <c r="W52" s="131">
        <f>IF(J52&gt;INDEX('Pace of change parameters'!$E$26:$I$26,1,$B$5),0,IF(J52&lt;INDEX('Pace of change parameters'!$E$25:$I$25,1,$B$5),1,(J52-INDEX('Pace of change parameters'!$E$26:$I$26,1,$B$5))/(INDEX('Pace of change parameters'!$E$25:$I$25,1,$B$5)-INDEX('Pace of change parameters'!$E$26:$I$26,1,$B$5))))</f>
        <v>1</v>
      </c>
      <c r="X52" s="132">
        <f>MIN(T52, T52+(INDEX('Pace of change parameters'!$E$27:$I$27,1,$B$5)-T52)*(1-W52))</f>
        <v>3.0386941478720321E-2</v>
      </c>
      <c r="Y52" s="132">
        <v>2.9574303585867989E-2</v>
      </c>
      <c r="Z52" s="108">
        <f t="shared" si="11"/>
        <v>185383</v>
      </c>
      <c r="AA52" s="97">
        <v>-2.5000000000000001E-2</v>
      </c>
      <c r="AB52" s="99">
        <f t="shared" si="2"/>
        <v>179981.55774939479</v>
      </c>
      <c r="AC52" s="99">
        <f>MAX(IF(INDEX('Pace of change parameters'!$E$29:$I$29,1,$B$5)=1,MAX(AB52,Z52),Z52),L52)</f>
        <v>185383</v>
      </c>
      <c r="AD52" s="97">
        <f t="shared" si="12"/>
        <v>3.6149216964453279E-2</v>
      </c>
      <c r="AE52" s="146">
        <v>3.5332034523120726E-2</v>
      </c>
      <c r="AF52" s="56">
        <f t="shared" si="13"/>
        <v>185383</v>
      </c>
      <c r="AG52" s="56">
        <v>1655.4075454194149</v>
      </c>
      <c r="AH52" s="16">
        <f t="shared" si="4"/>
        <v>3.6149216964453279E-2</v>
      </c>
      <c r="AI52" s="16">
        <f t="shared" si="5"/>
        <v>3.5332034523120726E-2</v>
      </c>
      <c r="AJ52" s="56"/>
      <c r="AK52" s="56">
        <v>184596.46948655875</v>
      </c>
      <c r="AL52" s="56">
        <v>1648.3840937185944</v>
      </c>
      <c r="AM52" s="16">
        <f t="shared" si="14"/>
        <v>4.2608101640779772E-3</v>
      </c>
      <c r="AN52" s="58">
        <f t="shared" si="15"/>
        <v>4.2608101640779772E-3</v>
      </c>
      <c r="AP52" s="56">
        <f t="shared" si="6"/>
        <v>1</v>
      </c>
      <c r="AQ52" s="56">
        <f t="shared" si="7"/>
        <v>0</v>
      </c>
    </row>
    <row r="53" spans="1:43" x14ac:dyDescent="0.2">
      <c r="A53" s="156" t="s">
        <v>151</v>
      </c>
      <c r="B53" s="156" t="s">
        <v>152</v>
      </c>
      <c r="D53" s="68">
        <v>554402.31158380269</v>
      </c>
      <c r="E53" s="73">
        <v>1713.7099674934398</v>
      </c>
      <c r="F53" s="55"/>
      <c r="G53" s="88">
        <v>548489.11784605193</v>
      </c>
      <c r="H53" s="81">
        <v>1686.0907809535975</v>
      </c>
      <c r="I53" s="90"/>
      <c r="J53" s="103">
        <f t="shared" si="8"/>
        <v>1.0780877040864834E-2</v>
      </c>
      <c r="K53" s="126">
        <f t="shared" si="9"/>
        <v>1.6380604681452526E-2</v>
      </c>
      <c r="L53" s="56">
        <v>574883</v>
      </c>
      <c r="M53" s="103">
        <v>1.4644929496747228E-2</v>
      </c>
      <c r="N53" s="97">
        <f>INDEX('Pace of change parameters'!$E$22:$I$22,1,$B$5)</f>
        <v>9.0547645222140982E-3</v>
      </c>
      <c r="O53" s="108">
        <f>MAX(L53,IF(INDEX('Pace of change parameters'!$E$30:$I$30,1,$B$5)=1,(1+M53)*D53,D53))</f>
        <v>574883</v>
      </c>
      <c r="P53" s="94">
        <f>IF(K53&lt;INDEX('Pace of change parameters'!$E$18:$I$18,1,$B$5),1,IF(K53&gt;INDEX('Pace of change parameters'!$E$19:$I$19,1,$B$5),0,(K53-INDEX('Pace of change parameters'!$E$19:$I$19,1,$B$5))/(INDEX('Pace of change parameters'!$E$18:$I$18,1,$B$5)-INDEX('Pace of change parameters'!$E$19:$I$19,1,$B$5))))</f>
        <v>0.12133645107619176</v>
      </c>
      <c r="Q53" s="57">
        <v>2.298363976706308E-2</v>
      </c>
      <c r="R53" s="57">
        <v>1.7347532843055236E-2</v>
      </c>
      <c r="S53" s="9">
        <f>MAX(IF(INDEX('Pace of change parameters'!$E$31:$I$31,1,$B$5)=1,D53*(1+Q53),D53),L53)</f>
        <v>574883</v>
      </c>
      <c r="T53" s="103">
        <f>IF(Q53&lt;INDEX('Pace of change parameters'!$E$24:$I$24,1,$B$5),INDEX('Pace of change parameters'!$E$24:$I$24,1,$B$5),Q53)</f>
        <v>3.0386941478720321E-2</v>
      </c>
      <c r="U53" s="132">
        <v>2.4710046219087456E-2</v>
      </c>
      <c r="V53" s="117">
        <f t="shared" si="10"/>
        <v>574883</v>
      </c>
      <c r="W53" s="131">
        <f>IF(J53&gt;INDEX('Pace of change parameters'!$E$26:$I$26,1,$B$5),0,IF(J53&lt;INDEX('Pace of change parameters'!$E$25:$I$25,1,$B$5),1,(J53-INDEX('Pace of change parameters'!$E$26:$I$26,1,$B$5))/(INDEX('Pace of change parameters'!$E$25:$I$25,1,$B$5)-INDEX('Pace of change parameters'!$E$26:$I$26,1,$B$5))))</f>
        <v>1</v>
      </c>
      <c r="X53" s="132">
        <f>MIN(T53, T53+(INDEX('Pace of change parameters'!$E$27:$I$27,1,$B$5)-T53)*(1-W53))</f>
        <v>3.0386941478720321E-2</v>
      </c>
      <c r="Y53" s="132">
        <v>2.4710046219087456E-2</v>
      </c>
      <c r="Z53" s="108">
        <f t="shared" si="11"/>
        <v>574883</v>
      </c>
      <c r="AA53" s="97">
        <v>-2.5000000000000001E-2</v>
      </c>
      <c r="AB53" s="99">
        <f t="shared" si="2"/>
        <v>557861.39314297854</v>
      </c>
      <c r="AC53" s="99">
        <f>MAX(IF(INDEX('Pace of change parameters'!$E$29:$I$29,1,$B$5)=1,MAX(AB53,Z53),Z53),L53)</f>
        <v>574883</v>
      </c>
      <c r="AD53" s="97">
        <f t="shared" si="12"/>
        <v>3.6941924642573287E-2</v>
      </c>
      <c r="AE53" s="146">
        <v>3.1228914840575994E-2</v>
      </c>
      <c r="AF53" s="56">
        <f t="shared" si="13"/>
        <v>574883</v>
      </c>
      <c r="AG53" s="56">
        <v>1767.2272701297388</v>
      </c>
      <c r="AH53" s="16">
        <f t="shared" si="4"/>
        <v>3.6941924642573287E-2</v>
      </c>
      <c r="AI53" s="16">
        <f t="shared" si="5"/>
        <v>3.1228914840575994E-2</v>
      </c>
      <c r="AJ53" s="56"/>
      <c r="AK53" s="56">
        <v>572165.53142869601</v>
      </c>
      <c r="AL53" s="56">
        <v>1758.8735971824974</v>
      </c>
      <c r="AM53" s="16">
        <f t="shared" si="14"/>
        <v>4.749444735894004E-3</v>
      </c>
      <c r="AN53" s="58">
        <f t="shared" si="15"/>
        <v>4.749444735894004E-3</v>
      </c>
      <c r="AP53" s="56">
        <f t="shared" si="6"/>
        <v>1</v>
      </c>
      <c r="AQ53" s="56">
        <f t="shared" si="7"/>
        <v>0</v>
      </c>
    </row>
    <row r="54" spans="1:43" x14ac:dyDescent="0.2">
      <c r="A54" s="156" t="s">
        <v>153</v>
      </c>
      <c r="B54" s="156" t="s">
        <v>154</v>
      </c>
      <c r="D54" s="68">
        <v>597035.98044892156</v>
      </c>
      <c r="E54" s="73">
        <v>1784.9196250068658</v>
      </c>
      <c r="F54" s="55"/>
      <c r="G54" s="88">
        <v>598835.38861016207</v>
      </c>
      <c r="H54" s="81">
        <v>1787.1374470508924</v>
      </c>
      <c r="I54" s="90"/>
      <c r="J54" s="103">
        <f t="shared" si="8"/>
        <v>-3.0048460653214759E-3</v>
      </c>
      <c r="K54" s="126">
        <f t="shared" si="9"/>
        <v>-1.2409913113770044E-3</v>
      </c>
      <c r="L54" s="56">
        <v>618707</v>
      </c>
      <c r="M54" s="103">
        <v>1.0839954787551509E-2</v>
      </c>
      <c r="N54" s="97">
        <f>INDEX('Pace of change parameters'!$E$22:$I$22,1,$B$5)</f>
        <v>9.0547645222140982E-3</v>
      </c>
      <c r="O54" s="108">
        <f>MAX(L54,IF(INDEX('Pace of change parameters'!$E$30:$I$30,1,$B$5)=1,(1+M54)*D54,D54))</f>
        <v>618707</v>
      </c>
      <c r="P54" s="94">
        <f>IF(K54&lt;INDEX('Pace of change parameters'!$E$18:$I$18,1,$B$5),1,IF(K54&gt;INDEX('Pace of change parameters'!$E$19:$I$19,1,$B$5),0,(K54-INDEX('Pace of change parameters'!$E$19:$I$19,1,$B$5))/(INDEX('Pace of change parameters'!$E$18:$I$18,1,$B$5)-INDEX('Pace of change parameters'!$E$19:$I$19,1,$B$5))))</f>
        <v>0.28198551655918502</v>
      </c>
      <c r="Q54" s="57">
        <v>3.0146417426997418E-2</v>
      </c>
      <c r="R54" s="57">
        <v>2.8327131052776622E-2</v>
      </c>
      <c r="S54" s="9">
        <f>MAX(IF(INDEX('Pace of change parameters'!$E$31:$I$31,1,$B$5)=1,D54*(1+Q54),D54),L54)</f>
        <v>618707</v>
      </c>
      <c r="T54" s="103">
        <f>IF(Q54&lt;INDEX('Pace of change parameters'!$E$24:$I$24,1,$B$5),INDEX('Pace of change parameters'!$E$24:$I$24,1,$B$5),Q54)</f>
        <v>3.0386941478720321E-2</v>
      </c>
      <c r="U54" s="132">
        <v>2.8567230327863458E-2</v>
      </c>
      <c r="V54" s="117">
        <f t="shared" si="10"/>
        <v>618707</v>
      </c>
      <c r="W54" s="131">
        <f>IF(J54&gt;INDEX('Pace of change parameters'!$E$26:$I$26,1,$B$5),0,IF(J54&lt;INDEX('Pace of change parameters'!$E$25:$I$25,1,$B$5),1,(J54-INDEX('Pace of change parameters'!$E$26:$I$26,1,$B$5))/(INDEX('Pace of change parameters'!$E$25:$I$25,1,$B$5)-INDEX('Pace of change parameters'!$E$26:$I$26,1,$B$5))))</f>
        <v>1</v>
      </c>
      <c r="X54" s="132">
        <f>MIN(T54, T54+(INDEX('Pace of change parameters'!$E$27:$I$27,1,$B$5)-T54)*(1-W54))</f>
        <v>3.0386941478720321E-2</v>
      </c>
      <c r="Y54" s="132">
        <v>2.8567230327863458E-2</v>
      </c>
      <c r="Z54" s="108">
        <f t="shared" si="11"/>
        <v>618707</v>
      </c>
      <c r="AA54" s="97">
        <v>-2.5000000000000001E-2</v>
      </c>
      <c r="AB54" s="99">
        <f t="shared" si="2"/>
        <v>608665.94960288703</v>
      </c>
      <c r="AC54" s="99">
        <f>MAX(IF(INDEX('Pace of change parameters'!$E$29:$I$29,1,$B$5)=1,MAX(AB54,Z54),Z54),L54)</f>
        <v>618707</v>
      </c>
      <c r="AD54" s="97">
        <f t="shared" si="12"/>
        <v>3.6297677628714498E-2</v>
      </c>
      <c r="AE54" s="146">
        <v>3.4467527843545565E-2</v>
      </c>
      <c r="AF54" s="56">
        <f t="shared" si="13"/>
        <v>618707</v>
      </c>
      <c r="AG54" s="56">
        <v>1846.4413918802809</v>
      </c>
      <c r="AH54" s="16">
        <f t="shared" si="4"/>
        <v>3.6297677628714498E-2</v>
      </c>
      <c r="AI54" s="16">
        <f t="shared" si="5"/>
        <v>3.4467527843545565E-2</v>
      </c>
      <c r="AJ54" s="56"/>
      <c r="AK54" s="56">
        <v>624272.76882347395</v>
      </c>
      <c r="AL54" s="56">
        <v>1863.0516224632534</v>
      </c>
      <c r="AM54" s="16">
        <f t="shared" si="14"/>
        <v>-8.9156040459099639E-3</v>
      </c>
      <c r="AN54" s="58">
        <f t="shared" si="15"/>
        <v>-8.9156040459099639E-3</v>
      </c>
      <c r="AP54" s="56">
        <f t="shared" si="6"/>
        <v>1</v>
      </c>
      <c r="AQ54" s="56">
        <f t="shared" si="7"/>
        <v>0</v>
      </c>
    </row>
    <row r="55" spans="1:43" x14ac:dyDescent="0.2">
      <c r="A55" s="156" t="s">
        <v>155</v>
      </c>
      <c r="B55" s="156" t="s">
        <v>156</v>
      </c>
      <c r="D55" s="68">
        <v>240768.08239508767</v>
      </c>
      <c r="E55" s="73">
        <v>1522.7884535771782</v>
      </c>
      <c r="F55" s="55"/>
      <c r="G55" s="88">
        <v>246813.98134914442</v>
      </c>
      <c r="H55" s="81">
        <v>1551.8825215368913</v>
      </c>
      <c r="I55" s="90"/>
      <c r="J55" s="103">
        <f t="shared" si="8"/>
        <v>-2.449577175899198E-2</v>
      </c>
      <c r="K55" s="126">
        <f t="shared" si="9"/>
        <v>-1.8747596906304564E-2</v>
      </c>
      <c r="L55" s="56">
        <v>250539</v>
      </c>
      <c r="M55" s="103">
        <v>1.5000636466685258E-2</v>
      </c>
      <c r="N55" s="97">
        <f>INDEX('Pace of change parameters'!$E$22:$I$22,1,$B$5)</f>
        <v>9.0547645222140982E-3</v>
      </c>
      <c r="O55" s="108">
        <f>MAX(L55,IF(INDEX('Pace of change parameters'!$E$30:$I$30,1,$B$5)=1,(1+M55)*D55,D55))</f>
        <v>250539</v>
      </c>
      <c r="P55" s="94">
        <f>IF(K55&lt;INDEX('Pace of change parameters'!$E$18:$I$18,1,$B$5),1,IF(K55&gt;INDEX('Pace of change parameters'!$E$19:$I$19,1,$B$5),0,(K55-INDEX('Pace of change parameters'!$E$19:$I$19,1,$B$5))/(INDEX('Pace of change parameters'!$E$18:$I$18,1,$B$5)-INDEX('Pace of change parameters'!$E$19:$I$19,1,$B$5))))</f>
        <v>0.44158626042761018</v>
      </c>
      <c r="Q55" s="57">
        <v>4.5358791437829282E-2</v>
      </c>
      <c r="R55" s="57">
        <v>3.9235081474894073E-2</v>
      </c>
      <c r="S55" s="9">
        <f>MAX(IF(INDEX('Pace of change parameters'!$E$31:$I$31,1,$B$5)=1,D55*(1+Q55),D55),L55)</f>
        <v>251689.03162933254</v>
      </c>
      <c r="T55" s="103">
        <f>IF(Q55&lt;INDEX('Pace of change parameters'!$E$24:$I$24,1,$B$5),INDEX('Pace of change parameters'!$E$24:$I$24,1,$B$5),Q55)</f>
        <v>4.5358791437829282E-2</v>
      </c>
      <c r="U55" s="132">
        <v>3.9235081474894073E-2</v>
      </c>
      <c r="V55" s="117">
        <f t="shared" si="10"/>
        <v>251689.03162933254</v>
      </c>
      <c r="W55" s="131">
        <f>IF(J55&gt;INDEX('Pace of change parameters'!$E$26:$I$26,1,$B$5),0,IF(J55&lt;INDEX('Pace of change parameters'!$E$25:$I$25,1,$B$5),1,(J55-INDEX('Pace of change parameters'!$E$26:$I$26,1,$B$5))/(INDEX('Pace of change parameters'!$E$25:$I$25,1,$B$5)-INDEX('Pace of change parameters'!$E$26:$I$26,1,$B$5))))</f>
        <v>1</v>
      </c>
      <c r="X55" s="132">
        <f>MIN(T55, T55+(INDEX('Pace of change parameters'!$E$27:$I$27,1,$B$5)-T55)*(1-W55))</f>
        <v>4.5358791437829282E-2</v>
      </c>
      <c r="Y55" s="132">
        <v>3.9235081474894073E-2</v>
      </c>
      <c r="Z55" s="108">
        <f t="shared" si="11"/>
        <v>251689.03162933254</v>
      </c>
      <c r="AA55" s="97">
        <v>-2.5918734680612787E-2</v>
      </c>
      <c r="AB55" s="99">
        <f t="shared" si="2"/>
        <v>250620.65247172245</v>
      </c>
      <c r="AC55" s="99">
        <f>MAX(IF(INDEX('Pace of change parameters'!$E$29:$I$29,1,$B$5)=1,MAX(AB55,Z55),Z55),L55)</f>
        <v>251689.03162933254</v>
      </c>
      <c r="AD55" s="97">
        <f t="shared" si="12"/>
        <v>4.5358791437829282E-2</v>
      </c>
      <c r="AE55" s="146">
        <v>3.9235081474894073E-2</v>
      </c>
      <c r="AF55" s="56">
        <f t="shared" si="13"/>
        <v>251689.03162933254</v>
      </c>
      <c r="AG55" s="56">
        <v>1582.535182622307</v>
      </c>
      <c r="AH55" s="16">
        <f t="shared" si="4"/>
        <v>4.5358791437829282E-2</v>
      </c>
      <c r="AI55" s="16">
        <f t="shared" si="5"/>
        <v>3.9235081474894296E-2</v>
      </c>
      <c r="AJ55" s="56"/>
      <c r="AK55" s="56">
        <v>257289.26465857809</v>
      </c>
      <c r="AL55" s="56">
        <v>1617.7475466347232</v>
      </c>
      <c r="AM55" s="16">
        <f t="shared" si="14"/>
        <v>-2.1766291091379286E-2</v>
      </c>
      <c r="AN55" s="58">
        <f t="shared" si="15"/>
        <v>-2.1766291091379397E-2</v>
      </c>
      <c r="AP55" s="56">
        <f t="shared" si="6"/>
        <v>0</v>
      </c>
      <c r="AQ55" s="56">
        <f t="shared" si="7"/>
        <v>0</v>
      </c>
    </row>
    <row r="56" spans="1:43" x14ac:dyDescent="0.2">
      <c r="A56" s="156" t="s">
        <v>157</v>
      </c>
      <c r="B56" s="156" t="s">
        <v>158</v>
      </c>
      <c r="D56" s="68">
        <v>451004.19107082044</v>
      </c>
      <c r="E56" s="73">
        <v>1764.7683169150903</v>
      </c>
      <c r="F56" s="55"/>
      <c r="G56" s="88">
        <v>421761.51606449718</v>
      </c>
      <c r="H56" s="81">
        <v>1639.821548824799</v>
      </c>
      <c r="I56" s="90"/>
      <c r="J56" s="103">
        <f t="shared" si="8"/>
        <v>6.9334621326264889E-2</v>
      </c>
      <c r="K56" s="126">
        <f t="shared" si="9"/>
        <v>7.6195344657981945E-2</v>
      </c>
      <c r="L56" s="56">
        <v>464203</v>
      </c>
      <c r="M56" s="103">
        <v>1.5528739485590304E-2</v>
      </c>
      <c r="N56" s="97">
        <f>INDEX('Pace of change parameters'!$E$22:$I$22,1,$B$5)</f>
        <v>9.0547645222140982E-3</v>
      </c>
      <c r="O56" s="108">
        <f>MAX(L56,IF(INDEX('Pace of change parameters'!$E$30:$I$30,1,$B$5)=1,(1+M56)*D56,D56))</f>
        <v>464203</v>
      </c>
      <c r="P56" s="94">
        <f>IF(K56&lt;INDEX('Pace of change parameters'!$E$18:$I$18,1,$B$5),1,IF(K56&gt;INDEX('Pace of change parameters'!$E$19:$I$19,1,$B$5),0,(K56-INDEX('Pace of change parameters'!$E$19:$I$19,1,$B$5))/(INDEX('Pace of change parameters'!$E$18:$I$18,1,$B$5)-INDEX('Pace of change parameters'!$E$19:$I$19,1,$B$5))))</f>
        <v>0</v>
      </c>
      <c r="Q56" s="57">
        <v>1.5528739485590304E-2</v>
      </c>
      <c r="R56" s="57">
        <v>9.0547645222140982E-3</v>
      </c>
      <c r="S56" s="9">
        <f>MAX(IF(INDEX('Pace of change parameters'!$E$31:$I$31,1,$B$5)=1,D56*(1+Q56),D56),L56)</f>
        <v>464203</v>
      </c>
      <c r="T56" s="103">
        <f>IF(Q56&lt;INDEX('Pace of change parameters'!$E$24:$I$24,1,$B$5),INDEX('Pace of change parameters'!$E$24:$I$24,1,$B$5),Q56)</f>
        <v>3.0386941478720321E-2</v>
      </c>
      <c r="U56" s="132">
        <v>2.3818245781243474E-2</v>
      </c>
      <c r="V56" s="117">
        <f t="shared" si="10"/>
        <v>464708.82903154707</v>
      </c>
      <c r="W56" s="131">
        <f>IF(J56&gt;INDEX('Pace of change parameters'!$E$26:$I$26,1,$B$5),0,IF(J56&lt;INDEX('Pace of change parameters'!$E$25:$I$25,1,$B$5),1,(J56-INDEX('Pace of change parameters'!$E$26:$I$26,1,$B$5))/(INDEX('Pace of change parameters'!$E$25:$I$25,1,$B$5)-INDEX('Pace of change parameters'!$E$26:$I$26,1,$B$5))))</f>
        <v>0.61330757347470233</v>
      </c>
      <c r="X56" s="132">
        <f>MIN(T56, T56+(INDEX('Pace of change parameters'!$E$27:$I$27,1,$B$5)-T56)*(1-W56))</f>
        <v>2.396784719840038E-2</v>
      </c>
      <c r="Y56" s="132">
        <v>1.7440073095795761E-2</v>
      </c>
      <c r="Z56" s="108">
        <f t="shared" si="11"/>
        <v>464203</v>
      </c>
      <c r="AA56" s="97">
        <v>-2.5000000000000001E-2</v>
      </c>
      <c r="AB56" s="99">
        <f t="shared" si="2"/>
        <v>428794.69871899748</v>
      </c>
      <c r="AC56" s="99">
        <f>MAX(IF(INDEX('Pace of change parameters'!$E$29:$I$29,1,$B$5)=1,MAX(AB56,Z56),Z56),L56)</f>
        <v>464203</v>
      </c>
      <c r="AD56" s="97">
        <f t="shared" si="12"/>
        <v>2.9265379769180422E-2</v>
      </c>
      <c r="AE56" s="146">
        <v>2.2703834004684342E-2</v>
      </c>
      <c r="AF56" s="56">
        <f t="shared" si="13"/>
        <v>464203</v>
      </c>
      <c r="AG56" s="56">
        <v>1804.8353238390564</v>
      </c>
      <c r="AH56" s="16">
        <f t="shared" si="4"/>
        <v>2.9265379769180422E-2</v>
      </c>
      <c r="AI56" s="16">
        <f t="shared" si="5"/>
        <v>2.270383400468412E-2</v>
      </c>
      <c r="AJ56" s="56"/>
      <c r="AK56" s="56">
        <v>439789.43458358716</v>
      </c>
      <c r="AL56" s="56">
        <v>1709.9146420588925</v>
      </c>
      <c r="AM56" s="16">
        <f t="shared" si="14"/>
        <v>5.5511941617080174E-2</v>
      </c>
      <c r="AN56" s="58">
        <f t="shared" si="15"/>
        <v>5.5511941617080174E-2</v>
      </c>
      <c r="AP56" s="56">
        <f t="shared" si="6"/>
        <v>1</v>
      </c>
      <c r="AQ56" s="56">
        <f t="shared" si="7"/>
        <v>0</v>
      </c>
    </row>
    <row r="57" spans="1:43" x14ac:dyDescent="0.2">
      <c r="A57" s="156" t="s">
        <v>159</v>
      </c>
      <c r="B57" s="156" t="s">
        <v>160</v>
      </c>
      <c r="D57" s="68">
        <v>189330.03022521944</v>
      </c>
      <c r="E57" s="73">
        <v>1657.4022412544487</v>
      </c>
      <c r="F57" s="55"/>
      <c r="G57" s="88">
        <v>184317.98533416991</v>
      </c>
      <c r="H57" s="81">
        <v>1607.1735866497984</v>
      </c>
      <c r="I57" s="90"/>
      <c r="J57" s="103">
        <f t="shared" si="8"/>
        <v>2.7192381047148828E-2</v>
      </c>
      <c r="K57" s="126">
        <f t="shared" si="9"/>
        <v>3.125278751584859E-2</v>
      </c>
      <c r="L57" s="56">
        <v>196134</v>
      </c>
      <c r="M57" s="103">
        <v>1.3043474493915186E-2</v>
      </c>
      <c r="N57" s="97">
        <f>INDEX('Pace of change parameters'!$E$22:$I$22,1,$B$5)</f>
        <v>9.0547645222140982E-3</v>
      </c>
      <c r="O57" s="108">
        <f>MAX(L57,IF(INDEX('Pace of change parameters'!$E$30:$I$30,1,$B$5)=1,(1+M57)*D57,D57))</f>
        <v>196134</v>
      </c>
      <c r="P57" s="94">
        <f>IF(K57&lt;INDEX('Pace of change parameters'!$E$18:$I$18,1,$B$5),1,IF(K57&gt;INDEX('Pace of change parameters'!$E$19:$I$19,1,$B$5),0,(K57-INDEX('Pace of change parameters'!$E$19:$I$19,1,$B$5))/(INDEX('Pace of change parameters'!$E$18:$I$18,1,$B$5)-INDEX('Pace of change parameters'!$E$19:$I$19,1,$B$5))))</f>
        <v>0</v>
      </c>
      <c r="Q57" s="57">
        <v>1.3043474493915186E-2</v>
      </c>
      <c r="R57" s="57">
        <v>9.0547645222140982E-3</v>
      </c>
      <c r="S57" s="9">
        <f>MAX(IF(INDEX('Pace of change parameters'!$E$31:$I$31,1,$B$5)=1,D57*(1+Q57),D57),L57)</f>
        <v>196134</v>
      </c>
      <c r="T57" s="103">
        <f>IF(Q57&lt;INDEX('Pace of change parameters'!$E$24:$I$24,1,$B$5),INDEX('Pace of change parameters'!$E$24:$I$24,1,$B$5),Q57)</f>
        <v>3.0386941478720321E-2</v>
      </c>
      <c r="U57" s="132">
        <v>2.6329944151690432E-2</v>
      </c>
      <c r="V57" s="117">
        <f t="shared" si="10"/>
        <v>196134</v>
      </c>
      <c r="W57" s="131">
        <f>IF(J57&gt;INDEX('Pace of change parameters'!$E$26:$I$26,1,$B$5),0,IF(J57&lt;INDEX('Pace of change parameters'!$E$25:$I$25,1,$B$5),1,(J57-INDEX('Pace of change parameters'!$E$26:$I$26,1,$B$5))/(INDEX('Pace of change parameters'!$E$25:$I$25,1,$B$5)-INDEX('Pace of change parameters'!$E$26:$I$26,1,$B$5))))</f>
        <v>1</v>
      </c>
      <c r="X57" s="132">
        <f>MIN(T57, T57+(INDEX('Pace of change parameters'!$E$27:$I$27,1,$B$5)-T57)*(1-W57))</f>
        <v>3.0386941478720321E-2</v>
      </c>
      <c r="Y57" s="132">
        <v>2.6329944151690432E-2</v>
      </c>
      <c r="Z57" s="108">
        <f t="shared" si="11"/>
        <v>196134</v>
      </c>
      <c r="AA57" s="97">
        <v>-2.5000000000000001E-2</v>
      </c>
      <c r="AB57" s="99">
        <f t="shared" si="2"/>
        <v>187426.55090295547</v>
      </c>
      <c r="AC57" s="99">
        <f>MAX(IF(INDEX('Pace of change parameters'!$E$29:$I$29,1,$B$5)=1,MAX(AB57,Z57),Z57),L57)</f>
        <v>196134</v>
      </c>
      <c r="AD57" s="97">
        <f t="shared" si="12"/>
        <v>3.5937087036255422E-2</v>
      </c>
      <c r="AE57" s="146">
        <v>3.1858236825823116E-2</v>
      </c>
      <c r="AF57" s="56">
        <f t="shared" si="13"/>
        <v>196134</v>
      </c>
      <c r="AG57" s="56">
        <v>1710.2041543719829</v>
      </c>
      <c r="AH57" s="16">
        <f t="shared" si="4"/>
        <v>3.5937087036255422E-2</v>
      </c>
      <c r="AI57" s="16">
        <f t="shared" si="5"/>
        <v>3.1858236825823116E-2</v>
      </c>
      <c r="AJ57" s="56"/>
      <c r="AK57" s="56">
        <v>192232.35990046716</v>
      </c>
      <c r="AL57" s="56">
        <v>1676.1835301707461</v>
      </c>
      <c r="AM57" s="16">
        <f t="shared" si="14"/>
        <v>2.0296479227290387E-2</v>
      </c>
      <c r="AN57" s="58">
        <f t="shared" si="15"/>
        <v>2.0296479227290387E-2</v>
      </c>
      <c r="AP57" s="56">
        <f t="shared" si="6"/>
        <v>1</v>
      </c>
      <c r="AQ57" s="56">
        <f t="shared" si="7"/>
        <v>0</v>
      </c>
    </row>
    <row r="58" spans="1:43" x14ac:dyDescent="0.2">
      <c r="A58" s="156" t="s">
        <v>161</v>
      </c>
      <c r="B58" s="156" t="s">
        <v>162</v>
      </c>
      <c r="D58" s="68">
        <v>163068.81532711582</v>
      </c>
      <c r="E58" s="73">
        <v>1326.4960736595503</v>
      </c>
      <c r="F58" s="55"/>
      <c r="G58" s="88">
        <v>174390.60523994794</v>
      </c>
      <c r="H58" s="81">
        <v>1410.9888639602964</v>
      </c>
      <c r="I58" s="90"/>
      <c r="J58" s="103">
        <f t="shared" si="8"/>
        <v>-6.4922017428944656E-2</v>
      </c>
      <c r="K58" s="126">
        <f t="shared" si="9"/>
        <v>-5.9881968213126524E-2</v>
      </c>
      <c r="L58" s="56">
        <v>174891</v>
      </c>
      <c r="M58" s="103">
        <v>1.4493546922655476E-2</v>
      </c>
      <c r="N58" s="97">
        <f>INDEX('Pace of change parameters'!$E$22:$I$22,1,$B$5)</f>
        <v>9.0547645222140982E-3</v>
      </c>
      <c r="O58" s="108">
        <f>MAX(L58,IF(INDEX('Pace of change parameters'!$E$30:$I$30,1,$B$5)=1,(1+M58)*D58,D58))</f>
        <v>174891</v>
      </c>
      <c r="P58" s="94">
        <f>IF(K58&lt;INDEX('Pace of change parameters'!$E$18:$I$18,1,$B$5),1,IF(K58&gt;INDEX('Pace of change parameters'!$E$19:$I$19,1,$B$5),0,(K58-INDEX('Pace of change parameters'!$E$19:$I$19,1,$B$5))/(INDEX('Pace of change parameters'!$E$18:$I$18,1,$B$5)-INDEX('Pace of change parameters'!$E$19:$I$19,1,$B$5))))</f>
        <v>0.81659192463421015</v>
      </c>
      <c r="Q58" s="57">
        <v>7.0604529843242947E-2</v>
      </c>
      <c r="R58" s="57">
        <v>6.4864931900597611E-2</v>
      </c>
      <c r="S58" s="9">
        <f>MAX(IF(INDEX('Pace of change parameters'!$E$31:$I$31,1,$B$5)=1,D58*(1+Q58),D58),L58)</f>
        <v>174891</v>
      </c>
      <c r="T58" s="103">
        <f>IF(Q58&lt;INDEX('Pace of change parameters'!$E$24:$I$24,1,$B$5),INDEX('Pace of change parameters'!$E$24:$I$24,1,$B$5),Q58)</f>
        <v>7.0604529843242947E-2</v>
      </c>
      <c r="U58" s="132">
        <v>6.4864931900597611E-2</v>
      </c>
      <c r="V58" s="117">
        <f t="shared" si="10"/>
        <v>174891</v>
      </c>
      <c r="W58" s="131">
        <f>IF(J58&gt;INDEX('Pace of change parameters'!$E$26:$I$26,1,$B$5),0,IF(J58&lt;INDEX('Pace of change parameters'!$E$25:$I$25,1,$B$5),1,(J58-INDEX('Pace of change parameters'!$E$26:$I$26,1,$B$5))/(INDEX('Pace of change parameters'!$E$25:$I$25,1,$B$5)-INDEX('Pace of change parameters'!$E$26:$I$26,1,$B$5))))</f>
        <v>1</v>
      </c>
      <c r="X58" s="132">
        <f>MIN(T58, T58+(INDEX('Pace of change parameters'!$E$27:$I$27,1,$B$5)-T58)*(1-W58))</f>
        <v>7.0604529843242947E-2</v>
      </c>
      <c r="Y58" s="132">
        <v>6.4864931900597611E-2</v>
      </c>
      <c r="Z58" s="108">
        <f t="shared" si="11"/>
        <v>174891</v>
      </c>
      <c r="AA58" s="97">
        <v>-6.6763573030482415E-2</v>
      </c>
      <c r="AB58" s="99">
        <f t="shared" si="2"/>
        <v>169811.67537537889</v>
      </c>
      <c r="AC58" s="99">
        <f>MAX(IF(INDEX('Pace of change parameters'!$E$29:$I$29,1,$B$5)=1,MAX(AB58,Z58),Z58),L58)</f>
        <v>174891</v>
      </c>
      <c r="AD58" s="97">
        <f t="shared" si="12"/>
        <v>7.2498133068354509E-2</v>
      </c>
      <c r="AE58" s="146">
        <v>6.6748383364837682E-2</v>
      </c>
      <c r="AF58" s="56">
        <f t="shared" si="13"/>
        <v>174891</v>
      </c>
      <c r="AG58" s="56">
        <v>1415.0375421161298</v>
      </c>
      <c r="AH58" s="16">
        <f t="shared" si="4"/>
        <v>7.2498133068354509E-2</v>
      </c>
      <c r="AI58" s="16">
        <f t="shared" si="5"/>
        <v>6.674838336483746E-2</v>
      </c>
      <c r="AJ58" s="56"/>
      <c r="AK58" s="56">
        <v>181959.97334438111</v>
      </c>
      <c r="AL58" s="56">
        <v>1472.2323815676596</v>
      </c>
      <c r="AM58" s="16">
        <f t="shared" si="14"/>
        <v>-3.8849056825273509E-2</v>
      </c>
      <c r="AN58" s="58">
        <f t="shared" si="15"/>
        <v>-3.8849056825273509E-2</v>
      </c>
      <c r="AP58" s="56">
        <f t="shared" si="6"/>
        <v>1</v>
      </c>
      <c r="AQ58" s="56">
        <f t="shared" si="7"/>
        <v>0</v>
      </c>
    </row>
    <row r="59" spans="1:43" x14ac:dyDescent="0.2">
      <c r="A59" s="156" t="s">
        <v>163</v>
      </c>
      <c r="B59" s="156" t="s">
        <v>164</v>
      </c>
      <c r="D59" s="68">
        <v>532011.67092220916</v>
      </c>
      <c r="E59" s="73">
        <v>1567.2062537292775</v>
      </c>
      <c r="F59" s="55"/>
      <c r="G59" s="88">
        <v>533941.3640519093</v>
      </c>
      <c r="H59" s="81">
        <v>1562.6918596718601</v>
      </c>
      <c r="I59" s="90"/>
      <c r="J59" s="103">
        <f t="shared" si="8"/>
        <v>-3.6140543880255338E-3</v>
      </c>
      <c r="K59" s="126">
        <f t="shared" si="9"/>
        <v>2.8888574733891836E-3</v>
      </c>
      <c r="L59" s="56">
        <v>551105</v>
      </c>
      <c r="M59" s="103">
        <v>1.5640359417371297E-2</v>
      </c>
      <c r="N59" s="97">
        <f>INDEX('Pace of change parameters'!$E$22:$I$22,1,$B$5)</f>
        <v>9.0547645222140982E-3</v>
      </c>
      <c r="O59" s="108">
        <f>MAX(L59,IF(INDEX('Pace of change parameters'!$E$30:$I$30,1,$B$5)=1,(1+M59)*D59,D59))</f>
        <v>551105</v>
      </c>
      <c r="P59" s="94">
        <f>IF(K59&lt;INDEX('Pace of change parameters'!$E$18:$I$18,1,$B$5),1,IF(K59&gt;INDEX('Pace of change parameters'!$E$19:$I$19,1,$B$5),0,(K59-INDEX('Pace of change parameters'!$E$19:$I$19,1,$B$5))/(INDEX('Pace of change parameters'!$E$18:$I$18,1,$B$5)-INDEX('Pace of change parameters'!$E$19:$I$19,1,$B$5))))</f>
        <v>0.24433533163105858</v>
      </c>
      <c r="Q59" s="57">
        <v>3.244850221643869E-2</v>
      </c>
      <c r="R59" s="57">
        <v>2.5753920298081656E-2</v>
      </c>
      <c r="S59" s="9">
        <f>MAX(IF(INDEX('Pace of change parameters'!$E$31:$I$31,1,$B$5)=1,D59*(1+Q59),D59),L59)</f>
        <v>551105</v>
      </c>
      <c r="T59" s="103">
        <f>IF(Q59&lt;INDEX('Pace of change parameters'!$E$24:$I$24,1,$B$5),INDEX('Pace of change parameters'!$E$24:$I$24,1,$B$5),Q59)</f>
        <v>3.244850221643869E-2</v>
      </c>
      <c r="U59" s="132">
        <v>2.5753920298081656E-2</v>
      </c>
      <c r="V59" s="117">
        <f t="shared" si="10"/>
        <v>551105</v>
      </c>
      <c r="W59" s="131">
        <f>IF(J59&gt;INDEX('Pace of change parameters'!$E$26:$I$26,1,$B$5),0,IF(J59&lt;INDEX('Pace of change parameters'!$E$25:$I$25,1,$B$5),1,(J59-INDEX('Pace of change parameters'!$E$26:$I$26,1,$B$5))/(INDEX('Pace of change parameters'!$E$25:$I$25,1,$B$5)-INDEX('Pace of change parameters'!$E$26:$I$26,1,$B$5))))</f>
        <v>1</v>
      </c>
      <c r="X59" s="132">
        <f>MIN(T59, T59+(INDEX('Pace of change parameters'!$E$27:$I$27,1,$B$5)-T59)*(1-W59))</f>
        <v>3.244850221643869E-2</v>
      </c>
      <c r="Y59" s="132">
        <v>2.5753920298081656E-2</v>
      </c>
      <c r="Z59" s="108">
        <f t="shared" si="11"/>
        <v>551105</v>
      </c>
      <c r="AA59" s="97">
        <v>-2.5000000000000001E-2</v>
      </c>
      <c r="AB59" s="99">
        <f t="shared" si="2"/>
        <v>542733.3661685416</v>
      </c>
      <c r="AC59" s="99">
        <f>MAX(IF(INDEX('Pace of change parameters'!$E$29:$I$29,1,$B$5)=1,MAX(AB59,Z59),Z59),L59)</f>
        <v>551105</v>
      </c>
      <c r="AD59" s="97">
        <f t="shared" si="12"/>
        <v>3.5888928986639979E-2</v>
      </c>
      <c r="AE59" s="146">
        <v>2.9172038721863913E-2</v>
      </c>
      <c r="AF59" s="56">
        <f t="shared" si="13"/>
        <v>551105</v>
      </c>
      <c r="AG59" s="56">
        <v>1612.9248552482152</v>
      </c>
      <c r="AH59" s="16">
        <f t="shared" si="4"/>
        <v>3.5888928986639979E-2</v>
      </c>
      <c r="AI59" s="16">
        <f t="shared" si="5"/>
        <v>2.9172038721863913E-2</v>
      </c>
      <c r="AJ59" s="56"/>
      <c r="AK59" s="56">
        <v>556649.60632670939</v>
      </c>
      <c r="AL59" s="56">
        <v>1629.1523134583858</v>
      </c>
      <c r="AM59" s="16">
        <f t="shared" si="14"/>
        <v>-9.9606759147784496E-3</v>
      </c>
      <c r="AN59" s="58">
        <f t="shared" si="15"/>
        <v>-9.9606759147785606E-3</v>
      </c>
      <c r="AP59" s="56">
        <f t="shared" si="6"/>
        <v>1</v>
      </c>
      <c r="AQ59" s="56">
        <f t="shared" si="7"/>
        <v>0</v>
      </c>
    </row>
    <row r="60" spans="1:43" x14ac:dyDescent="0.2">
      <c r="A60" s="156" t="s">
        <v>165</v>
      </c>
      <c r="B60" s="156" t="s">
        <v>166</v>
      </c>
      <c r="D60" s="68">
        <v>337996.88934777724</v>
      </c>
      <c r="E60" s="73">
        <v>1550.5226839325712</v>
      </c>
      <c r="F60" s="55"/>
      <c r="G60" s="88">
        <v>315911.33449780097</v>
      </c>
      <c r="H60" s="81">
        <v>1440.0136727348101</v>
      </c>
      <c r="I60" s="90"/>
      <c r="J60" s="103">
        <f t="shared" si="8"/>
        <v>6.9910612371934411E-2</v>
      </c>
      <c r="K60" s="126">
        <f t="shared" si="9"/>
        <v>7.674164022893426E-2</v>
      </c>
      <c r="L60" s="56">
        <v>346114</v>
      </c>
      <c r="M60" s="103">
        <v>1.5497247778276435E-2</v>
      </c>
      <c r="N60" s="97">
        <f>INDEX('Pace of change parameters'!$E$22:$I$22,1,$B$5)</f>
        <v>9.0547645222140982E-3</v>
      </c>
      <c r="O60" s="108">
        <f>MAX(L60,IF(INDEX('Pace of change parameters'!$E$30:$I$30,1,$B$5)=1,(1+M60)*D60,D60))</f>
        <v>346114</v>
      </c>
      <c r="P60" s="94">
        <f>IF(K60&lt;INDEX('Pace of change parameters'!$E$18:$I$18,1,$B$5),1,IF(K60&gt;INDEX('Pace of change parameters'!$E$19:$I$19,1,$B$5),0,(K60-INDEX('Pace of change parameters'!$E$19:$I$19,1,$B$5))/(INDEX('Pace of change parameters'!$E$18:$I$18,1,$B$5)-INDEX('Pace of change parameters'!$E$19:$I$19,1,$B$5))))</f>
        <v>0</v>
      </c>
      <c r="Q60" s="57">
        <v>1.5497247778276435E-2</v>
      </c>
      <c r="R60" s="57">
        <v>9.0547645222140982E-3</v>
      </c>
      <c r="S60" s="9">
        <f>MAX(IF(INDEX('Pace of change parameters'!$E$31:$I$31,1,$B$5)=1,D60*(1+Q60),D60),L60)</f>
        <v>346114</v>
      </c>
      <c r="T60" s="103">
        <f>IF(Q60&lt;INDEX('Pace of change parameters'!$E$24:$I$24,1,$B$5),INDEX('Pace of change parameters'!$E$24:$I$24,1,$B$5),Q60)</f>
        <v>3.0386941478720321E-2</v>
      </c>
      <c r="U60" s="132">
        <v>2.384999553202749E-2</v>
      </c>
      <c r="V60" s="117">
        <f t="shared" si="10"/>
        <v>348267.58104437764</v>
      </c>
      <c r="W60" s="131">
        <f>IF(J60&gt;INDEX('Pace of change parameters'!$E$26:$I$26,1,$B$5),0,IF(J60&lt;INDEX('Pace of change parameters'!$E$25:$I$25,1,$B$5),1,(J60-INDEX('Pace of change parameters'!$E$26:$I$26,1,$B$5))/(INDEX('Pace of change parameters'!$E$25:$I$25,1,$B$5)-INDEX('Pace of change parameters'!$E$26:$I$26,1,$B$5))))</f>
        <v>0.60178775256131189</v>
      </c>
      <c r="X60" s="132">
        <f>MIN(T60, T60+(INDEX('Pace of change parameters'!$E$27:$I$27,1,$B$5)-T60)*(1-W60))</f>
        <v>2.3776618171238099E-2</v>
      </c>
      <c r="Y60" s="132">
        <v>1.7281609213856353E-2</v>
      </c>
      <c r="Z60" s="108">
        <f t="shared" si="11"/>
        <v>346114</v>
      </c>
      <c r="AA60" s="97">
        <v>-2.5000000000000001E-2</v>
      </c>
      <c r="AB60" s="99">
        <f t="shared" si="2"/>
        <v>321110.56694958085</v>
      </c>
      <c r="AC60" s="99">
        <f>MAX(IF(INDEX('Pace of change parameters'!$E$29:$I$29,1,$B$5)=1,MAX(AB60,Z60),Z60),L60)</f>
        <v>346114</v>
      </c>
      <c r="AD60" s="97">
        <f t="shared" si="12"/>
        <v>2.4015341288750047E-2</v>
      </c>
      <c r="AE60" s="146">
        <v>1.7518817832248956E-2</v>
      </c>
      <c r="AF60" s="56">
        <f t="shared" si="13"/>
        <v>346114</v>
      </c>
      <c r="AG60" s="56">
        <v>1577.6860083771558</v>
      </c>
      <c r="AH60" s="16">
        <f t="shared" si="4"/>
        <v>2.4015341288750047E-2</v>
      </c>
      <c r="AI60" s="16">
        <f t="shared" si="5"/>
        <v>1.7518817832248956E-2</v>
      </c>
      <c r="AJ60" s="56"/>
      <c r="AK60" s="56">
        <v>329344.17123033933</v>
      </c>
      <c r="AL60" s="56">
        <v>1501.2443613684411</v>
      </c>
      <c r="AM60" s="16">
        <f t="shared" si="14"/>
        <v>5.0918857033398268E-2</v>
      </c>
      <c r="AN60" s="58">
        <f t="shared" si="15"/>
        <v>5.0918857033398046E-2</v>
      </c>
      <c r="AP60" s="56">
        <f t="shared" si="6"/>
        <v>1</v>
      </c>
      <c r="AQ60" s="56">
        <f t="shared" si="7"/>
        <v>0</v>
      </c>
    </row>
    <row r="61" spans="1:43" x14ac:dyDescent="0.2">
      <c r="A61" s="156" t="s">
        <v>167</v>
      </c>
      <c r="B61" s="156" t="s">
        <v>168</v>
      </c>
      <c r="D61" s="68">
        <v>542875.77811648673</v>
      </c>
      <c r="E61" s="73">
        <v>1728.8541988175077</v>
      </c>
      <c r="F61" s="55"/>
      <c r="G61" s="88">
        <v>509891.60078811308</v>
      </c>
      <c r="H61" s="81">
        <v>1620.139149555424</v>
      </c>
      <c r="I61" s="90"/>
      <c r="J61" s="103">
        <f t="shared" si="8"/>
        <v>6.4688606906628143E-2</v>
      </c>
      <c r="K61" s="126">
        <f t="shared" si="9"/>
        <v>6.7102291363007716E-2</v>
      </c>
      <c r="L61" s="56">
        <v>559786</v>
      </c>
      <c r="M61" s="103">
        <v>1.1342325208938409E-2</v>
      </c>
      <c r="N61" s="97">
        <f>INDEX('Pace of change parameters'!$E$22:$I$22,1,$B$5)</f>
        <v>9.0547645222140982E-3</v>
      </c>
      <c r="O61" s="108">
        <f>MAX(L61,IF(INDEX('Pace of change parameters'!$E$30:$I$30,1,$B$5)=1,(1+M61)*D61,D61))</f>
        <v>559786</v>
      </c>
      <c r="P61" s="94">
        <f>IF(K61&lt;INDEX('Pace of change parameters'!$E$18:$I$18,1,$B$5),1,IF(K61&gt;INDEX('Pace of change parameters'!$E$19:$I$19,1,$B$5),0,(K61-INDEX('Pace of change parameters'!$E$19:$I$19,1,$B$5))/(INDEX('Pace of change parameters'!$E$18:$I$18,1,$B$5)-INDEX('Pace of change parameters'!$E$19:$I$19,1,$B$5))))</f>
        <v>0</v>
      </c>
      <c r="Q61" s="57">
        <v>1.1342325208938409E-2</v>
      </c>
      <c r="R61" s="57">
        <v>9.0547645222140982E-3</v>
      </c>
      <c r="S61" s="9">
        <f>MAX(IF(INDEX('Pace of change parameters'!$E$31:$I$31,1,$B$5)=1,D61*(1+Q61),D61),L61)</f>
        <v>559786</v>
      </c>
      <c r="T61" s="103">
        <f>IF(Q61&lt;INDEX('Pace of change parameters'!$E$24:$I$24,1,$B$5),INDEX('Pace of change parameters'!$E$24:$I$24,1,$B$5),Q61)</f>
        <v>3.0386941478720321E-2</v>
      </c>
      <c r="U61" s="132">
        <v>2.8056303671236238E-2</v>
      </c>
      <c r="V61" s="117">
        <f t="shared" si="10"/>
        <v>559786</v>
      </c>
      <c r="W61" s="131">
        <f>IF(J61&gt;INDEX('Pace of change parameters'!$E$26:$I$26,1,$B$5),0,IF(J61&lt;INDEX('Pace of change parameters'!$E$25:$I$25,1,$B$5),1,(J61-INDEX('Pace of change parameters'!$E$26:$I$26,1,$B$5))/(INDEX('Pace of change parameters'!$E$25:$I$25,1,$B$5)-INDEX('Pace of change parameters'!$E$26:$I$26,1,$B$5))))</f>
        <v>0.70622786186743725</v>
      </c>
      <c r="X61" s="132">
        <f>MIN(T61, T61+(INDEX('Pace of change parameters'!$E$27:$I$27,1,$B$5)-T61)*(1-W61))</f>
        <v>2.5510323985719778E-2</v>
      </c>
      <c r="Y61" s="132">
        <v>2.3190716625773655E-2</v>
      </c>
      <c r="Z61" s="108">
        <f t="shared" si="11"/>
        <v>559786</v>
      </c>
      <c r="AA61" s="97">
        <v>-2.5000000000000001E-2</v>
      </c>
      <c r="AB61" s="99">
        <f t="shared" si="2"/>
        <v>518512.69739461213</v>
      </c>
      <c r="AC61" s="99">
        <f>MAX(IF(INDEX('Pace of change parameters'!$E$29:$I$29,1,$B$5)=1,MAX(AB61,Z61),Z61),L61)</f>
        <v>559786</v>
      </c>
      <c r="AD61" s="97">
        <f t="shared" si="12"/>
        <v>3.1149339434858314E-2</v>
      </c>
      <c r="AE61" s="146">
        <v>2.8816977155305068E-2</v>
      </c>
      <c r="AF61" s="56">
        <f t="shared" si="13"/>
        <v>559786</v>
      </c>
      <c r="AG61" s="56">
        <v>1778.6745507696851</v>
      </c>
      <c r="AH61" s="16">
        <f t="shared" si="4"/>
        <v>3.1149339434858314E-2</v>
      </c>
      <c r="AI61" s="16">
        <f t="shared" si="5"/>
        <v>2.8816977155305068E-2</v>
      </c>
      <c r="AJ61" s="56"/>
      <c r="AK61" s="56">
        <v>531807.89476370474</v>
      </c>
      <c r="AL61" s="56">
        <v>1689.7763936836657</v>
      </c>
      <c r="AM61" s="16">
        <f t="shared" si="14"/>
        <v>5.2609420641877902E-2</v>
      </c>
      <c r="AN61" s="58">
        <f t="shared" si="15"/>
        <v>5.2609420641877902E-2</v>
      </c>
      <c r="AP61" s="56">
        <f t="shared" si="6"/>
        <v>1</v>
      </c>
      <c r="AQ61" s="56">
        <f t="shared" si="7"/>
        <v>0</v>
      </c>
    </row>
    <row r="62" spans="1:43" x14ac:dyDescent="0.2">
      <c r="A62" s="156" t="s">
        <v>169</v>
      </c>
      <c r="B62" s="156" t="s">
        <v>170</v>
      </c>
      <c r="D62" s="68">
        <v>462395.76859435189</v>
      </c>
      <c r="E62" s="73">
        <v>1534.01221712029</v>
      </c>
      <c r="F62" s="55"/>
      <c r="G62" s="88">
        <v>461387.82211990264</v>
      </c>
      <c r="H62" s="81">
        <v>1523.458271645371</v>
      </c>
      <c r="I62" s="90"/>
      <c r="J62" s="103">
        <f t="shared" si="8"/>
        <v>2.1845970485698807E-3</v>
      </c>
      <c r="K62" s="126">
        <f t="shared" si="9"/>
        <v>6.9276235991160284E-3</v>
      </c>
      <c r="L62" s="56">
        <v>479423</v>
      </c>
      <c r="M62" s="103">
        <v>1.3830305428728318E-2</v>
      </c>
      <c r="N62" s="97">
        <f>INDEX('Pace of change parameters'!$E$22:$I$22,1,$B$5)</f>
        <v>9.0547645222140982E-3</v>
      </c>
      <c r="O62" s="108">
        <f>MAX(L62,IF(INDEX('Pace of change parameters'!$E$30:$I$30,1,$B$5)=1,(1+M62)*D62,D62))</f>
        <v>479423</v>
      </c>
      <c r="P62" s="94">
        <f>IF(K62&lt;INDEX('Pace of change parameters'!$E$18:$I$18,1,$B$5),1,IF(K62&gt;INDEX('Pace of change parameters'!$E$19:$I$19,1,$B$5),0,(K62-INDEX('Pace of change parameters'!$E$19:$I$19,1,$B$5))/(INDEX('Pace of change parameters'!$E$18:$I$18,1,$B$5)-INDEX('Pace of change parameters'!$E$19:$I$19,1,$B$5))))</f>
        <v>0.20751551099356341</v>
      </c>
      <c r="Q62" s="57">
        <v>2.8080124163649689E-2</v>
      </c>
      <c r="R62" s="57">
        <v>2.3237460986362368E-2</v>
      </c>
      <c r="S62" s="9">
        <f>MAX(IF(INDEX('Pace of change parameters'!$E$31:$I$31,1,$B$5)=1,D62*(1+Q62),D62),L62)</f>
        <v>479423</v>
      </c>
      <c r="T62" s="103">
        <f>IF(Q62&lt;INDEX('Pace of change parameters'!$E$24:$I$24,1,$B$5),INDEX('Pace of change parameters'!$E$24:$I$24,1,$B$5),Q62)</f>
        <v>3.0386941478720321E-2</v>
      </c>
      <c r="U62" s="132">
        <v>2.5533412281357526E-2</v>
      </c>
      <c r="V62" s="117">
        <f t="shared" si="10"/>
        <v>479423</v>
      </c>
      <c r="W62" s="131">
        <f>IF(J62&gt;INDEX('Pace of change parameters'!$E$26:$I$26,1,$B$5),0,IF(J62&lt;INDEX('Pace of change parameters'!$E$25:$I$25,1,$B$5),1,(J62-INDEX('Pace of change parameters'!$E$26:$I$26,1,$B$5))/(INDEX('Pace of change parameters'!$E$25:$I$25,1,$B$5)-INDEX('Pace of change parameters'!$E$26:$I$26,1,$B$5))))</f>
        <v>1</v>
      </c>
      <c r="X62" s="132">
        <f>MIN(T62, T62+(INDEX('Pace of change parameters'!$E$27:$I$27,1,$B$5)-T62)*(1-W62))</f>
        <v>3.0386941478720321E-2</v>
      </c>
      <c r="Y62" s="132">
        <v>2.5533412281357526E-2</v>
      </c>
      <c r="Z62" s="108">
        <f t="shared" si="11"/>
        <v>479423</v>
      </c>
      <c r="AA62" s="97">
        <v>-2.5000000000000001E-2</v>
      </c>
      <c r="AB62" s="99">
        <f t="shared" si="2"/>
        <v>469153.81912104279</v>
      </c>
      <c r="AC62" s="99">
        <f>MAX(IF(INDEX('Pace of change parameters'!$E$29:$I$29,1,$B$5)=1,MAX(AB62,Z62),Z62),L62)</f>
        <v>479423</v>
      </c>
      <c r="AD62" s="97">
        <f t="shared" si="12"/>
        <v>3.6823934305042716E-2</v>
      </c>
      <c r="AE62" s="146">
        <v>3.1940084330728924E-2</v>
      </c>
      <c r="AF62" s="56">
        <f t="shared" si="13"/>
        <v>479423</v>
      </c>
      <c r="AG62" s="56">
        <v>1583.0086966994802</v>
      </c>
      <c r="AH62" s="16">
        <f t="shared" si="4"/>
        <v>3.6823934305042716E-2</v>
      </c>
      <c r="AI62" s="16">
        <f t="shared" si="5"/>
        <v>3.1940084330728702E-2</v>
      </c>
      <c r="AJ62" s="56"/>
      <c r="AK62" s="56">
        <v>481183.40422671055</v>
      </c>
      <c r="AL62" s="56">
        <v>1588.8213823666038</v>
      </c>
      <c r="AM62" s="16">
        <f t="shared" si="14"/>
        <v>-3.6584890734949749E-3</v>
      </c>
      <c r="AN62" s="58">
        <f t="shared" si="15"/>
        <v>-3.6584890734950859E-3</v>
      </c>
      <c r="AP62" s="56">
        <f t="shared" si="6"/>
        <v>1</v>
      </c>
      <c r="AQ62" s="56">
        <f t="shared" si="7"/>
        <v>0</v>
      </c>
    </row>
    <row r="63" spans="1:43" x14ac:dyDescent="0.2">
      <c r="A63" s="156" t="s">
        <v>171</v>
      </c>
      <c r="B63" s="156" t="s">
        <v>172</v>
      </c>
      <c r="D63" s="68">
        <v>354253.15846200217</v>
      </c>
      <c r="E63" s="73">
        <v>1447.8933021972721</v>
      </c>
      <c r="F63" s="55"/>
      <c r="G63" s="88">
        <v>341185.9019194849</v>
      </c>
      <c r="H63" s="81">
        <v>1385.3115541850918</v>
      </c>
      <c r="I63" s="90"/>
      <c r="J63" s="103">
        <f t="shared" si="8"/>
        <v>3.8299520786181152E-2</v>
      </c>
      <c r="K63" s="126">
        <f t="shared" si="9"/>
        <v>4.517521551243675E-2</v>
      </c>
      <c r="L63" s="56">
        <v>367114</v>
      </c>
      <c r="M63" s="103">
        <v>1.5736798351600134E-2</v>
      </c>
      <c r="N63" s="97">
        <f>INDEX('Pace of change parameters'!$E$22:$I$22,1,$B$5)</f>
        <v>9.0547645222140982E-3</v>
      </c>
      <c r="O63" s="108">
        <f>MAX(L63,IF(INDEX('Pace of change parameters'!$E$30:$I$30,1,$B$5)=1,(1+M63)*D63,D63))</f>
        <v>367114</v>
      </c>
      <c r="P63" s="94">
        <f>IF(K63&lt;INDEX('Pace of change parameters'!$E$18:$I$18,1,$B$5),1,IF(K63&gt;INDEX('Pace of change parameters'!$E$19:$I$19,1,$B$5),0,(K63-INDEX('Pace of change parameters'!$E$19:$I$19,1,$B$5))/(INDEX('Pace of change parameters'!$E$18:$I$18,1,$B$5)-INDEX('Pace of change parameters'!$E$19:$I$19,1,$B$5))))</f>
        <v>0</v>
      </c>
      <c r="Q63" s="57">
        <v>1.5736798351600134E-2</v>
      </c>
      <c r="R63" s="57">
        <v>9.0547645222140982E-3</v>
      </c>
      <c r="S63" s="9">
        <f>MAX(IF(INDEX('Pace of change parameters'!$E$31:$I$31,1,$B$5)=1,D63*(1+Q63),D63),L63)</f>
        <v>367114</v>
      </c>
      <c r="T63" s="103">
        <f>IF(Q63&lt;INDEX('Pace of change parameters'!$E$24:$I$24,1,$B$5),INDEX('Pace of change parameters'!$E$24:$I$24,1,$B$5),Q63)</f>
        <v>3.0386941478720321E-2</v>
      </c>
      <c r="U63" s="132">
        <v>2.3608531548616529E-2</v>
      </c>
      <c r="V63" s="117">
        <f t="shared" si="10"/>
        <v>367114</v>
      </c>
      <c r="W63" s="131">
        <f>IF(J63&gt;INDEX('Pace of change parameters'!$E$26:$I$26,1,$B$5),0,IF(J63&lt;INDEX('Pace of change parameters'!$E$25:$I$25,1,$B$5),1,(J63-INDEX('Pace of change parameters'!$E$26:$I$26,1,$B$5))/(INDEX('Pace of change parameters'!$E$25:$I$25,1,$B$5)-INDEX('Pace of change parameters'!$E$26:$I$26,1,$B$5))))</f>
        <v>1</v>
      </c>
      <c r="X63" s="132">
        <f>MIN(T63, T63+(INDEX('Pace of change parameters'!$E$27:$I$27,1,$B$5)-T63)*(1-W63))</f>
        <v>3.0386941478720321E-2</v>
      </c>
      <c r="Y63" s="132">
        <v>2.3608531548616529E-2</v>
      </c>
      <c r="Z63" s="108">
        <f t="shared" si="11"/>
        <v>367114</v>
      </c>
      <c r="AA63" s="97">
        <v>-2.5000000000000001E-2</v>
      </c>
      <c r="AB63" s="99">
        <f t="shared" si="2"/>
        <v>346764.3296049381</v>
      </c>
      <c r="AC63" s="99">
        <f>MAX(IF(INDEX('Pace of change parameters'!$E$29:$I$29,1,$B$5)=1,MAX(AB63,Z63),Z63),L63)</f>
        <v>367114</v>
      </c>
      <c r="AD63" s="97">
        <f t="shared" si="12"/>
        <v>3.6304098441446442E-2</v>
      </c>
      <c r="AE63" s="146">
        <v>2.9486762440077863E-2</v>
      </c>
      <c r="AF63" s="56">
        <f t="shared" si="13"/>
        <v>367114</v>
      </c>
      <c r="AG63" s="56">
        <v>1490.5869880377431</v>
      </c>
      <c r="AH63" s="16">
        <f t="shared" si="4"/>
        <v>3.6304098441446442E-2</v>
      </c>
      <c r="AI63" s="16">
        <f t="shared" si="5"/>
        <v>2.9486762440078085E-2</v>
      </c>
      <c r="AJ63" s="56"/>
      <c r="AK63" s="56">
        <v>355655.72267173138</v>
      </c>
      <c r="AL63" s="56">
        <v>1444.0631314404868</v>
      </c>
      <c r="AM63" s="16">
        <f t="shared" si="14"/>
        <v>3.2217328719449823E-2</v>
      </c>
      <c r="AN63" s="58">
        <f t="shared" si="15"/>
        <v>3.2217328719449823E-2</v>
      </c>
      <c r="AP63" s="56">
        <f t="shared" si="6"/>
        <v>1</v>
      </c>
      <c r="AQ63" s="56">
        <f t="shared" si="7"/>
        <v>0</v>
      </c>
    </row>
    <row r="64" spans="1:43" x14ac:dyDescent="0.2">
      <c r="A64" s="156" t="s">
        <v>173</v>
      </c>
      <c r="B64" s="156" t="s">
        <v>174</v>
      </c>
      <c r="D64" s="68">
        <v>231622.40644243109</v>
      </c>
      <c r="E64" s="73">
        <v>1613.6661124052939</v>
      </c>
      <c r="F64" s="55"/>
      <c r="G64" s="88">
        <v>214994.49387314211</v>
      </c>
      <c r="H64" s="81">
        <v>1495.4159504501924</v>
      </c>
      <c r="I64" s="90"/>
      <c r="J64" s="103">
        <f t="shared" si="8"/>
        <v>7.7341108926725965E-2</v>
      </c>
      <c r="K64" s="126">
        <f t="shared" si="9"/>
        <v>7.9075097413199735E-2</v>
      </c>
      <c r="L64" s="56">
        <v>238935</v>
      </c>
      <c r="M64" s="103">
        <v>1.0678845632092315E-2</v>
      </c>
      <c r="N64" s="97">
        <f>INDEX('Pace of change parameters'!$E$22:$I$22,1,$B$5)</f>
        <v>9.0547645222140982E-3</v>
      </c>
      <c r="O64" s="108">
        <f>MAX(L64,IF(INDEX('Pace of change parameters'!$E$30:$I$30,1,$B$5)=1,(1+M64)*D64,D64))</f>
        <v>238935</v>
      </c>
      <c r="P64" s="94">
        <f>IF(K64&lt;INDEX('Pace of change parameters'!$E$18:$I$18,1,$B$5),1,IF(K64&gt;INDEX('Pace of change parameters'!$E$19:$I$19,1,$B$5),0,(K64-INDEX('Pace of change parameters'!$E$19:$I$19,1,$B$5))/(INDEX('Pace of change parameters'!$E$18:$I$18,1,$B$5)-INDEX('Pace of change parameters'!$E$19:$I$19,1,$B$5))))</f>
        <v>0</v>
      </c>
      <c r="Q64" s="57">
        <v>1.0678845632092315E-2</v>
      </c>
      <c r="R64" s="57">
        <v>9.0547645222140982E-3</v>
      </c>
      <c r="S64" s="9">
        <f>MAX(IF(INDEX('Pace of change parameters'!$E$31:$I$31,1,$B$5)=1,D64*(1+Q64),D64),L64)</f>
        <v>238935</v>
      </c>
      <c r="T64" s="103">
        <f>IF(Q64&lt;INDEX('Pace of change parameters'!$E$24:$I$24,1,$B$5),INDEX('Pace of change parameters'!$E$24:$I$24,1,$B$5),Q64)</f>
        <v>3.0386941478720321E-2</v>
      </c>
      <c r="U64" s="132">
        <v>2.8731191014808921E-2</v>
      </c>
      <c r="V64" s="117">
        <f t="shared" si="10"/>
        <v>238935</v>
      </c>
      <c r="W64" s="131">
        <f>IF(J64&gt;INDEX('Pace of change parameters'!$E$26:$I$26,1,$B$5),0,IF(J64&lt;INDEX('Pace of change parameters'!$E$25:$I$25,1,$B$5),1,(J64-INDEX('Pace of change parameters'!$E$26:$I$26,1,$B$5))/(INDEX('Pace of change parameters'!$E$25:$I$25,1,$B$5)-INDEX('Pace of change parameters'!$E$26:$I$26,1,$B$5))))</f>
        <v>0.4531778214654808</v>
      </c>
      <c r="X64" s="132">
        <f>MIN(T64, T64+(INDEX('Pace of change parameters'!$E$27:$I$27,1,$B$5)-T64)*(1-W64))</f>
        <v>2.1309693315047305E-2</v>
      </c>
      <c r="Y64" s="132">
        <v>1.9668529272268698E-2</v>
      </c>
      <c r="Z64" s="108">
        <f t="shared" si="11"/>
        <v>238935</v>
      </c>
      <c r="AA64" s="97">
        <v>-2.5000000000000001E-2</v>
      </c>
      <c r="AB64" s="99">
        <f t="shared" si="2"/>
        <v>218630.05071452714</v>
      </c>
      <c r="AC64" s="99">
        <f>MAX(IF(INDEX('Pace of change parameters'!$E$29:$I$29,1,$B$5)=1,MAX(AB64,Z64),Z64),L64)</f>
        <v>238935</v>
      </c>
      <c r="AD64" s="97">
        <f t="shared" si="12"/>
        <v>3.1571183763632993E-2</v>
      </c>
      <c r="AE64" s="146">
        <v>2.9913530315867964E-2</v>
      </c>
      <c r="AF64" s="56">
        <f t="shared" si="13"/>
        <v>238935</v>
      </c>
      <c r="AG64" s="56">
        <v>1661.9365625784187</v>
      </c>
      <c r="AH64" s="16">
        <f t="shared" si="4"/>
        <v>3.1571183763632993E-2</v>
      </c>
      <c r="AI64" s="16">
        <f t="shared" si="5"/>
        <v>2.9913530315868186E-2</v>
      </c>
      <c r="AJ64" s="56"/>
      <c r="AK64" s="56">
        <v>224235.94945079708</v>
      </c>
      <c r="AL64" s="56">
        <v>1559.6958295635457</v>
      </c>
      <c r="AM64" s="16">
        <f t="shared" si="14"/>
        <v>6.5551712761509062E-2</v>
      </c>
      <c r="AN64" s="58">
        <f t="shared" si="15"/>
        <v>6.5551712761509062E-2</v>
      </c>
      <c r="AP64" s="56">
        <f t="shared" si="6"/>
        <v>1</v>
      </c>
      <c r="AQ64" s="56">
        <f t="shared" si="7"/>
        <v>0</v>
      </c>
    </row>
    <row r="65" spans="1:43" x14ac:dyDescent="0.2">
      <c r="A65" s="156" t="s">
        <v>175</v>
      </c>
      <c r="B65" s="156" t="s">
        <v>176</v>
      </c>
      <c r="D65" s="68">
        <v>234589.47937885998</v>
      </c>
      <c r="E65" s="73">
        <v>1448.6912986862385</v>
      </c>
      <c r="F65" s="55"/>
      <c r="G65" s="88">
        <v>228750.64533872873</v>
      </c>
      <c r="H65" s="81">
        <v>1408.8548688021647</v>
      </c>
      <c r="I65" s="90"/>
      <c r="J65" s="103">
        <f t="shared" si="8"/>
        <v>2.5524885542881126E-2</v>
      </c>
      <c r="K65" s="126">
        <f t="shared" si="9"/>
        <v>2.827575129718185E-2</v>
      </c>
      <c r="L65" s="56">
        <v>243090</v>
      </c>
      <c r="M65" s="103">
        <v>1.1761450859200329E-2</v>
      </c>
      <c r="N65" s="97">
        <f>INDEX('Pace of change parameters'!$E$22:$I$22,1,$B$5)</f>
        <v>9.0547645222140982E-3</v>
      </c>
      <c r="O65" s="108">
        <f>MAX(L65,IF(INDEX('Pace of change parameters'!$E$30:$I$30,1,$B$5)=1,(1+M65)*D65,D65))</f>
        <v>243090</v>
      </c>
      <c r="P65" s="94">
        <f>IF(K65&lt;INDEX('Pace of change parameters'!$E$18:$I$18,1,$B$5),1,IF(K65&gt;INDEX('Pace of change parameters'!$E$19:$I$19,1,$B$5),0,(K65-INDEX('Pace of change parameters'!$E$19:$I$19,1,$B$5))/(INDEX('Pace of change parameters'!$E$18:$I$18,1,$B$5)-INDEX('Pace of change parameters'!$E$19:$I$19,1,$B$5))))</f>
        <v>1.2893141606510627E-2</v>
      </c>
      <c r="Q65" s="57">
        <v>1.2644999346561825E-2</v>
      </c>
      <c r="R65" s="57">
        <v>9.9359493213595496E-3</v>
      </c>
      <c r="S65" s="9">
        <f>MAX(IF(INDEX('Pace of change parameters'!$E$31:$I$31,1,$B$5)=1,D65*(1+Q65),D65),L65)</f>
        <v>243090</v>
      </c>
      <c r="T65" s="103">
        <f>IF(Q65&lt;INDEX('Pace of change parameters'!$E$24:$I$24,1,$B$5),INDEX('Pace of change parameters'!$E$24:$I$24,1,$B$5),Q65)</f>
        <v>3.0386941478720321E-2</v>
      </c>
      <c r="U65" s="132">
        <v>2.7630427822323389E-2</v>
      </c>
      <c r="V65" s="117">
        <f t="shared" si="10"/>
        <v>243090</v>
      </c>
      <c r="W65" s="131">
        <f>IF(J65&gt;INDEX('Pace of change parameters'!$E$26:$I$26,1,$B$5),0,IF(J65&lt;INDEX('Pace of change parameters'!$E$25:$I$25,1,$B$5),1,(J65-INDEX('Pace of change parameters'!$E$26:$I$26,1,$B$5))/(INDEX('Pace of change parameters'!$E$25:$I$25,1,$B$5)-INDEX('Pace of change parameters'!$E$26:$I$26,1,$B$5))))</f>
        <v>1</v>
      </c>
      <c r="X65" s="132">
        <f>MIN(T65, T65+(INDEX('Pace of change parameters'!$E$27:$I$27,1,$B$5)-T65)*(1-W65))</f>
        <v>3.0386941478720321E-2</v>
      </c>
      <c r="Y65" s="132">
        <v>2.7630427822323389E-2</v>
      </c>
      <c r="Z65" s="108">
        <f t="shared" si="11"/>
        <v>243090</v>
      </c>
      <c r="AA65" s="97">
        <v>-2.5000000000000001E-2</v>
      </c>
      <c r="AB65" s="99">
        <f t="shared" si="2"/>
        <v>232624.94503129827</v>
      </c>
      <c r="AC65" s="99">
        <f>MAX(IF(INDEX('Pace of change parameters'!$E$29:$I$29,1,$B$5)=1,MAX(AB65,Z65),Z65),L65)</f>
        <v>243090</v>
      </c>
      <c r="AD65" s="97">
        <f t="shared" si="12"/>
        <v>3.6235728233199094E-2</v>
      </c>
      <c r="AE65" s="146">
        <v>3.3463567774699721E-2</v>
      </c>
      <c r="AF65" s="56">
        <f t="shared" si="13"/>
        <v>243090</v>
      </c>
      <c r="AG65" s="56">
        <v>1497.1696781444434</v>
      </c>
      <c r="AH65" s="16">
        <f t="shared" si="4"/>
        <v>3.6235728233199094E-2</v>
      </c>
      <c r="AI65" s="16">
        <f t="shared" si="5"/>
        <v>3.3463567774699943E-2</v>
      </c>
      <c r="AJ65" s="56"/>
      <c r="AK65" s="56">
        <v>238589.68721158797</v>
      </c>
      <c r="AL65" s="56">
        <v>1469.4526521500538</v>
      </c>
      <c r="AM65" s="16">
        <f t="shared" si="14"/>
        <v>1.886214295767541E-2</v>
      </c>
      <c r="AN65" s="58">
        <f t="shared" si="15"/>
        <v>1.886214295767541E-2</v>
      </c>
      <c r="AP65" s="56">
        <f t="shared" si="6"/>
        <v>1</v>
      </c>
      <c r="AQ65" s="56">
        <f t="shared" si="7"/>
        <v>0</v>
      </c>
    </row>
    <row r="66" spans="1:43" x14ac:dyDescent="0.2">
      <c r="A66" s="156" t="s">
        <v>177</v>
      </c>
      <c r="B66" s="156" t="s">
        <v>178</v>
      </c>
      <c r="D66" s="68">
        <v>479080.93349954963</v>
      </c>
      <c r="E66" s="73">
        <v>1644.4388004817481</v>
      </c>
      <c r="F66" s="55"/>
      <c r="G66" s="88">
        <v>469545.53646837198</v>
      </c>
      <c r="H66" s="81">
        <v>1607.1749489635226</v>
      </c>
      <c r="I66" s="90"/>
      <c r="J66" s="103">
        <f t="shared" si="8"/>
        <v>2.0307715206701715E-2</v>
      </c>
      <c r="K66" s="126">
        <f t="shared" si="9"/>
        <v>2.318593351785192E-2</v>
      </c>
      <c r="L66" s="56">
        <v>496739</v>
      </c>
      <c r="M66" s="103">
        <v>1.1901239028792698E-2</v>
      </c>
      <c r="N66" s="97">
        <f>INDEX('Pace of change parameters'!$E$22:$I$22,1,$B$5)</f>
        <v>9.0547645222140982E-3</v>
      </c>
      <c r="O66" s="108">
        <f>MAX(L66,IF(INDEX('Pace of change parameters'!$E$30:$I$30,1,$B$5)=1,(1+M66)*D66,D66))</f>
        <v>496739</v>
      </c>
      <c r="P66" s="94">
        <f>IF(K66&lt;INDEX('Pace of change parameters'!$E$18:$I$18,1,$B$5),1,IF(K66&gt;INDEX('Pace of change parameters'!$E$19:$I$19,1,$B$5),0,(K66-INDEX('Pace of change parameters'!$E$19:$I$19,1,$B$5))/(INDEX('Pace of change parameters'!$E$18:$I$18,1,$B$5)-INDEX('Pace of change parameters'!$E$19:$I$19,1,$B$5))))</f>
        <v>5.9294981148218441E-2</v>
      </c>
      <c r="Q66" s="57">
        <v>1.5965200386543366E-2</v>
      </c>
      <c r="R66" s="57">
        <v>1.3107293971440059E-2</v>
      </c>
      <c r="S66" s="9">
        <f>MAX(IF(INDEX('Pace of change parameters'!$E$31:$I$31,1,$B$5)=1,D66*(1+Q66),D66),L66)</f>
        <v>496739</v>
      </c>
      <c r="T66" s="103">
        <f>IF(Q66&lt;INDEX('Pace of change parameters'!$E$24:$I$24,1,$B$5),INDEX('Pace of change parameters'!$E$24:$I$24,1,$B$5),Q66)</f>
        <v>3.0386941478720321E-2</v>
      </c>
      <c r="U66" s="132">
        <v>2.7488466758355479E-2</v>
      </c>
      <c r="V66" s="117">
        <f t="shared" si="10"/>
        <v>496739</v>
      </c>
      <c r="W66" s="131">
        <f>IF(J66&gt;INDEX('Pace of change parameters'!$E$26:$I$26,1,$B$5),0,IF(J66&lt;INDEX('Pace of change parameters'!$E$25:$I$25,1,$B$5),1,(J66-INDEX('Pace of change parameters'!$E$26:$I$26,1,$B$5))/(INDEX('Pace of change parameters'!$E$25:$I$25,1,$B$5)-INDEX('Pace of change parameters'!$E$26:$I$26,1,$B$5))))</f>
        <v>1</v>
      </c>
      <c r="X66" s="132">
        <f>MIN(T66, T66+(INDEX('Pace of change parameters'!$E$27:$I$27,1,$B$5)-T66)*(1-W66))</f>
        <v>3.0386941478720321E-2</v>
      </c>
      <c r="Y66" s="132">
        <v>2.7488466758355479E-2</v>
      </c>
      <c r="Z66" s="108">
        <f t="shared" si="11"/>
        <v>496739</v>
      </c>
      <c r="AA66" s="97">
        <v>-2.5000000000000001E-2</v>
      </c>
      <c r="AB66" s="99">
        <f t="shared" si="2"/>
        <v>477673.81005255191</v>
      </c>
      <c r="AC66" s="99">
        <f>MAX(IF(INDEX('Pace of change parameters'!$E$29:$I$29,1,$B$5)=1,MAX(AB66,Z66),Z66),L66)</f>
        <v>496739</v>
      </c>
      <c r="AD66" s="97">
        <f t="shared" si="12"/>
        <v>3.6858211766983118E-2</v>
      </c>
      <c r="AE66" s="146">
        <v>3.3941533386824041E-2</v>
      </c>
      <c r="AF66" s="56">
        <f t="shared" si="13"/>
        <v>496739</v>
      </c>
      <c r="AG66" s="56">
        <v>1700.2535749308884</v>
      </c>
      <c r="AH66" s="16">
        <f t="shared" si="4"/>
        <v>3.6858211766983118E-2</v>
      </c>
      <c r="AI66" s="16">
        <f t="shared" si="5"/>
        <v>3.3941533386824041E-2</v>
      </c>
      <c r="AJ66" s="56"/>
      <c r="AK66" s="56">
        <v>489921.85646415583</v>
      </c>
      <c r="AL66" s="56">
        <v>1676.9196457092328</v>
      </c>
      <c r="AM66" s="16">
        <f t="shared" si="14"/>
        <v>1.3914756906427073E-2</v>
      </c>
      <c r="AN66" s="58">
        <f t="shared" si="15"/>
        <v>1.3914756906426851E-2</v>
      </c>
      <c r="AP66" s="56">
        <f t="shared" si="6"/>
        <v>1</v>
      </c>
      <c r="AQ66" s="56">
        <f t="shared" si="7"/>
        <v>0</v>
      </c>
    </row>
    <row r="67" spans="1:43" x14ac:dyDescent="0.2">
      <c r="A67" s="156" t="s">
        <v>179</v>
      </c>
      <c r="B67" s="156" t="s">
        <v>180</v>
      </c>
      <c r="D67" s="68">
        <v>320214.71769916563</v>
      </c>
      <c r="E67" s="73">
        <v>1511.9516013540158</v>
      </c>
      <c r="F67" s="55"/>
      <c r="G67" s="88">
        <v>308078.4457767522</v>
      </c>
      <c r="H67" s="81">
        <v>1443.4670095605852</v>
      </c>
      <c r="I67" s="90"/>
      <c r="J67" s="103">
        <f t="shared" si="8"/>
        <v>3.9393446989822722E-2</v>
      </c>
      <c r="K67" s="126">
        <f t="shared" si="9"/>
        <v>4.7444514727273512E-2</v>
      </c>
      <c r="L67" s="56">
        <v>332507</v>
      </c>
      <c r="M67" s="103">
        <v>1.6870830982411267E-2</v>
      </c>
      <c r="N67" s="97">
        <f>INDEX('Pace of change parameters'!$E$22:$I$22,1,$B$5)</f>
        <v>9.0547645222140982E-3</v>
      </c>
      <c r="O67" s="108">
        <f>MAX(L67,IF(INDEX('Pace of change parameters'!$E$30:$I$30,1,$B$5)=1,(1+M67)*D67,D67))</f>
        <v>332507</v>
      </c>
      <c r="P67" s="94">
        <f>IF(K67&lt;INDEX('Pace of change parameters'!$E$18:$I$18,1,$B$5),1,IF(K67&gt;INDEX('Pace of change parameters'!$E$19:$I$19,1,$B$5),0,(K67-INDEX('Pace of change parameters'!$E$19:$I$19,1,$B$5))/(INDEX('Pace of change parameters'!$E$18:$I$18,1,$B$5)-INDEX('Pace of change parameters'!$E$19:$I$19,1,$B$5))))</f>
        <v>0</v>
      </c>
      <c r="Q67" s="57">
        <v>1.6870830982411267E-2</v>
      </c>
      <c r="R67" s="57">
        <v>9.0547645222140982E-3</v>
      </c>
      <c r="S67" s="9">
        <f>MAX(IF(INDEX('Pace of change parameters'!$E$31:$I$31,1,$B$5)=1,D67*(1+Q67),D67),L67)</f>
        <v>332507</v>
      </c>
      <c r="T67" s="103">
        <f>IF(Q67&lt;INDEX('Pace of change parameters'!$E$24:$I$24,1,$B$5),INDEX('Pace of change parameters'!$E$24:$I$24,1,$B$5),Q67)</f>
        <v>3.0386941478720321E-2</v>
      </c>
      <c r="U67" s="132">
        <v>2.2466984913011467E-2</v>
      </c>
      <c r="V67" s="117">
        <f t="shared" si="10"/>
        <v>332507</v>
      </c>
      <c r="W67" s="131">
        <f>IF(J67&gt;INDEX('Pace of change parameters'!$E$26:$I$26,1,$B$5),0,IF(J67&lt;INDEX('Pace of change parameters'!$E$25:$I$25,1,$B$5),1,(J67-INDEX('Pace of change parameters'!$E$26:$I$26,1,$B$5))/(INDEX('Pace of change parameters'!$E$25:$I$25,1,$B$5)-INDEX('Pace of change parameters'!$E$26:$I$26,1,$B$5))))</f>
        <v>1</v>
      </c>
      <c r="X67" s="132">
        <f>MIN(T67, T67+(INDEX('Pace of change parameters'!$E$27:$I$27,1,$B$5)-T67)*(1-W67))</f>
        <v>3.0386941478720321E-2</v>
      </c>
      <c r="Y67" s="132">
        <v>2.2466984913011467E-2</v>
      </c>
      <c r="Z67" s="108">
        <f t="shared" si="11"/>
        <v>332507</v>
      </c>
      <c r="AA67" s="97">
        <v>-2.5000000000000001E-2</v>
      </c>
      <c r="AB67" s="99">
        <f t="shared" si="2"/>
        <v>313400.258560827</v>
      </c>
      <c r="AC67" s="99">
        <f>MAX(IF(INDEX('Pace of change parameters'!$E$29:$I$29,1,$B$5)=1,MAX(AB67,Z67),Z67),L67)</f>
        <v>332507</v>
      </c>
      <c r="AD67" s="97">
        <f t="shared" si="12"/>
        <v>3.8387624370166185E-2</v>
      </c>
      <c r="AE67" s="146">
        <v>3.0406171430187312E-2</v>
      </c>
      <c r="AF67" s="56">
        <f t="shared" si="13"/>
        <v>332507</v>
      </c>
      <c r="AG67" s="56">
        <v>1557.9242609389321</v>
      </c>
      <c r="AH67" s="16">
        <f t="shared" si="4"/>
        <v>3.8387624370166185E-2</v>
      </c>
      <c r="AI67" s="16">
        <f t="shared" si="5"/>
        <v>3.0406171430187312E-2</v>
      </c>
      <c r="AJ67" s="56"/>
      <c r="AK67" s="56">
        <v>321436.16262648924</v>
      </c>
      <c r="AL67" s="56">
        <v>1506.0530939165778</v>
      </c>
      <c r="AM67" s="16">
        <f t="shared" si="14"/>
        <v>3.4441791748164752E-2</v>
      </c>
      <c r="AN67" s="58">
        <f t="shared" si="15"/>
        <v>3.4441791748164974E-2</v>
      </c>
      <c r="AP67" s="56">
        <f t="shared" si="6"/>
        <v>1</v>
      </c>
      <c r="AQ67" s="56">
        <f t="shared" si="7"/>
        <v>0</v>
      </c>
    </row>
    <row r="68" spans="1:43" x14ac:dyDescent="0.2">
      <c r="A68" s="156" t="s">
        <v>181</v>
      </c>
      <c r="B68" s="156" t="s">
        <v>182</v>
      </c>
      <c r="D68" s="68">
        <v>468714.86174044461</v>
      </c>
      <c r="E68" s="73">
        <v>1718.1188962909478</v>
      </c>
      <c r="F68" s="55"/>
      <c r="G68" s="88">
        <v>462143.46816105419</v>
      </c>
      <c r="H68" s="81">
        <v>1681.4867489044886</v>
      </c>
      <c r="I68" s="90"/>
      <c r="J68" s="103">
        <f t="shared" si="8"/>
        <v>1.4219379980721314E-2</v>
      </c>
      <c r="K68" s="126">
        <f t="shared" si="9"/>
        <v>2.1785570067873294E-2</v>
      </c>
      <c r="L68" s="56">
        <v>486851</v>
      </c>
      <c r="M68" s="103">
        <v>1.6582426000016248E-2</v>
      </c>
      <c r="N68" s="97">
        <f>INDEX('Pace of change parameters'!$E$22:$I$22,1,$B$5)</f>
        <v>9.0547645222140982E-3</v>
      </c>
      <c r="O68" s="108">
        <f>MAX(L68,IF(INDEX('Pace of change parameters'!$E$30:$I$30,1,$B$5)=1,(1+M68)*D68,D68))</f>
        <v>486851</v>
      </c>
      <c r="P68" s="94">
        <f>IF(K68&lt;INDEX('Pace of change parameters'!$E$18:$I$18,1,$B$5),1,IF(K68&gt;INDEX('Pace of change parameters'!$E$19:$I$19,1,$B$5),0,(K68-INDEX('Pace of change parameters'!$E$19:$I$19,1,$B$5))/(INDEX('Pace of change parameters'!$E$18:$I$18,1,$B$5)-INDEX('Pace of change parameters'!$E$19:$I$19,1,$B$5))))</f>
        <v>7.2061536440210641E-2</v>
      </c>
      <c r="Q68" s="57">
        <v>2.1544230195701397E-2</v>
      </c>
      <c r="R68" s="57">
        <v>1.3979827199111394E-2</v>
      </c>
      <c r="S68" s="9">
        <f>MAX(IF(INDEX('Pace of change parameters'!$E$31:$I$31,1,$B$5)=1,D68*(1+Q68),D68),L68)</f>
        <v>486851</v>
      </c>
      <c r="T68" s="103">
        <f>IF(Q68&lt;INDEX('Pace of change parameters'!$E$24:$I$24,1,$B$5),INDEX('Pace of change parameters'!$E$24:$I$24,1,$B$5),Q68)</f>
        <v>3.0386941478720321E-2</v>
      </c>
      <c r="U68" s="132">
        <v>2.2757059347942921E-2</v>
      </c>
      <c r="V68" s="117">
        <f t="shared" si="10"/>
        <v>486851</v>
      </c>
      <c r="W68" s="131">
        <f>IF(J68&gt;INDEX('Pace of change parameters'!$E$26:$I$26,1,$B$5),0,IF(J68&lt;INDEX('Pace of change parameters'!$E$25:$I$25,1,$B$5),1,(J68-INDEX('Pace of change parameters'!$E$26:$I$26,1,$B$5))/(INDEX('Pace of change parameters'!$E$25:$I$25,1,$B$5)-INDEX('Pace of change parameters'!$E$26:$I$26,1,$B$5))))</f>
        <v>1</v>
      </c>
      <c r="X68" s="132">
        <f>MIN(T68, T68+(INDEX('Pace of change parameters'!$E$27:$I$27,1,$B$5)-T68)*(1-W68))</f>
        <v>3.0386941478720321E-2</v>
      </c>
      <c r="Y68" s="132">
        <v>2.2757059347942921E-2</v>
      </c>
      <c r="Z68" s="108">
        <f t="shared" si="11"/>
        <v>486851</v>
      </c>
      <c r="AA68" s="97">
        <v>-2.5000000000000001E-2</v>
      </c>
      <c r="AB68" s="99">
        <f t="shared" si="2"/>
        <v>470134.47681020317</v>
      </c>
      <c r="AC68" s="99">
        <f>MAX(IF(INDEX('Pace of change parameters'!$E$29:$I$29,1,$B$5)=1,MAX(AB68,Z68),Z68),L68)</f>
        <v>486851</v>
      </c>
      <c r="AD68" s="97">
        <f t="shared" si="12"/>
        <v>3.8693328801676641E-2</v>
      </c>
      <c r="AE68" s="146">
        <v>3.1001938946319862E-2</v>
      </c>
      <c r="AF68" s="56">
        <f t="shared" si="13"/>
        <v>486851</v>
      </c>
      <c r="AG68" s="56">
        <v>1771.3839134162779</v>
      </c>
      <c r="AH68" s="16">
        <f t="shared" si="4"/>
        <v>3.8693328801676641E-2</v>
      </c>
      <c r="AI68" s="16">
        <f t="shared" si="5"/>
        <v>3.100193894631964E-2</v>
      </c>
      <c r="AJ68" s="56"/>
      <c r="AK68" s="56">
        <v>482189.20698482374</v>
      </c>
      <c r="AL68" s="56">
        <v>1754.4222040744885</v>
      </c>
      <c r="AM68" s="16">
        <f t="shared" si="14"/>
        <v>9.6679746200187822E-3</v>
      </c>
      <c r="AN68" s="58">
        <f t="shared" si="15"/>
        <v>9.6679746200187822E-3</v>
      </c>
      <c r="AP68" s="56">
        <f t="shared" si="6"/>
        <v>1</v>
      </c>
      <c r="AQ68" s="56">
        <f t="shared" si="7"/>
        <v>0</v>
      </c>
    </row>
    <row r="69" spans="1:43" x14ac:dyDescent="0.2">
      <c r="A69" s="156" t="s">
        <v>183</v>
      </c>
      <c r="B69" s="156" t="s">
        <v>184</v>
      </c>
      <c r="D69" s="68">
        <v>515101.51708376</v>
      </c>
      <c r="E69" s="73">
        <v>1404.4456725253501</v>
      </c>
      <c r="F69" s="55"/>
      <c r="G69" s="88">
        <v>499935.97063543589</v>
      </c>
      <c r="H69" s="81">
        <v>1354.0915494250048</v>
      </c>
      <c r="I69" s="90"/>
      <c r="J69" s="103">
        <f t="shared" si="8"/>
        <v>3.0334977555322107E-2</v>
      </c>
      <c r="K69" s="126">
        <f t="shared" si="9"/>
        <v>3.7186646000211265E-2</v>
      </c>
      <c r="L69" s="56">
        <v>534487</v>
      </c>
      <c r="M69" s="103">
        <v>1.5764920772219471E-2</v>
      </c>
      <c r="N69" s="97">
        <f>INDEX('Pace of change parameters'!$E$22:$I$22,1,$B$5)</f>
        <v>9.0547645222140982E-3</v>
      </c>
      <c r="O69" s="108">
        <f>MAX(L69,IF(INDEX('Pace of change parameters'!$E$30:$I$30,1,$B$5)=1,(1+M69)*D69,D69))</f>
        <v>534487</v>
      </c>
      <c r="P69" s="94">
        <f>IF(K69&lt;INDEX('Pace of change parameters'!$E$18:$I$18,1,$B$5),1,IF(K69&gt;INDEX('Pace of change parameters'!$E$19:$I$19,1,$B$5),0,(K69-INDEX('Pace of change parameters'!$E$19:$I$19,1,$B$5))/(INDEX('Pace of change parameters'!$E$18:$I$18,1,$B$5)-INDEX('Pace of change parameters'!$E$19:$I$19,1,$B$5))))</f>
        <v>0</v>
      </c>
      <c r="Q69" s="57">
        <v>1.5764920772219471E-2</v>
      </c>
      <c r="R69" s="57">
        <v>9.0547645222140982E-3</v>
      </c>
      <c r="S69" s="9">
        <f>MAX(IF(INDEX('Pace of change parameters'!$E$31:$I$31,1,$B$5)=1,D69*(1+Q69),D69),L69)</f>
        <v>534487</v>
      </c>
      <c r="T69" s="103">
        <f>IF(Q69&lt;INDEX('Pace of change parameters'!$E$24:$I$24,1,$B$5),INDEX('Pace of change parameters'!$E$24:$I$24,1,$B$5),Q69)</f>
        <v>3.0386941478720321E-2</v>
      </c>
      <c r="U69" s="132">
        <v>2.3580191970151931E-2</v>
      </c>
      <c r="V69" s="117">
        <f t="shared" si="10"/>
        <v>534487</v>
      </c>
      <c r="W69" s="131">
        <f>IF(J69&gt;INDEX('Pace of change parameters'!$E$26:$I$26,1,$B$5),0,IF(J69&lt;INDEX('Pace of change parameters'!$E$25:$I$25,1,$B$5),1,(J69-INDEX('Pace of change parameters'!$E$26:$I$26,1,$B$5))/(INDEX('Pace of change parameters'!$E$25:$I$25,1,$B$5)-INDEX('Pace of change parameters'!$E$26:$I$26,1,$B$5))))</f>
        <v>1</v>
      </c>
      <c r="X69" s="132">
        <f>MIN(T69, T69+(INDEX('Pace of change parameters'!$E$27:$I$27,1,$B$5)-T69)*(1-W69))</f>
        <v>3.0386941478720321E-2</v>
      </c>
      <c r="Y69" s="132">
        <v>2.3580191970151931E-2</v>
      </c>
      <c r="Z69" s="108">
        <f t="shared" si="11"/>
        <v>534487</v>
      </c>
      <c r="AA69" s="97">
        <v>-2.5000000000000001E-2</v>
      </c>
      <c r="AB69" s="99">
        <f t="shared" si="2"/>
        <v>508241.85289572965</v>
      </c>
      <c r="AC69" s="99">
        <f>MAX(IF(INDEX('Pace of change parameters'!$E$29:$I$29,1,$B$5)=1,MAX(AB69,Z69),Z69),L69)</f>
        <v>534487</v>
      </c>
      <c r="AD69" s="97">
        <f t="shared" si="12"/>
        <v>3.7634295907320592E-2</v>
      </c>
      <c r="AE69" s="146">
        <v>3.0779670281334992E-2</v>
      </c>
      <c r="AF69" s="56">
        <f t="shared" si="13"/>
        <v>534487</v>
      </c>
      <c r="AG69" s="56">
        <v>1447.6740472537283</v>
      </c>
      <c r="AH69" s="16">
        <f t="shared" si="4"/>
        <v>3.7634295907320592E-2</v>
      </c>
      <c r="AI69" s="16">
        <f t="shared" si="5"/>
        <v>3.0779670281334992E-2</v>
      </c>
      <c r="AJ69" s="56"/>
      <c r="AK69" s="56">
        <v>521273.69527767145</v>
      </c>
      <c r="AL69" s="56">
        <v>1411.8854156780862</v>
      </c>
      <c r="AM69" s="16">
        <f t="shared" si="14"/>
        <v>2.5348113365455838E-2</v>
      </c>
      <c r="AN69" s="58">
        <f t="shared" si="15"/>
        <v>2.534811336545606E-2</v>
      </c>
      <c r="AP69" s="56">
        <f t="shared" si="6"/>
        <v>1</v>
      </c>
      <c r="AQ69" s="56">
        <f t="shared" si="7"/>
        <v>0</v>
      </c>
    </row>
    <row r="70" spans="1:43" x14ac:dyDescent="0.2">
      <c r="A70" s="156" t="s">
        <v>185</v>
      </c>
      <c r="B70" s="156" t="s">
        <v>186</v>
      </c>
      <c r="D70" s="68">
        <v>278455.36951847072</v>
      </c>
      <c r="E70" s="73">
        <v>1648.0842434375061</v>
      </c>
      <c r="F70" s="55"/>
      <c r="G70" s="88">
        <v>269602.94959400216</v>
      </c>
      <c r="H70" s="81">
        <v>1593.7678008120588</v>
      </c>
      <c r="I70" s="90"/>
      <c r="J70" s="103">
        <f t="shared" si="8"/>
        <v>3.2835026240623622E-2</v>
      </c>
      <c r="K70" s="126">
        <f t="shared" si="9"/>
        <v>3.4080524526704403E-2</v>
      </c>
      <c r="L70" s="56">
        <v>288388</v>
      </c>
      <c r="M70" s="103">
        <v>1.0271586132485133E-2</v>
      </c>
      <c r="N70" s="97">
        <f>INDEX('Pace of change parameters'!$E$22:$I$22,1,$B$5)</f>
        <v>9.0547645222140982E-3</v>
      </c>
      <c r="O70" s="108">
        <f>MAX(L70,IF(INDEX('Pace of change parameters'!$E$30:$I$30,1,$B$5)=1,(1+M70)*D70,D70))</f>
        <v>288388</v>
      </c>
      <c r="P70" s="94">
        <f>IF(K70&lt;INDEX('Pace of change parameters'!$E$18:$I$18,1,$B$5),1,IF(K70&gt;INDEX('Pace of change parameters'!$E$19:$I$19,1,$B$5),0,(K70-INDEX('Pace of change parameters'!$E$19:$I$19,1,$B$5))/(INDEX('Pace of change parameters'!$E$18:$I$18,1,$B$5)-INDEX('Pace of change parameters'!$E$19:$I$19,1,$B$5))))</f>
        <v>0</v>
      </c>
      <c r="Q70" s="57">
        <v>1.0271586132485133E-2</v>
      </c>
      <c r="R70" s="57">
        <v>9.0547645222140982E-3</v>
      </c>
      <c r="S70" s="9">
        <f>MAX(IF(INDEX('Pace of change parameters'!$E$31:$I$31,1,$B$5)=1,D70*(1+Q70),D70),L70)</f>
        <v>288388</v>
      </c>
      <c r="T70" s="103">
        <f>IF(Q70&lt;INDEX('Pace of change parameters'!$E$24:$I$24,1,$B$5),INDEX('Pace of change parameters'!$E$24:$I$24,1,$B$5),Q70)</f>
        <v>3.0386941478720321E-2</v>
      </c>
      <c r="U70" s="132">
        <v>2.914589192873529E-2</v>
      </c>
      <c r="V70" s="117">
        <f t="shared" si="10"/>
        <v>288388</v>
      </c>
      <c r="W70" s="131">
        <f>IF(J70&gt;INDEX('Pace of change parameters'!$E$26:$I$26,1,$B$5),0,IF(J70&lt;INDEX('Pace of change parameters'!$E$25:$I$25,1,$B$5),1,(J70-INDEX('Pace of change parameters'!$E$26:$I$26,1,$B$5))/(INDEX('Pace of change parameters'!$E$25:$I$25,1,$B$5)-INDEX('Pace of change parameters'!$E$26:$I$26,1,$B$5))))</f>
        <v>1</v>
      </c>
      <c r="X70" s="132">
        <f>MIN(T70, T70+(INDEX('Pace of change parameters'!$E$27:$I$27,1,$B$5)-T70)*(1-W70))</f>
        <v>3.0386941478720321E-2</v>
      </c>
      <c r="Y70" s="132">
        <v>2.914589192873529E-2</v>
      </c>
      <c r="Z70" s="108">
        <f t="shared" si="11"/>
        <v>288388</v>
      </c>
      <c r="AA70" s="97">
        <v>-2.5000000000000001E-2</v>
      </c>
      <c r="AB70" s="99">
        <f t="shared" si="2"/>
        <v>274218.85130179708</v>
      </c>
      <c r="AC70" s="99">
        <f>MAX(IF(INDEX('Pace of change parameters'!$E$29:$I$29,1,$B$5)=1,MAX(AB70,Z70),Z70),L70)</f>
        <v>288388</v>
      </c>
      <c r="AD70" s="97">
        <f t="shared" si="12"/>
        <v>3.5670457706402425E-2</v>
      </c>
      <c r="AE70" s="146">
        <v>3.4423044425305527E-2</v>
      </c>
      <c r="AF70" s="56">
        <f t="shared" si="13"/>
        <v>288388</v>
      </c>
      <c r="AG70" s="56">
        <v>1704.8163205660017</v>
      </c>
      <c r="AH70" s="16">
        <f t="shared" si="4"/>
        <v>3.5670457706402425E-2</v>
      </c>
      <c r="AI70" s="16">
        <f t="shared" si="5"/>
        <v>3.4423044425305749E-2</v>
      </c>
      <c r="AJ70" s="56"/>
      <c r="AK70" s="56">
        <v>281250.10389927909</v>
      </c>
      <c r="AL70" s="56">
        <v>1662.6203839562486</v>
      </c>
      <c r="AM70" s="16">
        <f t="shared" si="14"/>
        <v>2.5379176760329747E-2</v>
      </c>
      <c r="AN70" s="58">
        <f t="shared" si="15"/>
        <v>2.5379176760329747E-2</v>
      </c>
      <c r="AP70" s="56">
        <f t="shared" si="6"/>
        <v>1</v>
      </c>
      <c r="AQ70" s="56">
        <f t="shared" si="7"/>
        <v>0</v>
      </c>
    </row>
    <row r="71" spans="1:43" x14ac:dyDescent="0.2">
      <c r="A71" s="156" t="s">
        <v>187</v>
      </c>
      <c r="B71" s="156" t="s">
        <v>188</v>
      </c>
      <c r="D71" s="68">
        <v>296321.8933848429</v>
      </c>
      <c r="E71" s="73">
        <v>1559.2032149144311</v>
      </c>
      <c r="F71" s="55"/>
      <c r="G71" s="88">
        <v>280039.53612701752</v>
      </c>
      <c r="H71" s="81">
        <v>1463.2336185990093</v>
      </c>
      <c r="I71" s="90"/>
      <c r="J71" s="103">
        <f t="shared" si="8"/>
        <v>5.8143066093496953E-2</v>
      </c>
      <c r="K71" s="126">
        <f t="shared" si="9"/>
        <v>6.558733690612506E-2</v>
      </c>
      <c r="L71" s="56">
        <v>306081</v>
      </c>
      <c r="M71" s="103">
        <v>1.6153688261900889E-2</v>
      </c>
      <c r="N71" s="97">
        <f>INDEX('Pace of change parameters'!$E$22:$I$22,1,$B$5)</f>
        <v>9.0547645222140982E-3</v>
      </c>
      <c r="O71" s="108">
        <f>MAX(L71,IF(INDEX('Pace of change parameters'!$E$30:$I$30,1,$B$5)=1,(1+M71)*D71,D71))</f>
        <v>306081</v>
      </c>
      <c r="P71" s="94">
        <f>IF(K71&lt;INDEX('Pace of change parameters'!$E$18:$I$18,1,$B$5),1,IF(K71&gt;INDEX('Pace of change parameters'!$E$19:$I$19,1,$B$5),0,(K71-INDEX('Pace of change parameters'!$E$19:$I$19,1,$B$5))/(INDEX('Pace of change parameters'!$E$18:$I$18,1,$B$5)-INDEX('Pace of change parameters'!$E$19:$I$19,1,$B$5))))</f>
        <v>0</v>
      </c>
      <c r="Q71" s="57">
        <v>1.6153688261900889E-2</v>
      </c>
      <c r="R71" s="57">
        <v>9.0547645222140982E-3</v>
      </c>
      <c r="S71" s="9">
        <f>MAX(IF(INDEX('Pace of change parameters'!$E$31:$I$31,1,$B$5)=1,D71*(1+Q71),D71),L71)</f>
        <v>306081</v>
      </c>
      <c r="T71" s="103">
        <f>IF(Q71&lt;INDEX('Pace of change parameters'!$E$24:$I$24,1,$B$5),INDEX('Pace of change parameters'!$E$24:$I$24,1,$B$5),Q71)</f>
        <v>3.0386941478720321E-2</v>
      </c>
      <c r="U71" s="132">
        <v>2.3188583194514223E-2</v>
      </c>
      <c r="V71" s="117">
        <f t="shared" si="10"/>
        <v>306081</v>
      </c>
      <c r="W71" s="131">
        <f>IF(J71&gt;INDEX('Pace of change parameters'!$E$26:$I$26,1,$B$5),0,IF(J71&lt;INDEX('Pace of change parameters'!$E$25:$I$25,1,$B$5),1,(J71-INDEX('Pace of change parameters'!$E$26:$I$26,1,$B$5))/(INDEX('Pace of change parameters'!$E$25:$I$25,1,$B$5)-INDEX('Pace of change parameters'!$E$26:$I$26,1,$B$5))))</f>
        <v>0.83713867813006104</v>
      </c>
      <c r="X71" s="132">
        <f>MIN(T71, T71+(INDEX('Pace of change parameters'!$E$27:$I$27,1,$B$5)-T71)*(1-W71))</f>
        <v>2.7683443535679336E-2</v>
      </c>
      <c r="Y71" s="132">
        <v>2.0503972085177402E-2</v>
      </c>
      <c r="Z71" s="108">
        <f t="shared" si="11"/>
        <v>306081</v>
      </c>
      <c r="AA71" s="97">
        <v>-2.5000000000000001E-2</v>
      </c>
      <c r="AB71" s="99">
        <f t="shared" si="2"/>
        <v>284833.61514449783</v>
      </c>
      <c r="AC71" s="99">
        <f>MAX(IF(INDEX('Pace of change parameters'!$E$29:$I$29,1,$B$5)=1,MAX(AB71,Z71),Z71),L71)</f>
        <v>306081</v>
      </c>
      <c r="AD71" s="97">
        <f t="shared" si="12"/>
        <v>3.2934139640106164E-2</v>
      </c>
      <c r="AE71" s="146">
        <v>2.5717986443864138E-2</v>
      </c>
      <c r="AF71" s="56">
        <f t="shared" si="13"/>
        <v>306081</v>
      </c>
      <c r="AG71" s="56">
        <v>1599.3027820588304</v>
      </c>
      <c r="AH71" s="16">
        <f t="shared" si="4"/>
        <v>3.2934139640106164E-2</v>
      </c>
      <c r="AI71" s="16">
        <f t="shared" si="5"/>
        <v>2.5717986443864582E-2</v>
      </c>
      <c r="AJ71" s="56"/>
      <c r="AK71" s="56">
        <v>292137.04117384396</v>
      </c>
      <c r="AL71" s="56">
        <v>1526.4442506779701</v>
      </c>
      <c r="AM71" s="16">
        <f t="shared" si="14"/>
        <v>4.7730882636886518E-2</v>
      </c>
      <c r="AN71" s="58">
        <f t="shared" si="15"/>
        <v>4.7730882636886518E-2</v>
      </c>
      <c r="AP71" s="56">
        <f t="shared" si="6"/>
        <v>1</v>
      </c>
      <c r="AQ71" s="56">
        <f t="shared" si="7"/>
        <v>0</v>
      </c>
    </row>
    <row r="72" spans="1:43" x14ac:dyDescent="0.2">
      <c r="A72" s="156" t="s">
        <v>189</v>
      </c>
      <c r="B72" s="156" t="s">
        <v>190</v>
      </c>
      <c r="D72" s="68">
        <v>264438.792031725</v>
      </c>
      <c r="E72" s="73">
        <v>1540.7941269146395</v>
      </c>
      <c r="F72" s="55"/>
      <c r="G72" s="88">
        <v>264599.88799151912</v>
      </c>
      <c r="H72" s="81">
        <v>1534.167007091065</v>
      </c>
      <c r="I72" s="90"/>
      <c r="J72" s="103">
        <f t="shared" si="8"/>
        <v>-6.0882852603205695E-4</v>
      </c>
      <c r="K72" s="126">
        <f t="shared" si="9"/>
        <v>4.3196860530458903E-3</v>
      </c>
      <c r="L72" s="56">
        <v>274054</v>
      </c>
      <c r="M72" s="103">
        <v>1.4030935274954581E-2</v>
      </c>
      <c r="N72" s="97">
        <f>INDEX('Pace of change parameters'!$E$22:$I$22,1,$B$5)</f>
        <v>9.0547645222140982E-3</v>
      </c>
      <c r="O72" s="108">
        <f>MAX(L72,IF(INDEX('Pace of change parameters'!$E$30:$I$30,1,$B$5)=1,(1+M72)*D72,D72))</f>
        <v>274054</v>
      </c>
      <c r="P72" s="94">
        <f>IF(K72&lt;INDEX('Pace of change parameters'!$E$18:$I$18,1,$B$5),1,IF(K72&gt;INDEX('Pace of change parameters'!$E$19:$I$19,1,$B$5),0,(K72-INDEX('Pace of change parameters'!$E$19:$I$19,1,$B$5))/(INDEX('Pace of change parameters'!$E$18:$I$18,1,$B$5)-INDEX('Pace of change parameters'!$E$19:$I$19,1,$B$5))))</f>
        <v>0.23129103789729336</v>
      </c>
      <c r="Q72" s="57">
        <v>2.9916531371982469E-2</v>
      </c>
      <c r="R72" s="57">
        <v>2.4862404971206065E-2</v>
      </c>
      <c r="S72" s="9">
        <f>MAX(IF(INDEX('Pace of change parameters'!$E$31:$I$31,1,$B$5)=1,D72*(1+Q72),D72),L72)</f>
        <v>274054</v>
      </c>
      <c r="T72" s="103">
        <f>IF(Q72&lt;INDEX('Pace of change parameters'!$E$24:$I$24,1,$B$5),INDEX('Pace of change parameters'!$E$24:$I$24,1,$B$5),Q72)</f>
        <v>3.0386941478720321E-2</v>
      </c>
      <c r="U72" s="132">
        <v>2.5330506626659588E-2</v>
      </c>
      <c r="V72" s="117">
        <f t="shared" si="10"/>
        <v>274054</v>
      </c>
      <c r="W72" s="131">
        <f>IF(J72&gt;INDEX('Pace of change parameters'!$E$26:$I$26,1,$B$5),0,IF(J72&lt;INDEX('Pace of change parameters'!$E$25:$I$25,1,$B$5),1,(J72-INDEX('Pace of change parameters'!$E$26:$I$26,1,$B$5))/(INDEX('Pace of change parameters'!$E$25:$I$25,1,$B$5)-INDEX('Pace of change parameters'!$E$26:$I$26,1,$B$5))))</f>
        <v>1</v>
      </c>
      <c r="X72" s="132">
        <f>MIN(T72, T72+(INDEX('Pace of change parameters'!$E$27:$I$27,1,$B$5)-T72)*(1-W72))</f>
        <v>3.0386941478720321E-2</v>
      </c>
      <c r="Y72" s="132">
        <v>2.5330506626659588E-2</v>
      </c>
      <c r="Z72" s="108">
        <f t="shared" si="11"/>
        <v>274054</v>
      </c>
      <c r="AA72" s="97">
        <v>-2.5000000000000001E-2</v>
      </c>
      <c r="AB72" s="99">
        <f t="shared" si="2"/>
        <v>269044.34068344859</v>
      </c>
      <c r="AC72" s="99">
        <f>MAX(IF(INDEX('Pace of change parameters'!$E$29:$I$29,1,$B$5)=1,MAX(AB72,Z72),Z72),L72)</f>
        <v>274054</v>
      </c>
      <c r="AD72" s="97">
        <f t="shared" si="12"/>
        <v>3.6360807332388223E-2</v>
      </c>
      <c r="AE72" s="146">
        <v>3.1275056829781045E-2</v>
      </c>
      <c r="AF72" s="56">
        <f t="shared" si="13"/>
        <v>274054</v>
      </c>
      <c r="AG72" s="56">
        <v>1588.9825507968872</v>
      </c>
      <c r="AH72" s="16">
        <f t="shared" si="4"/>
        <v>3.6360807332388223E-2</v>
      </c>
      <c r="AI72" s="16">
        <f t="shared" si="5"/>
        <v>3.1275056829780601E-2</v>
      </c>
      <c r="AJ72" s="56"/>
      <c r="AK72" s="56">
        <v>275942.91352148575</v>
      </c>
      <c r="AL72" s="56">
        <v>1599.9345917289852</v>
      </c>
      <c r="AM72" s="16">
        <f t="shared" si="14"/>
        <v>-6.8453054198062135E-3</v>
      </c>
      <c r="AN72" s="58">
        <f t="shared" si="15"/>
        <v>-6.8453054198063246E-3</v>
      </c>
      <c r="AP72" s="56">
        <f t="shared" si="6"/>
        <v>1</v>
      </c>
      <c r="AQ72" s="56">
        <f t="shared" si="7"/>
        <v>0</v>
      </c>
    </row>
    <row r="73" spans="1:43" x14ac:dyDescent="0.2">
      <c r="A73" s="156" t="s">
        <v>191</v>
      </c>
      <c r="B73" s="156" t="s">
        <v>192</v>
      </c>
      <c r="D73" s="68">
        <v>436651.24917399517</v>
      </c>
      <c r="E73" s="73">
        <v>1684.357867350187</v>
      </c>
      <c r="F73" s="55"/>
      <c r="G73" s="88">
        <v>410222.01023578312</v>
      </c>
      <c r="H73" s="81">
        <v>1576.6183194576859</v>
      </c>
      <c r="I73" s="90"/>
      <c r="J73" s="103">
        <f t="shared" si="8"/>
        <v>6.4426672091586035E-2</v>
      </c>
      <c r="K73" s="126">
        <f t="shared" si="9"/>
        <v>6.8335846769534303E-2</v>
      </c>
      <c r="L73" s="56">
        <v>449554</v>
      </c>
      <c r="M73" s="103">
        <v>1.2760582346547977E-2</v>
      </c>
      <c r="N73" s="97">
        <f>INDEX('Pace of change parameters'!$E$22:$I$22,1,$B$5)</f>
        <v>9.0547645222140982E-3</v>
      </c>
      <c r="O73" s="108">
        <f>MAX(L73,IF(INDEX('Pace of change parameters'!$E$30:$I$30,1,$B$5)=1,(1+M73)*D73,D73))</f>
        <v>449554</v>
      </c>
      <c r="P73" s="94">
        <f>IF(K73&lt;INDEX('Pace of change parameters'!$E$18:$I$18,1,$B$5),1,IF(K73&gt;INDEX('Pace of change parameters'!$E$19:$I$19,1,$B$5),0,(K73-INDEX('Pace of change parameters'!$E$19:$I$19,1,$B$5))/(INDEX('Pace of change parameters'!$E$18:$I$18,1,$B$5)-INDEX('Pace of change parameters'!$E$19:$I$19,1,$B$5))))</f>
        <v>0</v>
      </c>
      <c r="Q73" s="57">
        <v>1.2760582346547977E-2</v>
      </c>
      <c r="R73" s="57">
        <v>9.0547645222140982E-3</v>
      </c>
      <c r="S73" s="9">
        <f>MAX(IF(INDEX('Pace of change parameters'!$E$31:$I$31,1,$B$5)=1,D73*(1+Q73),D73),L73)</f>
        <v>449554</v>
      </c>
      <c r="T73" s="103">
        <f>IF(Q73&lt;INDEX('Pace of change parameters'!$E$24:$I$24,1,$B$5),INDEX('Pace of change parameters'!$E$24:$I$24,1,$B$5),Q73)</f>
        <v>3.0386941478720321E-2</v>
      </c>
      <c r="U73" s="132">
        <v>2.6616626598528814E-2</v>
      </c>
      <c r="V73" s="117">
        <f t="shared" si="10"/>
        <v>449919.74512925552</v>
      </c>
      <c r="W73" s="131">
        <f>IF(J73&gt;INDEX('Pace of change parameters'!$E$26:$I$26,1,$B$5),0,IF(J73&lt;INDEX('Pace of change parameters'!$E$25:$I$25,1,$B$5),1,(J73-INDEX('Pace of change parameters'!$E$26:$I$26,1,$B$5))/(INDEX('Pace of change parameters'!$E$25:$I$25,1,$B$5)-INDEX('Pace of change parameters'!$E$26:$I$26,1,$B$5))))</f>
        <v>0.71146655816827942</v>
      </c>
      <c r="X73" s="132">
        <f>MIN(T73, T73+(INDEX('Pace of change parameters'!$E$27:$I$27,1,$B$5)-T73)*(1-W73))</f>
        <v>2.5597286344313762E-2</v>
      </c>
      <c r="Y73" s="132">
        <v>2.184449741218808E-2</v>
      </c>
      <c r="Z73" s="108">
        <f t="shared" si="11"/>
        <v>449554</v>
      </c>
      <c r="AA73" s="97">
        <v>-2.5000000000000001E-2</v>
      </c>
      <c r="AB73" s="99">
        <f t="shared" si="2"/>
        <v>417143.25761788624</v>
      </c>
      <c r="AC73" s="99">
        <f>MAX(IF(INDEX('Pace of change parameters'!$E$29:$I$29,1,$B$5)=1,MAX(AB73,Z73),Z73),L73)</f>
        <v>449554</v>
      </c>
      <c r="AD73" s="97">
        <f t="shared" si="12"/>
        <v>2.9549327639420975E-2</v>
      </c>
      <c r="AE73" s="146">
        <v>2.578207769318297E-2</v>
      </c>
      <c r="AF73" s="56">
        <f t="shared" si="13"/>
        <v>449554</v>
      </c>
      <c r="AG73" s="56">
        <v>1727.7841127493334</v>
      </c>
      <c r="AH73" s="16">
        <f t="shared" si="4"/>
        <v>2.9549327639420975E-2</v>
      </c>
      <c r="AI73" s="16">
        <f t="shared" si="5"/>
        <v>2.578207769318297E-2</v>
      </c>
      <c r="AJ73" s="56"/>
      <c r="AK73" s="56">
        <v>427839.2385824474</v>
      </c>
      <c r="AL73" s="56">
        <v>1644.3271314091839</v>
      </c>
      <c r="AM73" s="16">
        <f t="shared" si="14"/>
        <v>5.075448780598002E-2</v>
      </c>
      <c r="AN73" s="58">
        <f t="shared" si="15"/>
        <v>5.075448780598002E-2</v>
      </c>
      <c r="AP73" s="56">
        <f t="shared" si="6"/>
        <v>1</v>
      </c>
      <c r="AQ73" s="56">
        <f t="shared" si="7"/>
        <v>0</v>
      </c>
    </row>
    <row r="74" spans="1:43" x14ac:dyDescent="0.2">
      <c r="A74" s="156" t="s">
        <v>193</v>
      </c>
      <c r="B74" s="156" t="s">
        <v>194</v>
      </c>
      <c r="D74" s="68">
        <v>190770.22461742855</v>
      </c>
      <c r="E74" s="73">
        <v>1603.1246028742137</v>
      </c>
      <c r="F74" s="55"/>
      <c r="G74" s="88">
        <v>187286.60093386023</v>
      </c>
      <c r="H74" s="81">
        <v>1572.7626118525754</v>
      </c>
      <c r="I74" s="90"/>
      <c r="J74" s="103">
        <f t="shared" si="8"/>
        <v>1.8600496064310246E-2</v>
      </c>
      <c r="K74" s="126">
        <f t="shared" si="9"/>
        <v>1.9304878430365546E-2</v>
      </c>
      <c r="L74" s="56">
        <v>197523</v>
      </c>
      <c r="M74" s="103">
        <v>9.7525458263267861E-3</v>
      </c>
      <c r="N74" s="97">
        <f>INDEX('Pace of change parameters'!$E$22:$I$22,1,$B$5)</f>
        <v>9.0547645222140982E-3</v>
      </c>
      <c r="O74" s="108">
        <f>MAX(L74,IF(INDEX('Pace of change parameters'!$E$30:$I$30,1,$B$5)=1,(1+M74)*D74,D74))</f>
        <v>197523</v>
      </c>
      <c r="P74" s="94">
        <f>IF(K74&lt;INDEX('Pace of change parameters'!$E$18:$I$18,1,$B$5),1,IF(K74&gt;INDEX('Pace of change parameters'!$E$19:$I$19,1,$B$5),0,(K74-INDEX('Pace of change parameters'!$E$19:$I$19,1,$B$5))/(INDEX('Pace of change parameters'!$E$18:$I$18,1,$B$5)-INDEX('Pace of change parameters'!$E$19:$I$19,1,$B$5))))</f>
        <v>9.4677013124573384E-2</v>
      </c>
      <c r="Q74" s="57">
        <v>1.6227743215277979E-2</v>
      </c>
      <c r="R74" s="57">
        <v>1.5525487278546413E-2</v>
      </c>
      <c r="S74" s="9">
        <f>MAX(IF(INDEX('Pace of change parameters'!$E$31:$I$31,1,$B$5)=1,D74*(1+Q74),D74),L74)</f>
        <v>197523</v>
      </c>
      <c r="T74" s="103">
        <f>IF(Q74&lt;INDEX('Pace of change parameters'!$E$24:$I$24,1,$B$5),INDEX('Pace of change parameters'!$E$24:$I$24,1,$B$5),Q74)</f>
        <v>3.0386941478720321E-2</v>
      </c>
      <c r="U74" s="132">
        <v>2.9674900942910254E-2</v>
      </c>
      <c r="V74" s="117">
        <f t="shared" si="10"/>
        <v>197523</v>
      </c>
      <c r="W74" s="131">
        <f>IF(J74&gt;INDEX('Pace of change parameters'!$E$26:$I$26,1,$B$5),0,IF(J74&lt;INDEX('Pace of change parameters'!$E$25:$I$25,1,$B$5),1,(J74-INDEX('Pace of change parameters'!$E$26:$I$26,1,$B$5))/(INDEX('Pace of change parameters'!$E$25:$I$25,1,$B$5)-INDEX('Pace of change parameters'!$E$26:$I$26,1,$B$5))))</f>
        <v>1</v>
      </c>
      <c r="X74" s="132">
        <f>MIN(T74, T74+(INDEX('Pace of change parameters'!$E$27:$I$27,1,$B$5)-T74)*(1-W74))</f>
        <v>3.0386941478720321E-2</v>
      </c>
      <c r="Y74" s="132">
        <v>2.9674900942910254E-2</v>
      </c>
      <c r="Z74" s="108">
        <f t="shared" si="11"/>
        <v>197523</v>
      </c>
      <c r="AA74" s="97">
        <v>-2.5000000000000001E-2</v>
      </c>
      <c r="AB74" s="99">
        <f t="shared" si="2"/>
        <v>190291.23078655603</v>
      </c>
      <c r="AC74" s="99">
        <f>MAX(IF(INDEX('Pace of change parameters'!$E$29:$I$29,1,$B$5)=1,MAX(AB74,Z74),Z74),L74)</f>
        <v>197523</v>
      </c>
      <c r="AD74" s="97">
        <f t="shared" si="12"/>
        <v>3.5397428482948579E-2</v>
      </c>
      <c r="AE74" s="146">
        <v>3.4681925490747112E-2</v>
      </c>
      <c r="AF74" s="56">
        <f t="shared" si="13"/>
        <v>197523</v>
      </c>
      <c r="AG74" s="56">
        <v>1658.7240509034805</v>
      </c>
      <c r="AH74" s="16">
        <f t="shared" si="4"/>
        <v>3.5397428482948579E-2</v>
      </c>
      <c r="AI74" s="16">
        <f t="shared" si="5"/>
        <v>3.468192549074689E-2</v>
      </c>
      <c r="AJ74" s="56"/>
      <c r="AK74" s="56">
        <v>195170.49311441643</v>
      </c>
      <c r="AL74" s="56">
        <v>1638.9685806492139</v>
      </c>
      <c r="AM74" s="16">
        <f t="shared" si="14"/>
        <v>1.2053599127837655E-2</v>
      </c>
      <c r="AN74" s="58">
        <f t="shared" si="15"/>
        <v>1.2053599127837655E-2</v>
      </c>
      <c r="AP74" s="56">
        <f t="shared" si="6"/>
        <v>1</v>
      </c>
      <c r="AQ74" s="56">
        <f t="shared" si="7"/>
        <v>0</v>
      </c>
    </row>
    <row r="75" spans="1:43" x14ac:dyDescent="0.2">
      <c r="A75" s="156" t="s">
        <v>195</v>
      </c>
      <c r="B75" s="156" t="s">
        <v>196</v>
      </c>
      <c r="D75" s="68">
        <v>959753.80692475627</v>
      </c>
      <c r="E75" s="73">
        <v>1640.8432112781452</v>
      </c>
      <c r="F75" s="55"/>
      <c r="G75" s="88">
        <v>890384.44860128814</v>
      </c>
      <c r="H75" s="81">
        <v>1513.2840068865366</v>
      </c>
      <c r="I75" s="90"/>
      <c r="J75" s="103">
        <f t="shared" si="8"/>
        <v>7.7909445108167663E-2</v>
      </c>
      <c r="K75" s="126">
        <f t="shared" si="9"/>
        <v>8.4292970659256339E-2</v>
      </c>
      <c r="L75" s="56">
        <v>990854</v>
      </c>
      <c r="M75" s="103">
        <v>1.5030523340366697E-2</v>
      </c>
      <c r="N75" s="97">
        <f>INDEX('Pace of change parameters'!$E$22:$I$22,1,$B$5)</f>
        <v>9.0547645222140982E-3</v>
      </c>
      <c r="O75" s="108">
        <f>MAX(L75,IF(INDEX('Pace of change parameters'!$E$30:$I$30,1,$B$5)=1,(1+M75)*D75,D75))</f>
        <v>990854</v>
      </c>
      <c r="P75" s="94">
        <f>IF(K75&lt;INDEX('Pace of change parameters'!$E$18:$I$18,1,$B$5),1,IF(K75&gt;INDEX('Pace of change parameters'!$E$19:$I$19,1,$B$5),0,(K75-INDEX('Pace of change parameters'!$E$19:$I$19,1,$B$5))/(INDEX('Pace of change parameters'!$E$18:$I$18,1,$B$5)-INDEX('Pace of change parameters'!$E$19:$I$19,1,$B$5))))</f>
        <v>0</v>
      </c>
      <c r="Q75" s="57">
        <v>1.5030523340366697E-2</v>
      </c>
      <c r="R75" s="57">
        <v>9.0547645222140982E-3</v>
      </c>
      <c r="S75" s="9">
        <f>MAX(IF(INDEX('Pace of change parameters'!$E$31:$I$31,1,$B$5)=1,D75*(1+Q75),D75),L75)</f>
        <v>990854</v>
      </c>
      <c r="T75" s="103">
        <f>IF(Q75&lt;INDEX('Pace of change parameters'!$E$24:$I$24,1,$B$5),INDEX('Pace of change parameters'!$E$24:$I$24,1,$B$5),Q75)</f>
        <v>3.0386941478720321E-2</v>
      </c>
      <c r="U75" s="132">
        <v>2.4320775279710327E-2</v>
      </c>
      <c r="V75" s="117">
        <f t="shared" si="10"/>
        <v>990854</v>
      </c>
      <c r="W75" s="131">
        <f>IF(J75&gt;INDEX('Pace of change parameters'!$E$26:$I$26,1,$B$5),0,IF(J75&lt;INDEX('Pace of change parameters'!$E$25:$I$25,1,$B$5),1,(J75-INDEX('Pace of change parameters'!$E$26:$I$26,1,$B$5))/(INDEX('Pace of change parameters'!$E$25:$I$25,1,$B$5)-INDEX('Pace of change parameters'!$E$26:$I$26,1,$B$5))))</f>
        <v>0.44181109783664685</v>
      </c>
      <c r="X75" s="132">
        <f>MIN(T75, T75+(INDEX('Pace of change parameters'!$E$27:$I$27,1,$B$5)-T75)*(1-W75))</f>
        <v>2.112100570280866E-2</v>
      </c>
      <c r="Y75" s="132">
        <v>1.5109390570144043E-2</v>
      </c>
      <c r="Z75" s="108">
        <f t="shared" si="11"/>
        <v>990854</v>
      </c>
      <c r="AA75" s="97">
        <v>-2.5000000000000001E-2</v>
      </c>
      <c r="AB75" s="99">
        <f t="shared" si="2"/>
        <v>906390.12001260393</v>
      </c>
      <c r="AC75" s="99">
        <f>MAX(IF(INDEX('Pace of change parameters'!$E$29:$I$29,1,$B$5)=1,MAX(AB75,Z75),Z75),L75)</f>
        <v>990854</v>
      </c>
      <c r="AD75" s="97">
        <f t="shared" si="12"/>
        <v>3.2404344583841782E-2</v>
      </c>
      <c r="AE75" s="146">
        <v>2.6326301387916029E-2</v>
      </c>
      <c r="AF75" s="56">
        <f t="shared" si="13"/>
        <v>990854</v>
      </c>
      <c r="AG75" s="56">
        <v>1684.0405441885694</v>
      </c>
      <c r="AH75" s="16">
        <f t="shared" si="4"/>
        <v>3.2404344583841782E-2</v>
      </c>
      <c r="AI75" s="16">
        <f t="shared" si="5"/>
        <v>2.6326301387915807E-2</v>
      </c>
      <c r="AJ75" s="56"/>
      <c r="AK75" s="56">
        <v>929630.89232061943</v>
      </c>
      <c r="AL75" s="56">
        <v>1579.9866718993123</v>
      </c>
      <c r="AM75" s="16">
        <f t="shared" si="14"/>
        <v>6.5857436736585395E-2</v>
      </c>
      <c r="AN75" s="58">
        <f t="shared" si="15"/>
        <v>6.5857436736585395E-2</v>
      </c>
      <c r="AP75" s="56">
        <f t="shared" si="6"/>
        <v>1</v>
      </c>
      <c r="AQ75" s="56">
        <f t="shared" si="7"/>
        <v>0</v>
      </c>
    </row>
    <row r="76" spans="1:43" x14ac:dyDescent="0.2">
      <c r="A76" s="156" t="s">
        <v>197</v>
      </c>
      <c r="B76" s="156" t="s">
        <v>198</v>
      </c>
      <c r="D76" s="68">
        <v>487127.94960818975</v>
      </c>
      <c r="E76" s="73">
        <v>1383.0257584292435</v>
      </c>
      <c r="F76" s="55"/>
      <c r="G76" s="88">
        <v>475276.5790559795</v>
      </c>
      <c r="H76" s="81">
        <v>1340.7017303909304</v>
      </c>
      <c r="I76" s="90"/>
      <c r="J76" s="103">
        <f t="shared" si="8"/>
        <v>2.4935734421734246E-2</v>
      </c>
      <c r="K76" s="126">
        <f t="shared" si="9"/>
        <v>3.1568563744578837E-2</v>
      </c>
      <c r="L76" s="56">
        <v>505161</v>
      </c>
      <c r="M76" s="103">
        <v>1.5584820803503874E-2</v>
      </c>
      <c r="N76" s="97">
        <f>INDEX('Pace of change parameters'!$E$22:$I$22,1,$B$5)</f>
        <v>9.0547645222140982E-3</v>
      </c>
      <c r="O76" s="108">
        <f>MAX(L76,IF(INDEX('Pace of change parameters'!$E$30:$I$30,1,$B$5)=1,(1+M76)*D76,D76))</f>
        <v>505161</v>
      </c>
      <c r="P76" s="94">
        <f>IF(K76&lt;INDEX('Pace of change parameters'!$E$18:$I$18,1,$B$5),1,IF(K76&gt;INDEX('Pace of change parameters'!$E$19:$I$19,1,$B$5),0,(K76-INDEX('Pace of change parameters'!$E$19:$I$19,1,$B$5))/(INDEX('Pace of change parameters'!$E$18:$I$18,1,$B$5)-INDEX('Pace of change parameters'!$E$19:$I$19,1,$B$5))))</f>
        <v>0</v>
      </c>
      <c r="Q76" s="57">
        <v>1.5584820803503874E-2</v>
      </c>
      <c r="R76" s="57">
        <v>9.0547645222140982E-3</v>
      </c>
      <c r="S76" s="9">
        <f>MAX(IF(INDEX('Pace of change parameters'!$E$31:$I$31,1,$B$5)=1,D76*(1+Q76),D76),L76)</f>
        <v>505161</v>
      </c>
      <c r="T76" s="103">
        <f>IF(Q76&lt;INDEX('Pace of change parameters'!$E$24:$I$24,1,$B$5),INDEX('Pace of change parameters'!$E$24:$I$24,1,$B$5),Q76)</f>
        <v>3.0386941478720321E-2</v>
      </c>
      <c r="U76" s="132">
        <v>2.376170980773229E-2</v>
      </c>
      <c r="V76" s="117">
        <f t="shared" si="10"/>
        <v>505161</v>
      </c>
      <c r="W76" s="131">
        <f>IF(J76&gt;INDEX('Pace of change parameters'!$E$26:$I$26,1,$B$5),0,IF(J76&lt;INDEX('Pace of change parameters'!$E$25:$I$25,1,$B$5),1,(J76-INDEX('Pace of change parameters'!$E$26:$I$26,1,$B$5))/(INDEX('Pace of change parameters'!$E$25:$I$25,1,$B$5)-INDEX('Pace of change parameters'!$E$26:$I$26,1,$B$5))))</f>
        <v>1</v>
      </c>
      <c r="X76" s="132">
        <f>MIN(T76, T76+(INDEX('Pace of change parameters'!$E$27:$I$27,1,$B$5)-T76)*(1-W76))</f>
        <v>3.0386941478720321E-2</v>
      </c>
      <c r="Y76" s="132">
        <v>2.376170980773229E-2</v>
      </c>
      <c r="Z76" s="108">
        <f t="shared" si="11"/>
        <v>505161</v>
      </c>
      <c r="AA76" s="97">
        <v>-2.5000000000000001E-2</v>
      </c>
      <c r="AB76" s="99">
        <f t="shared" ref="AB76:AB139" si="16">(1+AA76)*AK76</f>
        <v>483221.16522703698</v>
      </c>
      <c r="AC76" s="99">
        <f>MAX(IF(INDEX('Pace of change parameters'!$E$29:$I$29,1,$B$5)=1,MAX(AB76,Z76),Z76),L76)</f>
        <v>505161</v>
      </c>
      <c r="AD76" s="97">
        <f t="shared" si="12"/>
        <v>3.7019124865068198E-2</v>
      </c>
      <c r="AE76" s="146">
        <v>3.0351249261349356E-2</v>
      </c>
      <c r="AF76" s="56">
        <f t="shared" si="13"/>
        <v>505161</v>
      </c>
      <c r="AG76" s="56">
        <v>1425.0023179581965</v>
      </c>
      <c r="AH76" s="16">
        <f t="shared" ref="AH76:AH139" si="17">AF76/D76 - 1</f>
        <v>3.7019124865068198E-2</v>
      </c>
      <c r="AI76" s="16">
        <f t="shared" ref="AI76:AI139" si="18">AG76/E76 - 1</f>
        <v>3.0351249261349578E-2</v>
      </c>
      <c r="AJ76" s="56"/>
      <c r="AK76" s="56">
        <v>495611.45151490974</v>
      </c>
      <c r="AL76" s="56">
        <v>1398.0641166190039</v>
      </c>
      <c r="AM76" s="16">
        <f t="shared" si="14"/>
        <v>1.9268215970193348E-2</v>
      </c>
      <c r="AN76" s="58">
        <f t="shared" si="15"/>
        <v>1.9268215970193348E-2</v>
      </c>
      <c r="AP76" s="56">
        <f t="shared" ref="AP76:AP139" si="19">IF(AF76=L76,1,0)</f>
        <v>1</v>
      </c>
      <c r="AQ76" s="56">
        <f t="shared" ref="AQ76:AQ139" si="20">IF(AB76=AF76,1,0)</f>
        <v>0</v>
      </c>
    </row>
    <row r="77" spans="1:43" x14ac:dyDescent="0.2">
      <c r="A77" s="156" t="s">
        <v>199</v>
      </c>
      <c r="B77" s="156" t="s">
        <v>200</v>
      </c>
      <c r="D77" s="68">
        <v>602951.7709056983</v>
      </c>
      <c r="E77" s="73">
        <v>1659.7484878170726</v>
      </c>
      <c r="F77" s="55"/>
      <c r="G77" s="88">
        <v>577320.27613276849</v>
      </c>
      <c r="H77" s="81">
        <v>1580.987258586465</v>
      </c>
      <c r="I77" s="90"/>
      <c r="J77" s="103">
        <f t="shared" ref="J77:J140" si="21">D77/G77-1</f>
        <v>4.4397357641108082E-2</v>
      </c>
      <c r="K77" s="126">
        <f t="shared" ref="K77:K140" si="22">E77/H77-1</f>
        <v>4.9817750777464642E-2</v>
      </c>
      <c r="L77" s="56">
        <v>624512</v>
      </c>
      <c r="M77" s="103">
        <v>1.4291730586718066E-2</v>
      </c>
      <c r="N77" s="97">
        <f>INDEX('Pace of change parameters'!$E$22:$I$22,1,$B$5)</f>
        <v>9.0547645222140982E-3</v>
      </c>
      <c r="O77" s="108">
        <f>MAX(L77,IF(INDEX('Pace of change parameters'!$E$30:$I$30,1,$B$5)=1,(1+M77)*D77,D77))</f>
        <v>624512</v>
      </c>
      <c r="P77" s="94">
        <f>IF(K77&lt;INDEX('Pace of change parameters'!$E$18:$I$18,1,$B$5),1,IF(K77&gt;INDEX('Pace of change parameters'!$E$19:$I$19,1,$B$5),0,(K77-INDEX('Pace of change parameters'!$E$19:$I$19,1,$B$5))/(INDEX('Pace of change parameters'!$E$18:$I$18,1,$B$5)-INDEX('Pace of change parameters'!$E$19:$I$19,1,$B$5))))</f>
        <v>0</v>
      </c>
      <c r="Q77" s="57">
        <v>1.4291730586718066E-2</v>
      </c>
      <c r="R77" s="57">
        <v>9.0547645222140982E-3</v>
      </c>
      <c r="S77" s="9">
        <f>MAX(IF(INDEX('Pace of change parameters'!$E$31:$I$31,1,$B$5)=1,D77*(1+Q77),D77),L77)</f>
        <v>624512</v>
      </c>
      <c r="T77" s="103">
        <f>IF(Q77&lt;INDEX('Pace of change parameters'!$E$24:$I$24,1,$B$5),INDEX('Pace of change parameters'!$E$24:$I$24,1,$B$5),Q77)</f>
        <v>3.0386941478720321E-2</v>
      </c>
      <c r="U77" s="132">
        <v>2.5066873018031233E-2</v>
      </c>
      <c r="V77" s="117">
        <f t="shared" ref="V77:V140" si="23">MAX(D77*(1+T77),L77)</f>
        <v>624512</v>
      </c>
      <c r="W77" s="131">
        <f>IF(J77&gt;INDEX('Pace of change parameters'!$E$26:$I$26,1,$B$5),0,IF(J77&lt;INDEX('Pace of change parameters'!$E$25:$I$25,1,$B$5),1,(J77-INDEX('Pace of change parameters'!$E$26:$I$26,1,$B$5))/(INDEX('Pace of change parameters'!$E$25:$I$25,1,$B$5)-INDEX('Pace of change parameters'!$E$26:$I$26,1,$B$5))))</f>
        <v>1</v>
      </c>
      <c r="X77" s="132">
        <f>MIN(T77, T77+(INDEX('Pace of change parameters'!$E$27:$I$27,1,$B$5)-T77)*(1-W77))</f>
        <v>3.0386941478720321E-2</v>
      </c>
      <c r="Y77" s="132">
        <v>2.5066873018031233E-2</v>
      </c>
      <c r="Z77" s="108">
        <f t="shared" ref="Z77:Z140" si="24">MAX(D77*(1+X77),L77)</f>
        <v>624512</v>
      </c>
      <c r="AA77" s="97">
        <v>-2.5000000000000001E-2</v>
      </c>
      <c r="AB77" s="99">
        <f t="shared" si="16"/>
        <v>586799.80088904861</v>
      </c>
      <c r="AC77" s="99">
        <f>MAX(IF(INDEX('Pace of change parameters'!$E$29:$I$29,1,$B$5)=1,MAX(AB77,Z77),Z77),L77)</f>
        <v>624512</v>
      </c>
      <c r="AD77" s="97">
        <f t="shared" ref="AD77:AD140" si="25">AC77/D77-1</f>
        <v>3.575780043222343E-2</v>
      </c>
      <c r="AE77" s="146">
        <v>3.0410001284959076E-2</v>
      </c>
      <c r="AF77" s="56">
        <f t="shared" ref="AF77:AF140" si="26">AC77</f>
        <v>624512</v>
      </c>
      <c r="AG77" s="56">
        <v>1710.2214414642988</v>
      </c>
      <c r="AH77" s="16">
        <f t="shared" si="17"/>
        <v>3.575780043222343E-2</v>
      </c>
      <c r="AI77" s="16">
        <f t="shared" si="18"/>
        <v>3.0410001284959076E-2</v>
      </c>
      <c r="AJ77" s="56"/>
      <c r="AK77" s="56">
        <v>601845.94962979341</v>
      </c>
      <c r="AL77" s="56">
        <v>1648.1506320379995</v>
      </c>
      <c r="AM77" s="16">
        <f t="shared" ref="AM77:AM140" si="27">AF77/AK77-1</f>
        <v>3.7660883792852484E-2</v>
      </c>
      <c r="AN77" s="58">
        <f t="shared" ref="AN77:AN140" si="28">AG77/AL77-1</f>
        <v>3.7660883792852484E-2</v>
      </c>
      <c r="AP77" s="56">
        <f t="shared" si="19"/>
        <v>1</v>
      </c>
      <c r="AQ77" s="56">
        <f t="shared" si="20"/>
        <v>0</v>
      </c>
    </row>
    <row r="78" spans="1:43" x14ac:dyDescent="0.2">
      <c r="A78" s="156" t="s">
        <v>201</v>
      </c>
      <c r="B78" s="156" t="s">
        <v>202</v>
      </c>
      <c r="D78" s="68">
        <v>1174896.4150275367</v>
      </c>
      <c r="E78" s="73">
        <v>1638.0456253738721</v>
      </c>
      <c r="F78" s="55"/>
      <c r="G78" s="88">
        <v>1172371.1170625777</v>
      </c>
      <c r="H78" s="81">
        <v>1621.9508987593485</v>
      </c>
      <c r="I78" s="90"/>
      <c r="J78" s="103">
        <f t="shared" si="21"/>
        <v>2.154009023427772E-3</v>
      </c>
      <c r="K78" s="126">
        <f t="shared" si="22"/>
        <v>9.9230664916147848E-3</v>
      </c>
      <c r="L78" s="56">
        <v>1221376</v>
      </c>
      <c r="M78" s="103">
        <v>1.6877319123138612E-2</v>
      </c>
      <c r="N78" s="97">
        <f>INDEX('Pace of change parameters'!$E$22:$I$22,1,$B$5)</f>
        <v>9.0547645222140982E-3</v>
      </c>
      <c r="O78" s="108">
        <f>MAX(L78,IF(INDEX('Pace of change parameters'!$E$30:$I$30,1,$B$5)=1,(1+M78)*D78,D78))</f>
        <v>1221376</v>
      </c>
      <c r="P78" s="94">
        <f>IF(K78&lt;INDEX('Pace of change parameters'!$E$18:$I$18,1,$B$5),1,IF(K78&gt;INDEX('Pace of change parameters'!$E$19:$I$19,1,$B$5),0,(K78-INDEX('Pace of change parameters'!$E$19:$I$19,1,$B$5))/(INDEX('Pace of change parameters'!$E$18:$I$18,1,$B$5)-INDEX('Pace of change parameters'!$E$19:$I$19,1,$B$5))))</f>
        <v>0.18020725233280349</v>
      </c>
      <c r="Q78" s="57">
        <v>2.9289106650537633E-2</v>
      </c>
      <c r="R78" s="57">
        <v>2.137107161770424E-2</v>
      </c>
      <c r="S78" s="9">
        <f>MAX(IF(INDEX('Pace of change parameters'!$E$31:$I$31,1,$B$5)=1,D78*(1+Q78),D78),L78)</f>
        <v>1221376</v>
      </c>
      <c r="T78" s="103">
        <f>IF(Q78&lt;INDEX('Pace of change parameters'!$E$24:$I$24,1,$B$5),INDEX('Pace of change parameters'!$E$24:$I$24,1,$B$5),Q78)</f>
        <v>3.0386941478720321E-2</v>
      </c>
      <c r="U78" s="132">
        <v>2.2460461107668861E-2</v>
      </c>
      <c r="V78" s="117">
        <f t="shared" si="23"/>
        <v>1221376</v>
      </c>
      <c r="W78" s="131">
        <f>IF(J78&gt;INDEX('Pace of change parameters'!$E$26:$I$26,1,$B$5),0,IF(J78&lt;INDEX('Pace of change parameters'!$E$25:$I$25,1,$B$5),1,(J78-INDEX('Pace of change parameters'!$E$26:$I$26,1,$B$5))/(INDEX('Pace of change parameters'!$E$25:$I$25,1,$B$5)-INDEX('Pace of change parameters'!$E$26:$I$26,1,$B$5))))</f>
        <v>1</v>
      </c>
      <c r="X78" s="132">
        <f>MIN(T78, T78+(INDEX('Pace of change parameters'!$E$27:$I$27,1,$B$5)-T78)*(1-W78))</f>
        <v>3.0386941478720321E-2</v>
      </c>
      <c r="Y78" s="132">
        <v>2.2460461107668861E-2</v>
      </c>
      <c r="Z78" s="108">
        <f t="shared" si="24"/>
        <v>1221376</v>
      </c>
      <c r="AA78" s="97">
        <v>-2.5000000000000001E-2</v>
      </c>
      <c r="AB78" s="99">
        <f t="shared" si="16"/>
        <v>1193925.4324294126</v>
      </c>
      <c r="AC78" s="99">
        <f>MAX(IF(INDEX('Pace of change parameters'!$E$29:$I$29,1,$B$5)=1,MAX(AB78,Z78),Z78),L78)</f>
        <v>1221376</v>
      </c>
      <c r="AD78" s="97">
        <f t="shared" si="25"/>
        <v>3.9560581152487284E-2</v>
      </c>
      <c r="AE78" s="146">
        <v>3.1563530521004468E-2</v>
      </c>
      <c r="AF78" s="56">
        <f t="shared" si="26"/>
        <v>1221376</v>
      </c>
      <c r="AG78" s="56">
        <v>1689.7481284651585</v>
      </c>
      <c r="AH78" s="16">
        <f t="shared" si="17"/>
        <v>3.9560581152487284E-2</v>
      </c>
      <c r="AI78" s="16">
        <f t="shared" si="18"/>
        <v>3.156353052100469E-2</v>
      </c>
      <c r="AJ78" s="56"/>
      <c r="AK78" s="56">
        <v>1224538.9050558079</v>
      </c>
      <c r="AL78" s="56">
        <v>1694.1239413995575</v>
      </c>
      <c r="AM78" s="16">
        <f t="shared" si="27"/>
        <v>-2.582935538225084E-3</v>
      </c>
      <c r="AN78" s="58">
        <f t="shared" si="28"/>
        <v>-2.582935538225084E-3</v>
      </c>
      <c r="AP78" s="56">
        <f t="shared" si="19"/>
        <v>1</v>
      </c>
      <c r="AQ78" s="56">
        <f t="shared" si="20"/>
        <v>0</v>
      </c>
    </row>
    <row r="79" spans="1:43" x14ac:dyDescent="0.2">
      <c r="A79" s="156" t="s">
        <v>203</v>
      </c>
      <c r="B79" s="156" t="s">
        <v>204</v>
      </c>
      <c r="D79" s="68">
        <v>452331.84374370618</v>
      </c>
      <c r="E79" s="73">
        <v>1542.983700525001</v>
      </c>
      <c r="F79" s="55"/>
      <c r="G79" s="88">
        <v>459731.22063056991</v>
      </c>
      <c r="H79" s="81">
        <v>1556.6723948181618</v>
      </c>
      <c r="I79" s="90"/>
      <c r="J79" s="103">
        <f t="shared" si="21"/>
        <v>-1.6095006288053937E-2</v>
      </c>
      <c r="K79" s="126">
        <f t="shared" si="22"/>
        <v>-8.7935614061941392E-3</v>
      </c>
      <c r="L79" s="56">
        <v>470189</v>
      </c>
      <c r="M79" s="103">
        <v>1.6542842937327995E-2</v>
      </c>
      <c r="N79" s="97">
        <f>INDEX('Pace of change parameters'!$E$22:$I$22,1,$B$5)</f>
        <v>9.0547645222140982E-3</v>
      </c>
      <c r="O79" s="108">
        <f>MAX(L79,IF(INDEX('Pace of change parameters'!$E$30:$I$30,1,$B$5)=1,(1+M79)*D79,D79))</f>
        <v>470189</v>
      </c>
      <c r="P79" s="94">
        <f>IF(K79&lt;INDEX('Pace of change parameters'!$E$18:$I$18,1,$B$5),1,IF(K79&gt;INDEX('Pace of change parameters'!$E$19:$I$19,1,$B$5),0,(K79-INDEX('Pace of change parameters'!$E$19:$I$19,1,$B$5))/(INDEX('Pace of change parameters'!$E$18:$I$18,1,$B$5)-INDEX('Pace of change parameters'!$E$19:$I$19,1,$B$5))))</f>
        <v>0.35083928713824541</v>
      </c>
      <c r="Q79" s="57">
        <v>4.0698976026962042E-2</v>
      </c>
      <c r="R79" s="57">
        <v>3.3032958216536068E-2</v>
      </c>
      <c r="S79" s="9">
        <f>MAX(IF(INDEX('Pace of change parameters'!$E$31:$I$31,1,$B$5)=1,D79*(1+Q79),D79),L79)</f>
        <v>470741.2866084628</v>
      </c>
      <c r="T79" s="103">
        <f>IF(Q79&lt;INDEX('Pace of change parameters'!$E$24:$I$24,1,$B$5),INDEX('Pace of change parameters'!$E$24:$I$24,1,$B$5),Q79)</f>
        <v>4.0698976026962042E-2</v>
      </c>
      <c r="U79" s="132">
        <v>3.3032958216536068E-2</v>
      </c>
      <c r="V79" s="117">
        <f t="shared" si="23"/>
        <v>470741.2866084628</v>
      </c>
      <c r="W79" s="131">
        <f>IF(J79&gt;INDEX('Pace of change parameters'!$E$26:$I$26,1,$B$5),0,IF(J79&lt;INDEX('Pace of change parameters'!$E$25:$I$25,1,$B$5),1,(J79-INDEX('Pace of change parameters'!$E$26:$I$26,1,$B$5))/(INDEX('Pace of change parameters'!$E$25:$I$25,1,$B$5)-INDEX('Pace of change parameters'!$E$26:$I$26,1,$B$5))))</f>
        <v>1</v>
      </c>
      <c r="X79" s="132">
        <f>MIN(T79, T79+(INDEX('Pace of change parameters'!$E$27:$I$27,1,$B$5)-T79)*(1-W79))</f>
        <v>4.0698976026962042E-2</v>
      </c>
      <c r="Y79" s="132">
        <v>3.3032958216536068E-2</v>
      </c>
      <c r="Z79" s="108">
        <f t="shared" si="24"/>
        <v>470741.2866084628</v>
      </c>
      <c r="AA79" s="97">
        <v>-2.5000000000000001E-2</v>
      </c>
      <c r="AB79" s="99">
        <f t="shared" si="16"/>
        <v>468170.69320405798</v>
      </c>
      <c r="AC79" s="99">
        <f>MAX(IF(INDEX('Pace of change parameters'!$E$29:$I$29,1,$B$5)=1,MAX(AB79,Z79),Z79),L79)</f>
        <v>470741.2866084628</v>
      </c>
      <c r="AD79" s="97">
        <f t="shared" si="25"/>
        <v>4.0698976026962042E-2</v>
      </c>
      <c r="AE79" s="146">
        <v>3.3032958216536068E-2</v>
      </c>
      <c r="AF79" s="56">
        <f t="shared" si="26"/>
        <v>470741.2866084628</v>
      </c>
      <c r="AG79" s="56">
        <v>1593.9530166332397</v>
      </c>
      <c r="AH79" s="16">
        <f t="shared" si="17"/>
        <v>4.0698976026962042E-2</v>
      </c>
      <c r="AI79" s="16">
        <f t="shared" si="18"/>
        <v>3.3032958216536068E-2</v>
      </c>
      <c r="AJ79" s="56"/>
      <c r="AK79" s="56">
        <v>480175.06995287997</v>
      </c>
      <c r="AL79" s="56">
        <v>1625.8962683680406</v>
      </c>
      <c r="AM79" s="16">
        <f t="shared" si="27"/>
        <v>-1.9646549633122179E-2</v>
      </c>
      <c r="AN79" s="58">
        <f t="shared" si="28"/>
        <v>-1.9646549633122179E-2</v>
      </c>
      <c r="AP79" s="56">
        <f t="shared" si="19"/>
        <v>0</v>
      </c>
      <c r="AQ79" s="56">
        <f t="shared" si="20"/>
        <v>0</v>
      </c>
    </row>
    <row r="80" spans="1:43" x14ac:dyDescent="0.2">
      <c r="A80" s="156" t="s">
        <v>205</v>
      </c>
      <c r="B80" s="156" t="s">
        <v>206</v>
      </c>
      <c r="D80" s="68">
        <v>202789.6997535337</v>
      </c>
      <c r="E80" s="73">
        <v>1538.1150288868857</v>
      </c>
      <c r="F80" s="55"/>
      <c r="G80" s="88">
        <v>203171.44118984515</v>
      </c>
      <c r="H80" s="81">
        <v>1536.8268730758471</v>
      </c>
      <c r="I80" s="90"/>
      <c r="J80" s="103">
        <f t="shared" si="21"/>
        <v>-1.8789128731667715E-3</v>
      </c>
      <c r="K80" s="126">
        <f t="shared" si="22"/>
        <v>8.3819188329292693E-4</v>
      </c>
      <c r="L80" s="56">
        <v>210068</v>
      </c>
      <c r="M80" s="103">
        <v>1.1801633149249868E-2</v>
      </c>
      <c r="N80" s="97">
        <f>INDEX('Pace of change parameters'!$E$22:$I$22,1,$B$5)</f>
        <v>9.0547645222140982E-3</v>
      </c>
      <c r="O80" s="108">
        <f>MAX(L80,IF(INDEX('Pace of change parameters'!$E$30:$I$30,1,$B$5)=1,(1+M80)*D80,D80))</f>
        <v>210068</v>
      </c>
      <c r="P80" s="94">
        <f>IF(K80&lt;INDEX('Pace of change parameters'!$E$18:$I$18,1,$B$5),1,IF(K80&gt;INDEX('Pace of change parameters'!$E$19:$I$19,1,$B$5),0,(K80-INDEX('Pace of change parameters'!$E$19:$I$19,1,$B$5))/(INDEX('Pace of change parameters'!$E$18:$I$18,1,$B$5)-INDEX('Pace of change parameters'!$E$19:$I$19,1,$B$5))))</f>
        <v>0.2630304322792148</v>
      </c>
      <c r="Q80" s="57">
        <v>2.9827446987113593E-2</v>
      </c>
      <c r="R80" s="57">
        <v>2.7031641354160918E-2</v>
      </c>
      <c r="S80" s="9">
        <f>MAX(IF(INDEX('Pace of change parameters'!$E$31:$I$31,1,$B$5)=1,D80*(1+Q80),D80),L80)</f>
        <v>210068</v>
      </c>
      <c r="T80" s="103">
        <f>IF(Q80&lt;INDEX('Pace of change parameters'!$E$24:$I$24,1,$B$5),INDEX('Pace of change parameters'!$E$24:$I$24,1,$B$5),Q80)</f>
        <v>3.0386941478720321E-2</v>
      </c>
      <c r="U80" s="132">
        <v>2.7589616913779924E-2</v>
      </c>
      <c r="V80" s="117">
        <f t="shared" si="23"/>
        <v>210068</v>
      </c>
      <c r="W80" s="131">
        <f>IF(J80&gt;INDEX('Pace of change parameters'!$E$26:$I$26,1,$B$5),0,IF(J80&lt;INDEX('Pace of change parameters'!$E$25:$I$25,1,$B$5),1,(J80-INDEX('Pace of change parameters'!$E$26:$I$26,1,$B$5))/(INDEX('Pace of change parameters'!$E$25:$I$25,1,$B$5)-INDEX('Pace of change parameters'!$E$26:$I$26,1,$B$5))))</f>
        <v>1</v>
      </c>
      <c r="X80" s="132">
        <f>MIN(T80, T80+(INDEX('Pace of change parameters'!$E$27:$I$27,1,$B$5)-T80)*(1-W80))</f>
        <v>3.0386941478720321E-2</v>
      </c>
      <c r="Y80" s="132">
        <v>2.7589616913779924E-2</v>
      </c>
      <c r="Z80" s="108">
        <f t="shared" si="24"/>
        <v>210068</v>
      </c>
      <c r="AA80" s="97">
        <v>-2.5000000000000001E-2</v>
      </c>
      <c r="AB80" s="99">
        <f t="shared" si="16"/>
        <v>206567.3832242456</v>
      </c>
      <c r="AC80" s="99">
        <f>MAX(IF(INDEX('Pace of change parameters'!$E$29:$I$29,1,$B$5)=1,MAX(AB80,Z80),Z80),L80)</f>
        <v>210068</v>
      </c>
      <c r="AD80" s="97">
        <f t="shared" si="25"/>
        <v>3.5890877373516483E-2</v>
      </c>
      <c r="AE80" s="146">
        <v>3.307861056264616E-2</v>
      </c>
      <c r="AF80" s="56">
        <f t="shared" si="26"/>
        <v>210068</v>
      </c>
      <c r="AG80" s="56">
        <v>1588.9937369279883</v>
      </c>
      <c r="AH80" s="16">
        <f t="shared" si="17"/>
        <v>3.5890877373516483E-2</v>
      </c>
      <c r="AI80" s="16">
        <f t="shared" si="18"/>
        <v>3.307861056264616E-2</v>
      </c>
      <c r="AJ80" s="56"/>
      <c r="AK80" s="56">
        <v>211863.98279409806</v>
      </c>
      <c r="AL80" s="56">
        <v>1602.5788875051931</v>
      </c>
      <c r="AM80" s="16">
        <f t="shared" si="27"/>
        <v>-8.4770557525273293E-3</v>
      </c>
      <c r="AN80" s="58">
        <f t="shared" si="28"/>
        <v>-8.4770557525273293E-3</v>
      </c>
      <c r="AP80" s="56">
        <f t="shared" si="19"/>
        <v>1</v>
      </c>
      <c r="AQ80" s="56">
        <f t="shared" si="20"/>
        <v>0</v>
      </c>
    </row>
    <row r="81" spans="1:43" x14ac:dyDescent="0.2">
      <c r="A81" s="156" t="s">
        <v>207</v>
      </c>
      <c r="B81" s="156" t="s">
        <v>208</v>
      </c>
      <c r="D81" s="68">
        <v>737071.60637951829</v>
      </c>
      <c r="E81" s="73">
        <v>1513.7302872306936</v>
      </c>
      <c r="F81" s="55"/>
      <c r="G81" s="88">
        <v>744208.4904868023</v>
      </c>
      <c r="H81" s="81">
        <v>1509.8814260002898</v>
      </c>
      <c r="I81" s="90"/>
      <c r="J81" s="103">
        <f t="shared" si="21"/>
        <v>-9.589898796526275E-3</v>
      </c>
      <c r="K81" s="126">
        <f t="shared" si="22"/>
        <v>2.5491148934784214E-3</v>
      </c>
      <c r="L81" s="56">
        <v>765911</v>
      </c>
      <c r="M81" s="103">
        <v>2.1422297512452726E-2</v>
      </c>
      <c r="N81" s="97">
        <f>INDEX('Pace of change parameters'!$E$22:$I$22,1,$B$5)</f>
        <v>9.0547645222140982E-3</v>
      </c>
      <c r="O81" s="108">
        <f>MAX(L81,IF(INDEX('Pace of change parameters'!$E$30:$I$30,1,$B$5)=1,(1+M81)*D81,D81))</f>
        <v>765911</v>
      </c>
      <c r="P81" s="94">
        <f>IF(K81&lt;INDEX('Pace of change parameters'!$E$18:$I$18,1,$B$5),1,IF(K81&gt;INDEX('Pace of change parameters'!$E$19:$I$19,1,$B$5),0,(K81-INDEX('Pace of change parameters'!$E$19:$I$19,1,$B$5))/(INDEX('Pace of change parameters'!$E$18:$I$18,1,$B$5)-INDEX('Pace of change parameters'!$E$19:$I$19,1,$B$5))))</f>
        <v>0.24743262928727849</v>
      </c>
      <c r="Q81" s="57">
        <v>3.854040744527687E-2</v>
      </c>
      <c r="R81" s="57">
        <v>2.5965605835740924E-2</v>
      </c>
      <c r="S81" s="9">
        <f>MAX(IF(INDEX('Pace of change parameters'!$E$31:$I$31,1,$B$5)=1,D81*(1+Q81),D81),L81)</f>
        <v>765911</v>
      </c>
      <c r="T81" s="103">
        <f>IF(Q81&lt;INDEX('Pace of change parameters'!$E$24:$I$24,1,$B$5),INDEX('Pace of change parameters'!$E$24:$I$24,1,$B$5),Q81)</f>
        <v>3.854040744527687E-2</v>
      </c>
      <c r="U81" s="132">
        <v>2.5965605835740924E-2</v>
      </c>
      <c r="V81" s="117">
        <f t="shared" si="23"/>
        <v>765911</v>
      </c>
      <c r="W81" s="131">
        <f>IF(J81&gt;INDEX('Pace of change parameters'!$E$26:$I$26,1,$B$5),0,IF(J81&lt;INDEX('Pace of change parameters'!$E$25:$I$25,1,$B$5),1,(J81-INDEX('Pace of change parameters'!$E$26:$I$26,1,$B$5))/(INDEX('Pace of change parameters'!$E$25:$I$25,1,$B$5)-INDEX('Pace of change parameters'!$E$26:$I$26,1,$B$5))))</f>
        <v>1</v>
      </c>
      <c r="X81" s="132">
        <f>MIN(T81, T81+(INDEX('Pace of change parameters'!$E$27:$I$27,1,$B$5)-T81)*(1-W81))</f>
        <v>3.854040744527687E-2</v>
      </c>
      <c r="Y81" s="132">
        <v>2.5965605835740924E-2</v>
      </c>
      <c r="Z81" s="108">
        <f t="shared" si="24"/>
        <v>765911</v>
      </c>
      <c r="AA81" s="97">
        <v>-2.5000000000000001E-2</v>
      </c>
      <c r="AB81" s="99">
        <f t="shared" si="16"/>
        <v>757134.20776795049</v>
      </c>
      <c r="AC81" s="99">
        <f>MAX(IF(INDEX('Pace of change parameters'!$E$29:$I$29,1,$B$5)=1,MAX(AB81,Z81),Z81),L81)</f>
        <v>765911</v>
      </c>
      <c r="AD81" s="97">
        <f t="shared" si="25"/>
        <v>3.9126990336990852E-2</v>
      </c>
      <c r="AE81" s="146">
        <v>2.6545086294619491E-2</v>
      </c>
      <c r="AF81" s="56">
        <f t="shared" si="26"/>
        <v>765911</v>
      </c>
      <c r="AG81" s="56">
        <v>1553.9123883320115</v>
      </c>
      <c r="AH81" s="16">
        <f t="shared" si="17"/>
        <v>3.9126990336990852E-2</v>
      </c>
      <c r="AI81" s="16">
        <f t="shared" si="18"/>
        <v>2.6545086294619491E-2</v>
      </c>
      <c r="AJ81" s="56"/>
      <c r="AK81" s="56">
        <v>776547.90540302615</v>
      </c>
      <c r="AL81" s="56">
        <v>1575.4929885313531</v>
      </c>
      <c r="AM81" s="16">
        <f t="shared" si="27"/>
        <v>-1.3697680888734909E-2</v>
      </c>
      <c r="AN81" s="58">
        <f t="shared" si="28"/>
        <v>-1.3697680888734909E-2</v>
      </c>
      <c r="AP81" s="56">
        <f t="shared" si="19"/>
        <v>1</v>
      </c>
      <c r="AQ81" s="56">
        <f t="shared" si="20"/>
        <v>0</v>
      </c>
    </row>
    <row r="82" spans="1:43" x14ac:dyDescent="0.2">
      <c r="A82" s="156" t="s">
        <v>209</v>
      </c>
      <c r="B82" s="156" t="s">
        <v>210</v>
      </c>
      <c r="D82" s="68">
        <v>502717.74351484608</v>
      </c>
      <c r="E82" s="73">
        <v>1593.4152892574132</v>
      </c>
      <c r="F82" s="55"/>
      <c r="G82" s="88">
        <v>514307.25172514241</v>
      </c>
      <c r="H82" s="81">
        <v>1625.6863070087097</v>
      </c>
      <c r="I82" s="90"/>
      <c r="J82" s="103">
        <f t="shared" si="21"/>
        <v>-2.2534211157672068E-2</v>
      </c>
      <c r="K82" s="126">
        <f t="shared" si="22"/>
        <v>-1.9850704045527579E-2</v>
      </c>
      <c r="L82" s="56">
        <v>521290</v>
      </c>
      <c r="M82" s="103">
        <v>1.1824995120612414E-2</v>
      </c>
      <c r="N82" s="97">
        <f>INDEX('Pace of change parameters'!$E$22:$I$22,1,$B$5)</f>
        <v>9.0547645222140982E-3</v>
      </c>
      <c r="O82" s="108">
        <f>MAX(L82,IF(INDEX('Pace of change parameters'!$E$30:$I$30,1,$B$5)=1,(1+M82)*D82,D82))</f>
        <v>521290</v>
      </c>
      <c r="P82" s="94">
        <f>IF(K82&lt;INDEX('Pace of change parameters'!$E$18:$I$18,1,$B$5),1,IF(K82&gt;INDEX('Pace of change parameters'!$E$19:$I$19,1,$B$5),0,(K82-INDEX('Pace of change parameters'!$E$19:$I$19,1,$B$5))/(INDEX('Pace of change parameters'!$E$18:$I$18,1,$B$5)-INDEX('Pace of change parameters'!$E$19:$I$19,1,$B$5))))</f>
        <v>0.45164284844131258</v>
      </c>
      <c r="Q82" s="57">
        <v>4.2777375092031278E-2</v>
      </c>
      <c r="R82" s="57">
        <v>3.9922401350793502E-2</v>
      </c>
      <c r="S82" s="9">
        <f>MAX(IF(INDEX('Pace of change parameters'!$E$31:$I$31,1,$B$5)=1,D82*(1+Q82),D82),L82)</f>
        <v>524222.6889946002</v>
      </c>
      <c r="T82" s="103">
        <f>IF(Q82&lt;INDEX('Pace of change parameters'!$E$24:$I$24,1,$B$5),INDEX('Pace of change parameters'!$E$24:$I$24,1,$B$5),Q82)</f>
        <v>4.2777375092031278E-2</v>
      </c>
      <c r="U82" s="132">
        <v>3.9922401350793502E-2</v>
      </c>
      <c r="V82" s="117">
        <f t="shared" si="23"/>
        <v>524222.6889946002</v>
      </c>
      <c r="W82" s="131">
        <f>IF(J82&gt;INDEX('Pace of change parameters'!$E$26:$I$26,1,$B$5),0,IF(J82&lt;INDEX('Pace of change parameters'!$E$25:$I$25,1,$B$5),1,(J82-INDEX('Pace of change parameters'!$E$26:$I$26,1,$B$5))/(INDEX('Pace of change parameters'!$E$25:$I$25,1,$B$5)-INDEX('Pace of change parameters'!$E$26:$I$26,1,$B$5))))</f>
        <v>1</v>
      </c>
      <c r="X82" s="132">
        <f>MIN(T82, T82+(INDEX('Pace of change parameters'!$E$27:$I$27,1,$B$5)-T82)*(1-W82))</f>
        <v>4.2777375092031278E-2</v>
      </c>
      <c r="Y82" s="132">
        <v>3.9922401350793502E-2</v>
      </c>
      <c r="Z82" s="108">
        <f t="shared" si="24"/>
        <v>524222.6889946002</v>
      </c>
      <c r="AA82" s="97">
        <v>-2.7019476394181452E-2</v>
      </c>
      <c r="AB82" s="99">
        <f t="shared" si="16"/>
        <v>521958.67520721466</v>
      </c>
      <c r="AC82" s="99">
        <f>MAX(IF(INDEX('Pace of change parameters'!$E$29:$I$29,1,$B$5)=1,MAX(AB82,Z82),Z82),L82)</f>
        <v>524222.6889946002</v>
      </c>
      <c r="AD82" s="97">
        <f t="shared" si="25"/>
        <v>4.2777375092031278E-2</v>
      </c>
      <c r="AE82" s="146">
        <v>3.9922401350793502E-2</v>
      </c>
      <c r="AF82" s="56">
        <f t="shared" si="26"/>
        <v>524222.6889946002</v>
      </c>
      <c r="AG82" s="56">
        <v>1657.0282539536379</v>
      </c>
      <c r="AH82" s="16">
        <f t="shared" si="17"/>
        <v>4.2777375092031278E-2</v>
      </c>
      <c r="AI82" s="16">
        <f t="shared" si="18"/>
        <v>3.992240135079328E-2</v>
      </c>
      <c r="AJ82" s="56"/>
      <c r="AK82" s="56">
        <v>536453.36421828996</v>
      </c>
      <c r="AL82" s="56">
        <v>1695.6884928865497</v>
      </c>
      <c r="AM82" s="16">
        <f t="shared" si="27"/>
        <v>-2.2799139756560338E-2</v>
      </c>
      <c r="AN82" s="58">
        <f t="shared" si="28"/>
        <v>-2.2799139756560449E-2</v>
      </c>
      <c r="AP82" s="56">
        <f t="shared" si="19"/>
        <v>0</v>
      </c>
      <c r="AQ82" s="56">
        <f t="shared" si="20"/>
        <v>0</v>
      </c>
    </row>
    <row r="83" spans="1:43" x14ac:dyDescent="0.2">
      <c r="A83" s="156" t="s">
        <v>211</v>
      </c>
      <c r="B83" s="156" t="s">
        <v>212</v>
      </c>
      <c r="D83" s="68">
        <v>190327.55110372009</v>
      </c>
      <c r="E83" s="73">
        <v>1377.2490202448739</v>
      </c>
      <c r="F83" s="55"/>
      <c r="G83" s="88">
        <v>197477.18266561092</v>
      </c>
      <c r="H83" s="81">
        <v>1419.6136992125878</v>
      </c>
      <c r="I83" s="90"/>
      <c r="J83" s="103">
        <f t="shared" si="21"/>
        <v>-3.6204848911569387E-2</v>
      </c>
      <c r="K83" s="126">
        <f t="shared" si="22"/>
        <v>-2.9842399373302797E-2</v>
      </c>
      <c r="L83" s="56">
        <v>198658</v>
      </c>
      <c r="M83" s="103">
        <v>1.5715993325212008E-2</v>
      </c>
      <c r="N83" s="97">
        <f>INDEX('Pace of change parameters'!$E$22:$I$22,1,$B$5)</f>
        <v>9.0547645222140982E-3</v>
      </c>
      <c r="O83" s="108">
        <f>MAX(L83,IF(INDEX('Pace of change parameters'!$E$30:$I$30,1,$B$5)=1,(1+M83)*D83,D83))</f>
        <v>198658</v>
      </c>
      <c r="P83" s="94">
        <f>IF(K83&lt;INDEX('Pace of change parameters'!$E$18:$I$18,1,$B$5),1,IF(K83&gt;INDEX('Pace of change parameters'!$E$19:$I$19,1,$B$5),0,(K83-INDEX('Pace of change parameters'!$E$19:$I$19,1,$B$5))/(INDEX('Pace of change parameters'!$E$18:$I$18,1,$B$5)-INDEX('Pace of change parameters'!$E$19:$I$19,1,$B$5))))</f>
        <v>0.54273315136569233</v>
      </c>
      <c r="Q83" s="57">
        <v>5.3054087582699916E-2</v>
      </c>
      <c r="R83" s="57">
        <v>4.6147989553903201E-2</v>
      </c>
      <c r="S83" s="9">
        <f>MAX(IF(INDEX('Pace of change parameters'!$E$31:$I$31,1,$B$5)=1,D83*(1+Q83),D83),L83)</f>
        <v>200425.20566937764</v>
      </c>
      <c r="T83" s="103">
        <f>IF(Q83&lt;INDEX('Pace of change parameters'!$E$24:$I$24,1,$B$5),INDEX('Pace of change parameters'!$E$24:$I$24,1,$B$5),Q83)</f>
        <v>5.3054087582699916E-2</v>
      </c>
      <c r="U83" s="132">
        <v>4.6147989553903201E-2</v>
      </c>
      <c r="V83" s="117">
        <f t="shared" si="23"/>
        <v>200425.20566937764</v>
      </c>
      <c r="W83" s="131">
        <f>IF(J83&gt;INDEX('Pace of change parameters'!$E$26:$I$26,1,$B$5),0,IF(J83&lt;INDEX('Pace of change parameters'!$E$25:$I$25,1,$B$5),1,(J83-INDEX('Pace of change parameters'!$E$26:$I$26,1,$B$5))/(INDEX('Pace of change parameters'!$E$25:$I$25,1,$B$5)-INDEX('Pace of change parameters'!$E$26:$I$26,1,$B$5))))</f>
        <v>1</v>
      </c>
      <c r="X83" s="132">
        <f>MIN(T83, T83+(INDEX('Pace of change parameters'!$E$27:$I$27,1,$B$5)-T83)*(1-W83))</f>
        <v>5.3054087582699916E-2</v>
      </c>
      <c r="Y83" s="132">
        <v>4.6147989553903201E-2</v>
      </c>
      <c r="Z83" s="108">
        <f t="shared" si="24"/>
        <v>200425.20566937764</v>
      </c>
      <c r="AA83" s="97">
        <v>-3.6935970785972438E-2</v>
      </c>
      <c r="AB83" s="99">
        <f t="shared" si="16"/>
        <v>198309.19787758647</v>
      </c>
      <c r="AC83" s="99">
        <f>MAX(IF(INDEX('Pace of change parameters'!$E$29:$I$29,1,$B$5)=1,MAX(AB83,Z83),Z83),L83)</f>
        <v>200425.20566937764</v>
      </c>
      <c r="AD83" s="97">
        <f t="shared" si="25"/>
        <v>5.3054087582699916E-2</v>
      </c>
      <c r="AE83" s="146">
        <v>4.6147989553903201E-2</v>
      </c>
      <c r="AF83" s="56">
        <f t="shared" si="26"/>
        <v>200425.20566937764</v>
      </c>
      <c r="AG83" s="56">
        <v>1440.8062936442575</v>
      </c>
      <c r="AH83" s="16">
        <f t="shared" si="17"/>
        <v>5.3054087582699916E-2</v>
      </c>
      <c r="AI83" s="16">
        <f t="shared" si="18"/>
        <v>4.6147989553902979E-2</v>
      </c>
      <c r="AJ83" s="56"/>
      <c r="AK83" s="56">
        <v>205914.86325102381</v>
      </c>
      <c r="AL83" s="56">
        <v>1480.2700585293755</v>
      </c>
      <c r="AM83" s="16">
        <f t="shared" si="27"/>
        <v>-2.6659841329442657E-2</v>
      </c>
      <c r="AN83" s="58">
        <f t="shared" si="28"/>
        <v>-2.6659841329442768E-2</v>
      </c>
      <c r="AP83" s="56">
        <f t="shared" si="19"/>
        <v>0</v>
      </c>
      <c r="AQ83" s="56">
        <f t="shared" si="20"/>
        <v>0</v>
      </c>
    </row>
    <row r="84" spans="1:43" x14ac:dyDescent="0.2">
      <c r="A84" s="156" t="s">
        <v>213</v>
      </c>
      <c r="B84" s="156" t="s">
        <v>214</v>
      </c>
      <c r="D84" s="68">
        <v>283100.08082574629</v>
      </c>
      <c r="E84" s="73">
        <v>1535.6079824782694</v>
      </c>
      <c r="F84" s="55"/>
      <c r="G84" s="88">
        <v>280655.43270872405</v>
      </c>
      <c r="H84" s="81">
        <v>1513.8194871115352</v>
      </c>
      <c r="I84" s="90"/>
      <c r="J84" s="103">
        <f t="shared" si="21"/>
        <v>8.7104963314905692E-3</v>
      </c>
      <c r="K84" s="126">
        <f t="shared" si="22"/>
        <v>1.4393060435698324E-2</v>
      </c>
      <c r="L84" s="56">
        <v>293616</v>
      </c>
      <c r="M84" s="103">
        <v>1.473926805906367E-2</v>
      </c>
      <c r="N84" s="97">
        <f>INDEX('Pace of change parameters'!$E$22:$I$22,1,$B$5)</f>
        <v>9.0547645222140982E-3</v>
      </c>
      <c r="O84" s="108">
        <f>MAX(L84,IF(INDEX('Pace of change parameters'!$E$30:$I$30,1,$B$5)=1,(1+M84)*D84,D84))</f>
        <v>293616</v>
      </c>
      <c r="P84" s="94">
        <f>IF(K84&lt;INDEX('Pace of change parameters'!$E$18:$I$18,1,$B$5),1,IF(K84&gt;INDEX('Pace of change parameters'!$E$19:$I$19,1,$B$5),0,(K84-INDEX('Pace of change parameters'!$E$19:$I$19,1,$B$5))/(INDEX('Pace of change parameters'!$E$18:$I$18,1,$B$5)-INDEX('Pace of change parameters'!$E$19:$I$19,1,$B$5))))</f>
        <v>0.13945609959250319</v>
      </c>
      <c r="Q84" s="57">
        <v>2.4324121752993255E-2</v>
      </c>
      <c r="R84" s="57">
        <v>1.8585924487677374E-2</v>
      </c>
      <c r="S84" s="9">
        <f>MAX(IF(INDEX('Pace of change parameters'!$E$31:$I$31,1,$B$5)=1,D84*(1+Q84),D84),L84)</f>
        <v>293616</v>
      </c>
      <c r="T84" s="103">
        <f>IF(Q84&lt;INDEX('Pace of change parameters'!$E$24:$I$24,1,$B$5),INDEX('Pace of change parameters'!$E$24:$I$24,1,$B$5),Q84)</f>
        <v>3.0386941478720321E-2</v>
      </c>
      <c r="U84" s="132">
        <v>2.4614780690695559E-2</v>
      </c>
      <c r="V84" s="117">
        <f t="shared" si="23"/>
        <v>293616</v>
      </c>
      <c r="W84" s="131">
        <f>IF(J84&gt;INDEX('Pace of change parameters'!$E$26:$I$26,1,$B$5),0,IF(J84&lt;INDEX('Pace of change parameters'!$E$25:$I$25,1,$B$5),1,(J84-INDEX('Pace of change parameters'!$E$26:$I$26,1,$B$5))/(INDEX('Pace of change parameters'!$E$25:$I$25,1,$B$5)-INDEX('Pace of change parameters'!$E$26:$I$26,1,$B$5))))</f>
        <v>1</v>
      </c>
      <c r="X84" s="132">
        <f>MIN(T84, T84+(INDEX('Pace of change parameters'!$E$27:$I$27,1,$B$5)-T84)*(1-W84))</f>
        <v>3.0386941478720321E-2</v>
      </c>
      <c r="Y84" s="132">
        <v>2.4614780690695559E-2</v>
      </c>
      <c r="Z84" s="108">
        <f t="shared" si="24"/>
        <v>293616</v>
      </c>
      <c r="AA84" s="97">
        <v>-2.5000000000000001E-2</v>
      </c>
      <c r="AB84" s="99">
        <f t="shared" si="16"/>
        <v>285494.95781211968</v>
      </c>
      <c r="AC84" s="99">
        <f>MAX(IF(INDEX('Pace of change parameters'!$E$29:$I$29,1,$B$5)=1,MAX(AB84,Z84),Z84),L84)</f>
        <v>293616</v>
      </c>
      <c r="AD84" s="97">
        <f t="shared" si="25"/>
        <v>3.7145588738727531E-2</v>
      </c>
      <c r="AE84" s="146">
        <v>3.1335566447296737E-2</v>
      </c>
      <c r="AF84" s="56">
        <f t="shared" si="26"/>
        <v>293616</v>
      </c>
      <c r="AG84" s="56">
        <v>1583.7271284502165</v>
      </c>
      <c r="AH84" s="16">
        <f t="shared" si="17"/>
        <v>3.7145588738727531E-2</v>
      </c>
      <c r="AI84" s="16">
        <f t="shared" si="18"/>
        <v>3.1335566447296737E-2</v>
      </c>
      <c r="AJ84" s="56"/>
      <c r="AK84" s="56">
        <v>292815.34134576377</v>
      </c>
      <c r="AL84" s="56">
        <v>1579.4084781336724</v>
      </c>
      <c r="AM84" s="16">
        <f t="shared" si="27"/>
        <v>2.734346672399246E-3</v>
      </c>
      <c r="AN84" s="58">
        <f t="shared" si="28"/>
        <v>2.734346672399246E-3</v>
      </c>
      <c r="AP84" s="56">
        <f t="shared" si="19"/>
        <v>1</v>
      </c>
      <c r="AQ84" s="56">
        <f t="shared" si="20"/>
        <v>0</v>
      </c>
    </row>
    <row r="85" spans="1:43" x14ac:dyDescent="0.2">
      <c r="A85" s="156" t="s">
        <v>215</v>
      </c>
      <c r="B85" s="156" t="s">
        <v>216</v>
      </c>
      <c r="D85" s="68">
        <v>347380.22505290143</v>
      </c>
      <c r="E85" s="73">
        <v>1605.7662263866421</v>
      </c>
      <c r="F85" s="55"/>
      <c r="G85" s="88">
        <v>339497.77147223556</v>
      </c>
      <c r="H85" s="81">
        <v>1565.9655362927581</v>
      </c>
      <c r="I85" s="90"/>
      <c r="J85" s="103">
        <f t="shared" si="21"/>
        <v>2.321798327713176E-2</v>
      </c>
      <c r="K85" s="126">
        <f t="shared" si="22"/>
        <v>2.5416070259188128E-2</v>
      </c>
      <c r="L85" s="56">
        <v>360313</v>
      </c>
      <c r="M85" s="103">
        <v>1.1222425937794878E-2</v>
      </c>
      <c r="N85" s="97">
        <f>INDEX('Pace of change parameters'!$E$22:$I$22,1,$B$5)</f>
        <v>9.0547645222140982E-3</v>
      </c>
      <c r="O85" s="108">
        <f>MAX(L85,IF(INDEX('Pace of change parameters'!$E$30:$I$30,1,$B$5)=1,(1+M85)*D85,D85))</f>
        <v>360313</v>
      </c>
      <c r="P85" s="94">
        <f>IF(K85&lt;INDEX('Pace of change parameters'!$E$18:$I$18,1,$B$5),1,IF(K85&gt;INDEX('Pace of change parameters'!$E$19:$I$19,1,$B$5),0,(K85-INDEX('Pace of change parameters'!$E$19:$I$19,1,$B$5))/(INDEX('Pace of change parameters'!$E$18:$I$18,1,$B$5)-INDEX('Pace of change parameters'!$E$19:$I$19,1,$B$5))))</f>
        <v>3.8963713563787694E-2</v>
      </c>
      <c r="Q85" s="57">
        <v>1.3891130765326443E-2</v>
      </c>
      <c r="R85" s="57">
        <v>1.1717748700820207E-2</v>
      </c>
      <c r="S85" s="9">
        <f>MAX(IF(INDEX('Pace of change parameters'!$E$31:$I$31,1,$B$5)=1,D85*(1+Q85),D85),L85)</f>
        <v>360313</v>
      </c>
      <c r="T85" s="103">
        <f>IF(Q85&lt;INDEX('Pace of change parameters'!$E$24:$I$24,1,$B$5),INDEX('Pace of change parameters'!$E$24:$I$24,1,$B$5),Q85)</f>
        <v>3.0386941478720321E-2</v>
      </c>
      <c r="U85" s="132">
        <v>2.8178198912424568E-2</v>
      </c>
      <c r="V85" s="117">
        <f t="shared" si="23"/>
        <v>360313</v>
      </c>
      <c r="W85" s="131">
        <f>IF(J85&gt;INDEX('Pace of change parameters'!$E$26:$I$26,1,$B$5),0,IF(J85&lt;INDEX('Pace of change parameters'!$E$25:$I$25,1,$B$5),1,(J85-INDEX('Pace of change parameters'!$E$26:$I$26,1,$B$5))/(INDEX('Pace of change parameters'!$E$25:$I$25,1,$B$5)-INDEX('Pace of change parameters'!$E$26:$I$26,1,$B$5))))</f>
        <v>1</v>
      </c>
      <c r="X85" s="132">
        <f>MIN(T85, T85+(INDEX('Pace of change parameters'!$E$27:$I$27,1,$B$5)-T85)*(1-W85))</f>
        <v>3.0386941478720321E-2</v>
      </c>
      <c r="Y85" s="132">
        <v>2.8178198912424568E-2</v>
      </c>
      <c r="Z85" s="108">
        <f t="shared" si="24"/>
        <v>360313</v>
      </c>
      <c r="AA85" s="97">
        <v>-2.5000000000000001E-2</v>
      </c>
      <c r="AB85" s="99">
        <f t="shared" si="16"/>
        <v>345381.47880306788</v>
      </c>
      <c r="AC85" s="99">
        <f>MAX(IF(INDEX('Pace of change parameters'!$E$29:$I$29,1,$B$5)=1,MAX(AB85,Z85),Z85),L85)</f>
        <v>360313</v>
      </c>
      <c r="AD85" s="97">
        <f t="shared" si="25"/>
        <v>3.7229450654910234E-2</v>
      </c>
      <c r="AE85" s="146">
        <v>3.5006040451953435E-2</v>
      </c>
      <c r="AF85" s="56">
        <f t="shared" si="26"/>
        <v>360313</v>
      </c>
      <c r="AG85" s="56">
        <v>1661.9777438639135</v>
      </c>
      <c r="AH85" s="16">
        <f t="shared" si="17"/>
        <v>3.7229450654910234E-2</v>
      </c>
      <c r="AI85" s="16">
        <f t="shared" si="18"/>
        <v>3.5006040451953435E-2</v>
      </c>
      <c r="AJ85" s="56"/>
      <c r="AK85" s="56">
        <v>354237.41415699269</v>
      </c>
      <c r="AL85" s="56">
        <v>1633.9535303273137</v>
      </c>
      <c r="AM85" s="16">
        <f t="shared" si="27"/>
        <v>1.715116924468818E-2</v>
      </c>
      <c r="AN85" s="58">
        <f t="shared" si="28"/>
        <v>1.7151169244688402E-2</v>
      </c>
      <c r="AP85" s="56">
        <f t="shared" si="19"/>
        <v>1</v>
      </c>
      <c r="AQ85" s="56">
        <f t="shared" si="20"/>
        <v>0</v>
      </c>
    </row>
    <row r="86" spans="1:43" x14ac:dyDescent="0.2">
      <c r="A86" s="156" t="s">
        <v>217</v>
      </c>
      <c r="B86" s="156" t="s">
        <v>218</v>
      </c>
      <c r="D86" s="68">
        <v>249444.12026331932</v>
      </c>
      <c r="E86" s="73">
        <v>1431.0619783675888</v>
      </c>
      <c r="F86" s="55"/>
      <c r="G86" s="88">
        <v>250949.58212609382</v>
      </c>
      <c r="H86" s="81">
        <v>1433.7862855782887</v>
      </c>
      <c r="I86" s="90"/>
      <c r="J86" s="103">
        <f t="shared" si="21"/>
        <v>-5.9990610465254779E-3</v>
      </c>
      <c r="K86" s="126">
        <f t="shared" si="22"/>
        <v>-1.9000789992917877E-3</v>
      </c>
      <c r="L86" s="56">
        <v>258720</v>
      </c>
      <c r="M86" s="103">
        <v>1.3215824338522753E-2</v>
      </c>
      <c r="N86" s="97">
        <f>INDEX('Pace of change parameters'!$E$22:$I$22,1,$B$5)</f>
        <v>9.0547645222140982E-3</v>
      </c>
      <c r="O86" s="108">
        <f>MAX(L86,IF(INDEX('Pace of change parameters'!$E$30:$I$30,1,$B$5)=1,(1+M86)*D86,D86))</f>
        <v>258720</v>
      </c>
      <c r="P86" s="94">
        <f>IF(K86&lt;INDEX('Pace of change parameters'!$E$18:$I$18,1,$B$5),1,IF(K86&gt;INDEX('Pace of change parameters'!$E$19:$I$19,1,$B$5),0,(K86-INDEX('Pace of change parameters'!$E$19:$I$19,1,$B$5))/(INDEX('Pace of change parameters'!$E$18:$I$18,1,$B$5)-INDEX('Pace of change parameters'!$E$19:$I$19,1,$B$5))))</f>
        <v>0.28799415625209029</v>
      </c>
      <c r="Q86" s="57">
        <v>3.298002007158285E-2</v>
      </c>
      <c r="R86" s="57">
        <v>2.873779294748946E-2</v>
      </c>
      <c r="S86" s="9">
        <f>MAX(IF(INDEX('Pace of change parameters'!$E$31:$I$31,1,$B$5)=1,D86*(1+Q86),D86),L86)</f>
        <v>258720</v>
      </c>
      <c r="T86" s="103">
        <f>IF(Q86&lt;INDEX('Pace of change parameters'!$E$24:$I$24,1,$B$5),INDEX('Pace of change parameters'!$E$24:$I$24,1,$B$5),Q86)</f>
        <v>3.298002007158285E-2</v>
      </c>
      <c r="U86" s="132">
        <v>2.873779294748946E-2</v>
      </c>
      <c r="V86" s="117">
        <f t="shared" si="23"/>
        <v>258720</v>
      </c>
      <c r="W86" s="131">
        <f>IF(J86&gt;INDEX('Pace of change parameters'!$E$26:$I$26,1,$B$5),0,IF(J86&lt;INDEX('Pace of change parameters'!$E$25:$I$25,1,$B$5),1,(J86-INDEX('Pace of change parameters'!$E$26:$I$26,1,$B$5))/(INDEX('Pace of change parameters'!$E$25:$I$25,1,$B$5)-INDEX('Pace of change parameters'!$E$26:$I$26,1,$B$5))))</f>
        <v>1</v>
      </c>
      <c r="X86" s="132">
        <f>MIN(T86, T86+(INDEX('Pace of change parameters'!$E$27:$I$27,1,$B$5)-T86)*(1-W86))</f>
        <v>3.298002007158285E-2</v>
      </c>
      <c r="Y86" s="132">
        <v>2.873779294748946E-2</v>
      </c>
      <c r="Z86" s="108">
        <f t="shared" si="24"/>
        <v>258720</v>
      </c>
      <c r="AA86" s="97">
        <v>-2.5000000000000001E-2</v>
      </c>
      <c r="AB86" s="99">
        <f t="shared" si="16"/>
        <v>255286.62387448459</v>
      </c>
      <c r="AC86" s="99">
        <f>MAX(IF(INDEX('Pace of change parameters'!$E$29:$I$29,1,$B$5)=1,MAX(AB86,Z86),Z86),L86)</f>
        <v>258720</v>
      </c>
      <c r="AD86" s="97">
        <f t="shared" si="25"/>
        <v>3.7186203174036869E-2</v>
      </c>
      <c r="AE86" s="146">
        <v>3.2926702159161936E-2</v>
      </c>
      <c r="AF86" s="56">
        <f t="shared" si="26"/>
        <v>258720</v>
      </c>
      <c r="AG86" s="56">
        <v>1478.1821299005996</v>
      </c>
      <c r="AH86" s="16">
        <f t="shared" si="17"/>
        <v>3.7186203174036869E-2</v>
      </c>
      <c r="AI86" s="16">
        <f t="shared" si="18"/>
        <v>3.2926702159162158E-2</v>
      </c>
      <c r="AJ86" s="56"/>
      <c r="AK86" s="56">
        <v>261832.43474306114</v>
      </c>
      <c r="AL86" s="56">
        <v>1495.9648502843145</v>
      </c>
      <c r="AM86" s="16">
        <f t="shared" si="27"/>
        <v>-1.1887124473770383E-2</v>
      </c>
      <c r="AN86" s="58">
        <f t="shared" si="28"/>
        <v>-1.1887124473770272E-2</v>
      </c>
      <c r="AP86" s="56">
        <f t="shared" si="19"/>
        <v>1</v>
      </c>
      <c r="AQ86" s="56">
        <f t="shared" si="20"/>
        <v>0</v>
      </c>
    </row>
    <row r="87" spans="1:43" x14ac:dyDescent="0.2">
      <c r="A87" s="156" t="s">
        <v>219</v>
      </c>
      <c r="B87" s="156" t="s">
        <v>220</v>
      </c>
      <c r="D87" s="68">
        <v>868692.10833542224</v>
      </c>
      <c r="E87" s="73">
        <v>1543.8859080438881</v>
      </c>
      <c r="F87" s="55"/>
      <c r="G87" s="88">
        <v>886686.95582664758</v>
      </c>
      <c r="H87" s="81">
        <v>1562.2081454440422</v>
      </c>
      <c r="I87" s="90"/>
      <c r="J87" s="103">
        <f t="shared" si="21"/>
        <v>-2.0294476390993021E-2</v>
      </c>
      <c r="K87" s="126">
        <f t="shared" si="22"/>
        <v>-1.1728422651993142E-2</v>
      </c>
      <c r="L87" s="56">
        <v>902794</v>
      </c>
      <c r="M87" s="103">
        <v>1.7877433304002599E-2</v>
      </c>
      <c r="N87" s="97">
        <f>INDEX('Pace of change parameters'!$E$22:$I$22,1,$B$5)</f>
        <v>9.0547645222140982E-3</v>
      </c>
      <c r="O87" s="108">
        <f>MAX(L87,IF(INDEX('Pace of change parameters'!$E$30:$I$30,1,$B$5)=1,(1+M87)*D87,D87))</f>
        <v>902794</v>
      </c>
      <c r="P87" s="94">
        <f>IF(K87&lt;INDEX('Pace of change parameters'!$E$18:$I$18,1,$B$5),1,IF(K87&gt;INDEX('Pace of change parameters'!$E$19:$I$19,1,$B$5),0,(K87-INDEX('Pace of change parameters'!$E$19:$I$19,1,$B$5))/(INDEX('Pace of change parameters'!$E$18:$I$18,1,$B$5)-INDEX('Pace of change parameters'!$E$19:$I$19,1,$B$5))))</f>
        <v>0.37759524707806674</v>
      </c>
      <c r="Q87" s="57">
        <v>4.3909911412395752E-2</v>
      </c>
      <c r="R87" s="57">
        <v>3.4861600599057407E-2</v>
      </c>
      <c r="S87" s="9">
        <f>MAX(IF(INDEX('Pace of change parameters'!$E$31:$I$31,1,$B$5)=1,D87*(1+Q87),D87),L87)</f>
        <v>906836.30185707787</v>
      </c>
      <c r="T87" s="103">
        <f>IF(Q87&lt;INDEX('Pace of change parameters'!$E$24:$I$24,1,$B$5),INDEX('Pace of change parameters'!$E$24:$I$24,1,$B$5),Q87)</f>
        <v>4.3909911412395752E-2</v>
      </c>
      <c r="U87" s="132">
        <v>3.4861600599057407E-2</v>
      </c>
      <c r="V87" s="117">
        <f t="shared" si="23"/>
        <v>906836.30185707787</v>
      </c>
      <c r="W87" s="131">
        <f>IF(J87&gt;INDEX('Pace of change parameters'!$E$26:$I$26,1,$B$5),0,IF(J87&lt;INDEX('Pace of change parameters'!$E$25:$I$25,1,$B$5),1,(J87-INDEX('Pace of change parameters'!$E$26:$I$26,1,$B$5))/(INDEX('Pace of change parameters'!$E$25:$I$25,1,$B$5)-INDEX('Pace of change parameters'!$E$26:$I$26,1,$B$5))))</f>
        <v>1</v>
      </c>
      <c r="X87" s="132">
        <f>MIN(T87, T87+(INDEX('Pace of change parameters'!$E$27:$I$27,1,$B$5)-T87)*(1-W87))</f>
        <v>4.3909911412395752E-2</v>
      </c>
      <c r="Y87" s="132">
        <v>3.4861600599057407E-2</v>
      </c>
      <c r="Z87" s="108">
        <f t="shared" si="24"/>
        <v>906836.30185707787</v>
      </c>
      <c r="AA87" s="97">
        <v>-2.5000000000000001E-2</v>
      </c>
      <c r="AB87" s="99">
        <f t="shared" si="16"/>
        <v>902630.6342394735</v>
      </c>
      <c r="AC87" s="99">
        <f>MAX(IF(INDEX('Pace of change parameters'!$E$29:$I$29,1,$B$5)=1,MAX(AB87,Z87),Z87),L87)</f>
        <v>906836.30185707787</v>
      </c>
      <c r="AD87" s="97">
        <f t="shared" si="25"/>
        <v>4.3909911412395752E-2</v>
      </c>
      <c r="AE87" s="146">
        <v>3.4861600599057407E-2</v>
      </c>
      <c r="AF87" s="56">
        <f t="shared" si="26"/>
        <v>906836.30185707787</v>
      </c>
      <c r="AG87" s="56">
        <v>1597.7082419406267</v>
      </c>
      <c r="AH87" s="16">
        <f t="shared" si="17"/>
        <v>4.3909911412395752E-2</v>
      </c>
      <c r="AI87" s="16">
        <f t="shared" si="18"/>
        <v>3.4861600599057185E-2</v>
      </c>
      <c r="AJ87" s="56"/>
      <c r="AK87" s="56">
        <v>925775.0094763831</v>
      </c>
      <c r="AL87" s="56">
        <v>1631.0753768833968</v>
      </c>
      <c r="AM87" s="16">
        <f t="shared" si="27"/>
        <v>-2.045713853306208E-2</v>
      </c>
      <c r="AN87" s="58">
        <f t="shared" si="28"/>
        <v>-2.045713853306208E-2</v>
      </c>
      <c r="AP87" s="56">
        <f t="shared" si="19"/>
        <v>0</v>
      </c>
      <c r="AQ87" s="56">
        <f t="shared" si="20"/>
        <v>0</v>
      </c>
    </row>
    <row r="88" spans="1:43" x14ac:dyDescent="0.2">
      <c r="A88" s="156" t="s">
        <v>221</v>
      </c>
      <c r="B88" s="156" t="s">
        <v>222</v>
      </c>
      <c r="D88" s="68">
        <v>477145.69798400847</v>
      </c>
      <c r="E88" s="73">
        <v>1570.4622660545001</v>
      </c>
      <c r="F88" s="55"/>
      <c r="G88" s="88">
        <v>480820.40311150567</v>
      </c>
      <c r="H88" s="81">
        <v>1576.0315663757285</v>
      </c>
      <c r="I88" s="90"/>
      <c r="J88" s="103">
        <f t="shared" si="21"/>
        <v>-7.6425732013809533E-3</v>
      </c>
      <c r="K88" s="126">
        <f t="shared" si="22"/>
        <v>-3.5337492218101563E-3</v>
      </c>
      <c r="L88" s="56">
        <v>494625</v>
      </c>
      <c r="M88" s="103">
        <v>1.3232723291106918E-2</v>
      </c>
      <c r="N88" s="97">
        <f>INDEX('Pace of change parameters'!$E$22:$I$22,1,$B$5)</f>
        <v>9.0547645222140982E-3</v>
      </c>
      <c r="O88" s="108">
        <f>MAX(L88,IF(INDEX('Pace of change parameters'!$E$30:$I$30,1,$B$5)=1,(1+M88)*D88,D88))</f>
        <v>494625</v>
      </c>
      <c r="P88" s="94">
        <f>IF(K88&lt;INDEX('Pace of change parameters'!$E$18:$I$18,1,$B$5),1,IF(K88&gt;INDEX('Pace of change parameters'!$E$19:$I$19,1,$B$5),0,(K88-INDEX('Pace of change parameters'!$E$19:$I$19,1,$B$5))/(INDEX('Pace of change parameters'!$E$18:$I$18,1,$B$5)-INDEX('Pace of change parameters'!$E$19:$I$19,1,$B$5))))</f>
        <v>0.30288767637715519</v>
      </c>
      <c r="Q88" s="57">
        <v>3.4019364388881312E-2</v>
      </c>
      <c r="R88" s="57">
        <v>2.9755694087530093E-2</v>
      </c>
      <c r="S88" s="9">
        <f>MAX(IF(INDEX('Pace of change parameters'!$E$31:$I$31,1,$B$5)=1,D88*(1+Q88),D88),L88)</f>
        <v>494625</v>
      </c>
      <c r="T88" s="103">
        <f>IF(Q88&lt;INDEX('Pace of change parameters'!$E$24:$I$24,1,$B$5),INDEX('Pace of change parameters'!$E$24:$I$24,1,$B$5),Q88)</f>
        <v>3.4019364388881312E-2</v>
      </c>
      <c r="U88" s="132">
        <v>2.9755694087530093E-2</v>
      </c>
      <c r="V88" s="117">
        <f t="shared" si="23"/>
        <v>494625</v>
      </c>
      <c r="W88" s="131">
        <f>IF(J88&gt;INDEX('Pace of change parameters'!$E$26:$I$26,1,$B$5),0,IF(J88&lt;INDEX('Pace of change parameters'!$E$25:$I$25,1,$B$5),1,(J88-INDEX('Pace of change parameters'!$E$26:$I$26,1,$B$5))/(INDEX('Pace of change parameters'!$E$25:$I$25,1,$B$5)-INDEX('Pace of change parameters'!$E$26:$I$26,1,$B$5))))</f>
        <v>1</v>
      </c>
      <c r="X88" s="132">
        <f>MIN(T88, T88+(INDEX('Pace of change parameters'!$E$27:$I$27,1,$B$5)-T88)*(1-W88))</f>
        <v>3.4019364388881312E-2</v>
      </c>
      <c r="Y88" s="132">
        <v>2.9755694087530093E-2</v>
      </c>
      <c r="Z88" s="108">
        <f t="shared" si="24"/>
        <v>494625</v>
      </c>
      <c r="AA88" s="97">
        <v>-2.5000000000000001E-2</v>
      </c>
      <c r="AB88" s="99">
        <f t="shared" si="16"/>
        <v>489196.32773263624</v>
      </c>
      <c r="AC88" s="99">
        <f>MAX(IF(INDEX('Pace of change parameters'!$E$29:$I$29,1,$B$5)=1,MAX(AB88,Z88),Z88),L88)</f>
        <v>494625</v>
      </c>
      <c r="AD88" s="97">
        <f t="shared" si="25"/>
        <v>3.6633049590184763E-2</v>
      </c>
      <c r="AE88" s="146">
        <v>3.2358602032281469E-2</v>
      </c>
      <c r="AF88" s="56">
        <f t="shared" si="26"/>
        <v>494625</v>
      </c>
      <c r="AG88" s="56">
        <v>1621.2802295284725</v>
      </c>
      <c r="AH88" s="16">
        <f t="shared" si="17"/>
        <v>3.6633049590184763E-2</v>
      </c>
      <c r="AI88" s="16">
        <f t="shared" si="18"/>
        <v>3.2358602032281469E-2</v>
      </c>
      <c r="AJ88" s="56"/>
      <c r="AK88" s="56">
        <v>501739.82331552438</v>
      </c>
      <c r="AL88" s="56">
        <v>1644.6011744423931</v>
      </c>
      <c r="AM88" s="16">
        <f t="shared" si="27"/>
        <v>-1.4180304183369796E-2</v>
      </c>
      <c r="AN88" s="58">
        <f t="shared" si="28"/>
        <v>-1.4180304183369907E-2</v>
      </c>
      <c r="AP88" s="56">
        <f t="shared" si="19"/>
        <v>1</v>
      </c>
      <c r="AQ88" s="56">
        <f t="shared" si="20"/>
        <v>0</v>
      </c>
    </row>
    <row r="89" spans="1:43" x14ac:dyDescent="0.2">
      <c r="A89" s="156" t="s">
        <v>223</v>
      </c>
      <c r="B89" s="156" t="s">
        <v>224</v>
      </c>
      <c r="D89" s="68">
        <v>362727.47189149685</v>
      </c>
      <c r="E89" s="73">
        <v>1492.0056923562479</v>
      </c>
      <c r="F89" s="55"/>
      <c r="G89" s="88">
        <v>375030.42321769235</v>
      </c>
      <c r="H89" s="81">
        <v>1534.4655659810355</v>
      </c>
      <c r="I89" s="90"/>
      <c r="J89" s="103">
        <f t="shared" si="21"/>
        <v>-3.2805208763167615E-2</v>
      </c>
      <c r="K89" s="126">
        <f t="shared" si="22"/>
        <v>-2.7670789469714574E-2</v>
      </c>
      <c r="L89" s="56">
        <v>377857</v>
      </c>
      <c r="M89" s="103">
        <v>1.4411400329245705E-2</v>
      </c>
      <c r="N89" s="97">
        <f>INDEX('Pace of change parameters'!$E$22:$I$22,1,$B$5)</f>
        <v>9.0547645222140982E-3</v>
      </c>
      <c r="O89" s="108">
        <f>MAX(L89,IF(INDEX('Pace of change parameters'!$E$30:$I$30,1,$B$5)=1,(1+M89)*D89,D89))</f>
        <v>377857</v>
      </c>
      <c r="P89" s="94">
        <f>IF(K89&lt;INDEX('Pace of change parameters'!$E$18:$I$18,1,$B$5),1,IF(K89&gt;INDEX('Pace of change parameters'!$E$19:$I$19,1,$B$5),0,(K89-INDEX('Pace of change parameters'!$E$19:$I$19,1,$B$5))/(INDEX('Pace of change parameters'!$E$18:$I$18,1,$B$5)-INDEX('Pace of change parameters'!$E$19:$I$19,1,$B$5))))</f>
        <v>0.52293544962817551</v>
      </c>
      <c r="Q89" s="57">
        <v>5.0341275770569238E-2</v>
      </c>
      <c r="R89" s="57">
        <v>4.4794910966733603E-2</v>
      </c>
      <c r="S89" s="9">
        <f>MAX(IF(INDEX('Pace of change parameters'!$E$31:$I$31,1,$B$5)=1,D89*(1+Q89),D89),L89)</f>
        <v>380987.63558354811</v>
      </c>
      <c r="T89" s="103">
        <f>IF(Q89&lt;INDEX('Pace of change parameters'!$E$24:$I$24,1,$B$5),INDEX('Pace of change parameters'!$E$24:$I$24,1,$B$5),Q89)</f>
        <v>5.0341275770569238E-2</v>
      </c>
      <c r="U89" s="132">
        <v>4.4794910966733603E-2</v>
      </c>
      <c r="V89" s="117">
        <f t="shared" si="23"/>
        <v>380987.63558354811</v>
      </c>
      <c r="W89" s="131">
        <f>IF(J89&gt;INDEX('Pace of change parameters'!$E$26:$I$26,1,$B$5),0,IF(J89&lt;INDEX('Pace of change parameters'!$E$25:$I$25,1,$B$5),1,(J89-INDEX('Pace of change parameters'!$E$26:$I$26,1,$B$5))/(INDEX('Pace of change parameters'!$E$25:$I$25,1,$B$5)-INDEX('Pace of change parameters'!$E$26:$I$26,1,$B$5))))</f>
        <v>1</v>
      </c>
      <c r="X89" s="132">
        <f>MIN(T89, T89+(INDEX('Pace of change parameters'!$E$27:$I$27,1,$B$5)-T89)*(1-W89))</f>
        <v>5.0341275770569238E-2</v>
      </c>
      <c r="Y89" s="132">
        <v>4.4794910966733603E-2</v>
      </c>
      <c r="Z89" s="108">
        <f t="shared" si="24"/>
        <v>380987.63558354811</v>
      </c>
      <c r="AA89" s="97">
        <v>-3.4784394344150038E-2</v>
      </c>
      <c r="AB89" s="99">
        <f t="shared" si="16"/>
        <v>377624.62027596054</v>
      </c>
      <c r="AC89" s="99">
        <f>MAX(IF(INDEX('Pace of change parameters'!$E$29:$I$29,1,$B$5)=1,MAX(AB89,Z89),Z89),L89)</f>
        <v>380987.63558354811</v>
      </c>
      <c r="AD89" s="97">
        <f t="shared" si="25"/>
        <v>5.0341275770569238E-2</v>
      </c>
      <c r="AE89" s="146">
        <v>4.4794910966733603E-2</v>
      </c>
      <c r="AF89" s="56">
        <f t="shared" si="26"/>
        <v>380987.63558354811</v>
      </c>
      <c r="AG89" s="56">
        <v>1558.8399545072057</v>
      </c>
      <c r="AH89" s="16">
        <f t="shared" si="17"/>
        <v>5.0341275770569238E-2</v>
      </c>
      <c r="AI89" s="16">
        <f t="shared" si="18"/>
        <v>4.4794910966733603E-2</v>
      </c>
      <c r="AJ89" s="56"/>
      <c r="AK89" s="56">
        <v>391233.43848069065</v>
      </c>
      <c r="AL89" s="56">
        <v>1600.7614381207309</v>
      </c>
      <c r="AM89" s="16">
        <f t="shared" si="27"/>
        <v>-2.6188464199100481E-2</v>
      </c>
      <c r="AN89" s="58">
        <f t="shared" si="28"/>
        <v>-2.618846419910037E-2</v>
      </c>
      <c r="AP89" s="56">
        <f t="shared" si="19"/>
        <v>0</v>
      </c>
      <c r="AQ89" s="56">
        <f t="shared" si="20"/>
        <v>0</v>
      </c>
    </row>
    <row r="90" spans="1:43" x14ac:dyDescent="0.2">
      <c r="A90" s="156" t="s">
        <v>225</v>
      </c>
      <c r="B90" s="156" t="s">
        <v>226</v>
      </c>
      <c r="D90" s="68">
        <v>305998.52440638561</v>
      </c>
      <c r="E90" s="73">
        <v>1412.6833930712883</v>
      </c>
      <c r="F90" s="55"/>
      <c r="G90" s="88">
        <v>320362.76914507698</v>
      </c>
      <c r="H90" s="81">
        <v>1472.7449868102087</v>
      </c>
      <c r="I90" s="90"/>
      <c r="J90" s="103">
        <f t="shared" si="21"/>
        <v>-4.4837434690129352E-2</v>
      </c>
      <c r="K90" s="126">
        <f t="shared" si="22"/>
        <v>-4.0782073119805196E-2</v>
      </c>
      <c r="L90" s="56">
        <v>321371</v>
      </c>
      <c r="M90" s="103">
        <v>1.3338937775034587E-2</v>
      </c>
      <c r="N90" s="97">
        <f>INDEX('Pace of change parameters'!$E$22:$I$22,1,$B$5)</f>
        <v>9.0547645222140982E-3</v>
      </c>
      <c r="O90" s="108">
        <f>MAX(L90,IF(INDEX('Pace of change parameters'!$E$30:$I$30,1,$B$5)=1,(1+M90)*D90,D90))</f>
        <v>321371</v>
      </c>
      <c r="P90" s="94">
        <f>IF(K90&lt;INDEX('Pace of change parameters'!$E$18:$I$18,1,$B$5),1,IF(K90&gt;INDEX('Pace of change parameters'!$E$19:$I$19,1,$B$5),0,(K90-INDEX('Pace of change parameters'!$E$19:$I$19,1,$B$5))/(INDEX('Pace of change parameters'!$E$18:$I$18,1,$B$5)-INDEX('Pace of change parameters'!$E$19:$I$19,1,$B$5))))</f>
        <v>0.64246579560402206</v>
      </c>
      <c r="Q90" s="57">
        <v>5.7434841605692455E-2</v>
      </c>
      <c r="R90" s="57">
        <v>5.2964240609194135E-2</v>
      </c>
      <c r="S90" s="9">
        <f>MAX(IF(INDEX('Pace of change parameters'!$E$31:$I$31,1,$B$5)=1,D90*(1+Q90),D90),L90)</f>
        <v>323573.50118724199</v>
      </c>
      <c r="T90" s="103">
        <f>IF(Q90&lt;INDEX('Pace of change parameters'!$E$24:$I$24,1,$B$5),INDEX('Pace of change parameters'!$E$24:$I$24,1,$B$5),Q90)</f>
        <v>5.7434841605692455E-2</v>
      </c>
      <c r="U90" s="132">
        <v>5.2964240609194135E-2</v>
      </c>
      <c r="V90" s="117">
        <f t="shared" si="23"/>
        <v>323573.50118724199</v>
      </c>
      <c r="W90" s="131">
        <f>IF(J90&gt;INDEX('Pace of change parameters'!$E$26:$I$26,1,$B$5),0,IF(J90&lt;INDEX('Pace of change parameters'!$E$25:$I$25,1,$B$5),1,(J90-INDEX('Pace of change parameters'!$E$26:$I$26,1,$B$5))/(INDEX('Pace of change parameters'!$E$25:$I$25,1,$B$5)-INDEX('Pace of change parameters'!$E$26:$I$26,1,$B$5))))</f>
        <v>1</v>
      </c>
      <c r="X90" s="132">
        <f>MIN(T90, T90+(INDEX('Pace of change parameters'!$E$27:$I$27,1,$B$5)-T90)*(1-W90))</f>
        <v>5.7434841605692455E-2</v>
      </c>
      <c r="Y90" s="132">
        <v>5.2964240609194135E-2</v>
      </c>
      <c r="Z90" s="108">
        <f t="shared" si="24"/>
        <v>323573.50118724199</v>
      </c>
      <c r="AA90" s="97">
        <v>-4.7801868147929083E-2</v>
      </c>
      <c r="AB90" s="99">
        <f t="shared" si="16"/>
        <v>318308.93691026757</v>
      </c>
      <c r="AC90" s="99">
        <f>MAX(IF(INDEX('Pace of change parameters'!$E$29:$I$29,1,$B$5)=1,MAX(AB90,Z90),Z90),L90)</f>
        <v>323573.50118724199</v>
      </c>
      <c r="AD90" s="97">
        <f t="shared" si="25"/>
        <v>5.7434841605692455E-2</v>
      </c>
      <c r="AE90" s="146">
        <v>5.2964240609194135E-2</v>
      </c>
      <c r="AF90" s="56">
        <f t="shared" si="26"/>
        <v>323573.50118724199</v>
      </c>
      <c r="AG90" s="56">
        <v>1487.5050962065288</v>
      </c>
      <c r="AH90" s="16">
        <f t="shared" si="17"/>
        <v>5.7434841605692455E-2</v>
      </c>
      <c r="AI90" s="16">
        <f t="shared" si="18"/>
        <v>5.2964240609194135E-2</v>
      </c>
      <c r="AJ90" s="56"/>
      <c r="AK90" s="56">
        <v>334288.55430659314</v>
      </c>
      <c r="AL90" s="56">
        <v>1536.7634441944726</v>
      </c>
      <c r="AM90" s="16">
        <f t="shared" si="27"/>
        <v>-3.2053305389342812E-2</v>
      </c>
      <c r="AN90" s="58">
        <f t="shared" si="28"/>
        <v>-3.2053305389342923E-2</v>
      </c>
      <c r="AP90" s="56">
        <f t="shared" si="19"/>
        <v>0</v>
      </c>
      <c r="AQ90" s="56">
        <f t="shared" si="20"/>
        <v>0</v>
      </c>
    </row>
    <row r="91" spans="1:43" x14ac:dyDescent="0.2">
      <c r="A91" s="156" t="s">
        <v>227</v>
      </c>
      <c r="B91" s="156" t="s">
        <v>228</v>
      </c>
      <c r="D91" s="68">
        <v>405127.06179422623</v>
      </c>
      <c r="E91" s="73">
        <v>1461.8981459354882</v>
      </c>
      <c r="F91" s="55"/>
      <c r="G91" s="88">
        <v>403587.12816948612</v>
      </c>
      <c r="H91" s="81">
        <v>1447.9201040923817</v>
      </c>
      <c r="I91" s="90"/>
      <c r="J91" s="103">
        <f t="shared" si="21"/>
        <v>3.8156163000655496E-3</v>
      </c>
      <c r="K91" s="126">
        <f t="shared" si="22"/>
        <v>9.6538764836533453E-3</v>
      </c>
      <c r="L91" s="56">
        <v>420231</v>
      </c>
      <c r="M91" s="103">
        <v>1.4923495949688448E-2</v>
      </c>
      <c r="N91" s="97">
        <f>INDEX('Pace of change parameters'!$E$22:$I$22,1,$B$5)</f>
        <v>9.0547645222140982E-3</v>
      </c>
      <c r="O91" s="108">
        <f>MAX(L91,IF(INDEX('Pace of change parameters'!$E$30:$I$30,1,$B$5)=1,(1+M91)*D91,D91))</f>
        <v>420231</v>
      </c>
      <c r="P91" s="94">
        <f>IF(K91&lt;INDEX('Pace of change parameters'!$E$18:$I$18,1,$B$5),1,IF(K91&gt;INDEX('Pace of change parameters'!$E$19:$I$19,1,$B$5),0,(K91-INDEX('Pace of change parameters'!$E$19:$I$19,1,$B$5))/(INDEX('Pace of change parameters'!$E$18:$I$18,1,$B$5)-INDEX('Pace of change parameters'!$E$19:$I$19,1,$B$5))))</f>
        <v>0.18266135031768305</v>
      </c>
      <c r="Q91" s="57">
        <v>2.7480136938411448E-2</v>
      </c>
      <c r="R91" s="57">
        <v>2.1538797522366426E-2</v>
      </c>
      <c r="S91" s="9">
        <f>MAX(IF(INDEX('Pace of change parameters'!$E$31:$I$31,1,$B$5)=1,D91*(1+Q91),D91),L91)</f>
        <v>420231</v>
      </c>
      <c r="T91" s="103">
        <f>IF(Q91&lt;INDEX('Pace of change parameters'!$E$24:$I$24,1,$B$5),INDEX('Pace of change parameters'!$E$24:$I$24,1,$B$5),Q91)</f>
        <v>3.0386941478720321E-2</v>
      </c>
      <c r="U91" s="132">
        <v>2.4428793647827129E-2</v>
      </c>
      <c r="V91" s="117">
        <f t="shared" si="23"/>
        <v>420231</v>
      </c>
      <c r="W91" s="131">
        <f>IF(J91&gt;INDEX('Pace of change parameters'!$E$26:$I$26,1,$B$5),0,IF(J91&lt;INDEX('Pace of change parameters'!$E$25:$I$25,1,$B$5),1,(J91-INDEX('Pace of change parameters'!$E$26:$I$26,1,$B$5))/(INDEX('Pace of change parameters'!$E$25:$I$25,1,$B$5)-INDEX('Pace of change parameters'!$E$26:$I$26,1,$B$5))))</f>
        <v>1</v>
      </c>
      <c r="X91" s="132">
        <f>MIN(T91, T91+(INDEX('Pace of change parameters'!$E$27:$I$27,1,$B$5)-T91)*(1-W91))</f>
        <v>3.0386941478720321E-2</v>
      </c>
      <c r="Y91" s="132">
        <v>2.4428793647827129E-2</v>
      </c>
      <c r="Z91" s="108">
        <f t="shared" si="24"/>
        <v>420231</v>
      </c>
      <c r="AA91" s="97">
        <v>-2.5000000000000001E-2</v>
      </c>
      <c r="AB91" s="99">
        <f t="shared" si="16"/>
        <v>410376.74156254868</v>
      </c>
      <c r="AC91" s="99">
        <f>MAX(IF(INDEX('Pace of change parameters'!$E$29:$I$29,1,$B$5)=1,MAX(AB91,Z91),Z91),L91)</f>
        <v>420231</v>
      </c>
      <c r="AD91" s="97">
        <f t="shared" si="25"/>
        <v>3.7281978001868055E-2</v>
      </c>
      <c r="AE91" s="146">
        <v>3.128396005495282E-2</v>
      </c>
      <c r="AF91" s="56">
        <f t="shared" si="26"/>
        <v>420231</v>
      </c>
      <c r="AG91" s="56">
        <v>1507.6321091373434</v>
      </c>
      <c r="AH91" s="16">
        <f t="shared" si="17"/>
        <v>3.7281978001868055E-2</v>
      </c>
      <c r="AI91" s="16">
        <f t="shared" si="18"/>
        <v>3.1283960054952598E-2</v>
      </c>
      <c r="AJ91" s="56"/>
      <c r="AK91" s="56">
        <v>420899.22211543453</v>
      </c>
      <c r="AL91" s="56">
        <v>1510.0294408840846</v>
      </c>
      <c r="AM91" s="16">
        <f t="shared" si="27"/>
        <v>-1.5876059643827878E-3</v>
      </c>
      <c r="AN91" s="58">
        <f t="shared" si="28"/>
        <v>-1.5876059643827878E-3</v>
      </c>
      <c r="AP91" s="56">
        <f t="shared" si="19"/>
        <v>1</v>
      </c>
      <c r="AQ91" s="56">
        <f t="shared" si="20"/>
        <v>0</v>
      </c>
    </row>
    <row r="92" spans="1:43" x14ac:dyDescent="0.2">
      <c r="A92" s="156" t="s">
        <v>229</v>
      </c>
      <c r="B92" s="156" t="s">
        <v>230</v>
      </c>
      <c r="D92" s="68">
        <v>431672.59569567669</v>
      </c>
      <c r="E92" s="73">
        <v>1433.9471950241389</v>
      </c>
      <c r="F92" s="55"/>
      <c r="G92" s="88">
        <v>438104.33344390272</v>
      </c>
      <c r="H92" s="81">
        <v>1449.0586206232854</v>
      </c>
      <c r="I92" s="90"/>
      <c r="J92" s="103">
        <f t="shared" si="21"/>
        <v>-1.4680835721634256E-2</v>
      </c>
      <c r="K92" s="126">
        <f t="shared" si="22"/>
        <v>-1.0428443255557585E-2</v>
      </c>
      <c r="L92" s="56">
        <v>447440</v>
      </c>
      <c r="M92" s="103">
        <v>1.3409593935945985E-2</v>
      </c>
      <c r="N92" s="97">
        <f>INDEX('Pace of change parameters'!$E$22:$I$22,1,$B$5)</f>
        <v>9.0547645222140982E-3</v>
      </c>
      <c r="O92" s="108">
        <f>MAX(L92,IF(INDEX('Pace of change parameters'!$E$30:$I$30,1,$B$5)=1,(1+M92)*D92,D92))</f>
        <v>447440</v>
      </c>
      <c r="P92" s="94">
        <f>IF(K92&lt;INDEX('Pace of change parameters'!$E$18:$I$18,1,$B$5),1,IF(K92&gt;INDEX('Pace of change parameters'!$E$19:$I$19,1,$B$5),0,(K92-INDEX('Pace of change parameters'!$E$19:$I$19,1,$B$5))/(INDEX('Pace of change parameters'!$E$18:$I$18,1,$B$5)-INDEX('Pace of change parameters'!$E$19:$I$19,1,$B$5))))</f>
        <v>0.3657438531822188</v>
      </c>
      <c r="Q92" s="57">
        <v>3.8514323893178437E-2</v>
      </c>
      <c r="R92" s="57">
        <v>3.4051614292505583E-2</v>
      </c>
      <c r="S92" s="9">
        <f>MAX(IF(INDEX('Pace of change parameters'!$E$31:$I$31,1,$B$5)=1,D92*(1+Q92),D92),L92)</f>
        <v>448298.17386210902</v>
      </c>
      <c r="T92" s="103">
        <f>IF(Q92&lt;INDEX('Pace of change parameters'!$E$24:$I$24,1,$B$5),INDEX('Pace of change parameters'!$E$24:$I$24,1,$B$5),Q92)</f>
        <v>3.8514323893178437E-2</v>
      </c>
      <c r="U92" s="132">
        <v>3.4051614292505583E-2</v>
      </c>
      <c r="V92" s="117">
        <f t="shared" si="23"/>
        <v>448298.17386210902</v>
      </c>
      <c r="W92" s="131">
        <f>IF(J92&gt;INDEX('Pace of change parameters'!$E$26:$I$26,1,$B$5),0,IF(J92&lt;INDEX('Pace of change parameters'!$E$25:$I$25,1,$B$5),1,(J92-INDEX('Pace of change parameters'!$E$26:$I$26,1,$B$5))/(INDEX('Pace of change parameters'!$E$25:$I$25,1,$B$5)-INDEX('Pace of change parameters'!$E$26:$I$26,1,$B$5))))</f>
        <v>1</v>
      </c>
      <c r="X92" s="132">
        <f>MIN(T92, T92+(INDEX('Pace of change parameters'!$E$27:$I$27,1,$B$5)-T92)*(1-W92))</f>
        <v>3.8514323893178437E-2</v>
      </c>
      <c r="Y92" s="132">
        <v>3.4051614292505583E-2</v>
      </c>
      <c r="Z92" s="108">
        <f t="shared" si="24"/>
        <v>448298.17386210902</v>
      </c>
      <c r="AA92" s="97">
        <v>-2.5000000000000001E-2</v>
      </c>
      <c r="AB92" s="99">
        <f t="shared" si="16"/>
        <v>445747.98014331982</v>
      </c>
      <c r="AC92" s="99">
        <f>MAX(IF(INDEX('Pace of change parameters'!$E$29:$I$29,1,$B$5)=1,MAX(AB92,Z92),Z92),L92)</f>
        <v>448298.17386210902</v>
      </c>
      <c r="AD92" s="97">
        <f t="shared" si="25"/>
        <v>3.8514323893178437E-2</v>
      </c>
      <c r="AE92" s="146">
        <v>3.4051614292505583E-2</v>
      </c>
      <c r="AF92" s="56">
        <f t="shared" si="26"/>
        <v>448298.17386210902</v>
      </c>
      <c r="AG92" s="56">
        <v>1482.7754118249211</v>
      </c>
      <c r="AH92" s="16">
        <f t="shared" si="17"/>
        <v>3.8514323893178437E-2</v>
      </c>
      <c r="AI92" s="16">
        <f t="shared" si="18"/>
        <v>3.4051614292505583E-2</v>
      </c>
      <c r="AJ92" s="56"/>
      <c r="AK92" s="56">
        <v>457177.41553161008</v>
      </c>
      <c r="AL92" s="56">
        <v>1512.1440820333282</v>
      </c>
      <c r="AM92" s="16">
        <f t="shared" si="27"/>
        <v>-1.9421872926894679E-2</v>
      </c>
      <c r="AN92" s="58">
        <f t="shared" si="28"/>
        <v>-1.9421872926894679E-2</v>
      </c>
      <c r="AP92" s="56">
        <f t="shared" si="19"/>
        <v>0</v>
      </c>
      <c r="AQ92" s="56">
        <f t="shared" si="20"/>
        <v>0</v>
      </c>
    </row>
    <row r="93" spans="1:43" x14ac:dyDescent="0.2">
      <c r="A93" s="156" t="s">
        <v>231</v>
      </c>
      <c r="B93" s="156" t="s">
        <v>232</v>
      </c>
      <c r="D93" s="68">
        <v>215992.33675959735</v>
      </c>
      <c r="E93" s="73">
        <v>1473.585967413474</v>
      </c>
      <c r="F93" s="55"/>
      <c r="G93" s="88">
        <v>216253.72382027406</v>
      </c>
      <c r="H93" s="81">
        <v>1469.6578359944153</v>
      </c>
      <c r="I93" s="90"/>
      <c r="J93" s="103">
        <f t="shared" si="21"/>
        <v>-1.2087054782646822E-3</v>
      </c>
      <c r="K93" s="126">
        <f t="shared" si="22"/>
        <v>2.6728203823040975E-3</v>
      </c>
      <c r="L93" s="56">
        <v>224036</v>
      </c>
      <c r="M93" s="103">
        <v>1.2976176517598415E-2</v>
      </c>
      <c r="N93" s="97">
        <f>INDEX('Pace of change parameters'!$E$22:$I$22,1,$B$5)</f>
        <v>9.0547645222140982E-3</v>
      </c>
      <c r="O93" s="108">
        <f>MAX(L93,IF(INDEX('Pace of change parameters'!$E$30:$I$30,1,$B$5)=1,(1+M93)*D93,D93))</f>
        <v>224036</v>
      </c>
      <c r="P93" s="94">
        <f>IF(K93&lt;INDEX('Pace of change parameters'!$E$18:$I$18,1,$B$5),1,IF(K93&gt;INDEX('Pace of change parameters'!$E$19:$I$19,1,$B$5),0,(K93-INDEX('Pace of change parameters'!$E$19:$I$19,1,$B$5))/(INDEX('Pace of change parameters'!$E$18:$I$18,1,$B$5)-INDEX('Pace of change parameters'!$E$19:$I$19,1,$B$5))))</f>
        <v>0.24630485566319538</v>
      </c>
      <c r="Q93" s="57">
        <v>2.987535963825616E-2</v>
      </c>
      <c r="R93" s="57">
        <v>2.5888527881837264E-2</v>
      </c>
      <c r="S93" s="9">
        <f>MAX(IF(INDEX('Pace of change parameters'!$E$31:$I$31,1,$B$5)=1,D93*(1+Q93),D93),L93)</f>
        <v>224036</v>
      </c>
      <c r="T93" s="103">
        <f>IF(Q93&lt;INDEX('Pace of change parameters'!$E$24:$I$24,1,$B$5),INDEX('Pace of change parameters'!$E$24:$I$24,1,$B$5),Q93)</f>
        <v>3.0386941478720321E-2</v>
      </c>
      <c r="U93" s="132">
        <v>2.6398129297477757E-2</v>
      </c>
      <c r="V93" s="117">
        <f t="shared" si="23"/>
        <v>224036</v>
      </c>
      <c r="W93" s="131">
        <f>IF(J93&gt;INDEX('Pace of change parameters'!$E$26:$I$26,1,$B$5),0,IF(J93&lt;INDEX('Pace of change parameters'!$E$25:$I$25,1,$B$5),1,(J93-INDEX('Pace of change parameters'!$E$26:$I$26,1,$B$5))/(INDEX('Pace of change parameters'!$E$25:$I$25,1,$B$5)-INDEX('Pace of change parameters'!$E$26:$I$26,1,$B$5))))</f>
        <v>1</v>
      </c>
      <c r="X93" s="132">
        <f>MIN(T93, T93+(INDEX('Pace of change parameters'!$E$27:$I$27,1,$B$5)-T93)*(1-W93))</f>
        <v>3.0386941478720321E-2</v>
      </c>
      <c r="Y93" s="132">
        <v>2.6398129297477757E-2</v>
      </c>
      <c r="Z93" s="108">
        <f t="shared" si="24"/>
        <v>224036</v>
      </c>
      <c r="AA93" s="97">
        <v>-2.5000000000000001E-2</v>
      </c>
      <c r="AB93" s="99">
        <f t="shared" si="16"/>
        <v>220012.43931776108</v>
      </c>
      <c r="AC93" s="99">
        <f>MAX(IF(INDEX('Pace of change parameters'!$E$29:$I$29,1,$B$5)=1,MAX(AB93,Z93),Z93),L93)</f>
        <v>224036</v>
      </c>
      <c r="AD93" s="97">
        <f t="shared" si="25"/>
        <v>3.724050288578229E-2</v>
      </c>
      <c r="AE93" s="146">
        <v>3.3225159342266997E-2</v>
      </c>
      <c r="AF93" s="56">
        <f t="shared" si="26"/>
        <v>224036</v>
      </c>
      <c r="AG93" s="56">
        <v>1522.5460959853151</v>
      </c>
      <c r="AH93" s="16">
        <f t="shared" si="17"/>
        <v>3.724050288578229E-2</v>
      </c>
      <c r="AI93" s="16">
        <f t="shared" si="18"/>
        <v>3.3225159342266775E-2</v>
      </c>
      <c r="AJ93" s="56"/>
      <c r="AK93" s="56">
        <v>225653.7839156524</v>
      </c>
      <c r="AL93" s="56">
        <v>1533.5405369899947</v>
      </c>
      <c r="AM93" s="16">
        <f t="shared" si="27"/>
        <v>-7.1693188014835263E-3</v>
      </c>
      <c r="AN93" s="58">
        <f t="shared" si="28"/>
        <v>-7.1693188014836373E-3</v>
      </c>
      <c r="AP93" s="56">
        <f t="shared" si="19"/>
        <v>1</v>
      </c>
      <c r="AQ93" s="56">
        <f t="shared" si="20"/>
        <v>0</v>
      </c>
    </row>
    <row r="94" spans="1:43" x14ac:dyDescent="0.2">
      <c r="A94" s="156" t="s">
        <v>233</v>
      </c>
      <c r="B94" s="156" t="s">
        <v>234</v>
      </c>
      <c r="D94" s="68">
        <v>479851.78001269465</v>
      </c>
      <c r="E94" s="73">
        <v>1684.0627226814863</v>
      </c>
      <c r="F94" s="55"/>
      <c r="G94" s="88">
        <v>473430.69021868566</v>
      </c>
      <c r="H94" s="81">
        <v>1656.0538853002465</v>
      </c>
      <c r="I94" s="90"/>
      <c r="J94" s="103">
        <f t="shared" si="21"/>
        <v>1.3562892999275045E-2</v>
      </c>
      <c r="K94" s="126">
        <f t="shared" si="22"/>
        <v>1.6912998803877421E-2</v>
      </c>
      <c r="L94" s="56">
        <v>497826</v>
      </c>
      <c r="M94" s="103">
        <v>1.2389969714843518E-2</v>
      </c>
      <c r="N94" s="97">
        <f>INDEX('Pace of change parameters'!$E$22:$I$22,1,$B$5)</f>
        <v>9.0547645222140982E-3</v>
      </c>
      <c r="O94" s="108">
        <f>MAX(L94,IF(INDEX('Pace of change parameters'!$E$30:$I$30,1,$B$5)=1,(1+M94)*D94,D94))</f>
        <v>497826</v>
      </c>
      <c r="P94" s="94">
        <f>IF(K94&lt;INDEX('Pace of change parameters'!$E$18:$I$18,1,$B$5),1,IF(K94&gt;INDEX('Pace of change parameters'!$E$19:$I$19,1,$B$5),0,(K94-INDEX('Pace of change parameters'!$E$19:$I$19,1,$B$5))/(INDEX('Pace of change parameters'!$E$18:$I$18,1,$B$5)-INDEX('Pace of change parameters'!$E$19:$I$19,1,$B$5))))</f>
        <v>0.11648282611106371</v>
      </c>
      <c r="Q94" s="57">
        <v>2.0377329354891893E-2</v>
      </c>
      <c r="R94" s="57">
        <v>1.7015810701892731E-2</v>
      </c>
      <c r="S94" s="9">
        <f>MAX(IF(INDEX('Pace of change parameters'!$E$31:$I$31,1,$B$5)=1,D94*(1+Q94),D94),L94)</f>
        <v>497826</v>
      </c>
      <c r="T94" s="103">
        <f>IF(Q94&lt;INDEX('Pace of change parameters'!$E$24:$I$24,1,$B$5),INDEX('Pace of change parameters'!$E$24:$I$24,1,$B$5),Q94)</f>
        <v>3.0386941478720321E-2</v>
      </c>
      <c r="U94" s="132">
        <v>2.6992447281385168E-2</v>
      </c>
      <c r="V94" s="117">
        <f t="shared" si="23"/>
        <v>497826</v>
      </c>
      <c r="W94" s="131">
        <f>IF(J94&gt;INDEX('Pace of change parameters'!$E$26:$I$26,1,$B$5),0,IF(J94&lt;INDEX('Pace of change parameters'!$E$25:$I$25,1,$B$5),1,(J94-INDEX('Pace of change parameters'!$E$26:$I$26,1,$B$5))/(INDEX('Pace of change parameters'!$E$25:$I$25,1,$B$5)-INDEX('Pace of change parameters'!$E$26:$I$26,1,$B$5))))</f>
        <v>1</v>
      </c>
      <c r="X94" s="132">
        <f>MIN(T94, T94+(INDEX('Pace of change parameters'!$E$27:$I$27,1,$B$5)-T94)*(1-W94))</f>
        <v>3.0386941478720321E-2</v>
      </c>
      <c r="Y94" s="132">
        <v>2.6992447281385168E-2</v>
      </c>
      <c r="Z94" s="108">
        <f t="shared" si="24"/>
        <v>497826</v>
      </c>
      <c r="AA94" s="97">
        <v>-2.5000000000000001E-2</v>
      </c>
      <c r="AB94" s="99">
        <f t="shared" si="16"/>
        <v>481578.30844890943</v>
      </c>
      <c r="AC94" s="99">
        <f>MAX(IF(INDEX('Pace of change parameters'!$E$29:$I$29,1,$B$5)=1,MAX(AB94,Z94),Z94),L94)</f>
        <v>497826</v>
      </c>
      <c r="AD94" s="97">
        <f t="shared" si="25"/>
        <v>3.7457858313727277E-2</v>
      </c>
      <c r="AE94" s="146">
        <v>3.4040069774043724E-2</v>
      </c>
      <c r="AF94" s="56">
        <f t="shared" si="26"/>
        <v>497826</v>
      </c>
      <c r="AG94" s="56">
        <v>1741.3883352654298</v>
      </c>
      <c r="AH94" s="16">
        <f t="shared" si="17"/>
        <v>3.7457858313727277E-2</v>
      </c>
      <c r="AI94" s="16">
        <f t="shared" si="18"/>
        <v>3.4040069774043502E-2</v>
      </c>
      <c r="AJ94" s="56"/>
      <c r="AK94" s="56">
        <v>493926.47020400967</v>
      </c>
      <c r="AL94" s="56">
        <v>1727.747834970633</v>
      </c>
      <c r="AM94" s="16">
        <f t="shared" si="27"/>
        <v>7.8949601433178085E-3</v>
      </c>
      <c r="AN94" s="58">
        <f t="shared" si="28"/>
        <v>7.8949601433178085E-3</v>
      </c>
      <c r="AP94" s="56">
        <f t="shared" si="19"/>
        <v>1</v>
      </c>
      <c r="AQ94" s="56">
        <f t="shared" si="20"/>
        <v>0</v>
      </c>
    </row>
    <row r="95" spans="1:43" x14ac:dyDescent="0.2">
      <c r="A95" s="156" t="s">
        <v>235</v>
      </c>
      <c r="B95" s="156" t="s">
        <v>236</v>
      </c>
      <c r="D95" s="68">
        <v>258388.92470586544</v>
      </c>
      <c r="E95" s="73">
        <v>1444.5707456622749</v>
      </c>
      <c r="F95" s="55"/>
      <c r="G95" s="88">
        <v>265822.17376678367</v>
      </c>
      <c r="H95" s="81">
        <v>1480.0289305315659</v>
      </c>
      <c r="I95" s="90"/>
      <c r="J95" s="103">
        <f t="shared" si="21"/>
        <v>-2.7963239317423172E-2</v>
      </c>
      <c r="K95" s="126">
        <f t="shared" si="22"/>
        <v>-2.3957764701637241E-2</v>
      </c>
      <c r="L95" s="56">
        <v>268481</v>
      </c>
      <c r="M95" s="103">
        <v>1.3212779330618485E-2</v>
      </c>
      <c r="N95" s="97">
        <f>INDEX('Pace of change parameters'!$E$22:$I$22,1,$B$5)</f>
        <v>9.0547645222140982E-3</v>
      </c>
      <c r="O95" s="108">
        <f>MAX(L95,IF(INDEX('Pace of change parameters'!$E$30:$I$30,1,$B$5)=1,(1+M95)*D95,D95))</f>
        <v>268481</v>
      </c>
      <c r="P95" s="94">
        <f>IF(K95&lt;INDEX('Pace of change parameters'!$E$18:$I$18,1,$B$5),1,IF(K95&gt;INDEX('Pace of change parameters'!$E$19:$I$19,1,$B$5),0,(K95-INDEX('Pace of change parameters'!$E$19:$I$19,1,$B$5))/(INDEX('Pace of change parameters'!$E$18:$I$18,1,$B$5)-INDEX('Pace of change parameters'!$E$19:$I$19,1,$B$5))))</f>
        <v>0.48908528308539739</v>
      </c>
      <c r="Q95" s="57">
        <v>4.6777169457777212E-2</v>
      </c>
      <c r="R95" s="57">
        <v>4.2481413363405274E-2</v>
      </c>
      <c r="S95" s="9">
        <f>MAX(IF(INDEX('Pace of change parameters'!$E$31:$I$31,1,$B$5)=1,D95*(1+Q95),D95),L95)</f>
        <v>270475.62722284457</v>
      </c>
      <c r="T95" s="103">
        <f>IF(Q95&lt;INDEX('Pace of change parameters'!$E$24:$I$24,1,$B$5),INDEX('Pace of change parameters'!$E$24:$I$24,1,$B$5),Q95)</f>
        <v>4.6777169457777212E-2</v>
      </c>
      <c r="U95" s="132">
        <v>4.2481413363405274E-2</v>
      </c>
      <c r="V95" s="117">
        <f t="shared" si="23"/>
        <v>270475.62722284457</v>
      </c>
      <c r="W95" s="131">
        <f>IF(J95&gt;INDEX('Pace of change parameters'!$E$26:$I$26,1,$B$5),0,IF(J95&lt;INDEX('Pace of change parameters'!$E$25:$I$25,1,$B$5),1,(J95-INDEX('Pace of change parameters'!$E$26:$I$26,1,$B$5))/(INDEX('Pace of change parameters'!$E$25:$I$25,1,$B$5)-INDEX('Pace of change parameters'!$E$26:$I$26,1,$B$5))))</f>
        <v>1</v>
      </c>
      <c r="X95" s="132">
        <f>MIN(T95, T95+(INDEX('Pace of change parameters'!$E$27:$I$27,1,$B$5)-T95)*(1-W95))</f>
        <v>4.6777169457777212E-2</v>
      </c>
      <c r="Y95" s="132">
        <v>4.2481413363405274E-2</v>
      </c>
      <c r="Z95" s="108">
        <f t="shared" si="24"/>
        <v>270475.62722284457</v>
      </c>
      <c r="AA95" s="97">
        <v>-3.1100485408084078E-2</v>
      </c>
      <c r="AB95" s="99">
        <f t="shared" si="16"/>
        <v>268736.58264208515</v>
      </c>
      <c r="AC95" s="99">
        <f>MAX(IF(INDEX('Pace of change parameters'!$E$29:$I$29,1,$B$5)=1,MAX(AB95,Z95),Z95),L95)</f>
        <v>270475.62722284457</v>
      </c>
      <c r="AD95" s="97">
        <f t="shared" si="25"/>
        <v>4.6777169457777212E-2</v>
      </c>
      <c r="AE95" s="146">
        <v>4.2481413363405274E-2</v>
      </c>
      <c r="AF95" s="56">
        <f t="shared" si="26"/>
        <v>270475.62722284457</v>
      </c>
      <c r="AG95" s="56">
        <v>1505.9381526414368</v>
      </c>
      <c r="AH95" s="16">
        <f t="shared" si="17"/>
        <v>4.6777169457777212E-2</v>
      </c>
      <c r="AI95" s="16">
        <f t="shared" si="18"/>
        <v>4.2481413363405274E-2</v>
      </c>
      <c r="AJ95" s="56"/>
      <c r="AK95" s="56">
        <v>277362.6971577878</v>
      </c>
      <c r="AL95" s="56">
        <v>1544.2835720843341</v>
      </c>
      <c r="AM95" s="16">
        <f t="shared" si="27"/>
        <v>-2.4830555822815903E-2</v>
      </c>
      <c r="AN95" s="58">
        <f t="shared" si="28"/>
        <v>-2.4830555822815681E-2</v>
      </c>
      <c r="AP95" s="56">
        <f t="shared" si="19"/>
        <v>0</v>
      </c>
      <c r="AQ95" s="56">
        <f t="shared" si="20"/>
        <v>0</v>
      </c>
    </row>
    <row r="96" spans="1:43" x14ac:dyDescent="0.2">
      <c r="A96" s="156" t="s">
        <v>237</v>
      </c>
      <c r="B96" s="156" t="s">
        <v>238</v>
      </c>
      <c r="D96" s="68">
        <v>469859.99827848497</v>
      </c>
      <c r="E96" s="73">
        <v>1689.0563208527064</v>
      </c>
      <c r="F96" s="55"/>
      <c r="G96" s="88">
        <v>441480.36446932127</v>
      </c>
      <c r="H96" s="81">
        <v>1578.8110994018555</v>
      </c>
      <c r="I96" s="90"/>
      <c r="J96" s="103">
        <f t="shared" si="21"/>
        <v>6.4282890232903789E-2</v>
      </c>
      <c r="K96" s="126">
        <f t="shared" si="22"/>
        <v>6.9828000001151525E-2</v>
      </c>
      <c r="L96" s="56">
        <v>483511</v>
      </c>
      <c r="M96" s="103">
        <v>1.4312125589274638E-2</v>
      </c>
      <c r="N96" s="97">
        <f>INDEX('Pace of change parameters'!$E$22:$I$22,1,$B$5)</f>
        <v>9.0547645222140982E-3</v>
      </c>
      <c r="O96" s="108">
        <f>MAX(L96,IF(INDEX('Pace of change parameters'!$E$30:$I$30,1,$B$5)=1,(1+M96)*D96,D96))</f>
        <v>483511</v>
      </c>
      <c r="P96" s="94">
        <f>IF(K96&lt;INDEX('Pace of change parameters'!$E$18:$I$18,1,$B$5),1,IF(K96&gt;INDEX('Pace of change parameters'!$E$19:$I$19,1,$B$5),0,(K96-INDEX('Pace of change parameters'!$E$19:$I$19,1,$B$5))/(INDEX('Pace of change parameters'!$E$18:$I$18,1,$B$5)-INDEX('Pace of change parameters'!$E$19:$I$19,1,$B$5))))</f>
        <v>0</v>
      </c>
      <c r="Q96" s="57">
        <v>1.4312125589274638E-2</v>
      </c>
      <c r="R96" s="57">
        <v>9.0547645222140982E-3</v>
      </c>
      <c r="S96" s="9">
        <f>MAX(IF(INDEX('Pace of change parameters'!$E$31:$I$31,1,$B$5)=1,D96*(1+Q96),D96),L96)</f>
        <v>483511</v>
      </c>
      <c r="T96" s="103">
        <f>IF(Q96&lt;INDEX('Pace of change parameters'!$E$24:$I$24,1,$B$5),INDEX('Pace of change parameters'!$E$24:$I$24,1,$B$5),Q96)</f>
        <v>3.0386941478720321E-2</v>
      </c>
      <c r="U96" s="132">
        <v>2.5046261767343925E-2</v>
      </c>
      <c r="V96" s="117">
        <f t="shared" si="23"/>
        <v>484137.60654936492</v>
      </c>
      <c r="W96" s="131">
        <f>IF(J96&gt;INDEX('Pace of change parameters'!$E$26:$I$26,1,$B$5),0,IF(J96&lt;INDEX('Pace of change parameters'!$E$25:$I$25,1,$B$5),1,(J96-INDEX('Pace of change parameters'!$E$26:$I$26,1,$B$5))/(INDEX('Pace of change parameters'!$E$25:$I$25,1,$B$5)-INDEX('Pace of change parameters'!$E$26:$I$26,1,$B$5))))</f>
        <v>0.71434219534192434</v>
      </c>
      <c r="X96" s="132">
        <f>MIN(T96, T96+(INDEX('Pace of change parameters'!$E$27:$I$27,1,$B$5)-T96)*(1-W96))</f>
        <v>2.5645021921396265E-2</v>
      </c>
      <c r="Y96" s="132">
        <v>2.0328920426758712E-2</v>
      </c>
      <c r="Z96" s="108">
        <f t="shared" si="24"/>
        <v>483511</v>
      </c>
      <c r="AA96" s="97">
        <v>-2.5000000000000001E-2</v>
      </c>
      <c r="AB96" s="99">
        <f t="shared" si="16"/>
        <v>449208.1020778931</v>
      </c>
      <c r="AC96" s="99">
        <f>MAX(IF(INDEX('Pace of change parameters'!$E$29:$I$29,1,$B$5)=1,MAX(AB96,Z96),Z96),L96)</f>
        <v>483511</v>
      </c>
      <c r="AD96" s="97">
        <f t="shared" si="25"/>
        <v>2.9053338806305673E-2</v>
      </c>
      <c r="AE96" s="146">
        <v>2.3719571395977246E-2</v>
      </c>
      <c r="AF96" s="56">
        <f t="shared" si="26"/>
        <v>483511</v>
      </c>
      <c r="AG96" s="56">
        <v>1729.1200128469989</v>
      </c>
      <c r="AH96" s="16">
        <f t="shared" si="17"/>
        <v>2.9053338806305673E-2</v>
      </c>
      <c r="AI96" s="16">
        <f t="shared" si="18"/>
        <v>2.3719571395977246E-2</v>
      </c>
      <c r="AJ96" s="56"/>
      <c r="AK96" s="56">
        <v>460726.25854142883</v>
      </c>
      <c r="AL96" s="56">
        <v>1647.6377871198486</v>
      </c>
      <c r="AM96" s="16">
        <f t="shared" si="27"/>
        <v>4.9453967591739367E-2</v>
      </c>
      <c r="AN96" s="58">
        <f t="shared" si="28"/>
        <v>4.9453967591739367E-2</v>
      </c>
      <c r="AP96" s="56">
        <f t="shared" si="19"/>
        <v>1</v>
      </c>
      <c r="AQ96" s="56">
        <f t="shared" si="20"/>
        <v>0</v>
      </c>
    </row>
    <row r="97" spans="1:43" x14ac:dyDescent="0.2">
      <c r="A97" s="156" t="s">
        <v>239</v>
      </c>
      <c r="B97" s="156" t="s">
        <v>240</v>
      </c>
      <c r="D97" s="68">
        <v>280456.02211465995</v>
      </c>
      <c r="E97" s="73">
        <v>1504.9799418018586</v>
      </c>
      <c r="F97" s="55"/>
      <c r="G97" s="88">
        <v>288562.89075390284</v>
      </c>
      <c r="H97" s="81">
        <v>1541.073000930375</v>
      </c>
      <c r="I97" s="90"/>
      <c r="J97" s="103">
        <f t="shared" si="21"/>
        <v>-2.809394034715551E-2</v>
      </c>
      <c r="K97" s="126">
        <f t="shared" si="22"/>
        <v>-2.3420732896317298E-2</v>
      </c>
      <c r="L97" s="56">
        <v>290838</v>
      </c>
      <c r="M97" s="103">
        <v>1.3906593767474051E-2</v>
      </c>
      <c r="N97" s="97">
        <f>INDEX('Pace of change parameters'!$E$22:$I$22,1,$B$5)</f>
        <v>9.0547645222140982E-3</v>
      </c>
      <c r="O97" s="108">
        <f>MAX(L97,IF(INDEX('Pace of change parameters'!$E$30:$I$30,1,$B$5)=1,(1+M97)*D97,D97))</f>
        <v>290838</v>
      </c>
      <c r="P97" s="94">
        <f>IF(K97&lt;INDEX('Pace of change parameters'!$E$18:$I$18,1,$B$5),1,IF(K97&gt;INDEX('Pace of change parameters'!$E$19:$I$19,1,$B$5),0,(K97-INDEX('Pace of change parameters'!$E$19:$I$19,1,$B$5))/(INDEX('Pace of change parameters'!$E$18:$I$18,1,$B$5)-INDEX('Pace of change parameters'!$E$19:$I$19,1,$B$5))))</f>
        <v>0.48418937821421548</v>
      </c>
      <c r="Q97" s="57">
        <v>4.7157746991302707E-2</v>
      </c>
      <c r="R97" s="57">
        <v>4.2146801592107375E-2</v>
      </c>
      <c r="S97" s="9">
        <f>MAX(IF(INDEX('Pace of change parameters'!$E$31:$I$31,1,$B$5)=1,D97*(1+Q97),D97),L97)</f>
        <v>293681.69624773029</v>
      </c>
      <c r="T97" s="103">
        <f>IF(Q97&lt;INDEX('Pace of change parameters'!$E$24:$I$24,1,$B$5),INDEX('Pace of change parameters'!$E$24:$I$24,1,$B$5),Q97)</f>
        <v>4.7157746991302707E-2</v>
      </c>
      <c r="U97" s="132">
        <v>4.2146801592107375E-2</v>
      </c>
      <c r="V97" s="117">
        <f t="shared" si="23"/>
        <v>293681.69624773029</v>
      </c>
      <c r="W97" s="131">
        <f>IF(J97&gt;INDEX('Pace of change parameters'!$E$26:$I$26,1,$B$5),0,IF(J97&lt;INDEX('Pace of change parameters'!$E$25:$I$25,1,$B$5),1,(J97-INDEX('Pace of change parameters'!$E$26:$I$26,1,$B$5))/(INDEX('Pace of change parameters'!$E$25:$I$25,1,$B$5)-INDEX('Pace of change parameters'!$E$26:$I$26,1,$B$5))))</f>
        <v>1</v>
      </c>
      <c r="X97" s="132">
        <f>MIN(T97, T97+(INDEX('Pace of change parameters'!$E$27:$I$27,1,$B$5)-T97)*(1-W97))</f>
        <v>4.7157746991302707E-2</v>
      </c>
      <c r="Y97" s="132">
        <v>4.2146801592107375E-2</v>
      </c>
      <c r="Z97" s="108">
        <f t="shared" si="24"/>
        <v>293681.69624773029</v>
      </c>
      <c r="AA97" s="97">
        <v>-3.0563015731014498E-2</v>
      </c>
      <c r="AB97" s="99">
        <f t="shared" si="16"/>
        <v>291767.87540390925</v>
      </c>
      <c r="AC97" s="99">
        <f>MAX(IF(INDEX('Pace of change parameters'!$E$29:$I$29,1,$B$5)=1,MAX(AB97,Z97),Z97),L97)</f>
        <v>293681.69624773029</v>
      </c>
      <c r="AD97" s="97">
        <f t="shared" si="25"/>
        <v>4.7157746991302707E-2</v>
      </c>
      <c r="AE97" s="146">
        <v>4.2146801592107375E-2</v>
      </c>
      <c r="AF97" s="56">
        <f t="shared" si="26"/>
        <v>293681.69624773029</v>
      </c>
      <c r="AG97" s="56">
        <v>1568.4100328090831</v>
      </c>
      <c r="AH97" s="16">
        <f t="shared" si="17"/>
        <v>4.7157746991302707E-2</v>
      </c>
      <c r="AI97" s="16">
        <f t="shared" si="18"/>
        <v>4.2146801592107597E-2</v>
      </c>
      <c r="AJ97" s="56"/>
      <c r="AK97" s="56">
        <v>300966.31358037156</v>
      </c>
      <c r="AL97" s="56">
        <v>1607.313604450306</v>
      </c>
      <c r="AM97" s="16">
        <f t="shared" si="27"/>
        <v>-2.4204095288876681E-2</v>
      </c>
      <c r="AN97" s="58">
        <f t="shared" si="28"/>
        <v>-2.420409528887657E-2</v>
      </c>
      <c r="AP97" s="56">
        <f t="shared" si="19"/>
        <v>0</v>
      </c>
      <c r="AQ97" s="56">
        <f t="shared" si="20"/>
        <v>0</v>
      </c>
    </row>
    <row r="98" spans="1:43" x14ac:dyDescent="0.2">
      <c r="A98" s="156" t="s">
        <v>241</v>
      </c>
      <c r="B98" s="156" t="s">
        <v>242</v>
      </c>
      <c r="D98" s="68">
        <v>427228.88419100858</v>
      </c>
      <c r="E98" s="73">
        <v>1594.3815441579068</v>
      </c>
      <c r="F98" s="55"/>
      <c r="G98" s="88">
        <v>436463.8027446706</v>
      </c>
      <c r="H98" s="81">
        <v>1623.1717791056874</v>
      </c>
      <c r="I98" s="90"/>
      <c r="J98" s="103">
        <f t="shared" si="21"/>
        <v>-2.1158498128799996E-2</v>
      </c>
      <c r="K98" s="126">
        <f t="shared" si="22"/>
        <v>-1.7737022857582607E-2</v>
      </c>
      <c r="L98" s="56">
        <v>443308</v>
      </c>
      <c r="M98" s="103">
        <v>1.2581848240586169E-2</v>
      </c>
      <c r="N98" s="97">
        <f>INDEX('Pace of change parameters'!$E$22:$I$22,1,$B$5)</f>
        <v>9.0547645222140982E-3</v>
      </c>
      <c r="O98" s="108">
        <f>MAX(L98,IF(INDEX('Pace of change parameters'!$E$30:$I$30,1,$B$5)=1,(1+M98)*D98,D98))</f>
        <v>443308</v>
      </c>
      <c r="P98" s="94">
        <f>IF(K98&lt;INDEX('Pace of change parameters'!$E$18:$I$18,1,$B$5),1,IF(K98&gt;INDEX('Pace of change parameters'!$E$19:$I$19,1,$B$5),0,(K98-INDEX('Pace of change parameters'!$E$19:$I$19,1,$B$5))/(INDEX('Pace of change parameters'!$E$18:$I$18,1,$B$5)-INDEX('Pace of change parameters'!$E$19:$I$19,1,$B$5))))</f>
        <v>0.43237325970993351</v>
      </c>
      <c r="Q98" s="57">
        <v>4.2235792826389673E-2</v>
      </c>
      <c r="R98" s="57">
        <v>3.8605416771387402E-2</v>
      </c>
      <c r="S98" s="9">
        <f>MAX(IF(INDEX('Pace of change parameters'!$E$31:$I$31,1,$B$5)=1,D98*(1+Q98),D98),L98)</f>
        <v>445273.23483314965</v>
      </c>
      <c r="T98" s="103">
        <f>IF(Q98&lt;INDEX('Pace of change parameters'!$E$24:$I$24,1,$B$5),INDEX('Pace of change parameters'!$E$24:$I$24,1,$B$5),Q98)</f>
        <v>4.2235792826389673E-2</v>
      </c>
      <c r="U98" s="132">
        <v>3.8605416771387402E-2</v>
      </c>
      <c r="V98" s="117">
        <f t="shared" si="23"/>
        <v>445273.23483314965</v>
      </c>
      <c r="W98" s="131">
        <f>IF(J98&gt;INDEX('Pace of change parameters'!$E$26:$I$26,1,$B$5),0,IF(J98&lt;INDEX('Pace of change parameters'!$E$25:$I$25,1,$B$5),1,(J98-INDEX('Pace of change parameters'!$E$26:$I$26,1,$B$5))/(INDEX('Pace of change parameters'!$E$25:$I$25,1,$B$5)-INDEX('Pace of change parameters'!$E$26:$I$26,1,$B$5))))</f>
        <v>1</v>
      </c>
      <c r="X98" s="132">
        <f>MIN(T98, T98+(INDEX('Pace of change parameters'!$E$27:$I$27,1,$B$5)-T98)*(1-W98))</f>
        <v>4.2235792826389673E-2</v>
      </c>
      <c r="Y98" s="132">
        <v>3.8605416771387402E-2</v>
      </c>
      <c r="Z98" s="108">
        <f t="shared" si="24"/>
        <v>445273.23483314965</v>
      </c>
      <c r="AA98" s="97">
        <v>-2.5000000000000001E-2</v>
      </c>
      <c r="AB98" s="99">
        <f t="shared" si="16"/>
        <v>444156.89651707065</v>
      </c>
      <c r="AC98" s="99">
        <f>MAX(IF(INDEX('Pace of change parameters'!$E$29:$I$29,1,$B$5)=1,MAX(AB98,Z98),Z98),L98)</f>
        <v>445273.23483314965</v>
      </c>
      <c r="AD98" s="97">
        <f t="shared" si="25"/>
        <v>4.2235792826389673E-2</v>
      </c>
      <c r="AE98" s="146">
        <v>3.8605416771387402E-2</v>
      </c>
      <c r="AF98" s="56">
        <f t="shared" si="26"/>
        <v>445273.23483314965</v>
      </c>
      <c r="AG98" s="56">
        <v>1655.9333081627312</v>
      </c>
      <c r="AH98" s="16">
        <f t="shared" si="17"/>
        <v>4.2235792826389673E-2</v>
      </c>
      <c r="AI98" s="16">
        <f t="shared" si="18"/>
        <v>3.8605416771387624E-2</v>
      </c>
      <c r="AJ98" s="56"/>
      <c r="AK98" s="56">
        <v>455545.53488930326</v>
      </c>
      <c r="AL98" s="56">
        <v>1694.1351188347799</v>
      </c>
      <c r="AM98" s="16">
        <f t="shared" si="27"/>
        <v>-2.2549447353599428E-2</v>
      </c>
      <c r="AN98" s="58">
        <f t="shared" si="28"/>
        <v>-2.2549447353599317E-2</v>
      </c>
      <c r="AP98" s="56">
        <f t="shared" si="19"/>
        <v>0</v>
      </c>
      <c r="AQ98" s="56">
        <f t="shared" si="20"/>
        <v>0</v>
      </c>
    </row>
    <row r="99" spans="1:43" x14ac:dyDescent="0.2">
      <c r="A99" s="156" t="s">
        <v>243</v>
      </c>
      <c r="B99" s="156" t="s">
        <v>244</v>
      </c>
      <c r="D99" s="68">
        <v>169013.38792572118</v>
      </c>
      <c r="E99" s="73">
        <v>1480.145620129447</v>
      </c>
      <c r="F99" s="55"/>
      <c r="G99" s="88">
        <v>173133.53299230651</v>
      </c>
      <c r="H99" s="81">
        <v>1513.6586397276694</v>
      </c>
      <c r="I99" s="90"/>
      <c r="J99" s="103">
        <f t="shared" si="21"/>
        <v>-2.3797498932621064E-2</v>
      </c>
      <c r="K99" s="126">
        <f t="shared" si="22"/>
        <v>-2.2140407829503661E-2</v>
      </c>
      <c r="L99" s="56">
        <v>175121</v>
      </c>
      <c r="M99" s="103">
        <v>1.0767621917088466E-2</v>
      </c>
      <c r="N99" s="97">
        <f>INDEX('Pace of change parameters'!$E$22:$I$22,1,$B$5)</f>
        <v>9.0547645222140982E-3</v>
      </c>
      <c r="O99" s="108">
        <f>MAX(L99,IF(INDEX('Pace of change parameters'!$E$30:$I$30,1,$B$5)=1,(1+M99)*D99,D99))</f>
        <v>175121</v>
      </c>
      <c r="P99" s="94">
        <f>IF(K99&lt;INDEX('Pace of change parameters'!$E$18:$I$18,1,$B$5),1,IF(K99&gt;INDEX('Pace of change parameters'!$E$19:$I$19,1,$B$5),0,(K99-INDEX('Pace of change parameters'!$E$19:$I$19,1,$B$5))/(INDEX('Pace of change parameters'!$E$18:$I$18,1,$B$5)-INDEX('Pace of change parameters'!$E$19:$I$19,1,$B$5))))</f>
        <v>0.47251716500595914</v>
      </c>
      <c r="Q99" s="57">
        <v>4.3116737977488828E-2</v>
      </c>
      <c r="R99" s="57">
        <v>4.1349061431842138E-2</v>
      </c>
      <c r="S99" s="9">
        <f>MAX(IF(INDEX('Pace of change parameters'!$E$31:$I$31,1,$B$5)=1,D99*(1+Q99),D99),L99)</f>
        <v>176300.69388760219</v>
      </c>
      <c r="T99" s="103">
        <f>IF(Q99&lt;INDEX('Pace of change parameters'!$E$24:$I$24,1,$B$5),INDEX('Pace of change parameters'!$E$24:$I$24,1,$B$5),Q99)</f>
        <v>4.3116737977488828E-2</v>
      </c>
      <c r="U99" s="132">
        <v>4.1349061431842138E-2</v>
      </c>
      <c r="V99" s="117">
        <f t="shared" si="23"/>
        <v>176300.69388760219</v>
      </c>
      <c r="W99" s="131">
        <f>IF(J99&gt;INDEX('Pace of change parameters'!$E$26:$I$26,1,$B$5),0,IF(J99&lt;INDEX('Pace of change parameters'!$E$25:$I$25,1,$B$5),1,(J99-INDEX('Pace of change parameters'!$E$26:$I$26,1,$B$5))/(INDEX('Pace of change parameters'!$E$25:$I$25,1,$B$5)-INDEX('Pace of change parameters'!$E$26:$I$26,1,$B$5))))</f>
        <v>1</v>
      </c>
      <c r="X99" s="132">
        <f>MIN(T99, T99+(INDEX('Pace of change parameters'!$E$27:$I$27,1,$B$5)-T99)*(1-W99))</f>
        <v>4.3116737977488828E-2</v>
      </c>
      <c r="Y99" s="132">
        <v>4.1349061431842138E-2</v>
      </c>
      <c r="Z99" s="108">
        <f t="shared" si="24"/>
        <v>176300.69388760219</v>
      </c>
      <c r="AA99" s="97">
        <v>-2.9293780236695599E-2</v>
      </c>
      <c r="AB99" s="99">
        <f t="shared" si="16"/>
        <v>175311.04038893495</v>
      </c>
      <c r="AC99" s="99">
        <f>MAX(IF(INDEX('Pace of change parameters'!$E$29:$I$29,1,$B$5)=1,MAX(AB99,Z99),Z99),L99)</f>
        <v>176300.69388760219</v>
      </c>
      <c r="AD99" s="97">
        <f t="shared" si="25"/>
        <v>4.3116737977488828E-2</v>
      </c>
      <c r="AE99" s="146">
        <v>4.1349061431842138E-2</v>
      </c>
      <c r="AF99" s="56">
        <f t="shared" si="26"/>
        <v>176300.69388760219</v>
      </c>
      <c r="AG99" s="56">
        <v>1541.3482523042519</v>
      </c>
      <c r="AH99" s="16">
        <f t="shared" si="17"/>
        <v>4.3116737977488828E-2</v>
      </c>
      <c r="AI99" s="16">
        <f t="shared" si="18"/>
        <v>4.134906143184236E-2</v>
      </c>
      <c r="AJ99" s="56"/>
      <c r="AK99" s="56">
        <v>180601.54227886017</v>
      </c>
      <c r="AL99" s="56">
        <v>1578.9493814042733</v>
      </c>
      <c r="AM99" s="16">
        <f t="shared" si="27"/>
        <v>-2.38140180697749E-2</v>
      </c>
      <c r="AN99" s="58">
        <f t="shared" si="28"/>
        <v>-2.3814018069775011E-2</v>
      </c>
      <c r="AP99" s="56">
        <f t="shared" si="19"/>
        <v>0</v>
      </c>
      <c r="AQ99" s="56">
        <f t="shared" si="20"/>
        <v>0</v>
      </c>
    </row>
    <row r="100" spans="1:43" x14ac:dyDescent="0.2">
      <c r="A100" s="156" t="s">
        <v>245</v>
      </c>
      <c r="B100" s="156" t="s">
        <v>246</v>
      </c>
      <c r="D100" s="68">
        <v>104833.62921094977</v>
      </c>
      <c r="E100" s="73">
        <v>1404.824576690472</v>
      </c>
      <c r="F100" s="55"/>
      <c r="G100" s="88">
        <v>115706.8600356846</v>
      </c>
      <c r="H100" s="81">
        <v>1527.0648728875253</v>
      </c>
      <c r="I100" s="90"/>
      <c r="J100" s="103">
        <f t="shared" si="21"/>
        <v>-9.3972222747911949E-2</v>
      </c>
      <c r="K100" s="126">
        <f t="shared" si="22"/>
        <v>-8.0049183480927932E-2</v>
      </c>
      <c r="L100" s="56">
        <v>113874</v>
      </c>
      <c r="M100" s="103">
        <v>2.4561032058061594E-2</v>
      </c>
      <c r="N100" s="97">
        <f>INDEX('Pace of change parameters'!$E$22:$I$22,1,$B$5)</f>
        <v>9.0547645222140982E-3</v>
      </c>
      <c r="O100" s="108">
        <f>MAX(L100,IF(INDEX('Pace of change parameters'!$E$30:$I$30,1,$B$5)=1,(1+M100)*D100,D100))</f>
        <v>113874</v>
      </c>
      <c r="P100" s="94">
        <f>IF(K100&lt;INDEX('Pace of change parameters'!$E$18:$I$18,1,$B$5),1,IF(K100&gt;INDEX('Pace of change parameters'!$E$19:$I$19,1,$B$5),0,(K100-INDEX('Pace of change parameters'!$E$19:$I$19,1,$B$5))/(INDEX('Pace of change parameters'!$E$18:$I$18,1,$B$5)-INDEX('Pace of change parameters'!$E$19:$I$19,1,$B$5))))</f>
        <v>1</v>
      </c>
      <c r="Q100" s="57">
        <v>9.3956537098392801E-2</v>
      </c>
      <c r="R100" s="57">
        <v>7.7399999999999913E-2</v>
      </c>
      <c r="S100" s="9">
        <f>MAX(IF(INDEX('Pace of change parameters'!$E$31:$I$31,1,$B$5)=1,D100*(1+Q100),D100),L100)</f>
        <v>114683.43398306753</v>
      </c>
      <c r="T100" s="103">
        <f>IF(Q100&lt;INDEX('Pace of change parameters'!$E$24:$I$24,1,$B$5),INDEX('Pace of change parameters'!$E$24:$I$24,1,$B$5),Q100)</f>
        <v>9.3956537098392801E-2</v>
      </c>
      <c r="U100" s="132">
        <v>7.7399999999999913E-2</v>
      </c>
      <c r="V100" s="117">
        <f t="shared" si="23"/>
        <v>114683.43398306753</v>
      </c>
      <c r="W100" s="131">
        <f>IF(J100&gt;INDEX('Pace of change parameters'!$E$26:$I$26,1,$B$5),0,IF(J100&lt;INDEX('Pace of change parameters'!$E$25:$I$25,1,$B$5),1,(J100-INDEX('Pace of change parameters'!$E$26:$I$26,1,$B$5))/(INDEX('Pace of change parameters'!$E$25:$I$25,1,$B$5)-INDEX('Pace of change parameters'!$E$26:$I$26,1,$B$5))))</f>
        <v>1</v>
      </c>
      <c r="X100" s="132">
        <f>MIN(T100, T100+(INDEX('Pace of change parameters'!$E$27:$I$27,1,$B$5)-T100)*(1-W100))</f>
        <v>9.3956537098392801E-2</v>
      </c>
      <c r="Y100" s="132">
        <v>7.7399999999999913E-2</v>
      </c>
      <c r="Z100" s="108">
        <f t="shared" si="24"/>
        <v>114683.43398306753</v>
      </c>
      <c r="AA100" s="97">
        <v>-8.6767099943099835E-2</v>
      </c>
      <c r="AB100" s="99">
        <f t="shared" si="16"/>
        <v>110080.92333970735</v>
      </c>
      <c r="AC100" s="99">
        <f>MAX(IF(INDEX('Pace of change parameters'!$E$29:$I$29,1,$B$5)=1,MAX(AB100,Z100),Z100),L100)</f>
        <v>114683.43398306753</v>
      </c>
      <c r="AD100" s="97">
        <f t="shared" si="25"/>
        <v>9.3956537098392801E-2</v>
      </c>
      <c r="AE100" s="146">
        <v>7.7399999999999913E-2</v>
      </c>
      <c r="AF100" s="56">
        <f t="shared" si="26"/>
        <v>114683.43398306753</v>
      </c>
      <c r="AG100" s="56">
        <v>1513.5579989263144</v>
      </c>
      <c r="AH100" s="16">
        <f t="shared" si="17"/>
        <v>9.3956537098392801E-2</v>
      </c>
      <c r="AI100" s="16">
        <f t="shared" si="18"/>
        <v>7.7399999999999913E-2</v>
      </c>
      <c r="AJ100" s="56"/>
      <c r="AK100" s="56">
        <v>120539.81337383774</v>
      </c>
      <c r="AL100" s="56">
        <v>1590.848759795545</v>
      </c>
      <c r="AM100" s="16">
        <f t="shared" si="27"/>
        <v>-4.8584606420514764E-2</v>
      </c>
      <c r="AN100" s="58">
        <f t="shared" si="28"/>
        <v>-4.8584606420514764E-2</v>
      </c>
      <c r="AP100" s="56">
        <f t="shared" si="19"/>
        <v>0</v>
      </c>
      <c r="AQ100" s="56">
        <f t="shared" si="20"/>
        <v>0</v>
      </c>
    </row>
    <row r="101" spans="1:43" x14ac:dyDescent="0.2">
      <c r="A101" s="156" t="s">
        <v>247</v>
      </c>
      <c r="B101" s="156" t="s">
        <v>248</v>
      </c>
      <c r="D101" s="68">
        <v>450792.98783783801</v>
      </c>
      <c r="E101" s="73">
        <v>1390.2722232298672</v>
      </c>
      <c r="F101" s="55"/>
      <c r="G101" s="88">
        <v>454302.18447633123</v>
      </c>
      <c r="H101" s="81">
        <v>1394.0124843168048</v>
      </c>
      <c r="I101" s="90"/>
      <c r="J101" s="103">
        <f t="shared" si="21"/>
        <v>-7.7243666405395484E-3</v>
      </c>
      <c r="K101" s="126">
        <f t="shared" si="22"/>
        <v>-2.6830900935371771E-3</v>
      </c>
      <c r="L101" s="56">
        <v>467261</v>
      </c>
      <c r="M101" s="103">
        <v>1.418128778652572E-2</v>
      </c>
      <c r="N101" s="97">
        <f>INDEX('Pace of change parameters'!$E$22:$I$22,1,$B$5)</f>
        <v>9.0547645222140982E-3</v>
      </c>
      <c r="O101" s="108">
        <f>MAX(L101,IF(INDEX('Pace of change parameters'!$E$30:$I$30,1,$B$5)=1,(1+M101)*D101,D101))</f>
        <v>467261</v>
      </c>
      <c r="P101" s="94">
        <f>IF(K101&lt;INDEX('Pace of change parameters'!$E$18:$I$18,1,$B$5),1,IF(K101&gt;INDEX('Pace of change parameters'!$E$19:$I$19,1,$B$5),0,(K101-INDEX('Pace of change parameters'!$E$19:$I$19,1,$B$5))/(INDEX('Pace of change parameters'!$E$18:$I$18,1,$B$5)-INDEX('Pace of change parameters'!$E$19:$I$19,1,$B$5))))</f>
        <v>0.29513255623609425</v>
      </c>
      <c r="Q101" s="57">
        <v>3.4454670528140108E-2</v>
      </c>
      <c r="R101" s="57">
        <v>2.9225668575330932E-2</v>
      </c>
      <c r="S101" s="9">
        <f>MAX(IF(INDEX('Pace of change parameters'!$E$31:$I$31,1,$B$5)=1,D101*(1+Q101),D101),L101)</f>
        <v>467261</v>
      </c>
      <c r="T101" s="103">
        <f>IF(Q101&lt;INDEX('Pace of change parameters'!$E$24:$I$24,1,$B$5),INDEX('Pace of change parameters'!$E$24:$I$24,1,$B$5),Q101)</f>
        <v>3.4454670528140108E-2</v>
      </c>
      <c r="U101" s="132">
        <v>2.9225668575330932E-2</v>
      </c>
      <c r="V101" s="117">
        <f t="shared" si="23"/>
        <v>467261</v>
      </c>
      <c r="W101" s="131">
        <f>IF(J101&gt;INDEX('Pace of change parameters'!$E$26:$I$26,1,$B$5),0,IF(J101&lt;INDEX('Pace of change parameters'!$E$25:$I$25,1,$B$5),1,(J101-INDEX('Pace of change parameters'!$E$26:$I$26,1,$B$5))/(INDEX('Pace of change parameters'!$E$25:$I$25,1,$B$5)-INDEX('Pace of change parameters'!$E$26:$I$26,1,$B$5))))</f>
        <v>1</v>
      </c>
      <c r="X101" s="132">
        <f>MIN(T101, T101+(INDEX('Pace of change parameters'!$E$27:$I$27,1,$B$5)-T101)*(1-W101))</f>
        <v>3.4454670528140108E-2</v>
      </c>
      <c r="Y101" s="132">
        <v>2.9225668575330932E-2</v>
      </c>
      <c r="Z101" s="108">
        <f t="shared" si="24"/>
        <v>467261</v>
      </c>
      <c r="AA101" s="97">
        <v>-2.5000000000000001E-2</v>
      </c>
      <c r="AB101" s="99">
        <f t="shared" si="16"/>
        <v>462129.03427901812</v>
      </c>
      <c r="AC101" s="99">
        <f>MAX(IF(INDEX('Pace of change parameters'!$E$29:$I$29,1,$B$5)=1,MAX(AB101,Z101),Z101),L101)</f>
        <v>467261</v>
      </c>
      <c r="AD101" s="97">
        <f t="shared" si="25"/>
        <v>3.653120746431382E-2</v>
      </c>
      <c r="AE101" s="146">
        <v>3.1291708951332708E-2</v>
      </c>
      <c r="AF101" s="56">
        <f t="shared" si="26"/>
        <v>467261</v>
      </c>
      <c r="AG101" s="56">
        <v>1433.7762170022986</v>
      </c>
      <c r="AH101" s="16">
        <f t="shared" si="17"/>
        <v>3.653120746431382E-2</v>
      </c>
      <c r="AI101" s="16">
        <f t="shared" si="18"/>
        <v>3.1291708951332708E-2</v>
      </c>
      <c r="AJ101" s="56"/>
      <c r="AK101" s="56">
        <v>473978.49669642886</v>
      </c>
      <c r="AL101" s="56">
        <v>1454.3886520249757</v>
      </c>
      <c r="AM101" s="16">
        <f t="shared" si="27"/>
        <v>-1.4172576906439804E-2</v>
      </c>
      <c r="AN101" s="58">
        <f t="shared" si="28"/>
        <v>-1.4172576906439693E-2</v>
      </c>
      <c r="AP101" s="56">
        <f t="shared" si="19"/>
        <v>1</v>
      </c>
      <c r="AQ101" s="56">
        <f t="shared" si="20"/>
        <v>0</v>
      </c>
    </row>
    <row r="102" spans="1:43" x14ac:dyDescent="0.2">
      <c r="A102" s="156" t="s">
        <v>249</v>
      </c>
      <c r="B102" s="156" t="s">
        <v>250</v>
      </c>
      <c r="D102" s="68">
        <v>152593.75547576635</v>
      </c>
      <c r="E102" s="73">
        <v>1567.1858873117073</v>
      </c>
      <c r="F102" s="55"/>
      <c r="G102" s="88">
        <v>150974.22981303578</v>
      </c>
      <c r="H102" s="81">
        <v>1542.3674084282563</v>
      </c>
      <c r="I102" s="90"/>
      <c r="J102" s="103">
        <f t="shared" si="21"/>
        <v>1.0727166250400266E-2</v>
      </c>
      <c r="K102" s="126">
        <f t="shared" si="22"/>
        <v>1.6091158791239124E-2</v>
      </c>
      <c r="L102" s="56">
        <v>158118</v>
      </c>
      <c r="M102" s="103">
        <v>1.4409881522061685E-2</v>
      </c>
      <c r="N102" s="97">
        <f>INDEX('Pace of change parameters'!$E$22:$I$22,1,$B$5)</f>
        <v>9.0547645222140982E-3</v>
      </c>
      <c r="O102" s="108">
        <f>MAX(L102,IF(INDEX('Pace of change parameters'!$E$30:$I$30,1,$B$5)=1,(1+M102)*D102,D102))</f>
        <v>158118</v>
      </c>
      <c r="P102" s="94">
        <f>IF(K102&lt;INDEX('Pace of change parameters'!$E$18:$I$18,1,$B$5),1,IF(K102&gt;INDEX('Pace of change parameters'!$E$19:$I$19,1,$B$5),0,(K102-INDEX('Pace of change parameters'!$E$19:$I$19,1,$B$5))/(INDEX('Pace of change parameters'!$E$18:$I$18,1,$B$5)-INDEX('Pace of change parameters'!$E$19:$I$19,1,$B$5))))</f>
        <v>0.12397521386417062</v>
      </c>
      <c r="Q102" s="57">
        <v>2.2927964061380868E-2</v>
      </c>
      <c r="R102" s="57">
        <v>1.7527879707169625E-2</v>
      </c>
      <c r="S102" s="9">
        <f>MAX(IF(INDEX('Pace of change parameters'!$E$31:$I$31,1,$B$5)=1,D102*(1+Q102),D102),L102)</f>
        <v>158118</v>
      </c>
      <c r="T102" s="103">
        <f>IF(Q102&lt;INDEX('Pace of change parameters'!$E$24:$I$24,1,$B$5),INDEX('Pace of change parameters'!$E$24:$I$24,1,$B$5),Q102)</f>
        <v>3.0386941478720321E-2</v>
      </c>
      <c r="U102" s="132">
        <v>2.4947480835400659E-2</v>
      </c>
      <c r="V102" s="117">
        <f t="shared" si="23"/>
        <v>158118</v>
      </c>
      <c r="W102" s="131">
        <f>IF(J102&gt;INDEX('Pace of change parameters'!$E$26:$I$26,1,$B$5),0,IF(J102&lt;INDEX('Pace of change parameters'!$E$25:$I$25,1,$B$5),1,(J102-INDEX('Pace of change parameters'!$E$26:$I$26,1,$B$5))/(INDEX('Pace of change parameters'!$E$25:$I$25,1,$B$5)-INDEX('Pace of change parameters'!$E$26:$I$26,1,$B$5))))</f>
        <v>1</v>
      </c>
      <c r="X102" s="132">
        <f>MIN(T102, T102+(INDEX('Pace of change parameters'!$E$27:$I$27,1,$B$5)-T102)*(1-W102))</f>
        <v>3.0386941478720321E-2</v>
      </c>
      <c r="Y102" s="132">
        <v>2.4947480835400659E-2</v>
      </c>
      <c r="Z102" s="108">
        <f t="shared" si="24"/>
        <v>158118</v>
      </c>
      <c r="AA102" s="97">
        <v>-2.5000000000000001E-2</v>
      </c>
      <c r="AB102" s="99">
        <f t="shared" si="16"/>
        <v>153495.51996705169</v>
      </c>
      <c r="AC102" s="99">
        <f>MAX(IF(INDEX('Pace of change parameters'!$E$29:$I$29,1,$B$5)=1,MAX(AB102,Z102),Z102),L102)</f>
        <v>158118</v>
      </c>
      <c r="AD102" s="97">
        <f t="shared" si="25"/>
        <v>3.6202297446640719E-2</v>
      </c>
      <c r="AE102" s="146">
        <v>3.0732137268378423E-2</v>
      </c>
      <c r="AF102" s="56">
        <f t="shared" si="26"/>
        <v>158118</v>
      </c>
      <c r="AG102" s="56">
        <v>1615.3488591256366</v>
      </c>
      <c r="AH102" s="16">
        <f t="shared" si="17"/>
        <v>3.6202297446640719E-2</v>
      </c>
      <c r="AI102" s="16">
        <f t="shared" si="18"/>
        <v>3.0732137268378645E-2</v>
      </c>
      <c r="AJ102" s="56"/>
      <c r="AK102" s="56">
        <v>157431.30253030942</v>
      </c>
      <c r="AL102" s="56">
        <v>1608.3334910193544</v>
      </c>
      <c r="AM102" s="16">
        <f t="shared" si="27"/>
        <v>4.3618864778074418E-3</v>
      </c>
      <c r="AN102" s="58">
        <f t="shared" si="28"/>
        <v>4.3618864778074418E-3</v>
      </c>
      <c r="AP102" s="56">
        <f t="shared" si="19"/>
        <v>1</v>
      </c>
      <c r="AQ102" s="56">
        <f t="shared" si="20"/>
        <v>0</v>
      </c>
    </row>
    <row r="103" spans="1:43" x14ac:dyDescent="0.2">
      <c r="A103" s="156" t="s">
        <v>251</v>
      </c>
      <c r="B103" s="156" t="s">
        <v>252</v>
      </c>
      <c r="D103" s="68">
        <v>170820.31303444703</v>
      </c>
      <c r="E103" s="73">
        <v>1666.2632834988053</v>
      </c>
      <c r="F103" s="55"/>
      <c r="G103" s="88">
        <v>168238.3290087569</v>
      </c>
      <c r="H103" s="81">
        <v>1634.7141056290616</v>
      </c>
      <c r="I103" s="90"/>
      <c r="J103" s="103">
        <f t="shared" si="21"/>
        <v>1.5347180638935809E-2</v>
      </c>
      <c r="K103" s="126">
        <f t="shared" si="22"/>
        <v>1.9299507945215399E-2</v>
      </c>
      <c r="L103" s="56">
        <v>176898</v>
      </c>
      <c r="M103" s="103">
        <v>1.2982598050882643E-2</v>
      </c>
      <c r="N103" s="97">
        <f>INDEX('Pace of change parameters'!$E$22:$I$22,1,$B$5)</f>
        <v>9.0547645222140982E-3</v>
      </c>
      <c r="O103" s="108">
        <f>MAX(L103,IF(INDEX('Pace of change parameters'!$E$30:$I$30,1,$B$5)=1,(1+M103)*D103,D103))</f>
        <v>176898</v>
      </c>
      <c r="P103" s="94">
        <f>IF(K103&lt;INDEX('Pace of change parameters'!$E$18:$I$18,1,$B$5),1,IF(K103&gt;INDEX('Pace of change parameters'!$E$19:$I$19,1,$B$5),0,(K103-INDEX('Pace of change parameters'!$E$19:$I$19,1,$B$5))/(INDEX('Pace of change parameters'!$E$18:$I$18,1,$B$5)-INDEX('Pace of change parameters'!$E$19:$I$19,1,$B$5))))</f>
        <v>9.4725973696641444E-2</v>
      </c>
      <c r="Q103" s="57">
        <v>1.9481867906232742E-2</v>
      </c>
      <c r="R103" s="57">
        <v>1.5528833500373596E-2</v>
      </c>
      <c r="S103" s="9">
        <f>MAX(IF(INDEX('Pace of change parameters'!$E$31:$I$31,1,$B$5)=1,D103*(1+Q103),D103),L103)</f>
        <v>176898</v>
      </c>
      <c r="T103" s="103">
        <f>IF(Q103&lt;INDEX('Pace of change parameters'!$E$24:$I$24,1,$B$5),INDEX('Pace of change parameters'!$E$24:$I$24,1,$B$5),Q103)</f>
        <v>3.0386941478720321E-2</v>
      </c>
      <c r="U103" s="132">
        <v>2.6391622720007613E-2</v>
      </c>
      <c r="V103" s="117">
        <f t="shared" si="23"/>
        <v>176898</v>
      </c>
      <c r="W103" s="131">
        <f>IF(J103&gt;INDEX('Pace of change parameters'!$E$26:$I$26,1,$B$5),0,IF(J103&lt;INDEX('Pace of change parameters'!$E$25:$I$25,1,$B$5),1,(J103-INDEX('Pace of change parameters'!$E$26:$I$26,1,$B$5))/(INDEX('Pace of change parameters'!$E$25:$I$25,1,$B$5)-INDEX('Pace of change parameters'!$E$26:$I$26,1,$B$5))))</f>
        <v>1</v>
      </c>
      <c r="X103" s="132">
        <f>MIN(T103, T103+(INDEX('Pace of change parameters'!$E$27:$I$27,1,$B$5)-T103)*(1-W103))</f>
        <v>3.0386941478720321E-2</v>
      </c>
      <c r="Y103" s="132">
        <v>2.6391622720007613E-2</v>
      </c>
      <c r="Z103" s="108">
        <f t="shared" si="24"/>
        <v>176898</v>
      </c>
      <c r="AA103" s="97">
        <v>-2.5000000000000001E-2</v>
      </c>
      <c r="AB103" s="99">
        <f t="shared" si="16"/>
        <v>170961.48312157908</v>
      </c>
      <c r="AC103" s="99">
        <f>MAX(IF(INDEX('Pace of change parameters'!$E$29:$I$29,1,$B$5)=1,MAX(AB103,Z103),Z103),L103)</f>
        <v>176898</v>
      </c>
      <c r="AD103" s="97">
        <f t="shared" si="25"/>
        <v>3.5579415923019386E-2</v>
      </c>
      <c r="AE103" s="146">
        <v>3.1563963377943205E-2</v>
      </c>
      <c r="AF103" s="56">
        <f t="shared" si="26"/>
        <v>176898</v>
      </c>
      <c r="AG103" s="56">
        <v>1718.857156757173</v>
      </c>
      <c r="AH103" s="16">
        <f t="shared" si="17"/>
        <v>3.5579415923019386E-2</v>
      </c>
      <c r="AI103" s="16">
        <f t="shared" si="18"/>
        <v>3.1563963377943205E-2</v>
      </c>
      <c r="AJ103" s="56"/>
      <c r="AK103" s="56">
        <v>175345.11089392725</v>
      </c>
      <c r="AL103" s="56">
        <v>1703.7682662461248</v>
      </c>
      <c r="AM103" s="16">
        <f t="shared" si="27"/>
        <v>8.8561870824681588E-3</v>
      </c>
      <c r="AN103" s="58">
        <f t="shared" si="28"/>
        <v>8.8561870824681588E-3</v>
      </c>
      <c r="AP103" s="56">
        <f t="shared" si="19"/>
        <v>1</v>
      </c>
      <c r="AQ103" s="56">
        <f t="shared" si="20"/>
        <v>0</v>
      </c>
    </row>
    <row r="104" spans="1:43" x14ac:dyDescent="0.2">
      <c r="A104" s="156" t="s">
        <v>253</v>
      </c>
      <c r="B104" s="156" t="s">
        <v>254</v>
      </c>
      <c r="D104" s="68">
        <v>544581.78735395835</v>
      </c>
      <c r="E104" s="73">
        <v>1411.2943275627754</v>
      </c>
      <c r="F104" s="55"/>
      <c r="G104" s="88">
        <v>555775.63737974537</v>
      </c>
      <c r="H104" s="81">
        <v>1431.0111512769445</v>
      </c>
      <c r="I104" s="90"/>
      <c r="J104" s="103">
        <f t="shared" si="21"/>
        <v>-2.0140951263285745E-2</v>
      </c>
      <c r="K104" s="126">
        <f t="shared" si="22"/>
        <v>-1.3778246030140995E-2</v>
      </c>
      <c r="L104" s="56">
        <v>565263</v>
      </c>
      <c r="M104" s="103">
        <v>1.5607051852756681E-2</v>
      </c>
      <c r="N104" s="97">
        <f>INDEX('Pace of change parameters'!$E$22:$I$22,1,$B$5)</f>
        <v>9.0547645222140982E-3</v>
      </c>
      <c r="O104" s="108">
        <f>MAX(L104,IF(INDEX('Pace of change parameters'!$E$30:$I$30,1,$B$5)=1,(1+M104)*D104,D104))</f>
        <v>565263</v>
      </c>
      <c r="P104" s="94">
        <f>IF(K104&lt;INDEX('Pace of change parameters'!$E$18:$I$18,1,$B$5),1,IF(K104&gt;INDEX('Pace of change parameters'!$E$19:$I$19,1,$B$5),0,(K104-INDEX('Pace of change parameters'!$E$19:$I$19,1,$B$5))/(INDEX('Pace of change parameters'!$E$18:$I$18,1,$B$5)-INDEX('Pace of change parameters'!$E$19:$I$19,1,$B$5))))</f>
        <v>0.39628266961565312</v>
      </c>
      <c r="Q104" s="57">
        <v>4.2866954125020396E-2</v>
      </c>
      <c r="R104" s="57">
        <v>3.613879689286148E-2</v>
      </c>
      <c r="S104" s="9">
        <f>MAX(IF(INDEX('Pace of change parameters'!$E$31:$I$31,1,$B$5)=1,D104*(1+Q104),D104),L104)</f>
        <v>567926.34984978207</v>
      </c>
      <c r="T104" s="103">
        <f>IF(Q104&lt;INDEX('Pace of change parameters'!$E$24:$I$24,1,$B$5),INDEX('Pace of change parameters'!$E$24:$I$24,1,$B$5),Q104)</f>
        <v>4.2866954125020396E-2</v>
      </c>
      <c r="U104" s="132">
        <v>3.613879689286148E-2</v>
      </c>
      <c r="V104" s="117">
        <f t="shared" si="23"/>
        <v>567926.34984978207</v>
      </c>
      <c r="W104" s="131">
        <f>IF(J104&gt;INDEX('Pace of change parameters'!$E$26:$I$26,1,$B$5),0,IF(J104&lt;INDEX('Pace of change parameters'!$E$25:$I$25,1,$B$5),1,(J104-INDEX('Pace of change parameters'!$E$26:$I$26,1,$B$5))/(INDEX('Pace of change parameters'!$E$25:$I$25,1,$B$5)-INDEX('Pace of change parameters'!$E$26:$I$26,1,$B$5))))</f>
        <v>1</v>
      </c>
      <c r="X104" s="132">
        <f>MIN(T104, T104+(INDEX('Pace of change parameters'!$E$27:$I$27,1,$B$5)-T104)*(1-W104))</f>
        <v>4.2866954125020396E-2</v>
      </c>
      <c r="Y104" s="132">
        <v>3.613879689286148E-2</v>
      </c>
      <c r="Z104" s="108">
        <f t="shared" si="24"/>
        <v>567926.34984978207</v>
      </c>
      <c r="AA104" s="97">
        <v>-2.5000000000000001E-2</v>
      </c>
      <c r="AB104" s="99">
        <f t="shared" si="16"/>
        <v>565649.4875319089</v>
      </c>
      <c r="AC104" s="99">
        <f>MAX(IF(INDEX('Pace of change parameters'!$E$29:$I$29,1,$B$5)=1,MAX(AB104,Z104),Z104),L104)</f>
        <v>567926.34984978207</v>
      </c>
      <c r="AD104" s="97">
        <f t="shared" si="25"/>
        <v>4.2866954125020396E-2</v>
      </c>
      <c r="AE104" s="146">
        <v>3.613879689286148E-2</v>
      </c>
      <c r="AF104" s="56">
        <f t="shared" si="26"/>
        <v>567926.34984978207</v>
      </c>
      <c r="AG104" s="56">
        <v>1462.2968066226138</v>
      </c>
      <c r="AH104" s="16">
        <f t="shared" si="17"/>
        <v>4.2866954125020396E-2</v>
      </c>
      <c r="AI104" s="16">
        <f t="shared" si="18"/>
        <v>3.6138796892861258E-2</v>
      </c>
      <c r="AJ104" s="56"/>
      <c r="AK104" s="56">
        <v>580153.32054554764</v>
      </c>
      <c r="AL104" s="56">
        <v>1493.7788116533986</v>
      </c>
      <c r="AM104" s="16">
        <f t="shared" si="27"/>
        <v>-2.1075412762040058E-2</v>
      </c>
      <c r="AN104" s="58">
        <f t="shared" si="28"/>
        <v>-2.1075412762039947E-2</v>
      </c>
      <c r="AP104" s="56">
        <f t="shared" si="19"/>
        <v>0</v>
      </c>
      <c r="AQ104" s="56">
        <f t="shared" si="20"/>
        <v>0</v>
      </c>
    </row>
    <row r="105" spans="1:43" x14ac:dyDescent="0.2">
      <c r="A105" s="156" t="s">
        <v>255</v>
      </c>
      <c r="B105" s="156" t="s">
        <v>256</v>
      </c>
      <c r="D105" s="68">
        <v>409469.9400584941</v>
      </c>
      <c r="E105" s="73">
        <v>1666.5375397678238</v>
      </c>
      <c r="F105" s="55"/>
      <c r="G105" s="88">
        <v>417174.12995418254</v>
      </c>
      <c r="H105" s="81">
        <v>1686.0869467259843</v>
      </c>
      <c r="I105" s="90"/>
      <c r="J105" s="103">
        <f t="shared" si="21"/>
        <v>-1.8467563884017824E-2</v>
      </c>
      <c r="K105" s="126">
        <f t="shared" si="22"/>
        <v>-1.1594542616038428E-2</v>
      </c>
      <c r="L105" s="56">
        <v>424312</v>
      </c>
      <c r="M105" s="103">
        <v>1.6120506419202263E-2</v>
      </c>
      <c r="N105" s="97">
        <f>INDEX('Pace of change parameters'!$E$22:$I$22,1,$B$5)</f>
        <v>9.0547645222140982E-3</v>
      </c>
      <c r="O105" s="108">
        <f>MAX(L105,IF(INDEX('Pace of change parameters'!$E$30:$I$30,1,$B$5)=1,(1+M105)*D105,D105))</f>
        <v>424312</v>
      </c>
      <c r="P105" s="94">
        <f>IF(K105&lt;INDEX('Pace of change parameters'!$E$18:$I$18,1,$B$5),1,IF(K105&gt;INDEX('Pace of change parameters'!$E$19:$I$19,1,$B$5),0,(K105-INDEX('Pace of change parameters'!$E$19:$I$19,1,$B$5))/(INDEX('Pace of change parameters'!$E$18:$I$18,1,$B$5)-INDEX('Pace of change parameters'!$E$19:$I$19,1,$B$5))))</f>
        <v>0.37637471616408447</v>
      </c>
      <c r="Q105" s="57">
        <v>4.2024049078977388E-2</v>
      </c>
      <c r="R105" s="57">
        <v>3.4778183126333184E-2</v>
      </c>
      <c r="S105" s="9">
        <f>MAX(IF(INDEX('Pace of change parameters'!$E$31:$I$31,1,$B$5)=1,D105*(1+Q105),D105),L105)</f>
        <v>426677.5249158782</v>
      </c>
      <c r="T105" s="103">
        <f>IF(Q105&lt;INDEX('Pace of change parameters'!$E$24:$I$24,1,$B$5),INDEX('Pace of change parameters'!$E$24:$I$24,1,$B$5),Q105)</f>
        <v>4.2024049078977388E-2</v>
      </c>
      <c r="U105" s="132">
        <v>3.4778183126333184E-2</v>
      </c>
      <c r="V105" s="117">
        <f t="shared" si="23"/>
        <v>426677.5249158782</v>
      </c>
      <c r="W105" s="131">
        <f>IF(J105&gt;INDEX('Pace of change parameters'!$E$26:$I$26,1,$B$5),0,IF(J105&lt;INDEX('Pace of change parameters'!$E$25:$I$25,1,$B$5),1,(J105-INDEX('Pace of change parameters'!$E$26:$I$26,1,$B$5))/(INDEX('Pace of change parameters'!$E$25:$I$25,1,$B$5)-INDEX('Pace of change parameters'!$E$26:$I$26,1,$B$5))))</f>
        <v>1</v>
      </c>
      <c r="X105" s="132">
        <f>MIN(T105, T105+(INDEX('Pace of change parameters'!$E$27:$I$27,1,$B$5)-T105)*(1-W105))</f>
        <v>4.2024049078977388E-2</v>
      </c>
      <c r="Y105" s="132">
        <v>3.4778183126333184E-2</v>
      </c>
      <c r="Z105" s="108">
        <f t="shared" si="24"/>
        <v>426677.5249158782</v>
      </c>
      <c r="AA105" s="97">
        <v>-2.5000000000000001E-2</v>
      </c>
      <c r="AB105" s="99">
        <f t="shared" si="16"/>
        <v>424362.80183849373</v>
      </c>
      <c r="AC105" s="99">
        <f>MAX(IF(INDEX('Pace of change parameters'!$E$29:$I$29,1,$B$5)=1,MAX(AB105,Z105),Z105),L105)</f>
        <v>426677.5249158782</v>
      </c>
      <c r="AD105" s="97">
        <f t="shared" si="25"/>
        <v>4.2024049078977388E-2</v>
      </c>
      <c r="AE105" s="146">
        <v>3.4778183126333184E-2</v>
      </c>
      <c r="AF105" s="56">
        <f t="shared" si="26"/>
        <v>426677.5249158782</v>
      </c>
      <c r="AG105" s="56">
        <v>1724.4966875127782</v>
      </c>
      <c r="AH105" s="16">
        <f t="shared" si="17"/>
        <v>4.2024049078977388E-2</v>
      </c>
      <c r="AI105" s="16">
        <f t="shared" si="18"/>
        <v>3.4778183126333406E-2</v>
      </c>
      <c r="AJ105" s="56"/>
      <c r="AK105" s="56">
        <v>435243.89932153205</v>
      </c>
      <c r="AL105" s="56">
        <v>1759.1192851981305</v>
      </c>
      <c r="AM105" s="16">
        <f t="shared" si="27"/>
        <v>-1.9681779386241383E-2</v>
      </c>
      <c r="AN105" s="58">
        <f t="shared" si="28"/>
        <v>-1.9681779386241383E-2</v>
      </c>
      <c r="AP105" s="56">
        <f t="shared" si="19"/>
        <v>0</v>
      </c>
      <c r="AQ105" s="56">
        <f t="shared" si="20"/>
        <v>0</v>
      </c>
    </row>
    <row r="106" spans="1:43" x14ac:dyDescent="0.2">
      <c r="A106" s="156" t="s">
        <v>257</v>
      </c>
      <c r="B106" s="156" t="s">
        <v>258</v>
      </c>
      <c r="D106" s="68">
        <v>351247.59522669867</v>
      </c>
      <c r="E106" s="73">
        <v>1499.974784137519</v>
      </c>
      <c r="F106" s="55"/>
      <c r="G106" s="88">
        <v>351308.24163954728</v>
      </c>
      <c r="H106" s="81">
        <v>1491.7879524458274</v>
      </c>
      <c r="I106" s="90"/>
      <c r="J106" s="103">
        <f t="shared" si="21"/>
        <v>-1.7263020237034965E-4</v>
      </c>
      <c r="K106" s="126">
        <f t="shared" si="22"/>
        <v>5.487932569953502E-3</v>
      </c>
      <c r="L106" s="56">
        <v>364396</v>
      </c>
      <c r="M106" s="103">
        <v>1.4767568560021482E-2</v>
      </c>
      <c r="N106" s="97">
        <f>INDEX('Pace of change parameters'!$E$22:$I$22,1,$B$5)</f>
        <v>9.0547645222140982E-3</v>
      </c>
      <c r="O106" s="108">
        <f>MAX(L106,IF(INDEX('Pace of change parameters'!$E$30:$I$30,1,$B$5)=1,(1+M106)*D106,D106))</f>
        <v>364396</v>
      </c>
      <c r="P106" s="94">
        <f>IF(K106&lt;INDEX('Pace of change parameters'!$E$18:$I$18,1,$B$5),1,IF(K106&gt;INDEX('Pace of change parameters'!$E$19:$I$19,1,$B$5),0,(K106-INDEX('Pace of change parameters'!$E$19:$I$19,1,$B$5))/(INDEX('Pace of change parameters'!$E$18:$I$18,1,$B$5)-INDEX('Pace of change parameters'!$E$19:$I$19,1,$B$5))))</f>
        <v>0.22064060014628953</v>
      </c>
      <c r="Q106" s="57">
        <v>2.993267685081169E-2</v>
      </c>
      <c r="R106" s="57">
        <v>2.4134498295172335E-2</v>
      </c>
      <c r="S106" s="9">
        <f>MAX(IF(INDEX('Pace of change parameters'!$E$31:$I$31,1,$B$5)=1,D106*(1+Q106),D106),L106)</f>
        <v>364396</v>
      </c>
      <c r="T106" s="103">
        <f>IF(Q106&lt;INDEX('Pace of change parameters'!$E$24:$I$24,1,$B$5),INDEX('Pace of change parameters'!$E$24:$I$24,1,$B$5),Q106)</f>
        <v>3.0386941478720321E-2</v>
      </c>
      <c r="U106" s="132">
        <v>2.4586205564252062E-2</v>
      </c>
      <c r="V106" s="117">
        <f t="shared" si="23"/>
        <v>364396</v>
      </c>
      <c r="W106" s="131">
        <f>IF(J106&gt;INDEX('Pace of change parameters'!$E$26:$I$26,1,$B$5),0,IF(J106&lt;INDEX('Pace of change parameters'!$E$25:$I$25,1,$B$5),1,(J106-INDEX('Pace of change parameters'!$E$26:$I$26,1,$B$5))/(INDEX('Pace of change parameters'!$E$25:$I$25,1,$B$5)-INDEX('Pace of change parameters'!$E$26:$I$26,1,$B$5))))</f>
        <v>1</v>
      </c>
      <c r="X106" s="132">
        <f>MIN(T106, T106+(INDEX('Pace of change parameters'!$E$27:$I$27,1,$B$5)-T106)*(1-W106))</f>
        <v>3.0386941478720321E-2</v>
      </c>
      <c r="Y106" s="132">
        <v>2.4586205564252062E-2</v>
      </c>
      <c r="Z106" s="108">
        <f t="shared" si="24"/>
        <v>364396</v>
      </c>
      <c r="AA106" s="97">
        <v>-2.5000000000000001E-2</v>
      </c>
      <c r="AB106" s="99">
        <f t="shared" si="16"/>
        <v>357570.6877145145</v>
      </c>
      <c r="AC106" s="99">
        <f>MAX(IF(INDEX('Pace of change parameters'!$E$29:$I$29,1,$B$5)=1,MAX(AB106,Z106),Z106),L106)</f>
        <v>364396</v>
      </c>
      <c r="AD106" s="97">
        <f t="shared" si="25"/>
        <v>3.7433437130908187E-2</v>
      </c>
      <c r="AE106" s="146">
        <v>3.1593031788620829E-2</v>
      </c>
      <c r="AF106" s="56">
        <f t="shared" si="26"/>
        <v>364396</v>
      </c>
      <c r="AG106" s="56">
        <v>1547.3635351749053</v>
      </c>
      <c r="AH106" s="16">
        <f t="shared" si="17"/>
        <v>3.7433437130908187E-2</v>
      </c>
      <c r="AI106" s="16">
        <f t="shared" si="18"/>
        <v>3.1593031788620829E-2</v>
      </c>
      <c r="AJ106" s="56"/>
      <c r="AK106" s="56">
        <v>366739.16688668152</v>
      </c>
      <c r="AL106" s="56">
        <v>1557.3135099201832</v>
      </c>
      <c r="AM106" s="16">
        <f t="shared" si="27"/>
        <v>-6.3891918241869572E-3</v>
      </c>
      <c r="AN106" s="58">
        <f t="shared" si="28"/>
        <v>-6.3891918241868462E-3</v>
      </c>
      <c r="AP106" s="56">
        <f t="shared" si="19"/>
        <v>1</v>
      </c>
      <c r="AQ106" s="56">
        <f t="shared" si="20"/>
        <v>0</v>
      </c>
    </row>
    <row r="107" spans="1:43" x14ac:dyDescent="0.2">
      <c r="A107" s="156" t="s">
        <v>259</v>
      </c>
      <c r="B107" s="156" t="s">
        <v>260</v>
      </c>
      <c r="D107" s="68">
        <v>311285.95702584373</v>
      </c>
      <c r="E107" s="73">
        <v>1643.4678420438615</v>
      </c>
      <c r="F107" s="55"/>
      <c r="G107" s="88">
        <v>316723.45775242517</v>
      </c>
      <c r="H107" s="81">
        <v>1664.1874622037151</v>
      </c>
      <c r="I107" s="90"/>
      <c r="J107" s="103">
        <f t="shared" si="21"/>
        <v>-1.716797601657849E-2</v>
      </c>
      <c r="K107" s="126">
        <f t="shared" si="22"/>
        <v>-1.2450292187886514E-2</v>
      </c>
      <c r="L107" s="56">
        <v>322750</v>
      </c>
      <c r="M107" s="103">
        <v>1.3898319909794399E-2</v>
      </c>
      <c r="N107" s="97">
        <f>INDEX('Pace of change parameters'!$E$22:$I$22,1,$B$5)</f>
        <v>9.0547645222140982E-3</v>
      </c>
      <c r="O107" s="108">
        <f>MAX(L107,IF(INDEX('Pace of change parameters'!$E$30:$I$30,1,$B$5)=1,(1+M107)*D107,D107))</f>
        <v>322750</v>
      </c>
      <c r="P107" s="94">
        <f>IF(K107&lt;INDEX('Pace of change parameters'!$E$18:$I$18,1,$B$5),1,IF(K107&gt;INDEX('Pace of change parameters'!$E$19:$I$19,1,$B$5),0,(K107-INDEX('Pace of change parameters'!$E$19:$I$19,1,$B$5))/(INDEX('Pace of change parameters'!$E$18:$I$18,1,$B$5)-INDEX('Pace of change parameters'!$E$19:$I$19,1,$B$5))))</f>
        <v>0.38417624384981774</v>
      </c>
      <c r="Q107" s="57">
        <v>4.0280969924173293E-2</v>
      </c>
      <c r="R107" s="57">
        <v>3.5311380373101109E-2</v>
      </c>
      <c r="S107" s="9">
        <f>MAX(IF(INDEX('Pace of change parameters'!$E$31:$I$31,1,$B$5)=1,D107*(1+Q107),D107),L107)</f>
        <v>323824.85729861923</v>
      </c>
      <c r="T107" s="103">
        <f>IF(Q107&lt;INDEX('Pace of change parameters'!$E$24:$I$24,1,$B$5),INDEX('Pace of change parameters'!$E$24:$I$24,1,$B$5),Q107)</f>
        <v>4.0280969924173293E-2</v>
      </c>
      <c r="U107" s="132">
        <v>3.5311380373101109E-2</v>
      </c>
      <c r="V107" s="117">
        <f t="shared" si="23"/>
        <v>323824.85729861923</v>
      </c>
      <c r="W107" s="131">
        <f>IF(J107&gt;INDEX('Pace of change parameters'!$E$26:$I$26,1,$B$5),0,IF(J107&lt;INDEX('Pace of change parameters'!$E$25:$I$25,1,$B$5),1,(J107-INDEX('Pace of change parameters'!$E$26:$I$26,1,$B$5))/(INDEX('Pace of change parameters'!$E$25:$I$25,1,$B$5)-INDEX('Pace of change parameters'!$E$26:$I$26,1,$B$5))))</f>
        <v>1</v>
      </c>
      <c r="X107" s="132">
        <f>MIN(T107, T107+(INDEX('Pace of change parameters'!$E$27:$I$27,1,$B$5)-T107)*(1-W107))</f>
        <v>4.0280969924173293E-2</v>
      </c>
      <c r="Y107" s="132">
        <v>3.5311380373101109E-2</v>
      </c>
      <c r="Z107" s="108">
        <f t="shared" si="24"/>
        <v>323824.85729861923</v>
      </c>
      <c r="AA107" s="97">
        <v>-2.5000000000000001E-2</v>
      </c>
      <c r="AB107" s="99">
        <f t="shared" si="16"/>
        <v>322167.35644277022</v>
      </c>
      <c r="AC107" s="99">
        <f>MAX(IF(INDEX('Pace of change parameters'!$E$29:$I$29,1,$B$5)=1,MAX(AB107,Z107),Z107),L107)</f>
        <v>323824.85729861923</v>
      </c>
      <c r="AD107" s="97">
        <f t="shared" si="25"/>
        <v>4.0280969924173293E-2</v>
      </c>
      <c r="AE107" s="146">
        <v>3.5311380373101109E-2</v>
      </c>
      <c r="AF107" s="56">
        <f t="shared" si="26"/>
        <v>323824.85729861923</v>
      </c>
      <c r="AG107" s="56">
        <v>1701.5009601452321</v>
      </c>
      <c r="AH107" s="16">
        <f t="shared" si="17"/>
        <v>4.0280969924173293E-2</v>
      </c>
      <c r="AI107" s="16">
        <f t="shared" si="18"/>
        <v>3.5311380373101109E-2</v>
      </c>
      <c r="AJ107" s="56"/>
      <c r="AK107" s="56">
        <v>330428.05789002078</v>
      </c>
      <c r="AL107" s="56">
        <v>1736.1967282219257</v>
      </c>
      <c r="AM107" s="16">
        <f t="shared" si="27"/>
        <v>-1.9983776903108375E-2</v>
      </c>
      <c r="AN107" s="58">
        <f t="shared" si="28"/>
        <v>-1.9983776903108375E-2</v>
      </c>
      <c r="AP107" s="56">
        <f t="shared" si="19"/>
        <v>0</v>
      </c>
      <c r="AQ107" s="56">
        <f t="shared" si="20"/>
        <v>0</v>
      </c>
    </row>
    <row r="108" spans="1:43" x14ac:dyDescent="0.2">
      <c r="A108" s="156" t="s">
        <v>261</v>
      </c>
      <c r="B108" s="156" t="s">
        <v>262</v>
      </c>
      <c r="D108" s="68">
        <v>376856.32192416955</v>
      </c>
      <c r="E108" s="73">
        <v>1333.0892128031353</v>
      </c>
      <c r="F108" s="55"/>
      <c r="G108" s="88">
        <v>395751.16645209218</v>
      </c>
      <c r="H108" s="81">
        <v>1380.8057667334576</v>
      </c>
      <c r="I108" s="90"/>
      <c r="J108" s="103">
        <f t="shared" si="21"/>
        <v>-4.7744254798576691E-2</v>
      </c>
      <c r="K108" s="126">
        <f t="shared" si="22"/>
        <v>-3.455703552224032E-2</v>
      </c>
      <c r="L108" s="56">
        <v>399019</v>
      </c>
      <c r="M108" s="103">
        <v>2.3028559386294223E-2</v>
      </c>
      <c r="N108" s="97">
        <f>INDEX('Pace of change parameters'!$E$22:$I$22,1,$B$5)</f>
        <v>9.0547645222140982E-3</v>
      </c>
      <c r="O108" s="108">
        <f>MAX(L108,IF(INDEX('Pace of change parameters'!$E$30:$I$30,1,$B$5)=1,(1+M108)*D108,D108))</f>
        <v>399019</v>
      </c>
      <c r="P108" s="94">
        <f>IF(K108&lt;INDEX('Pace of change parameters'!$E$18:$I$18,1,$B$5),1,IF(K108&gt;INDEX('Pace of change parameters'!$E$19:$I$19,1,$B$5),0,(K108-INDEX('Pace of change parameters'!$E$19:$I$19,1,$B$5))/(INDEX('Pace of change parameters'!$E$18:$I$18,1,$B$5)-INDEX('Pace of change parameters'!$E$19:$I$19,1,$B$5))))</f>
        <v>0.58571460955638899</v>
      </c>
      <c r="Q108" s="57">
        <v>6.3613724904503677E-2</v>
      </c>
      <c r="R108" s="57">
        <v>4.9085567435124933E-2</v>
      </c>
      <c r="S108" s="9">
        <f>MAX(IF(INDEX('Pace of change parameters'!$E$31:$I$31,1,$B$5)=1,D108*(1+Q108),D108),L108)</f>
        <v>400829.55631557677</v>
      </c>
      <c r="T108" s="103">
        <f>IF(Q108&lt;INDEX('Pace of change parameters'!$E$24:$I$24,1,$B$5),INDEX('Pace of change parameters'!$E$24:$I$24,1,$B$5),Q108)</f>
        <v>6.3613724904503677E-2</v>
      </c>
      <c r="U108" s="132">
        <v>4.9085567435124933E-2</v>
      </c>
      <c r="V108" s="117">
        <f t="shared" si="23"/>
        <v>400829.55631557677</v>
      </c>
      <c r="W108" s="131">
        <f>IF(J108&gt;INDEX('Pace of change parameters'!$E$26:$I$26,1,$B$5),0,IF(J108&lt;INDEX('Pace of change parameters'!$E$25:$I$25,1,$B$5),1,(J108-INDEX('Pace of change parameters'!$E$26:$I$26,1,$B$5))/(INDEX('Pace of change parameters'!$E$25:$I$25,1,$B$5)-INDEX('Pace of change parameters'!$E$26:$I$26,1,$B$5))))</f>
        <v>1</v>
      </c>
      <c r="X108" s="132">
        <f>MIN(T108, T108+(INDEX('Pace of change parameters'!$E$27:$I$27,1,$B$5)-T108)*(1-W108))</f>
        <v>6.3613724904503677E-2</v>
      </c>
      <c r="Y108" s="132">
        <v>4.9085567435124933E-2</v>
      </c>
      <c r="Z108" s="108">
        <f t="shared" si="24"/>
        <v>400829.55631557677</v>
      </c>
      <c r="AA108" s="97">
        <v>-4.1630053042709059E-2</v>
      </c>
      <c r="AB108" s="99">
        <f t="shared" si="16"/>
        <v>396049.60776092974</v>
      </c>
      <c r="AC108" s="99">
        <f>MAX(IF(INDEX('Pace of change parameters'!$E$29:$I$29,1,$B$5)=1,MAX(AB108,Z108),Z108),L108)</f>
        <v>400829.55631557677</v>
      </c>
      <c r="AD108" s="97">
        <f t="shared" si="25"/>
        <v>6.3613724904503677E-2</v>
      </c>
      <c r="AE108" s="146">
        <v>4.9085567435124933E-2</v>
      </c>
      <c r="AF108" s="56">
        <f t="shared" si="26"/>
        <v>400829.55631557677</v>
      </c>
      <c r="AG108" s="56">
        <v>1398.5246532552217</v>
      </c>
      <c r="AH108" s="16">
        <f t="shared" si="17"/>
        <v>6.3613724904503677E-2</v>
      </c>
      <c r="AI108" s="16">
        <f t="shared" si="18"/>
        <v>4.9085567435125377E-2</v>
      </c>
      <c r="AJ108" s="56"/>
      <c r="AK108" s="56">
        <v>413253.36736438732</v>
      </c>
      <c r="AL108" s="56">
        <v>1441.8722701297283</v>
      </c>
      <c r="AM108" s="16">
        <f t="shared" si="27"/>
        <v>-3.0063423628090669E-2</v>
      </c>
      <c r="AN108" s="58">
        <f t="shared" si="28"/>
        <v>-3.0063423628090558E-2</v>
      </c>
      <c r="AP108" s="56">
        <f t="shared" si="19"/>
        <v>0</v>
      </c>
      <c r="AQ108" s="56">
        <f t="shared" si="20"/>
        <v>0</v>
      </c>
    </row>
    <row r="109" spans="1:43" x14ac:dyDescent="0.2">
      <c r="A109" s="156" t="s">
        <v>263</v>
      </c>
      <c r="B109" s="156" t="s">
        <v>264</v>
      </c>
      <c r="D109" s="68">
        <v>936293.81574185006</v>
      </c>
      <c r="E109" s="73">
        <v>1417.8665015156264</v>
      </c>
      <c r="F109" s="55"/>
      <c r="G109" s="88">
        <v>974604.61151371372</v>
      </c>
      <c r="H109" s="81">
        <v>1464.0831757634317</v>
      </c>
      <c r="I109" s="90"/>
      <c r="J109" s="103">
        <f t="shared" si="21"/>
        <v>-3.9309064742019784E-2</v>
      </c>
      <c r="K109" s="126">
        <f t="shared" si="22"/>
        <v>-3.1566973115243924E-2</v>
      </c>
      <c r="L109" s="56">
        <v>976705</v>
      </c>
      <c r="M109" s="103">
        <v>1.7186614378034815E-2</v>
      </c>
      <c r="N109" s="97">
        <f>INDEX('Pace of change parameters'!$E$22:$I$22,1,$B$5)</f>
        <v>9.0547645222140982E-3</v>
      </c>
      <c r="O109" s="108">
        <f>MAX(L109,IF(INDEX('Pace of change parameters'!$E$30:$I$30,1,$B$5)=1,(1+M109)*D109,D109))</f>
        <v>976705</v>
      </c>
      <c r="P109" s="94">
        <f>IF(K109&lt;INDEX('Pace of change parameters'!$E$18:$I$18,1,$B$5),1,IF(K109&gt;INDEX('Pace of change parameters'!$E$19:$I$19,1,$B$5),0,(K109-INDEX('Pace of change parameters'!$E$19:$I$19,1,$B$5))/(INDEX('Pace of change parameters'!$E$18:$I$18,1,$B$5)-INDEX('Pace of change parameters'!$E$19:$I$19,1,$B$5))))</f>
        <v>0.55845540263692151</v>
      </c>
      <c r="Q109" s="57">
        <v>5.5661969767994757E-2</v>
      </c>
      <c r="R109" s="57">
        <v>4.7222530519276162E-2</v>
      </c>
      <c r="S109" s="9">
        <f>MAX(IF(INDEX('Pace of change parameters'!$E$31:$I$31,1,$B$5)=1,D109*(1+Q109),D109),L109)</f>
        <v>988409.77380763332</v>
      </c>
      <c r="T109" s="103">
        <f>IF(Q109&lt;INDEX('Pace of change parameters'!$E$24:$I$24,1,$B$5),INDEX('Pace of change parameters'!$E$24:$I$24,1,$B$5),Q109)</f>
        <v>5.5661969767994757E-2</v>
      </c>
      <c r="U109" s="132">
        <v>4.7222530519276162E-2</v>
      </c>
      <c r="V109" s="117">
        <f t="shared" si="23"/>
        <v>988409.77380763332</v>
      </c>
      <c r="W109" s="131">
        <f>IF(J109&gt;INDEX('Pace of change parameters'!$E$26:$I$26,1,$B$5),0,IF(J109&lt;INDEX('Pace of change parameters'!$E$25:$I$25,1,$B$5),1,(J109-INDEX('Pace of change parameters'!$E$26:$I$26,1,$B$5))/(INDEX('Pace of change parameters'!$E$25:$I$25,1,$B$5)-INDEX('Pace of change parameters'!$E$26:$I$26,1,$B$5))))</f>
        <v>1</v>
      </c>
      <c r="X109" s="132">
        <f>MIN(T109, T109+(INDEX('Pace of change parameters'!$E$27:$I$27,1,$B$5)-T109)*(1-W109))</f>
        <v>5.5661969767994757E-2</v>
      </c>
      <c r="Y109" s="132">
        <v>4.7222530519276162E-2</v>
      </c>
      <c r="Z109" s="108">
        <f t="shared" si="24"/>
        <v>988409.77380763332</v>
      </c>
      <c r="AA109" s="97">
        <v>-3.8653250294822916E-2</v>
      </c>
      <c r="AB109" s="99">
        <f t="shared" si="16"/>
        <v>977526.65903754928</v>
      </c>
      <c r="AC109" s="99">
        <f>MAX(IF(INDEX('Pace of change parameters'!$E$29:$I$29,1,$B$5)=1,MAX(AB109,Z109),Z109),L109)</f>
        <v>988409.77380763332</v>
      </c>
      <c r="AD109" s="97">
        <f t="shared" si="25"/>
        <v>5.5661969767994757E-2</v>
      </c>
      <c r="AE109" s="146">
        <v>4.7222530519276162E-2</v>
      </c>
      <c r="AF109" s="56">
        <f t="shared" si="26"/>
        <v>988409.77380763332</v>
      </c>
      <c r="AG109" s="56">
        <v>1484.8217456557072</v>
      </c>
      <c r="AH109" s="16">
        <f t="shared" si="17"/>
        <v>5.5661969767994757E-2</v>
      </c>
      <c r="AI109" s="16">
        <f t="shared" si="18"/>
        <v>4.722253051927594E-2</v>
      </c>
      <c r="AJ109" s="56"/>
      <c r="AK109" s="56">
        <v>1016830.4613682152</v>
      </c>
      <c r="AL109" s="56">
        <v>1527.5162394119495</v>
      </c>
      <c r="AM109" s="16">
        <f t="shared" si="27"/>
        <v>-2.7950271594283094E-2</v>
      </c>
      <c r="AN109" s="58">
        <f t="shared" si="28"/>
        <v>-2.7950271594283316E-2</v>
      </c>
      <c r="AP109" s="56">
        <f t="shared" si="19"/>
        <v>0</v>
      </c>
      <c r="AQ109" s="56">
        <f t="shared" si="20"/>
        <v>0</v>
      </c>
    </row>
    <row r="110" spans="1:43" x14ac:dyDescent="0.2">
      <c r="A110" s="156" t="s">
        <v>265</v>
      </c>
      <c r="B110" s="156" t="s">
        <v>266</v>
      </c>
      <c r="D110" s="68">
        <v>198553.07237116282</v>
      </c>
      <c r="E110" s="73">
        <v>1514.3891234996518</v>
      </c>
      <c r="F110" s="55"/>
      <c r="G110" s="88">
        <v>203070.74587176097</v>
      </c>
      <c r="H110" s="81">
        <v>1539.6401952838341</v>
      </c>
      <c r="I110" s="90"/>
      <c r="J110" s="103">
        <f t="shared" si="21"/>
        <v>-2.2246796214808073E-2</v>
      </c>
      <c r="K110" s="126">
        <f t="shared" si="22"/>
        <v>-1.6400631694035051E-2</v>
      </c>
      <c r="L110" s="56">
        <v>205791</v>
      </c>
      <c r="M110" s="103">
        <v>1.5088086776776199E-2</v>
      </c>
      <c r="N110" s="97">
        <f>INDEX('Pace of change parameters'!$E$22:$I$22,1,$B$5)</f>
        <v>9.0547645222140982E-3</v>
      </c>
      <c r="O110" s="108">
        <f>MAX(L110,IF(INDEX('Pace of change parameters'!$E$30:$I$30,1,$B$5)=1,(1+M110)*D110,D110))</f>
        <v>205791</v>
      </c>
      <c r="P110" s="94">
        <f>IF(K110&lt;INDEX('Pace of change parameters'!$E$18:$I$18,1,$B$5),1,IF(K110&gt;INDEX('Pace of change parameters'!$E$19:$I$19,1,$B$5),0,(K110-INDEX('Pace of change parameters'!$E$19:$I$19,1,$B$5))/(INDEX('Pace of change parameters'!$E$18:$I$18,1,$B$5)-INDEX('Pace of change parameters'!$E$19:$I$19,1,$B$5))))</f>
        <v>0.42018991424956742</v>
      </c>
      <c r="Q110" s="57">
        <v>4.3977775437307409E-2</v>
      </c>
      <c r="R110" s="57">
        <v>3.7772743156991417E-2</v>
      </c>
      <c r="S110" s="9">
        <f>MAX(IF(INDEX('Pace of change parameters'!$E$31:$I$31,1,$B$5)=1,D110*(1+Q110),D110),L110)</f>
        <v>207284.99480028928</v>
      </c>
      <c r="T110" s="103">
        <f>IF(Q110&lt;INDEX('Pace of change parameters'!$E$24:$I$24,1,$B$5),INDEX('Pace of change parameters'!$E$24:$I$24,1,$B$5),Q110)</f>
        <v>4.3977775437307409E-2</v>
      </c>
      <c r="U110" s="132">
        <v>3.7772743156991417E-2</v>
      </c>
      <c r="V110" s="117">
        <f t="shared" si="23"/>
        <v>207284.99480028928</v>
      </c>
      <c r="W110" s="131">
        <f>IF(J110&gt;INDEX('Pace of change parameters'!$E$26:$I$26,1,$B$5),0,IF(J110&lt;INDEX('Pace of change parameters'!$E$25:$I$25,1,$B$5),1,(J110-INDEX('Pace of change parameters'!$E$26:$I$26,1,$B$5))/(INDEX('Pace of change parameters'!$E$25:$I$25,1,$B$5)-INDEX('Pace of change parameters'!$E$26:$I$26,1,$B$5))))</f>
        <v>1</v>
      </c>
      <c r="X110" s="132">
        <f>MIN(T110, T110+(INDEX('Pace of change parameters'!$E$27:$I$27,1,$B$5)-T110)*(1-W110))</f>
        <v>4.3977775437307409E-2</v>
      </c>
      <c r="Y110" s="132">
        <v>3.7772743156991417E-2</v>
      </c>
      <c r="Z110" s="108">
        <f t="shared" si="24"/>
        <v>207284.99480028928</v>
      </c>
      <c r="AA110" s="97">
        <v>-2.5000000000000001E-2</v>
      </c>
      <c r="AB110" s="99">
        <f t="shared" si="16"/>
        <v>206470.69532493685</v>
      </c>
      <c r="AC110" s="99">
        <f>MAX(IF(INDEX('Pace of change parameters'!$E$29:$I$29,1,$B$5)=1,MAX(AB110,Z110),Z110),L110)</f>
        <v>207284.99480028928</v>
      </c>
      <c r="AD110" s="97">
        <f t="shared" si="25"/>
        <v>4.3977775437307409E-2</v>
      </c>
      <c r="AE110" s="146">
        <v>3.7772743156991417E-2</v>
      </c>
      <c r="AF110" s="56">
        <f t="shared" si="26"/>
        <v>207284.99480028928</v>
      </c>
      <c r="AG110" s="56">
        <v>1571.5917549013452</v>
      </c>
      <c r="AH110" s="16">
        <f t="shared" si="17"/>
        <v>4.3977775437307409E-2</v>
      </c>
      <c r="AI110" s="16">
        <f t="shared" si="18"/>
        <v>3.7772743156991195E-2</v>
      </c>
      <c r="AJ110" s="56"/>
      <c r="AK110" s="56">
        <v>211764.81571788396</v>
      </c>
      <c r="AL110" s="56">
        <v>1605.5568261517249</v>
      </c>
      <c r="AM110" s="16">
        <f t="shared" si="27"/>
        <v>-2.1154698916380776E-2</v>
      </c>
      <c r="AN110" s="58">
        <f t="shared" si="28"/>
        <v>-2.1154698916380776E-2</v>
      </c>
      <c r="AP110" s="56">
        <f t="shared" si="19"/>
        <v>0</v>
      </c>
      <c r="AQ110" s="56">
        <f t="shared" si="20"/>
        <v>0</v>
      </c>
    </row>
    <row r="111" spans="1:43" x14ac:dyDescent="0.2">
      <c r="A111" s="156" t="s">
        <v>267</v>
      </c>
      <c r="B111" s="156" t="s">
        <v>268</v>
      </c>
      <c r="D111" s="68">
        <v>485721.04894879268</v>
      </c>
      <c r="E111" s="73">
        <v>1667.7575656972301</v>
      </c>
      <c r="F111" s="55"/>
      <c r="G111" s="88">
        <v>447851.70818442875</v>
      </c>
      <c r="H111" s="81">
        <v>1532.4394875990608</v>
      </c>
      <c r="I111" s="90"/>
      <c r="J111" s="103">
        <f t="shared" si="21"/>
        <v>8.4557767833206565E-2</v>
      </c>
      <c r="K111" s="126">
        <f t="shared" si="22"/>
        <v>8.8302395750828655E-2</v>
      </c>
      <c r="L111" s="56">
        <v>498492</v>
      </c>
      <c r="M111" s="103">
        <v>1.2538704938950485E-2</v>
      </c>
      <c r="N111" s="97">
        <f>INDEX('Pace of change parameters'!$E$22:$I$22,1,$B$5)</f>
        <v>9.0547645222140982E-3</v>
      </c>
      <c r="O111" s="108">
        <f>MAX(L111,IF(INDEX('Pace of change parameters'!$E$30:$I$30,1,$B$5)=1,(1+M111)*D111,D111))</f>
        <v>498492</v>
      </c>
      <c r="P111" s="94">
        <f>IF(K111&lt;INDEX('Pace of change parameters'!$E$18:$I$18,1,$B$5),1,IF(K111&gt;INDEX('Pace of change parameters'!$E$19:$I$19,1,$B$5),0,(K111-INDEX('Pace of change parameters'!$E$19:$I$19,1,$B$5))/(INDEX('Pace of change parameters'!$E$18:$I$18,1,$B$5)-INDEX('Pace of change parameters'!$E$19:$I$19,1,$B$5))))</f>
        <v>0</v>
      </c>
      <c r="Q111" s="57">
        <v>1.2538704938950485E-2</v>
      </c>
      <c r="R111" s="57">
        <v>9.0547645222140982E-3</v>
      </c>
      <c r="S111" s="9">
        <f>MAX(IF(INDEX('Pace of change parameters'!$E$31:$I$31,1,$B$5)=1,D111*(1+Q111),D111),L111)</f>
        <v>498492</v>
      </c>
      <c r="T111" s="103">
        <f>IF(Q111&lt;INDEX('Pace of change parameters'!$E$24:$I$24,1,$B$5),INDEX('Pace of change parameters'!$E$24:$I$24,1,$B$5),Q111)</f>
        <v>3.0386941478720321E-2</v>
      </c>
      <c r="U111" s="132">
        <v>2.6841588898335322E-2</v>
      </c>
      <c r="V111" s="117">
        <f t="shared" si="23"/>
        <v>500480.62603818229</v>
      </c>
      <c r="W111" s="131">
        <f>IF(J111&gt;INDEX('Pace of change parameters'!$E$26:$I$26,1,$B$5),0,IF(J111&lt;INDEX('Pace of change parameters'!$E$25:$I$25,1,$B$5),1,(J111-INDEX('Pace of change parameters'!$E$26:$I$26,1,$B$5))/(INDEX('Pace of change parameters'!$E$25:$I$25,1,$B$5)-INDEX('Pace of change parameters'!$E$26:$I$26,1,$B$5))))</f>
        <v>0.30884464333586881</v>
      </c>
      <c r="X111" s="132">
        <f>MIN(T111, T111+(INDEX('Pace of change parameters'!$E$27:$I$27,1,$B$5)-T111)*(1-W111))</f>
        <v>1.8913762558095744E-2</v>
      </c>
      <c r="Y111" s="132">
        <v>1.5407886860475895E-2</v>
      </c>
      <c r="Z111" s="108">
        <f t="shared" si="24"/>
        <v>498492</v>
      </c>
      <c r="AA111" s="97">
        <v>-2.5000000000000001E-2</v>
      </c>
      <c r="AB111" s="99">
        <f t="shared" si="16"/>
        <v>455387.31954467116</v>
      </c>
      <c r="AC111" s="99">
        <f>MAX(IF(INDEX('Pace of change parameters'!$E$29:$I$29,1,$B$5)=1,MAX(AB111,Z111),Z111),L111)</f>
        <v>498492</v>
      </c>
      <c r="AD111" s="97">
        <f t="shared" si="25"/>
        <v>2.6292768408629819E-2</v>
      </c>
      <c r="AE111" s="146">
        <v>2.2761503047787457E-2</v>
      </c>
      <c r="AF111" s="56">
        <f t="shared" si="26"/>
        <v>498492</v>
      </c>
      <c r="AG111" s="56">
        <v>1705.7182346118182</v>
      </c>
      <c r="AH111" s="16">
        <f t="shared" si="17"/>
        <v>2.6292768408629819E-2</v>
      </c>
      <c r="AI111" s="16">
        <f t="shared" si="18"/>
        <v>2.2761503047787457E-2</v>
      </c>
      <c r="AJ111" s="56"/>
      <c r="AK111" s="56">
        <v>467063.91748171404</v>
      </c>
      <c r="AL111" s="56">
        <v>1598.1789893875714</v>
      </c>
      <c r="AM111" s="16">
        <f t="shared" si="27"/>
        <v>6.7288611562498657E-2</v>
      </c>
      <c r="AN111" s="58">
        <f t="shared" si="28"/>
        <v>6.7288611562498435E-2</v>
      </c>
      <c r="AP111" s="56">
        <f t="shared" si="19"/>
        <v>1</v>
      </c>
      <c r="AQ111" s="56">
        <f t="shared" si="20"/>
        <v>0</v>
      </c>
    </row>
    <row r="112" spans="1:43" x14ac:dyDescent="0.2">
      <c r="A112" s="156" t="s">
        <v>269</v>
      </c>
      <c r="B112" s="156" t="s">
        <v>270</v>
      </c>
      <c r="D112" s="68">
        <v>551002.75765940093</v>
      </c>
      <c r="E112" s="73">
        <v>1549.9330737730722</v>
      </c>
      <c r="F112" s="55"/>
      <c r="G112" s="88">
        <v>550602.55337020615</v>
      </c>
      <c r="H112" s="81">
        <v>1540.2178847633509</v>
      </c>
      <c r="I112" s="90"/>
      <c r="J112" s="103">
        <f t="shared" si="21"/>
        <v>7.2684786284615832E-4</v>
      </c>
      <c r="K112" s="126">
        <f t="shared" si="22"/>
        <v>6.3076718598251702E-3</v>
      </c>
      <c r="L112" s="56">
        <v>572406</v>
      </c>
      <c r="M112" s="103">
        <v>1.4682031399422257E-2</v>
      </c>
      <c r="N112" s="97">
        <f>INDEX('Pace of change parameters'!$E$22:$I$22,1,$B$5)</f>
        <v>9.0547645222140982E-3</v>
      </c>
      <c r="O112" s="108">
        <f>MAX(L112,IF(INDEX('Pace of change parameters'!$E$30:$I$30,1,$B$5)=1,(1+M112)*D112,D112))</f>
        <v>572406</v>
      </c>
      <c r="P112" s="94">
        <f>IF(K112&lt;INDEX('Pace of change parameters'!$E$18:$I$18,1,$B$5),1,IF(K112&gt;INDEX('Pace of change parameters'!$E$19:$I$19,1,$B$5),0,(K112-INDEX('Pace of change parameters'!$E$19:$I$19,1,$B$5))/(INDEX('Pace of change parameters'!$E$18:$I$18,1,$B$5)-INDEX('Pace of change parameters'!$E$19:$I$19,1,$B$5))))</f>
        <v>0.21316736384515297</v>
      </c>
      <c r="Q112" s="57">
        <v>2.9332252900705846E-2</v>
      </c>
      <c r="R112" s="57">
        <v>2.3623738200389877E-2</v>
      </c>
      <c r="S112" s="9">
        <f>MAX(IF(INDEX('Pace of change parameters'!$E$31:$I$31,1,$B$5)=1,D112*(1+Q112),D112),L112)</f>
        <v>572406</v>
      </c>
      <c r="T112" s="103">
        <f>IF(Q112&lt;INDEX('Pace of change parameters'!$E$24:$I$24,1,$B$5),INDEX('Pace of change parameters'!$E$24:$I$24,1,$B$5),Q112)</f>
        <v>3.0386941478720321E-2</v>
      </c>
      <c r="U112" s="132">
        <v>2.467257764151487E-2</v>
      </c>
      <c r="V112" s="117">
        <f t="shared" si="23"/>
        <v>572406</v>
      </c>
      <c r="W112" s="131">
        <f>IF(J112&gt;INDEX('Pace of change parameters'!$E$26:$I$26,1,$B$5),0,IF(J112&lt;INDEX('Pace of change parameters'!$E$25:$I$25,1,$B$5),1,(J112-INDEX('Pace of change parameters'!$E$26:$I$26,1,$B$5))/(INDEX('Pace of change parameters'!$E$25:$I$25,1,$B$5)-INDEX('Pace of change parameters'!$E$26:$I$26,1,$B$5))))</f>
        <v>1</v>
      </c>
      <c r="X112" s="132">
        <f>MIN(T112, T112+(INDEX('Pace of change parameters'!$E$27:$I$27,1,$B$5)-T112)*(1-W112))</f>
        <v>3.0386941478720321E-2</v>
      </c>
      <c r="Y112" s="132">
        <v>2.467257764151487E-2</v>
      </c>
      <c r="Z112" s="108">
        <f t="shared" si="24"/>
        <v>572406</v>
      </c>
      <c r="AA112" s="97">
        <v>-2.5000000000000001E-2</v>
      </c>
      <c r="AB112" s="99">
        <f t="shared" si="16"/>
        <v>560794.50620744692</v>
      </c>
      <c r="AC112" s="99">
        <f>MAX(IF(INDEX('Pace of change parameters'!$E$29:$I$29,1,$B$5)=1,MAX(AB112,Z112),Z112),L112)</f>
        <v>572406</v>
      </c>
      <c r="AD112" s="97">
        <f t="shared" si="25"/>
        <v>3.8844165556480403E-2</v>
      </c>
      <c r="AE112" s="146">
        <v>3.3082899285356682E-2</v>
      </c>
      <c r="AF112" s="56">
        <f t="shared" si="26"/>
        <v>572406</v>
      </c>
      <c r="AG112" s="56">
        <v>1601.2093535517499</v>
      </c>
      <c r="AH112" s="16">
        <f t="shared" si="17"/>
        <v>3.8844165556480403E-2</v>
      </c>
      <c r="AI112" s="16">
        <f t="shared" si="18"/>
        <v>3.3082899285356682E-2</v>
      </c>
      <c r="AJ112" s="56"/>
      <c r="AK112" s="56">
        <v>575173.8525204584</v>
      </c>
      <c r="AL112" s="56">
        <v>1608.9519546862766</v>
      </c>
      <c r="AM112" s="16">
        <f t="shared" si="27"/>
        <v>-4.8122015775394766E-3</v>
      </c>
      <c r="AN112" s="58">
        <f t="shared" si="28"/>
        <v>-4.8122015775395877E-3</v>
      </c>
      <c r="AP112" s="56">
        <f t="shared" si="19"/>
        <v>1</v>
      </c>
      <c r="AQ112" s="56">
        <f t="shared" si="20"/>
        <v>0</v>
      </c>
    </row>
    <row r="113" spans="1:43" x14ac:dyDescent="0.2">
      <c r="A113" s="156" t="s">
        <v>271</v>
      </c>
      <c r="B113" s="156" t="s">
        <v>272</v>
      </c>
      <c r="D113" s="68">
        <v>224017.79606659547</v>
      </c>
      <c r="E113" s="73">
        <v>1492.059385017953</v>
      </c>
      <c r="F113" s="55"/>
      <c r="G113" s="88">
        <v>230668.30161916293</v>
      </c>
      <c r="H113" s="81">
        <v>1527.2020759659561</v>
      </c>
      <c r="I113" s="90"/>
      <c r="J113" s="103">
        <f t="shared" si="21"/>
        <v>-2.8831467114833753E-2</v>
      </c>
      <c r="K113" s="126">
        <f t="shared" si="22"/>
        <v>-2.3011159754857791E-2</v>
      </c>
      <c r="L113" s="56">
        <v>232345</v>
      </c>
      <c r="M113" s="103">
        <v>1.5102127748779726E-2</v>
      </c>
      <c r="N113" s="97">
        <f>INDEX('Pace of change parameters'!$E$22:$I$22,1,$B$5)</f>
        <v>9.0547645222140982E-3</v>
      </c>
      <c r="O113" s="108">
        <f>MAX(L113,IF(INDEX('Pace of change parameters'!$E$30:$I$30,1,$B$5)=1,(1+M113)*D113,D113))</f>
        <v>232345</v>
      </c>
      <c r="P113" s="94">
        <f>IF(K113&lt;INDEX('Pace of change parameters'!$E$18:$I$18,1,$B$5),1,IF(K113&gt;INDEX('Pace of change parameters'!$E$19:$I$19,1,$B$5),0,(K113-INDEX('Pace of change parameters'!$E$19:$I$19,1,$B$5))/(INDEX('Pace of change parameters'!$E$18:$I$18,1,$B$5)-INDEX('Pace of change parameters'!$E$19:$I$19,1,$B$5))))</f>
        <v>0.4804554631676341</v>
      </c>
      <c r="Q113" s="57">
        <v>4.8135763898143669E-2</v>
      </c>
      <c r="R113" s="57">
        <v>4.1891606288994687E-2</v>
      </c>
      <c r="S113" s="9">
        <f>MAX(IF(INDEX('Pace of change parameters'!$E$31:$I$31,1,$B$5)=1,D113*(1+Q113),D113),L113)</f>
        <v>234801.06380703961</v>
      </c>
      <c r="T113" s="103">
        <f>IF(Q113&lt;INDEX('Pace of change parameters'!$E$24:$I$24,1,$B$5),INDEX('Pace of change parameters'!$E$24:$I$24,1,$B$5),Q113)</f>
        <v>4.8135763898143669E-2</v>
      </c>
      <c r="U113" s="132">
        <v>4.1891606288994687E-2</v>
      </c>
      <c r="V113" s="117">
        <f t="shared" si="23"/>
        <v>234801.06380703961</v>
      </c>
      <c r="W113" s="131">
        <f>IF(J113&gt;INDEX('Pace of change parameters'!$E$26:$I$26,1,$B$5),0,IF(J113&lt;INDEX('Pace of change parameters'!$E$25:$I$25,1,$B$5),1,(J113-INDEX('Pace of change parameters'!$E$26:$I$26,1,$B$5))/(INDEX('Pace of change parameters'!$E$25:$I$25,1,$B$5)-INDEX('Pace of change parameters'!$E$26:$I$26,1,$B$5))))</f>
        <v>1</v>
      </c>
      <c r="X113" s="132">
        <f>MIN(T113, T113+(INDEX('Pace of change parameters'!$E$27:$I$27,1,$B$5)-T113)*(1-W113))</f>
        <v>4.8135763898143669E-2</v>
      </c>
      <c r="Y113" s="132">
        <v>4.1891606288994687E-2</v>
      </c>
      <c r="Z113" s="108">
        <f t="shared" si="24"/>
        <v>234801.06380703961</v>
      </c>
      <c r="AA113" s="97">
        <v>-3.0158608218192051E-2</v>
      </c>
      <c r="AB113" s="99">
        <f t="shared" si="16"/>
        <v>233385.20139591847</v>
      </c>
      <c r="AC113" s="99">
        <f>MAX(IF(INDEX('Pace of change parameters'!$E$29:$I$29,1,$B$5)=1,MAX(AB113,Z113),Z113),L113)</f>
        <v>234801.06380703961</v>
      </c>
      <c r="AD113" s="97">
        <f t="shared" si="25"/>
        <v>4.8135763898143669E-2</v>
      </c>
      <c r="AE113" s="146">
        <v>4.1891606288994687E-2</v>
      </c>
      <c r="AF113" s="56">
        <f t="shared" si="26"/>
        <v>234801.06380703961</v>
      </c>
      <c r="AG113" s="56">
        <v>1554.5641493349247</v>
      </c>
      <c r="AH113" s="16">
        <f t="shared" si="17"/>
        <v>4.8135763898143669E-2</v>
      </c>
      <c r="AI113" s="16">
        <f t="shared" si="18"/>
        <v>4.1891606288994687E-2</v>
      </c>
      <c r="AJ113" s="56"/>
      <c r="AK113" s="56">
        <v>240642.64876047359</v>
      </c>
      <c r="AL113" s="56">
        <v>1593.2399474623371</v>
      </c>
      <c r="AM113" s="16">
        <f t="shared" si="27"/>
        <v>-2.4274936232307143E-2</v>
      </c>
      <c r="AN113" s="58">
        <f t="shared" si="28"/>
        <v>-2.4274936232307032E-2</v>
      </c>
      <c r="AP113" s="56">
        <f t="shared" si="19"/>
        <v>0</v>
      </c>
      <c r="AQ113" s="56">
        <f t="shared" si="20"/>
        <v>0</v>
      </c>
    </row>
    <row r="114" spans="1:43" x14ac:dyDescent="0.2">
      <c r="A114" s="156" t="s">
        <v>273</v>
      </c>
      <c r="B114" s="156" t="s">
        <v>274</v>
      </c>
      <c r="D114" s="68">
        <v>145084.09076904604</v>
      </c>
      <c r="E114" s="73">
        <v>1532.8482912735979</v>
      </c>
      <c r="F114" s="55"/>
      <c r="G114" s="88">
        <v>143741.68450771476</v>
      </c>
      <c r="H114" s="81">
        <v>1508.0517758742797</v>
      </c>
      <c r="I114" s="90"/>
      <c r="J114" s="103">
        <f t="shared" si="21"/>
        <v>9.3390185729960162E-3</v>
      </c>
      <c r="K114" s="126">
        <f t="shared" si="22"/>
        <v>1.6442748051500145E-2</v>
      </c>
      <c r="L114" s="56">
        <v>150446</v>
      </c>
      <c r="M114" s="103">
        <v>1.6156493420296014E-2</v>
      </c>
      <c r="N114" s="97">
        <f>INDEX('Pace of change parameters'!$E$22:$I$22,1,$B$5)</f>
        <v>9.0547645222140982E-3</v>
      </c>
      <c r="O114" s="108">
        <f>MAX(L114,IF(INDEX('Pace of change parameters'!$E$30:$I$30,1,$B$5)=1,(1+M114)*D114,D114))</f>
        <v>150446</v>
      </c>
      <c r="P114" s="94">
        <f>IF(K114&lt;INDEX('Pace of change parameters'!$E$18:$I$18,1,$B$5),1,IF(K114&gt;INDEX('Pace of change parameters'!$E$19:$I$19,1,$B$5),0,(K114-INDEX('Pace of change parameters'!$E$19:$I$19,1,$B$5))/(INDEX('Pace of change parameters'!$E$18:$I$18,1,$B$5)-INDEX('Pace of change parameters'!$E$19:$I$19,1,$B$5))))</f>
        <v>0.12076991474610134</v>
      </c>
      <c r="Q114" s="57">
        <v>2.4468633685904795E-2</v>
      </c>
      <c r="R114" s="57">
        <v>1.7308812784168515E-2</v>
      </c>
      <c r="S114" s="9">
        <f>MAX(IF(INDEX('Pace of change parameters'!$E$31:$I$31,1,$B$5)=1,D114*(1+Q114),D114),L114)</f>
        <v>150446</v>
      </c>
      <c r="T114" s="103">
        <f>IF(Q114&lt;INDEX('Pace of change parameters'!$E$24:$I$24,1,$B$5),INDEX('Pace of change parameters'!$E$24:$I$24,1,$B$5),Q114)</f>
        <v>3.0386941478720321E-2</v>
      </c>
      <c r="U114" s="132">
        <v>2.3185758623631259E-2</v>
      </c>
      <c r="V114" s="117">
        <f t="shared" si="23"/>
        <v>150446</v>
      </c>
      <c r="W114" s="131">
        <f>IF(J114&gt;INDEX('Pace of change parameters'!$E$26:$I$26,1,$B$5),0,IF(J114&lt;INDEX('Pace of change parameters'!$E$25:$I$25,1,$B$5),1,(J114-INDEX('Pace of change parameters'!$E$26:$I$26,1,$B$5))/(INDEX('Pace of change parameters'!$E$25:$I$25,1,$B$5)-INDEX('Pace of change parameters'!$E$26:$I$26,1,$B$5))))</f>
        <v>1</v>
      </c>
      <c r="X114" s="132">
        <f>MIN(T114, T114+(INDEX('Pace of change parameters'!$E$27:$I$27,1,$B$5)-T114)*(1-W114))</f>
        <v>3.0386941478720321E-2</v>
      </c>
      <c r="Y114" s="132">
        <v>2.3185758623631259E-2</v>
      </c>
      <c r="Z114" s="108">
        <f t="shared" si="24"/>
        <v>150446</v>
      </c>
      <c r="AA114" s="97">
        <v>-2.5000000000000001E-2</v>
      </c>
      <c r="AB114" s="99">
        <f t="shared" si="16"/>
        <v>146204.76987179319</v>
      </c>
      <c r="AC114" s="99">
        <f>MAX(IF(INDEX('Pace of change parameters'!$E$29:$I$29,1,$B$5)=1,MAX(AB114,Z114),Z114),L114)</f>
        <v>150446</v>
      </c>
      <c r="AD114" s="97">
        <f t="shared" si="25"/>
        <v>3.695725149830098E-2</v>
      </c>
      <c r="AE114" s="146">
        <v>2.9710149967459021E-2</v>
      </c>
      <c r="AF114" s="56">
        <f t="shared" si="26"/>
        <v>150446</v>
      </c>
      <c r="AG114" s="56">
        <v>1578.3894438847001</v>
      </c>
      <c r="AH114" s="16">
        <f t="shared" si="17"/>
        <v>3.695725149830098E-2</v>
      </c>
      <c r="AI114" s="16">
        <f t="shared" si="18"/>
        <v>2.9710149967459243E-2</v>
      </c>
      <c r="AJ114" s="56"/>
      <c r="AK114" s="56">
        <v>149953.6101249161</v>
      </c>
      <c r="AL114" s="56">
        <v>1573.2235838345284</v>
      </c>
      <c r="AM114" s="16">
        <f t="shared" si="27"/>
        <v>3.2836146770571784E-3</v>
      </c>
      <c r="AN114" s="58">
        <f t="shared" si="28"/>
        <v>3.2836146770571784E-3</v>
      </c>
      <c r="AP114" s="56">
        <f t="shared" si="19"/>
        <v>1</v>
      </c>
      <c r="AQ114" s="56">
        <f t="shared" si="20"/>
        <v>0</v>
      </c>
    </row>
    <row r="115" spans="1:43" x14ac:dyDescent="0.2">
      <c r="A115" s="156" t="s">
        <v>275</v>
      </c>
      <c r="B115" s="156" t="s">
        <v>276</v>
      </c>
      <c r="D115" s="68">
        <v>169820.19722039165</v>
      </c>
      <c r="E115" s="73">
        <v>1368.6678209530505</v>
      </c>
      <c r="F115" s="55"/>
      <c r="G115" s="88">
        <v>172412.45398776489</v>
      </c>
      <c r="H115" s="81">
        <v>1379.6585096588801</v>
      </c>
      <c r="I115" s="90"/>
      <c r="J115" s="103">
        <f t="shared" si="21"/>
        <v>-1.5035206027269932E-2</v>
      </c>
      <c r="K115" s="126">
        <f t="shared" si="22"/>
        <v>-7.9662384777715589E-3</v>
      </c>
      <c r="L115" s="56">
        <v>176018</v>
      </c>
      <c r="M115" s="103">
        <v>1.6296622738591893E-2</v>
      </c>
      <c r="N115" s="97">
        <f>INDEX('Pace of change parameters'!$E$22:$I$22,1,$B$5)</f>
        <v>9.0547645222140982E-3</v>
      </c>
      <c r="O115" s="108">
        <f>MAX(L115,IF(INDEX('Pace of change parameters'!$E$30:$I$30,1,$B$5)=1,(1+M115)*D115,D115))</f>
        <v>176018</v>
      </c>
      <c r="P115" s="94">
        <f>IF(K115&lt;INDEX('Pace of change parameters'!$E$18:$I$18,1,$B$5),1,IF(K115&gt;INDEX('Pace of change parameters'!$E$19:$I$19,1,$B$5),0,(K115-INDEX('Pace of change parameters'!$E$19:$I$19,1,$B$5))/(INDEX('Pace of change parameters'!$E$18:$I$18,1,$B$5)-INDEX('Pace of change parameters'!$E$19:$I$19,1,$B$5))))</f>
        <v>0.34329691382780159</v>
      </c>
      <c r="Q115" s="57">
        <v>3.9927720038948289E-2</v>
      </c>
      <c r="R115" s="57">
        <v>3.2517472936572478E-2</v>
      </c>
      <c r="S115" s="9">
        <f>MAX(IF(INDEX('Pace of change parameters'!$E$31:$I$31,1,$B$5)=1,D115*(1+Q115),D115),L115)</f>
        <v>176600.73051196642</v>
      </c>
      <c r="T115" s="103">
        <f>IF(Q115&lt;INDEX('Pace of change parameters'!$E$24:$I$24,1,$B$5),INDEX('Pace of change parameters'!$E$24:$I$24,1,$B$5),Q115)</f>
        <v>3.9927720038948289E-2</v>
      </c>
      <c r="U115" s="132">
        <v>3.2517472936572478E-2</v>
      </c>
      <c r="V115" s="117">
        <f t="shared" si="23"/>
        <v>176600.73051196642</v>
      </c>
      <c r="W115" s="131">
        <f>IF(J115&gt;INDEX('Pace of change parameters'!$E$26:$I$26,1,$B$5),0,IF(J115&lt;INDEX('Pace of change parameters'!$E$25:$I$25,1,$B$5),1,(J115-INDEX('Pace of change parameters'!$E$26:$I$26,1,$B$5))/(INDEX('Pace of change parameters'!$E$25:$I$25,1,$B$5)-INDEX('Pace of change parameters'!$E$26:$I$26,1,$B$5))))</f>
        <v>1</v>
      </c>
      <c r="X115" s="132">
        <f>MIN(T115, T115+(INDEX('Pace of change parameters'!$E$27:$I$27,1,$B$5)-T115)*(1-W115))</f>
        <v>3.9927720038948289E-2</v>
      </c>
      <c r="Y115" s="132">
        <v>3.2517472936572478E-2</v>
      </c>
      <c r="Z115" s="108">
        <f t="shared" si="24"/>
        <v>176600.73051196642</v>
      </c>
      <c r="AA115" s="97">
        <v>-2.5000000000000001E-2</v>
      </c>
      <c r="AB115" s="99">
        <f t="shared" si="16"/>
        <v>175332.07225135528</v>
      </c>
      <c r="AC115" s="99">
        <f>MAX(IF(INDEX('Pace of change parameters'!$E$29:$I$29,1,$B$5)=1,MAX(AB115,Z115),Z115),L115)</f>
        <v>176600.73051196642</v>
      </c>
      <c r="AD115" s="97">
        <f t="shared" si="25"/>
        <v>3.9927720038948289E-2</v>
      </c>
      <c r="AE115" s="146">
        <v>3.2517472936572478E-2</v>
      </c>
      <c r="AF115" s="56">
        <f t="shared" si="26"/>
        <v>176600.73051196642</v>
      </c>
      <c r="AG115" s="56">
        <v>1413.173439780049</v>
      </c>
      <c r="AH115" s="16">
        <f t="shared" si="17"/>
        <v>3.9927720038948289E-2</v>
      </c>
      <c r="AI115" s="16">
        <f t="shared" si="18"/>
        <v>3.2517472936572478E-2</v>
      </c>
      <c r="AJ115" s="56"/>
      <c r="AK115" s="56">
        <v>179827.76641164644</v>
      </c>
      <c r="AL115" s="56">
        <v>1438.9964440758069</v>
      </c>
      <c r="AM115" s="16">
        <f t="shared" si="27"/>
        <v>-1.7945148094054453E-2</v>
      </c>
      <c r="AN115" s="58">
        <f t="shared" si="28"/>
        <v>-1.7945148094054342E-2</v>
      </c>
      <c r="AP115" s="56">
        <f t="shared" si="19"/>
        <v>0</v>
      </c>
      <c r="AQ115" s="56">
        <f t="shared" si="20"/>
        <v>0</v>
      </c>
    </row>
    <row r="116" spans="1:43" x14ac:dyDescent="0.2">
      <c r="A116" s="156" t="s">
        <v>277</v>
      </c>
      <c r="B116" s="156" t="s">
        <v>278</v>
      </c>
      <c r="D116" s="68">
        <v>237836.21372151453</v>
      </c>
      <c r="E116" s="73">
        <v>1457.3833212098148</v>
      </c>
      <c r="F116" s="55"/>
      <c r="G116" s="88">
        <v>242258.44271581597</v>
      </c>
      <c r="H116" s="81">
        <v>1471.6137167989675</v>
      </c>
      <c r="I116" s="90"/>
      <c r="J116" s="103">
        <f t="shared" si="21"/>
        <v>-1.8254179068958098E-2</v>
      </c>
      <c r="K116" s="126">
        <f t="shared" si="22"/>
        <v>-9.6699258961152612E-3</v>
      </c>
      <c r="L116" s="56">
        <v>246213</v>
      </c>
      <c r="M116" s="103">
        <v>1.7877803418073546E-2</v>
      </c>
      <c r="N116" s="97">
        <f>INDEX('Pace of change parameters'!$E$22:$I$22,1,$B$5)</f>
        <v>9.0547645222140982E-3</v>
      </c>
      <c r="O116" s="108">
        <f>MAX(L116,IF(INDEX('Pace of change parameters'!$E$30:$I$30,1,$B$5)=1,(1+M116)*D116,D116))</f>
        <v>246213</v>
      </c>
      <c r="P116" s="94">
        <f>IF(K116&lt;INDEX('Pace of change parameters'!$E$18:$I$18,1,$B$5),1,IF(K116&gt;INDEX('Pace of change parameters'!$E$19:$I$19,1,$B$5),0,(K116-INDEX('Pace of change parameters'!$E$19:$I$19,1,$B$5))/(INDEX('Pace of change parameters'!$E$18:$I$18,1,$B$5)-INDEX('Pace of change parameters'!$E$19:$I$19,1,$B$5))))</f>
        <v>0.35882875281352228</v>
      </c>
      <c r="Q116" s="57">
        <v>4.2616475636944706E-2</v>
      </c>
      <c r="R116" s="57">
        <v>3.3579000129454473E-2</v>
      </c>
      <c r="S116" s="9">
        <f>MAX(IF(INDEX('Pace of change parameters'!$E$31:$I$31,1,$B$5)=1,D116*(1+Q116),D116),L116)</f>
        <v>247971.95492916062</v>
      </c>
      <c r="T116" s="103">
        <f>IF(Q116&lt;INDEX('Pace of change parameters'!$E$24:$I$24,1,$B$5),INDEX('Pace of change parameters'!$E$24:$I$24,1,$B$5),Q116)</f>
        <v>4.2616475636944706E-2</v>
      </c>
      <c r="U116" s="132">
        <v>3.3579000129454473E-2</v>
      </c>
      <c r="V116" s="117">
        <f t="shared" si="23"/>
        <v>247971.95492916062</v>
      </c>
      <c r="W116" s="131">
        <f>IF(J116&gt;INDEX('Pace of change parameters'!$E$26:$I$26,1,$B$5),0,IF(J116&lt;INDEX('Pace of change parameters'!$E$25:$I$25,1,$B$5),1,(J116-INDEX('Pace of change parameters'!$E$26:$I$26,1,$B$5))/(INDEX('Pace of change parameters'!$E$25:$I$25,1,$B$5)-INDEX('Pace of change parameters'!$E$26:$I$26,1,$B$5))))</f>
        <v>1</v>
      </c>
      <c r="X116" s="132">
        <f>MIN(T116, T116+(INDEX('Pace of change parameters'!$E$27:$I$27,1,$B$5)-T116)*(1-W116))</f>
        <v>4.2616475636944706E-2</v>
      </c>
      <c r="Y116" s="132">
        <v>3.3579000129454473E-2</v>
      </c>
      <c r="Z116" s="108">
        <f t="shared" si="24"/>
        <v>247971.95492916062</v>
      </c>
      <c r="AA116" s="97">
        <v>-2.5000000000000001E-2</v>
      </c>
      <c r="AB116" s="99">
        <f t="shared" si="16"/>
        <v>246271.64956398198</v>
      </c>
      <c r="AC116" s="99">
        <f>MAX(IF(INDEX('Pace of change parameters'!$E$29:$I$29,1,$B$5)=1,MAX(AB116,Z116),Z116),L116)</f>
        <v>247971.95492916062</v>
      </c>
      <c r="AD116" s="97">
        <f t="shared" si="25"/>
        <v>4.2616475636944706E-2</v>
      </c>
      <c r="AE116" s="146">
        <v>3.3579000129454473E-2</v>
      </c>
      <c r="AF116" s="56">
        <f t="shared" si="26"/>
        <v>247971.95492916062</v>
      </c>
      <c r="AG116" s="56">
        <v>1506.3207959413842</v>
      </c>
      <c r="AH116" s="16">
        <f t="shared" si="17"/>
        <v>4.2616475636944706E-2</v>
      </c>
      <c r="AI116" s="16">
        <f t="shared" si="18"/>
        <v>3.3579000129454695E-2</v>
      </c>
      <c r="AJ116" s="56"/>
      <c r="AK116" s="56">
        <v>252586.30724510973</v>
      </c>
      <c r="AL116" s="56">
        <v>1534.3509611078446</v>
      </c>
      <c r="AM116" s="16">
        <f t="shared" si="27"/>
        <v>-1.8268418293440281E-2</v>
      </c>
      <c r="AN116" s="58">
        <f t="shared" si="28"/>
        <v>-1.8268418293440392E-2</v>
      </c>
      <c r="AP116" s="56">
        <f t="shared" si="19"/>
        <v>0</v>
      </c>
      <c r="AQ116" s="56">
        <f t="shared" si="20"/>
        <v>0</v>
      </c>
    </row>
    <row r="117" spans="1:43" x14ac:dyDescent="0.2">
      <c r="A117" s="156" t="s">
        <v>279</v>
      </c>
      <c r="B117" s="156" t="s">
        <v>280</v>
      </c>
      <c r="D117" s="68">
        <v>195532.91192742705</v>
      </c>
      <c r="E117" s="73">
        <v>1479.6397394412902</v>
      </c>
      <c r="F117" s="55"/>
      <c r="G117" s="88">
        <v>192975.88524303277</v>
      </c>
      <c r="H117" s="81">
        <v>1448.7187917310657</v>
      </c>
      <c r="I117" s="90"/>
      <c r="J117" s="103">
        <f t="shared" si="21"/>
        <v>1.3250498533399435E-2</v>
      </c>
      <c r="K117" s="126">
        <f t="shared" si="22"/>
        <v>2.1343650601285624E-2</v>
      </c>
      <c r="L117" s="56">
        <v>202632</v>
      </c>
      <c r="M117" s="103">
        <v>1.7114403936083988E-2</v>
      </c>
      <c r="N117" s="97">
        <f>INDEX('Pace of change parameters'!$E$22:$I$22,1,$B$5)</f>
        <v>9.0547645222140982E-3</v>
      </c>
      <c r="O117" s="108">
        <f>MAX(L117,IF(INDEX('Pace of change parameters'!$E$30:$I$30,1,$B$5)=1,(1+M117)*D117,D117))</f>
        <v>202632</v>
      </c>
      <c r="P117" s="94">
        <f>IF(K117&lt;INDEX('Pace of change parameters'!$E$18:$I$18,1,$B$5),1,IF(K117&gt;INDEX('Pace of change parameters'!$E$19:$I$19,1,$B$5),0,(K117-INDEX('Pace of change parameters'!$E$19:$I$19,1,$B$5))/(INDEX('Pace of change parameters'!$E$18:$I$18,1,$B$5)-INDEX('Pace of change parameters'!$E$19:$I$19,1,$B$5))))</f>
        <v>7.6090340037509127E-2</v>
      </c>
      <c r="Q117" s="57">
        <v>2.2356353479927815E-2</v>
      </c>
      <c r="R117" s="57">
        <v>1.4255176729662367E-2</v>
      </c>
      <c r="S117" s="9">
        <f>MAX(IF(INDEX('Pace of change parameters'!$E$31:$I$31,1,$B$5)=1,D117*(1+Q117),D117),L117)</f>
        <v>202632</v>
      </c>
      <c r="T117" s="103">
        <f>IF(Q117&lt;INDEX('Pace of change parameters'!$E$24:$I$24,1,$B$5),INDEX('Pace of change parameters'!$E$24:$I$24,1,$B$5),Q117)</f>
        <v>3.0386941478720321E-2</v>
      </c>
      <c r="U117" s="132">
        <v>2.2222130152736552E-2</v>
      </c>
      <c r="V117" s="117">
        <f t="shared" si="23"/>
        <v>202632</v>
      </c>
      <c r="W117" s="131">
        <f>IF(J117&gt;INDEX('Pace of change parameters'!$E$26:$I$26,1,$B$5),0,IF(J117&lt;INDEX('Pace of change parameters'!$E$25:$I$25,1,$B$5),1,(J117-INDEX('Pace of change parameters'!$E$26:$I$26,1,$B$5))/(INDEX('Pace of change parameters'!$E$25:$I$25,1,$B$5)-INDEX('Pace of change parameters'!$E$26:$I$26,1,$B$5))))</f>
        <v>1</v>
      </c>
      <c r="X117" s="132">
        <f>MIN(T117, T117+(INDEX('Pace of change parameters'!$E$27:$I$27,1,$B$5)-T117)*(1-W117))</f>
        <v>3.0386941478720321E-2</v>
      </c>
      <c r="Y117" s="132">
        <v>2.2222130152736552E-2</v>
      </c>
      <c r="Z117" s="108">
        <f t="shared" si="24"/>
        <v>202632</v>
      </c>
      <c r="AA117" s="97">
        <v>-2.5000000000000001E-2</v>
      </c>
      <c r="AB117" s="99">
        <f t="shared" si="16"/>
        <v>196301.78649986806</v>
      </c>
      <c r="AC117" s="99">
        <f>MAX(IF(INDEX('Pace of change parameters'!$E$29:$I$29,1,$B$5)=1,MAX(AB117,Z117),Z117),L117)</f>
        <v>202632</v>
      </c>
      <c r="AD117" s="97">
        <f t="shared" si="25"/>
        <v>3.6306358876339928E-2</v>
      </c>
      <c r="AE117" s="146">
        <v>2.8094641942117304E-2</v>
      </c>
      <c r="AF117" s="56">
        <f t="shared" si="26"/>
        <v>202632</v>
      </c>
      <c r="AG117" s="56">
        <v>1521.209688124221</v>
      </c>
      <c r="AH117" s="16">
        <f t="shared" si="17"/>
        <v>3.6306358876339928E-2</v>
      </c>
      <c r="AI117" s="16">
        <f t="shared" si="18"/>
        <v>2.8094641942117304E-2</v>
      </c>
      <c r="AJ117" s="56"/>
      <c r="AK117" s="56">
        <v>201335.16564089034</v>
      </c>
      <c r="AL117" s="56">
        <v>1511.4740245026312</v>
      </c>
      <c r="AM117" s="16">
        <f t="shared" si="27"/>
        <v>6.4411716402426045E-3</v>
      </c>
      <c r="AN117" s="58">
        <f t="shared" si="28"/>
        <v>6.4411716402426045E-3</v>
      </c>
      <c r="AP117" s="56">
        <f t="shared" si="19"/>
        <v>1</v>
      </c>
      <c r="AQ117" s="56">
        <f t="shared" si="20"/>
        <v>0</v>
      </c>
    </row>
    <row r="118" spans="1:43" x14ac:dyDescent="0.2">
      <c r="A118" s="156" t="s">
        <v>281</v>
      </c>
      <c r="B118" s="156" t="s">
        <v>282</v>
      </c>
      <c r="D118" s="68">
        <v>812126.83836678346</v>
      </c>
      <c r="E118" s="73">
        <v>1493.484200166949</v>
      </c>
      <c r="F118" s="55"/>
      <c r="G118" s="88">
        <v>813945.75647698343</v>
      </c>
      <c r="H118" s="81">
        <v>1486.0843090882486</v>
      </c>
      <c r="I118" s="90"/>
      <c r="J118" s="103">
        <f t="shared" si="21"/>
        <v>-2.2346920488569566E-3</v>
      </c>
      <c r="K118" s="126">
        <f t="shared" si="22"/>
        <v>4.9794557640141512E-3</v>
      </c>
      <c r="L118" s="56">
        <v>841908</v>
      </c>
      <c r="M118" s="103">
        <v>1.6350538552975635E-2</v>
      </c>
      <c r="N118" s="97">
        <f>INDEX('Pace of change parameters'!$E$22:$I$22,1,$B$5)</f>
        <v>9.0547645222140982E-3</v>
      </c>
      <c r="O118" s="108">
        <f>MAX(L118,IF(INDEX('Pace of change parameters'!$E$30:$I$30,1,$B$5)=1,(1+M118)*D118,D118))</f>
        <v>841908</v>
      </c>
      <c r="P118" s="94">
        <f>IF(K118&lt;INDEX('Pace of change parameters'!$E$18:$I$18,1,$B$5),1,IF(K118&gt;INDEX('Pace of change parameters'!$E$19:$I$19,1,$B$5),0,(K118-INDEX('Pace of change parameters'!$E$19:$I$19,1,$B$5))/(INDEX('Pace of change parameters'!$E$18:$I$18,1,$B$5)-INDEX('Pace of change parameters'!$E$19:$I$19,1,$B$5))))</f>
        <v>0.22527618047211093</v>
      </c>
      <c r="Q118" s="57">
        <v>3.1858413938275376E-2</v>
      </c>
      <c r="R118" s="57">
        <v>2.4451318124116606E-2</v>
      </c>
      <c r="S118" s="9">
        <f>MAX(IF(INDEX('Pace of change parameters'!$E$31:$I$31,1,$B$5)=1,D118*(1+Q118),D118),L118)</f>
        <v>841908</v>
      </c>
      <c r="T118" s="103">
        <f>IF(Q118&lt;INDEX('Pace of change parameters'!$E$24:$I$24,1,$B$5),INDEX('Pace of change parameters'!$E$24:$I$24,1,$B$5),Q118)</f>
        <v>3.1858413938275376E-2</v>
      </c>
      <c r="U118" s="132">
        <v>2.4451318124116606E-2</v>
      </c>
      <c r="V118" s="117">
        <f t="shared" si="23"/>
        <v>841908</v>
      </c>
      <c r="W118" s="131">
        <f>IF(J118&gt;INDEX('Pace of change parameters'!$E$26:$I$26,1,$B$5),0,IF(J118&lt;INDEX('Pace of change parameters'!$E$25:$I$25,1,$B$5),1,(J118-INDEX('Pace of change parameters'!$E$26:$I$26,1,$B$5))/(INDEX('Pace of change parameters'!$E$25:$I$25,1,$B$5)-INDEX('Pace of change parameters'!$E$26:$I$26,1,$B$5))))</f>
        <v>1</v>
      </c>
      <c r="X118" s="132">
        <f>MIN(T118, T118+(INDEX('Pace of change parameters'!$E$27:$I$27,1,$B$5)-T118)*(1-W118))</f>
        <v>3.1858413938275376E-2</v>
      </c>
      <c r="Y118" s="132">
        <v>2.4451318124116606E-2</v>
      </c>
      <c r="Z118" s="108">
        <f t="shared" si="24"/>
        <v>841908</v>
      </c>
      <c r="AA118" s="97">
        <v>-2.5000000000000001E-2</v>
      </c>
      <c r="AB118" s="99">
        <f t="shared" si="16"/>
        <v>827510.96517879236</v>
      </c>
      <c r="AC118" s="99">
        <f>MAX(IF(INDEX('Pace of change parameters'!$E$29:$I$29,1,$B$5)=1,MAX(AB118,Z118),Z118),L118)</f>
        <v>841908</v>
      </c>
      <c r="AD118" s="97">
        <f t="shared" si="25"/>
        <v>3.66705793064388E-2</v>
      </c>
      <c r="AE118" s="146">
        <v>2.9228939828659151E-2</v>
      </c>
      <c r="AF118" s="56">
        <f t="shared" si="26"/>
        <v>841908</v>
      </c>
      <c r="AG118" s="56">
        <v>1537.1371599886816</v>
      </c>
      <c r="AH118" s="16">
        <f t="shared" si="17"/>
        <v>3.66705793064388E-2</v>
      </c>
      <c r="AI118" s="16">
        <f t="shared" si="18"/>
        <v>2.9228939828658929E-2</v>
      </c>
      <c r="AJ118" s="56"/>
      <c r="AK118" s="56">
        <v>848729.19505517173</v>
      </c>
      <c r="AL118" s="56">
        <v>1549.5911483043117</v>
      </c>
      <c r="AM118" s="16">
        <f t="shared" si="27"/>
        <v>-8.0369511204669841E-3</v>
      </c>
      <c r="AN118" s="58">
        <f t="shared" si="28"/>
        <v>-8.0369511204669841E-3</v>
      </c>
      <c r="AP118" s="56">
        <f t="shared" si="19"/>
        <v>1</v>
      </c>
      <c r="AQ118" s="56">
        <f t="shared" si="20"/>
        <v>0</v>
      </c>
    </row>
    <row r="119" spans="1:43" x14ac:dyDescent="0.2">
      <c r="A119" s="156" t="s">
        <v>283</v>
      </c>
      <c r="B119" s="156" t="s">
        <v>284</v>
      </c>
      <c r="D119" s="68">
        <v>513040.24825289741</v>
      </c>
      <c r="E119" s="73">
        <v>1356.1120654184119</v>
      </c>
      <c r="F119" s="55"/>
      <c r="G119" s="88">
        <v>518302.58080349246</v>
      </c>
      <c r="H119" s="81">
        <v>1359.8317829936386</v>
      </c>
      <c r="I119" s="90"/>
      <c r="J119" s="103">
        <f t="shared" si="21"/>
        <v>-1.01530124400252E-2</v>
      </c>
      <c r="K119" s="126">
        <f t="shared" si="22"/>
        <v>-2.7354247942622534E-3</v>
      </c>
      <c r="L119" s="56">
        <v>532095</v>
      </c>
      <c r="M119" s="103">
        <v>1.6616288928797962E-2</v>
      </c>
      <c r="N119" s="97">
        <f>INDEX('Pace of change parameters'!$E$22:$I$22,1,$B$5)</f>
        <v>9.0547645222140982E-3</v>
      </c>
      <c r="O119" s="108">
        <f>MAX(L119,IF(INDEX('Pace of change parameters'!$E$30:$I$30,1,$B$5)=1,(1+M119)*D119,D119))</f>
        <v>532095</v>
      </c>
      <c r="P119" s="94">
        <f>IF(K119&lt;INDEX('Pace of change parameters'!$E$18:$I$18,1,$B$5),1,IF(K119&gt;INDEX('Pace of change parameters'!$E$19:$I$19,1,$B$5),0,(K119-INDEX('Pace of change parameters'!$E$19:$I$19,1,$B$5))/(INDEX('Pace of change parameters'!$E$18:$I$18,1,$B$5)-INDEX('Pace of change parameters'!$E$19:$I$19,1,$B$5))))</f>
        <v>0.29560967083838319</v>
      </c>
      <c r="Q119" s="57">
        <v>3.6971199967554158E-2</v>
      </c>
      <c r="R119" s="57">
        <v>2.9258277085174145E-2</v>
      </c>
      <c r="S119" s="9">
        <f>MAX(IF(INDEX('Pace of change parameters'!$E$31:$I$31,1,$B$5)=1,D119*(1+Q119),D119),L119)</f>
        <v>532095</v>
      </c>
      <c r="T119" s="103">
        <f>IF(Q119&lt;INDEX('Pace of change parameters'!$E$24:$I$24,1,$B$5),INDEX('Pace of change parameters'!$E$24:$I$24,1,$B$5),Q119)</f>
        <v>3.6971199967554158E-2</v>
      </c>
      <c r="U119" s="132">
        <v>2.9258277085174145E-2</v>
      </c>
      <c r="V119" s="117">
        <f t="shared" si="23"/>
        <v>532095</v>
      </c>
      <c r="W119" s="131">
        <f>IF(J119&gt;INDEX('Pace of change parameters'!$E$26:$I$26,1,$B$5),0,IF(J119&lt;INDEX('Pace of change parameters'!$E$25:$I$25,1,$B$5),1,(J119-INDEX('Pace of change parameters'!$E$26:$I$26,1,$B$5))/(INDEX('Pace of change parameters'!$E$25:$I$25,1,$B$5)-INDEX('Pace of change parameters'!$E$26:$I$26,1,$B$5))))</f>
        <v>1</v>
      </c>
      <c r="X119" s="132">
        <f>MIN(T119, T119+(INDEX('Pace of change parameters'!$E$27:$I$27,1,$B$5)-T119)*(1-W119))</f>
        <v>3.6971199967554158E-2</v>
      </c>
      <c r="Y119" s="132">
        <v>2.9258277085174145E-2</v>
      </c>
      <c r="Z119" s="108">
        <f t="shared" si="24"/>
        <v>532095</v>
      </c>
      <c r="AA119" s="97">
        <v>-2.5000000000000001E-2</v>
      </c>
      <c r="AB119" s="99">
        <f t="shared" si="16"/>
        <v>527106.55608548713</v>
      </c>
      <c r="AC119" s="99">
        <f>MAX(IF(INDEX('Pace of change parameters'!$E$29:$I$29,1,$B$5)=1,MAX(AB119,Z119),Z119),L119)</f>
        <v>532095</v>
      </c>
      <c r="AD119" s="97">
        <f t="shared" si="25"/>
        <v>3.7140851642715189E-2</v>
      </c>
      <c r="AE119" s="146">
        <v>2.9426666902448106E-2</v>
      </c>
      <c r="AF119" s="56">
        <f t="shared" si="26"/>
        <v>532095</v>
      </c>
      <c r="AG119" s="56">
        <v>1396.0179234498705</v>
      </c>
      <c r="AH119" s="16">
        <f t="shared" si="17"/>
        <v>3.7140851642715189E-2</v>
      </c>
      <c r="AI119" s="16">
        <f t="shared" si="18"/>
        <v>2.9426666902448106E-2</v>
      </c>
      <c r="AJ119" s="56"/>
      <c r="AK119" s="56">
        <v>540622.10880562779</v>
      </c>
      <c r="AL119" s="56">
        <v>1418.3898621598069</v>
      </c>
      <c r="AM119" s="16">
        <f t="shared" si="27"/>
        <v>-1.5772771158890198E-2</v>
      </c>
      <c r="AN119" s="58">
        <f t="shared" si="28"/>
        <v>-1.5772771158890087E-2</v>
      </c>
      <c r="AP119" s="56">
        <f t="shared" si="19"/>
        <v>1</v>
      </c>
      <c r="AQ119" s="56">
        <f t="shared" si="20"/>
        <v>0</v>
      </c>
    </row>
    <row r="120" spans="1:43" x14ac:dyDescent="0.2">
      <c r="A120" s="156" t="s">
        <v>285</v>
      </c>
      <c r="B120" s="156" t="s">
        <v>286</v>
      </c>
      <c r="D120" s="68">
        <v>401026.66801184538</v>
      </c>
      <c r="E120" s="73">
        <v>1467.0276119836312</v>
      </c>
      <c r="F120" s="55"/>
      <c r="G120" s="88">
        <v>417520.61521898792</v>
      </c>
      <c r="H120" s="81">
        <v>1517.1920540740796</v>
      </c>
      <c r="I120" s="90"/>
      <c r="J120" s="103">
        <f t="shared" si="21"/>
        <v>-3.9504509731792647E-2</v>
      </c>
      <c r="K120" s="126">
        <f t="shared" si="22"/>
        <v>-3.3064002646034818E-2</v>
      </c>
      <c r="L120" s="56">
        <v>415910</v>
      </c>
      <c r="M120" s="103">
        <v>1.5820880997168052E-2</v>
      </c>
      <c r="N120" s="97">
        <f>INDEX('Pace of change parameters'!$E$22:$I$22,1,$B$5)</f>
        <v>9.0547645222140982E-3</v>
      </c>
      <c r="O120" s="108">
        <f>MAX(L120,IF(INDEX('Pace of change parameters'!$E$30:$I$30,1,$B$5)=1,(1+M120)*D120,D120))</f>
        <v>415910</v>
      </c>
      <c r="P120" s="94">
        <f>IF(K120&lt;INDEX('Pace of change parameters'!$E$18:$I$18,1,$B$5),1,IF(K120&gt;INDEX('Pace of change parameters'!$E$19:$I$19,1,$B$5),0,(K120-INDEX('Pace of change parameters'!$E$19:$I$19,1,$B$5))/(INDEX('Pace of change parameters'!$E$18:$I$18,1,$B$5)-INDEX('Pace of change parameters'!$E$19:$I$19,1,$B$5))))</f>
        <v>0.57210322404991165</v>
      </c>
      <c r="Q120" s="57">
        <v>5.5183595278862629E-2</v>
      </c>
      <c r="R120" s="57">
        <v>4.8155294087505851E-2</v>
      </c>
      <c r="S120" s="9">
        <f>MAX(IF(INDEX('Pace of change parameters'!$E$31:$I$31,1,$B$5)=1,D120*(1+Q120),D120),L120)</f>
        <v>423156.76135544188</v>
      </c>
      <c r="T120" s="103">
        <f>IF(Q120&lt;INDEX('Pace of change parameters'!$E$24:$I$24,1,$B$5),INDEX('Pace of change parameters'!$E$24:$I$24,1,$B$5),Q120)</f>
        <v>5.5183595278862629E-2</v>
      </c>
      <c r="U120" s="132">
        <v>4.8155294087505851E-2</v>
      </c>
      <c r="V120" s="117">
        <f t="shared" si="23"/>
        <v>423156.76135544188</v>
      </c>
      <c r="W120" s="131">
        <f>IF(J120&gt;INDEX('Pace of change parameters'!$E$26:$I$26,1,$B$5),0,IF(J120&lt;INDEX('Pace of change parameters'!$E$25:$I$25,1,$B$5),1,(J120-INDEX('Pace of change parameters'!$E$26:$I$26,1,$B$5))/(INDEX('Pace of change parameters'!$E$25:$I$25,1,$B$5)-INDEX('Pace of change parameters'!$E$26:$I$26,1,$B$5))))</f>
        <v>1</v>
      </c>
      <c r="X120" s="132">
        <f>MIN(T120, T120+(INDEX('Pace of change parameters'!$E$27:$I$27,1,$B$5)-T120)*(1-W120))</f>
        <v>5.5183595278862629E-2</v>
      </c>
      <c r="Y120" s="132">
        <v>4.8155294087505851E-2</v>
      </c>
      <c r="Z120" s="108">
        <f t="shared" si="24"/>
        <v>423156.76135544188</v>
      </c>
      <c r="AA120" s="97">
        <v>-4.0140758914989583E-2</v>
      </c>
      <c r="AB120" s="99">
        <f t="shared" si="16"/>
        <v>418202.61102018174</v>
      </c>
      <c r="AC120" s="99">
        <f>MAX(IF(INDEX('Pace of change parameters'!$E$29:$I$29,1,$B$5)=1,MAX(AB120,Z120),Z120),L120)</f>
        <v>423156.76135544188</v>
      </c>
      <c r="AD120" s="97">
        <f t="shared" si="25"/>
        <v>5.5183595278862629E-2</v>
      </c>
      <c r="AE120" s="146">
        <v>4.8155294087505851E-2</v>
      </c>
      <c r="AF120" s="56">
        <f t="shared" si="26"/>
        <v>423156.76135544188</v>
      </c>
      <c r="AG120" s="56">
        <v>1537.672758073194</v>
      </c>
      <c r="AH120" s="16">
        <f t="shared" si="17"/>
        <v>5.5183595278862629E-2</v>
      </c>
      <c r="AI120" s="16">
        <f t="shared" si="18"/>
        <v>4.8155294087505629E-2</v>
      </c>
      <c r="AJ120" s="56"/>
      <c r="AK120" s="56">
        <v>435691.60260149377</v>
      </c>
      <c r="AL120" s="56">
        <v>1583.2220335924765</v>
      </c>
      <c r="AM120" s="16">
        <f t="shared" si="27"/>
        <v>-2.8769985859738778E-2</v>
      </c>
      <c r="AN120" s="58">
        <f t="shared" si="28"/>
        <v>-2.8769985859738778E-2</v>
      </c>
      <c r="AP120" s="56">
        <f t="shared" si="19"/>
        <v>0</v>
      </c>
      <c r="AQ120" s="56">
        <f t="shared" si="20"/>
        <v>0</v>
      </c>
    </row>
    <row r="121" spans="1:43" x14ac:dyDescent="0.2">
      <c r="A121" s="156" t="s">
        <v>287</v>
      </c>
      <c r="B121" s="156" t="s">
        <v>288</v>
      </c>
      <c r="D121" s="68">
        <v>626970.98673610273</v>
      </c>
      <c r="E121" s="73">
        <v>1353.9530710158631</v>
      </c>
      <c r="F121" s="55"/>
      <c r="G121" s="88">
        <v>688244.64322145993</v>
      </c>
      <c r="H121" s="81">
        <v>1468.7933735163188</v>
      </c>
      <c r="I121" s="90"/>
      <c r="J121" s="103">
        <f t="shared" si="21"/>
        <v>-8.9028889783368648E-2</v>
      </c>
      <c r="K121" s="126">
        <f t="shared" si="22"/>
        <v>-7.8186833200047601E-2</v>
      </c>
      <c r="L121" s="56">
        <v>675120</v>
      </c>
      <c r="M121" s="103">
        <v>2.1064178135800748E-2</v>
      </c>
      <c r="N121" s="97">
        <f>INDEX('Pace of change parameters'!$E$22:$I$22,1,$B$5)</f>
        <v>9.0547645222140982E-3</v>
      </c>
      <c r="O121" s="108">
        <f>MAX(L121,IF(INDEX('Pace of change parameters'!$E$30:$I$30,1,$B$5)=1,(1+M121)*D121,D121))</f>
        <v>675120</v>
      </c>
      <c r="P121" s="94">
        <f>IF(K121&lt;INDEX('Pace of change parameters'!$E$18:$I$18,1,$B$5),1,IF(K121&gt;INDEX('Pace of change parameters'!$E$19:$I$19,1,$B$5),0,(K121-INDEX('Pace of change parameters'!$E$19:$I$19,1,$B$5))/(INDEX('Pace of change parameters'!$E$18:$I$18,1,$B$5)-INDEX('Pace of change parameters'!$E$19:$I$19,1,$B$5))))</f>
        <v>0.98347008113818568</v>
      </c>
      <c r="Q121" s="57">
        <v>8.9079647502578796E-2</v>
      </c>
      <c r="R121" s="57">
        <v>7.6270258802960678E-2</v>
      </c>
      <c r="S121" s="9">
        <f>MAX(IF(INDEX('Pace of change parameters'!$E$31:$I$31,1,$B$5)=1,D121*(1+Q121),D121),L121)</f>
        <v>682821.34122889873</v>
      </c>
      <c r="T121" s="103">
        <f>IF(Q121&lt;INDEX('Pace of change parameters'!$E$24:$I$24,1,$B$5),INDEX('Pace of change parameters'!$E$24:$I$24,1,$B$5),Q121)</f>
        <v>8.9079647502578796E-2</v>
      </c>
      <c r="U121" s="132">
        <v>7.6270258802960678E-2</v>
      </c>
      <c r="V121" s="117">
        <f t="shared" si="23"/>
        <v>682821.34122889873</v>
      </c>
      <c r="W121" s="131">
        <f>IF(J121&gt;INDEX('Pace of change parameters'!$E$26:$I$26,1,$B$5),0,IF(J121&lt;INDEX('Pace of change parameters'!$E$25:$I$25,1,$B$5),1,(J121-INDEX('Pace of change parameters'!$E$26:$I$26,1,$B$5))/(INDEX('Pace of change parameters'!$E$25:$I$25,1,$B$5)-INDEX('Pace of change parameters'!$E$26:$I$26,1,$B$5))))</f>
        <v>1</v>
      </c>
      <c r="X121" s="132">
        <f>MIN(T121, T121+(INDEX('Pace of change parameters'!$E$27:$I$27,1,$B$5)-T121)*(1-W121))</f>
        <v>8.9079647502578796E-2</v>
      </c>
      <c r="Y121" s="132">
        <v>7.6270258802960678E-2</v>
      </c>
      <c r="Z121" s="108">
        <f t="shared" si="24"/>
        <v>682821.34122889873</v>
      </c>
      <c r="AA121" s="97">
        <v>-8.4934015846779065E-2</v>
      </c>
      <c r="AB121" s="99">
        <f t="shared" si="16"/>
        <v>657234.47356049472</v>
      </c>
      <c r="AC121" s="99">
        <f>MAX(IF(INDEX('Pace of change parameters'!$E$29:$I$29,1,$B$5)=1,MAX(AB121,Z121),Z121),L121)</f>
        <v>682821.34122889873</v>
      </c>
      <c r="AD121" s="97">
        <f t="shared" si="25"/>
        <v>8.9079647502578796E-2</v>
      </c>
      <c r="AE121" s="146">
        <v>7.6270258802960678E-2</v>
      </c>
      <c r="AF121" s="56">
        <f t="shared" si="26"/>
        <v>682821.34122889873</v>
      </c>
      <c r="AG121" s="56">
        <v>1457.2194221493066</v>
      </c>
      <c r="AH121" s="16">
        <f t="shared" si="17"/>
        <v>8.9079647502578796E-2</v>
      </c>
      <c r="AI121" s="16">
        <f t="shared" si="18"/>
        <v>7.62702588029609E-2</v>
      </c>
      <c r="AJ121" s="56"/>
      <c r="AK121" s="56">
        <v>718237.24730483012</v>
      </c>
      <c r="AL121" s="56">
        <v>1532.8010466105172</v>
      </c>
      <c r="AM121" s="16">
        <f t="shared" si="27"/>
        <v>-4.9309481245687015E-2</v>
      </c>
      <c r="AN121" s="58">
        <f t="shared" si="28"/>
        <v>-4.9309481245686904E-2</v>
      </c>
      <c r="AP121" s="56">
        <f t="shared" si="19"/>
        <v>0</v>
      </c>
      <c r="AQ121" s="56">
        <f t="shared" si="20"/>
        <v>0</v>
      </c>
    </row>
    <row r="122" spans="1:43" x14ac:dyDescent="0.2">
      <c r="A122" s="156" t="s">
        <v>289</v>
      </c>
      <c r="B122" s="156" t="s">
        <v>290</v>
      </c>
      <c r="D122" s="68">
        <v>1230186.0235716505</v>
      </c>
      <c r="E122" s="73">
        <v>1333.0191173406611</v>
      </c>
      <c r="F122" s="55"/>
      <c r="G122" s="88">
        <v>1266727.5890510802</v>
      </c>
      <c r="H122" s="81">
        <v>1359.4632136210964</v>
      </c>
      <c r="I122" s="90"/>
      <c r="J122" s="103">
        <f t="shared" si="21"/>
        <v>-2.8847216872258552E-2</v>
      </c>
      <c r="K122" s="126">
        <f t="shared" si="22"/>
        <v>-1.9451866012614061E-2</v>
      </c>
      <c r="L122" s="56">
        <v>1275763</v>
      </c>
      <c r="M122" s="103">
        <v>1.8816795496114036E-2</v>
      </c>
      <c r="N122" s="97">
        <f>INDEX('Pace of change parameters'!$E$22:$I$22,1,$B$5)</f>
        <v>9.0547645222140982E-3</v>
      </c>
      <c r="O122" s="108">
        <f>MAX(L122,IF(INDEX('Pace of change parameters'!$E$30:$I$30,1,$B$5)=1,(1+M122)*D122,D122))</f>
        <v>1275763</v>
      </c>
      <c r="P122" s="94">
        <f>IF(K122&lt;INDEX('Pace of change parameters'!$E$18:$I$18,1,$B$5),1,IF(K122&gt;INDEX('Pace of change parameters'!$E$19:$I$19,1,$B$5),0,(K122-INDEX('Pace of change parameters'!$E$19:$I$19,1,$B$5))/(INDEX('Pace of change parameters'!$E$18:$I$18,1,$B$5)-INDEX('Pace of change parameters'!$E$19:$I$19,1,$B$5))))</f>
        <v>0.44800680109959029</v>
      </c>
      <c r="Q122" s="57">
        <v>4.9732148484920469E-2</v>
      </c>
      <c r="R122" s="57">
        <v>3.9673894839015178E-2</v>
      </c>
      <c r="S122" s="9">
        <f>MAX(IF(INDEX('Pace of change parameters'!$E$31:$I$31,1,$B$5)=1,D122*(1+Q122),D122),L122)</f>
        <v>1291365.8175599896</v>
      </c>
      <c r="T122" s="103">
        <f>IF(Q122&lt;INDEX('Pace of change parameters'!$E$24:$I$24,1,$B$5),INDEX('Pace of change parameters'!$E$24:$I$24,1,$B$5),Q122)</f>
        <v>4.9732148484920469E-2</v>
      </c>
      <c r="U122" s="132">
        <v>3.9673894839015178E-2</v>
      </c>
      <c r="V122" s="117">
        <f t="shared" si="23"/>
        <v>1291365.8175599896</v>
      </c>
      <c r="W122" s="131">
        <f>IF(J122&gt;INDEX('Pace of change parameters'!$E$26:$I$26,1,$B$5),0,IF(J122&lt;INDEX('Pace of change parameters'!$E$25:$I$25,1,$B$5),1,(J122-INDEX('Pace of change parameters'!$E$26:$I$26,1,$B$5))/(INDEX('Pace of change parameters'!$E$25:$I$25,1,$B$5)-INDEX('Pace of change parameters'!$E$26:$I$26,1,$B$5))))</f>
        <v>1</v>
      </c>
      <c r="X122" s="132">
        <f>MIN(T122, T122+(INDEX('Pace of change parameters'!$E$27:$I$27,1,$B$5)-T122)*(1-W122))</f>
        <v>4.9732148484920469E-2</v>
      </c>
      <c r="Y122" s="132">
        <v>3.9673894839015178E-2</v>
      </c>
      <c r="Z122" s="108">
        <f t="shared" si="24"/>
        <v>1291365.8175599896</v>
      </c>
      <c r="AA122" s="97">
        <v>-2.6629326639637241E-2</v>
      </c>
      <c r="AB122" s="99">
        <f t="shared" si="16"/>
        <v>1286645.0112372641</v>
      </c>
      <c r="AC122" s="99">
        <f>MAX(IF(INDEX('Pace of change parameters'!$E$29:$I$29,1,$B$5)=1,MAX(AB122,Z122),Z122),L122)</f>
        <v>1291365.8175599896</v>
      </c>
      <c r="AD122" s="97">
        <f t="shared" si="25"/>
        <v>4.9732148484920469E-2</v>
      </c>
      <c r="AE122" s="146">
        <v>3.9673894839015178E-2</v>
      </c>
      <c r="AF122" s="56">
        <f t="shared" si="26"/>
        <v>1291365.8175599896</v>
      </c>
      <c r="AG122" s="56">
        <v>1385.9051776204312</v>
      </c>
      <c r="AH122" s="16">
        <f t="shared" si="17"/>
        <v>4.9732148484920469E-2</v>
      </c>
      <c r="AI122" s="16">
        <f t="shared" si="18"/>
        <v>3.9673894839015178E-2</v>
      </c>
      <c r="AJ122" s="56"/>
      <c r="AK122" s="56">
        <v>1321844.8495015635</v>
      </c>
      <c r="AL122" s="56">
        <v>1418.615543345071</v>
      </c>
      <c r="AM122" s="16">
        <f t="shared" si="27"/>
        <v>-2.305794961720864E-2</v>
      </c>
      <c r="AN122" s="58">
        <f t="shared" si="28"/>
        <v>-2.3057949617208751E-2</v>
      </c>
      <c r="AP122" s="56">
        <f t="shared" si="19"/>
        <v>0</v>
      </c>
      <c r="AQ122" s="56">
        <f t="shared" si="20"/>
        <v>0</v>
      </c>
    </row>
    <row r="123" spans="1:43" x14ac:dyDescent="0.2">
      <c r="A123" s="156" t="s">
        <v>291</v>
      </c>
      <c r="B123" s="156" t="s">
        <v>292</v>
      </c>
      <c r="D123" s="68">
        <v>267848.10968336195</v>
      </c>
      <c r="E123" s="73">
        <v>1462.9553692144277</v>
      </c>
      <c r="F123" s="55"/>
      <c r="G123" s="88">
        <v>279823.96055806946</v>
      </c>
      <c r="H123" s="81">
        <v>1521.8849694302792</v>
      </c>
      <c r="I123" s="90"/>
      <c r="J123" s="103">
        <f t="shared" si="21"/>
        <v>-4.2797803486246733E-2</v>
      </c>
      <c r="K123" s="126">
        <f t="shared" si="22"/>
        <v>-3.8721454905959019E-2</v>
      </c>
      <c r="L123" s="56">
        <v>277456</v>
      </c>
      <c r="M123" s="103">
        <v>1.3351932844407388E-2</v>
      </c>
      <c r="N123" s="97">
        <f>INDEX('Pace of change parameters'!$E$22:$I$22,1,$B$5)</f>
        <v>9.0547645222140982E-3</v>
      </c>
      <c r="O123" s="108">
        <f>MAX(L123,IF(INDEX('Pace of change parameters'!$E$30:$I$30,1,$B$5)=1,(1+M123)*D123,D123))</f>
        <v>277456</v>
      </c>
      <c r="P123" s="94">
        <f>IF(K123&lt;INDEX('Pace of change parameters'!$E$18:$I$18,1,$B$5),1,IF(K123&gt;INDEX('Pace of change parameters'!$E$19:$I$19,1,$B$5),0,(K123-INDEX('Pace of change parameters'!$E$19:$I$19,1,$B$5))/(INDEX('Pace of change parameters'!$E$18:$I$18,1,$B$5)-INDEX('Pace of change parameters'!$E$19:$I$19,1,$B$5))))</f>
        <v>0.6236799608529402</v>
      </c>
      <c r="Q123" s="57">
        <v>5.6159012140392095E-2</v>
      </c>
      <c r="R123" s="57">
        <v>5.1680318309484496E-2</v>
      </c>
      <c r="S123" s="9">
        <f>MAX(IF(INDEX('Pace of change parameters'!$E$31:$I$31,1,$B$5)=1,D123*(1+Q123),D123),L123)</f>
        <v>282890.19492685096</v>
      </c>
      <c r="T123" s="103">
        <f>IF(Q123&lt;INDEX('Pace of change parameters'!$E$24:$I$24,1,$B$5),INDEX('Pace of change parameters'!$E$24:$I$24,1,$B$5),Q123)</f>
        <v>5.6159012140392095E-2</v>
      </c>
      <c r="U123" s="132">
        <v>5.1680318309484496E-2</v>
      </c>
      <c r="V123" s="117">
        <f t="shared" si="23"/>
        <v>282890.19492685096</v>
      </c>
      <c r="W123" s="131">
        <f>IF(J123&gt;INDEX('Pace of change parameters'!$E$26:$I$26,1,$B$5),0,IF(J123&lt;INDEX('Pace of change parameters'!$E$25:$I$25,1,$B$5),1,(J123-INDEX('Pace of change parameters'!$E$26:$I$26,1,$B$5))/(INDEX('Pace of change parameters'!$E$25:$I$25,1,$B$5)-INDEX('Pace of change parameters'!$E$26:$I$26,1,$B$5))))</f>
        <v>1</v>
      </c>
      <c r="X123" s="132">
        <f>MIN(T123, T123+(INDEX('Pace of change parameters'!$E$27:$I$27,1,$B$5)-T123)*(1-W123))</f>
        <v>5.6159012140392095E-2</v>
      </c>
      <c r="Y123" s="132">
        <v>5.1680318309484496E-2</v>
      </c>
      <c r="Z123" s="108">
        <f t="shared" si="24"/>
        <v>282890.19492685096</v>
      </c>
      <c r="AA123" s="97">
        <v>-4.5755171121753979E-2</v>
      </c>
      <c r="AB123" s="99">
        <f t="shared" si="16"/>
        <v>278600.34202990046</v>
      </c>
      <c r="AC123" s="99">
        <f>MAX(IF(INDEX('Pace of change parameters'!$E$29:$I$29,1,$B$5)=1,MAX(AB123,Z123),Z123),L123)</f>
        <v>282890.19492685096</v>
      </c>
      <c r="AD123" s="97">
        <f t="shared" si="25"/>
        <v>5.6159012140392095E-2</v>
      </c>
      <c r="AE123" s="146">
        <v>5.1680318309484496E-2</v>
      </c>
      <c r="AF123" s="56">
        <f t="shared" si="26"/>
        <v>282890.19492685096</v>
      </c>
      <c r="AG123" s="56">
        <v>1538.5613683679987</v>
      </c>
      <c r="AH123" s="16">
        <f t="shared" si="17"/>
        <v>5.6159012140392095E-2</v>
      </c>
      <c r="AI123" s="16">
        <f t="shared" si="18"/>
        <v>5.1680318309484496E-2</v>
      </c>
      <c r="AJ123" s="56"/>
      <c r="AK123" s="56">
        <v>291958.97488635761</v>
      </c>
      <c r="AL123" s="56">
        <v>1587.8839491931658</v>
      </c>
      <c r="AM123" s="16">
        <f t="shared" si="27"/>
        <v>-3.106182970753546E-2</v>
      </c>
      <c r="AN123" s="58">
        <f t="shared" si="28"/>
        <v>-3.106182970753546E-2</v>
      </c>
      <c r="AP123" s="56">
        <f t="shared" si="19"/>
        <v>0</v>
      </c>
      <c r="AQ123" s="56">
        <f t="shared" si="20"/>
        <v>0</v>
      </c>
    </row>
    <row r="124" spans="1:43" x14ac:dyDescent="0.2">
      <c r="A124" s="156" t="s">
        <v>293</v>
      </c>
      <c r="B124" s="156" t="s">
        <v>294</v>
      </c>
      <c r="D124" s="68">
        <v>828745.40848527348</v>
      </c>
      <c r="E124" s="73">
        <v>1414.0482672762651</v>
      </c>
      <c r="F124" s="55"/>
      <c r="G124" s="88">
        <v>879136.43615856266</v>
      </c>
      <c r="H124" s="81">
        <v>1485.6313298786322</v>
      </c>
      <c r="I124" s="90"/>
      <c r="J124" s="103">
        <f t="shared" si="21"/>
        <v>-5.7318779657769214E-2</v>
      </c>
      <c r="K124" s="126">
        <f t="shared" si="22"/>
        <v>-4.8183597883746265E-2</v>
      </c>
      <c r="L124" s="56">
        <v>866126</v>
      </c>
      <c r="M124" s="103">
        <v>1.8833148237663577E-2</v>
      </c>
      <c r="N124" s="97">
        <f>INDEX('Pace of change parameters'!$E$22:$I$22,1,$B$5)</f>
        <v>9.0547645222140982E-3</v>
      </c>
      <c r="O124" s="108">
        <f>MAX(L124,IF(INDEX('Pace of change parameters'!$E$30:$I$30,1,$B$5)=1,(1+M124)*D124,D124))</f>
        <v>866126</v>
      </c>
      <c r="P124" s="94">
        <f>IF(K124&lt;INDEX('Pace of change parameters'!$E$18:$I$18,1,$B$5),1,IF(K124&gt;INDEX('Pace of change parameters'!$E$19:$I$19,1,$B$5),0,(K124-INDEX('Pace of change parameters'!$E$19:$I$19,1,$B$5))/(INDEX('Pace of change parameters'!$E$18:$I$18,1,$B$5)-INDEX('Pace of change parameters'!$E$19:$I$19,1,$B$5))))</f>
        <v>0.70994254611857277</v>
      </c>
      <c r="Q124" s="57">
        <v>6.7824539985116949E-2</v>
      </c>
      <c r="R124" s="57">
        <v>5.7575955012386881E-2</v>
      </c>
      <c r="S124" s="9">
        <f>MAX(IF(INDEX('Pace of change parameters'!$E$31:$I$31,1,$B$5)=1,D124*(1+Q124),D124),L124)</f>
        <v>884954.68458056496</v>
      </c>
      <c r="T124" s="103">
        <f>IF(Q124&lt;INDEX('Pace of change parameters'!$E$24:$I$24,1,$B$5),INDEX('Pace of change parameters'!$E$24:$I$24,1,$B$5),Q124)</f>
        <v>6.7824539985116949E-2</v>
      </c>
      <c r="U124" s="132">
        <v>5.7575955012386881E-2</v>
      </c>
      <c r="V124" s="117">
        <f t="shared" si="23"/>
        <v>884954.68458056496</v>
      </c>
      <c r="W124" s="131">
        <f>IF(J124&gt;INDEX('Pace of change parameters'!$E$26:$I$26,1,$B$5),0,IF(J124&lt;INDEX('Pace of change parameters'!$E$25:$I$25,1,$B$5),1,(J124-INDEX('Pace of change parameters'!$E$26:$I$26,1,$B$5))/(INDEX('Pace of change parameters'!$E$25:$I$25,1,$B$5)-INDEX('Pace of change parameters'!$E$26:$I$26,1,$B$5))))</f>
        <v>1</v>
      </c>
      <c r="X124" s="132">
        <f>MIN(T124, T124+(INDEX('Pace of change parameters'!$E$27:$I$27,1,$B$5)-T124)*(1-W124))</f>
        <v>6.7824539985116949E-2</v>
      </c>
      <c r="Y124" s="132">
        <v>5.7575955012386881E-2</v>
      </c>
      <c r="Z124" s="108">
        <f t="shared" si="24"/>
        <v>884954.68458056496</v>
      </c>
      <c r="AA124" s="97">
        <v>-5.5147250574541062E-2</v>
      </c>
      <c r="AB124" s="99">
        <f t="shared" si="16"/>
        <v>866601.22592046834</v>
      </c>
      <c r="AC124" s="99">
        <f>MAX(IF(INDEX('Pace of change parameters'!$E$29:$I$29,1,$B$5)=1,MAX(AB124,Z124),Z124),L124)</f>
        <v>884954.68458056496</v>
      </c>
      <c r="AD124" s="97">
        <f t="shared" si="25"/>
        <v>6.7824539985116949E-2</v>
      </c>
      <c r="AE124" s="146">
        <v>5.7575955012386881E-2</v>
      </c>
      <c r="AF124" s="56">
        <f t="shared" si="26"/>
        <v>884954.68458056496</v>
      </c>
      <c r="AG124" s="56">
        <v>1495.4634466983071</v>
      </c>
      <c r="AH124" s="16">
        <f t="shared" si="17"/>
        <v>6.7824539985116949E-2</v>
      </c>
      <c r="AI124" s="16">
        <f t="shared" si="18"/>
        <v>5.7575955012386881E-2</v>
      </c>
      <c r="AJ124" s="56"/>
      <c r="AK124" s="56">
        <v>917181.25014445547</v>
      </c>
      <c r="AL124" s="56">
        <v>1549.9223378179879</v>
      </c>
      <c r="AM124" s="16">
        <f t="shared" si="27"/>
        <v>-3.5136528967218639E-2</v>
      </c>
      <c r="AN124" s="58">
        <f t="shared" si="28"/>
        <v>-3.5136528967218528E-2</v>
      </c>
      <c r="AP124" s="56">
        <f t="shared" si="19"/>
        <v>0</v>
      </c>
      <c r="AQ124" s="56">
        <f t="shared" si="20"/>
        <v>0</v>
      </c>
    </row>
    <row r="125" spans="1:43" x14ac:dyDescent="0.2">
      <c r="A125" s="156" t="s">
        <v>295</v>
      </c>
      <c r="B125" s="156" t="s">
        <v>296</v>
      </c>
      <c r="D125" s="68">
        <v>382721.53290650784</v>
      </c>
      <c r="E125" s="73">
        <v>1618.2660238498265</v>
      </c>
      <c r="F125" s="55"/>
      <c r="G125" s="88">
        <v>390035.31579245429</v>
      </c>
      <c r="H125" s="81">
        <v>1643.3301392266521</v>
      </c>
      <c r="I125" s="90"/>
      <c r="J125" s="103">
        <f t="shared" si="21"/>
        <v>-1.8751591432398018E-2</v>
      </c>
      <c r="K125" s="126">
        <f t="shared" si="22"/>
        <v>-1.5252026831699683E-2</v>
      </c>
      <c r="L125" s="56">
        <v>396371</v>
      </c>
      <c r="M125" s="103">
        <v>1.2653498852130296E-2</v>
      </c>
      <c r="N125" s="97">
        <f>INDEX('Pace of change parameters'!$E$22:$I$22,1,$B$5)</f>
        <v>9.0547645222140982E-3</v>
      </c>
      <c r="O125" s="108">
        <f>MAX(L125,IF(INDEX('Pace of change parameters'!$E$30:$I$30,1,$B$5)=1,(1+M125)*D125,D125))</f>
        <v>396371</v>
      </c>
      <c r="P125" s="94">
        <f>IF(K125&lt;INDEX('Pace of change parameters'!$E$18:$I$18,1,$B$5),1,IF(K125&gt;INDEX('Pace of change parameters'!$E$19:$I$19,1,$B$5),0,(K125-INDEX('Pace of change parameters'!$E$19:$I$19,1,$B$5))/(INDEX('Pace of change parameters'!$E$18:$I$18,1,$B$5)-INDEX('Pace of change parameters'!$E$19:$I$19,1,$B$5))))</f>
        <v>0.40971854163278038</v>
      </c>
      <c r="Q125" s="57">
        <v>4.075567764814636E-2</v>
      </c>
      <c r="R125" s="57">
        <v>3.7057074729721418E-2</v>
      </c>
      <c r="S125" s="9">
        <f>MAX(IF(INDEX('Pace of change parameters'!$E$31:$I$31,1,$B$5)=1,D125*(1+Q125),D125),L125)</f>
        <v>398319.60833064991</v>
      </c>
      <c r="T125" s="103">
        <f>IF(Q125&lt;INDEX('Pace of change parameters'!$E$24:$I$24,1,$B$5),INDEX('Pace of change parameters'!$E$24:$I$24,1,$B$5),Q125)</f>
        <v>4.075567764814636E-2</v>
      </c>
      <c r="U125" s="132">
        <v>3.7057074729721418E-2</v>
      </c>
      <c r="V125" s="117">
        <f t="shared" si="23"/>
        <v>398319.60833064991</v>
      </c>
      <c r="W125" s="131">
        <f>IF(J125&gt;INDEX('Pace of change parameters'!$E$26:$I$26,1,$B$5),0,IF(J125&lt;INDEX('Pace of change parameters'!$E$25:$I$25,1,$B$5),1,(J125-INDEX('Pace of change parameters'!$E$26:$I$26,1,$B$5))/(INDEX('Pace of change parameters'!$E$25:$I$25,1,$B$5)-INDEX('Pace of change parameters'!$E$26:$I$26,1,$B$5))))</f>
        <v>1</v>
      </c>
      <c r="X125" s="132">
        <f>MIN(T125, T125+(INDEX('Pace of change parameters'!$E$27:$I$27,1,$B$5)-T125)*(1-W125))</f>
        <v>4.075567764814636E-2</v>
      </c>
      <c r="Y125" s="132">
        <v>3.7057074729721418E-2</v>
      </c>
      <c r="Z125" s="108">
        <f t="shared" si="24"/>
        <v>398319.60833064991</v>
      </c>
      <c r="AA125" s="97">
        <v>-2.5000000000000001E-2</v>
      </c>
      <c r="AB125" s="99">
        <f t="shared" si="16"/>
        <v>396615.56699551264</v>
      </c>
      <c r="AC125" s="99">
        <f>MAX(IF(INDEX('Pace of change parameters'!$E$29:$I$29,1,$B$5)=1,MAX(AB125,Z125),Z125),L125)</f>
        <v>398319.60833064991</v>
      </c>
      <c r="AD125" s="97">
        <f t="shared" si="25"/>
        <v>4.075567764814636E-2</v>
      </c>
      <c r="AE125" s="146">
        <v>3.7057074729721418E-2</v>
      </c>
      <c r="AF125" s="56">
        <f t="shared" si="26"/>
        <v>398319.60833064991</v>
      </c>
      <c r="AG125" s="56">
        <v>1678.2342288281986</v>
      </c>
      <c r="AH125" s="16">
        <f t="shared" si="17"/>
        <v>4.075567764814636E-2</v>
      </c>
      <c r="AI125" s="16">
        <f t="shared" si="18"/>
        <v>3.7057074729721418E-2</v>
      </c>
      <c r="AJ125" s="56"/>
      <c r="AK125" s="56">
        <v>406785.19691847451</v>
      </c>
      <c r="AL125" s="56">
        <v>1713.9021704462548</v>
      </c>
      <c r="AM125" s="16">
        <f t="shared" si="27"/>
        <v>-2.0810955393544495E-2</v>
      </c>
      <c r="AN125" s="58">
        <f t="shared" si="28"/>
        <v>-2.0810955393544495E-2</v>
      </c>
      <c r="AP125" s="56">
        <f t="shared" si="19"/>
        <v>0</v>
      </c>
      <c r="AQ125" s="56">
        <f t="shared" si="20"/>
        <v>0</v>
      </c>
    </row>
    <row r="126" spans="1:43" x14ac:dyDescent="0.2">
      <c r="A126" s="156" t="s">
        <v>297</v>
      </c>
      <c r="B126" s="156" t="s">
        <v>298</v>
      </c>
      <c r="D126" s="68">
        <v>889389.70128495514</v>
      </c>
      <c r="E126" s="73">
        <v>1408.4879266528706</v>
      </c>
      <c r="F126" s="55"/>
      <c r="G126" s="88">
        <v>942200.82690073678</v>
      </c>
      <c r="H126" s="81">
        <v>1476.1353065020103</v>
      </c>
      <c r="I126" s="90"/>
      <c r="J126" s="103">
        <f t="shared" si="21"/>
        <v>-5.6050816458628971E-2</v>
      </c>
      <c r="K126" s="126">
        <f t="shared" si="22"/>
        <v>-4.5827357120427736E-2</v>
      </c>
      <c r="L126" s="56">
        <v>934639</v>
      </c>
      <c r="M126" s="103">
        <v>1.9983351076427569E-2</v>
      </c>
      <c r="N126" s="97">
        <f>INDEX('Pace of change parameters'!$E$22:$I$22,1,$B$5)</f>
        <v>9.0547645222140982E-3</v>
      </c>
      <c r="O126" s="108">
        <f>MAX(L126,IF(INDEX('Pace of change parameters'!$E$30:$I$30,1,$B$5)=1,(1+M126)*D126,D126))</f>
        <v>934639</v>
      </c>
      <c r="P126" s="94">
        <f>IF(K126&lt;INDEX('Pace of change parameters'!$E$18:$I$18,1,$B$5),1,IF(K126&gt;INDEX('Pace of change parameters'!$E$19:$I$19,1,$B$5),0,(K126-INDEX('Pace of change parameters'!$E$19:$I$19,1,$B$5))/(INDEX('Pace of change parameters'!$E$18:$I$18,1,$B$5)-INDEX('Pace of change parameters'!$E$19:$I$19,1,$B$5))))</f>
        <v>0.6884616384394906</v>
      </c>
      <c r="Q126" s="57">
        <v>6.7546033060504662E-2</v>
      </c>
      <c r="R126" s="57">
        <v>5.6107837318783327E-2</v>
      </c>
      <c r="S126" s="9">
        <f>MAX(IF(INDEX('Pace of change parameters'!$E$31:$I$31,1,$B$5)=1,D126*(1+Q126),D126),L126)</f>
        <v>949464.44745162106</v>
      </c>
      <c r="T126" s="103">
        <f>IF(Q126&lt;INDEX('Pace of change parameters'!$E$24:$I$24,1,$B$5),INDEX('Pace of change parameters'!$E$24:$I$24,1,$B$5),Q126)</f>
        <v>6.7546033060504662E-2</v>
      </c>
      <c r="U126" s="132">
        <v>5.6107837318783327E-2</v>
      </c>
      <c r="V126" s="117">
        <f t="shared" si="23"/>
        <v>949464.44745162106</v>
      </c>
      <c r="W126" s="131">
        <f>IF(J126&gt;INDEX('Pace of change parameters'!$E$26:$I$26,1,$B$5),0,IF(J126&lt;INDEX('Pace of change parameters'!$E$25:$I$25,1,$B$5),1,(J126-INDEX('Pace of change parameters'!$E$26:$I$26,1,$B$5))/(INDEX('Pace of change parameters'!$E$25:$I$25,1,$B$5)-INDEX('Pace of change parameters'!$E$26:$I$26,1,$B$5))))</f>
        <v>1</v>
      </c>
      <c r="X126" s="132">
        <f>MIN(T126, T126+(INDEX('Pace of change parameters'!$E$27:$I$27,1,$B$5)-T126)*(1-W126))</f>
        <v>6.7546033060504662E-2</v>
      </c>
      <c r="Y126" s="132">
        <v>5.6107837318783327E-2</v>
      </c>
      <c r="Z126" s="108">
        <f t="shared" si="24"/>
        <v>949464.44745162106</v>
      </c>
      <c r="AA126" s="97">
        <v>-5.2810786097432172E-2</v>
      </c>
      <c r="AB126" s="99">
        <f t="shared" si="16"/>
        <v>931299.28074088914</v>
      </c>
      <c r="AC126" s="99">
        <f>MAX(IF(INDEX('Pace of change parameters'!$E$29:$I$29,1,$B$5)=1,MAX(AB126,Z126),Z126),L126)</f>
        <v>949464.44745162106</v>
      </c>
      <c r="AD126" s="97">
        <f t="shared" si="25"/>
        <v>6.7546033060504662E-2</v>
      </c>
      <c r="AE126" s="146">
        <v>5.6107837318783327E-2</v>
      </c>
      <c r="AF126" s="56">
        <f t="shared" si="26"/>
        <v>949464.44745162106</v>
      </c>
      <c r="AG126" s="56">
        <v>1487.5151381069802</v>
      </c>
      <c r="AH126" s="16">
        <f t="shared" si="17"/>
        <v>6.7546033060504662E-2</v>
      </c>
      <c r="AI126" s="16">
        <f t="shared" si="18"/>
        <v>5.6107837318783327E-2</v>
      </c>
      <c r="AJ126" s="56"/>
      <c r="AK126" s="56">
        <v>983224.11939615558</v>
      </c>
      <c r="AL126" s="56">
        <v>1540.4060317152735</v>
      </c>
      <c r="AM126" s="16">
        <f t="shared" si="27"/>
        <v>-3.4335683267481154E-2</v>
      </c>
      <c r="AN126" s="58">
        <f t="shared" si="28"/>
        <v>-3.4335683267481265E-2</v>
      </c>
      <c r="AP126" s="56">
        <f t="shared" si="19"/>
        <v>0</v>
      </c>
      <c r="AQ126" s="56">
        <f t="shared" si="20"/>
        <v>0</v>
      </c>
    </row>
    <row r="127" spans="1:43" x14ac:dyDescent="0.2">
      <c r="A127" s="156" t="s">
        <v>299</v>
      </c>
      <c r="B127" s="156" t="s">
        <v>300</v>
      </c>
      <c r="D127" s="68">
        <v>560883.75137605518</v>
      </c>
      <c r="E127" s="73">
        <v>1403.6305543764443</v>
      </c>
      <c r="F127" s="55"/>
      <c r="G127" s="88">
        <v>585912.10373154166</v>
      </c>
      <c r="H127" s="81">
        <v>1458.7073555767722</v>
      </c>
      <c r="I127" s="90"/>
      <c r="J127" s="103">
        <f t="shared" si="21"/>
        <v>-4.2716906164058654E-2</v>
      </c>
      <c r="K127" s="126">
        <f t="shared" si="22"/>
        <v>-3.7757265698129427E-2</v>
      </c>
      <c r="L127" s="56">
        <v>587214</v>
      </c>
      <c r="M127" s="103">
        <v>1.4282631675293311E-2</v>
      </c>
      <c r="N127" s="97">
        <f>INDEX('Pace of change parameters'!$E$22:$I$22,1,$B$5)</f>
        <v>9.0547645222140982E-3</v>
      </c>
      <c r="O127" s="108">
        <f>MAX(L127,IF(INDEX('Pace of change parameters'!$E$30:$I$30,1,$B$5)=1,(1+M127)*D127,D127))</f>
        <v>587214</v>
      </c>
      <c r="P127" s="94">
        <f>IF(K127&lt;INDEX('Pace of change parameters'!$E$18:$I$18,1,$B$5),1,IF(K127&gt;INDEX('Pace of change parameters'!$E$19:$I$19,1,$B$5),0,(K127-INDEX('Pace of change parameters'!$E$19:$I$19,1,$B$5))/(INDEX('Pace of change parameters'!$E$18:$I$18,1,$B$5)-INDEX('Pace of change parameters'!$E$19:$I$19,1,$B$5))))</f>
        <v>0.61488983223748217</v>
      </c>
      <c r="Q127" s="57">
        <v>5.6525150593023321E-2</v>
      </c>
      <c r="R127" s="57">
        <v>5.1079554899380986E-2</v>
      </c>
      <c r="S127" s="9">
        <f>MAX(IF(INDEX('Pace of change parameters'!$E$31:$I$31,1,$B$5)=1,D127*(1+Q127),D127),L127)</f>
        <v>592587.78988776659</v>
      </c>
      <c r="T127" s="103">
        <f>IF(Q127&lt;INDEX('Pace of change parameters'!$E$24:$I$24,1,$B$5),INDEX('Pace of change parameters'!$E$24:$I$24,1,$B$5),Q127)</f>
        <v>5.6525150593023321E-2</v>
      </c>
      <c r="U127" s="132">
        <v>5.1079554899380986E-2</v>
      </c>
      <c r="V127" s="117">
        <f t="shared" si="23"/>
        <v>592587.78988776659</v>
      </c>
      <c r="W127" s="131">
        <f>IF(J127&gt;INDEX('Pace of change parameters'!$E$26:$I$26,1,$B$5),0,IF(J127&lt;INDEX('Pace of change parameters'!$E$25:$I$25,1,$B$5),1,(J127-INDEX('Pace of change parameters'!$E$26:$I$26,1,$B$5))/(INDEX('Pace of change parameters'!$E$25:$I$25,1,$B$5)-INDEX('Pace of change parameters'!$E$26:$I$26,1,$B$5))))</f>
        <v>1</v>
      </c>
      <c r="X127" s="132">
        <f>MIN(T127, T127+(INDEX('Pace of change parameters'!$E$27:$I$27,1,$B$5)-T127)*(1-W127))</f>
        <v>5.6525150593023321E-2</v>
      </c>
      <c r="Y127" s="132">
        <v>5.1079554899380986E-2</v>
      </c>
      <c r="Z127" s="108">
        <f t="shared" si="24"/>
        <v>592587.78988776659</v>
      </c>
      <c r="AA127" s="97">
        <v>-4.4795856280881896E-2</v>
      </c>
      <c r="AB127" s="99">
        <f t="shared" si="16"/>
        <v>583772.19050555443</v>
      </c>
      <c r="AC127" s="99">
        <f>MAX(IF(INDEX('Pace of change parameters'!$E$29:$I$29,1,$B$5)=1,MAX(AB127,Z127),Z127),L127)</f>
        <v>592587.78988776659</v>
      </c>
      <c r="AD127" s="97">
        <f t="shared" si="25"/>
        <v>5.6525150593023321E-2</v>
      </c>
      <c r="AE127" s="146">
        <v>5.1079554899380986E-2</v>
      </c>
      <c r="AF127" s="56">
        <f t="shared" si="26"/>
        <v>592587.78988776659</v>
      </c>
      <c r="AG127" s="56">
        <v>1475.3273783371642</v>
      </c>
      <c r="AH127" s="16">
        <f t="shared" si="17"/>
        <v>5.6525150593023321E-2</v>
      </c>
      <c r="AI127" s="16">
        <f t="shared" si="18"/>
        <v>5.1079554899380764E-2</v>
      </c>
      <c r="AJ127" s="56"/>
      <c r="AK127" s="56">
        <v>611149.1395259432</v>
      </c>
      <c r="AL127" s="56">
        <v>1521.5383664259955</v>
      </c>
      <c r="AM127" s="16">
        <f t="shared" si="27"/>
        <v>-3.0371227639417575E-2</v>
      </c>
      <c r="AN127" s="58">
        <f t="shared" si="28"/>
        <v>-3.0371227639417464E-2</v>
      </c>
      <c r="AP127" s="56">
        <f t="shared" si="19"/>
        <v>0</v>
      </c>
      <c r="AQ127" s="56">
        <f t="shared" si="20"/>
        <v>0</v>
      </c>
    </row>
    <row r="128" spans="1:43" x14ac:dyDescent="0.2">
      <c r="A128" s="156" t="s">
        <v>301</v>
      </c>
      <c r="B128" s="156" t="s">
        <v>302</v>
      </c>
      <c r="D128" s="68">
        <v>324084.41158366622</v>
      </c>
      <c r="E128" s="73">
        <v>1428.2005463809226</v>
      </c>
      <c r="F128" s="55"/>
      <c r="G128" s="88">
        <v>346589.3986376758</v>
      </c>
      <c r="H128" s="81">
        <v>1508.158301477232</v>
      </c>
      <c r="I128" s="90"/>
      <c r="J128" s="103">
        <f t="shared" si="21"/>
        <v>-6.4932704642637562E-2</v>
      </c>
      <c r="K128" s="126">
        <f t="shared" si="22"/>
        <v>-5.301681860451346E-2</v>
      </c>
      <c r="L128" s="56">
        <v>345931</v>
      </c>
      <c r="M128" s="103">
        <v>2.1913498476413329E-2</v>
      </c>
      <c r="N128" s="97">
        <f>INDEX('Pace of change parameters'!$E$22:$I$22,1,$B$5)</f>
        <v>9.0547645222140982E-3</v>
      </c>
      <c r="O128" s="108">
        <f>MAX(L128,IF(INDEX('Pace of change parameters'!$E$30:$I$30,1,$B$5)=1,(1+M128)*D128,D128))</f>
        <v>345931</v>
      </c>
      <c r="P128" s="94">
        <f>IF(K128&lt;INDEX('Pace of change parameters'!$E$18:$I$18,1,$B$5),1,IF(K128&gt;INDEX('Pace of change parameters'!$E$19:$I$19,1,$B$5),0,(K128-INDEX('Pace of change parameters'!$E$19:$I$19,1,$B$5))/(INDEX('Pace of change parameters'!$E$18:$I$18,1,$B$5)-INDEX('Pace of change parameters'!$E$19:$I$19,1,$B$5))))</f>
        <v>0.75400509257465076</v>
      </c>
      <c r="Q128" s="57">
        <v>7.4102852538332487E-2</v>
      </c>
      <c r="R128" s="57">
        <v>6.0587420125678415E-2</v>
      </c>
      <c r="S128" s="9">
        <f>MAX(IF(INDEX('Pace of change parameters'!$E$31:$I$31,1,$B$5)=1,D128*(1+Q128),D128),L128)</f>
        <v>348099.9909452229</v>
      </c>
      <c r="T128" s="103">
        <f>IF(Q128&lt;INDEX('Pace of change parameters'!$E$24:$I$24,1,$B$5),INDEX('Pace of change parameters'!$E$24:$I$24,1,$B$5),Q128)</f>
        <v>7.4102852538332487E-2</v>
      </c>
      <c r="U128" s="132">
        <v>6.0587420125678415E-2</v>
      </c>
      <c r="V128" s="117">
        <f t="shared" si="23"/>
        <v>348099.9909452229</v>
      </c>
      <c r="W128" s="131">
        <f>IF(J128&gt;INDEX('Pace of change parameters'!$E$26:$I$26,1,$B$5),0,IF(J128&lt;INDEX('Pace of change parameters'!$E$25:$I$25,1,$B$5),1,(J128-INDEX('Pace of change parameters'!$E$26:$I$26,1,$B$5))/(INDEX('Pace of change parameters'!$E$25:$I$25,1,$B$5)-INDEX('Pace of change parameters'!$E$26:$I$26,1,$B$5))))</f>
        <v>1</v>
      </c>
      <c r="X128" s="132">
        <f>MIN(T128, T128+(INDEX('Pace of change parameters'!$E$27:$I$27,1,$B$5)-T128)*(1-W128))</f>
        <v>7.4102852538332487E-2</v>
      </c>
      <c r="Y128" s="132">
        <v>6.0587420125678415E-2</v>
      </c>
      <c r="Z128" s="108">
        <f t="shared" si="24"/>
        <v>348099.9909452229</v>
      </c>
      <c r="AA128" s="97">
        <v>-5.9951087156467353E-2</v>
      </c>
      <c r="AB128" s="99">
        <f t="shared" si="16"/>
        <v>340098.75257512875</v>
      </c>
      <c r="AC128" s="99">
        <f>MAX(IF(INDEX('Pace of change parameters'!$E$29:$I$29,1,$B$5)=1,MAX(AB128,Z128),Z128),L128)</f>
        <v>348099.9909452229</v>
      </c>
      <c r="AD128" s="97">
        <f t="shared" si="25"/>
        <v>7.4102852538332487E-2</v>
      </c>
      <c r="AE128" s="146">
        <v>6.0587420125678415E-2</v>
      </c>
      <c r="AF128" s="56">
        <f t="shared" si="26"/>
        <v>348099.9909452229</v>
      </c>
      <c r="AG128" s="56">
        <v>1514.7315329082271</v>
      </c>
      <c r="AH128" s="16">
        <f t="shared" si="17"/>
        <v>7.4102852538332487E-2</v>
      </c>
      <c r="AI128" s="16">
        <f t="shared" si="18"/>
        <v>6.0587420125678415E-2</v>
      </c>
      <c r="AJ128" s="56"/>
      <c r="AK128" s="56">
        <v>361788.35795508954</v>
      </c>
      <c r="AL128" s="56">
        <v>1574.2954561578786</v>
      </c>
      <c r="AM128" s="16">
        <f t="shared" si="27"/>
        <v>-3.7835288805964984E-2</v>
      </c>
      <c r="AN128" s="58">
        <f t="shared" si="28"/>
        <v>-3.7835288805964762E-2</v>
      </c>
      <c r="AP128" s="56">
        <f t="shared" si="19"/>
        <v>0</v>
      </c>
      <c r="AQ128" s="56">
        <f t="shared" si="20"/>
        <v>0</v>
      </c>
    </row>
    <row r="129" spans="1:43" x14ac:dyDescent="0.2">
      <c r="A129" s="156" t="s">
        <v>303</v>
      </c>
      <c r="B129" s="156" t="s">
        <v>304</v>
      </c>
      <c r="D129" s="68">
        <v>533715.06236674753</v>
      </c>
      <c r="E129" s="73">
        <v>1393.5264659859308</v>
      </c>
      <c r="F129" s="55"/>
      <c r="G129" s="88">
        <v>552236.22497269395</v>
      </c>
      <c r="H129" s="81">
        <v>1431.8974065409197</v>
      </c>
      <c r="I129" s="90"/>
      <c r="J129" s="103">
        <f t="shared" si="21"/>
        <v>-3.3538478224354518E-2</v>
      </c>
      <c r="K129" s="126">
        <f t="shared" si="22"/>
        <v>-2.679726939912741E-2</v>
      </c>
      <c r="L129" s="56">
        <v>553334</v>
      </c>
      <c r="M129" s="103">
        <v>1.6093067372840553E-2</v>
      </c>
      <c r="N129" s="97">
        <f>INDEX('Pace of change parameters'!$E$22:$I$22,1,$B$5)</f>
        <v>9.0547645222140982E-3</v>
      </c>
      <c r="O129" s="108">
        <f>MAX(L129,IF(INDEX('Pace of change parameters'!$E$30:$I$30,1,$B$5)=1,(1+M129)*D129,D129))</f>
        <v>553334</v>
      </c>
      <c r="P129" s="94">
        <f>IF(K129&lt;INDEX('Pace of change parameters'!$E$18:$I$18,1,$B$5),1,IF(K129&gt;INDEX('Pace of change parameters'!$E$19:$I$19,1,$B$5),0,(K129-INDEX('Pace of change parameters'!$E$19:$I$19,1,$B$5))/(INDEX('Pace of change parameters'!$E$18:$I$18,1,$B$5)-INDEX('Pace of change parameters'!$E$19:$I$19,1,$B$5))))</f>
        <v>0.51497191538998455</v>
      </c>
      <c r="Q129" s="57">
        <v>5.153444052333267E-2</v>
      </c>
      <c r="R129" s="57">
        <v>4.4250641343988928E-2</v>
      </c>
      <c r="S129" s="9">
        <f>MAX(IF(INDEX('Pace of change parameters'!$E$31:$I$31,1,$B$5)=1,D129*(1+Q129),D129),L129)</f>
        <v>561219.76950469345</v>
      </c>
      <c r="T129" s="103">
        <f>IF(Q129&lt;INDEX('Pace of change parameters'!$E$24:$I$24,1,$B$5),INDEX('Pace of change parameters'!$E$24:$I$24,1,$B$5),Q129)</f>
        <v>5.153444052333267E-2</v>
      </c>
      <c r="U129" s="132">
        <v>4.4250641343988928E-2</v>
      </c>
      <c r="V129" s="117">
        <f t="shared" si="23"/>
        <v>561219.76950469345</v>
      </c>
      <c r="W129" s="131">
        <f>IF(J129&gt;INDEX('Pace of change parameters'!$E$26:$I$26,1,$B$5),0,IF(J129&lt;INDEX('Pace of change parameters'!$E$25:$I$25,1,$B$5),1,(J129-INDEX('Pace of change parameters'!$E$26:$I$26,1,$B$5))/(INDEX('Pace of change parameters'!$E$25:$I$25,1,$B$5)-INDEX('Pace of change parameters'!$E$26:$I$26,1,$B$5))))</f>
        <v>1</v>
      </c>
      <c r="X129" s="132">
        <f>MIN(T129, T129+(INDEX('Pace of change parameters'!$E$27:$I$27,1,$B$5)-T129)*(1-W129))</f>
        <v>5.153444052333267E-2</v>
      </c>
      <c r="Y129" s="132">
        <v>4.4250641343988928E-2</v>
      </c>
      <c r="Z129" s="108">
        <f t="shared" si="24"/>
        <v>561219.76950469345</v>
      </c>
      <c r="AA129" s="97">
        <v>-3.3915735788549006E-2</v>
      </c>
      <c r="AB129" s="99">
        <f t="shared" si="16"/>
        <v>556494.30806234269</v>
      </c>
      <c r="AC129" s="99">
        <f>MAX(IF(INDEX('Pace of change parameters'!$E$29:$I$29,1,$B$5)=1,MAX(AB129,Z129),Z129),L129)</f>
        <v>561219.76950469345</v>
      </c>
      <c r="AD129" s="97">
        <f t="shared" si="25"/>
        <v>5.153444052333267E-2</v>
      </c>
      <c r="AE129" s="146">
        <v>4.4250641343988928E-2</v>
      </c>
      <c r="AF129" s="56">
        <f t="shared" si="26"/>
        <v>561219.76950469345</v>
      </c>
      <c r="AG129" s="56">
        <v>1455.1909058356305</v>
      </c>
      <c r="AH129" s="16">
        <f t="shared" si="17"/>
        <v>5.153444052333267E-2</v>
      </c>
      <c r="AI129" s="16">
        <f t="shared" si="18"/>
        <v>4.4250641343988706E-2</v>
      </c>
      <c r="AJ129" s="56"/>
      <c r="AK129" s="56">
        <v>576030.81705980503</v>
      </c>
      <c r="AL129" s="56">
        <v>1493.5945809718769</v>
      </c>
      <c r="AM129" s="16">
        <f t="shared" si="27"/>
        <v>-2.5712248575016527E-2</v>
      </c>
      <c r="AN129" s="58">
        <f t="shared" si="28"/>
        <v>-2.5712248575016416E-2</v>
      </c>
      <c r="AP129" s="56">
        <f t="shared" si="19"/>
        <v>0</v>
      </c>
      <c r="AQ129" s="56">
        <f t="shared" si="20"/>
        <v>0</v>
      </c>
    </row>
    <row r="130" spans="1:43" x14ac:dyDescent="0.2">
      <c r="A130" s="156" t="s">
        <v>305</v>
      </c>
      <c r="B130" s="156" t="s">
        <v>306</v>
      </c>
      <c r="D130" s="68">
        <v>531517.80918450188</v>
      </c>
      <c r="E130" s="73">
        <v>1569.269359631129</v>
      </c>
      <c r="F130" s="55"/>
      <c r="G130" s="88">
        <v>552659.61894005327</v>
      </c>
      <c r="H130" s="81">
        <v>1617.4478533333772</v>
      </c>
      <c r="I130" s="90"/>
      <c r="J130" s="103">
        <f t="shared" si="21"/>
        <v>-3.8254667124222541E-2</v>
      </c>
      <c r="K130" s="126">
        <f t="shared" si="22"/>
        <v>-2.9786736928153701E-2</v>
      </c>
      <c r="L130" s="56">
        <v>551104</v>
      </c>
      <c r="M130" s="103">
        <v>1.793924258298607E-2</v>
      </c>
      <c r="N130" s="97">
        <f>INDEX('Pace of change parameters'!$E$22:$I$22,1,$B$5)</f>
        <v>9.0547645222140982E-3</v>
      </c>
      <c r="O130" s="108">
        <f>MAX(L130,IF(INDEX('Pace of change parameters'!$E$30:$I$30,1,$B$5)=1,(1+M130)*D130,D130))</f>
        <v>551104</v>
      </c>
      <c r="P130" s="94">
        <f>IF(K130&lt;INDEX('Pace of change parameters'!$E$18:$I$18,1,$B$5),1,IF(K130&gt;INDEX('Pace of change parameters'!$E$19:$I$19,1,$B$5),0,(K130-INDEX('Pace of change parameters'!$E$19:$I$19,1,$B$5))/(INDEX('Pace of change parameters'!$E$18:$I$18,1,$B$5)-INDEX('Pace of change parameters'!$E$19:$I$19,1,$B$5))))</f>
        <v>0.54222569904415807</v>
      </c>
      <c r="Q130" s="57">
        <v>5.5324076988167992E-2</v>
      </c>
      <c r="R130" s="57">
        <v>4.6113307605494036E-2</v>
      </c>
      <c r="S130" s="9">
        <f>MAX(IF(INDEX('Pace of change parameters'!$E$31:$I$31,1,$B$5)=1,D130*(1+Q130),D130),L130)</f>
        <v>560923.54138040764</v>
      </c>
      <c r="T130" s="103">
        <f>IF(Q130&lt;INDEX('Pace of change parameters'!$E$24:$I$24,1,$B$5),INDEX('Pace of change parameters'!$E$24:$I$24,1,$B$5),Q130)</f>
        <v>5.5324076988167992E-2</v>
      </c>
      <c r="U130" s="132">
        <v>4.6113307605494036E-2</v>
      </c>
      <c r="V130" s="117">
        <f t="shared" si="23"/>
        <v>560923.54138040764</v>
      </c>
      <c r="W130" s="131">
        <f>IF(J130&gt;INDEX('Pace of change parameters'!$E$26:$I$26,1,$B$5),0,IF(J130&lt;INDEX('Pace of change parameters'!$E$25:$I$25,1,$B$5),1,(J130-INDEX('Pace of change parameters'!$E$26:$I$26,1,$B$5))/(INDEX('Pace of change parameters'!$E$25:$I$25,1,$B$5)-INDEX('Pace of change parameters'!$E$26:$I$26,1,$B$5))))</f>
        <v>1</v>
      </c>
      <c r="X130" s="132">
        <f>MIN(T130, T130+(INDEX('Pace of change parameters'!$E$27:$I$27,1,$B$5)-T130)*(1-W130))</f>
        <v>5.5324076988167992E-2</v>
      </c>
      <c r="Y130" s="132">
        <v>4.6113307605494036E-2</v>
      </c>
      <c r="Z130" s="108">
        <f t="shared" si="24"/>
        <v>560923.54138040764</v>
      </c>
      <c r="AA130" s="97">
        <v>-3.6880068566903512E-2</v>
      </c>
      <c r="AB130" s="99">
        <f t="shared" si="16"/>
        <v>555026.52780154615</v>
      </c>
      <c r="AC130" s="99">
        <f>MAX(IF(INDEX('Pace of change parameters'!$E$29:$I$29,1,$B$5)=1,MAX(AB130,Z130),Z130),L130)</f>
        <v>560923.54138040764</v>
      </c>
      <c r="AD130" s="97">
        <f t="shared" si="25"/>
        <v>5.5324076988167992E-2</v>
      </c>
      <c r="AE130" s="146">
        <v>4.6113307605494036E-2</v>
      </c>
      <c r="AF130" s="56">
        <f t="shared" si="26"/>
        <v>560923.54138040764</v>
      </c>
      <c r="AG130" s="56">
        <v>1641.6335603276759</v>
      </c>
      <c r="AH130" s="16">
        <f t="shared" si="17"/>
        <v>5.5324076988167992E-2</v>
      </c>
      <c r="AI130" s="16">
        <f t="shared" si="18"/>
        <v>4.6113307605494036E-2</v>
      </c>
      <c r="AJ130" s="56"/>
      <c r="AK130" s="56">
        <v>576279.765050321</v>
      </c>
      <c r="AL130" s="56">
        <v>1686.5760351512301</v>
      </c>
      <c r="AM130" s="16">
        <f t="shared" si="27"/>
        <v>-2.6647167922983495E-2</v>
      </c>
      <c r="AN130" s="58">
        <f t="shared" si="28"/>
        <v>-2.6647167922983273E-2</v>
      </c>
      <c r="AP130" s="56">
        <f t="shared" si="19"/>
        <v>0</v>
      </c>
      <c r="AQ130" s="56">
        <f t="shared" si="20"/>
        <v>0</v>
      </c>
    </row>
    <row r="131" spans="1:43" x14ac:dyDescent="0.2">
      <c r="A131" s="156" t="s">
        <v>307</v>
      </c>
      <c r="B131" s="156" t="s">
        <v>308</v>
      </c>
      <c r="D131" s="68">
        <v>284934.27544274414</v>
      </c>
      <c r="E131" s="73">
        <v>1663.6069212829902</v>
      </c>
      <c r="F131" s="55"/>
      <c r="G131" s="88">
        <v>278811.69354026718</v>
      </c>
      <c r="H131" s="81">
        <v>1620.4977659375156</v>
      </c>
      <c r="I131" s="90"/>
      <c r="J131" s="103">
        <f t="shared" si="21"/>
        <v>2.1959559244930649E-2</v>
      </c>
      <c r="K131" s="126">
        <f t="shared" si="22"/>
        <v>2.6602415783359312E-2</v>
      </c>
      <c r="L131" s="56">
        <v>295227</v>
      </c>
      <c r="M131" s="103">
        <v>1.363899338793928E-2</v>
      </c>
      <c r="N131" s="97">
        <f>INDEX('Pace of change parameters'!$E$22:$I$22,1,$B$5)</f>
        <v>9.0547645222140982E-3</v>
      </c>
      <c r="O131" s="108">
        <f>MAX(L131,IF(INDEX('Pace of change parameters'!$E$30:$I$30,1,$B$5)=1,(1+M131)*D131,D131))</f>
        <v>295227</v>
      </c>
      <c r="P131" s="94">
        <f>IF(K131&lt;INDEX('Pace of change parameters'!$E$18:$I$18,1,$B$5),1,IF(K131&gt;INDEX('Pace of change parameters'!$E$19:$I$19,1,$B$5),0,(K131-INDEX('Pace of change parameters'!$E$19:$I$19,1,$B$5))/(INDEX('Pace of change parameters'!$E$18:$I$18,1,$B$5)-INDEX('Pace of change parameters'!$E$19:$I$19,1,$B$5))))</f>
        <v>2.8148274379074561E-2</v>
      </c>
      <c r="Q131" s="57">
        <v>1.5571533831514994E-2</v>
      </c>
      <c r="R131" s="57">
        <v>1.0978564962945248E-2</v>
      </c>
      <c r="S131" s="9">
        <f>MAX(IF(INDEX('Pace of change parameters'!$E$31:$I$31,1,$B$5)=1,D131*(1+Q131),D131),L131)</f>
        <v>295227</v>
      </c>
      <c r="T131" s="103">
        <f>IF(Q131&lt;INDEX('Pace of change parameters'!$E$24:$I$24,1,$B$5),INDEX('Pace of change parameters'!$E$24:$I$24,1,$B$5),Q131)</f>
        <v>3.0386941478720321E-2</v>
      </c>
      <c r="U131" s="132">
        <v>2.5726969249154408E-2</v>
      </c>
      <c r="V131" s="117">
        <f t="shared" si="23"/>
        <v>295227</v>
      </c>
      <c r="W131" s="131">
        <f>IF(J131&gt;INDEX('Pace of change parameters'!$E$26:$I$26,1,$B$5),0,IF(J131&lt;INDEX('Pace of change parameters'!$E$25:$I$25,1,$B$5),1,(J131-INDEX('Pace of change parameters'!$E$26:$I$26,1,$B$5))/(INDEX('Pace of change parameters'!$E$25:$I$25,1,$B$5)-INDEX('Pace of change parameters'!$E$26:$I$26,1,$B$5))))</f>
        <v>1</v>
      </c>
      <c r="X131" s="132">
        <f>MIN(T131, T131+(INDEX('Pace of change parameters'!$E$27:$I$27,1,$B$5)-T131)*(1-W131))</f>
        <v>3.0386941478720321E-2</v>
      </c>
      <c r="Y131" s="132">
        <v>2.5726969249154408E-2</v>
      </c>
      <c r="Z131" s="108">
        <f t="shared" si="24"/>
        <v>295227</v>
      </c>
      <c r="AA131" s="97">
        <v>-2.5000000000000001E-2</v>
      </c>
      <c r="AB131" s="99">
        <f t="shared" si="16"/>
        <v>283742.02731304243</v>
      </c>
      <c r="AC131" s="99">
        <f>MAX(IF(INDEX('Pace of change parameters'!$E$29:$I$29,1,$B$5)=1,MAX(AB131,Z131),Z131),L131)</f>
        <v>295227</v>
      </c>
      <c r="AD131" s="97">
        <f t="shared" si="25"/>
        <v>3.6123153457977342E-2</v>
      </c>
      <c r="AE131" s="146">
        <v>3.1437238946487644E-2</v>
      </c>
      <c r="AF131" s="56">
        <f t="shared" si="26"/>
        <v>295227</v>
      </c>
      <c r="AG131" s="56">
        <v>1715.9061295803945</v>
      </c>
      <c r="AH131" s="16">
        <f t="shared" si="17"/>
        <v>3.6123153457977342E-2</v>
      </c>
      <c r="AI131" s="16">
        <f t="shared" si="18"/>
        <v>3.1437238946487867E-2</v>
      </c>
      <c r="AJ131" s="56"/>
      <c r="AK131" s="56">
        <v>291017.46391081274</v>
      </c>
      <c r="AL131" s="56">
        <v>1691.4396384460256</v>
      </c>
      <c r="AM131" s="16">
        <f t="shared" si="27"/>
        <v>1.4464891668760194E-2</v>
      </c>
      <c r="AN131" s="58">
        <f t="shared" si="28"/>
        <v>1.4464891668760416E-2</v>
      </c>
      <c r="AP131" s="56">
        <f t="shared" si="19"/>
        <v>1</v>
      </c>
      <c r="AQ131" s="56">
        <f t="shared" si="20"/>
        <v>0</v>
      </c>
    </row>
    <row r="132" spans="1:43" x14ac:dyDescent="0.2">
      <c r="A132" s="156" t="s">
        <v>309</v>
      </c>
      <c r="B132" s="156" t="s">
        <v>310</v>
      </c>
      <c r="D132" s="68">
        <v>301313.84032279253</v>
      </c>
      <c r="E132" s="73">
        <v>1396.3484376852755</v>
      </c>
      <c r="F132" s="55"/>
      <c r="G132" s="88">
        <v>304278.10368452279</v>
      </c>
      <c r="H132" s="81">
        <v>1399.35259588705</v>
      </c>
      <c r="I132" s="90"/>
      <c r="J132" s="103">
        <f t="shared" si="21"/>
        <v>-9.74195423803359E-3</v>
      </c>
      <c r="K132" s="126">
        <f t="shared" si="22"/>
        <v>-2.1468200442149588E-3</v>
      </c>
      <c r="L132" s="56">
        <v>312375</v>
      </c>
      <c r="M132" s="103">
        <v>1.6794066796260498E-2</v>
      </c>
      <c r="N132" s="97">
        <f>INDEX('Pace of change parameters'!$E$22:$I$22,1,$B$5)</f>
        <v>9.0547645222140982E-3</v>
      </c>
      <c r="O132" s="108">
        <f>MAX(L132,IF(INDEX('Pace of change parameters'!$E$30:$I$30,1,$B$5)=1,(1+M132)*D132,D132))</f>
        <v>312375</v>
      </c>
      <c r="P132" s="94">
        <f>IF(K132&lt;INDEX('Pace of change parameters'!$E$18:$I$18,1,$B$5),1,IF(K132&gt;INDEX('Pace of change parameters'!$E$19:$I$19,1,$B$5),0,(K132-INDEX('Pace of change parameters'!$E$19:$I$19,1,$B$5))/(INDEX('Pace of change parameters'!$E$18:$I$18,1,$B$5)-INDEX('Pace of change parameters'!$E$19:$I$19,1,$B$5))))</f>
        <v>0.29024359599065508</v>
      </c>
      <c r="Q132" s="57">
        <v>3.6782978807418765E-2</v>
      </c>
      <c r="R132" s="57">
        <v>2.889153143611467E-2</v>
      </c>
      <c r="S132" s="9">
        <f>MAX(IF(INDEX('Pace of change parameters'!$E$31:$I$31,1,$B$5)=1,D132*(1+Q132),D132),L132)</f>
        <v>312397.06092576776</v>
      </c>
      <c r="T132" s="103">
        <f>IF(Q132&lt;INDEX('Pace of change parameters'!$E$24:$I$24,1,$B$5),INDEX('Pace of change parameters'!$E$24:$I$24,1,$B$5),Q132)</f>
        <v>3.6782978807418765E-2</v>
      </c>
      <c r="U132" s="132">
        <v>2.889153143611467E-2</v>
      </c>
      <c r="V132" s="117">
        <f t="shared" si="23"/>
        <v>312397.06092576776</v>
      </c>
      <c r="W132" s="131">
        <f>IF(J132&gt;INDEX('Pace of change parameters'!$E$26:$I$26,1,$B$5),0,IF(J132&lt;INDEX('Pace of change parameters'!$E$25:$I$25,1,$B$5),1,(J132-INDEX('Pace of change parameters'!$E$26:$I$26,1,$B$5))/(INDEX('Pace of change parameters'!$E$25:$I$25,1,$B$5)-INDEX('Pace of change parameters'!$E$26:$I$26,1,$B$5))))</f>
        <v>1</v>
      </c>
      <c r="X132" s="132">
        <f>MIN(T132, T132+(INDEX('Pace of change parameters'!$E$27:$I$27,1,$B$5)-T132)*(1-W132))</f>
        <v>3.6782978807418765E-2</v>
      </c>
      <c r="Y132" s="132">
        <v>2.889153143611467E-2</v>
      </c>
      <c r="Z132" s="108">
        <f t="shared" si="24"/>
        <v>312397.06092576776</v>
      </c>
      <c r="AA132" s="97">
        <v>-2.5000000000000001E-2</v>
      </c>
      <c r="AB132" s="99">
        <f t="shared" si="16"/>
        <v>309641.18005566113</v>
      </c>
      <c r="AC132" s="99">
        <f>MAX(IF(INDEX('Pace of change parameters'!$E$29:$I$29,1,$B$5)=1,MAX(AB132,Z132),Z132),L132)</f>
        <v>312397.06092576776</v>
      </c>
      <c r="AD132" s="97">
        <f t="shared" si="25"/>
        <v>3.6782978807418765E-2</v>
      </c>
      <c r="AE132" s="146">
        <v>2.889153143611467E-2</v>
      </c>
      <c r="AF132" s="56">
        <f t="shared" si="26"/>
        <v>312397.06092576776</v>
      </c>
      <c r="AG132" s="56">
        <v>1436.6910824684294</v>
      </c>
      <c r="AH132" s="16">
        <f t="shared" si="17"/>
        <v>3.6782978807418765E-2</v>
      </c>
      <c r="AI132" s="16">
        <f t="shared" si="18"/>
        <v>2.8891531436114892E-2</v>
      </c>
      <c r="AJ132" s="56"/>
      <c r="AK132" s="56">
        <v>317580.69749298575</v>
      </c>
      <c r="AL132" s="56">
        <v>1460.5302453875995</v>
      </c>
      <c r="AM132" s="16">
        <f t="shared" si="27"/>
        <v>-1.6322265830820748E-2</v>
      </c>
      <c r="AN132" s="58">
        <f t="shared" si="28"/>
        <v>-1.6322265830820637E-2</v>
      </c>
      <c r="AP132" s="56">
        <f t="shared" si="19"/>
        <v>0</v>
      </c>
      <c r="AQ132" s="56">
        <f t="shared" si="20"/>
        <v>0</v>
      </c>
    </row>
    <row r="133" spans="1:43" x14ac:dyDescent="0.2">
      <c r="A133" s="156" t="s">
        <v>311</v>
      </c>
      <c r="B133" s="156" t="s">
        <v>312</v>
      </c>
      <c r="D133" s="68">
        <v>333182.79780963069</v>
      </c>
      <c r="E133" s="73">
        <v>1426.4305619948398</v>
      </c>
      <c r="F133" s="55"/>
      <c r="G133" s="88">
        <v>337985.65513042139</v>
      </c>
      <c r="H133" s="81">
        <v>1433.1919378425723</v>
      </c>
      <c r="I133" s="90"/>
      <c r="J133" s="103">
        <f t="shared" si="21"/>
        <v>-1.4210240132639274E-2</v>
      </c>
      <c r="K133" s="126">
        <f t="shared" si="22"/>
        <v>-4.7177043557129483E-3</v>
      </c>
      <c r="L133" s="56">
        <v>345458</v>
      </c>
      <c r="M133" s="103">
        <v>1.8771327670926263E-2</v>
      </c>
      <c r="N133" s="97">
        <f>INDEX('Pace of change parameters'!$E$22:$I$22,1,$B$5)</f>
        <v>9.0547645222140982E-3</v>
      </c>
      <c r="O133" s="108">
        <f>MAX(L133,IF(INDEX('Pace of change parameters'!$E$30:$I$30,1,$B$5)=1,(1+M133)*D133,D133))</f>
        <v>345458</v>
      </c>
      <c r="P133" s="94">
        <f>IF(K133&lt;INDEX('Pace of change parameters'!$E$18:$I$18,1,$B$5),1,IF(K133&gt;INDEX('Pace of change parameters'!$E$19:$I$19,1,$B$5),0,(K133-INDEX('Pace of change parameters'!$E$19:$I$19,1,$B$5))/(INDEX('Pace of change parameters'!$E$18:$I$18,1,$B$5)-INDEX('Pace of change parameters'!$E$19:$I$19,1,$B$5))))</f>
        <v>0.31368132332676585</v>
      </c>
      <c r="Q133" s="57">
        <v>4.0416392051826566E-2</v>
      </c>
      <c r="R133" s="57">
        <v>3.0493388429965407E-2</v>
      </c>
      <c r="S133" s="9">
        <f>MAX(IF(INDEX('Pace of change parameters'!$E$31:$I$31,1,$B$5)=1,D133*(1+Q133),D133),L133)</f>
        <v>346648.84439082921</v>
      </c>
      <c r="T133" s="103">
        <f>IF(Q133&lt;INDEX('Pace of change parameters'!$E$24:$I$24,1,$B$5),INDEX('Pace of change parameters'!$E$24:$I$24,1,$B$5),Q133)</f>
        <v>4.0416392051826566E-2</v>
      </c>
      <c r="U133" s="132">
        <v>3.0493388429965407E-2</v>
      </c>
      <c r="V133" s="117">
        <f t="shared" si="23"/>
        <v>346648.84439082921</v>
      </c>
      <c r="W133" s="131">
        <f>IF(J133&gt;INDEX('Pace of change parameters'!$E$26:$I$26,1,$B$5),0,IF(J133&lt;INDEX('Pace of change parameters'!$E$25:$I$25,1,$B$5),1,(J133-INDEX('Pace of change parameters'!$E$26:$I$26,1,$B$5))/(INDEX('Pace of change parameters'!$E$25:$I$25,1,$B$5)-INDEX('Pace of change parameters'!$E$26:$I$26,1,$B$5))))</f>
        <v>1</v>
      </c>
      <c r="X133" s="132">
        <f>MIN(T133, T133+(INDEX('Pace of change parameters'!$E$27:$I$27,1,$B$5)-T133)*(1-W133))</f>
        <v>4.0416392051826566E-2</v>
      </c>
      <c r="Y133" s="132">
        <v>3.0493388429965407E-2</v>
      </c>
      <c r="Z133" s="108">
        <f t="shared" si="24"/>
        <v>346648.84439082921</v>
      </c>
      <c r="AA133" s="97">
        <v>-2.5000000000000001E-2</v>
      </c>
      <c r="AB133" s="99">
        <f t="shared" si="16"/>
        <v>343955.72792161477</v>
      </c>
      <c r="AC133" s="99">
        <f>MAX(IF(INDEX('Pace of change parameters'!$E$29:$I$29,1,$B$5)=1,MAX(AB133,Z133),Z133),L133)</f>
        <v>346648.84439082921</v>
      </c>
      <c r="AD133" s="97">
        <f t="shared" si="25"/>
        <v>4.0416392051826566E-2</v>
      </c>
      <c r="AE133" s="146">
        <v>3.0493388429965407E-2</v>
      </c>
      <c r="AF133" s="56">
        <f t="shared" si="26"/>
        <v>346648.84439082921</v>
      </c>
      <c r="AG133" s="56">
        <v>1469.9272631901224</v>
      </c>
      <c r="AH133" s="16">
        <f t="shared" si="17"/>
        <v>4.0416392051826566E-2</v>
      </c>
      <c r="AI133" s="16">
        <f t="shared" si="18"/>
        <v>3.0493388429965407E-2</v>
      </c>
      <c r="AJ133" s="56"/>
      <c r="AK133" s="56">
        <v>352775.10556063056</v>
      </c>
      <c r="AL133" s="56">
        <v>1495.905016933219</v>
      </c>
      <c r="AM133" s="16">
        <f t="shared" si="27"/>
        <v>-1.7365911237034348E-2</v>
      </c>
      <c r="AN133" s="58">
        <f t="shared" si="28"/>
        <v>-1.7365911237034348E-2</v>
      </c>
      <c r="AP133" s="56">
        <f t="shared" si="19"/>
        <v>0</v>
      </c>
      <c r="AQ133" s="56">
        <f t="shared" si="20"/>
        <v>0</v>
      </c>
    </row>
    <row r="134" spans="1:43" x14ac:dyDescent="0.2">
      <c r="A134" s="156" t="s">
        <v>313</v>
      </c>
      <c r="B134" s="156" t="s">
        <v>314</v>
      </c>
      <c r="D134" s="68">
        <v>288758.22878396342</v>
      </c>
      <c r="E134" s="73">
        <v>1558.3114525691219</v>
      </c>
      <c r="F134" s="55"/>
      <c r="G134" s="88">
        <v>295572.90851926053</v>
      </c>
      <c r="H134" s="81">
        <v>1583.4651993785776</v>
      </c>
      <c r="I134" s="90"/>
      <c r="J134" s="103">
        <f t="shared" si="21"/>
        <v>-2.3055833396358194E-2</v>
      </c>
      <c r="K134" s="126">
        <f t="shared" si="22"/>
        <v>-1.588525394768836E-2</v>
      </c>
      <c r="L134" s="56">
        <v>299394</v>
      </c>
      <c r="M134" s="103">
        <v>1.6461029490477008E-2</v>
      </c>
      <c r="N134" s="97">
        <f>INDEX('Pace of change parameters'!$E$22:$I$22,1,$B$5)</f>
        <v>9.0547645222140982E-3</v>
      </c>
      <c r="O134" s="108">
        <f>MAX(L134,IF(INDEX('Pace of change parameters'!$E$30:$I$30,1,$B$5)=1,(1+M134)*D134,D134))</f>
        <v>299394</v>
      </c>
      <c r="P134" s="94">
        <f>IF(K134&lt;INDEX('Pace of change parameters'!$E$18:$I$18,1,$B$5),1,IF(K134&gt;INDEX('Pace of change parameters'!$E$19:$I$19,1,$B$5),0,(K134-INDEX('Pace of change parameters'!$E$19:$I$19,1,$B$5))/(INDEX('Pace of change parameters'!$E$18:$I$18,1,$B$5)-INDEX('Pace of change parameters'!$E$19:$I$19,1,$B$5))))</f>
        <v>0.41549142080124313</v>
      </c>
      <c r="Q134" s="57">
        <v>4.5066315885075703E-2</v>
      </c>
      <c r="R134" s="57">
        <v>3.7451623515874832E-2</v>
      </c>
      <c r="S134" s="9">
        <f>MAX(IF(INDEX('Pace of change parameters'!$E$31:$I$31,1,$B$5)=1,D134*(1+Q134),D134),L134)</f>
        <v>301771.49833675649</v>
      </c>
      <c r="T134" s="103">
        <f>IF(Q134&lt;INDEX('Pace of change parameters'!$E$24:$I$24,1,$B$5),INDEX('Pace of change parameters'!$E$24:$I$24,1,$B$5),Q134)</f>
        <v>4.5066315885075703E-2</v>
      </c>
      <c r="U134" s="132">
        <v>3.7451623515874832E-2</v>
      </c>
      <c r="V134" s="117">
        <f t="shared" si="23"/>
        <v>301771.49833675649</v>
      </c>
      <c r="W134" s="131">
        <f>IF(J134&gt;INDEX('Pace of change parameters'!$E$26:$I$26,1,$B$5),0,IF(J134&lt;INDEX('Pace of change parameters'!$E$25:$I$25,1,$B$5),1,(J134-INDEX('Pace of change parameters'!$E$26:$I$26,1,$B$5))/(INDEX('Pace of change parameters'!$E$25:$I$25,1,$B$5)-INDEX('Pace of change parameters'!$E$26:$I$26,1,$B$5))))</f>
        <v>1</v>
      </c>
      <c r="X134" s="132">
        <f>MIN(T134, T134+(INDEX('Pace of change parameters'!$E$27:$I$27,1,$B$5)-T134)*(1-W134))</f>
        <v>4.5066315885075703E-2</v>
      </c>
      <c r="Y134" s="132">
        <v>3.7451623515874832E-2</v>
      </c>
      <c r="Z134" s="108">
        <f t="shared" si="24"/>
        <v>301771.49833675649</v>
      </c>
      <c r="AA134" s="97">
        <v>-2.5000000000000001E-2</v>
      </c>
      <c r="AB134" s="99">
        <f t="shared" si="16"/>
        <v>300593.4057487424</v>
      </c>
      <c r="AC134" s="99">
        <f>MAX(IF(INDEX('Pace of change parameters'!$E$29:$I$29,1,$B$5)=1,MAX(AB134,Z134),Z134),L134)</f>
        <v>301771.49833675649</v>
      </c>
      <c r="AD134" s="97">
        <f t="shared" si="25"/>
        <v>4.5066315885075703E-2</v>
      </c>
      <c r="AE134" s="146">
        <v>3.7451623515874832E-2</v>
      </c>
      <c r="AF134" s="56">
        <f t="shared" si="26"/>
        <v>301771.49833675649</v>
      </c>
      <c r="AG134" s="56">
        <v>1616.6727464112166</v>
      </c>
      <c r="AH134" s="16">
        <f t="shared" si="17"/>
        <v>4.5066315885075703E-2</v>
      </c>
      <c r="AI134" s="16">
        <f t="shared" si="18"/>
        <v>3.7451623515874832E-2</v>
      </c>
      <c r="AJ134" s="56"/>
      <c r="AK134" s="56">
        <v>308300.92897306912</v>
      </c>
      <c r="AL134" s="56">
        <v>1651.6526985189846</v>
      </c>
      <c r="AM134" s="16">
        <f t="shared" si="27"/>
        <v>-2.1178757579686014E-2</v>
      </c>
      <c r="AN134" s="58">
        <f t="shared" si="28"/>
        <v>-2.1178757579686125E-2</v>
      </c>
      <c r="AP134" s="56">
        <f t="shared" si="19"/>
        <v>0</v>
      </c>
      <c r="AQ134" s="56">
        <f t="shared" si="20"/>
        <v>0</v>
      </c>
    </row>
    <row r="135" spans="1:43" x14ac:dyDescent="0.2">
      <c r="A135" s="156" t="s">
        <v>315</v>
      </c>
      <c r="B135" s="156" t="s">
        <v>316</v>
      </c>
      <c r="D135" s="68">
        <v>245133.71832692999</v>
      </c>
      <c r="E135" s="73">
        <v>1437.3213465158399</v>
      </c>
      <c r="F135" s="55"/>
      <c r="G135" s="88">
        <v>251555.50786996834</v>
      </c>
      <c r="H135" s="81">
        <v>1459.7818369199749</v>
      </c>
      <c r="I135" s="90"/>
      <c r="J135" s="103">
        <f t="shared" si="21"/>
        <v>-2.5528320160486562E-2</v>
      </c>
      <c r="K135" s="126">
        <f t="shared" si="22"/>
        <v>-1.5386196646702266E-2</v>
      </c>
      <c r="L135" s="56">
        <v>254360</v>
      </c>
      <c r="M135" s="103">
        <v>1.9556822473905555E-2</v>
      </c>
      <c r="N135" s="97">
        <f>INDEX('Pace of change parameters'!$E$22:$I$22,1,$B$5)</f>
        <v>9.0547645222140982E-3</v>
      </c>
      <c r="O135" s="108">
        <f>MAX(L135,IF(INDEX('Pace of change parameters'!$E$30:$I$30,1,$B$5)=1,(1+M135)*D135,D135))</f>
        <v>254360</v>
      </c>
      <c r="P135" s="94">
        <f>IF(K135&lt;INDEX('Pace of change parameters'!$E$18:$I$18,1,$B$5),1,IF(K135&gt;INDEX('Pace of change parameters'!$E$19:$I$19,1,$B$5),0,(K135-INDEX('Pace of change parameters'!$E$19:$I$19,1,$B$5))/(INDEX('Pace of change parameters'!$E$18:$I$18,1,$B$5)-INDEX('Pace of change parameters'!$E$19:$I$19,1,$B$5))))</f>
        <v>0.41094171434681614</v>
      </c>
      <c r="Q135" s="57">
        <v>4.7935043719014248E-2</v>
      </c>
      <c r="R135" s="57">
        <v>3.7140672756892368E-2</v>
      </c>
      <c r="S135" s="9">
        <f>MAX(IF(INDEX('Pace of change parameters'!$E$31:$I$31,1,$B$5)=1,D135*(1+Q135),D135),L135)</f>
        <v>256884.21383193589</v>
      </c>
      <c r="T135" s="103">
        <f>IF(Q135&lt;INDEX('Pace of change parameters'!$E$24:$I$24,1,$B$5),INDEX('Pace of change parameters'!$E$24:$I$24,1,$B$5),Q135)</f>
        <v>4.7935043719014248E-2</v>
      </c>
      <c r="U135" s="132">
        <v>3.7140672756892368E-2</v>
      </c>
      <c r="V135" s="117">
        <f t="shared" si="23"/>
        <v>256884.21383193589</v>
      </c>
      <c r="W135" s="131">
        <f>IF(J135&gt;INDEX('Pace of change parameters'!$E$26:$I$26,1,$B$5),0,IF(J135&lt;INDEX('Pace of change parameters'!$E$25:$I$25,1,$B$5),1,(J135-INDEX('Pace of change parameters'!$E$26:$I$26,1,$B$5))/(INDEX('Pace of change parameters'!$E$25:$I$25,1,$B$5)-INDEX('Pace of change parameters'!$E$26:$I$26,1,$B$5))))</f>
        <v>1</v>
      </c>
      <c r="X135" s="132">
        <f>MIN(T135, T135+(INDEX('Pace of change parameters'!$E$27:$I$27,1,$B$5)-T135)*(1-W135))</f>
        <v>4.7935043719014248E-2</v>
      </c>
      <c r="Y135" s="132">
        <v>3.7140672756892368E-2</v>
      </c>
      <c r="Z135" s="108">
        <f t="shared" si="24"/>
        <v>256884.21383193589</v>
      </c>
      <c r="AA135" s="97">
        <v>-2.5000000000000001E-2</v>
      </c>
      <c r="AB135" s="99">
        <f t="shared" si="16"/>
        <v>255911.74710113058</v>
      </c>
      <c r="AC135" s="99">
        <f>MAX(IF(INDEX('Pace of change parameters'!$E$29:$I$29,1,$B$5)=1,MAX(AB135,Z135),Z135),L135)</f>
        <v>256884.21383193589</v>
      </c>
      <c r="AD135" s="97">
        <f t="shared" si="25"/>
        <v>4.7935043719014248E-2</v>
      </c>
      <c r="AE135" s="146">
        <v>3.7140672756892368E-2</v>
      </c>
      <c r="AF135" s="56">
        <f t="shared" si="26"/>
        <v>256884.21383193589</v>
      </c>
      <c r="AG135" s="56">
        <v>1490.7044282932807</v>
      </c>
      <c r="AH135" s="16">
        <f t="shared" si="17"/>
        <v>4.7935043719014248E-2</v>
      </c>
      <c r="AI135" s="16">
        <f t="shared" si="18"/>
        <v>3.7140672756892368E-2</v>
      </c>
      <c r="AJ135" s="56"/>
      <c r="AK135" s="56">
        <v>262473.58677039034</v>
      </c>
      <c r="AL135" s="56">
        <v>1523.1396755451335</v>
      </c>
      <c r="AM135" s="16">
        <f t="shared" si="27"/>
        <v>-2.1294992030356119E-2</v>
      </c>
      <c r="AN135" s="58">
        <f t="shared" si="28"/>
        <v>-2.1294992030356119E-2</v>
      </c>
      <c r="AP135" s="56">
        <f t="shared" si="19"/>
        <v>0</v>
      </c>
      <c r="AQ135" s="56">
        <f t="shared" si="20"/>
        <v>0</v>
      </c>
    </row>
    <row r="136" spans="1:43" x14ac:dyDescent="0.2">
      <c r="A136" s="156" t="s">
        <v>317</v>
      </c>
      <c r="B136" s="156" t="s">
        <v>318</v>
      </c>
      <c r="D136" s="68">
        <v>446065.50458831212</v>
      </c>
      <c r="E136" s="73">
        <v>1471.8184999168911</v>
      </c>
      <c r="F136" s="55"/>
      <c r="G136" s="88">
        <v>471350.10197076027</v>
      </c>
      <c r="H136" s="81">
        <v>1539.0499080508284</v>
      </c>
      <c r="I136" s="90"/>
      <c r="J136" s="103">
        <f t="shared" si="21"/>
        <v>-5.3642923331788439E-2</v>
      </c>
      <c r="K136" s="126">
        <f t="shared" si="22"/>
        <v>-4.3683708879255434E-2</v>
      </c>
      <c r="L136" s="56">
        <v>462854</v>
      </c>
      <c r="M136" s="103">
        <v>1.9673793049593158E-2</v>
      </c>
      <c r="N136" s="97">
        <f>INDEX('Pace of change parameters'!$E$22:$I$22,1,$B$5)</f>
        <v>9.0547645222140982E-3</v>
      </c>
      <c r="O136" s="108">
        <f>MAX(L136,IF(INDEX('Pace of change parameters'!$E$30:$I$30,1,$B$5)=1,(1+M136)*D136,D136))</f>
        <v>462854</v>
      </c>
      <c r="P136" s="94">
        <f>IF(K136&lt;INDEX('Pace of change parameters'!$E$18:$I$18,1,$B$5),1,IF(K136&gt;INDEX('Pace of change parameters'!$E$19:$I$19,1,$B$5),0,(K136-INDEX('Pace of change parameters'!$E$19:$I$19,1,$B$5))/(INDEX('Pace of change parameters'!$E$18:$I$18,1,$B$5)-INDEX('Pace of change parameters'!$E$19:$I$19,1,$B$5))))</f>
        <v>0.66891885203077239</v>
      </c>
      <c r="Q136" s="57">
        <v>6.5872327645279505E-2</v>
      </c>
      <c r="R136" s="57">
        <v>5.4772180979787422E-2</v>
      </c>
      <c r="S136" s="9">
        <f>MAX(IF(INDEX('Pace of change parameters'!$E$31:$I$31,1,$B$5)=1,D136*(1+Q136),D136),L136)</f>
        <v>475448.87765781034</v>
      </c>
      <c r="T136" s="103">
        <f>IF(Q136&lt;INDEX('Pace of change parameters'!$E$24:$I$24,1,$B$5),INDEX('Pace of change parameters'!$E$24:$I$24,1,$B$5),Q136)</f>
        <v>6.5872327645279505E-2</v>
      </c>
      <c r="U136" s="132">
        <v>5.4772180979787422E-2</v>
      </c>
      <c r="V136" s="117">
        <f t="shared" si="23"/>
        <v>475448.87765781034</v>
      </c>
      <c r="W136" s="131">
        <f>IF(J136&gt;INDEX('Pace of change parameters'!$E$26:$I$26,1,$B$5),0,IF(J136&lt;INDEX('Pace of change parameters'!$E$25:$I$25,1,$B$5),1,(J136-INDEX('Pace of change parameters'!$E$26:$I$26,1,$B$5))/(INDEX('Pace of change parameters'!$E$25:$I$25,1,$B$5)-INDEX('Pace of change parameters'!$E$26:$I$26,1,$B$5))))</f>
        <v>1</v>
      </c>
      <c r="X136" s="132">
        <f>MIN(T136, T136+(INDEX('Pace of change parameters'!$E$27:$I$27,1,$B$5)-T136)*(1-W136))</f>
        <v>6.5872327645279505E-2</v>
      </c>
      <c r="Y136" s="132">
        <v>5.4772180979787422E-2</v>
      </c>
      <c r="Z136" s="108">
        <f t="shared" si="24"/>
        <v>475448.87765781034</v>
      </c>
      <c r="AA136" s="97">
        <v>-5.0683737601623813E-2</v>
      </c>
      <c r="AB136" s="99">
        <f t="shared" si="16"/>
        <v>466984.59112206398</v>
      </c>
      <c r="AC136" s="99">
        <f>MAX(IF(INDEX('Pace of change parameters'!$E$29:$I$29,1,$B$5)=1,MAX(AB136,Z136),Z136),L136)</f>
        <v>475448.87765781034</v>
      </c>
      <c r="AD136" s="97">
        <f t="shared" si="25"/>
        <v>6.5872327645279505E-2</v>
      </c>
      <c r="AE136" s="146">
        <v>5.4772180979787422E-2</v>
      </c>
      <c r="AF136" s="56">
        <f t="shared" si="26"/>
        <v>475448.87765781034</v>
      </c>
      <c r="AG136" s="56">
        <v>1552.4332091637382</v>
      </c>
      <c r="AH136" s="16">
        <f t="shared" si="17"/>
        <v>6.5872327645279505E-2</v>
      </c>
      <c r="AI136" s="16">
        <f t="shared" si="18"/>
        <v>5.4772180979787422E-2</v>
      </c>
      <c r="AJ136" s="56"/>
      <c r="AK136" s="56">
        <v>491916.77170078445</v>
      </c>
      <c r="AL136" s="56">
        <v>1606.2040913735025</v>
      </c>
      <c r="AM136" s="16">
        <f t="shared" si="27"/>
        <v>-3.3476992431132113E-2</v>
      </c>
      <c r="AN136" s="58">
        <f t="shared" si="28"/>
        <v>-3.3476992431132224E-2</v>
      </c>
      <c r="AP136" s="56">
        <f t="shared" si="19"/>
        <v>0</v>
      </c>
      <c r="AQ136" s="56">
        <f t="shared" si="20"/>
        <v>0</v>
      </c>
    </row>
    <row r="137" spans="1:43" x14ac:dyDescent="0.2">
      <c r="A137" s="156" t="s">
        <v>319</v>
      </c>
      <c r="B137" s="156" t="s">
        <v>320</v>
      </c>
      <c r="D137" s="68">
        <v>282421.93754008121</v>
      </c>
      <c r="E137" s="73">
        <v>1643.4594784870244</v>
      </c>
      <c r="F137" s="55"/>
      <c r="G137" s="88">
        <v>290583.96977366478</v>
      </c>
      <c r="H137" s="81">
        <v>1680.3228918249445</v>
      </c>
      <c r="I137" s="90"/>
      <c r="J137" s="103">
        <f t="shared" si="21"/>
        <v>-2.8088377483248439E-2</v>
      </c>
      <c r="K137" s="126">
        <f t="shared" si="22"/>
        <v>-2.1938291454140613E-2</v>
      </c>
      <c r="L137" s="56">
        <v>292403</v>
      </c>
      <c r="M137" s="103">
        <v>1.5439885829667155E-2</v>
      </c>
      <c r="N137" s="97">
        <f>INDEX('Pace of change parameters'!$E$22:$I$22,1,$B$5)</f>
        <v>9.0547645222140982E-3</v>
      </c>
      <c r="O137" s="108">
        <f>MAX(L137,IF(INDEX('Pace of change parameters'!$E$30:$I$30,1,$B$5)=1,(1+M137)*D137,D137))</f>
        <v>292403</v>
      </c>
      <c r="P137" s="94">
        <f>IF(K137&lt;INDEX('Pace of change parameters'!$E$18:$I$18,1,$B$5),1,IF(K137&gt;INDEX('Pace of change parameters'!$E$19:$I$19,1,$B$5),0,(K137-INDEX('Pace of change parameters'!$E$19:$I$19,1,$B$5))/(INDEX('Pace of change parameters'!$E$18:$I$18,1,$B$5)-INDEX('Pace of change parameters'!$E$19:$I$19,1,$B$5))))</f>
        <v>0.47067455058930269</v>
      </c>
      <c r="Q137" s="57">
        <v>4.7811804573680394E-2</v>
      </c>
      <c r="R137" s="57">
        <v>4.1223127515640945E-2</v>
      </c>
      <c r="S137" s="9">
        <f>MAX(IF(INDEX('Pace of change parameters'!$E$31:$I$31,1,$B$5)=1,D137*(1+Q137),D137),L137)</f>
        <v>295925.04002506775</v>
      </c>
      <c r="T137" s="103">
        <f>IF(Q137&lt;INDEX('Pace of change parameters'!$E$24:$I$24,1,$B$5),INDEX('Pace of change parameters'!$E$24:$I$24,1,$B$5),Q137)</f>
        <v>4.7811804573680394E-2</v>
      </c>
      <c r="U137" s="132">
        <v>4.1223127515640945E-2</v>
      </c>
      <c r="V137" s="117">
        <f t="shared" si="23"/>
        <v>295925.04002506775</v>
      </c>
      <c r="W137" s="131">
        <f>IF(J137&gt;INDEX('Pace of change parameters'!$E$26:$I$26,1,$B$5),0,IF(J137&lt;INDEX('Pace of change parameters'!$E$25:$I$25,1,$B$5),1,(J137-INDEX('Pace of change parameters'!$E$26:$I$26,1,$B$5))/(INDEX('Pace of change parameters'!$E$25:$I$25,1,$B$5)-INDEX('Pace of change parameters'!$E$26:$I$26,1,$B$5))))</f>
        <v>1</v>
      </c>
      <c r="X137" s="132">
        <f>MIN(T137, T137+(INDEX('Pace of change parameters'!$E$27:$I$27,1,$B$5)-T137)*(1-W137))</f>
        <v>4.7811804573680394E-2</v>
      </c>
      <c r="Y137" s="132">
        <v>4.1223127515640945E-2</v>
      </c>
      <c r="Z137" s="108">
        <f t="shared" si="24"/>
        <v>295925.04002506775</v>
      </c>
      <c r="AA137" s="97">
        <v>-2.9092122624648664E-2</v>
      </c>
      <c r="AB137" s="99">
        <f t="shared" si="16"/>
        <v>294290.60511498124</v>
      </c>
      <c r="AC137" s="99">
        <f>MAX(IF(INDEX('Pace of change parameters'!$E$29:$I$29,1,$B$5)=1,MAX(AB137,Z137),Z137),L137)</f>
        <v>295925.04002506775</v>
      </c>
      <c r="AD137" s="97">
        <f t="shared" si="25"/>
        <v>4.7811804573680394E-2</v>
      </c>
      <c r="AE137" s="146">
        <v>4.1223127515640945E-2</v>
      </c>
      <c r="AF137" s="56">
        <f t="shared" si="26"/>
        <v>295925.04002506775</v>
      </c>
      <c r="AG137" s="56">
        <v>1711.2080181354838</v>
      </c>
      <c r="AH137" s="16">
        <f t="shared" si="17"/>
        <v>4.7811804573680394E-2</v>
      </c>
      <c r="AI137" s="16">
        <f t="shared" si="18"/>
        <v>4.1223127515640945E-2</v>
      </c>
      <c r="AJ137" s="56"/>
      <c r="AK137" s="56">
        <v>303108.68000220065</v>
      </c>
      <c r="AL137" s="56">
        <v>1752.7479375935573</v>
      </c>
      <c r="AM137" s="16">
        <f t="shared" si="27"/>
        <v>-2.3699882092062641E-2</v>
      </c>
      <c r="AN137" s="58">
        <f t="shared" si="28"/>
        <v>-2.3699882092062752E-2</v>
      </c>
      <c r="AP137" s="56">
        <f t="shared" si="19"/>
        <v>0</v>
      </c>
      <c r="AQ137" s="56">
        <f t="shared" si="20"/>
        <v>0</v>
      </c>
    </row>
    <row r="138" spans="1:43" x14ac:dyDescent="0.2">
      <c r="A138" s="156" t="s">
        <v>321</v>
      </c>
      <c r="B138" s="156" t="s">
        <v>322</v>
      </c>
      <c r="D138" s="68">
        <v>369292.52830875118</v>
      </c>
      <c r="E138" s="73">
        <v>1505.0312517677289</v>
      </c>
      <c r="F138" s="55"/>
      <c r="G138" s="88">
        <v>382294.4263738005</v>
      </c>
      <c r="H138" s="81">
        <v>1546.4962995203889</v>
      </c>
      <c r="I138" s="90"/>
      <c r="J138" s="103">
        <f t="shared" si="21"/>
        <v>-3.4010169042685168E-2</v>
      </c>
      <c r="K138" s="126">
        <f t="shared" si="22"/>
        <v>-2.6812251516876828E-2</v>
      </c>
      <c r="L138" s="56">
        <v>383213</v>
      </c>
      <c r="M138" s="103">
        <v>1.6573573459216062E-2</v>
      </c>
      <c r="N138" s="97">
        <f>INDEX('Pace of change parameters'!$E$22:$I$22,1,$B$5)</f>
        <v>9.0547645222140982E-3</v>
      </c>
      <c r="O138" s="108">
        <f>MAX(L138,IF(INDEX('Pace of change parameters'!$E$30:$I$30,1,$B$5)=1,(1+M138)*D138,D138))</f>
        <v>383213</v>
      </c>
      <c r="P138" s="94">
        <f>IF(K138&lt;INDEX('Pace of change parameters'!$E$18:$I$18,1,$B$5),1,IF(K138&gt;INDEX('Pace of change parameters'!$E$19:$I$19,1,$B$5),0,(K138-INDEX('Pace of change parameters'!$E$19:$I$19,1,$B$5))/(INDEX('Pace of change parameters'!$E$18:$I$18,1,$B$5)-INDEX('Pace of change parameters'!$E$19:$I$19,1,$B$5))))</f>
        <v>0.51510850138460051</v>
      </c>
      <c r="Q138" s="57">
        <v>5.2041111244436333E-2</v>
      </c>
      <c r="R138" s="57">
        <v>4.4259976345954133E-2</v>
      </c>
      <c r="S138" s="9">
        <f>MAX(IF(INDEX('Pace of change parameters'!$E$31:$I$31,1,$B$5)=1,D138*(1+Q138),D138),L138)</f>
        <v>388510.92185620603</v>
      </c>
      <c r="T138" s="103">
        <f>IF(Q138&lt;INDEX('Pace of change parameters'!$E$24:$I$24,1,$B$5),INDEX('Pace of change parameters'!$E$24:$I$24,1,$B$5),Q138)</f>
        <v>5.2041111244436333E-2</v>
      </c>
      <c r="U138" s="132">
        <v>4.4259976345954133E-2</v>
      </c>
      <c r="V138" s="117">
        <f t="shared" si="23"/>
        <v>388510.92185620603</v>
      </c>
      <c r="W138" s="131">
        <f>IF(J138&gt;INDEX('Pace of change parameters'!$E$26:$I$26,1,$B$5),0,IF(J138&lt;INDEX('Pace of change parameters'!$E$25:$I$25,1,$B$5),1,(J138-INDEX('Pace of change parameters'!$E$26:$I$26,1,$B$5))/(INDEX('Pace of change parameters'!$E$25:$I$25,1,$B$5)-INDEX('Pace of change parameters'!$E$26:$I$26,1,$B$5))))</f>
        <v>1</v>
      </c>
      <c r="X138" s="132">
        <f>MIN(T138, T138+(INDEX('Pace of change parameters'!$E$27:$I$27,1,$B$5)-T138)*(1-W138))</f>
        <v>5.2041111244436333E-2</v>
      </c>
      <c r="Y138" s="132">
        <v>4.4259976345954133E-2</v>
      </c>
      <c r="Z138" s="108">
        <f t="shared" si="24"/>
        <v>388510.92185620603</v>
      </c>
      <c r="AA138" s="97">
        <v>-3.3942620337924945E-2</v>
      </c>
      <c r="AB138" s="99">
        <f t="shared" si="16"/>
        <v>385692.22207899304</v>
      </c>
      <c r="AC138" s="99">
        <f>MAX(IF(INDEX('Pace of change parameters'!$E$29:$I$29,1,$B$5)=1,MAX(AB138,Z138),Z138),L138)</f>
        <v>388510.92185620603</v>
      </c>
      <c r="AD138" s="97">
        <f t="shared" si="25"/>
        <v>5.2041111244436333E-2</v>
      </c>
      <c r="AE138" s="146">
        <v>4.4259976345954133E-2</v>
      </c>
      <c r="AF138" s="56">
        <f t="shared" si="26"/>
        <v>388510.92185620603</v>
      </c>
      <c r="AG138" s="56">
        <v>1571.6438993708903</v>
      </c>
      <c r="AH138" s="16">
        <f t="shared" si="17"/>
        <v>5.2041111244436333E-2</v>
      </c>
      <c r="AI138" s="16">
        <f t="shared" si="18"/>
        <v>4.4259976345954133E-2</v>
      </c>
      <c r="AJ138" s="56"/>
      <c r="AK138" s="56">
        <v>399243.59587616567</v>
      </c>
      <c r="AL138" s="56">
        <v>1615.0608040149486</v>
      </c>
      <c r="AM138" s="16">
        <f t="shared" si="27"/>
        <v>-2.6882520172693325E-2</v>
      </c>
      <c r="AN138" s="58">
        <f t="shared" si="28"/>
        <v>-2.6882520172693436E-2</v>
      </c>
      <c r="AP138" s="56">
        <f t="shared" si="19"/>
        <v>0</v>
      </c>
      <c r="AQ138" s="56">
        <f t="shared" si="20"/>
        <v>0</v>
      </c>
    </row>
    <row r="139" spans="1:43" x14ac:dyDescent="0.2">
      <c r="A139" s="156" t="s">
        <v>323</v>
      </c>
      <c r="B139" s="156" t="s">
        <v>324</v>
      </c>
      <c r="D139" s="68">
        <v>329312.58692664315</v>
      </c>
      <c r="E139" s="73">
        <v>1539.1099719420795</v>
      </c>
      <c r="F139" s="55"/>
      <c r="G139" s="88">
        <v>330254.57531105226</v>
      </c>
      <c r="H139" s="81">
        <v>1513.3202609798461</v>
      </c>
      <c r="I139" s="90"/>
      <c r="J139" s="103">
        <f t="shared" si="21"/>
        <v>-2.8523098689000603E-3</v>
      </c>
      <c r="K139" s="126">
        <f t="shared" si="22"/>
        <v>1.7041806435298179E-2</v>
      </c>
      <c r="L139" s="56">
        <v>342290</v>
      </c>
      <c r="M139" s="103">
        <v>2.9186439139111675E-2</v>
      </c>
      <c r="N139" s="97">
        <f>INDEX('Pace of change parameters'!$E$22:$I$22,1,$B$5)</f>
        <v>9.0547645222140982E-3</v>
      </c>
      <c r="O139" s="108">
        <f>MAX(L139,IF(INDEX('Pace of change parameters'!$E$30:$I$30,1,$B$5)=1,(1+M139)*D139,D139))</f>
        <v>342290</v>
      </c>
      <c r="P139" s="94">
        <f>IF(K139&lt;INDEX('Pace of change parameters'!$E$18:$I$18,1,$B$5),1,IF(K139&gt;INDEX('Pace of change parameters'!$E$19:$I$19,1,$B$5),0,(K139-INDEX('Pace of change parameters'!$E$19:$I$19,1,$B$5))/(INDEX('Pace of change parameters'!$E$18:$I$18,1,$B$5)-INDEX('Pace of change parameters'!$E$19:$I$19,1,$B$5))))</f>
        <v>0.11530853828700721</v>
      </c>
      <c r="Q139" s="57">
        <v>3.7224458146011274E-2</v>
      </c>
      <c r="R139" s="57">
        <v>1.6935553724038988E-2</v>
      </c>
      <c r="S139" s="9">
        <f>MAX(IF(INDEX('Pace of change parameters'!$E$31:$I$31,1,$B$5)=1,D139*(1+Q139),D139),L139)</f>
        <v>342290</v>
      </c>
      <c r="T139" s="103">
        <f>IF(Q139&lt;INDEX('Pace of change parameters'!$E$24:$I$24,1,$B$5),INDEX('Pace of change parameters'!$E$24:$I$24,1,$B$5),Q139)</f>
        <v>3.7224458146011274E-2</v>
      </c>
      <c r="U139" s="132">
        <v>1.6935553724038988E-2</v>
      </c>
      <c r="V139" s="117">
        <f t="shared" si="23"/>
        <v>342290</v>
      </c>
      <c r="W139" s="131">
        <f>IF(J139&gt;INDEX('Pace of change parameters'!$E$26:$I$26,1,$B$5),0,IF(J139&lt;INDEX('Pace of change parameters'!$E$25:$I$25,1,$B$5),1,(J139-INDEX('Pace of change parameters'!$E$26:$I$26,1,$B$5))/(INDEX('Pace of change parameters'!$E$25:$I$25,1,$B$5)-INDEX('Pace of change parameters'!$E$26:$I$26,1,$B$5))))</f>
        <v>1</v>
      </c>
      <c r="X139" s="132">
        <f>MIN(T139, T139+(INDEX('Pace of change parameters'!$E$27:$I$27,1,$B$5)-T139)*(1-W139))</f>
        <v>3.7224458146011274E-2</v>
      </c>
      <c r="Y139" s="132">
        <v>1.6935553724038988E-2</v>
      </c>
      <c r="Z139" s="108">
        <f t="shared" si="24"/>
        <v>342290</v>
      </c>
      <c r="AA139" s="97">
        <v>-2.5000000000000001E-2</v>
      </c>
      <c r="AB139" s="99">
        <f t="shared" si="16"/>
        <v>336152.13687790168</v>
      </c>
      <c r="AC139" s="99">
        <f>MAX(IF(INDEX('Pace of change parameters'!$E$29:$I$29,1,$B$5)=1,MAX(AB139,Z139),Z139),L139)</f>
        <v>342290</v>
      </c>
      <c r="AD139" s="97">
        <f t="shared" si="25"/>
        <v>3.9407582912242667E-2</v>
      </c>
      <c r="AE139" s="146">
        <v>1.9075974898607573E-2</v>
      </c>
      <c r="AF139" s="56">
        <f t="shared" si="26"/>
        <v>342290</v>
      </c>
      <c r="AG139" s="56">
        <v>1568.4699951330435</v>
      </c>
      <c r="AH139" s="16">
        <f t="shared" si="17"/>
        <v>3.9407582912242667E-2</v>
      </c>
      <c r="AI139" s="16">
        <f t="shared" si="18"/>
        <v>1.9075974898607795E-2</v>
      </c>
      <c r="AJ139" s="56"/>
      <c r="AK139" s="56">
        <v>344771.4224388735</v>
      </c>
      <c r="AL139" s="56">
        <v>1579.8405775065366</v>
      </c>
      <c r="AM139" s="16">
        <f t="shared" si="27"/>
        <v>-7.1972973320125755E-3</v>
      </c>
      <c r="AN139" s="58">
        <f t="shared" si="28"/>
        <v>-7.1972973320126865E-3</v>
      </c>
      <c r="AP139" s="56">
        <f t="shared" si="19"/>
        <v>1</v>
      </c>
      <c r="AQ139" s="56">
        <f t="shared" si="20"/>
        <v>0</v>
      </c>
    </row>
    <row r="140" spans="1:43" x14ac:dyDescent="0.2">
      <c r="A140" s="156" t="s">
        <v>325</v>
      </c>
      <c r="B140" s="156" t="s">
        <v>326</v>
      </c>
      <c r="D140" s="68">
        <v>593434.27357484133</v>
      </c>
      <c r="E140" s="73">
        <v>1479.8269235512832</v>
      </c>
      <c r="F140" s="55"/>
      <c r="G140" s="88">
        <v>606794.07457394293</v>
      </c>
      <c r="H140" s="81">
        <v>1488.7305748973249</v>
      </c>
      <c r="I140" s="90"/>
      <c r="J140" s="103">
        <f t="shared" si="21"/>
        <v>-2.2017026136061268E-2</v>
      </c>
      <c r="K140" s="126">
        <f t="shared" si="22"/>
        <v>-5.9807002665044351E-3</v>
      </c>
      <c r="L140" s="56">
        <v>617801</v>
      </c>
      <c r="M140" s="103">
        <v>2.5600585315162183E-2</v>
      </c>
      <c r="N140" s="97">
        <f>INDEX('Pace of change parameters'!$E$22:$I$22,1,$B$5)</f>
        <v>9.0547645222140982E-3</v>
      </c>
      <c r="O140" s="108">
        <f>MAX(L140,IF(INDEX('Pace of change parameters'!$E$30:$I$30,1,$B$5)=1,(1+M140)*D140,D140))</f>
        <v>617801</v>
      </c>
      <c r="P140" s="94">
        <f>IF(K140&lt;INDEX('Pace of change parameters'!$E$18:$I$18,1,$B$5),1,IF(K140&gt;INDEX('Pace of change parameters'!$E$19:$I$19,1,$B$5),0,(K140-INDEX('Pace of change parameters'!$E$19:$I$19,1,$B$5))/(INDEX('Pace of change parameters'!$E$18:$I$18,1,$B$5)-INDEX('Pace of change parameters'!$E$19:$I$19,1,$B$5))))</f>
        <v>0.32519555352816515</v>
      </c>
      <c r="Q140" s="57">
        <v>4.8190592319420578E-2</v>
      </c>
      <c r="R140" s="57">
        <v>3.1280331204425416E-2</v>
      </c>
      <c r="S140" s="9">
        <f>MAX(IF(INDEX('Pace of change parameters'!$E$31:$I$31,1,$B$5)=1,D140*(1+Q140),D140),L140)</f>
        <v>622032.22272105806</v>
      </c>
      <c r="T140" s="103">
        <f>IF(Q140&lt;INDEX('Pace of change parameters'!$E$24:$I$24,1,$B$5),INDEX('Pace of change parameters'!$E$24:$I$24,1,$B$5),Q140)</f>
        <v>4.8190592319420578E-2</v>
      </c>
      <c r="U140" s="132">
        <v>3.1280331204425416E-2</v>
      </c>
      <c r="V140" s="117">
        <f t="shared" si="23"/>
        <v>622032.22272105806</v>
      </c>
      <c r="W140" s="131">
        <f>IF(J140&gt;INDEX('Pace of change parameters'!$E$26:$I$26,1,$B$5),0,IF(J140&lt;INDEX('Pace of change parameters'!$E$25:$I$25,1,$B$5),1,(J140-INDEX('Pace of change parameters'!$E$26:$I$26,1,$B$5))/(INDEX('Pace of change parameters'!$E$25:$I$25,1,$B$5)-INDEX('Pace of change parameters'!$E$26:$I$26,1,$B$5))))</f>
        <v>1</v>
      </c>
      <c r="X140" s="132">
        <f>MIN(T140, T140+(INDEX('Pace of change parameters'!$E$27:$I$27,1,$B$5)-T140)*(1-W140))</f>
        <v>4.8190592319420578E-2</v>
      </c>
      <c r="Y140" s="132">
        <v>3.1280331204425416E-2</v>
      </c>
      <c r="Z140" s="108">
        <f t="shared" si="24"/>
        <v>622032.22272105806</v>
      </c>
      <c r="AA140" s="97">
        <v>-2.5000000000000001E-2</v>
      </c>
      <c r="AB140" s="99">
        <f t="shared" ref="AB140:AB203" si="29">(1+AA140)*AK140</f>
        <v>618251.04119544919</v>
      </c>
      <c r="AC140" s="99">
        <f>MAX(IF(INDEX('Pace of change parameters'!$E$29:$I$29,1,$B$5)=1,MAX(AB140,Z140),Z140),L140)</f>
        <v>622032.22272105806</v>
      </c>
      <c r="AD140" s="97">
        <f t="shared" si="25"/>
        <v>4.8190592319420578E-2</v>
      </c>
      <c r="AE140" s="146">
        <v>3.1280331204425416E-2</v>
      </c>
      <c r="AF140" s="56">
        <f t="shared" si="26"/>
        <v>622032.22272105806</v>
      </c>
      <c r="AG140" s="56">
        <v>1526.1163998451932</v>
      </c>
      <c r="AH140" s="16">
        <f t="shared" ref="AH140:AH203" si="30">AF140/D140 - 1</f>
        <v>4.8190592319420578E-2</v>
      </c>
      <c r="AI140" s="16">
        <f t="shared" ref="AI140:AI203" si="31">AG140/E140 - 1</f>
        <v>3.1280331204425416E-2</v>
      </c>
      <c r="AJ140" s="56"/>
      <c r="AK140" s="56">
        <v>634103.63199533254</v>
      </c>
      <c r="AL140" s="56">
        <v>1555.7328328687524</v>
      </c>
      <c r="AM140" s="16">
        <f t="shared" si="27"/>
        <v>-1.9036965986599652E-2</v>
      </c>
      <c r="AN140" s="58">
        <f t="shared" si="28"/>
        <v>-1.9036965986599985E-2</v>
      </c>
      <c r="AP140" s="56">
        <f t="shared" ref="AP140:AP203" si="32">IF(AF140=L140,1,0)</f>
        <v>0</v>
      </c>
      <c r="AQ140" s="56">
        <f t="shared" ref="AQ140:AQ203" si="33">IF(AB140=AF140,1,0)</f>
        <v>0</v>
      </c>
    </row>
    <row r="141" spans="1:43" x14ac:dyDescent="0.2">
      <c r="A141" s="156" t="s">
        <v>327</v>
      </c>
      <c r="B141" s="156" t="s">
        <v>328</v>
      </c>
      <c r="D141" s="68">
        <v>366551.45383781497</v>
      </c>
      <c r="E141" s="73">
        <v>1564.0863384088882</v>
      </c>
      <c r="F141" s="55"/>
      <c r="G141" s="88">
        <v>382230.71850403136</v>
      </c>
      <c r="H141" s="81">
        <v>1615.1674716430521</v>
      </c>
      <c r="I141" s="90"/>
      <c r="J141" s="103">
        <f t="shared" ref="J141:J204" si="34">D141/G141-1</f>
        <v>-4.1020420147238945E-2</v>
      </c>
      <c r="K141" s="126">
        <f t="shared" ref="K141:K204" si="35">E141/H141-1</f>
        <v>-3.1625905134283649E-2</v>
      </c>
      <c r="L141" s="56">
        <v>383339</v>
      </c>
      <c r="M141" s="103">
        <v>1.8939834374956499E-2</v>
      </c>
      <c r="N141" s="97">
        <f>INDEX('Pace of change parameters'!$E$22:$I$22,1,$B$5)</f>
        <v>9.0547645222140982E-3</v>
      </c>
      <c r="O141" s="108">
        <f>MAX(L141,IF(INDEX('Pace of change parameters'!$E$30:$I$30,1,$B$5)=1,(1+M141)*D141,D141))</f>
        <v>383339</v>
      </c>
      <c r="P141" s="94">
        <f>IF(K141&lt;INDEX('Pace of change parameters'!$E$18:$I$18,1,$B$5),1,IF(K141&gt;INDEX('Pace of change parameters'!$E$19:$I$19,1,$B$5),0,(K141-INDEX('Pace of change parameters'!$E$19:$I$19,1,$B$5))/(INDEX('Pace of change parameters'!$E$18:$I$18,1,$B$5)-INDEX('Pace of change parameters'!$E$19:$I$19,1,$B$5))))</f>
        <v>0.558992662360139</v>
      </c>
      <c r="Q141" s="57">
        <v>5.7518584636058856E-2</v>
      </c>
      <c r="R141" s="57">
        <v>4.7259249661572245E-2</v>
      </c>
      <c r="S141" s="9">
        <f>MAX(IF(INDEX('Pace of change parameters'!$E$31:$I$31,1,$B$5)=1,D141*(1+Q141),D141),L141)</f>
        <v>387634.97465885576</v>
      </c>
      <c r="T141" s="103">
        <f>IF(Q141&lt;INDEX('Pace of change parameters'!$E$24:$I$24,1,$B$5),INDEX('Pace of change parameters'!$E$24:$I$24,1,$B$5),Q141)</f>
        <v>5.7518584636058856E-2</v>
      </c>
      <c r="U141" s="132">
        <v>4.7259249661572245E-2</v>
      </c>
      <c r="V141" s="117">
        <f t="shared" ref="V141:V204" si="36">MAX(D141*(1+T141),L141)</f>
        <v>387634.97465885576</v>
      </c>
      <c r="W141" s="131">
        <f>IF(J141&gt;INDEX('Pace of change parameters'!$E$26:$I$26,1,$B$5),0,IF(J141&lt;INDEX('Pace of change parameters'!$E$25:$I$25,1,$B$5),1,(J141-INDEX('Pace of change parameters'!$E$26:$I$26,1,$B$5))/(INDEX('Pace of change parameters'!$E$25:$I$25,1,$B$5)-INDEX('Pace of change parameters'!$E$26:$I$26,1,$B$5))))</f>
        <v>1</v>
      </c>
      <c r="X141" s="132">
        <f>MIN(T141, T141+(INDEX('Pace of change parameters'!$E$27:$I$27,1,$B$5)-T141)*(1-W141))</f>
        <v>5.7518584636058856E-2</v>
      </c>
      <c r="Y141" s="132">
        <v>4.7259249661572245E-2</v>
      </c>
      <c r="Z141" s="108">
        <f t="shared" ref="Z141:Z204" si="37">MAX(D141*(1+X141),L141)</f>
        <v>387634.97465885576</v>
      </c>
      <c r="AA141" s="97">
        <v>-3.8717311659756781E-2</v>
      </c>
      <c r="AB141" s="99">
        <f t="shared" si="29"/>
        <v>383617.50388494722</v>
      </c>
      <c r="AC141" s="99">
        <f>MAX(IF(INDEX('Pace of change parameters'!$E$29:$I$29,1,$B$5)=1,MAX(AB141,Z141),Z141),L141)</f>
        <v>387634.97465885576</v>
      </c>
      <c r="AD141" s="97">
        <f t="shared" ref="AD141:AD163" si="38">AC141/D141-1</f>
        <v>5.7518584636058856E-2</v>
      </c>
      <c r="AE141" s="146">
        <v>4.7259249661572245E-2</v>
      </c>
      <c r="AF141" s="56">
        <f t="shared" ref="AF141:AF204" si="39">AC141</f>
        <v>387634.97465885576</v>
      </c>
      <c r="AG141" s="56">
        <v>1638.0038851680079</v>
      </c>
      <c r="AH141" s="16">
        <f t="shared" si="30"/>
        <v>5.7518584636058856E-2</v>
      </c>
      <c r="AI141" s="16">
        <f t="shared" si="31"/>
        <v>4.7259249661572023E-2</v>
      </c>
      <c r="AJ141" s="56"/>
      <c r="AK141" s="56">
        <v>399068.35787015327</v>
      </c>
      <c r="AL141" s="56">
        <v>1686.317188520477</v>
      </c>
      <c r="AM141" s="16">
        <f t="shared" ref="AM141:AM163" si="40">AF141/AK141-1</f>
        <v>-2.8650187332110222E-2</v>
      </c>
      <c r="AN141" s="58">
        <f t="shared" ref="AN141:AN163" si="41">AG141/AL141-1</f>
        <v>-2.8650187332110222E-2</v>
      </c>
      <c r="AP141" s="56">
        <f t="shared" si="32"/>
        <v>0</v>
      </c>
      <c r="AQ141" s="56">
        <f t="shared" si="33"/>
        <v>0</v>
      </c>
    </row>
    <row r="142" spans="1:43" x14ac:dyDescent="0.2">
      <c r="A142" s="156" t="s">
        <v>329</v>
      </c>
      <c r="B142" s="156" t="s">
        <v>330</v>
      </c>
      <c r="D142" s="68">
        <v>529494.69388834538</v>
      </c>
      <c r="E142" s="73">
        <v>1432.0575692596644</v>
      </c>
      <c r="F142" s="55"/>
      <c r="G142" s="88">
        <v>530055.89104308141</v>
      </c>
      <c r="H142" s="81">
        <v>1420.2813861527566</v>
      </c>
      <c r="I142" s="90"/>
      <c r="J142" s="103">
        <f t="shared" si="34"/>
        <v>-1.0587509057425892E-3</v>
      </c>
      <c r="K142" s="126">
        <f t="shared" si="35"/>
        <v>8.2914436686429838E-3</v>
      </c>
      <c r="L142" s="56">
        <v>550531</v>
      </c>
      <c r="M142" s="103">
        <v>1.8499622658814552E-2</v>
      </c>
      <c r="N142" s="97">
        <f>INDEX('Pace of change parameters'!$E$22:$I$22,1,$B$5)</f>
        <v>9.0547645222140982E-3</v>
      </c>
      <c r="O142" s="108">
        <f>MAX(L142,IF(INDEX('Pace of change parameters'!$E$30:$I$30,1,$B$5)=1,(1+M142)*D142,D142))</f>
        <v>550531</v>
      </c>
      <c r="P142" s="94">
        <f>IF(K142&lt;INDEX('Pace of change parameters'!$E$18:$I$18,1,$B$5),1,IF(K142&gt;INDEX('Pace of change parameters'!$E$19:$I$19,1,$B$5),0,(K142-INDEX('Pace of change parameters'!$E$19:$I$19,1,$B$5))/(INDEX('Pace of change parameters'!$E$18:$I$18,1,$B$5)-INDEX('Pace of change parameters'!$E$19:$I$19,1,$B$5))))</f>
        <v>0.19508210713243701</v>
      </c>
      <c r="Q142" s="57">
        <v>3.1957352851486043E-2</v>
      </c>
      <c r="R142" s="57">
        <v>2.2387697071683199E-2</v>
      </c>
      <c r="S142" s="9">
        <f>MAX(IF(INDEX('Pace of change parameters'!$E$31:$I$31,1,$B$5)=1,D142*(1+Q142),D142),L142)</f>
        <v>550531</v>
      </c>
      <c r="T142" s="103">
        <f>IF(Q142&lt;INDEX('Pace of change parameters'!$E$24:$I$24,1,$B$5),INDEX('Pace of change parameters'!$E$24:$I$24,1,$B$5),Q142)</f>
        <v>3.1957352851486043E-2</v>
      </c>
      <c r="U142" s="132">
        <v>2.2387697071683199E-2</v>
      </c>
      <c r="V142" s="117">
        <f t="shared" si="36"/>
        <v>550531</v>
      </c>
      <c r="W142" s="131">
        <f>IF(J142&gt;INDEX('Pace of change parameters'!$E$26:$I$26,1,$B$5),0,IF(J142&lt;INDEX('Pace of change parameters'!$E$25:$I$25,1,$B$5),1,(J142-INDEX('Pace of change parameters'!$E$26:$I$26,1,$B$5))/(INDEX('Pace of change parameters'!$E$25:$I$25,1,$B$5)-INDEX('Pace of change parameters'!$E$26:$I$26,1,$B$5))))</f>
        <v>1</v>
      </c>
      <c r="X142" s="132">
        <f>MIN(T142, T142+(INDEX('Pace of change parameters'!$E$27:$I$27,1,$B$5)-T142)*(1-W142))</f>
        <v>3.1957352851486043E-2</v>
      </c>
      <c r="Y142" s="132">
        <v>2.2387697071683199E-2</v>
      </c>
      <c r="Z142" s="108">
        <f t="shared" si="37"/>
        <v>550531</v>
      </c>
      <c r="AA142" s="97">
        <v>-2.5000000000000001E-2</v>
      </c>
      <c r="AB142" s="99">
        <f t="shared" si="29"/>
        <v>540021.87034530379</v>
      </c>
      <c r="AC142" s="99">
        <f>MAX(IF(INDEX('Pace of change parameters'!$E$29:$I$29,1,$B$5)=1,MAX(AB142,Z142),Z142),L142)</f>
        <v>550531</v>
      </c>
      <c r="AD142" s="97">
        <f t="shared" si="38"/>
        <v>3.9729021564266276E-2</v>
      </c>
      <c r="AE142" s="146">
        <v>3.0087296726366786E-2</v>
      </c>
      <c r="AF142" s="56">
        <f t="shared" si="39"/>
        <v>550531</v>
      </c>
      <c r="AG142" s="56">
        <v>1475.1443102752196</v>
      </c>
      <c r="AH142" s="16">
        <f t="shared" si="30"/>
        <v>3.9729021564266276E-2</v>
      </c>
      <c r="AI142" s="16">
        <f t="shared" si="31"/>
        <v>3.0087296726366786E-2</v>
      </c>
      <c r="AJ142" s="56"/>
      <c r="AK142" s="56">
        <v>553868.58496954234</v>
      </c>
      <c r="AL142" s="56">
        <v>1484.0873479568043</v>
      </c>
      <c r="AM142" s="16">
        <f t="shared" si="40"/>
        <v>-6.0259510290259222E-3</v>
      </c>
      <c r="AN142" s="58">
        <f t="shared" si="41"/>
        <v>-6.0259510290259222E-3</v>
      </c>
      <c r="AP142" s="56">
        <f t="shared" si="32"/>
        <v>1</v>
      </c>
      <c r="AQ142" s="56">
        <f t="shared" si="33"/>
        <v>0</v>
      </c>
    </row>
    <row r="143" spans="1:43" x14ac:dyDescent="0.2">
      <c r="A143" s="156" t="s">
        <v>331</v>
      </c>
      <c r="B143" s="156" t="s">
        <v>332</v>
      </c>
      <c r="D143" s="68">
        <v>528073.59885261673</v>
      </c>
      <c r="E143" s="73">
        <v>1552.7420568395421</v>
      </c>
      <c r="F143" s="55"/>
      <c r="G143" s="88">
        <v>543080.40158588951</v>
      </c>
      <c r="H143" s="81">
        <v>1579.3587484393797</v>
      </c>
      <c r="I143" s="90"/>
      <c r="J143" s="103">
        <f t="shared" si="34"/>
        <v>-2.7632745887073651E-2</v>
      </c>
      <c r="K143" s="126">
        <f t="shared" si="35"/>
        <v>-1.6852847161000328E-2</v>
      </c>
      <c r="L143" s="56">
        <v>548702</v>
      </c>
      <c r="M143" s="103">
        <v>2.0241389868348891E-2</v>
      </c>
      <c r="N143" s="97">
        <f>INDEX('Pace of change parameters'!$E$22:$I$22,1,$B$5)</f>
        <v>9.0547645222140982E-3</v>
      </c>
      <c r="O143" s="108">
        <f>MAX(L143,IF(INDEX('Pace of change parameters'!$E$30:$I$30,1,$B$5)=1,(1+M143)*D143,D143))</f>
        <v>548702</v>
      </c>
      <c r="P143" s="94">
        <f>IF(K143&lt;INDEX('Pace of change parameters'!$E$18:$I$18,1,$B$5),1,IF(K143&gt;INDEX('Pace of change parameters'!$E$19:$I$19,1,$B$5),0,(K143-INDEX('Pace of change parameters'!$E$19:$I$19,1,$B$5))/(INDEX('Pace of change parameters'!$E$18:$I$18,1,$B$5)-INDEX('Pace of change parameters'!$E$19:$I$19,1,$B$5))))</f>
        <v>0.4243125823776126</v>
      </c>
      <c r="Q143" s="57">
        <v>4.956263140096473E-2</v>
      </c>
      <c r="R143" s="57">
        <v>3.8054507880999511E-2</v>
      </c>
      <c r="S143" s="9">
        <f>MAX(IF(INDEX('Pace of change parameters'!$E$31:$I$31,1,$B$5)=1,D143*(1+Q143),D143),L143)</f>
        <v>554246.31598512991</v>
      </c>
      <c r="T143" s="103">
        <f>IF(Q143&lt;INDEX('Pace of change parameters'!$E$24:$I$24,1,$B$5),INDEX('Pace of change parameters'!$E$24:$I$24,1,$B$5),Q143)</f>
        <v>4.956263140096473E-2</v>
      </c>
      <c r="U143" s="132">
        <v>3.8054507880999511E-2</v>
      </c>
      <c r="V143" s="117">
        <f t="shared" si="36"/>
        <v>554246.31598512991</v>
      </c>
      <c r="W143" s="131">
        <f>IF(J143&gt;INDEX('Pace of change parameters'!$E$26:$I$26,1,$B$5),0,IF(J143&lt;INDEX('Pace of change parameters'!$E$25:$I$25,1,$B$5),1,(J143-INDEX('Pace of change parameters'!$E$26:$I$26,1,$B$5))/(INDEX('Pace of change parameters'!$E$25:$I$25,1,$B$5)-INDEX('Pace of change parameters'!$E$26:$I$26,1,$B$5))))</f>
        <v>1</v>
      </c>
      <c r="X143" s="132">
        <f>MIN(T143, T143+(INDEX('Pace of change parameters'!$E$27:$I$27,1,$B$5)-T143)*(1-W143))</f>
        <v>4.956263140096473E-2</v>
      </c>
      <c r="Y143" s="132">
        <v>3.8054507880999511E-2</v>
      </c>
      <c r="Z143" s="108">
        <f t="shared" si="37"/>
        <v>554246.31598512991</v>
      </c>
      <c r="AA143" s="97">
        <v>-2.5000000000000001E-2</v>
      </c>
      <c r="AB143" s="99">
        <f t="shared" si="29"/>
        <v>552781.28029530612</v>
      </c>
      <c r="AC143" s="99">
        <f>MAX(IF(INDEX('Pace of change parameters'!$E$29:$I$29,1,$B$5)=1,MAX(AB143,Z143),Z143),L143)</f>
        <v>554246.31598512991</v>
      </c>
      <c r="AD143" s="97">
        <f t="shared" si="38"/>
        <v>4.956263140096473E-2</v>
      </c>
      <c r="AE143" s="146">
        <v>3.8054507880999511E-2</v>
      </c>
      <c r="AF143" s="56">
        <f t="shared" si="39"/>
        <v>554246.31598512991</v>
      </c>
      <c r="AG143" s="56">
        <v>1611.8308916787021</v>
      </c>
      <c r="AH143" s="16">
        <f t="shared" si="30"/>
        <v>4.956263140096473E-2</v>
      </c>
      <c r="AI143" s="16">
        <f t="shared" si="31"/>
        <v>3.8054507880999733E-2</v>
      </c>
      <c r="AJ143" s="56"/>
      <c r="AK143" s="56">
        <v>566955.15927723702</v>
      </c>
      <c r="AL143" s="56">
        <v>1648.7901020963884</v>
      </c>
      <c r="AM143" s="16">
        <f t="shared" si="40"/>
        <v>-2.2415958447769557E-2</v>
      </c>
      <c r="AN143" s="58">
        <f t="shared" si="41"/>
        <v>-2.2415958447769557E-2</v>
      </c>
      <c r="AP143" s="56">
        <f t="shared" si="32"/>
        <v>0</v>
      </c>
      <c r="AQ143" s="56">
        <f t="shared" si="33"/>
        <v>0</v>
      </c>
    </row>
    <row r="144" spans="1:43" x14ac:dyDescent="0.2">
      <c r="A144" s="156" t="s">
        <v>333</v>
      </c>
      <c r="B144" s="156" t="s">
        <v>334</v>
      </c>
      <c r="D144" s="68">
        <v>473501.42088515684</v>
      </c>
      <c r="E144" s="73">
        <v>1820.1162444797285</v>
      </c>
      <c r="F144" s="55"/>
      <c r="G144" s="88">
        <v>413078.45269581897</v>
      </c>
      <c r="H144" s="81">
        <v>1565.0396904219449</v>
      </c>
      <c r="I144" s="90"/>
      <c r="J144" s="103">
        <f t="shared" si="34"/>
        <v>0.14627480033152906</v>
      </c>
      <c r="K144" s="126">
        <f t="shared" si="35"/>
        <v>0.16298407996861308</v>
      </c>
      <c r="L144" s="56">
        <v>487099</v>
      </c>
      <c r="M144" s="103">
        <v>2.3763783881844747E-2</v>
      </c>
      <c r="N144" s="97">
        <f>INDEX('Pace of change parameters'!$E$22:$I$22,1,$B$5)</f>
        <v>9.0547645222140982E-3</v>
      </c>
      <c r="O144" s="108">
        <f>MAX(L144,IF(INDEX('Pace of change parameters'!$E$30:$I$30,1,$B$5)=1,(1+M144)*D144,D144))</f>
        <v>487099</v>
      </c>
      <c r="P144" s="94">
        <f>IF(K144&lt;INDEX('Pace of change parameters'!$E$18:$I$18,1,$B$5),1,IF(K144&gt;INDEX('Pace of change parameters'!$E$19:$I$19,1,$B$5),0,(K144-INDEX('Pace of change parameters'!$E$19:$I$19,1,$B$5))/(INDEX('Pace of change parameters'!$E$18:$I$18,1,$B$5)-INDEX('Pace of change parameters'!$E$19:$I$19,1,$B$5))))</f>
        <v>0</v>
      </c>
      <c r="Q144" s="57">
        <v>2.3763783881844747E-2</v>
      </c>
      <c r="R144" s="57">
        <v>9.0547645222140982E-3</v>
      </c>
      <c r="S144" s="9">
        <f>MAX(IF(INDEX('Pace of change parameters'!$E$31:$I$31,1,$B$5)=1,D144*(1+Q144),D144),L144)</f>
        <v>487099</v>
      </c>
      <c r="T144" s="103">
        <f>IF(Q144&lt;INDEX('Pace of change parameters'!$E$24:$I$24,1,$B$5),INDEX('Pace of change parameters'!$E$24:$I$24,1,$B$5),Q144)</f>
        <v>3.0386941478720321E-2</v>
      </c>
      <c r="U144" s="132">
        <v>1.5582763299400781E-2</v>
      </c>
      <c r="V144" s="117">
        <f t="shared" si="36"/>
        <v>487889.68085168506</v>
      </c>
      <c r="W144" s="131">
        <f>IF(J144&gt;INDEX('Pace of change parameters'!$E$26:$I$26,1,$B$5),0,IF(J144&lt;INDEX('Pace of change parameters'!$E$25:$I$25,1,$B$5),1,(J144-INDEX('Pace of change parameters'!$E$26:$I$26,1,$B$5))/(INDEX('Pace of change parameters'!$E$25:$I$25,1,$B$5)-INDEX('Pace of change parameters'!$E$26:$I$26,1,$B$5))))</f>
        <v>0</v>
      </c>
      <c r="X144" s="132">
        <f>MIN(T144, T144+(INDEX('Pace of change parameters'!$E$27:$I$27,1,$B$5)-T144)*(1-W144))</f>
        <v>1.3786941478720324E-2</v>
      </c>
      <c r="Y144" s="132">
        <v>-7.7873468947697866E-4</v>
      </c>
      <c r="Z144" s="108">
        <f t="shared" si="37"/>
        <v>487099</v>
      </c>
      <c r="AA144" s="97">
        <v>-2.5000000000000001E-2</v>
      </c>
      <c r="AB144" s="99">
        <f t="shared" si="29"/>
        <v>421393.55292206199</v>
      </c>
      <c r="AC144" s="99">
        <f>MAX(IF(INDEX('Pace of change parameters'!$E$29:$I$29,1,$B$5)=1,MAX(AB144,Z144),Z144),L144)</f>
        <v>487099</v>
      </c>
      <c r="AD144" s="97">
        <f t="shared" si="38"/>
        <v>2.8717081966563196E-2</v>
      </c>
      <c r="AE144" s="146">
        <v>1.3936895645794367E-2</v>
      </c>
      <c r="AF144" s="56">
        <f t="shared" si="39"/>
        <v>487099</v>
      </c>
      <c r="AG144" s="56">
        <v>1845.4830146422571</v>
      </c>
      <c r="AH144" s="16">
        <f t="shared" si="30"/>
        <v>2.8717081966563196E-2</v>
      </c>
      <c r="AI144" s="16">
        <f t="shared" si="31"/>
        <v>1.3936895645794145E-2</v>
      </c>
      <c r="AJ144" s="56"/>
      <c r="AK144" s="56">
        <v>432198.51581749949</v>
      </c>
      <c r="AL144" s="56">
        <v>1637.4803066620711</v>
      </c>
      <c r="AM144" s="16">
        <f t="shared" si="40"/>
        <v>0.12702608216656364</v>
      </c>
      <c r="AN144" s="58">
        <f t="shared" si="41"/>
        <v>0.12702608216656364</v>
      </c>
      <c r="AP144" s="56">
        <f t="shared" si="32"/>
        <v>1</v>
      </c>
      <c r="AQ144" s="56">
        <f t="shared" si="33"/>
        <v>0</v>
      </c>
    </row>
    <row r="145" spans="1:43" x14ac:dyDescent="0.2">
      <c r="A145" s="156" t="s">
        <v>335</v>
      </c>
      <c r="B145" s="156" t="s">
        <v>336</v>
      </c>
      <c r="D145" s="68">
        <v>346268.04478916083</v>
      </c>
      <c r="E145" s="73">
        <v>1644.4163743952702</v>
      </c>
      <c r="F145" s="55"/>
      <c r="G145" s="88">
        <v>297144.23684996692</v>
      </c>
      <c r="H145" s="81">
        <v>1391.8575259772042</v>
      </c>
      <c r="I145" s="90"/>
      <c r="J145" s="103">
        <f t="shared" si="34"/>
        <v>0.16531973986760296</v>
      </c>
      <c r="K145" s="126">
        <f t="shared" si="35"/>
        <v>0.18145452656208327</v>
      </c>
      <c r="L145" s="56">
        <v>355570</v>
      </c>
      <c r="M145" s="103">
        <v>2.3025937267013408E-2</v>
      </c>
      <c r="N145" s="97">
        <f>INDEX('Pace of change parameters'!$E$22:$I$22,1,$B$5)</f>
        <v>9.0547645222140982E-3</v>
      </c>
      <c r="O145" s="108">
        <f>MAX(L145,IF(INDEX('Pace of change parameters'!$E$30:$I$30,1,$B$5)=1,(1+M145)*D145,D145))</f>
        <v>355570</v>
      </c>
      <c r="P145" s="94">
        <f>IF(K145&lt;INDEX('Pace of change parameters'!$E$18:$I$18,1,$B$5),1,IF(K145&gt;INDEX('Pace of change parameters'!$E$19:$I$19,1,$B$5),0,(K145-INDEX('Pace of change parameters'!$E$19:$I$19,1,$B$5))/(INDEX('Pace of change parameters'!$E$18:$I$18,1,$B$5)-INDEX('Pace of change parameters'!$E$19:$I$19,1,$B$5))))</f>
        <v>0</v>
      </c>
      <c r="Q145" s="57">
        <v>2.3025937267013408E-2</v>
      </c>
      <c r="R145" s="57">
        <v>9.0547645222140982E-3</v>
      </c>
      <c r="S145" s="9">
        <f>MAX(IF(INDEX('Pace of change parameters'!$E$31:$I$31,1,$B$5)=1,D145*(1+Q145),D145),L145)</f>
        <v>355570</v>
      </c>
      <c r="T145" s="103">
        <f>IF(Q145&lt;INDEX('Pace of change parameters'!$E$24:$I$24,1,$B$5),INDEX('Pace of change parameters'!$E$24:$I$24,1,$B$5),Q145)</f>
        <v>3.0386941478720321E-2</v>
      </c>
      <c r="U145" s="132">
        <v>1.6315241603893638E-2</v>
      </c>
      <c r="V145" s="117">
        <f t="shared" si="36"/>
        <v>356790.07160212001</v>
      </c>
      <c r="W145" s="131">
        <f>IF(J145&gt;INDEX('Pace of change parameters'!$E$26:$I$26,1,$B$5),0,IF(J145&lt;INDEX('Pace of change parameters'!$E$25:$I$25,1,$B$5),1,(J145-INDEX('Pace of change parameters'!$E$26:$I$26,1,$B$5))/(INDEX('Pace of change parameters'!$E$25:$I$25,1,$B$5)-INDEX('Pace of change parameters'!$E$26:$I$26,1,$B$5))))</f>
        <v>0</v>
      </c>
      <c r="X145" s="132">
        <f>MIN(T145, T145+(INDEX('Pace of change parameters'!$E$27:$I$27,1,$B$5)-T145)*(1-W145))</f>
        <v>1.3786941478720324E-2</v>
      </c>
      <c r="Y145" s="132">
        <v>-5.8056942003115175E-5</v>
      </c>
      <c r="Z145" s="108">
        <f t="shared" si="37"/>
        <v>355570</v>
      </c>
      <c r="AA145" s="97">
        <v>-2.5000000000000001E-2</v>
      </c>
      <c r="AB145" s="99">
        <f t="shared" si="29"/>
        <v>302749.3877426167</v>
      </c>
      <c r="AC145" s="99">
        <f>MAX(IF(INDEX('Pace of change parameters'!$E$29:$I$29,1,$B$5)=1,MAX(AB145,Z145),Z145),L145)</f>
        <v>355570</v>
      </c>
      <c r="AD145" s="97">
        <f t="shared" si="38"/>
        <v>2.6863452607944316E-2</v>
      </c>
      <c r="AE145" s="146">
        <v>1.2839872013269416E-2</v>
      </c>
      <c r="AF145" s="56">
        <f t="shared" si="39"/>
        <v>355570</v>
      </c>
      <c r="AG145" s="56">
        <v>1665.5304701790301</v>
      </c>
      <c r="AH145" s="16">
        <f t="shared" si="30"/>
        <v>2.6863452607944316E-2</v>
      </c>
      <c r="AI145" s="16">
        <f t="shared" si="31"/>
        <v>1.2839872013269416E-2</v>
      </c>
      <c r="AJ145" s="56"/>
      <c r="AK145" s="56">
        <v>310512.19255652995</v>
      </c>
      <c r="AL145" s="56">
        <v>1454.4745565289502</v>
      </c>
      <c r="AM145" s="16">
        <f t="shared" si="40"/>
        <v>0.14510801354528802</v>
      </c>
      <c r="AN145" s="58">
        <f t="shared" si="41"/>
        <v>0.14510801354528824</v>
      </c>
      <c r="AP145" s="56">
        <f t="shared" si="32"/>
        <v>1</v>
      </c>
      <c r="AQ145" s="56">
        <f t="shared" si="33"/>
        <v>0</v>
      </c>
    </row>
    <row r="146" spans="1:43" x14ac:dyDescent="0.2">
      <c r="A146" s="156" t="s">
        <v>337</v>
      </c>
      <c r="B146" s="156" t="s">
        <v>338</v>
      </c>
      <c r="D146" s="68">
        <v>490700.63476381393</v>
      </c>
      <c r="E146" s="73">
        <v>1647.492285515093</v>
      </c>
      <c r="F146" s="55"/>
      <c r="G146" s="88">
        <v>472890.8129578362</v>
      </c>
      <c r="H146" s="81">
        <v>1565.5103404914751</v>
      </c>
      <c r="I146" s="90"/>
      <c r="J146" s="103">
        <f t="shared" si="34"/>
        <v>3.7661594004292143E-2</v>
      </c>
      <c r="K146" s="126">
        <f t="shared" si="35"/>
        <v>5.23675525502314E-2</v>
      </c>
      <c r="L146" s="56">
        <v>508346</v>
      </c>
      <c r="M146" s="103">
        <v>2.335530105877659E-2</v>
      </c>
      <c r="N146" s="97">
        <f>INDEX('Pace of change parameters'!$E$22:$I$22,1,$B$5)</f>
        <v>9.0547645222140982E-3</v>
      </c>
      <c r="O146" s="108">
        <f>MAX(L146,IF(INDEX('Pace of change parameters'!$E$30:$I$30,1,$B$5)=1,(1+M146)*D146,D146))</f>
        <v>508346</v>
      </c>
      <c r="P146" s="94">
        <f>IF(K146&lt;INDEX('Pace of change parameters'!$E$18:$I$18,1,$B$5),1,IF(K146&gt;INDEX('Pace of change parameters'!$E$19:$I$19,1,$B$5),0,(K146-INDEX('Pace of change parameters'!$E$19:$I$19,1,$B$5))/(INDEX('Pace of change parameters'!$E$18:$I$18,1,$B$5)-INDEX('Pace of change parameters'!$E$19:$I$19,1,$B$5))))</f>
        <v>0</v>
      </c>
      <c r="Q146" s="57">
        <v>2.335530105877659E-2</v>
      </c>
      <c r="R146" s="57">
        <v>9.0547645222140982E-3</v>
      </c>
      <c r="S146" s="9">
        <f>MAX(IF(INDEX('Pace of change parameters'!$E$31:$I$31,1,$B$5)=1,D146*(1+Q146),D146),L146)</f>
        <v>508346</v>
      </c>
      <c r="T146" s="103">
        <f>IF(Q146&lt;INDEX('Pace of change parameters'!$E$24:$I$24,1,$B$5),INDEX('Pace of change parameters'!$E$24:$I$24,1,$B$5),Q146)</f>
        <v>3.0386941478720321E-2</v>
      </c>
      <c r="U146" s="132">
        <v>1.5988143633858254E-2</v>
      </c>
      <c r="V146" s="117">
        <f t="shared" si="36"/>
        <v>508346</v>
      </c>
      <c r="W146" s="131">
        <f>IF(J146&gt;INDEX('Pace of change parameters'!$E$26:$I$26,1,$B$5),0,IF(J146&lt;INDEX('Pace of change parameters'!$E$25:$I$25,1,$B$5),1,(J146-INDEX('Pace of change parameters'!$E$26:$I$26,1,$B$5))/(INDEX('Pace of change parameters'!$E$25:$I$25,1,$B$5)-INDEX('Pace of change parameters'!$E$26:$I$26,1,$B$5))))</f>
        <v>1</v>
      </c>
      <c r="X146" s="132">
        <f>MIN(T146, T146+(INDEX('Pace of change parameters'!$E$27:$I$27,1,$B$5)-T146)*(1-W146))</f>
        <v>3.0386941478720321E-2</v>
      </c>
      <c r="Y146" s="132">
        <v>1.5988143633858254E-2</v>
      </c>
      <c r="Z146" s="108">
        <f t="shared" si="37"/>
        <v>508346</v>
      </c>
      <c r="AA146" s="97">
        <v>-2.5000000000000001E-2</v>
      </c>
      <c r="AB146" s="99">
        <f t="shared" si="29"/>
        <v>481927.49628474127</v>
      </c>
      <c r="AC146" s="99">
        <f>MAX(IF(INDEX('Pace of change parameters'!$E$29:$I$29,1,$B$5)=1,MAX(AB146,Z146),Z146),L146)</f>
        <v>508346</v>
      </c>
      <c r="AD146" s="97">
        <f t="shared" si="38"/>
        <v>3.5959532118150284E-2</v>
      </c>
      <c r="AE146" s="146">
        <v>2.1482861968371125E-2</v>
      </c>
      <c r="AF146" s="56">
        <f t="shared" si="39"/>
        <v>508346</v>
      </c>
      <c r="AG146" s="56">
        <v>1682.88513487877</v>
      </c>
      <c r="AH146" s="16">
        <f t="shared" si="30"/>
        <v>3.5959532118150284E-2</v>
      </c>
      <c r="AI146" s="16">
        <f t="shared" si="31"/>
        <v>2.1482861968371125E-2</v>
      </c>
      <c r="AJ146" s="56"/>
      <c r="AK146" s="56">
        <v>494284.61157409364</v>
      </c>
      <c r="AL146" s="56">
        <v>1636.3347507748051</v>
      </c>
      <c r="AM146" s="16">
        <f t="shared" si="40"/>
        <v>2.8447959124453748E-2</v>
      </c>
      <c r="AN146" s="58">
        <f t="shared" si="41"/>
        <v>2.8447959124453748E-2</v>
      </c>
      <c r="AP146" s="56">
        <f t="shared" si="32"/>
        <v>1</v>
      </c>
      <c r="AQ146" s="56">
        <f t="shared" si="33"/>
        <v>0</v>
      </c>
    </row>
    <row r="147" spans="1:43" x14ac:dyDescent="0.2">
      <c r="A147" s="156" t="s">
        <v>339</v>
      </c>
      <c r="B147" s="156" t="s">
        <v>340</v>
      </c>
      <c r="D147" s="68">
        <v>596647.93654087838</v>
      </c>
      <c r="E147" s="73">
        <v>1491.7466398165805</v>
      </c>
      <c r="F147" s="55"/>
      <c r="G147" s="88">
        <v>625541.89269382565</v>
      </c>
      <c r="H147" s="81">
        <v>1546.2703237033336</v>
      </c>
      <c r="I147" s="90"/>
      <c r="J147" s="103">
        <f t="shared" si="34"/>
        <v>-4.6190281562948132E-2</v>
      </c>
      <c r="K147" s="126">
        <f t="shared" si="35"/>
        <v>-3.5261417781186077E-2</v>
      </c>
      <c r="L147" s="56">
        <v>629404</v>
      </c>
      <c r="M147" s="103">
        <v>2.061663253072199E-2</v>
      </c>
      <c r="N147" s="97">
        <f>INDEX('Pace of change parameters'!$E$22:$I$22,1,$B$5)</f>
        <v>9.0547645222140982E-3</v>
      </c>
      <c r="O147" s="108">
        <f>MAX(L147,IF(INDEX('Pace of change parameters'!$E$30:$I$30,1,$B$5)=1,(1+M147)*D147,D147))</f>
        <v>629404</v>
      </c>
      <c r="P147" s="94">
        <f>IF(K147&lt;INDEX('Pace of change parameters'!$E$18:$I$18,1,$B$5),1,IF(K147&gt;INDEX('Pace of change parameters'!$E$19:$I$19,1,$B$5),0,(K147-INDEX('Pace of change parameters'!$E$19:$I$19,1,$B$5))/(INDEX('Pace of change parameters'!$E$18:$I$18,1,$B$5)-INDEX('Pace of change parameters'!$E$19:$I$19,1,$B$5))))</f>
        <v>0.59213618179584337</v>
      </c>
      <c r="Q147" s="57">
        <v>6.1550025734888658E-2</v>
      </c>
      <c r="R147" s="57">
        <v>4.9524451301968142E-2</v>
      </c>
      <c r="S147" s="9">
        <f>MAX(IF(INDEX('Pace of change parameters'!$E$31:$I$31,1,$B$5)=1,D147*(1+Q147),D147),L147)</f>
        <v>633371.63238963764</v>
      </c>
      <c r="T147" s="103">
        <f>IF(Q147&lt;INDEX('Pace of change parameters'!$E$24:$I$24,1,$B$5),INDEX('Pace of change parameters'!$E$24:$I$24,1,$B$5),Q147)</f>
        <v>6.1550025734888658E-2</v>
      </c>
      <c r="U147" s="132">
        <v>4.9524451301968142E-2</v>
      </c>
      <c r="V147" s="117">
        <f t="shared" si="36"/>
        <v>633371.63238963764</v>
      </c>
      <c r="W147" s="131">
        <f>IF(J147&gt;INDEX('Pace of change parameters'!$E$26:$I$26,1,$B$5),0,IF(J147&lt;INDEX('Pace of change parameters'!$E$25:$I$25,1,$B$5),1,(J147-INDEX('Pace of change parameters'!$E$26:$I$26,1,$B$5))/(INDEX('Pace of change parameters'!$E$25:$I$25,1,$B$5)-INDEX('Pace of change parameters'!$E$26:$I$26,1,$B$5))))</f>
        <v>1</v>
      </c>
      <c r="X147" s="132">
        <f>MIN(T147, T147+(INDEX('Pace of change parameters'!$E$27:$I$27,1,$B$5)-T147)*(1-W147))</f>
        <v>6.1550025734888658E-2</v>
      </c>
      <c r="Y147" s="132">
        <v>4.9524451301968142E-2</v>
      </c>
      <c r="Z147" s="108">
        <f t="shared" si="37"/>
        <v>633371.63238963764</v>
      </c>
      <c r="AA147" s="97">
        <v>-4.2330593381273429E-2</v>
      </c>
      <c r="AB147" s="99">
        <f t="shared" si="29"/>
        <v>625662.86976767774</v>
      </c>
      <c r="AC147" s="99">
        <f>MAX(IF(INDEX('Pace of change parameters'!$E$29:$I$29,1,$B$5)=1,MAX(AB147,Z147),Z147),L147)</f>
        <v>633371.63238963764</v>
      </c>
      <c r="AD147" s="97">
        <f t="shared" si="38"/>
        <v>6.1550025734888658E-2</v>
      </c>
      <c r="AE147" s="146">
        <v>4.9524451301968142E-2</v>
      </c>
      <c r="AF147" s="56">
        <f t="shared" si="39"/>
        <v>633371.63238963764</v>
      </c>
      <c r="AG147" s="56">
        <v>1565.6245736350513</v>
      </c>
      <c r="AH147" s="16">
        <f t="shared" si="30"/>
        <v>6.1550025734888658E-2</v>
      </c>
      <c r="AI147" s="16">
        <f t="shared" si="31"/>
        <v>4.9524451301968142E-2</v>
      </c>
      <c r="AJ147" s="56"/>
      <c r="AK147" s="56">
        <v>653318.21758483991</v>
      </c>
      <c r="AL147" s="56">
        <v>1614.9303245476569</v>
      </c>
      <c r="AM147" s="16">
        <f t="shared" si="40"/>
        <v>-3.0531193924057343E-2</v>
      </c>
      <c r="AN147" s="58">
        <f t="shared" si="41"/>
        <v>-3.0531193924057454E-2</v>
      </c>
      <c r="AP147" s="56">
        <f t="shared" si="32"/>
        <v>0</v>
      </c>
      <c r="AQ147" s="56">
        <f t="shared" si="33"/>
        <v>0</v>
      </c>
    </row>
    <row r="148" spans="1:43" x14ac:dyDescent="0.2">
      <c r="A148" s="156" t="s">
        <v>341</v>
      </c>
      <c r="B148" s="156" t="s">
        <v>342</v>
      </c>
      <c r="D148" s="68">
        <v>616275.56485882145</v>
      </c>
      <c r="E148" s="73">
        <v>1446.1674102153768</v>
      </c>
      <c r="F148" s="55"/>
      <c r="G148" s="88">
        <v>626869.92858218215</v>
      </c>
      <c r="H148" s="81">
        <v>1455.0734902727982</v>
      </c>
      <c r="I148" s="90"/>
      <c r="J148" s="103">
        <f t="shared" si="34"/>
        <v>-1.6900417838390247E-2</v>
      </c>
      <c r="K148" s="126">
        <f t="shared" si="35"/>
        <v>-6.1207080721068508E-3</v>
      </c>
      <c r="L148" s="56">
        <v>642152</v>
      </c>
      <c r="M148" s="103">
        <v>2.0119073466297044E-2</v>
      </c>
      <c r="N148" s="97">
        <f>INDEX('Pace of change parameters'!$E$22:$I$22,1,$B$5)</f>
        <v>9.0547645222140982E-3</v>
      </c>
      <c r="O148" s="108">
        <f>MAX(L148,IF(INDEX('Pace of change parameters'!$E$30:$I$30,1,$B$5)=1,(1+M148)*D148,D148))</f>
        <v>642152</v>
      </c>
      <c r="P148" s="94">
        <f>IF(K148&lt;INDEX('Pace of change parameters'!$E$18:$I$18,1,$B$5),1,IF(K148&gt;INDEX('Pace of change parameters'!$E$19:$I$19,1,$B$5),0,(K148-INDEX('Pace of change parameters'!$E$19:$I$19,1,$B$5))/(INDEX('Pace of change parameters'!$E$18:$I$18,1,$B$5)-INDEX('Pace of change parameters'!$E$19:$I$19,1,$B$5))))</f>
        <v>0.32647194887507386</v>
      </c>
      <c r="Q148" s="57">
        <v>4.2676536083992245E-2</v>
      </c>
      <c r="R148" s="57">
        <v>3.1367566744972653E-2</v>
      </c>
      <c r="S148" s="9">
        <f>MAX(IF(INDEX('Pace of change parameters'!$E$31:$I$31,1,$B$5)=1,D148*(1+Q148),D148),L148)</f>
        <v>642576.07124020159</v>
      </c>
      <c r="T148" s="103">
        <f>IF(Q148&lt;INDEX('Pace of change parameters'!$E$24:$I$24,1,$B$5),INDEX('Pace of change parameters'!$E$24:$I$24,1,$B$5),Q148)</f>
        <v>4.2676536083992245E-2</v>
      </c>
      <c r="U148" s="132">
        <v>3.1367566744972653E-2</v>
      </c>
      <c r="V148" s="117">
        <f t="shared" si="36"/>
        <v>642576.07124020159</v>
      </c>
      <c r="W148" s="131">
        <f>IF(J148&gt;INDEX('Pace of change parameters'!$E$26:$I$26,1,$B$5),0,IF(J148&lt;INDEX('Pace of change parameters'!$E$25:$I$25,1,$B$5),1,(J148-INDEX('Pace of change parameters'!$E$26:$I$26,1,$B$5))/(INDEX('Pace of change parameters'!$E$25:$I$25,1,$B$5)-INDEX('Pace of change parameters'!$E$26:$I$26,1,$B$5))))</f>
        <v>1</v>
      </c>
      <c r="X148" s="132">
        <f>MIN(T148, T148+(INDEX('Pace of change parameters'!$E$27:$I$27,1,$B$5)-T148)*(1-W148))</f>
        <v>4.2676536083992245E-2</v>
      </c>
      <c r="Y148" s="132">
        <v>3.1367566744972653E-2</v>
      </c>
      <c r="Z148" s="108">
        <f t="shared" si="37"/>
        <v>642576.07124020159</v>
      </c>
      <c r="AA148" s="97">
        <v>-2.5000000000000001E-2</v>
      </c>
      <c r="AB148" s="99">
        <f t="shared" si="29"/>
        <v>638246.87616377627</v>
      </c>
      <c r="AC148" s="99">
        <f>MAX(IF(INDEX('Pace of change parameters'!$E$29:$I$29,1,$B$5)=1,MAX(AB148,Z148),Z148),L148)</f>
        <v>642576.07124020159</v>
      </c>
      <c r="AD148" s="97">
        <f t="shared" si="38"/>
        <v>4.2676536083992245E-2</v>
      </c>
      <c r="AE148" s="146">
        <v>3.1367566744972653E-2</v>
      </c>
      <c r="AF148" s="56">
        <f t="shared" si="39"/>
        <v>642576.07124020159</v>
      </c>
      <c r="AG148" s="56">
        <v>1491.5301629797116</v>
      </c>
      <c r="AH148" s="16">
        <f t="shared" si="30"/>
        <v>4.2676536083992245E-2</v>
      </c>
      <c r="AI148" s="16">
        <f t="shared" si="31"/>
        <v>3.136756674497243E-2</v>
      </c>
      <c r="AJ148" s="56"/>
      <c r="AK148" s="56">
        <v>654612.18068079615</v>
      </c>
      <c r="AL148" s="56">
        <v>1519.4680540389336</v>
      </c>
      <c r="AM148" s="16">
        <f t="shared" si="40"/>
        <v>-1.838662615180342E-2</v>
      </c>
      <c r="AN148" s="58">
        <f t="shared" si="41"/>
        <v>-1.8386626151803309E-2</v>
      </c>
      <c r="AP148" s="56">
        <f t="shared" si="32"/>
        <v>0</v>
      </c>
      <c r="AQ148" s="56">
        <f t="shared" si="33"/>
        <v>0</v>
      </c>
    </row>
    <row r="149" spans="1:43" x14ac:dyDescent="0.2">
      <c r="A149" s="156" t="s">
        <v>343</v>
      </c>
      <c r="B149" s="156" t="s">
        <v>344</v>
      </c>
      <c r="D149" s="68">
        <v>500163.57483443274</v>
      </c>
      <c r="E149" s="73">
        <v>1542.5292748302468</v>
      </c>
      <c r="F149" s="55"/>
      <c r="G149" s="88">
        <v>520029.33948087686</v>
      </c>
      <c r="H149" s="81">
        <v>1580.4792551119724</v>
      </c>
      <c r="I149" s="90"/>
      <c r="J149" s="103">
        <f t="shared" si="34"/>
        <v>-3.8201238157591799E-2</v>
      </c>
      <c r="K149" s="126">
        <f t="shared" si="35"/>
        <v>-2.401169149103255E-2</v>
      </c>
      <c r="L149" s="56">
        <v>520787</v>
      </c>
      <c r="M149" s="103">
        <v>2.3941485360650772E-2</v>
      </c>
      <c r="N149" s="97">
        <f>INDEX('Pace of change parameters'!$E$22:$I$22,1,$B$5)</f>
        <v>9.0547645222140982E-3</v>
      </c>
      <c r="O149" s="108">
        <f>MAX(L149,IF(INDEX('Pace of change parameters'!$E$30:$I$30,1,$B$5)=1,(1+M149)*D149,D149))</f>
        <v>520787</v>
      </c>
      <c r="P149" s="94">
        <f>IF(K149&lt;INDEX('Pace of change parameters'!$E$18:$I$18,1,$B$5),1,IF(K149&gt;INDEX('Pace of change parameters'!$E$19:$I$19,1,$B$5),0,(K149-INDEX('Pace of change parameters'!$E$19:$I$19,1,$B$5))/(INDEX('Pace of change parameters'!$E$18:$I$18,1,$B$5)-INDEX('Pace of change parameters'!$E$19:$I$19,1,$B$5))))</f>
        <v>0.48957691212537646</v>
      </c>
      <c r="Q149" s="57">
        <v>5.7895378269272824E-2</v>
      </c>
      <c r="R149" s="57">
        <v>4.2515013865910278E-2</v>
      </c>
      <c r="S149" s="9">
        <f>MAX(IF(INDEX('Pace of change parameters'!$E$31:$I$31,1,$B$5)=1,D149*(1+Q149),D149),L149)</f>
        <v>529120.73419598397</v>
      </c>
      <c r="T149" s="103">
        <f>IF(Q149&lt;INDEX('Pace of change parameters'!$E$24:$I$24,1,$B$5),INDEX('Pace of change parameters'!$E$24:$I$24,1,$B$5),Q149)</f>
        <v>5.7895378269272824E-2</v>
      </c>
      <c r="U149" s="132">
        <v>4.2515013865910278E-2</v>
      </c>
      <c r="V149" s="117">
        <f t="shared" si="36"/>
        <v>529120.73419598397</v>
      </c>
      <c r="W149" s="131">
        <f>IF(J149&gt;INDEX('Pace of change parameters'!$E$26:$I$26,1,$B$5),0,IF(J149&lt;INDEX('Pace of change parameters'!$E$25:$I$25,1,$B$5),1,(J149-INDEX('Pace of change parameters'!$E$26:$I$26,1,$B$5))/(INDEX('Pace of change parameters'!$E$25:$I$25,1,$B$5)-INDEX('Pace of change parameters'!$E$26:$I$26,1,$B$5))))</f>
        <v>1</v>
      </c>
      <c r="X149" s="132">
        <f>MIN(T149, T149+(INDEX('Pace of change parameters'!$E$27:$I$27,1,$B$5)-T149)*(1-W149))</f>
        <v>5.7895378269272824E-2</v>
      </c>
      <c r="Y149" s="132">
        <v>4.2515013865910278E-2</v>
      </c>
      <c r="Z149" s="108">
        <f t="shared" si="37"/>
        <v>529120.73419598397</v>
      </c>
      <c r="AA149" s="97">
        <v>-3.1169791251499879E-2</v>
      </c>
      <c r="AB149" s="99">
        <f t="shared" si="29"/>
        <v>526548.70255878789</v>
      </c>
      <c r="AC149" s="99">
        <f>MAX(IF(INDEX('Pace of change parameters'!$E$29:$I$29,1,$B$5)=1,MAX(AB149,Z149),Z149),L149)</f>
        <v>529120.73419598397</v>
      </c>
      <c r="AD149" s="97">
        <f t="shared" si="38"/>
        <v>5.7895378269272824E-2</v>
      </c>
      <c r="AE149" s="146">
        <v>4.2515013865910278E-2</v>
      </c>
      <c r="AF149" s="56">
        <f t="shared" si="39"/>
        <v>529120.73419598397</v>
      </c>
      <c r="AG149" s="56">
        <v>1608.1099283382275</v>
      </c>
      <c r="AH149" s="16">
        <f t="shared" si="30"/>
        <v>5.7895378269272824E-2</v>
      </c>
      <c r="AI149" s="16">
        <f t="shared" si="31"/>
        <v>4.25150138659105E-2</v>
      </c>
      <c r="AJ149" s="56"/>
      <c r="AK149" s="56">
        <v>543489.14578021306</v>
      </c>
      <c r="AL149" s="56">
        <v>1651.7785729967272</v>
      </c>
      <c r="AM149" s="16">
        <f t="shared" si="40"/>
        <v>-2.6437347821550938E-2</v>
      </c>
      <c r="AN149" s="58">
        <f t="shared" si="41"/>
        <v>-2.6437347821551049E-2</v>
      </c>
      <c r="AP149" s="56">
        <f t="shared" si="32"/>
        <v>0</v>
      </c>
      <c r="AQ149" s="56">
        <f t="shared" si="33"/>
        <v>0</v>
      </c>
    </row>
    <row r="150" spans="1:43" x14ac:dyDescent="0.2">
      <c r="A150" s="156" t="s">
        <v>345</v>
      </c>
      <c r="B150" s="156" t="s">
        <v>346</v>
      </c>
      <c r="D150" s="68">
        <v>467220.58159594808</v>
      </c>
      <c r="E150" s="73">
        <v>1634.838803302943</v>
      </c>
      <c r="F150" s="55"/>
      <c r="G150" s="88">
        <v>479000.1838063054</v>
      </c>
      <c r="H150" s="81">
        <v>1656.1911883061175</v>
      </c>
      <c r="I150" s="90"/>
      <c r="J150" s="103">
        <f t="shared" si="34"/>
        <v>-2.4592061983676916E-2</v>
      </c>
      <c r="K150" s="126">
        <f t="shared" si="35"/>
        <v>-1.2892463837470891E-2</v>
      </c>
      <c r="L150" s="56">
        <v>486107</v>
      </c>
      <c r="M150" s="103">
        <v>2.1157941861977614E-2</v>
      </c>
      <c r="N150" s="97">
        <f>INDEX('Pace of change parameters'!$E$22:$I$22,1,$B$5)</f>
        <v>9.0547645222140982E-3</v>
      </c>
      <c r="O150" s="108">
        <f>MAX(L150,IF(INDEX('Pace of change parameters'!$E$30:$I$30,1,$B$5)=1,(1+M150)*D150,D150))</f>
        <v>486107</v>
      </c>
      <c r="P150" s="94">
        <f>IF(K150&lt;INDEX('Pace of change parameters'!$E$18:$I$18,1,$B$5),1,IF(K150&gt;INDEX('Pace of change parameters'!$E$19:$I$19,1,$B$5),0,(K150-INDEX('Pace of change parameters'!$E$19:$I$19,1,$B$5))/(INDEX('Pace of change parameters'!$E$18:$I$18,1,$B$5)-INDEX('Pace of change parameters'!$E$19:$I$19,1,$B$5))))</f>
        <v>0.38820734649895972</v>
      </c>
      <c r="Q150" s="57">
        <v>4.8008305755816716E-2</v>
      </c>
      <c r="R150" s="57">
        <v>3.5586887032891923E-2</v>
      </c>
      <c r="S150" s="9">
        <f>MAX(IF(INDEX('Pace of change parameters'!$E$31:$I$31,1,$B$5)=1,D150*(1+Q150),D150),L150)</f>
        <v>489651.05013261689</v>
      </c>
      <c r="T150" s="103">
        <f>IF(Q150&lt;INDEX('Pace of change parameters'!$E$24:$I$24,1,$B$5),INDEX('Pace of change parameters'!$E$24:$I$24,1,$B$5),Q150)</f>
        <v>4.8008305755816716E-2</v>
      </c>
      <c r="U150" s="132">
        <v>3.5586887032891923E-2</v>
      </c>
      <c r="V150" s="117">
        <f t="shared" si="36"/>
        <v>489651.05013261689</v>
      </c>
      <c r="W150" s="131">
        <f>IF(J150&gt;INDEX('Pace of change parameters'!$E$26:$I$26,1,$B$5),0,IF(J150&lt;INDEX('Pace of change parameters'!$E$25:$I$25,1,$B$5),1,(J150-INDEX('Pace of change parameters'!$E$26:$I$26,1,$B$5))/(INDEX('Pace of change parameters'!$E$25:$I$25,1,$B$5)-INDEX('Pace of change parameters'!$E$26:$I$26,1,$B$5))))</f>
        <v>1</v>
      </c>
      <c r="X150" s="132">
        <f>MIN(T150, T150+(INDEX('Pace of change parameters'!$E$27:$I$27,1,$B$5)-T150)*(1-W150))</f>
        <v>4.8008305755816716E-2</v>
      </c>
      <c r="Y150" s="132">
        <v>3.5586887032891923E-2</v>
      </c>
      <c r="Z150" s="108">
        <f t="shared" si="37"/>
        <v>489651.05013261689</v>
      </c>
      <c r="AA150" s="97">
        <v>-2.5000000000000001E-2</v>
      </c>
      <c r="AB150" s="99">
        <f t="shared" si="29"/>
        <v>487986.85624389921</v>
      </c>
      <c r="AC150" s="99">
        <f>MAX(IF(INDEX('Pace of change parameters'!$E$29:$I$29,1,$B$5)=1,MAX(AB150,Z150),Z150),L150)</f>
        <v>489651.05013261689</v>
      </c>
      <c r="AD150" s="97">
        <f t="shared" si="38"/>
        <v>4.8008305755816716E-2</v>
      </c>
      <c r="AE150" s="146">
        <v>3.5586887032891923E-2</v>
      </c>
      <c r="AF150" s="56">
        <f t="shared" si="39"/>
        <v>489651.05013261689</v>
      </c>
      <c r="AG150" s="56">
        <v>1693.0176271130731</v>
      </c>
      <c r="AH150" s="16">
        <f t="shared" si="30"/>
        <v>4.8008305755816716E-2</v>
      </c>
      <c r="AI150" s="16">
        <f t="shared" si="31"/>
        <v>3.5586887032891923E-2</v>
      </c>
      <c r="AJ150" s="56"/>
      <c r="AK150" s="56">
        <v>500499.33973733254</v>
      </c>
      <c r="AL150" s="56">
        <v>1730.5266767104072</v>
      </c>
      <c r="AM150" s="16">
        <f t="shared" si="40"/>
        <v>-2.167493289883049E-2</v>
      </c>
      <c r="AN150" s="58">
        <f t="shared" si="41"/>
        <v>-2.1674932898830379E-2</v>
      </c>
      <c r="AP150" s="56">
        <f t="shared" si="32"/>
        <v>0</v>
      </c>
      <c r="AQ150" s="56">
        <f t="shared" si="33"/>
        <v>0</v>
      </c>
    </row>
    <row r="151" spans="1:43" x14ac:dyDescent="0.2">
      <c r="A151" s="156" t="s">
        <v>347</v>
      </c>
      <c r="B151" s="156" t="s">
        <v>348</v>
      </c>
      <c r="D151" s="68">
        <v>334829.54053807759</v>
      </c>
      <c r="E151" s="73">
        <v>1595.5736769680941</v>
      </c>
      <c r="F151" s="55"/>
      <c r="G151" s="88">
        <v>313625.94799571077</v>
      </c>
      <c r="H151" s="81">
        <v>1489.5847672865218</v>
      </c>
      <c r="I151" s="90"/>
      <c r="J151" s="103">
        <f t="shared" si="34"/>
        <v>6.760790259183791E-2</v>
      </c>
      <c r="K151" s="126">
        <f t="shared" si="35"/>
        <v>7.1153325416078994E-2</v>
      </c>
      <c r="L151" s="56">
        <v>344046</v>
      </c>
      <c r="M151" s="103">
        <v>1.2405738025090374E-2</v>
      </c>
      <c r="N151" s="97">
        <f>INDEX('Pace of change parameters'!$E$22:$I$22,1,$B$5)</f>
        <v>9.0547645222140982E-3</v>
      </c>
      <c r="O151" s="108">
        <f>MAX(L151,IF(INDEX('Pace of change parameters'!$E$30:$I$30,1,$B$5)=1,(1+M151)*D151,D151))</f>
        <v>344046</v>
      </c>
      <c r="P151" s="94">
        <f>IF(K151&lt;INDEX('Pace of change parameters'!$E$18:$I$18,1,$B$5),1,IF(K151&gt;INDEX('Pace of change parameters'!$E$19:$I$19,1,$B$5),0,(K151-INDEX('Pace of change parameters'!$E$19:$I$19,1,$B$5))/(INDEX('Pace of change parameters'!$E$18:$I$18,1,$B$5)-INDEX('Pace of change parameters'!$E$19:$I$19,1,$B$5))))</f>
        <v>0</v>
      </c>
      <c r="Q151" s="57">
        <v>1.2405738025090374E-2</v>
      </c>
      <c r="R151" s="57">
        <v>9.0547645222140982E-3</v>
      </c>
      <c r="S151" s="9">
        <f>MAX(IF(INDEX('Pace of change parameters'!$E$31:$I$31,1,$B$5)=1,D151*(1+Q151),D151),L151)</f>
        <v>344046</v>
      </c>
      <c r="T151" s="103">
        <f>IF(Q151&lt;INDEX('Pace of change parameters'!$E$24:$I$24,1,$B$5),INDEX('Pace of change parameters'!$E$24:$I$24,1,$B$5),Q151)</f>
        <v>3.0386941478720321E-2</v>
      </c>
      <c r="U151" s="132">
        <v>2.6976451781832278E-2</v>
      </c>
      <c r="V151" s="117">
        <f t="shared" si="36"/>
        <v>345003.98619175499</v>
      </c>
      <c r="W151" s="131">
        <f>IF(J151&gt;INDEX('Pace of change parameters'!$E$26:$I$26,1,$B$5),0,IF(J151&lt;INDEX('Pace of change parameters'!$E$25:$I$25,1,$B$5),1,(J151-INDEX('Pace of change parameters'!$E$26:$I$26,1,$B$5))/(INDEX('Pace of change parameters'!$E$25:$I$25,1,$B$5)-INDEX('Pace of change parameters'!$E$26:$I$26,1,$B$5))))</f>
        <v>0.64784194816324192</v>
      </c>
      <c r="X151" s="132">
        <f>MIN(T151, T151+(INDEX('Pace of change parameters'!$E$27:$I$27,1,$B$5)-T151)*(1-W151))</f>
        <v>2.4541117818230138E-2</v>
      </c>
      <c r="Y151" s="132">
        <v>2.1149977280926269E-2</v>
      </c>
      <c r="Z151" s="108">
        <f t="shared" si="37"/>
        <v>344046</v>
      </c>
      <c r="AA151" s="97">
        <v>-2.5000000000000001E-2</v>
      </c>
      <c r="AB151" s="99">
        <f t="shared" si="29"/>
        <v>319403.4724216999</v>
      </c>
      <c r="AC151" s="99">
        <f>MAX(IF(INDEX('Pace of change parameters'!$E$29:$I$29,1,$B$5)=1,MAX(AB151,Z151),Z151),L151)</f>
        <v>344046</v>
      </c>
      <c r="AD151" s="97">
        <f t="shared" si="38"/>
        <v>2.7525825371057078E-2</v>
      </c>
      <c r="AE151" s="146">
        <v>2.4124805715581621E-2</v>
      </c>
      <c r="AF151" s="56">
        <f t="shared" si="39"/>
        <v>344046</v>
      </c>
      <c r="AG151" s="56">
        <v>1634.0665819298458</v>
      </c>
      <c r="AH151" s="16">
        <f t="shared" si="30"/>
        <v>2.7525825371057078E-2</v>
      </c>
      <c r="AI151" s="16">
        <f t="shared" si="31"/>
        <v>2.4124805715581843E-2</v>
      </c>
      <c r="AJ151" s="56"/>
      <c r="AK151" s="56">
        <v>327593.30504789733</v>
      </c>
      <c r="AL151" s="56">
        <v>1555.9235458128242</v>
      </c>
      <c r="AM151" s="16">
        <f t="shared" si="40"/>
        <v>5.0222927937117356E-2</v>
      </c>
      <c r="AN151" s="58">
        <f t="shared" si="41"/>
        <v>5.0222927937117356E-2</v>
      </c>
      <c r="AP151" s="56">
        <f t="shared" si="32"/>
        <v>1</v>
      </c>
      <c r="AQ151" s="56">
        <f t="shared" si="33"/>
        <v>0</v>
      </c>
    </row>
    <row r="152" spans="1:43" x14ac:dyDescent="0.2">
      <c r="A152" s="156" t="s">
        <v>349</v>
      </c>
      <c r="B152" s="156" t="s">
        <v>350</v>
      </c>
      <c r="D152" s="68">
        <v>459138.50036409218</v>
      </c>
      <c r="E152" s="73">
        <v>1521.6361780476309</v>
      </c>
      <c r="F152" s="55"/>
      <c r="G152" s="88">
        <v>472172.63564677833</v>
      </c>
      <c r="H152" s="81">
        <v>1543.4982905233005</v>
      </c>
      <c r="I152" s="90"/>
      <c r="J152" s="103">
        <f t="shared" si="34"/>
        <v>-2.760459691788808E-2</v>
      </c>
      <c r="K152" s="126">
        <f t="shared" si="35"/>
        <v>-1.4164001741950427E-2</v>
      </c>
      <c r="L152" s="56">
        <v>479290</v>
      </c>
      <c r="M152" s="103">
        <v>2.3002070892963244E-2</v>
      </c>
      <c r="N152" s="97">
        <f>INDEX('Pace of change parameters'!$E$22:$I$22,1,$B$5)</f>
        <v>9.0547645222140982E-3</v>
      </c>
      <c r="O152" s="108">
        <f>MAX(L152,IF(INDEX('Pace of change parameters'!$E$30:$I$30,1,$B$5)=1,(1+M152)*D152,D152))</f>
        <v>479290</v>
      </c>
      <c r="P152" s="94">
        <f>IF(K152&lt;INDEX('Pace of change parameters'!$E$18:$I$18,1,$B$5),1,IF(K152&gt;INDEX('Pace of change parameters'!$E$19:$I$19,1,$B$5),0,(K152-INDEX('Pace of change parameters'!$E$19:$I$19,1,$B$5))/(INDEX('Pace of change parameters'!$E$18:$I$18,1,$B$5)-INDEX('Pace of change parameters'!$E$19:$I$19,1,$B$5))))</f>
        <v>0.39979945065138506</v>
      </c>
      <c r="Q152" s="57">
        <v>5.0704140277220144E-2</v>
      </c>
      <c r="R152" s="57">
        <v>3.6379152120872504E-2</v>
      </c>
      <c r="S152" s="9">
        <f>MAX(IF(INDEX('Pace of change parameters'!$E$31:$I$31,1,$B$5)=1,D152*(1+Q152),D152),L152)</f>
        <v>482418.72329322557</v>
      </c>
      <c r="T152" s="103">
        <f>IF(Q152&lt;INDEX('Pace of change parameters'!$E$24:$I$24,1,$B$5),INDEX('Pace of change parameters'!$E$24:$I$24,1,$B$5),Q152)</f>
        <v>5.0704140277220144E-2</v>
      </c>
      <c r="U152" s="132">
        <v>3.6379152120872504E-2</v>
      </c>
      <c r="V152" s="117">
        <f t="shared" si="36"/>
        <v>482418.72329322557</v>
      </c>
      <c r="W152" s="131">
        <f>IF(J152&gt;INDEX('Pace of change parameters'!$E$26:$I$26,1,$B$5),0,IF(J152&lt;INDEX('Pace of change parameters'!$E$25:$I$25,1,$B$5),1,(J152-INDEX('Pace of change parameters'!$E$26:$I$26,1,$B$5))/(INDEX('Pace of change parameters'!$E$25:$I$25,1,$B$5)-INDEX('Pace of change parameters'!$E$26:$I$26,1,$B$5))))</f>
        <v>1</v>
      </c>
      <c r="X152" s="132">
        <f>MIN(T152, T152+(INDEX('Pace of change parameters'!$E$27:$I$27,1,$B$5)-T152)*(1-W152))</f>
        <v>5.0704140277220144E-2</v>
      </c>
      <c r="Y152" s="132">
        <v>3.6379152120872504E-2</v>
      </c>
      <c r="Z152" s="108">
        <f t="shared" si="37"/>
        <v>482418.72329322557</v>
      </c>
      <c r="AA152" s="97">
        <v>-2.5000000000000001E-2</v>
      </c>
      <c r="AB152" s="99">
        <f t="shared" si="29"/>
        <v>481315.31021586788</v>
      </c>
      <c r="AC152" s="99">
        <f>MAX(IF(INDEX('Pace of change parameters'!$E$29:$I$29,1,$B$5)=1,MAX(AB152,Z152),Z152),L152)</f>
        <v>482418.72329322557</v>
      </c>
      <c r="AD152" s="97">
        <f t="shared" si="38"/>
        <v>5.0704140277220144E-2</v>
      </c>
      <c r="AE152" s="146">
        <v>3.6379152120872504E-2</v>
      </c>
      <c r="AF152" s="56">
        <f t="shared" si="39"/>
        <v>482418.72329322557</v>
      </c>
      <c r="AG152" s="56">
        <v>1576.9920120414488</v>
      </c>
      <c r="AH152" s="16">
        <f t="shared" si="30"/>
        <v>5.0704140277220144E-2</v>
      </c>
      <c r="AI152" s="16">
        <f t="shared" si="31"/>
        <v>3.6379152120872504E-2</v>
      </c>
      <c r="AJ152" s="56"/>
      <c r="AK152" s="56">
        <v>493656.72842653119</v>
      </c>
      <c r="AL152" s="56">
        <v>1613.7282402821834</v>
      </c>
      <c r="AM152" s="16">
        <f t="shared" si="40"/>
        <v>-2.2764817100995205E-2</v>
      </c>
      <c r="AN152" s="58">
        <f t="shared" si="41"/>
        <v>-2.2764817100995094E-2</v>
      </c>
      <c r="AP152" s="56">
        <f t="shared" si="32"/>
        <v>0</v>
      </c>
      <c r="AQ152" s="56">
        <f t="shared" si="33"/>
        <v>0</v>
      </c>
    </row>
    <row r="153" spans="1:43" x14ac:dyDescent="0.2">
      <c r="A153" s="156" t="s">
        <v>351</v>
      </c>
      <c r="B153" s="156" t="s">
        <v>352</v>
      </c>
      <c r="D153" s="68">
        <v>359256.8729481952</v>
      </c>
      <c r="E153" s="73">
        <v>1385.3324269487609</v>
      </c>
      <c r="F153" s="55"/>
      <c r="G153" s="88">
        <v>377736.88933709962</v>
      </c>
      <c r="H153" s="81">
        <v>1439.2070962874398</v>
      </c>
      <c r="I153" s="90"/>
      <c r="J153" s="103">
        <f t="shared" si="34"/>
        <v>-4.8922985576906441E-2</v>
      </c>
      <c r="K153" s="126">
        <f t="shared" si="35"/>
        <v>-3.7433576778250433E-2</v>
      </c>
      <c r="L153" s="56">
        <v>376817</v>
      </c>
      <c r="M153" s="103">
        <v>2.1244568832498478E-2</v>
      </c>
      <c r="N153" s="97">
        <f>INDEX('Pace of change parameters'!$E$22:$I$22,1,$B$5)</f>
        <v>9.0547645222140982E-3</v>
      </c>
      <c r="O153" s="108">
        <f>MAX(L153,IF(INDEX('Pace of change parameters'!$E$30:$I$30,1,$B$5)=1,(1+M153)*D153,D153))</f>
        <v>376817</v>
      </c>
      <c r="P153" s="94">
        <f>IF(K153&lt;INDEX('Pace of change parameters'!$E$18:$I$18,1,$B$5),1,IF(K153&gt;INDEX('Pace of change parameters'!$E$19:$I$19,1,$B$5),0,(K153-INDEX('Pace of change parameters'!$E$19:$I$19,1,$B$5))/(INDEX('Pace of change parameters'!$E$18:$I$18,1,$B$5)-INDEX('Pace of change parameters'!$E$19:$I$19,1,$B$5))))</f>
        <v>0.61193888939967567</v>
      </c>
      <c r="Q153" s="57">
        <v>6.3572916987323813E-2</v>
      </c>
      <c r="R153" s="57">
        <v>5.0877872016249714E-2</v>
      </c>
      <c r="S153" s="9">
        <f>MAX(IF(INDEX('Pace of change parameters'!$E$31:$I$31,1,$B$5)=1,D153*(1+Q153),D153),L153)</f>
        <v>382095.88030925638</v>
      </c>
      <c r="T153" s="103">
        <f>IF(Q153&lt;INDEX('Pace of change parameters'!$E$24:$I$24,1,$B$5),INDEX('Pace of change parameters'!$E$24:$I$24,1,$B$5),Q153)</f>
        <v>6.3572916987323813E-2</v>
      </c>
      <c r="U153" s="132">
        <v>5.0877872016249714E-2</v>
      </c>
      <c r="V153" s="117">
        <f t="shared" si="36"/>
        <v>382095.88030925638</v>
      </c>
      <c r="W153" s="131">
        <f>IF(J153&gt;INDEX('Pace of change parameters'!$E$26:$I$26,1,$B$5),0,IF(J153&lt;INDEX('Pace of change parameters'!$E$25:$I$25,1,$B$5),1,(J153-INDEX('Pace of change parameters'!$E$26:$I$26,1,$B$5))/(INDEX('Pace of change parameters'!$E$25:$I$25,1,$B$5)-INDEX('Pace of change parameters'!$E$26:$I$26,1,$B$5))))</f>
        <v>1</v>
      </c>
      <c r="X153" s="132">
        <f>MIN(T153, T153+(INDEX('Pace of change parameters'!$E$27:$I$27,1,$B$5)-T153)*(1-W153))</f>
        <v>6.3572916987323813E-2</v>
      </c>
      <c r="Y153" s="132">
        <v>5.0877872016249714E-2</v>
      </c>
      <c r="Z153" s="108">
        <f t="shared" si="37"/>
        <v>382095.88030925638</v>
      </c>
      <c r="AA153" s="97">
        <v>-4.4490719576604776E-2</v>
      </c>
      <c r="AB153" s="99">
        <f t="shared" si="29"/>
        <v>377101.96591134014</v>
      </c>
      <c r="AC153" s="99">
        <f>MAX(IF(INDEX('Pace of change parameters'!$E$29:$I$29,1,$B$5)=1,MAX(AB153,Z153),Z153),L153)</f>
        <v>382095.88030925638</v>
      </c>
      <c r="AD153" s="97">
        <f t="shared" si="38"/>
        <v>6.3572916987323813E-2</v>
      </c>
      <c r="AE153" s="146">
        <v>5.0877872016249714E-2</v>
      </c>
      <c r="AF153" s="56">
        <f t="shared" si="39"/>
        <v>382095.88030925638</v>
      </c>
      <c r="AG153" s="56">
        <v>1455.8151928670204</v>
      </c>
      <c r="AH153" s="16">
        <f t="shared" si="30"/>
        <v>6.3572916987323813E-2</v>
      </c>
      <c r="AI153" s="16">
        <f t="shared" si="31"/>
        <v>5.0877872016249492E-2</v>
      </c>
      <c r="AJ153" s="56"/>
      <c r="AK153" s="56">
        <v>394660.70464982057</v>
      </c>
      <c r="AL153" s="56">
        <v>1503.6881564694902</v>
      </c>
      <c r="AM153" s="16">
        <f t="shared" si="40"/>
        <v>-3.1837029105071024E-2</v>
      </c>
      <c r="AN153" s="58">
        <f t="shared" si="41"/>
        <v>-3.1837029105071024E-2</v>
      </c>
      <c r="AP153" s="56">
        <f t="shared" si="32"/>
        <v>0</v>
      </c>
      <c r="AQ153" s="56">
        <f t="shared" si="33"/>
        <v>0</v>
      </c>
    </row>
    <row r="154" spans="1:43" x14ac:dyDescent="0.2">
      <c r="A154" s="156" t="s">
        <v>353</v>
      </c>
      <c r="B154" s="156" t="s">
        <v>354</v>
      </c>
      <c r="D154" s="68">
        <v>414211.70617556688</v>
      </c>
      <c r="E154" s="73">
        <v>1553.7639117416777</v>
      </c>
      <c r="F154" s="55"/>
      <c r="G154" s="88">
        <v>439980.33805299795</v>
      </c>
      <c r="H154" s="81">
        <v>1632.5121070696155</v>
      </c>
      <c r="I154" s="90"/>
      <c r="J154" s="103">
        <f t="shared" si="34"/>
        <v>-5.8567689618728158E-2</v>
      </c>
      <c r="K154" s="126">
        <f t="shared" si="35"/>
        <v>-4.8237434189258188E-2</v>
      </c>
      <c r="L154" s="56">
        <v>434114</v>
      </c>
      <c r="M154" s="103">
        <v>2.0127035300361307E-2</v>
      </c>
      <c r="N154" s="97">
        <f>INDEX('Pace of change parameters'!$E$22:$I$22,1,$B$5)</f>
        <v>9.0547645222140982E-3</v>
      </c>
      <c r="O154" s="108">
        <f>MAX(L154,IF(INDEX('Pace of change parameters'!$E$30:$I$30,1,$B$5)=1,(1+M154)*D154,D154))</f>
        <v>434114</v>
      </c>
      <c r="P154" s="94">
        <f>IF(K154&lt;INDEX('Pace of change parameters'!$E$18:$I$18,1,$B$5),1,IF(K154&gt;INDEX('Pace of change parameters'!$E$19:$I$19,1,$B$5),0,(K154-INDEX('Pace of change parameters'!$E$19:$I$19,1,$B$5))/(INDEX('Pace of change parameters'!$E$18:$I$18,1,$B$5)-INDEX('Pace of change parameters'!$E$19:$I$19,1,$B$5))))</f>
        <v>0.7104333502530602</v>
      </c>
      <c r="Q154" s="57">
        <v>6.9214556823886442E-2</v>
      </c>
      <c r="R154" s="57">
        <v>5.7609499136531905E-2</v>
      </c>
      <c r="S154" s="9">
        <f>MAX(IF(INDEX('Pace of change parameters'!$E$31:$I$31,1,$B$5)=1,D154*(1+Q154),D154),L154)</f>
        <v>442881.18584977463</v>
      </c>
      <c r="T154" s="103">
        <f>IF(Q154&lt;INDEX('Pace of change parameters'!$E$24:$I$24,1,$B$5),INDEX('Pace of change parameters'!$E$24:$I$24,1,$B$5),Q154)</f>
        <v>6.9214556823886442E-2</v>
      </c>
      <c r="U154" s="132">
        <v>5.7609499136531905E-2</v>
      </c>
      <c r="V154" s="117">
        <f t="shared" si="36"/>
        <v>442881.18584977463</v>
      </c>
      <c r="W154" s="131">
        <f>IF(J154&gt;INDEX('Pace of change parameters'!$E$26:$I$26,1,$B$5),0,IF(J154&lt;INDEX('Pace of change parameters'!$E$25:$I$25,1,$B$5),1,(J154-INDEX('Pace of change parameters'!$E$26:$I$26,1,$B$5))/(INDEX('Pace of change parameters'!$E$25:$I$25,1,$B$5)-INDEX('Pace of change parameters'!$E$26:$I$26,1,$B$5))))</f>
        <v>1</v>
      </c>
      <c r="X154" s="132">
        <f>MIN(T154, T154+(INDEX('Pace of change parameters'!$E$27:$I$27,1,$B$5)-T154)*(1-W154))</f>
        <v>6.9214556823886442E-2</v>
      </c>
      <c r="Y154" s="132">
        <v>5.7609499136531905E-2</v>
      </c>
      <c r="Z154" s="108">
        <f t="shared" si="37"/>
        <v>442881.18584977463</v>
      </c>
      <c r="AA154" s="97">
        <v>-5.5205937790110515E-2</v>
      </c>
      <c r="AB154" s="99">
        <f t="shared" si="29"/>
        <v>433934.79870572384</v>
      </c>
      <c r="AC154" s="99">
        <f>MAX(IF(INDEX('Pace of change parameters'!$E$29:$I$29,1,$B$5)=1,MAX(AB154,Z154),Z154),L154)</f>
        <v>442881.18584977463</v>
      </c>
      <c r="AD154" s="97">
        <f t="shared" si="38"/>
        <v>6.9214556823886442E-2</v>
      </c>
      <c r="AE154" s="146">
        <v>5.7609499136531905E-2</v>
      </c>
      <c r="AF154" s="56">
        <f t="shared" si="39"/>
        <v>442881.18584977463</v>
      </c>
      <c r="AG154" s="56">
        <v>1643.2754724735341</v>
      </c>
      <c r="AH154" s="16">
        <f t="shared" si="30"/>
        <v>6.9214556823886442E-2</v>
      </c>
      <c r="AI154" s="16">
        <f t="shared" si="31"/>
        <v>5.7609499136531683E-2</v>
      </c>
      <c r="AJ154" s="56"/>
      <c r="AK154" s="56">
        <v>459290.35338213592</v>
      </c>
      <c r="AL154" s="56">
        <v>1704.1603856086451</v>
      </c>
      <c r="AM154" s="16">
        <f t="shared" si="40"/>
        <v>-3.5727220072285348E-2</v>
      </c>
      <c r="AN154" s="58">
        <f t="shared" si="41"/>
        <v>-3.5727220072285459E-2</v>
      </c>
      <c r="AP154" s="56">
        <f t="shared" si="32"/>
        <v>0</v>
      </c>
      <c r="AQ154" s="56">
        <f t="shared" si="33"/>
        <v>0</v>
      </c>
    </row>
    <row r="155" spans="1:43" x14ac:dyDescent="0.2">
      <c r="A155" s="156" t="s">
        <v>355</v>
      </c>
      <c r="B155" s="156" t="s">
        <v>356</v>
      </c>
      <c r="D155" s="68">
        <v>433561.69548016303</v>
      </c>
      <c r="E155" s="73">
        <v>1423.6936406897219</v>
      </c>
      <c r="F155" s="55"/>
      <c r="G155" s="88">
        <v>454657.76060420263</v>
      </c>
      <c r="H155" s="81">
        <v>1469.6529477032548</v>
      </c>
      <c r="I155" s="90"/>
      <c r="J155" s="103">
        <f t="shared" si="34"/>
        <v>-4.6399879100281205E-2</v>
      </c>
      <c r="K155" s="126">
        <f t="shared" si="35"/>
        <v>-3.1272217760905496E-2</v>
      </c>
      <c r="L155" s="56">
        <v>456394</v>
      </c>
      <c r="M155" s="103">
        <v>2.5062143732876629E-2</v>
      </c>
      <c r="N155" s="97">
        <f>INDEX('Pace of change parameters'!$E$22:$I$22,1,$B$5)</f>
        <v>9.0547645222140982E-3</v>
      </c>
      <c r="O155" s="108">
        <f>MAX(L155,IF(INDEX('Pace of change parameters'!$E$30:$I$30,1,$B$5)=1,(1+M155)*D155,D155))</f>
        <v>456394</v>
      </c>
      <c r="P155" s="94">
        <f>IF(K155&lt;INDEX('Pace of change parameters'!$E$18:$I$18,1,$B$5),1,IF(K155&gt;INDEX('Pace of change parameters'!$E$19:$I$19,1,$B$5),0,(K155-INDEX('Pace of change parameters'!$E$19:$I$19,1,$B$5))/(INDEX('Pace of change parameters'!$E$18:$I$18,1,$B$5)-INDEX('Pace of change parameters'!$E$19:$I$19,1,$B$5))))</f>
        <v>0.55576823558123345</v>
      </c>
      <c r="Q155" s="57">
        <v>6.364882460351251E-2</v>
      </c>
      <c r="R155" s="57">
        <v>4.7038875454087137E-2</v>
      </c>
      <c r="S155" s="9">
        <f>MAX(IF(INDEX('Pace of change parameters'!$E$31:$I$31,1,$B$5)=1,D155*(1+Q155),D155),L155)</f>
        <v>461157.38779058144</v>
      </c>
      <c r="T155" s="103">
        <f>IF(Q155&lt;INDEX('Pace of change parameters'!$E$24:$I$24,1,$B$5),INDEX('Pace of change parameters'!$E$24:$I$24,1,$B$5),Q155)</f>
        <v>6.364882460351251E-2</v>
      </c>
      <c r="U155" s="132">
        <v>4.7038875454087137E-2</v>
      </c>
      <c r="V155" s="117">
        <f t="shared" si="36"/>
        <v>461157.38779058144</v>
      </c>
      <c r="W155" s="131">
        <f>IF(J155&gt;INDEX('Pace of change parameters'!$E$26:$I$26,1,$B$5),0,IF(J155&lt;INDEX('Pace of change parameters'!$E$25:$I$25,1,$B$5),1,(J155-INDEX('Pace of change parameters'!$E$26:$I$26,1,$B$5))/(INDEX('Pace of change parameters'!$E$25:$I$25,1,$B$5)-INDEX('Pace of change parameters'!$E$26:$I$26,1,$B$5))))</f>
        <v>1</v>
      </c>
      <c r="X155" s="132">
        <f>MIN(T155, T155+(INDEX('Pace of change parameters'!$E$27:$I$27,1,$B$5)-T155)*(1-W155))</f>
        <v>6.364882460351251E-2</v>
      </c>
      <c r="Y155" s="132">
        <v>4.7038875454087137E-2</v>
      </c>
      <c r="Z155" s="108">
        <f t="shared" si="37"/>
        <v>461157.38779058144</v>
      </c>
      <c r="AA155" s="97">
        <v>-3.8367999553359455E-2</v>
      </c>
      <c r="AB155" s="99">
        <f t="shared" si="29"/>
        <v>456475.74587393343</v>
      </c>
      <c r="AC155" s="99">
        <f>MAX(IF(INDEX('Pace of change parameters'!$E$29:$I$29,1,$B$5)=1,MAX(AB155,Z155),Z155),L155)</f>
        <v>461157.38779058144</v>
      </c>
      <c r="AD155" s="97">
        <f t="shared" si="38"/>
        <v>6.364882460351251E-2</v>
      </c>
      <c r="AE155" s="146">
        <v>4.7038875454087137E-2</v>
      </c>
      <c r="AF155" s="56">
        <f t="shared" si="39"/>
        <v>461157.38779058144</v>
      </c>
      <c r="AG155" s="56">
        <v>1490.6625885389017</v>
      </c>
      <c r="AH155" s="16">
        <f t="shared" si="30"/>
        <v>6.364882460351251E-2</v>
      </c>
      <c r="AI155" s="16">
        <f t="shared" si="31"/>
        <v>4.7038875454087137E-2</v>
      </c>
      <c r="AJ155" s="56"/>
      <c r="AK155" s="56">
        <v>474688.59778160276</v>
      </c>
      <c r="AL155" s="56">
        <v>1534.401383677621</v>
      </c>
      <c r="AM155" s="16">
        <f t="shared" si="40"/>
        <v>-2.8505445578970501E-2</v>
      </c>
      <c r="AN155" s="58">
        <f t="shared" si="41"/>
        <v>-2.850544557897039E-2</v>
      </c>
      <c r="AP155" s="56">
        <f t="shared" si="32"/>
        <v>0</v>
      </c>
      <c r="AQ155" s="56">
        <f t="shared" si="33"/>
        <v>0</v>
      </c>
    </row>
    <row r="156" spans="1:43" x14ac:dyDescent="0.2">
      <c r="A156" s="156" t="s">
        <v>357</v>
      </c>
      <c r="B156" s="156" t="s">
        <v>358</v>
      </c>
      <c r="D156" s="68">
        <v>416914.65763137524</v>
      </c>
      <c r="E156" s="73">
        <v>1363.8835706105535</v>
      </c>
      <c r="F156" s="55"/>
      <c r="G156" s="88">
        <v>433665.43708746979</v>
      </c>
      <c r="H156" s="81">
        <v>1396.0762866396317</v>
      </c>
      <c r="I156" s="90"/>
      <c r="J156" s="103">
        <f t="shared" si="34"/>
        <v>-3.8626042159582874E-2</v>
      </c>
      <c r="K156" s="126">
        <f t="shared" si="35"/>
        <v>-2.3059424715655252E-2</v>
      </c>
      <c r="L156" s="56">
        <v>435986</v>
      </c>
      <c r="M156" s="103">
        <v>2.5393432083560041E-2</v>
      </c>
      <c r="N156" s="97">
        <f>INDEX('Pace of change parameters'!$E$22:$I$22,1,$B$5)</f>
        <v>9.0547645222140982E-3</v>
      </c>
      <c r="O156" s="108">
        <f>MAX(L156,IF(INDEX('Pace of change parameters'!$E$30:$I$30,1,$B$5)=1,(1+M156)*D156,D156))</f>
        <v>435986</v>
      </c>
      <c r="P156" s="94">
        <f>IF(K156&lt;INDEX('Pace of change parameters'!$E$18:$I$18,1,$B$5),1,IF(K156&gt;INDEX('Pace of change parameters'!$E$19:$I$19,1,$B$5),0,(K156-INDEX('Pace of change parameters'!$E$19:$I$19,1,$B$5))/(INDEX('Pace of change parameters'!$E$18:$I$18,1,$B$5)-INDEX('Pace of change parameters'!$E$19:$I$19,1,$B$5))))</f>
        <v>0.48089547557348206</v>
      </c>
      <c r="Q156" s="57">
        <v>5.8792529401974658E-2</v>
      </c>
      <c r="R156" s="57">
        <v>4.1921679040485493E-2</v>
      </c>
      <c r="S156" s="9">
        <f>MAX(IF(INDEX('Pace of change parameters'!$E$31:$I$31,1,$B$5)=1,D156*(1+Q156),D156),L156)</f>
        <v>441426.12489828205</v>
      </c>
      <c r="T156" s="103">
        <f>IF(Q156&lt;INDEX('Pace of change parameters'!$E$24:$I$24,1,$B$5),INDEX('Pace of change parameters'!$E$24:$I$24,1,$B$5),Q156)</f>
        <v>5.8792529401974658E-2</v>
      </c>
      <c r="U156" s="132">
        <v>4.1921679040485493E-2</v>
      </c>
      <c r="V156" s="117">
        <f t="shared" si="36"/>
        <v>441426.12489828205</v>
      </c>
      <c r="W156" s="131">
        <f>IF(J156&gt;INDEX('Pace of change parameters'!$E$26:$I$26,1,$B$5),0,IF(J156&lt;INDEX('Pace of change parameters'!$E$25:$I$25,1,$B$5),1,(J156-INDEX('Pace of change parameters'!$E$26:$I$26,1,$B$5))/(INDEX('Pace of change parameters'!$E$25:$I$25,1,$B$5)-INDEX('Pace of change parameters'!$E$26:$I$26,1,$B$5))))</f>
        <v>1</v>
      </c>
      <c r="X156" s="132">
        <f>MIN(T156, T156+(INDEX('Pace of change parameters'!$E$27:$I$27,1,$B$5)-T156)*(1-W156))</f>
        <v>5.8792529401974658E-2</v>
      </c>
      <c r="Y156" s="132">
        <v>4.1921679040485493E-2</v>
      </c>
      <c r="Z156" s="108">
        <f t="shared" si="37"/>
        <v>441426.12489828205</v>
      </c>
      <c r="AA156" s="97">
        <v>-3.0213418455008689E-2</v>
      </c>
      <c r="AB156" s="99">
        <f t="shared" si="29"/>
        <v>438989.95965892461</v>
      </c>
      <c r="AC156" s="99">
        <f>MAX(IF(INDEX('Pace of change parameters'!$E$29:$I$29,1,$B$5)=1,MAX(AB156,Z156),Z156),L156)</f>
        <v>441426.12489828205</v>
      </c>
      <c r="AD156" s="97">
        <f t="shared" si="38"/>
        <v>5.8792529401974658E-2</v>
      </c>
      <c r="AE156" s="146">
        <v>4.1921679040485493E-2</v>
      </c>
      <c r="AF156" s="56">
        <f t="shared" si="39"/>
        <v>441426.12489828205</v>
      </c>
      <c r="AG156" s="56">
        <v>1421.0598599062807</v>
      </c>
      <c r="AH156" s="16">
        <f t="shared" si="30"/>
        <v>5.8792529401974658E-2</v>
      </c>
      <c r="AI156" s="16">
        <f t="shared" si="31"/>
        <v>4.1921679040485715E-2</v>
      </c>
      <c r="AJ156" s="56"/>
      <c r="AK156" s="56">
        <v>452666.56397695118</v>
      </c>
      <c r="AL156" s="56">
        <v>1457.2456130401699</v>
      </c>
      <c r="AM156" s="16">
        <f t="shared" si="40"/>
        <v>-2.4831608899749558E-2</v>
      </c>
      <c r="AN156" s="58">
        <f t="shared" si="41"/>
        <v>-2.4831608899749447E-2</v>
      </c>
      <c r="AP156" s="56">
        <f t="shared" si="32"/>
        <v>0</v>
      </c>
      <c r="AQ156" s="56">
        <f t="shared" si="33"/>
        <v>0</v>
      </c>
    </row>
    <row r="157" spans="1:43" x14ac:dyDescent="0.2">
      <c r="A157" s="156" t="s">
        <v>359</v>
      </c>
      <c r="B157" s="156" t="s">
        <v>360</v>
      </c>
      <c r="D157" s="68">
        <v>429696.61169002764</v>
      </c>
      <c r="E157" s="73">
        <v>1833.8416733458278</v>
      </c>
      <c r="F157" s="55"/>
      <c r="G157" s="88">
        <v>414001.82114406873</v>
      </c>
      <c r="H157" s="81">
        <v>1735.4338003638713</v>
      </c>
      <c r="I157" s="90"/>
      <c r="J157" s="103">
        <f t="shared" si="34"/>
        <v>3.790995532963426E-2</v>
      </c>
      <c r="K157" s="126">
        <f t="shared" si="35"/>
        <v>5.6705057237748324E-2</v>
      </c>
      <c r="L157" s="56">
        <v>447201</v>
      </c>
      <c r="M157" s="103">
        <v>2.7327339163855102E-2</v>
      </c>
      <c r="N157" s="97">
        <f>INDEX('Pace of change parameters'!$E$22:$I$22,1,$B$5)</f>
        <v>9.0547645222140982E-3</v>
      </c>
      <c r="O157" s="108">
        <f>MAX(L157,IF(INDEX('Pace of change parameters'!$E$30:$I$30,1,$B$5)=1,(1+M157)*D157,D157))</f>
        <v>447201</v>
      </c>
      <c r="P157" s="94">
        <f>IF(K157&lt;INDEX('Pace of change parameters'!$E$18:$I$18,1,$B$5),1,IF(K157&gt;INDEX('Pace of change parameters'!$E$19:$I$19,1,$B$5),0,(K157-INDEX('Pace of change parameters'!$E$19:$I$19,1,$B$5))/(INDEX('Pace of change parameters'!$E$18:$I$18,1,$B$5)-INDEX('Pace of change parameters'!$E$19:$I$19,1,$B$5))))</f>
        <v>0</v>
      </c>
      <c r="Q157" s="57">
        <v>2.7327339163855102E-2</v>
      </c>
      <c r="R157" s="57">
        <v>9.0547645222140982E-3</v>
      </c>
      <c r="S157" s="9">
        <f>MAX(IF(INDEX('Pace of change parameters'!$E$31:$I$31,1,$B$5)=1,D157*(1+Q157),D157),L157)</f>
        <v>447201</v>
      </c>
      <c r="T157" s="103">
        <f>IF(Q157&lt;INDEX('Pace of change parameters'!$E$24:$I$24,1,$B$5),INDEX('Pace of change parameters'!$E$24:$I$24,1,$B$5),Q157)</f>
        <v>3.0386941478720321E-2</v>
      </c>
      <c r="U157" s="132">
        <v>1.2059947170103946E-2</v>
      </c>
      <c r="V157" s="117">
        <f t="shared" si="36"/>
        <v>447201</v>
      </c>
      <c r="W157" s="131">
        <f>IF(J157&gt;INDEX('Pace of change parameters'!$E$26:$I$26,1,$B$5),0,IF(J157&lt;INDEX('Pace of change parameters'!$E$25:$I$25,1,$B$5),1,(J157-INDEX('Pace of change parameters'!$E$26:$I$26,1,$B$5))/(INDEX('Pace of change parameters'!$E$25:$I$25,1,$B$5)-INDEX('Pace of change parameters'!$E$26:$I$26,1,$B$5))))</f>
        <v>1</v>
      </c>
      <c r="X157" s="132">
        <f>MIN(T157, T157+(INDEX('Pace of change parameters'!$E$27:$I$27,1,$B$5)-T157)*(1-W157))</f>
        <v>3.0386941478720321E-2</v>
      </c>
      <c r="Y157" s="132">
        <v>1.2059947170103946E-2</v>
      </c>
      <c r="Z157" s="108">
        <f t="shared" si="37"/>
        <v>447201</v>
      </c>
      <c r="AA157" s="97">
        <v>-2.5000000000000001E-2</v>
      </c>
      <c r="AB157" s="99">
        <f t="shared" si="29"/>
        <v>421950.03252501239</v>
      </c>
      <c r="AC157" s="99">
        <f>MAX(IF(INDEX('Pace of change parameters'!$E$29:$I$29,1,$B$5)=1,MAX(AB157,Z157),Z157),L157)</f>
        <v>447201</v>
      </c>
      <c r="AD157" s="97">
        <f t="shared" si="38"/>
        <v>4.0736621685533825E-2</v>
      </c>
      <c r="AE157" s="146">
        <v>2.2225542619424221E-2</v>
      </c>
      <c r="AF157" s="56">
        <f t="shared" si="39"/>
        <v>447201</v>
      </c>
      <c r="AG157" s="56">
        <v>1874.5997996140516</v>
      </c>
      <c r="AH157" s="16">
        <f t="shared" si="30"/>
        <v>4.0736621685533825E-2</v>
      </c>
      <c r="AI157" s="16">
        <f t="shared" si="31"/>
        <v>2.2225542619424221E-2</v>
      </c>
      <c r="AJ157" s="56"/>
      <c r="AK157" s="56">
        <v>432769.26412821782</v>
      </c>
      <c r="AL157" s="56">
        <v>1814.1041183134153</v>
      </c>
      <c r="AM157" s="16">
        <f t="shared" si="40"/>
        <v>3.3347414125755481E-2</v>
      </c>
      <c r="AN157" s="58">
        <f t="shared" si="41"/>
        <v>3.3347414125755703E-2</v>
      </c>
      <c r="AP157" s="56">
        <f t="shared" si="32"/>
        <v>1</v>
      </c>
      <c r="AQ157" s="56">
        <f t="shared" si="33"/>
        <v>0</v>
      </c>
    </row>
    <row r="158" spans="1:43" x14ac:dyDescent="0.2">
      <c r="A158" s="156" t="s">
        <v>361</v>
      </c>
      <c r="B158" s="156" t="s">
        <v>362</v>
      </c>
      <c r="D158" s="68">
        <v>279964.01284587954</v>
      </c>
      <c r="E158" s="73">
        <v>1382.046940573621</v>
      </c>
      <c r="F158" s="55"/>
      <c r="G158" s="88">
        <v>279558.47265069652</v>
      </c>
      <c r="H158" s="81">
        <v>1357.2231173101618</v>
      </c>
      <c r="I158" s="90"/>
      <c r="J158" s="103">
        <f t="shared" si="34"/>
        <v>1.4506453384788287E-3</v>
      </c>
      <c r="K158" s="126">
        <f t="shared" si="35"/>
        <v>1.8290156531268531E-2</v>
      </c>
      <c r="L158" s="56">
        <v>291169</v>
      </c>
      <c r="M158" s="103">
        <v>2.6022139879555484E-2</v>
      </c>
      <c r="N158" s="97">
        <f>INDEX('Pace of change parameters'!$E$22:$I$22,1,$B$5)</f>
        <v>9.0547645222140982E-3</v>
      </c>
      <c r="O158" s="108">
        <f>MAX(L158,IF(INDEX('Pace of change parameters'!$E$30:$I$30,1,$B$5)=1,(1+M158)*D158,D158))</f>
        <v>291169</v>
      </c>
      <c r="P158" s="94">
        <f>IF(K158&lt;INDEX('Pace of change parameters'!$E$18:$I$18,1,$B$5),1,IF(K158&gt;INDEX('Pace of change parameters'!$E$19:$I$19,1,$B$5),0,(K158-INDEX('Pace of change parameters'!$E$19:$I$19,1,$B$5))/(INDEX('Pace of change parameters'!$E$18:$I$18,1,$B$5)-INDEX('Pace of change parameters'!$E$19:$I$19,1,$B$5))))</f>
        <v>0.10392782814050022</v>
      </c>
      <c r="Q158" s="57">
        <v>3.3244549079923358E-2</v>
      </c>
      <c r="R158" s="57">
        <v>1.6157736409171397E-2</v>
      </c>
      <c r="S158" s="9">
        <f>MAX(IF(INDEX('Pace of change parameters'!$E$31:$I$31,1,$B$5)=1,D158*(1+Q158),D158),L158)</f>
        <v>291169</v>
      </c>
      <c r="T158" s="103">
        <f>IF(Q158&lt;INDEX('Pace of change parameters'!$E$24:$I$24,1,$B$5),INDEX('Pace of change parameters'!$E$24:$I$24,1,$B$5),Q158)</f>
        <v>3.3244549079923358E-2</v>
      </c>
      <c r="U158" s="132">
        <v>1.6157736409171397E-2</v>
      </c>
      <c r="V158" s="117">
        <f t="shared" si="36"/>
        <v>291169</v>
      </c>
      <c r="W158" s="131">
        <f>IF(J158&gt;INDEX('Pace of change parameters'!$E$26:$I$26,1,$B$5),0,IF(J158&lt;INDEX('Pace of change parameters'!$E$25:$I$25,1,$B$5),1,(J158-INDEX('Pace of change parameters'!$E$26:$I$26,1,$B$5))/(INDEX('Pace of change parameters'!$E$25:$I$25,1,$B$5)-INDEX('Pace of change parameters'!$E$26:$I$26,1,$B$5))))</f>
        <v>1</v>
      </c>
      <c r="X158" s="132">
        <f>MIN(T158, T158+(INDEX('Pace of change parameters'!$E$27:$I$27,1,$B$5)-T158)*(1-W158))</f>
        <v>3.3244549079923358E-2</v>
      </c>
      <c r="Y158" s="132">
        <v>1.6157736409171397E-2</v>
      </c>
      <c r="Z158" s="108">
        <f t="shared" si="37"/>
        <v>291169</v>
      </c>
      <c r="AA158" s="97">
        <v>-2.5000000000000001E-2</v>
      </c>
      <c r="AB158" s="99">
        <f t="shared" si="29"/>
        <v>284588.61823041562</v>
      </c>
      <c r="AC158" s="99">
        <f>MAX(IF(INDEX('Pace of change parameters'!$E$29:$I$29,1,$B$5)=1,MAX(AB158,Z158),Z158),L158)</f>
        <v>291169</v>
      </c>
      <c r="AD158" s="97">
        <f t="shared" si="38"/>
        <v>4.002295523706767E-2</v>
      </c>
      <c r="AE158" s="146">
        <v>2.2824047751669463E-2</v>
      </c>
      <c r="AF158" s="56">
        <f t="shared" si="39"/>
        <v>291169</v>
      </c>
      <c r="AG158" s="56">
        <v>1413.590845940322</v>
      </c>
      <c r="AH158" s="16">
        <f t="shared" si="30"/>
        <v>4.002295523706767E-2</v>
      </c>
      <c r="AI158" s="16">
        <f t="shared" si="31"/>
        <v>2.2824047751669463E-2</v>
      </c>
      <c r="AJ158" s="56"/>
      <c r="AK158" s="56">
        <v>291885.76228760579</v>
      </c>
      <c r="AL158" s="56">
        <v>1417.0706415520622</v>
      </c>
      <c r="AM158" s="16">
        <f t="shared" si="40"/>
        <v>-2.455626070926753E-3</v>
      </c>
      <c r="AN158" s="58">
        <f t="shared" si="41"/>
        <v>-2.455626070926753E-3</v>
      </c>
      <c r="AP158" s="56">
        <f t="shared" si="32"/>
        <v>1</v>
      </c>
      <c r="AQ158" s="56">
        <f t="shared" si="33"/>
        <v>0</v>
      </c>
    </row>
    <row r="159" spans="1:43" x14ac:dyDescent="0.2">
      <c r="A159" s="156" t="s">
        <v>363</v>
      </c>
      <c r="B159" s="156" t="s">
        <v>364</v>
      </c>
      <c r="D159" s="68">
        <v>632912.94288654043</v>
      </c>
      <c r="E159" s="73">
        <v>1648.4726555169973</v>
      </c>
      <c r="F159" s="55"/>
      <c r="G159" s="88">
        <v>633757.5417904671</v>
      </c>
      <c r="H159" s="81">
        <v>1631.4905997622475</v>
      </c>
      <c r="I159" s="90"/>
      <c r="J159" s="103">
        <f t="shared" si="34"/>
        <v>-1.3326845808264709E-3</v>
      </c>
      <c r="K159" s="126">
        <f t="shared" si="35"/>
        <v>1.0408920380678088E-2</v>
      </c>
      <c r="L159" s="56">
        <v>659772</v>
      </c>
      <c r="M159" s="103">
        <v>2.0918497565856287E-2</v>
      </c>
      <c r="N159" s="97">
        <f>INDEX('Pace of change parameters'!$E$22:$I$22,1,$B$5)</f>
        <v>9.0547645222140982E-3</v>
      </c>
      <c r="O159" s="108">
        <f>MAX(L159,IF(INDEX('Pace of change parameters'!$E$30:$I$30,1,$B$5)=1,(1+M159)*D159,D159))</f>
        <v>659772</v>
      </c>
      <c r="P159" s="94">
        <f>IF(K159&lt;INDEX('Pace of change parameters'!$E$18:$I$18,1,$B$5),1,IF(K159&gt;INDEX('Pace of change parameters'!$E$19:$I$19,1,$B$5),0,(K159-INDEX('Pace of change parameters'!$E$19:$I$19,1,$B$5))/(INDEX('Pace of change parameters'!$E$18:$I$18,1,$B$5)-INDEX('Pace of change parameters'!$E$19:$I$19,1,$B$5))))</f>
        <v>0.1757779161210859</v>
      </c>
      <c r="Q159" s="57">
        <v>3.3073327619193904E-2</v>
      </c>
      <c r="R159" s="57">
        <v>2.1068347591304271E-2</v>
      </c>
      <c r="S159" s="9">
        <f>MAX(IF(INDEX('Pace of change parameters'!$E$31:$I$31,1,$B$5)=1,D159*(1+Q159),D159),L159)</f>
        <v>659772</v>
      </c>
      <c r="T159" s="103">
        <f>IF(Q159&lt;INDEX('Pace of change parameters'!$E$24:$I$24,1,$B$5),INDEX('Pace of change parameters'!$E$24:$I$24,1,$B$5),Q159)</f>
        <v>3.3073327619193904E-2</v>
      </c>
      <c r="U159" s="132">
        <v>2.1068347591304271E-2</v>
      </c>
      <c r="V159" s="117">
        <f t="shared" si="36"/>
        <v>659772</v>
      </c>
      <c r="W159" s="131">
        <f>IF(J159&gt;INDEX('Pace of change parameters'!$E$26:$I$26,1,$B$5),0,IF(J159&lt;INDEX('Pace of change parameters'!$E$25:$I$25,1,$B$5),1,(J159-INDEX('Pace of change parameters'!$E$26:$I$26,1,$B$5))/(INDEX('Pace of change parameters'!$E$25:$I$25,1,$B$5)-INDEX('Pace of change parameters'!$E$26:$I$26,1,$B$5))))</f>
        <v>1</v>
      </c>
      <c r="X159" s="132">
        <f>MIN(T159, T159+(INDEX('Pace of change parameters'!$E$27:$I$27,1,$B$5)-T159)*(1-W159))</f>
        <v>3.3073327619193904E-2</v>
      </c>
      <c r="Y159" s="132">
        <v>2.1068347591304271E-2</v>
      </c>
      <c r="Z159" s="108">
        <f t="shared" si="37"/>
        <v>659772</v>
      </c>
      <c r="AA159" s="97">
        <v>-2.5000000000000001E-2</v>
      </c>
      <c r="AB159" s="99">
        <f t="shared" si="29"/>
        <v>646504.56888767402</v>
      </c>
      <c r="AC159" s="99">
        <f>MAX(IF(INDEX('Pace of change parameters'!$E$29:$I$29,1,$B$5)=1,MAX(AB159,Z159),Z159),L159)</f>
        <v>659772</v>
      </c>
      <c r="AD159" s="97">
        <f t="shared" si="38"/>
        <v>4.2437206278264528E-2</v>
      </c>
      <c r="AE159" s="146">
        <v>3.0323411925892385E-2</v>
      </c>
      <c r="AF159" s="56">
        <f t="shared" si="39"/>
        <v>659772</v>
      </c>
      <c r="AG159" s="56">
        <v>1698.4599708988089</v>
      </c>
      <c r="AH159" s="16">
        <f t="shared" si="30"/>
        <v>4.2437206278264528E-2</v>
      </c>
      <c r="AI159" s="16">
        <f t="shared" si="31"/>
        <v>3.0323411925892385E-2</v>
      </c>
      <c r="AJ159" s="56"/>
      <c r="AK159" s="56">
        <v>663081.6091155631</v>
      </c>
      <c r="AL159" s="56">
        <v>1706.9799423466816</v>
      </c>
      <c r="AM159" s="16">
        <f t="shared" si="40"/>
        <v>-4.9912545757038185E-3</v>
      </c>
      <c r="AN159" s="58">
        <f t="shared" si="41"/>
        <v>-4.9912545757039295E-3</v>
      </c>
      <c r="AP159" s="56">
        <f t="shared" si="32"/>
        <v>1</v>
      </c>
      <c r="AQ159" s="56">
        <f t="shared" si="33"/>
        <v>0</v>
      </c>
    </row>
    <row r="160" spans="1:43" x14ac:dyDescent="0.2">
      <c r="A160" s="156" t="s">
        <v>365</v>
      </c>
      <c r="B160" s="156" t="s">
        <v>366</v>
      </c>
      <c r="D160" s="68">
        <v>533016.79549297527</v>
      </c>
      <c r="E160" s="73">
        <v>1704.0124407945477</v>
      </c>
      <c r="F160" s="55"/>
      <c r="G160" s="88">
        <v>524583.79793022829</v>
      </c>
      <c r="H160" s="81">
        <v>1652.8820735503912</v>
      </c>
      <c r="I160" s="90"/>
      <c r="J160" s="103">
        <f t="shared" si="34"/>
        <v>1.6075596684494986E-2</v>
      </c>
      <c r="K160" s="126">
        <f t="shared" si="35"/>
        <v>3.0934068474908427E-2</v>
      </c>
      <c r="L160" s="56">
        <v>554889</v>
      </c>
      <c r="M160" s="103">
        <v>2.3810567931486393E-2</v>
      </c>
      <c r="N160" s="97">
        <f>INDEX('Pace of change parameters'!$E$22:$I$22,1,$B$5)</f>
        <v>9.0547645222140982E-3</v>
      </c>
      <c r="O160" s="108">
        <f>MAX(L160,IF(INDEX('Pace of change parameters'!$E$30:$I$30,1,$B$5)=1,(1+M160)*D160,D160))</f>
        <v>554889</v>
      </c>
      <c r="P160" s="94">
        <f>IF(K160&lt;INDEX('Pace of change parameters'!$E$18:$I$18,1,$B$5),1,IF(K160&gt;INDEX('Pace of change parameters'!$E$19:$I$19,1,$B$5),0,(K160-INDEX('Pace of change parameters'!$E$19:$I$19,1,$B$5))/(INDEX('Pace of change parameters'!$E$18:$I$18,1,$B$5)-INDEX('Pace of change parameters'!$E$19:$I$19,1,$B$5))))</f>
        <v>0</v>
      </c>
      <c r="Q160" s="57">
        <v>2.3810567931486393E-2</v>
      </c>
      <c r="R160" s="57">
        <v>9.0547645222140982E-3</v>
      </c>
      <c r="S160" s="9">
        <f>MAX(IF(INDEX('Pace of change parameters'!$E$31:$I$31,1,$B$5)=1,D160*(1+Q160),D160),L160)</f>
        <v>554889</v>
      </c>
      <c r="T160" s="103">
        <f>IF(Q160&lt;INDEX('Pace of change parameters'!$E$24:$I$24,1,$B$5),INDEX('Pace of change parameters'!$E$24:$I$24,1,$B$5),Q160)</f>
        <v>3.0386941478720321E-2</v>
      </c>
      <c r="U160" s="132">
        <v>1.5536355227535159E-2</v>
      </c>
      <c r="V160" s="117">
        <f t="shared" si="36"/>
        <v>554889</v>
      </c>
      <c r="W160" s="131">
        <f>IF(J160&gt;INDEX('Pace of change parameters'!$E$26:$I$26,1,$B$5),0,IF(J160&lt;INDEX('Pace of change parameters'!$E$25:$I$25,1,$B$5),1,(J160-INDEX('Pace of change parameters'!$E$26:$I$26,1,$B$5))/(INDEX('Pace of change parameters'!$E$25:$I$25,1,$B$5)-INDEX('Pace of change parameters'!$E$26:$I$26,1,$B$5))))</f>
        <v>1</v>
      </c>
      <c r="X160" s="132">
        <f>MIN(T160, T160+(INDEX('Pace of change parameters'!$E$27:$I$27,1,$B$5)-T160)*(1-W160))</f>
        <v>3.0386941478720321E-2</v>
      </c>
      <c r="Y160" s="132">
        <v>1.5536355227535159E-2</v>
      </c>
      <c r="Z160" s="108">
        <f t="shared" si="37"/>
        <v>554889</v>
      </c>
      <c r="AA160" s="97">
        <v>-2.5000000000000001E-2</v>
      </c>
      <c r="AB160" s="99">
        <f t="shared" si="29"/>
        <v>534572.19458751462</v>
      </c>
      <c r="AC160" s="99">
        <f>MAX(IF(INDEX('Pace of change parameters'!$E$29:$I$29,1,$B$5)=1,MAX(AB160,Z160),Z160),L160)</f>
        <v>554889</v>
      </c>
      <c r="AD160" s="97">
        <f t="shared" si="38"/>
        <v>4.1034737914394714E-2</v>
      </c>
      <c r="AE160" s="146">
        <v>2.6030688907629385E-2</v>
      </c>
      <c r="AF160" s="56">
        <f t="shared" si="39"/>
        <v>554889</v>
      </c>
      <c r="AG160" s="56">
        <v>1748.3690585356007</v>
      </c>
      <c r="AH160" s="16">
        <f t="shared" si="30"/>
        <v>4.1034737914394714E-2</v>
      </c>
      <c r="AI160" s="16">
        <f t="shared" si="31"/>
        <v>2.6030688907629385E-2</v>
      </c>
      <c r="AJ160" s="56"/>
      <c r="AK160" s="56">
        <v>548279.17393591243</v>
      </c>
      <c r="AL160" s="56">
        <v>1727.5425231875352</v>
      </c>
      <c r="AM160" s="16">
        <f t="shared" si="40"/>
        <v>1.2055584779260942E-2</v>
      </c>
      <c r="AN160" s="58">
        <f t="shared" si="41"/>
        <v>1.2055584779260942E-2</v>
      </c>
      <c r="AP160" s="56">
        <f t="shared" si="32"/>
        <v>1</v>
      </c>
      <c r="AQ160" s="56">
        <f t="shared" si="33"/>
        <v>0</v>
      </c>
    </row>
    <row r="161" spans="1:43" x14ac:dyDescent="0.2">
      <c r="A161" s="156" t="s">
        <v>367</v>
      </c>
      <c r="B161" s="156" t="s">
        <v>368</v>
      </c>
      <c r="D161" s="68">
        <v>309746.73253750487</v>
      </c>
      <c r="E161" s="73">
        <v>1403.7094235893867</v>
      </c>
      <c r="F161" s="55"/>
      <c r="G161" s="88">
        <v>307362.51440310566</v>
      </c>
      <c r="H161" s="81">
        <v>1374.1875275153207</v>
      </c>
      <c r="I161" s="90"/>
      <c r="J161" s="103">
        <f t="shared" si="34"/>
        <v>7.757023132860974E-3</v>
      </c>
      <c r="K161" s="126">
        <f t="shared" si="35"/>
        <v>2.1483164039077574E-2</v>
      </c>
      <c r="L161" s="56">
        <v>321937</v>
      </c>
      <c r="M161" s="103">
        <v>2.2798581297475806E-2</v>
      </c>
      <c r="N161" s="97">
        <f>INDEX('Pace of change parameters'!$E$22:$I$22,1,$B$5)</f>
        <v>9.0547645222140982E-3</v>
      </c>
      <c r="O161" s="108">
        <f>MAX(L161,IF(INDEX('Pace of change parameters'!$E$30:$I$30,1,$B$5)=1,(1+M161)*D161,D161))</f>
        <v>321937</v>
      </c>
      <c r="P161" s="94">
        <f>IF(K161&lt;INDEX('Pace of change parameters'!$E$18:$I$18,1,$B$5),1,IF(K161&gt;INDEX('Pace of change parameters'!$E$19:$I$19,1,$B$5),0,(K161-INDEX('Pace of change parameters'!$E$19:$I$19,1,$B$5))/(INDEX('Pace of change parameters'!$E$18:$I$18,1,$B$5)-INDEX('Pace of change parameters'!$E$19:$I$19,1,$B$5))))</f>
        <v>7.4818451644839343E-2</v>
      </c>
      <c r="Q161" s="57">
        <v>2.7981714142377268E-2</v>
      </c>
      <c r="R161" s="57">
        <v>1.4168249217964002E-2</v>
      </c>
      <c r="S161" s="9">
        <f>MAX(IF(INDEX('Pace of change parameters'!$E$31:$I$31,1,$B$5)=1,D161*(1+Q161),D161),L161)</f>
        <v>321937</v>
      </c>
      <c r="T161" s="103">
        <f>IF(Q161&lt;INDEX('Pace of change parameters'!$E$24:$I$24,1,$B$5),INDEX('Pace of change parameters'!$E$24:$I$24,1,$B$5),Q161)</f>
        <v>3.0386941478720321E-2</v>
      </c>
      <c r="U161" s="132">
        <v>1.6541156404066282E-2</v>
      </c>
      <c r="V161" s="117">
        <f t="shared" si="36"/>
        <v>321937</v>
      </c>
      <c r="W161" s="131">
        <f>IF(J161&gt;INDEX('Pace of change parameters'!$E$26:$I$26,1,$B$5),0,IF(J161&lt;INDEX('Pace of change parameters'!$E$25:$I$25,1,$B$5),1,(J161-INDEX('Pace of change parameters'!$E$26:$I$26,1,$B$5))/(INDEX('Pace of change parameters'!$E$25:$I$25,1,$B$5)-INDEX('Pace of change parameters'!$E$26:$I$26,1,$B$5))))</f>
        <v>1</v>
      </c>
      <c r="X161" s="132">
        <f>MIN(T161, T161+(INDEX('Pace of change parameters'!$E$27:$I$27,1,$B$5)-T161)*(1-W161))</f>
        <v>3.0386941478720321E-2</v>
      </c>
      <c r="Y161" s="132">
        <v>1.6541156404066282E-2</v>
      </c>
      <c r="Z161" s="108">
        <f t="shared" si="37"/>
        <v>321937</v>
      </c>
      <c r="AA161" s="97">
        <v>-2.5000000000000001E-2</v>
      </c>
      <c r="AB161" s="99">
        <f t="shared" si="29"/>
        <v>312977.42050711054</v>
      </c>
      <c r="AC161" s="99">
        <f>MAX(IF(INDEX('Pace of change parameters'!$E$29:$I$29,1,$B$5)=1,MAX(AB161,Z161),Z161),L161)</f>
        <v>321937</v>
      </c>
      <c r="AD161" s="97">
        <f t="shared" si="38"/>
        <v>3.9355596627703271E-2</v>
      </c>
      <c r="AE161" s="146">
        <v>2.5389295592876726E-2</v>
      </c>
      <c r="AF161" s="56">
        <f t="shared" si="39"/>
        <v>321937</v>
      </c>
      <c r="AG161" s="56">
        <v>1439.3486170714043</v>
      </c>
      <c r="AH161" s="16">
        <f t="shared" si="30"/>
        <v>3.9355596627703271E-2</v>
      </c>
      <c r="AI161" s="16">
        <f t="shared" si="31"/>
        <v>2.5389295592876726E-2</v>
      </c>
      <c r="AJ161" s="56"/>
      <c r="AK161" s="56">
        <v>321002.48257139541</v>
      </c>
      <c r="AL161" s="56">
        <v>1435.1704816955664</v>
      </c>
      <c r="AM161" s="16">
        <f t="shared" si="40"/>
        <v>2.9112467327936375E-3</v>
      </c>
      <c r="AN161" s="58">
        <f t="shared" si="41"/>
        <v>2.9112467327934155E-3</v>
      </c>
      <c r="AP161" s="56">
        <f t="shared" si="32"/>
        <v>1</v>
      </c>
      <c r="AQ161" s="56">
        <f t="shared" si="33"/>
        <v>0</v>
      </c>
    </row>
    <row r="162" spans="1:43" x14ac:dyDescent="0.2">
      <c r="A162" s="156" t="s">
        <v>369</v>
      </c>
      <c r="B162" s="156" t="s">
        <v>370</v>
      </c>
      <c r="D162" s="68">
        <v>541271.84647861822</v>
      </c>
      <c r="E162" s="73">
        <v>1457.4766449060205</v>
      </c>
      <c r="F162" s="55"/>
      <c r="G162" s="88">
        <v>523417.09611979633</v>
      </c>
      <c r="H162" s="81">
        <v>1385.7942889132635</v>
      </c>
      <c r="I162" s="90"/>
      <c r="J162" s="103">
        <f t="shared" si="34"/>
        <v>3.4111897550124004E-2</v>
      </c>
      <c r="K162" s="126">
        <f t="shared" si="35"/>
        <v>5.172654885810668E-2</v>
      </c>
      <c r="L162" s="56">
        <v>562436</v>
      </c>
      <c r="M162" s="103">
        <v>2.6242602579028995E-2</v>
      </c>
      <c r="N162" s="97">
        <f>INDEX('Pace of change parameters'!$E$22:$I$22,1,$B$5)</f>
        <v>9.0547645222140982E-3</v>
      </c>
      <c r="O162" s="108">
        <f>MAX(L162,IF(INDEX('Pace of change parameters'!$E$30:$I$30,1,$B$5)=1,(1+M162)*D162,D162))</f>
        <v>562436</v>
      </c>
      <c r="P162" s="94">
        <f>IF(K162&lt;INDEX('Pace of change parameters'!$E$18:$I$18,1,$B$5),1,IF(K162&gt;INDEX('Pace of change parameters'!$E$19:$I$19,1,$B$5),0,(K162-INDEX('Pace of change parameters'!$E$19:$I$19,1,$B$5))/(INDEX('Pace of change parameters'!$E$18:$I$18,1,$B$5)-INDEX('Pace of change parameters'!$E$19:$I$19,1,$B$5))))</f>
        <v>0</v>
      </c>
      <c r="Q162" s="57">
        <v>2.6242602579028995E-2</v>
      </c>
      <c r="R162" s="57">
        <v>9.0547645222140982E-3</v>
      </c>
      <c r="S162" s="9">
        <f>MAX(IF(INDEX('Pace of change parameters'!$E$31:$I$31,1,$B$5)=1,D162*(1+Q162),D162),L162)</f>
        <v>562436</v>
      </c>
      <c r="T162" s="103">
        <f>IF(Q162&lt;INDEX('Pace of change parameters'!$E$24:$I$24,1,$B$5),INDEX('Pace of change parameters'!$E$24:$I$24,1,$B$5),Q162)</f>
        <v>3.0386941478720321E-2</v>
      </c>
      <c r="U162" s="132">
        <v>1.31296927136757E-2</v>
      </c>
      <c r="V162" s="117">
        <f t="shared" si="36"/>
        <v>562436</v>
      </c>
      <c r="W162" s="131">
        <f>IF(J162&gt;INDEX('Pace of change parameters'!$E$26:$I$26,1,$B$5),0,IF(J162&lt;INDEX('Pace of change parameters'!$E$25:$I$25,1,$B$5),1,(J162-INDEX('Pace of change parameters'!$E$26:$I$26,1,$B$5))/(INDEX('Pace of change parameters'!$E$25:$I$25,1,$B$5)-INDEX('Pace of change parameters'!$E$26:$I$26,1,$B$5))))</f>
        <v>1</v>
      </c>
      <c r="X162" s="132">
        <f>MIN(T162, T162+(INDEX('Pace of change parameters'!$E$27:$I$27,1,$B$5)-T162)*(1-W162))</f>
        <v>3.0386941478720321E-2</v>
      </c>
      <c r="Y162" s="132">
        <v>1.31296927136757E-2</v>
      </c>
      <c r="Z162" s="108">
        <f t="shared" si="37"/>
        <v>562436</v>
      </c>
      <c r="AA162" s="97">
        <v>-2.5000000000000001E-2</v>
      </c>
      <c r="AB162" s="99">
        <f t="shared" si="29"/>
        <v>532887.43505870248</v>
      </c>
      <c r="AC162" s="99">
        <f>MAX(IF(INDEX('Pace of change parameters'!$E$29:$I$29,1,$B$5)=1,MAX(AB162,Z162),Z162),L162)</f>
        <v>562436</v>
      </c>
      <c r="AD162" s="97">
        <f t="shared" si="38"/>
        <v>3.9100783938921913E-2</v>
      </c>
      <c r="AE162" s="146">
        <v>2.169759296422602E-2</v>
      </c>
      <c r="AF162" s="56">
        <f t="shared" si="39"/>
        <v>562436</v>
      </c>
      <c r="AG162" s="56">
        <v>1489.1003799020571</v>
      </c>
      <c r="AH162" s="16">
        <f t="shared" si="30"/>
        <v>3.9100783938921913E-2</v>
      </c>
      <c r="AI162" s="16">
        <f t="shared" si="31"/>
        <v>2.169759296422602E-2</v>
      </c>
      <c r="AJ162" s="56"/>
      <c r="AK162" s="56">
        <v>546551.21544482303</v>
      </c>
      <c r="AL162" s="56">
        <v>1447.0439704336441</v>
      </c>
      <c r="AM162" s="16">
        <f t="shared" si="40"/>
        <v>2.9063670716108048E-2</v>
      </c>
      <c r="AN162" s="58">
        <f t="shared" si="41"/>
        <v>2.9063670716108048E-2</v>
      </c>
      <c r="AP162" s="56">
        <f t="shared" si="32"/>
        <v>1</v>
      </c>
      <c r="AQ162" s="56">
        <f t="shared" si="33"/>
        <v>0</v>
      </c>
    </row>
    <row r="163" spans="1:43" x14ac:dyDescent="0.2">
      <c r="A163" s="156" t="s">
        <v>371</v>
      </c>
      <c r="B163" s="156" t="s">
        <v>372</v>
      </c>
      <c r="D163" s="68">
        <v>416963.74424146814</v>
      </c>
      <c r="E163" s="73">
        <v>1385.8601530277799</v>
      </c>
      <c r="F163" s="55"/>
      <c r="G163" s="88">
        <v>434204.51983621437</v>
      </c>
      <c r="H163" s="81">
        <v>1417.1917632474672</v>
      </c>
      <c r="I163" s="90"/>
      <c r="J163" s="103">
        <f t="shared" si="34"/>
        <v>-3.9706577907686391E-2</v>
      </c>
      <c r="K163" s="126">
        <f t="shared" si="35"/>
        <v>-2.2108236183853824E-2</v>
      </c>
      <c r="L163" s="56">
        <v>435030</v>
      </c>
      <c r="M163" s="103">
        <v>2.7546706834421508E-2</v>
      </c>
      <c r="N163" s="97">
        <f>INDEX('Pace of change parameters'!$E$22:$I$22,1,$B$5)</f>
        <v>9.0547645222140982E-3</v>
      </c>
      <c r="O163" s="108">
        <f>MAX(L163,IF(INDEX('Pace of change parameters'!$E$30:$I$30,1,$B$5)=1,(1+M163)*D163,D163))</f>
        <v>435030</v>
      </c>
      <c r="P163" s="94">
        <f>IF(K163&lt;INDEX('Pace of change parameters'!$E$18:$I$18,1,$B$5),1,IF(K163&gt;INDEX('Pace of change parameters'!$E$19:$I$19,1,$B$5),0,(K163-INDEX('Pace of change parameters'!$E$19:$I$19,1,$B$5))/(INDEX('Pace of change parameters'!$E$18:$I$18,1,$B$5)-INDEX('Pace of change parameters'!$E$19:$I$19,1,$B$5))))</f>
        <v>0.47222386893840662</v>
      </c>
      <c r="Q163" s="57">
        <v>6.0412416438869077E-2</v>
      </c>
      <c r="R163" s="57">
        <v>4.1329016043040623E-2</v>
      </c>
      <c r="S163" s="9">
        <f>MAX(IF(INDEX('Pace of change parameters'!$E$31:$I$31,1,$B$5)=1,D163*(1+Q163),D163),L163)</f>
        <v>442153.53159849381</v>
      </c>
      <c r="T163" s="103">
        <f>IF(Q163&lt;INDEX('Pace of change parameters'!$E$24:$I$24,1,$B$5),INDEX('Pace of change parameters'!$E$24:$I$24,1,$B$5),Q163)</f>
        <v>6.0412416438869077E-2</v>
      </c>
      <c r="U163" s="132">
        <v>4.1329016043040623E-2</v>
      </c>
      <c r="V163" s="117">
        <f t="shared" si="36"/>
        <v>442153.53159849381</v>
      </c>
      <c r="W163" s="131">
        <f>IF(J163&gt;INDEX('Pace of change parameters'!$E$26:$I$26,1,$B$5),0,IF(J163&lt;INDEX('Pace of change parameters'!$E$25:$I$25,1,$B$5),1,(J163-INDEX('Pace of change parameters'!$E$26:$I$26,1,$B$5))/(INDEX('Pace of change parameters'!$E$25:$I$25,1,$B$5)-INDEX('Pace of change parameters'!$E$26:$I$26,1,$B$5))))</f>
        <v>1</v>
      </c>
      <c r="X163" s="132">
        <f>MIN(T163, T163+(INDEX('Pace of change parameters'!$E$27:$I$27,1,$B$5)-T163)*(1-W163))</f>
        <v>6.0412416438869077E-2</v>
      </c>
      <c r="Y163" s="132">
        <v>4.1329016043040623E-2</v>
      </c>
      <c r="Z163" s="108">
        <f t="shared" si="37"/>
        <v>442153.53159849381</v>
      </c>
      <c r="AA163" s="97">
        <v>-2.927046440107961E-2</v>
      </c>
      <c r="AB163" s="99">
        <f t="shared" si="29"/>
        <v>440039.19429822906</v>
      </c>
      <c r="AC163" s="99">
        <f>MAX(IF(INDEX('Pace of change parameters'!$E$29:$I$29,1,$B$5)=1,MAX(AB163,Z163),Z163),L163)</f>
        <v>442153.53159849381</v>
      </c>
      <c r="AD163" s="97">
        <f t="shared" si="38"/>
        <v>6.0412416438869077E-2</v>
      </c>
      <c r="AE163" s="146">
        <v>4.1329016043040623E-2</v>
      </c>
      <c r="AF163" s="56">
        <f t="shared" si="39"/>
        <v>442153.53159849381</v>
      </c>
      <c r="AG163" s="56">
        <v>1443.1363895256759</v>
      </c>
      <c r="AH163" s="16">
        <f t="shared" si="30"/>
        <v>6.0412416438869077E-2</v>
      </c>
      <c r="AI163" s="16">
        <f t="shared" si="31"/>
        <v>4.1329016043040623E-2</v>
      </c>
      <c r="AJ163" s="56"/>
      <c r="AK163" s="56">
        <v>453307.72183287266</v>
      </c>
      <c r="AL163" s="56">
        <v>1479.542336040972</v>
      </c>
      <c r="AM163" s="16">
        <f t="shared" si="40"/>
        <v>-2.4606221551397356E-2</v>
      </c>
      <c r="AN163" s="58">
        <f t="shared" si="41"/>
        <v>-2.4606221551397356E-2</v>
      </c>
      <c r="AP163" s="56">
        <f t="shared" si="32"/>
        <v>0</v>
      </c>
      <c r="AQ163" s="56">
        <f t="shared" si="33"/>
        <v>0</v>
      </c>
    </row>
    <row r="164" spans="1:43" x14ac:dyDescent="0.2">
      <c r="A164" s="156" t="s">
        <v>373</v>
      </c>
      <c r="B164" s="156" t="s">
        <v>374</v>
      </c>
      <c r="D164" s="68">
        <v>287578.95532682107</v>
      </c>
      <c r="E164" s="73">
        <v>1370.8205281897795</v>
      </c>
      <c r="F164" s="55"/>
      <c r="G164" s="88">
        <v>280279.87538391817</v>
      </c>
      <c r="H164" s="81">
        <v>1318.4698155464907</v>
      </c>
      <c r="I164" s="90"/>
      <c r="J164" s="103">
        <f t="shared" si="34"/>
        <v>2.6042112131329009E-2</v>
      </c>
      <c r="K164" s="126">
        <f t="shared" si="35"/>
        <v>3.9705658806902466E-2</v>
      </c>
      <c r="L164" s="56">
        <v>298854</v>
      </c>
      <c r="M164" s="103">
        <v>2.2492094930241624E-2</v>
      </c>
      <c r="N164" s="97">
        <f>INDEX('Pace of change parameters'!$E$22:$I$22,1,$B$5)</f>
        <v>9.0547645222140982E-3</v>
      </c>
      <c r="O164" s="108">
        <f>MAX(L164,IF(INDEX('Pace of change parameters'!$E$30:$I$30,1,$B$5)=1,(1+M164)*D164,D164))</f>
        <v>298854</v>
      </c>
      <c r="P164" s="94">
        <f>IF(K164&lt;INDEX('Pace of change parameters'!$E$18:$I$18,1,$B$5),1,IF(K164&gt;INDEX('Pace of change parameters'!$E$19:$I$19,1,$B$5),0,(K164-INDEX('Pace of change parameters'!$E$19:$I$19,1,$B$5))/(INDEX('Pace of change parameters'!$E$18:$I$18,1,$B$5)-INDEX('Pace of change parameters'!$E$19:$I$19,1,$B$5))))</f>
        <v>0</v>
      </c>
      <c r="Q164" s="57">
        <v>2.2492094930241624E-2</v>
      </c>
      <c r="R164" s="57">
        <v>9.0547645222140982E-3</v>
      </c>
      <c r="S164" s="9">
        <f>MAX(IF(INDEX('Pace of change parameters'!$E$31:$I$31,1,$B$5)=1,D164*(1+Q164),D164),L164)</f>
        <v>298854</v>
      </c>
      <c r="T164" s="103">
        <f>IF(Q164&lt;INDEX('Pace of change parameters'!$E$24:$I$24,1,$B$5),INDEX('Pace of change parameters'!$E$24:$I$24,1,$B$5),Q164)</f>
        <v>3.0386941478720321E-2</v>
      </c>
      <c r="U164" s="132">
        <v>1.6845859010292008E-2</v>
      </c>
      <c r="V164" s="117">
        <f t="shared" si="36"/>
        <v>298854</v>
      </c>
      <c r="W164" s="131">
        <f>IF(J164&gt;INDEX('Pace of change parameters'!$E$26:$I$26,1,$B$5),0,IF(J164&lt;INDEX('Pace of change parameters'!$E$25:$I$25,1,$B$5),1,(J164-INDEX('Pace of change parameters'!$E$26:$I$26,1,$B$5))/(INDEX('Pace of change parameters'!$E$25:$I$25,1,$B$5)-INDEX('Pace of change parameters'!$E$26:$I$26,1,$B$5))))</f>
        <v>1</v>
      </c>
      <c r="X164" s="132">
        <f>MIN(T164, T164+(INDEX('Pace of change parameters'!$E$27:$I$27,1,$B$5)-T164)*(1-W164))</f>
        <v>3.0386941478720321E-2</v>
      </c>
      <c r="Y164" s="132">
        <v>1.6845859010292008E-2</v>
      </c>
      <c r="Z164" s="108">
        <f t="shared" si="37"/>
        <v>298854</v>
      </c>
      <c r="AA164" s="97">
        <v>-2.5000000000000001E-2</v>
      </c>
      <c r="AB164" s="99">
        <f t="shared" si="29"/>
        <v>285262.16830962675</v>
      </c>
      <c r="AC164" s="99">
        <f>MAX(IF(INDEX('Pace of change parameters'!$E$29:$I$29,1,$B$5)=1,MAX(AB164,Z164),Z164),L164)</f>
        <v>298854</v>
      </c>
      <c r="AD164" s="97">
        <f t="shared" ref="AD164:AD220" si="42">AC164/D164-1</f>
        <v>3.920677944032902E-2</v>
      </c>
      <c r="AE164" s="146">
        <v>2.5549788910192328E-2</v>
      </c>
      <c r="AF164" s="56">
        <f t="shared" si="39"/>
        <v>298854</v>
      </c>
      <c r="AG164" s="56">
        <v>1405.8447033187867</v>
      </c>
      <c r="AH164" s="16">
        <f t="shared" si="30"/>
        <v>3.920677944032902E-2</v>
      </c>
      <c r="AI164" s="16">
        <f t="shared" si="31"/>
        <v>2.5549788910192328E-2</v>
      </c>
      <c r="AJ164" s="56"/>
      <c r="AK164" s="56">
        <v>292576.58288166847</v>
      </c>
      <c r="AL164" s="56">
        <v>1376.3149877843482</v>
      </c>
      <c r="AM164" s="16">
        <f t="shared" ref="AM164:AM220" si="43">AF164/AK164-1</f>
        <v>2.145563755138391E-2</v>
      </c>
      <c r="AN164" s="58">
        <f t="shared" ref="AN164:AN220" si="44">AG164/AL164-1</f>
        <v>2.1455637551384132E-2</v>
      </c>
      <c r="AP164" s="56">
        <f t="shared" si="32"/>
        <v>1</v>
      </c>
      <c r="AQ164" s="56">
        <f t="shared" si="33"/>
        <v>0</v>
      </c>
    </row>
    <row r="165" spans="1:43" x14ac:dyDescent="0.2">
      <c r="A165" s="156" t="s">
        <v>375</v>
      </c>
      <c r="B165" s="156" t="s">
        <v>376</v>
      </c>
      <c r="D165" s="68">
        <v>528513.15756465378</v>
      </c>
      <c r="E165" s="73">
        <v>1692.6395474172398</v>
      </c>
      <c r="F165" s="55"/>
      <c r="G165" s="88">
        <v>516724.40837712563</v>
      </c>
      <c r="H165" s="81">
        <v>1631.2131571539996</v>
      </c>
      <c r="I165" s="90"/>
      <c r="J165" s="103">
        <f t="shared" si="34"/>
        <v>2.281438421798776E-2</v>
      </c>
      <c r="K165" s="126">
        <f t="shared" si="35"/>
        <v>3.7656875187551675E-2</v>
      </c>
      <c r="L165" s="56">
        <v>550520</v>
      </c>
      <c r="M165" s="103">
        <v>2.3697583846335357E-2</v>
      </c>
      <c r="N165" s="97">
        <f>INDEX('Pace of change parameters'!$E$22:$I$22,1,$B$5)</f>
        <v>9.0547645222140982E-3</v>
      </c>
      <c r="O165" s="108">
        <f>MAX(L165,IF(INDEX('Pace of change parameters'!$E$30:$I$30,1,$B$5)=1,(1+M165)*D165,D165))</f>
        <v>550520</v>
      </c>
      <c r="P165" s="94">
        <f>IF(K165&lt;INDEX('Pace of change parameters'!$E$18:$I$18,1,$B$5),1,IF(K165&gt;INDEX('Pace of change parameters'!$E$19:$I$19,1,$B$5),0,(K165-INDEX('Pace of change parameters'!$E$19:$I$19,1,$B$5))/(INDEX('Pace of change parameters'!$E$18:$I$18,1,$B$5)-INDEX('Pace of change parameters'!$E$19:$I$19,1,$B$5))))</f>
        <v>0</v>
      </c>
      <c r="Q165" s="57">
        <v>2.3697583846335357E-2</v>
      </c>
      <c r="R165" s="57">
        <v>9.0547645222140982E-3</v>
      </c>
      <c r="S165" s="9">
        <f>MAX(IF(INDEX('Pace of change parameters'!$E$31:$I$31,1,$B$5)=1,D165*(1+Q165),D165),L165)</f>
        <v>550520</v>
      </c>
      <c r="T165" s="103">
        <f>IF(Q165&lt;INDEX('Pace of change parameters'!$E$24:$I$24,1,$B$5),INDEX('Pace of change parameters'!$E$24:$I$24,1,$B$5),Q165)</f>
        <v>3.0386941478720321E-2</v>
      </c>
      <c r="U165" s="132">
        <v>1.5648438569181744E-2</v>
      </c>
      <c r="V165" s="117">
        <f t="shared" si="36"/>
        <v>550520</v>
      </c>
      <c r="W165" s="131">
        <f>IF(J165&gt;INDEX('Pace of change parameters'!$E$26:$I$26,1,$B$5),0,IF(J165&lt;INDEX('Pace of change parameters'!$E$25:$I$25,1,$B$5),1,(J165-INDEX('Pace of change parameters'!$E$26:$I$26,1,$B$5))/(INDEX('Pace of change parameters'!$E$25:$I$25,1,$B$5)-INDEX('Pace of change parameters'!$E$26:$I$26,1,$B$5))))</f>
        <v>1</v>
      </c>
      <c r="X165" s="132">
        <f>MIN(T165, T165+(INDEX('Pace of change parameters'!$E$27:$I$27,1,$B$5)-T165)*(1-W165))</f>
        <v>3.0386941478720321E-2</v>
      </c>
      <c r="Y165" s="132">
        <v>1.5648438569181744E-2</v>
      </c>
      <c r="Z165" s="108">
        <f t="shared" si="37"/>
        <v>550520</v>
      </c>
      <c r="AA165" s="97">
        <v>-2.5000000000000001E-2</v>
      </c>
      <c r="AB165" s="99">
        <f t="shared" si="29"/>
        <v>526769.93908563512</v>
      </c>
      <c r="AC165" s="99">
        <f>MAX(IF(INDEX('Pace of change parameters'!$E$29:$I$29,1,$B$5)=1,MAX(AB165,Z165),Z165),L165)</f>
        <v>550520</v>
      </c>
      <c r="AD165" s="97">
        <f t="shared" si="42"/>
        <v>4.1639157172078667E-2</v>
      </c>
      <c r="AE165" s="146">
        <v>2.6739704228082806E-2</v>
      </c>
      <c r="AF165" s="56">
        <f t="shared" si="39"/>
        <v>550520</v>
      </c>
      <c r="AG165" s="56">
        <v>1737.9002282799329</v>
      </c>
      <c r="AH165" s="16">
        <f t="shared" si="30"/>
        <v>4.1639157172078667E-2</v>
      </c>
      <c r="AI165" s="16">
        <f t="shared" si="31"/>
        <v>2.6739704228082806E-2</v>
      </c>
      <c r="AJ165" s="56"/>
      <c r="AK165" s="56">
        <v>540276.86060065147</v>
      </c>
      <c r="AL165" s="56">
        <v>1705.5643380299312</v>
      </c>
      <c r="AM165" s="16">
        <f t="shared" si="43"/>
        <v>1.8959056266005359E-2</v>
      </c>
      <c r="AN165" s="58">
        <f t="shared" si="44"/>
        <v>1.8959056266005359E-2</v>
      </c>
      <c r="AP165" s="56">
        <f t="shared" si="32"/>
        <v>1</v>
      </c>
      <c r="AQ165" s="56">
        <f t="shared" si="33"/>
        <v>0</v>
      </c>
    </row>
    <row r="166" spans="1:43" x14ac:dyDescent="0.2">
      <c r="A166" s="156" t="s">
        <v>377</v>
      </c>
      <c r="B166" s="156" t="s">
        <v>378</v>
      </c>
      <c r="D166" s="68">
        <v>299766.10344508546</v>
      </c>
      <c r="E166" s="73">
        <v>1574.0793820860511</v>
      </c>
      <c r="F166" s="55"/>
      <c r="G166" s="88">
        <v>300246.67419218784</v>
      </c>
      <c r="H166" s="81">
        <v>1555.0292582680925</v>
      </c>
      <c r="I166" s="90"/>
      <c r="J166" s="103">
        <f t="shared" si="34"/>
        <v>-1.6005864124735147E-3</v>
      </c>
      <c r="K166" s="126">
        <f t="shared" si="35"/>
        <v>1.2250652980752008E-2</v>
      </c>
      <c r="L166" s="56">
        <v>311575</v>
      </c>
      <c r="M166" s="103">
        <v>2.3053830341022818E-2</v>
      </c>
      <c r="N166" s="97">
        <f>INDEX('Pace of change parameters'!$E$22:$I$22,1,$B$5)</f>
        <v>9.0547645222140982E-3</v>
      </c>
      <c r="O166" s="108">
        <f>MAX(L166,IF(INDEX('Pace of change parameters'!$E$30:$I$30,1,$B$5)=1,(1+M166)*D166,D166))</f>
        <v>311575</v>
      </c>
      <c r="P166" s="94">
        <f>IF(K166&lt;INDEX('Pace of change parameters'!$E$18:$I$18,1,$B$5),1,IF(K166&gt;INDEX('Pace of change parameters'!$E$19:$I$19,1,$B$5),0,(K166-INDEX('Pace of change parameters'!$E$19:$I$19,1,$B$5))/(INDEX('Pace of change parameters'!$E$18:$I$18,1,$B$5)-INDEX('Pace of change parameters'!$E$19:$I$19,1,$B$5))))</f>
        <v>0.15898757424786208</v>
      </c>
      <c r="Q166" s="57">
        <v>3.4070622994181843E-2</v>
      </c>
      <c r="R166" s="57">
        <v>1.9920807722226153E-2</v>
      </c>
      <c r="S166" s="9">
        <f>MAX(IF(INDEX('Pace of change parameters'!$E$31:$I$31,1,$B$5)=1,D166*(1+Q166),D166),L166)</f>
        <v>311575</v>
      </c>
      <c r="T166" s="103">
        <f>IF(Q166&lt;INDEX('Pace of change parameters'!$E$24:$I$24,1,$B$5),INDEX('Pace of change parameters'!$E$24:$I$24,1,$B$5),Q166)</f>
        <v>3.4070622994181843E-2</v>
      </c>
      <c r="U166" s="132">
        <v>1.9920807722226153E-2</v>
      </c>
      <c r="V166" s="117">
        <f t="shared" si="36"/>
        <v>311575</v>
      </c>
      <c r="W166" s="131">
        <f>IF(J166&gt;INDEX('Pace of change parameters'!$E$26:$I$26,1,$B$5),0,IF(J166&lt;INDEX('Pace of change parameters'!$E$25:$I$25,1,$B$5),1,(J166-INDEX('Pace of change parameters'!$E$26:$I$26,1,$B$5))/(INDEX('Pace of change parameters'!$E$25:$I$25,1,$B$5)-INDEX('Pace of change parameters'!$E$26:$I$26,1,$B$5))))</f>
        <v>1</v>
      </c>
      <c r="X166" s="132">
        <f>MIN(T166, T166+(INDEX('Pace of change parameters'!$E$27:$I$27,1,$B$5)-T166)*(1-W166))</f>
        <v>3.4070622994181843E-2</v>
      </c>
      <c r="Y166" s="132">
        <v>1.9920807722226153E-2</v>
      </c>
      <c r="Z166" s="108">
        <f t="shared" si="37"/>
        <v>311575</v>
      </c>
      <c r="AA166" s="97">
        <v>-2.5000000000000001E-2</v>
      </c>
      <c r="AB166" s="99">
        <f t="shared" si="29"/>
        <v>305571.17557738518</v>
      </c>
      <c r="AC166" s="99">
        <f>MAX(IF(INDEX('Pace of change parameters'!$E$29:$I$29,1,$B$5)=1,MAX(AB166,Z166),Z166),L166)</f>
        <v>311575</v>
      </c>
      <c r="AD166" s="97">
        <f t="shared" si="42"/>
        <v>3.9393702020341426E-2</v>
      </c>
      <c r="AE166" s="146">
        <v>2.5171047830788273E-2</v>
      </c>
      <c r="AF166" s="56">
        <f t="shared" si="39"/>
        <v>311575</v>
      </c>
      <c r="AG166" s="56">
        <v>1613.7006095019967</v>
      </c>
      <c r="AH166" s="16">
        <f t="shared" si="30"/>
        <v>3.9393702020341426E-2</v>
      </c>
      <c r="AI166" s="16">
        <f t="shared" si="31"/>
        <v>2.5171047830788273E-2</v>
      </c>
      <c r="AJ166" s="56"/>
      <c r="AK166" s="56">
        <v>313406.33392552327</v>
      </c>
      <c r="AL166" s="56">
        <v>1623.1854034418782</v>
      </c>
      <c r="AM166" s="16">
        <f t="shared" si="43"/>
        <v>-5.8433213604370815E-3</v>
      </c>
      <c r="AN166" s="58">
        <f t="shared" si="44"/>
        <v>-5.8433213604369705E-3</v>
      </c>
      <c r="AP166" s="56">
        <f t="shared" si="32"/>
        <v>1</v>
      </c>
      <c r="AQ166" s="56">
        <f t="shared" si="33"/>
        <v>0</v>
      </c>
    </row>
    <row r="167" spans="1:43" x14ac:dyDescent="0.2">
      <c r="A167" s="156" t="s">
        <v>379</v>
      </c>
      <c r="B167" s="156" t="s">
        <v>380</v>
      </c>
      <c r="D167" s="68">
        <v>496427.90025754436</v>
      </c>
      <c r="E167" s="73">
        <v>1684.1937604791212</v>
      </c>
      <c r="F167" s="55"/>
      <c r="G167" s="88">
        <v>458745.24813373754</v>
      </c>
      <c r="H167" s="81">
        <v>1521.5686602103815</v>
      </c>
      <c r="I167" s="90"/>
      <c r="J167" s="103">
        <f t="shared" si="34"/>
        <v>8.2142871838143172E-2</v>
      </c>
      <c r="K167" s="126">
        <f t="shared" si="35"/>
        <v>0.10687989607137038</v>
      </c>
      <c r="L167" s="56">
        <v>518419</v>
      </c>
      <c r="M167" s="103">
        <v>3.2121046075443971E-2</v>
      </c>
      <c r="N167" s="97">
        <f>INDEX('Pace of change parameters'!$E$22:$I$22,1,$B$5)</f>
        <v>9.0547645222140982E-3</v>
      </c>
      <c r="O167" s="108">
        <f>MAX(L167,IF(INDEX('Pace of change parameters'!$E$30:$I$30,1,$B$5)=1,(1+M167)*D167,D167))</f>
        <v>518419</v>
      </c>
      <c r="P167" s="94">
        <f>IF(K167&lt;INDEX('Pace of change parameters'!$E$18:$I$18,1,$B$5),1,IF(K167&gt;INDEX('Pace of change parameters'!$E$19:$I$19,1,$B$5),0,(K167-INDEX('Pace of change parameters'!$E$19:$I$19,1,$B$5))/(INDEX('Pace of change parameters'!$E$18:$I$18,1,$B$5)-INDEX('Pace of change parameters'!$E$19:$I$19,1,$B$5))))</f>
        <v>0</v>
      </c>
      <c r="Q167" s="57">
        <v>3.2121046075443971E-2</v>
      </c>
      <c r="R167" s="57">
        <v>9.0547645222140982E-3</v>
      </c>
      <c r="S167" s="9">
        <f>MAX(IF(INDEX('Pace of change parameters'!$E$31:$I$31,1,$B$5)=1,D167*(1+Q167),D167),L167)</f>
        <v>518419</v>
      </c>
      <c r="T167" s="103">
        <f>IF(Q167&lt;INDEX('Pace of change parameters'!$E$24:$I$24,1,$B$5),INDEX('Pace of change parameters'!$E$24:$I$24,1,$B$5),Q167)</f>
        <v>3.2121046075443971E-2</v>
      </c>
      <c r="U167" s="132">
        <v>9.0547645222140982E-3</v>
      </c>
      <c r="V167" s="117">
        <f t="shared" si="36"/>
        <v>518419</v>
      </c>
      <c r="W167" s="131">
        <f>IF(J167&gt;INDEX('Pace of change parameters'!$E$26:$I$26,1,$B$5),0,IF(J167&lt;INDEX('Pace of change parameters'!$E$25:$I$25,1,$B$5),1,(J167-INDEX('Pace of change parameters'!$E$26:$I$26,1,$B$5))/(INDEX('Pace of change parameters'!$E$25:$I$25,1,$B$5)-INDEX('Pace of change parameters'!$E$26:$I$26,1,$B$5))))</f>
        <v>0.35714256323713667</v>
      </c>
      <c r="X167" s="132">
        <f>MIN(T167, T167+(INDEX('Pace of change parameters'!$E$27:$I$27,1,$B$5)-T167)*(1-W167))</f>
        <v>2.0334830589051979E-2</v>
      </c>
      <c r="Y167" s="132">
        <v>-2.4680475912013389E-3</v>
      </c>
      <c r="Z167" s="108">
        <f t="shared" si="37"/>
        <v>518419</v>
      </c>
      <c r="AA167" s="97">
        <v>-2.5000000000000001E-2</v>
      </c>
      <c r="AB167" s="99">
        <f t="shared" si="29"/>
        <v>467621.42724622367</v>
      </c>
      <c r="AC167" s="99">
        <f>MAX(IF(INDEX('Pace of change parameters'!$E$29:$I$29,1,$B$5)=1,MAX(AB167,Z167),Z167),L167)</f>
        <v>518419</v>
      </c>
      <c r="AD167" s="97">
        <f t="shared" si="42"/>
        <v>4.4298678078018572E-2</v>
      </c>
      <c r="AE167" s="146">
        <v>2.0960245608487638E-2</v>
      </c>
      <c r="AF167" s="56">
        <f t="shared" si="39"/>
        <v>518419</v>
      </c>
      <c r="AG167" s="56">
        <v>1719.4948753510462</v>
      </c>
      <c r="AH167" s="16">
        <f t="shared" si="30"/>
        <v>4.4298678078018572E-2</v>
      </c>
      <c r="AI167" s="16">
        <f t="shared" si="31"/>
        <v>2.0960245608487638E-2</v>
      </c>
      <c r="AJ167" s="56"/>
      <c r="AK167" s="56">
        <v>479611.72025253711</v>
      </c>
      <c r="AL167" s="56">
        <v>1590.7786850646623</v>
      </c>
      <c r="AM167" s="16">
        <f t="shared" si="43"/>
        <v>8.0913952075710505E-2</v>
      </c>
      <c r="AN167" s="58">
        <f t="shared" si="44"/>
        <v>8.0913952075710505E-2</v>
      </c>
      <c r="AP167" s="56">
        <f t="shared" si="32"/>
        <v>1</v>
      </c>
      <c r="AQ167" s="56">
        <f t="shared" si="33"/>
        <v>0</v>
      </c>
    </row>
    <row r="168" spans="1:43" x14ac:dyDescent="0.2">
      <c r="A168" s="156" t="s">
        <v>381</v>
      </c>
      <c r="B168" s="156" t="s">
        <v>382</v>
      </c>
      <c r="D168" s="68">
        <v>445022.45595599286</v>
      </c>
      <c r="E168" s="73">
        <v>1494.7031600662099</v>
      </c>
      <c r="F168" s="55"/>
      <c r="G168" s="88">
        <v>454772.08429088548</v>
      </c>
      <c r="H168" s="81">
        <v>1507.9924753413516</v>
      </c>
      <c r="I168" s="90"/>
      <c r="J168" s="103">
        <f t="shared" si="34"/>
        <v>-2.1438493416092053E-2</v>
      </c>
      <c r="K168" s="126">
        <f t="shared" si="35"/>
        <v>-8.8125872591860999E-3</v>
      </c>
      <c r="L168" s="56">
        <v>463107</v>
      </c>
      <c r="M168" s="103">
        <v>2.2074110448165873E-2</v>
      </c>
      <c r="N168" s="97">
        <f>INDEX('Pace of change parameters'!$E$22:$I$22,1,$B$5)</f>
        <v>9.0547645222140982E-3</v>
      </c>
      <c r="O168" s="108">
        <f>MAX(L168,IF(INDEX('Pace of change parameters'!$E$30:$I$30,1,$B$5)=1,(1+M168)*D168,D168))</f>
        <v>463107</v>
      </c>
      <c r="P168" s="94">
        <f>IF(K168&lt;INDEX('Pace of change parameters'!$E$18:$I$18,1,$B$5),1,IF(K168&gt;INDEX('Pace of change parameters'!$E$19:$I$19,1,$B$5),0,(K168-INDEX('Pace of change parameters'!$E$19:$I$19,1,$B$5))/(INDEX('Pace of change parameters'!$E$18:$I$18,1,$B$5)-INDEX('Pace of change parameters'!$E$19:$I$19,1,$B$5))))</f>
        <v>0.35101273825495577</v>
      </c>
      <c r="Q168" s="57">
        <v>4.6373690697522507E-2</v>
      </c>
      <c r="R168" s="57">
        <v>3.3044812773951548E-2</v>
      </c>
      <c r="S168" s="9">
        <f>MAX(IF(INDEX('Pace of change parameters'!$E$31:$I$31,1,$B$5)=1,D168*(1+Q168),D168),L168)</f>
        <v>465659.78968194791</v>
      </c>
      <c r="T168" s="103">
        <f>IF(Q168&lt;INDEX('Pace of change parameters'!$E$24:$I$24,1,$B$5),INDEX('Pace of change parameters'!$E$24:$I$24,1,$B$5),Q168)</f>
        <v>4.6373690697522507E-2</v>
      </c>
      <c r="U168" s="132">
        <v>3.3044812773951548E-2</v>
      </c>
      <c r="V168" s="117">
        <f t="shared" si="36"/>
        <v>465659.78968194791</v>
      </c>
      <c r="W168" s="131">
        <f>IF(J168&gt;INDEX('Pace of change parameters'!$E$26:$I$26,1,$B$5),0,IF(J168&lt;INDEX('Pace of change parameters'!$E$25:$I$25,1,$B$5),1,(J168-INDEX('Pace of change parameters'!$E$26:$I$26,1,$B$5))/(INDEX('Pace of change parameters'!$E$25:$I$25,1,$B$5)-INDEX('Pace of change parameters'!$E$26:$I$26,1,$B$5))))</f>
        <v>1</v>
      </c>
      <c r="X168" s="132">
        <f>MIN(T168, T168+(INDEX('Pace of change parameters'!$E$27:$I$27,1,$B$5)-T168)*(1-W168))</f>
        <v>4.6373690697522507E-2</v>
      </c>
      <c r="Y168" s="132">
        <v>3.3044812773951548E-2</v>
      </c>
      <c r="Z168" s="108">
        <f t="shared" si="37"/>
        <v>465659.78968194791</v>
      </c>
      <c r="AA168" s="97">
        <v>-2.5000000000000001E-2</v>
      </c>
      <c r="AB168" s="99">
        <f t="shared" si="29"/>
        <v>463263.01887229073</v>
      </c>
      <c r="AC168" s="99">
        <f>MAX(IF(INDEX('Pace of change parameters'!$E$29:$I$29,1,$B$5)=1,MAX(AB168,Z168),Z168),L168)</f>
        <v>465659.78968194791</v>
      </c>
      <c r="AD168" s="97">
        <f t="shared" si="42"/>
        <v>4.6373690697522507E-2</v>
      </c>
      <c r="AE168" s="146">
        <v>3.3044812773951548E-2</v>
      </c>
      <c r="AF168" s="56">
        <f t="shared" si="39"/>
        <v>465659.78968194791</v>
      </c>
      <c r="AG168" s="56">
        <v>1544.0953461432316</v>
      </c>
      <c r="AH168" s="16">
        <f t="shared" si="30"/>
        <v>4.6373690697522507E-2</v>
      </c>
      <c r="AI168" s="16">
        <f t="shared" si="31"/>
        <v>3.3044812773951548E-2</v>
      </c>
      <c r="AJ168" s="56"/>
      <c r="AK168" s="56">
        <v>475141.55781773408</v>
      </c>
      <c r="AL168" s="56">
        <v>1575.5362271814599</v>
      </c>
      <c r="AM168" s="16">
        <f t="shared" si="43"/>
        <v>-1.9955670009869753E-2</v>
      </c>
      <c r="AN168" s="58">
        <f t="shared" si="44"/>
        <v>-1.9955670009869753E-2</v>
      </c>
      <c r="AP168" s="56">
        <f t="shared" si="32"/>
        <v>0</v>
      </c>
      <c r="AQ168" s="56">
        <f t="shared" si="33"/>
        <v>0</v>
      </c>
    </row>
    <row r="169" spans="1:43" x14ac:dyDescent="0.2">
      <c r="A169" s="156" t="s">
        <v>383</v>
      </c>
      <c r="B169" s="156" t="s">
        <v>384</v>
      </c>
      <c r="D169" s="68">
        <v>541262.09961094381</v>
      </c>
      <c r="E169" s="73">
        <v>1412.9734813607677</v>
      </c>
      <c r="F169" s="55"/>
      <c r="G169" s="88">
        <v>518806.57560298627</v>
      </c>
      <c r="H169" s="81">
        <v>1340.4203333951841</v>
      </c>
      <c r="I169" s="90"/>
      <c r="J169" s="103">
        <f t="shared" si="34"/>
        <v>4.3283036615059167E-2</v>
      </c>
      <c r="K169" s="126">
        <f t="shared" si="35"/>
        <v>5.4127161576109417E-2</v>
      </c>
      <c r="L169" s="56">
        <v>561052</v>
      </c>
      <c r="M169" s="103">
        <v>1.9543112913772864E-2</v>
      </c>
      <c r="N169" s="97">
        <f>INDEX('Pace of change parameters'!$E$22:$I$22,1,$B$5)</f>
        <v>9.0547645222140982E-3</v>
      </c>
      <c r="O169" s="108">
        <f>MAX(L169,IF(INDEX('Pace of change parameters'!$E$30:$I$30,1,$B$5)=1,(1+M169)*D169,D169))</f>
        <v>561052</v>
      </c>
      <c r="P169" s="94">
        <f>IF(K169&lt;INDEX('Pace of change parameters'!$E$18:$I$18,1,$B$5),1,IF(K169&gt;INDEX('Pace of change parameters'!$E$19:$I$19,1,$B$5),0,(K169-INDEX('Pace of change parameters'!$E$19:$I$19,1,$B$5))/(INDEX('Pace of change parameters'!$E$18:$I$18,1,$B$5)-INDEX('Pace of change parameters'!$E$19:$I$19,1,$B$5))))</f>
        <v>0</v>
      </c>
      <c r="Q169" s="57">
        <v>1.9543112913772864E-2</v>
      </c>
      <c r="R169" s="57">
        <v>9.0547645222140982E-3</v>
      </c>
      <c r="S169" s="9">
        <f>MAX(IF(INDEX('Pace of change parameters'!$E$31:$I$31,1,$B$5)=1,D169*(1+Q169),D169),L169)</f>
        <v>561052</v>
      </c>
      <c r="T169" s="103">
        <f>IF(Q169&lt;INDEX('Pace of change parameters'!$E$24:$I$24,1,$B$5),INDEX('Pace of change parameters'!$E$24:$I$24,1,$B$5),Q169)</f>
        <v>3.0386941478720321E-2</v>
      </c>
      <c r="U169" s="132">
        <v>1.9787039342698209E-2</v>
      </c>
      <c r="V169" s="117">
        <f t="shared" si="36"/>
        <v>561052</v>
      </c>
      <c r="W169" s="131">
        <f>IF(J169&gt;INDEX('Pace of change parameters'!$E$26:$I$26,1,$B$5),0,IF(J169&lt;INDEX('Pace of change parameters'!$E$25:$I$25,1,$B$5),1,(J169-INDEX('Pace of change parameters'!$E$26:$I$26,1,$B$5))/(INDEX('Pace of change parameters'!$E$25:$I$25,1,$B$5)-INDEX('Pace of change parameters'!$E$26:$I$26,1,$B$5))))</f>
        <v>1</v>
      </c>
      <c r="X169" s="132">
        <f>MIN(T169, T169+(INDEX('Pace of change parameters'!$E$27:$I$27,1,$B$5)-T169)*(1-W169))</f>
        <v>3.0386941478720321E-2</v>
      </c>
      <c r="Y169" s="132">
        <v>1.9787039342698209E-2</v>
      </c>
      <c r="Z169" s="108">
        <f t="shared" si="37"/>
        <v>561052</v>
      </c>
      <c r="AA169" s="97">
        <v>-2.5000000000000001E-2</v>
      </c>
      <c r="AB169" s="99">
        <f t="shared" si="29"/>
        <v>528574.24695900374</v>
      </c>
      <c r="AC169" s="99">
        <f>MAX(IF(INDEX('Pace of change parameters'!$E$29:$I$29,1,$B$5)=1,MAX(AB169,Z169),Z169),L169)</f>
        <v>561052</v>
      </c>
      <c r="AD169" s="97">
        <f t="shared" si="42"/>
        <v>3.6562509001241805E-2</v>
      </c>
      <c r="AE169" s="146">
        <v>2.5899076934144283E-2</v>
      </c>
      <c r="AF169" s="56">
        <f t="shared" si="39"/>
        <v>561052</v>
      </c>
      <c r="AG169" s="56">
        <v>1449.5681902604358</v>
      </c>
      <c r="AH169" s="16">
        <f t="shared" si="30"/>
        <v>3.6562509001241805E-2</v>
      </c>
      <c r="AI169" s="16">
        <f t="shared" si="31"/>
        <v>2.5899076934144283E-2</v>
      </c>
      <c r="AJ169" s="56"/>
      <c r="AK169" s="56">
        <v>542127.43277846533</v>
      </c>
      <c r="AL169" s="56">
        <v>1400.6735233511617</v>
      </c>
      <c r="AM169" s="16">
        <f t="shared" si="43"/>
        <v>3.4907968269644707E-2</v>
      </c>
      <c r="AN169" s="58">
        <f t="shared" si="44"/>
        <v>3.4907968269644929E-2</v>
      </c>
      <c r="AP169" s="56">
        <f t="shared" si="32"/>
        <v>1</v>
      </c>
      <c r="AQ169" s="56">
        <f t="shared" si="33"/>
        <v>0</v>
      </c>
    </row>
    <row r="170" spans="1:43" x14ac:dyDescent="0.2">
      <c r="A170" s="156" t="s">
        <v>385</v>
      </c>
      <c r="B170" s="156" t="s">
        <v>386</v>
      </c>
      <c r="D170" s="68">
        <v>454036.1164735285</v>
      </c>
      <c r="E170" s="73">
        <v>1859.097043998659</v>
      </c>
      <c r="F170" s="55"/>
      <c r="G170" s="88">
        <v>361690.47257179586</v>
      </c>
      <c r="H170" s="81">
        <v>1473.5368071069852</v>
      </c>
      <c r="I170" s="90"/>
      <c r="J170" s="103">
        <f t="shared" si="34"/>
        <v>0.25531677194898172</v>
      </c>
      <c r="K170" s="126">
        <f t="shared" si="35"/>
        <v>0.26165633259521326</v>
      </c>
      <c r="L170" s="56">
        <v>465104</v>
      </c>
      <c r="M170" s="103">
        <v>1.4150660648198032E-2</v>
      </c>
      <c r="N170" s="97">
        <f>INDEX('Pace of change parameters'!$E$22:$I$22,1,$B$5)</f>
        <v>9.0547645222140982E-3</v>
      </c>
      <c r="O170" s="108">
        <f>MAX(L170,IF(INDEX('Pace of change parameters'!$E$30:$I$30,1,$B$5)=1,(1+M170)*D170,D170))</f>
        <v>465104</v>
      </c>
      <c r="P170" s="94">
        <f>IF(K170&lt;INDEX('Pace of change parameters'!$E$18:$I$18,1,$B$5),1,IF(K170&gt;INDEX('Pace of change parameters'!$E$19:$I$19,1,$B$5),0,(K170-INDEX('Pace of change parameters'!$E$19:$I$19,1,$B$5))/(INDEX('Pace of change parameters'!$E$18:$I$18,1,$B$5)-INDEX('Pace of change parameters'!$E$19:$I$19,1,$B$5))))</f>
        <v>0</v>
      </c>
      <c r="Q170" s="57">
        <v>1.4150660648198032E-2</v>
      </c>
      <c r="R170" s="57">
        <v>9.0547645222140982E-3</v>
      </c>
      <c r="S170" s="9">
        <f>MAX(IF(INDEX('Pace of change parameters'!$E$31:$I$31,1,$B$5)=1,D170*(1+Q170),D170),L170)</f>
        <v>465104</v>
      </c>
      <c r="T170" s="103">
        <f>IF(Q170&lt;INDEX('Pace of change parameters'!$E$24:$I$24,1,$B$5),INDEX('Pace of change parameters'!$E$24:$I$24,1,$B$5),Q170)</f>
        <v>3.0386941478720321E-2</v>
      </c>
      <c r="U170" s="132">
        <v>2.5209461418716383E-2</v>
      </c>
      <c r="V170" s="117">
        <f t="shared" si="36"/>
        <v>467832.88537403505</v>
      </c>
      <c r="W170" s="131">
        <f>IF(J170&gt;INDEX('Pace of change parameters'!$E$26:$I$26,1,$B$5),0,IF(J170&lt;INDEX('Pace of change parameters'!$E$25:$I$25,1,$B$5),1,(J170-INDEX('Pace of change parameters'!$E$26:$I$26,1,$B$5))/(INDEX('Pace of change parameters'!$E$25:$I$25,1,$B$5)-INDEX('Pace of change parameters'!$E$26:$I$26,1,$B$5))))</f>
        <v>0</v>
      </c>
      <c r="X170" s="132">
        <f>MIN(T170, T170+(INDEX('Pace of change parameters'!$E$27:$I$27,1,$B$5)-T170)*(1-W170))</f>
        <v>1.3786941478720324E-2</v>
      </c>
      <c r="Y170" s="132">
        <v>8.6928729659092596E-3</v>
      </c>
      <c r="Z170" s="108">
        <f t="shared" si="37"/>
        <v>465104</v>
      </c>
      <c r="AA170" s="97">
        <v>-2.5000000000000001E-2</v>
      </c>
      <c r="AB170" s="99">
        <f t="shared" si="29"/>
        <v>368518.50814816076</v>
      </c>
      <c r="AC170" s="99">
        <f>MAX(IF(INDEX('Pace of change parameters'!$E$29:$I$29,1,$B$5)=1,MAX(AB170,Z170),Z170),L170)</f>
        <v>465104</v>
      </c>
      <c r="AD170" s="97">
        <f t="shared" si="42"/>
        <v>2.4376658871182011E-2</v>
      </c>
      <c r="AE170" s="146">
        <v>1.9229379231139543E-2</v>
      </c>
      <c r="AF170" s="56">
        <f t="shared" si="39"/>
        <v>465104</v>
      </c>
      <c r="AG170" s="56">
        <v>1894.8463260852002</v>
      </c>
      <c r="AH170" s="16">
        <f t="shared" si="30"/>
        <v>2.4376658871182011E-2</v>
      </c>
      <c r="AI170" s="16">
        <f t="shared" si="31"/>
        <v>1.9229379231139765E-2</v>
      </c>
      <c r="AJ170" s="56"/>
      <c r="AK170" s="56">
        <v>377967.70066478028</v>
      </c>
      <c r="AL170" s="56">
        <v>1539.8506763724447</v>
      </c>
      <c r="AM170" s="16">
        <f t="shared" si="43"/>
        <v>0.23053900950256323</v>
      </c>
      <c r="AN170" s="58">
        <f t="shared" si="44"/>
        <v>0.23053900950256323</v>
      </c>
      <c r="AP170" s="56">
        <f t="shared" si="32"/>
        <v>1</v>
      </c>
      <c r="AQ170" s="56">
        <f t="shared" si="33"/>
        <v>0</v>
      </c>
    </row>
    <row r="171" spans="1:43" x14ac:dyDescent="0.2">
      <c r="A171" s="156" t="s">
        <v>387</v>
      </c>
      <c r="B171" s="156" t="s">
        <v>388</v>
      </c>
      <c r="D171" s="68">
        <v>181709.70222527802</v>
      </c>
      <c r="E171" s="73">
        <v>1422.2626797322971</v>
      </c>
      <c r="F171" s="55"/>
      <c r="G171" s="88">
        <v>178925.96327769262</v>
      </c>
      <c r="H171" s="81">
        <v>1385.5834237854756</v>
      </c>
      <c r="I171" s="90"/>
      <c r="J171" s="103">
        <f t="shared" si="34"/>
        <v>1.5558049243334482E-2</v>
      </c>
      <c r="K171" s="126">
        <f t="shared" si="35"/>
        <v>2.6472066074962219E-2</v>
      </c>
      <c r="L171" s="56">
        <v>188668</v>
      </c>
      <c r="M171" s="103">
        <v>1.9898891740973257E-2</v>
      </c>
      <c r="N171" s="97">
        <f>INDEX('Pace of change parameters'!$E$22:$I$22,1,$B$5)</f>
        <v>9.0547645222140982E-3</v>
      </c>
      <c r="O171" s="108">
        <f>MAX(L171,IF(INDEX('Pace of change parameters'!$E$30:$I$30,1,$B$5)=1,(1+M171)*D171,D171))</f>
        <v>188668</v>
      </c>
      <c r="P171" s="94">
        <f>IF(K171&lt;INDEX('Pace of change parameters'!$E$18:$I$18,1,$B$5),1,IF(K171&gt;INDEX('Pace of change parameters'!$E$19:$I$19,1,$B$5),0,(K171-INDEX('Pace of change parameters'!$E$19:$I$19,1,$B$5))/(INDEX('Pace of change parameters'!$E$18:$I$18,1,$B$5)-INDEX('Pace of change parameters'!$E$19:$I$19,1,$B$5))))</f>
        <v>2.9336620704146062E-2</v>
      </c>
      <c r="Q171" s="57">
        <v>2.1925457555975525E-2</v>
      </c>
      <c r="R171" s="57">
        <v>1.1059782772361526E-2</v>
      </c>
      <c r="S171" s="9">
        <f>MAX(IF(INDEX('Pace of change parameters'!$E$31:$I$31,1,$B$5)=1,D171*(1+Q171),D171),L171)</f>
        <v>188668</v>
      </c>
      <c r="T171" s="103">
        <f>IF(Q171&lt;INDEX('Pace of change parameters'!$E$24:$I$24,1,$B$5),INDEX('Pace of change parameters'!$E$24:$I$24,1,$B$5),Q171)</f>
        <v>3.0386941478720321E-2</v>
      </c>
      <c r="U171" s="132">
        <v>1.9431299533791746E-2</v>
      </c>
      <c r="V171" s="117">
        <f t="shared" si="36"/>
        <v>188668</v>
      </c>
      <c r="W171" s="131">
        <f>IF(J171&gt;INDEX('Pace of change parameters'!$E$26:$I$26,1,$B$5),0,IF(J171&lt;INDEX('Pace of change parameters'!$E$25:$I$25,1,$B$5),1,(J171-INDEX('Pace of change parameters'!$E$26:$I$26,1,$B$5))/(INDEX('Pace of change parameters'!$E$25:$I$25,1,$B$5)-INDEX('Pace of change parameters'!$E$26:$I$26,1,$B$5))))</f>
        <v>1</v>
      </c>
      <c r="X171" s="132">
        <f>MIN(T171, T171+(INDEX('Pace of change parameters'!$E$27:$I$27,1,$B$5)-T171)*(1-W171))</f>
        <v>3.0386941478720321E-2</v>
      </c>
      <c r="Y171" s="132">
        <v>1.9431299533791746E-2</v>
      </c>
      <c r="Z171" s="108">
        <f t="shared" si="37"/>
        <v>188668</v>
      </c>
      <c r="AA171" s="97">
        <v>-2.5000000000000001E-2</v>
      </c>
      <c r="AB171" s="99">
        <f t="shared" si="29"/>
        <v>182161.01569846776</v>
      </c>
      <c r="AC171" s="99">
        <f>MAX(IF(INDEX('Pace of change parameters'!$E$29:$I$29,1,$B$5)=1,MAX(AB171,Z171),Z171),L171)</f>
        <v>188668</v>
      </c>
      <c r="AD171" s="97">
        <f t="shared" si="42"/>
        <v>3.8293485100180824E-2</v>
      </c>
      <c r="AE171" s="146">
        <v>2.7253776425122389E-2</v>
      </c>
      <c r="AF171" s="56">
        <f t="shared" si="39"/>
        <v>188668</v>
      </c>
      <c r="AG171" s="56">
        <v>1461.0247088235167</v>
      </c>
      <c r="AH171" s="16">
        <f t="shared" si="30"/>
        <v>3.8293485100180824E-2</v>
      </c>
      <c r="AI171" s="16">
        <f t="shared" si="31"/>
        <v>2.7253776425122389E-2</v>
      </c>
      <c r="AJ171" s="56"/>
      <c r="AK171" s="56">
        <v>186831.81097278744</v>
      </c>
      <c r="AL171" s="56">
        <v>1446.8054584004024</v>
      </c>
      <c r="AM171" s="16">
        <f t="shared" si="43"/>
        <v>9.8280320554191558E-3</v>
      </c>
      <c r="AN171" s="58">
        <f t="shared" si="44"/>
        <v>9.8280320554189338E-3</v>
      </c>
      <c r="AP171" s="56">
        <f t="shared" si="32"/>
        <v>1</v>
      </c>
      <c r="AQ171" s="56">
        <f t="shared" si="33"/>
        <v>0</v>
      </c>
    </row>
    <row r="172" spans="1:43" x14ac:dyDescent="0.2">
      <c r="A172" s="156" t="s">
        <v>389</v>
      </c>
      <c r="B172" s="156" t="s">
        <v>390</v>
      </c>
      <c r="D172" s="68">
        <v>288321.7262693012</v>
      </c>
      <c r="E172" s="73">
        <v>1389.9175959530132</v>
      </c>
      <c r="F172" s="55"/>
      <c r="G172" s="88">
        <v>293401.04457012325</v>
      </c>
      <c r="H172" s="81">
        <v>1399.3675273264628</v>
      </c>
      <c r="I172" s="90"/>
      <c r="J172" s="103">
        <f t="shared" si="34"/>
        <v>-1.7311861681556073E-2</v>
      </c>
      <c r="K172" s="126">
        <f t="shared" si="35"/>
        <v>-6.7530017589474411E-3</v>
      </c>
      <c r="L172" s="56">
        <v>302334</v>
      </c>
      <c r="M172" s="103">
        <v>1.9896930513006339E-2</v>
      </c>
      <c r="N172" s="97">
        <f>INDEX('Pace of change parameters'!$E$22:$I$22,1,$B$5)</f>
        <v>9.0547645222140982E-3</v>
      </c>
      <c r="O172" s="108">
        <f>MAX(L172,IF(INDEX('Pace of change parameters'!$E$30:$I$30,1,$B$5)=1,(1+M172)*D172,D172))</f>
        <v>302334</v>
      </c>
      <c r="P172" s="94">
        <f>IF(K172&lt;INDEX('Pace of change parameters'!$E$18:$I$18,1,$B$5),1,IF(K172&gt;INDEX('Pace of change parameters'!$E$19:$I$19,1,$B$5),0,(K172-INDEX('Pace of change parameters'!$E$19:$I$19,1,$B$5))/(INDEX('Pace of change parameters'!$E$18:$I$18,1,$B$5)-INDEX('Pace of change parameters'!$E$19:$I$19,1,$B$5))))</f>
        <v>0.33223631834212269</v>
      </c>
      <c r="Q172" s="57">
        <v>4.2847681293597617E-2</v>
      </c>
      <c r="R172" s="57">
        <v>3.1761533933579056E-2</v>
      </c>
      <c r="S172" s="9">
        <f>MAX(IF(INDEX('Pace of change parameters'!$E$31:$I$31,1,$B$5)=1,D172*(1+Q172),D172),L172)</f>
        <v>302334</v>
      </c>
      <c r="T172" s="103">
        <f>IF(Q172&lt;INDEX('Pace of change parameters'!$E$24:$I$24,1,$B$5),INDEX('Pace of change parameters'!$E$24:$I$24,1,$B$5),Q172)</f>
        <v>4.2847681293597617E-2</v>
      </c>
      <c r="U172" s="132">
        <v>3.1761533933579056E-2</v>
      </c>
      <c r="V172" s="117">
        <f t="shared" si="36"/>
        <v>302334</v>
      </c>
      <c r="W172" s="131">
        <f>IF(J172&gt;INDEX('Pace of change parameters'!$E$26:$I$26,1,$B$5),0,IF(J172&lt;INDEX('Pace of change parameters'!$E$25:$I$25,1,$B$5),1,(J172-INDEX('Pace of change parameters'!$E$26:$I$26,1,$B$5))/(INDEX('Pace of change parameters'!$E$25:$I$25,1,$B$5)-INDEX('Pace of change parameters'!$E$26:$I$26,1,$B$5))))</f>
        <v>1</v>
      </c>
      <c r="X172" s="132">
        <f>MIN(T172, T172+(INDEX('Pace of change parameters'!$E$27:$I$27,1,$B$5)-T172)*(1-W172))</f>
        <v>4.2847681293597617E-2</v>
      </c>
      <c r="Y172" s="132">
        <v>3.1761533933579056E-2</v>
      </c>
      <c r="Z172" s="108">
        <f t="shared" si="37"/>
        <v>302334</v>
      </c>
      <c r="AA172" s="97">
        <v>-2.5000000000000001E-2</v>
      </c>
      <c r="AB172" s="99">
        <f t="shared" si="29"/>
        <v>298423.36113933689</v>
      </c>
      <c r="AC172" s="99">
        <f>MAX(IF(INDEX('Pace of change parameters'!$E$29:$I$29,1,$B$5)=1,MAX(AB172,Z172),Z172),L172)</f>
        <v>302334</v>
      </c>
      <c r="AD172" s="97">
        <f t="shared" si="42"/>
        <v>4.8599437551962055E-2</v>
      </c>
      <c r="AE172" s="146">
        <v>3.7452145291683392E-2</v>
      </c>
      <c r="AF172" s="56">
        <f t="shared" si="39"/>
        <v>302334</v>
      </c>
      <c r="AG172" s="56">
        <v>1441.972991700113</v>
      </c>
      <c r="AH172" s="16">
        <f t="shared" si="30"/>
        <v>4.8599437551962055E-2</v>
      </c>
      <c r="AI172" s="16">
        <f t="shared" si="31"/>
        <v>3.7452145291683614E-2</v>
      </c>
      <c r="AJ172" s="56"/>
      <c r="AK172" s="56">
        <v>306075.24219419167</v>
      </c>
      <c r="AL172" s="56">
        <v>1459.8167347109331</v>
      </c>
      <c r="AM172" s="16">
        <f t="shared" si="43"/>
        <v>-1.2223276104827874E-2</v>
      </c>
      <c r="AN172" s="58">
        <f t="shared" si="44"/>
        <v>-1.2223276104827985E-2</v>
      </c>
      <c r="AP172" s="56">
        <f t="shared" si="32"/>
        <v>1</v>
      </c>
      <c r="AQ172" s="56">
        <f t="shared" si="33"/>
        <v>0</v>
      </c>
    </row>
    <row r="173" spans="1:43" x14ac:dyDescent="0.2">
      <c r="A173" s="156" t="s">
        <v>391</v>
      </c>
      <c r="B173" s="156" t="s">
        <v>392</v>
      </c>
      <c r="D173" s="68">
        <v>189037.16573253743</v>
      </c>
      <c r="E173" s="73">
        <v>1350.0918862756032</v>
      </c>
      <c r="F173" s="55"/>
      <c r="G173" s="88">
        <v>194805.99917579436</v>
      </c>
      <c r="H173" s="81">
        <v>1377.6570689513062</v>
      </c>
      <c r="I173" s="90"/>
      <c r="J173" s="103">
        <f t="shared" si="34"/>
        <v>-2.9613222732689515E-2</v>
      </c>
      <c r="K173" s="126">
        <f t="shared" si="35"/>
        <v>-2.0008740416572635E-2</v>
      </c>
      <c r="L173" s="56">
        <v>196197</v>
      </c>
      <c r="M173" s="103">
        <v>1.9041966397675747E-2</v>
      </c>
      <c r="N173" s="97">
        <f>INDEX('Pace of change parameters'!$E$22:$I$22,1,$B$5)</f>
        <v>9.0547645222140982E-3</v>
      </c>
      <c r="O173" s="108">
        <f>MAX(L173,IF(INDEX('Pace of change parameters'!$E$30:$I$30,1,$B$5)=1,(1+M173)*D173,D173))</f>
        <v>196197</v>
      </c>
      <c r="P173" s="94">
        <f>IF(K173&lt;INDEX('Pace of change parameters'!$E$18:$I$18,1,$B$5),1,IF(K173&gt;INDEX('Pace of change parameters'!$E$19:$I$19,1,$B$5),0,(K173-INDEX('Pace of change parameters'!$E$19:$I$19,1,$B$5))/(INDEX('Pace of change parameters'!$E$18:$I$18,1,$B$5)-INDEX('Pace of change parameters'!$E$19:$I$19,1,$B$5))))</f>
        <v>0.45308360303193207</v>
      </c>
      <c r="Q173" s="57">
        <v>5.0314561494581689E-2</v>
      </c>
      <c r="R173" s="57">
        <v>4.0020870062555058E-2</v>
      </c>
      <c r="S173" s="9">
        <f>MAX(IF(INDEX('Pace of change parameters'!$E$31:$I$31,1,$B$5)=1,D173*(1+Q173),D173),L173)</f>
        <v>198548.48783254862</v>
      </c>
      <c r="T173" s="103">
        <f>IF(Q173&lt;INDEX('Pace of change parameters'!$E$24:$I$24,1,$B$5),INDEX('Pace of change parameters'!$E$24:$I$24,1,$B$5),Q173)</f>
        <v>5.0314561494581689E-2</v>
      </c>
      <c r="U173" s="132">
        <v>4.0020870062555058E-2</v>
      </c>
      <c r="V173" s="117">
        <f t="shared" si="36"/>
        <v>198548.48783254862</v>
      </c>
      <c r="W173" s="131">
        <f>IF(J173&gt;INDEX('Pace of change parameters'!$E$26:$I$26,1,$B$5),0,IF(J173&lt;INDEX('Pace of change parameters'!$E$25:$I$25,1,$B$5),1,(J173-INDEX('Pace of change parameters'!$E$26:$I$26,1,$B$5))/(INDEX('Pace of change parameters'!$E$25:$I$25,1,$B$5)-INDEX('Pace of change parameters'!$E$26:$I$26,1,$B$5))))</f>
        <v>1</v>
      </c>
      <c r="X173" s="132">
        <f>MIN(T173, T173+(INDEX('Pace of change parameters'!$E$27:$I$27,1,$B$5)-T173)*(1-W173))</f>
        <v>5.0314561494581689E-2</v>
      </c>
      <c r="Y173" s="132">
        <v>4.0020870062555058E-2</v>
      </c>
      <c r="Z173" s="108">
        <f t="shared" si="37"/>
        <v>198548.48783254862</v>
      </c>
      <c r="AA173" s="97">
        <v>-2.7179890103147808E-2</v>
      </c>
      <c r="AB173" s="99">
        <f t="shared" si="29"/>
        <v>197721.71893121439</v>
      </c>
      <c r="AC173" s="99">
        <f>MAX(IF(INDEX('Pace of change parameters'!$E$29:$I$29,1,$B$5)=1,MAX(AB173,Z173),Z173),L173)</f>
        <v>198548.48783254862</v>
      </c>
      <c r="AD173" s="97">
        <f t="shared" si="42"/>
        <v>5.0314561494581689E-2</v>
      </c>
      <c r="AE173" s="146">
        <v>4.0020870062555058E-2</v>
      </c>
      <c r="AF173" s="56">
        <f t="shared" si="39"/>
        <v>198548.48783254862</v>
      </c>
      <c r="AG173" s="56">
        <v>1404.1237382287491</v>
      </c>
      <c r="AH173" s="16">
        <f t="shared" si="30"/>
        <v>5.0314561494581689E-2</v>
      </c>
      <c r="AI173" s="16">
        <f t="shared" si="31"/>
        <v>4.0020870062555058E-2</v>
      </c>
      <c r="AJ173" s="56"/>
      <c r="AK173" s="56">
        <v>203245.92072030538</v>
      </c>
      <c r="AL173" s="56">
        <v>1437.3437193952559</v>
      </c>
      <c r="AM173" s="16">
        <f t="shared" si="43"/>
        <v>-2.3112064788847975E-2</v>
      </c>
      <c r="AN173" s="58">
        <f t="shared" si="44"/>
        <v>-2.3112064788847975E-2</v>
      </c>
      <c r="AP173" s="56">
        <f t="shared" si="32"/>
        <v>0</v>
      </c>
      <c r="AQ173" s="56">
        <f t="shared" si="33"/>
        <v>0</v>
      </c>
    </row>
    <row r="174" spans="1:43" x14ac:dyDescent="0.2">
      <c r="A174" s="156" t="s">
        <v>393</v>
      </c>
      <c r="B174" s="156" t="s">
        <v>394</v>
      </c>
      <c r="D174" s="68">
        <v>469242.9580721223</v>
      </c>
      <c r="E174" s="73">
        <v>1511.687632718412</v>
      </c>
      <c r="F174" s="55"/>
      <c r="G174" s="88">
        <v>454045.3414770877</v>
      </c>
      <c r="H174" s="81">
        <v>1451.8296721993133</v>
      </c>
      <c r="I174" s="90"/>
      <c r="J174" s="103">
        <f t="shared" si="34"/>
        <v>3.347158357708091E-2</v>
      </c>
      <c r="K174" s="126">
        <f t="shared" si="35"/>
        <v>4.1229327148564643E-2</v>
      </c>
      <c r="L174" s="56">
        <v>486790</v>
      </c>
      <c r="M174" s="103">
        <v>1.6629223498292101E-2</v>
      </c>
      <c r="N174" s="97">
        <f>INDEX('Pace of change parameters'!$E$22:$I$22,1,$B$5)</f>
        <v>9.0547645222140982E-3</v>
      </c>
      <c r="O174" s="108">
        <f>MAX(L174,IF(INDEX('Pace of change parameters'!$E$30:$I$30,1,$B$5)=1,(1+M174)*D174,D174))</f>
        <v>486790</v>
      </c>
      <c r="P174" s="94">
        <f>IF(K174&lt;INDEX('Pace of change parameters'!$E$18:$I$18,1,$B$5),1,IF(K174&gt;INDEX('Pace of change parameters'!$E$19:$I$19,1,$B$5),0,(K174-INDEX('Pace of change parameters'!$E$19:$I$19,1,$B$5))/(INDEX('Pace of change parameters'!$E$18:$I$18,1,$B$5)-INDEX('Pace of change parameters'!$E$19:$I$19,1,$B$5))))</f>
        <v>0</v>
      </c>
      <c r="Q174" s="57">
        <v>1.6629223498292101E-2</v>
      </c>
      <c r="R174" s="57">
        <v>9.0547645222140982E-3</v>
      </c>
      <c r="S174" s="9">
        <f>MAX(IF(INDEX('Pace of change parameters'!$E$31:$I$31,1,$B$5)=1,D174*(1+Q174),D174),L174)</f>
        <v>486790</v>
      </c>
      <c r="T174" s="103">
        <f>IF(Q174&lt;INDEX('Pace of change parameters'!$E$24:$I$24,1,$B$5),INDEX('Pace of change parameters'!$E$24:$I$24,1,$B$5),Q174)</f>
        <v>3.0386941478720321E-2</v>
      </c>
      <c r="U174" s="132">
        <v>2.2709979772995492E-2</v>
      </c>
      <c r="V174" s="117">
        <f t="shared" si="36"/>
        <v>486790</v>
      </c>
      <c r="W174" s="131">
        <f>IF(J174&gt;INDEX('Pace of change parameters'!$E$26:$I$26,1,$B$5),0,IF(J174&lt;INDEX('Pace of change parameters'!$E$25:$I$25,1,$B$5),1,(J174-INDEX('Pace of change parameters'!$E$26:$I$26,1,$B$5))/(INDEX('Pace of change parameters'!$E$25:$I$25,1,$B$5)-INDEX('Pace of change parameters'!$E$26:$I$26,1,$B$5))))</f>
        <v>1</v>
      </c>
      <c r="X174" s="132">
        <f>MIN(T174, T174+(INDEX('Pace of change parameters'!$E$27:$I$27,1,$B$5)-T174)*(1-W174))</f>
        <v>3.0386941478720321E-2</v>
      </c>
      <c r="Y174" s="132">
        <v>2.2709979772995492E-2</v>
      </c>
      <c r="Z174" s="108">
        <f t="shared" si="37"/>
        <v>486790</v>
      </c>
      <c r="AA174" s="97">
        <v>-2.5000000000000001E-2</v>
      </c>
      <c r="AB174" s="99">
        <f t="shared" si="29"/>
        <v>462538.97527208185</v>
      </c>
      <c r="AC174" s="99">
        <f>MAX(IF(INDEX('Pace of change parameters'!$E$29:$I$29,1,$B$5)=1,MAX(AB174,Z174),Z174),L174)</f>
        <v>486790</v>
      </c>
      <c r="AD174" s="97">
        <f t="shared" si="42"/>
        <v>3.7394363891936511E-2</v>
      </c>
      <c r="AE174" s="146">
        <v>2.9665192951645158E-2</v>
      </c>
      <c r="AF174" s="56">
        <f t="shared" si="39"/>
        <v>486790</v>
      </c>
      <c r="AG174" s="56">
        <v>1556.5321380256196</v>
      </c>
      <c r="AH174" s="16">
        <f t="shared" si="30"/>
        <v>3.7394363891936511E-2</v>
      </c>
      <c r="AI174" s="16">
        <f t="shared" si="31"/>
        <v>2.9665192951645158E-2</v>
      </c>
      <c r="AJ174" s="56"/>
      <c r="AK174" s="56">
        <v>474398.94899700704</v>
      </c>
      <c r="AL174" s="56">
        <v>1516.9112150196559</v>
      </c>
      <c r="AM174" s="16">
        <f t="shared" si="43"/>
        <v>2.6119473976893515E-2</v>
      </c>
      <c r="AN174" s="58">
        <f t="shared" si="44"/>
        <v>2.6119473976893515E-2</v>
      </c>
      <c r="AP174" s="56">
        <f t="shared" si="32"/>
        <v>1</v>
      </c>
      <c r="AQ174" s="56">
        <f t="shared" si="33"/>
        <v>0</v>
      </c>
    </row>
    <row r="175" spans="1:43" x14ac:dyDescent="0.2">
      <c r="A175" s="156" t="s">
        <v>395</v>
      </c>
      <c r="B175" s="156" t="s">
        <v>396</v>
      </c>
      <c r="D175" s="68">
        <v>319903.84519612271</v>
      </c>
      <c r="E175" s="73">
        <v>1471.5597480858119</v>
      </c>
      <c r="F175" s="55"/>
      <c r="G175" s="88">
        <v>317705.45849215641</v>
      </c>
      <c r="H175" s="81">
        <v>1452.9417019322923</v>
      </c>
      <c r="I175" s="90"/>
      <c r="J175" s="103">
        <f t="shared" si="34"/>
        <v>6.9195748615713537E-3</v>
      </c>
      <c r="K175" s="126">
        <f t="shared" si="35"/>
        <v>1.2814035228501774E-2</v>
      </c>
      <c r="L175" s="56">
        <v>331820</v>
      </c>
      <c r="M175" s="103">
        <v>1.4961724190126091E-2</v>
      </c>
      <c r="N175" s="97">
        <f>INDEX('Pace of change parameters'!$E$22:$I$22,1,$B$5)</f>
        <v>9.0547645222140982E-3</v>
      </c>
      <c r="O175" s="108">
        <f>MAX(L175,IF(INDEX('Pace of change parameters'!$E$30:$I$30,1,$B$5)=1,(1+M175)*D175,D175))</f>
        <v>331820</v>
      </c>
      <c r="P175" s="94">
        <f>IF(K175&lt;INDEX('Pace of change parameters'!$E$18:$I$18,1,$B$5),1,IF(K175&gt;INDEX('Pace of change parameters'!$E$19:$I$19,1,$B$5),0,(K175-INDEX('Pace of change parameters'!$E$19:$I$19,1,$B$5))/(INDEX('Pace of change parameters'!$E$18:$I$18,1,$B$5)-INDEX('Pace of change parameters'!$E$19:$I$19,1,$B$5))))</f>
        <v>0.15385144289815139</v>
      </c>
      <c r="Q175" s="57">
        <v>2.5538291681271863E-2</v>
      </c>
      <c r="R175" s="57">
        <v>1.9569777615685346E-2</v>
      </c>
      <c r="S175" s="9">
        <f>MAX(IF(INDEX('Pace of change parameters'!$E$31:$I$31,1,$B$5)=1,D175*(1+Q175),D175),L175)</f>
        <v>331820</v>
      </c>
      <c r="T175" s="103">
        <f>IF(Q175&lt;INDEX('Pace of change parameters'!$E$24:$I$24,1,$B$5),INDEX('Pace of change parameters'!$E$24:$I$24,1,$B$5),Q175)</f>
        <v>3.0386941478720321E-2</v>
      </c>
      <c r="U175" s="132">
        <v>2.4390208832950178E-2</v>
      </c>
      <c r="V175" s="117">
        <f t="shared" si="36"/>
        <v>331820</v>
      </c>
      <c r="W175" s="131">
        <f>IF(J175&gt;INDEX('Pace of change parameters'!$E$26:$I$26,1,$B$5),0,IF(J175&lt;INDEX('Pace of change parameters'!$E$25:$I$25,1,$B$5),1,(J175-INDEX('Pace of change parameters'!$E$26:$I$26,1,$B$5))/(INDEX('Pace of change parameters'!$E$25:$I$25,1,$B$5)-INDEX('Pace of change parameters'!$E$26:$I$26,1,$B$5))))</f>
        <v>1</v>
      </c>
      <c r="X175" s="132">
        <f>MIN(T175, T175+(INDEX('Pace of change parameters'!$E$27:$I$27,1,$B$5)-T175)*(1-W175))</f>
        <v>3.0386941478720321E-2</v>
      </c>
      <c r="Y175" s="132">
        <v>2.4390208832950178E-2</v>
      </c>
      <c r="Z175" s="108">
        <f t="shared" si="37"/>
        <v>331820</v>
      </c>
      <c r="AA175" s="97">
        <v>-2.5000000000000001E-2</v>
      </c>
      <c r="AB175" s="99">
        <f t="shared" si="29"/>
        <v>323272.06989138119</v>
      </c>
      <c r="AC175" s="99">
        <f>MAX(IF(INDEX('Pace of change parameters'!$E$29:$I$29,1,$B$5)=1,MAX(AB175,Z175),Z175),L175)</f>
        <v>331820</v>
      </c>
      <c r="AD175" s="97">
        <f t="shared" si="42"/>
        <v>3.7249176534817519E-2</v>
      </c>
      <c r="AE175" s="146">
        <v>3.1212506475899682E-2</v>
      </c>
      <c r="AF175" s="56">
        <f t="shared" si="39"/>
        <v>331820</v>
      </c>
      <c r="AG175" s="56">
        <v>1517.4908162526137</v>
      </c>
      <c r="AH175" s="16">
        <f t="shared" si="30"/>
        <v>3.7249176534817519E-2</v>
      </c>
      <c r="AI175" s="16">
        <f t="shared" si="31"/>
        <v>3.1212506475899904E-2</v>
      </c>
      <c r="AJ175" s="56"/>
      <c r="AK175" s="56">
        <v>331561.09732449352</v>
      </c>
      <c r="AL175" s="56">
        <v>1516.306793492128</v>
      </c>
      <c r="AM175" s="16">
        <f t="shared" si="43"/>
        <v>7.8085962917739948E-4</v>
      </c>
      <c r="AN175" s="58">
        <f t="shared" si="44"/>
        <v>7.8085962917762153E-4</v>
      </c>
      <c r="AP175" s="56">
        <f t="shared" si="32"/>
        <v>1</v>
      </c>
      <c r="AQ175" s="56">
        <f t="shared" si="33"/>
        <v>0</v>
      </c>
    </row>
    <row r="176" spans="1:43" x14ac:dyDescent="0.2">
      <c r="A176" s="156" t="s">
        <v>397</v>
      </c>
      <c r="B176" s="156" t="s">
        <v>398</v>
      </c>
      <c r="D176" s="68">
        <v>448385.22427058354</v>
      </c>
      <c r="E176" s="73">
        <v>1327.7501954989548</v>
      </c>
      <c r="F176" s="55"/>
      <c r="G176" s="88">
        <v>464383.20740855974</v>
      </c>
      <c r="H176" s="81">
        <v>1367.2115982569908</v>
      </c>
      <c r="I176" s="90"/>
      <c r="J176" s="103">
        <f t="shared" si="34"/>
        <v>-3.4449960469611351E-2</v>
      </c>
      <c r="K176" s="126">
        <f t="shared" si="35"/>
        <v>-2.886268870769082E-2</v>
      </c>
      <c r="L176" s="56">
        <v>471528</v>
      </c>
      <c r="M176" s="103">
        <v>1.4893781622548286E-2</v>
      </c>
      <c r="N176" s="97">
        <f>INDEX('Pace of change parameters'!$E$22:$I$22,1,$B$5)</f>
        <v>9.0547645222140982E-3</v>
      </c>
      <c r="O176" s="108">
        <f>MAX(L176,IF(INDEX('Pace of change parameters'!$E$30:$I$30,1,$B$5)=1,(1+M176)*D176,D176))</f>
        <v>471528</v>
      </c>
      <c r="P176" s="94">
        <f>IF(K176&lt;INDEX('Pace of change parameters'!$E$18:$I$18,1,$B$5),1,IF(K176&gt;INDEX('Pace of change parameters'!$E$19:$I$19,1,$B$5),0,(K176-INDEX('Pace of change parameters'!$E$19:$I$19,1,$B$5))/(INDEX('Pace of change parameters'!$E$18:$I$18,1,$B$5)-INDEX('Pace of change parameters'!$E$19:$I$19,1,$B$5))))</f>
        <v>0.53380151980755597</v>
      </c>
      <c r="Q176" s="57">
        <v>5.1587684260136601E-2</v>
      </c>
      <c r="R176" s="57">
        <v>4.5537555091861526E-2</v>
      </c>
      <c r="S176" s="9">
        <f>MAX(IF(INDEX('Pace of change parameters'!$E$31:$I$31,1,$B$5)=1,D176*(1+Q176),D176),L176)</f>
        <v>471528</v>
      </c>
      <c r="T176" s="103">
        <f>IF(Q176&lt;INDEX('Pace of change parameters'!$E$24:$I$24,1,$B$5),INDEX('Pace of change parameters'!$E$24:$I$24,1,$B$5),Q176)</f>
        <v>5.1587684260136601E-2</v>
      </c>
      <c r="U176" s="132">
        <v>4.5537555091861526E-2</v>
      </c>
      <c r="V176" s="117">
        <f t="shared" si="36"/>
        <v>471528</v>
      </c>
      <c r="W176" s="131">
        <f>IF(J176&gt;INDEX('Pace of change parameters'!$E$26:$I$26,1,$B$5),0,IF(J176&lt;INDEX('Pace of change parameters'!$E$25:$I$25,1,$B$5),1,(J176-INDEX('Pace of change parameters'!$E$26:$I$26,1,$B$5))/(INDEX('Pace of change parameters'!$E$25:$I$25,1,$B$5)-INDEX('Pace of change parameters'!$E$26:$I$26,1,$B$5))))</f>
        <v>1</v>
      </c>
      <c r="X176" s="132">
        <f>MIN(T176, T176+(INDEX('Pace of change parameters'!$E$27:$I$27,1,$B$5)-T176)*(1-W176))</f>
        <v>5.1587684260136601E-2</v>
      </c>
      <c r="Y176" s="132">
        <v>4.5537555091861526E-2</v>
      </c>
      <c r="Z176" s="108">
        <f t="shared" si="37"/>
        <v>471528</v>
      </c>
      <c r="AA176" s="97">
        <v>-3.5969141585726838E-2</v>
      </c>
      <c r="AB176" s="99">
        <f t="shared" si="29"/>
        <v>467059.29966024932</v>
      </c>
      <c r="AC176" s="99">
        <f>MAX(IF(INDEX('Pace of change parameters'!$E$29:$I$29,1,$B$5)=1,MAX(AB176,Z176),Z176),L176)</f>
        <v>471528</v>
      </c>
      <c r="AD176" s="97">
        <f t="shared" si="42"/>
        <v>5.1613600263176185E-2</v>
      </c>
      <c r="AE176" s="146">
        <v>4.5563321991627603E-2</v>
      </c>
      <c r="AF176" s="56">
        <f t="shared" si="39"/>
        <v>471528</v>
      </c>
      <c r="AG176" s="56">
        <v>1388.2469051809201</v>
      </c>
      <c r="AH176" s="16">
        <f t="shared" si="30"/>
        <v>5.1613600263176185E-2</v>
      </c>
      <c r="AI176" s="16">
        <f t="shared" si="31"/>
        <v>4.5563321991627603E-2</v>
      </c>
      <c r="AJ176" s="56"/>
      <c r="AK176" s="56">
        <v>484485.83941442653</v>
      </c>
      <c r="AL176" s="56">
        <v>1426.3966660963035</v>
      </c>
      <c r="AM176" s="16">
        <f t="shared" si="43"/>
        <v>-2.6745548291128629E-2</v>
      </c>
      <c r="AN176" s="58">
        <f t="shared" si="44"/>
        <v>-2.6745548291128518E-2</v>
      </c>
      <c r="AP176" s="56">
        <f t="shared" si="32"/>
        <v>1</v>
      </c>
      <c r="AQ176" s="56">
        <f t="shared" si="33"/>
        <v>0</v>
      </c>
    </row>
    <row r="177" spans="1:43" x14ac:dyDescent="0.2">
      <c r="A177" s="156" t="s">
        <v>399</v>
      </c>
      <c r="B177" s="156" t="s">
        <v>400</v>
      </c>
      <c r="D177" s="68">
        <v>820333.47332630248</v>
      </c>
      <c r="E177" s="73">
        <v>1627.8977169607649</v>
      </c>
      <c r="F177" s="55"/>
      <c r="G177" s="88">
        <v>841697.69162590057</v>
      </c>
      <c r="H177" s="81">
        <v>1656.8062928409247</v>
      </c>
      <c r="I177" s="90"/>
      <c r="J177" s="103">
        <f t="shared" si="34"/>
        <v>-2.5382294037576636E-2</v>
      </c>
      <c r="K177" s="126">
        <f t="shared" si="35"/>
        <v>-1.7448374022403179E-2</v>
      </c>
      <c r="L177" s="56">
        <v>851002</v>
      </c>
      <c r="M177" s="103">
        <v>1.7269020987771722E-2</v>
      </c>
      <c r="N177" s="97">
        <f>INDEX('Pace of change parameters'!$E$22:$I$22,1,$B$5)</f>
        <v>9.0547645222140982E-3</v>
      </c>
      <c r="O177" s="108">
        <f>MAX(L177,IF(INDEX('Pace of change parameters'!$E$30:$I$30,1,$B$5)=1,(1+M177)*D177,D177))</f>
        <v>851002</v>
      </c>
      <c r="P177" s="94">
        <f>IF(K177&lt;INDEX('Pace of change parameters'!$E$18:$I$18,1,$B$5),1,IF(K177&gt;INDEX('Pace of change parameters'!$E$19:$I$19,1,$B$5),0,(K177-INDEX('Pace of change parameters'!$E$19:$I$19,1,$B$5))/(INDEX('Pace of change parameters'!$E$18:$I$18,1,$B$5)-INDEX('Pace of change parameters'!$E$19:$I$19,1,$B$5))))</f>
        <v>0.42974176335493824</v>
      </c>
      <c r="Q177" s="57">
        <v>4.6878917356119265E-2</v>
      </c>
      <c r="R177" s="57">
        <v>3.8425566533346389E-2</v>
      </c>
      <c r="S177" s="9">
        <f>MAX(IF(INDEX('Pace of change parameters'!$E$31:$I$31,1,$B$5)=1,D177*(1+Q177),D177),L177)</f>
        <v>858789.81842682452</v>
      </c>
      <c r="T177" s="103">
        <f>IF(Q177&lt;INDEX('Pace of change parameters'!$E$24:$I$24,1,$B$5),INDEX('Pace of change parameters'!$E$24:$I$24,1,$B$5),Q177)</f>
        <v>4.6878917356119265E-2</v>
      </c>
      <c r="U177" s="132">
        <v>3.8425566533346389E-2</v>
      </c>
      <c r="V177" s="117">
        <f t="shared" si="36"/>
        <v>858789.81842682452</v>
      </c>
      <c r="W177" s="131">
        <f>IF(J177&gt;INDEX('Pace of change parameters'!$E$26:$I$26,1,$B$5),0,IF(J177&lt;INDEX('Pace of change parameters'!$E$25:$I$25,1,$B$5),1,(J177-INDEX('Pace of change parameters'!$E$26:$I$26,1,$B$5))/(INDEX('Pace of change parameters'!$E$25:$I$25,1,$B$5)-INDEX('Pace of change parameters'!$E$26:$I$26,1,$B$5))))</f>
        <v>1</v>
      </c>
      <c r="X177" s="132">
        <f>MIN(T177, T177+(INDEX('Pace of change parameters'!$E$27:$I$27,1,$B$5)-T177)*(1-W177))</f>
        <v>4.6878917356119265E-2</v>
      </c>
      <c r="Y177" s="132">
        <v>3.8425566533346389E-2</v>
      </c>
      <c r="Z177" s="108">
        <f t="shared" si="37"/>
        <v>858789.81842682452</v>
      </c>
      <c r="AA177" s="97">
        <v>-2.5000000000000001E-2</v>
      </c>
      <c r="AB177" s="99">
        <f t="shared" si="29"/>
        <v>855838.17808946036</v>
      </c>
      <c r="AC177" s="99">
        <f>MAX(IF(INDEX('Pace of change parameters'!$E$29:$I$29,1,$B$5)=1,MAX(AB177,Z177),Z177),L177)</f>
        <v>858789.81842682452</v>
      </c>
      <c r="AD177" s="97">
        <f t="shared" si="42"/>
        <v>4.6878917356119265E-2</v>
      </c>
      <c r="AE177" s="146">
        <v>3.8425566533346389E-2</v>
      </c>
      <c r="AF177" s="56">
        <f t="shared" si="39"/>
        <v>858789.81842682452</v>
      </c>
      <c r="AG177" s="56">
        <v>1690.4506089933234</v>
      </c>
      <c r="AH177" s="16">
        <f t="shared" si="30"/>
        <v>4.6878917356119265E-2</v>
      </c>
      <c r="AI177" s="16">
        <f t="shared" si="31"/>
        <v>3.8425566533346389E-2</v>
      </c>
      <c r="AJ177" s="56"/>
      <c r="AK177" s="56">
        <v>877782.74675842095</v>
      </c>
      <c r="AL177" s="56">
        <v>1727.8364822021233</v>
      </c>
      <c r="AM177" s="16">
        <f t="shared" si="43"/>
        <v>-2.1637390802833334E-2</v>
      </c>
      <c r="AN177" s="58">
        <f t="shared" si="44"/>
        <v>-2.1637390802833223E-2</v>
      </c>
      <c r="AP177" s="56">
        <f t="shared" si="32"/>
        <v>0</v>
      </c>
      <c r="AQ177" s="56">
        <f t="shared" si="33"/>
        <v>0</v>
      </c>
    </row>
    <row r="178" spans="1:43" x14ac:dyDescent="0.2">
      <c r="A178" s="156" t="s">
        <v>401</v>
      </c>
      <c r="B178" s="156" t="s">
        <v>402</v>
      </c>
      <c r="D178" s="68">
        <v>193497.71509412891</v>
      </c>
      <c r="E178" s="73">
        <v>1498.9597413712268</v>
      </c>
      <c r="F178" s="55"/>
      <c r="G178" s="88">
        <v>193795.01315191214</v>
      </c>
      <c r="H178" s="81">
        <v>1484.6232891945699</v>
      </c>
      <c r="I178" s="90"/>
      <c r="J178" s="103">
        <f t="shared" si="34"/>
        <v>-1.5340851807686962E-3</v>
      </c>
      <c r="K178" s="126">
        <f t="shared" si="35"/>
        <v>9.6566262169002215E-3</v>
      </c>
      <c r="L178" s="56">
        <v>200925</v>
      </c>
      <c r="M178" s="103">
        <v>2.0364154744368035E-2</v>
      </c>
      <c r="N178" s="97">
        <f>INDEX('Pace of change parameters'!$E$22:$I$22,1,$B$5)</f>
        <v>9.0547645222140982E-3</v>
      </c>
      <c r="O178" s="108">
        <f>MAX(L178,IF(INDEX('Pace of change parameters'!$E$30:$I$30,1,$B$5)=1,(1+M178)*D178,D178))</f>
        <v>200925</v>
      </c>
      <c r="P178" s="94">
        <f>IF(K178&lt;INDEX('Pace of change parameters'!$E$18:$I$18,1,$B$5),1,IF(K178&gt;INDEX('Pace of change parameters'!$E$19:$I$19,1,$B$5),0,(K178-INDEX('Pace of change parameters'!$E$19:$I$19,1,$B$5))/(INDEX('Pace of change parameters'!$E$18:$I$18,1,$B$5)-INDEX('Pace of change parameters'!$E$19:$I$19,1,$B$5))))</f>
        <v>0.18263628209590463</v>
      </c>
      <c r="Q178" s="57">
        <v>3.2986375107934895E-2</v>
      </c>
      <c r="R178" s="57">
        <v>2.1537084228846037E-2</v>
      </c>
      <c r="S178" s="9">
        <f>MAX(IF(INDEX('Pace of change parameters'!$E$31:$I$31,1,$B$5)=1,D178*(1+Q178),D178),L178)</f>
        <v>200925</v>
      </c>
      <c r="T178" s="103">
        <f>IF(Q178&lt;INDEX('Pace of change parameters'!$E$24:$I$24,1,$B$5),INDEX('Pace of change parameters'!$E$24:$I$24,1,$B$5),Q178)</f>
        <v>3.2986375107934895E-2</v>
      </c>
      <c r="U178" s="132">
        <v>2.1537084228846037E-2</v>
      </c>
      <c r="V178" s="117">
        <f t="shared" si="36"/>
        <v>200925</v>
      </c>
      <c r="W178" s="131">
        <f>IF(J178&gt;INDEX('Pace of change parameters'!$E$26:$I$26,1,$B$5),0,IF(J178&lt;INDEX('Pace of change parameters'!$E$25:$I$25,1,$B$5),1,(J178-INDEX('Pace of change parameters'!$E$26:$I$26,1,$B$5))/(INDEX('Pace of change parameters'!$E$25:$I$25,1,$B$5)-INDEX('Pace of change parameters'!$E$26:$I$26,1,$B$5))))</f>
        <v>1</v>
      </c>
      <c r="X178" s="132">
        <f>MIN(T178, T178+(INDEX('Pace of change parameters'!$E$27:$I$27,1,$B$5)-T178)*(1-W178))</f>
        <v>3.2986375107934895E-2</v>
      </c>
      <c r="Y178" s="132">
        <v>2.1537084228846037E-2</v>
      </c>
      <c r="Z178" s="108">
        <f t="shared" si="37"/>
        <v>200925</v>
      </c>
      <c r="AA178" s="97">
        <v>-2.5000000000000001E-2</v>
      </c>
      <c r="AB178" s="99">
        <f t="shared" si="29"/>
        <v>197215.38665383254</v>
      </c>
      <c r="AC178" s="99">
        <f>MAX(IF(INDEX('Pace of change parameters'!$E$29:$I$29,1,$B$5)=1,MAX(AB178,Z178),Z178),L178)</f>
        <v>200925</v>
      </c>
      <c r="AD178" s="97">
        <f t="shared" si="42"/>
        <v>3.8384354576269875E-2</v>
      </c>
      <c r="AE178" s="146">
        <v>2.6875234217740074E-2</v>
      </c>
      <c r="AF178" s="56">
        <f t="shared" si="39"/>
        <v>200925</v>
      </c>
      <c r="AG178" s="56">
        <v>1539.2446355035413</v>
      </c>
      <c r="AH178" s="16">
        <f t="shared" si="30"/>
        <v>3.8384354576269875E-2</v>
      </c>
      <c r="AI178" s="16">
        <f t="shared" si="31"/>
        <v>2.6875234217739852E-2</v>
      </c>
      <c r="AJ178" s="56"/>
      <c r="AK178" s="56">
        <v>202272.19143982825</v>
      </c>
      <c r="AL178" s="56">
        <v>1549.565188927714</v>
      </c>
      <c r="AM178" s="16">
        <f t="shared" si="43"/>
        <v>-6.6602899303092045E-3</v>
      </c>
      <c r="AN178" s="58">
        <f t="shared" si="44"/>
        <v>-6.6602899303089824E-3</v>
      </c>
      <c r="AP178" s="56">
        <f t="shared" si="32"/>
        <v>1</v>
      </c>
      <c r="AQ178" s="56">
        <f t="shared" si="33"/>
        <v>0</v>
      </c>
    </row>
    <row r="179" spans="1:43" x14ac:dyDescent="0.2">
      <c r="A179" s="156" t="s">
        <v>403</v>
      </c>
      <c r="B179" s="156" t="s">
        <v>404</v>
      </c>
      <c r="D179" s="68">
        <v>387415.60940260033</v>
      </c>
      <c r="E179" s="73">
        <v>1495.7380880596741</v>
      </c>
      <c r="F179" s="55"/>
      <c r="G179" s="88">
        <v>398605.24563861737</v>
      </c>
      <c r="H179" s="81">
        <v>1523.8431245649033</v>
      </c>
      <c r="I179" s="90"/>
      <c r="J179" s="103">
        <f t="shared" si="34"/>
        <v>-2.8071974361726704E-2</v>
      </c>
      <c r="K179" s="126">
        <f t="shared" si="35"/>
        <v>-1.8443523517720384E-2</v>
      </c>
      <c r="L179" s="56">
        <v>402461</v>
      </c>
      <c r="M179" s="103">
        <v>1.9051013156707652E-2</v>
      </c>
      <c r="N179" s="97">
        <f>INDEX('Pace of change parameters'!$E$22:$I$22,1,$B$5)</f>
        <v>9.0547645222140982E-3</v>
      </c>
      <c r="O179" s="108">
        <f>MAX(L179,IF(INDEX('Pace of change parameters'!$E$30:$I$30,1,$B$5)=1,(1+M179)*D179,D179))</f>
        <v>402461</v>
      </c>
      <c r="P179" s="94">
        <f>IF(K179&lt;INDEX('Pace of change parameters'!$E$18:$I$18,1,$B$5),1,IF(K179&gt;INDEX('Pace of change parameters'!$E$19:$I$19,1,$B$5),0,(K179-INDEX('Pace of change parameters'!$E$19:$I$19,1,$B$5))/(INDEX('Pace of change parameters'!$E$18:$I$18,1,$B$5)-INDEX('Pace of change parameters'!$E$19:$I$19,1,$B$5))))</f>
        <v>0.43881414456851475</v>
      </c>
      <c r="Q179" s="57">
        <v>4.9338975028645482E-2</v>
      </c>
      <c r="R179" s="57">
        <v>3.9045620563732397E-2</v>
      </c>
      <c r="S179" s="9">
        <f>MAX(IF(INDEX('Pace of change parameters'!$E$31:$I$31,1,$B$5)=1,D179*(1+Q179),D179),L179)</f>
        <v>406530.2984806227</v>
      </c>
      <c r="T179" s="103">
        <f>IF(Q179&lt;INDEX('Pace of change parameters'!$E$24:$I$24,1,$B$5),INDEX('Pace of change parameters'!$E$24:$I$24,1,$B$5),Q179)</f>
        <v>4.9338975028645482E-2</v>
      </c>
      <c r="U179" s="132">
        <v>3.9045620563732397E-2</v>
      </c>
      <c r="V179" s="117">
        <f t="shared" si="36"/>
        <v>406530.2984806227</v>
      </c>
      <c r="W179" s="131">
        <f>IF(J179&gt;INDEX('Pace of change parameters'!$E$26:$I$26,1,$B$5),0,IF(J179&lt;INDEX('Pace of change parameters'!$E$25:$I$25,1,$B$5),1,(J179-INDEX('Pace of change parameters'!$E$26:$I$26,1,$B$5))/(INDEX('Pace of change parameters'!$E$25:$I$25,1,$B$5)-INDEX('Pace of change parameters'!$E$26:$I$26,1,$B$5))))</f>
        <v>1</v>
      </c>
      <c r="X179" s="132">
        <f>MIN(T179, T179+(INDEX('Pace of change parameters'!$E$27:$I$27,1,$B$5)-T179)*(1-W179))</f>
        <v>4.9338975028645482E-2</v>
      </c>
      <c r="Y179" s="132">
        <v>3.9045620563732397E-2</v>
      </c>
      <c r="Z179" s="108">
        <f t="shared" si="37"/>
        <v>406530.2984806227</v>
      </c>
      <c r="AA179" s="97">
        <v>-2.5629144752929323E-2</v>
      </c>
      <c r="AB179" s="99">
        <f t="shared" si="29"/>
        <v>405369.0303527693</v>
      </c>
      <c r="AC179" s="99">
        <f>MAX(IF(INDEX('Pace of change parameters'!$E$29:$I$29,1,$B$5)=1,MAX(AB179,Z179),Z179),L179)</f>
        <v>406530.2984806227</v>
      </c>
      <c r="AD179" s="97">
        <f t="shared" si="42"/>
        <v>4.9338975028645482E-2</v>
      </c>
      <c r="AE179" s="146">
        <v>3.9045620563732397E-2</v>
      </c>
      <c r="AF179" s="56">
        <f t="shared" si="39"/>
        <v>406530.2984806227</v>
      </c>
      <c r="AG179" s="56">
        <v>1554.1401099087745</v>
      </c>
      <c r="AH179" s="16">
        <f t="shared" si="30"/>
        <v>4.9338975028645482E-2</v>
      </c>
      <c r="AI179" s="16">
        <f t="shared" si="31"/>
        <v>3.9045620563732397E-2</v>
      </c>
      <c r="AJ179" s="56"/>
      <c r="AK179" s="56">
        <v>416031.56351590599</v>
      </c>
      <c r="AL179" s="56">
        <v>1590.4628566791764</v>
      </c>
      <c r="AM179" s="16">
        <f t="shared" si="43"/>
        <v>-2.2837846616702739E-2</v>
      </c>
      <c r="AN179" s="58">
        <f t="shared" si="44"/>
        <v>-2.2837846616702739E-2</v>
      </c>
      <c r="AP179" s="56">
        <f t="shared" si="32"/>
        <v>0</v>
      </c>
      <c r="AQ179" s="56">
        <f t="shared" si="33"/>
        <v>0</v>
      </c>
    </row>
    <row r="180" spans="1:43" x14ac:dyDescent="0.2">
      <c r="A180" s="156" t="s">
        <v>405</v>
      </c>
      <c r="B180" s="156" t="s">
        <v>406</v>
      </c>
      <c r="D180" s="68">
        <v>257081.98412837682</v>
      </c>
      <c r="E180" s="73">
        <v>1434.113108904156</v>
      </c>
      <c r="F180" s="55"/>
      <c r="G180" s="88">
        <v>271243.54890393268</v>
      </c>
      <c r="H180" s="81">
        <v>1496.9648902887548</v>
      </c>
      <c r="I180" s="90"/>
      <c r="J180" s="103">
        <f t="shared" si="34"/>
        <v>-5.2209775431641736E-2</v>
      </c>
      <c r="K180" s="126">
        <f t="shared" si="35"/>
        <v>-4.1986142622540079E-2</v>
      </c>
      <c r="L180" s="56">
        <v>271146</v>
      </c>
      <c r="M180" s="103">
        <v>1.9939246266523991E-2</v>
      </c>
      <c r="N180" s="97">
        <f>INDEX('Pace of change parameters'!$E$22:$I$22,1,$B$5)</f>
        <v>9.0547645222140982E-3</v>
      </c>
      <c r="O180" s="108">
        <f>MAX(L180,IF(INDEX('Pace of change parameters'!$E$30:$I$30,1,$B$5)=1,(1+M180)*D180,D180))</f>
        <v>271146</v>
      </c>
      <c r="P180" s="94">
        <f>IF(K180&lt;INDEX('Pace of change parameters'!$E$18:$I$18,1,$B$5),1,IF(K180&gt;INDEX('Pace of change parameters'!$E$19:$I$19,1,$B$5),0,(K180-INDEX('Pace of change parameters'!$E$19:$I$19,1,$B$5))/(INDEX('Pace of change parameters'!$E$18:$I$18,1,$B$5)-INDEX('Pace of change parameters'!$E$19:$I$19,1,$B$5))))</f>
        <v>0.65344281723530007</v>
      </c>
      <c r="Q180" s="57">
        <v>6.5080685202576705E-2</v>
      </c>
      <c r="R180" s="57">
        <v>5.3714467737428606E-2</v>
      </c>
      <c r="S180" s="9">
        <f>MAX(IF(INDEX('Pace of change parameters'!$E$31:$I$31,1,$B$5)=1,D180*(1+Q180),D180),L180)</f>
        <v>273813.0558086895</v>
      </c>
      <c r="T180" s="103">
        <f>IF(Q180&lt;INDEX('Pace of change parameters'!$E$24:$I$24,1,$B$5),INDEX('Pace of change parameters'!$E$24:$I$24,1,$B$5),Q180)</f>
        <v>6.5080685202576705E-2</v>
      </c>
      <c r="U180" s="132">
        <v>5.3714467737428606E-2</v>
      </c>
      <c r="V180" s="117">
        <f t="shared" si="36"/>
        <v>273813.0558086895</v>
      </c>
      <c r="W180" s="131">
        <f>IF(J180&gt;INDEX('Pace of change parameters'!$E$26:$I$26,1,$B$5),0,IF(J180&lt;INDEX('Pace of change parameters'!$E$25:$I$25,1,$B$5),1,(J180-INDEX('Pace of change parameters'!$E$26:$I$26,1,$B$5))/(INDEX('Pace of change parameters'!$E$25:$I$25,1,$B$5)-INDEX('Pace of change parameters'!$E$26:$I$26,1,$B$5))))</f>
        <v>1</v>
      </c>
      <c r="X180" s="132">
        <f>MIN(T180, T180+(INDEX('Pace of change parameters'!$E$27:$I$27,1,$B$5)-T180)*(1-W180))</f>
        <v>6.5080685202576705E-2</v>
      </c>
      <c r="Y180" s="132">
        <v>5.3714467737428606E-2</v>
      </c>
      <c r="Z180" s="108">
        <f t="shared" si="37"/>
        <v>273813.0558086895</v>
      </c>
      <c r="AA180" s="97">
        <v>-4.8998327663902663E-2</v>
      </c>
      <c r="AB180" s="99">
        <f t="shared" si="29"/>
        <v>269209.25896822696</v>
      </c>
      <c r="AC180" s="99">
        <f>MAX(IF(INDEX('Pace of change parameters'!$E$29:$I$29,1,$B$5)=1,MAX(AB180,Z180),Z180),L180)</f>
        <v>273813.0558086895</v>
      </c>
      <c r="AD180" s="97">
        <f t="shared" si="42"/>
        <v>6.5080685202576705E-2</v>
      </c>
      <c r="AE180" s="146">
        <v>5.3714467737428606E-2</v>
      </c>
      <c r="AF180" s="56">
        <f t="shared" si="39"/>
        <v>273813.0558086895</v>
      </c>
      <c r="AG180" s="56">
        <v>1511.1457312242114</v>
      </c>
      <c r="AH180" s="16">
        <f t="shared" si="30"/>
        <v>6.5080685202576705E-2</v>
      </c>
      <c r="AI180" s="16">
        <f t="shared" si="31"/>
        <v>5.3714467737428384E-2</v>
      </c>
      <c r="AJ180" s="56"/>
      <c r="AK180" s="56">
        <v>283079.69039310439</v>
      </c>
      <c r="AL180" s="56">
        <v>1562.2873221673299</v>
      </c>
      <c r="AM180" s="16">
        <f t="shared" si="43"/>
        <v>-3.2735073899319955E-2</v>
      </c>
      <c r="AN180" s="58">
        <f t="shared" si="44"/>
        <v>-3.2735073899320066E-2</v>
      </c>
      <c r="AP180" s="56">
        <f t="shared" si="32"/>
        <v>0</v>
      </c>
      <c r="AQ180" s="56">
        <f t="shared" si="33"/>
        <v>0</v>
      </c>
    </row>
    <row r="181" spans="1:43" x14ac:dyDescent="0.2">
      <c r="A181" s="156" t="s">
        <v>407</v>
      </c>
      <c r="B181" s="156" t="s">
        <v>408</v>
      </c>
      <c r="D181" s="68">
        <v>321237.94563671917</v>
      </c>
      <c r="E181" s="73">
        <v>1669.6706045693215</v>
      </c>
      <c r="F181" s="55"/>
      <c r="G181" s="88">
        <v>323523.57772241393</v>
      </c>
      <c r="H181" s="81">
        <v>1669.6815360934906</v>
      </c>
      <c r="I181" s="90"/>
      <c r="J181" s="103">
        <f t="shared" si="34"/>
        <v>-7.0648083882648427E-3</v>
      </c>
      <c r="K181" s="126">
        <f t="shared" si="35"/>
        <v>-6.5470713622728383E-6</v>
      </c>
      <c r="L181" s="56">
        <v>333260</v>
      </c>
      <c r="M181" s="103">
        <v>1.6227611522935836E-2</v>
      </c>
      <c r="N181" s="97">
        <f>INDEX('Pace of change parameters'!$E$22:$I$22,1,$B$5)</f>
        <v>9.0547645222140982E-3</v>
      </c>
      <c r="O181" s="108">
        <f>MAX(L181,IF(INDEX('Pace of change parameters'!$E$30:$I$30,1,$B$5)=1,(1+M181)*D181,D181))</f>
        <v>333260</v>
      </c>
      <c r="P181" s="94">
        <f>IF(K181&lt;INDEX('Pace of change parameters'!$E$18:$I$18,1,$B$5),1,IF(K181&gt;INDEX('Pace of change parameters'!$E$19:$I$19,1,$B$5),0,(K181-INDEX('Pace of change parameters'!$E$19:$I$19,1,$B$5))/(INDEX('Pace of change parameters'!$E$18:$I$18,1,$B$5)-INDEX('Pace of change parameters'!$E$19:$I$19,1,$B$5))))</f>
        <v>0.27073158055759206</v>
      </c>
      <c r="Q181" s="57">
        <v>3.486235489685896E-2</v>
      </c>
      <c r="R181" s="57">
        <v>2.7557978146695916E-2</v>
      </c>
      <c r="S181" s="9">
        <f>MAX(IF(INDEX('Pace of change parameters'!$E$31:$I$31,1,$B$5)=1,D181*(1+Q181),D181),L181)</f>
        <v>333260</v>
      </c>
      <c r="T181" s="103">
        <f>IF(Q181&lt;INDEX('Pace of change parameters'!$E$24:$I$24,1,$B$5),INDEX('Pace of change parameters'!$E$24:$I$24,1,$B$5),Q181)</f>
        <v>3.486235489685896E-2</v>
      </c>
      <c r="U181" s="132">
        <v>2.7557978146695916E-2</v>
      </c>
      <c r="V181" s="117">
        <f t="shared" si="36"/>
        <v>333260</v>
      </c>
      <c r="W181" s="131">
        <f>IF(J181&gt;INDEX('Pace of change parameters'!$E$26:$I$26,1,$B$5),0,IF(J181&lt;INDEX('Pace of change parameters'!$E$25:$I$25,1,$B$5),1,(J181-INDEX('Pace of change parameters'!$E$26:$I$26,1,$B$5))/(INDEX('Pace of change parameters'!$E$25:$I$25,1,$B$5)-INDEX('Pace of change parameters'!$E$26:$I$26,1,$B$5))))</f>
        <v>1</v>
      </c>
      <c r="X181" s="132">
        <f>MIN(T181, T181+(INDEX('Pace of change parameters'!$E$27:$I$27,1,$B$5)-T181)*(1-W181))</f>
        <v>3.486235489685896E-2</v>
      </c>
      <c r="Y181" s="132">
        <v>2.7557978146695916E-2</v>
      </c>
      <c r="Z181" s="108">
        <f t="shared" si="37"/>
        <v>333260</v>
      </c>
      <c r="AA181" s="97">
        <v>-2.5000000000000001E-2</v>
      </c>
      <c r="AB181" s="99">
        <f t="shared" si="29"/>
        <v>329039.92494980164</v>
      </c>
      <c r="AC181" s="99">
        <f>MAX(IF(INDEX('Pace of change parameters'!$E$29:$I$29,1,$B$5)=1,MAX(AB181,Z181),Z181),L181)</f>
        <v>333260</v>
      </c>
      <c r="AD181" s="97">
        <f t="shared" si="42"/>
        <v>3.7424141595265636E-2</v>
      </c>
      <c r="AE181" s="146">
        <v>3.0101682966763743E-2</v>
      </c>
      <c r="AF181" s="56">
        <f t="shared" si="39"/>
        <v>333260</v>
      </c>
      <c r="AG181" s="56">
        <v>1719.9304997669917</v>
      </c>
      <c r="AH181" s="16">
        <f t="shared" si="30"/>
        <v>3.7424141595265636E-2</v>
      </c>
      <c r="AI181" s="16">
        <f t="shared" si="31"/>
        <v>3.0101682966763521E-2</v>
      </c>
      <c r="AJ181" s="56"/>
      <c r="AK181" s="56">
        <v>337476.84610236069</v>
      </c>
      <c r="AL181" s="56">
        <v>1741.693334263402</v>
      </c>
      <c r="AM181" s="16">
        <f t="shared" si="43"/>
        <v>-1.2495216045374735E-2</v>
      </c>
      <c r="AN181" s="58">
        <f t="shared" si="44"/>
        <v>-1.2495216045374735E-2</v>
      </c>
      <c r="AP181" s="56">
        <f t="shared" si="32"/>
        <v>1</v>
      </c>
      <c r="AQ181" s="56">
        <f t="shared" si="33"/>
        <v>0</v>
      </c>
    </row>
    <row r="182" spans="1:43" x14ac:dyDescent="0.2">
      <c r="A182" s="156" t="s">
        <v>409</v>
      </c>
      <c r="B182" s="156" t="s">
        <v>410</v>
      </c>
      <c r="D182" s="68">
        <v>286144.06422158761</v>
      </c>
      <c r="E182" s="73">
        <v>1409.9031018097176</v>
      </c>
      <c r="F182" s="55"/>
      <c r="G182" s="88">
        <v>296058.75356444536</v>
      </c>
      <c r="H182" s="81">
        <v>1450.7997068840878</v>
      </c>
      <c r="I182" s="90"/>
      <c r="J182" s="103">
        <f t="shared" si="34"/>
        <v>-3.3488924828225186E-2</v>
      </c>
      <c r="K182" s="126">
        <f t="shared" si="35"/>
        <v>-2.8189008365741008E-2</v>
      </c>
      <c r="L182" s="56">
        <v>299651</v>
      </c>
      <c r="M182" s="103">
        <v>1.4587971637392672E-2</v>
      </c>
      <c r="N182" s="97">
        <f>INDEX('Pace of change parameters'!$E$22:$I$22,1,$B$5)</f>
        <v>9.0547645222140982E-3</v>
      </c>
      <c r="O182" s="108">
        <f>MAX(L182,IF(INDEX('Pace of change parameters'!$E$30:$I$30,1,$B$5)=1,(1+M182)*D182,D182))</f>
        <v>299651</v>
      </c>
      <c r="P182" s="94">
        <f>IF(K182&lt;INDEX('Pace of change parameters'!$E$18:$I$18,1,$B$5),1,IF(K182&gt;INDEX('Pace of change parameters'!$E$19:$I$19,1,$B$5),0,(K182-INDEX('Pace of change parameters'!$E$19:$I$19,1,$B$5))/(INDEX('Pace of change parameters'!$E$18:$I$18,1,$B$5)-INDEX('Pace of change parameters'!$E$19:$I$19,1,$B$5))))</f>
        <v>0.5276598447054518</v>
      </c>
      <c r="Q182" s="57">
        <v>5.0848761612608984E-2</v>
      </c>
      <c r="R182" s="57">
        <v>4.5117800860780211E-2</v>
      </c>
      <c r="S182" s="9">
        <f>MAX(IF(INDEX('Pace of change parameters'!$E$31:$I$31,1,$B$5)=1,D182*(1+Q182),D182),L182)</f>
        <v>300694.13553005422</v>
      </c>
      <c r="T182" s="103">
        <f>IF(Q182&lt;INDEX('Pace of change parameters'!$E$24:$I$24,1,$B$5),INDEX('Pace of change parameters'!$E$24:$I$24,1,$B$5),Q182)</f>
        <v>5.0848761612608984E-2</v>
      </c>
      <c r="U182" s="132">
        <v>4.5117800860780211E-2</v>
      </c>
      <c r="V182" s="117">
        <f t="shared" si="36"/>
        <v>300694.13553005422</v>
      </c>
      <c r="W182" s="131">
        <f>IF(J182&gt;INDEX('Pace of change parameters'!$E$26:$I$26,1,$B$5),0,IF(J182&lt;INDEX('Pace of change parameters'!$E$25:$I$25,1,$B$5),1,(J182-INDEX('Pace of change parameters'!$E$26:$I$26,1,$B$5))/(INDEX('Pace of change parameters'!$E$25:$I$25,1,$B$5)-INDEX('Pace of change parameters'!$E$26:$I$26,1,$B$5))))</f>
        <v>1</v>
      </c>
      <c r="X182" s="132">
        <f>MIN(T182, T182+(INDEX('Pace of change parameters'!$E$27:$I$27,1,$B$5)-T182)*(1-W182))</f>
        <v>5.0848761612608984E-2</v>
      </c>
      <c r="Y182" s="132">
        <v>4.5117800860780211E-2</v>
      </c>
      <c r="Z182" s="108">
        <f t="shared" si="37"/>
        <v>300694.13553005422</v>
      </c>
      <c r="AA182" s="97">
        <v>-3.5292318261368583E-2</v>
      </c>
      <c r="AB182" s="99">
        <f t="shared" si="29"/>
        <v>297753.07509247318</v>
      </c>
      <c r="AC182" s="99">
        <f>MAX(IF(INDEX('Pace of change parameters'!$E$29:$I$29,1,$B$5)=1,MAX(AB182,Z182),Z182),L182)</f>
        <v>300694.13553005422</v>
      </c>
      <c r="AD182" s="97">
        <f t="shared" si="42"/>
        <v>5.0848761612608984E-2</v>
      </c>
      <c r="AE182" s="146">
        <v>4.5117800860780211E-2</v>
      </c>
      <c r="AF182" s="56">
        <f t="shared" si="39"/>
        <v>300694.13553005422</v>
      </c>
      <c r="AG182" s="56">
        <v>1473.5148291901646</v>
      </c>
      <c r="AH182" s="16">
        <f t="shared" si="30"/>
        <v>5.0848761612608984E-2</v>
      </c>
      <c r="AI182" s="16">
        <f t="shared" si="31"/>
        <v>4.5117800860780211E-2</v>
      </c>
      <c r="AJ182" s="56"/>
      <c r="AK182" s="56">
        <v>308645.90458723385</v>
      </c>
      <c r="AL182" s="56">
        <v>1512.4815007662339</v>
      </c>
      <c r="AM182" s="16">
        <f t="shared" si="43"/>
        <v>-2.576340375490771E-2</v>
      </c>
      <c r="AN182" s="58">
        <f t="shared" si="44"/>
        <v>-2.576340375490771E-2</v>
      </c>
      <c r="AP182" s="56">
        <f t="shared" si="32"/>
        <v>0</v>
      </c>
      <c r="AQ182" s="56">
        <f t="shared" si="33"/>
        <v>0</v>
      </c>
    </row>
    <row r="183" spans="1:43" x14ac:dyDescent="0.2">
      <c r="A183" s="156" t="s">
        <v>411</v>
      </c>
      <c r="B183" s="156" t="s">
        <v>412</v>
      </c>
      <c r="D183" s="68">
        <v>305315.77337416587</v>
      </c>
      <c r="E183" s="73">
        <v>1384.2502555909664</v>
      </c>
      <c r="F183" s="55"/>
      <c r="G183" s="88">
        <v>303934.90422704065</v>
      </c>
      <c r="H183" s="81">
        <v>1365.5222861165046</v>
      </c>
      <c r="I183" s="90"/>
      <c r="J183" s="103">
        <f t="shared" si="34"/>
        <v>4.5433055826116231E-3</v>
      </c>
      <c r="K183" s="126">
        <f t="shared" si="35"/>
        <v>1.371487647244729E-2</v>
      </c>
      <c r="L183" s="56">
        <v>316978</v>
      </c>
      <c r="M183" s="103">
        <v>1.8267525438653287E-2</v>
      </c>
      <c r="N183" s="97">
        <f>INDEX('Pace of change parameters'!$E$22:$I$22,1,$B$5)</f>
        <v>9.0547645222140982E-3</v>
      </c>
      <c r="O183" s="108">
        <f>MAX(L183,IF(INDEX('Pace of change parameters'!$E$30:$I$30,1,$B$5)=1,(1+M183)*D183,D183))</f>
        <v>316978</v>
      </c>
      <c r="P183" s="94">
        <f>IF(K183&lt;INDEX('Pace of change parameters'!$E$18:$I$18,1,$B$5),1,IF(K183&gt;INDEX('Pace of change parameters'!$E$19:$I$19,1,$B$5),0,(K183-INDEX('Pace of change parameters'!$E$19:$I$19,1,$B$5))/(INDEX('Pace of change parameters'!$E$18:$I$18,1,$B$5)-INDEX('Pace of change parameters'!$E$19:$I$19,1,$B$5))))</f>
        <v>0.14563883241455655</v>
      </c>
      <c r="Q183" s="57">
        <v>2.8312124097874536E-2</v>
      </c>
      <c r="R183" s="57">
        <v>1.9008484818296756E-2</v>
      </c>
      <c r="S183" s="9">
        <f>MAX(IF(INDEX('Pace of change parameters'!$E$31:$I$31,1,$B$5)=1,D183*(1+Q183),D183),L183)</f>
        <v>316978</v>
      </c>
      <c r="T183" s="103">
        <f>IF(Q183&lt;INDEX('Pace of change parameters'!$E$24:$I$24,1,$B$5),INDEX('Pace of change parameters'!$E$24:$I$24,1,$B$5),Q183)</f>
        <v>3.0386941478720321E-2</v>
      </c>
      <c r="U183" s="132">
        <v>2.1064530318475327E-2</v>
      </c>
      <c r="V183" s="117">
        <f t="shared" si="36"/>
        <v>316978</v>
      </c>
      <c r="W183" s="131">
        <f>IF(J183&gt;INDEX('Pace of change parameters'!$E$26:$I$26,1,$B$5),0,IF(J183&lt;INDEX('Pace of change parameters'!$E$25:$I$25,1,$B$5),1,(J183-INDEX('Pace of change parameters'!$E$26:$I$26,1,$B$5))/(INDEX('Pace of change parameters'!$E$25:$I$25,1,$B$5)-INDEX('Pace of change parameters'!$E$26:$I$26,1,$B$5))))</f>
        <v>1</v>
      </c>
      <c r="X183" s="132">
        <f>MIN(T183, T183+(INDEX('Pace of change parameters'!$E$27:$I$27,1,$B$5)-T183)*(1-W183))</f>
        <v>3.0386941478720321E-2</v>
      </c>
      <c r="Y183" s="132">
        <v>2.1064530318475327E-2</v>
      </c>
      <c r="Z183" s="108">
        <f t="shared" si="37"/>
        <v>316978</v>
      </c>
      <c r="AA183" s="97">
        <v>-2.5000000000000001E-2</v>
      </c>
      <c r="AB183" s="99">
        <f t="shared" si="29"/>
        <v>309058.93640463235</v>
      </c>
      <c r="AC183" s="99">
        <f>MAX(IF(INDEX('Pace of change parameters'!$E$29:$I$29,1,$B$5)=1,MAX(AB183,Z183),Z183),L183)</f>
        <v>316978</v>
      </c>
      <c r="AD183" s="97">
        <f t="shared" si="42"/>
        <v>3.8197262122916964E-2</v>
      </c>
      <c r="AE183" s="146">
        <v>2.8804187198014697E-2</v>
      </c>
      <c r="AF183" s="56">
        <f t="shared" si="39"/>
        <v>316978</v>
      </c>
      <c r="AG183" s="56">
        <v>1424.1224590819081</v>
      </c>
      <c r="AH183" s="16">
        <f t="shared" si="30"/>
        <v>3.8197262122916964E-2</v>
      </c>
      <c r="AI183" s="16">
        <f t="shared" si="31"/>
        <v>2.8804187198014475E-2</v>
      </c>
      <c r="AJ183" s="56"/>
      <c r="AK183" s="56">
        <v>316983.52451757167</v>
      </c>
      <c r="AL183" s="56">
        <v>1424.1472796989524</v>
      </c>
      <c r="AM183" s="16">
        <f t="shared" si="43"/>
        <v>-1.7428406034913912E-5</v>
      </c>
      <c r="AN183" s="58">
        <f t="shared" si="44"/>
        <v>-1.7428406035024935E-5</v>
      </c>
      <c r="AP183" s="56">
        <f t="shared" si="32"/>
        <v>1</v>
      </c>
      <c r="AQ183" s="56">
        <f t="shared" si="33"/>
        <v>0</v>
      </c>
    </row>
    <row r="184" spans="1:43" x14ac:dyDescent="0.2">
      <c r="A184" s="156" t="s">
        <v>413</v>
      </c>
      <c r="B184" s="156" t="s">
        <v>414</v>
      </c>
      <c r="D184" s="68">
        <v>328917.20253390732</v>
      </c>
      <c r="E184" s="73">
        <v>1767.2603928384151</v>
      </c>
      <c r="F184" s="55"/>
      <c r="G184" s="88">
        <v>312654.24480749038</v>
      </c>
      <c r="H184" s="81">
        <v>1669.6906884619955</v>
      </c>
      <c r="I184" s="90"/>
      <c r="J184" s="103">
        <f t="shared" si="34"/>
        <v>5.2015790594592604E-2</v>
      </c>
      <c r="K184" s="126">
        <f t="shared" si="35"/>
        <v>5.8435795953497349E-2</v>
      </c>
      <c r="L184" s="56">
        <v>338574</v>
      </c>
      <c r="M184" s="103">
        <v>1.5212596993530392E-2</v>
      </c>
      <c r="N184" s="97">
        <f>INDEX('Pace of change parameters'!$E$22:$I$22,1,$B$5)</f>
        <v>9.0547645222140982E-3</v>
      </c>
      <c r="O184" s="108">
        <f>MAX(L184,IF(INDEX('Pace of change parameters'!$E$30:$I$30,1,$B$5)=1,(1+M184)*D184,D184))</f>
        <v>338574</v>
      </c>
      <c r="P184" s="94">
        <f>IF(K184&lt;INDEX('Pace of change parameters'!$E$18:$I$18,1,$B$5),1,IF(K184&gt;INDEX('Pace of change parameters'!$E$19:$I$19,1,$B$5),0,(K184-INDEX('Pace of change parameters'!$E$19:$I$19,1,$B$5))/(INDEX('Pace of change parameters'!$E$18:$I$18,1,$B$5)-INDEX('Pace of change parameters'!$E$19:$I$19,1,$B$5))))</f>
        <v>0</v>
      </c>
      <c r="Q184" s="57">
        <v>1.5212596993530392E-2</v>
      </c>
      <c r="R184" s="57">
        <v>9.0547645222140982E-3</v>
      </c>
      <c r="S184" s="9">
        <f>MAX(IF(INDEX('Pace of change parameters'!$E$31:$I$31,1,$B$5)=1,D184*(1+Q184),D184),L184)</f>
        <v>338574</v>
      </c>
      <c r="T184" s="103">
        <f>IF(Q184&lt;INDEX('Pace of change parameters'!$E$24:$I$24,1,$B$5),INDEX('Pace of change parameters'!$E$24:$I$24,1,$B$5),Q184)</f>
        <v>3.0386941478720321E-2</v>
      </c>
      <c r="U184" s="132">
        <v>2.41370681171722E-2</v>
      </c>
      <c r="V184" s="117">
        <f t="shared" si="36"/>
        <v>338911.99031864956</v>
      </c>
      <c r="W184" s="131">
        <f>IF(J184&gt;INDEX('Pace of change parameters'!$E$26:$I$26,1,$B$5),0,IF(J184&lt;INDEX('Pace of change parameters'!$E$25:$I$25,1,$B$5),1,(J184-INDEX('Pace of change parameters'!$E$26:$I$26,1,$B$5))/(INDEX('Pace of change parameters'!$E$25:$I$25,1,$B$5)-INDEX('Pace of change parameters'!$E$26:$I$26,1,$B$5))))</f>
        <v>0.95968418810814804</v>
      </c>
      <c r="X184" s="132">
        <f>MIN(T184, T184+(INDEX('Pace of change parameters'!$E$27:$I$27,1,$B$5)-T184)*(1-W184))</f>
        <v>2.971769900131558E-2</v>
      </c>
      <c r="Y184" s="132">
        <v>2.3471884969872958E-2</v>
      </c>
      <c r="Z184" s="108">
        <f t="shared" si="37"/>
        <v>338691.86495516472</v>
      </c>
      <c r="AA184" s="97">
        <v>-2.5000000000000001E-2</v>
      </c>
      <c r="AB184" s="99">
        <f t="shared" si="29"/>
        <v>317928.51684110158</v>
      </c>
      <c r="AC184" s="99">
        <f>MAX(IF(INDEX('Pace of change parameters'!$E$29:$I$29,1,$B$5)=1,MAX(AB184,Z184),Z184),L184)</f>
        <v>338691.86495516472</v>
      </c>
      <c r="AD184" s="97">
        <f t="shared" si="42"/>
        <v>2.971769900131549E-2</v>
      </c>
      <c r="AE184" s="146">
        <v>2.3471884969872958E-2</v>
      </c>
      <c r="AF184" s="56">
        <f t="shared" si="39"/>
        <v>338691.86495516472</v>
      </c>
      <c r="AG184" s="56">
        <v>1808.7413254909311</v>
      </c>
      <c r="AH184" s="16">
        <f t="shared" si="30"/>
        <v>2.971769900131549E-2</v>
      </c>
      <c r="AI184" s="16">
        <f t="shared" si="31"/>
        <v>2.347188496987318E-2</v>
      </c>
      <c r="AJ184" s="56"/>
      <c r="AK184" s="56">
        <v>326080.53009343753</v>
      </c>
      <c r="AL184" s="56">
        <v>1741.3920771202031</v>
      </c>
      <c r="AM184" s="16">
        <f t="shared" si="43"/>
        <v>3.8675522448744282E-2</v>
      </c>
      <c r="AN184" s="58">
        <f t="shared" si="44"/>
        <v>3.8675522448744282E-2</v>
      </c>
      <c r="AP184" s="56">
        <f t="shared" si="32"/>
        <v>0</v>
      </c>
      <c r="AQ184" s="56">
        <f t="shared" si="33"/>
        <v>0</v>
      </c>
    </row>
    <row r="185" spans="1:43" x14ac:dyDescent="0.2">
      <c r="A185" s="156" t="s">
        <v>415</v>
      </c>
      <c r="B185" s="156" t="s">
        <v>416</v>
      </c>
      <c r="D185" s="68">
        <v>249184.01220694554</v>
      </c>
      <c r="E185" s="73">
        <v>1476.0424609015902</v>
      </c>
      <c r="F185" s="55"/>
      <c r="G185" s="88">
        <v>250286.49889370915</v>
      </c>
      <c r="H185" s="81">
        <v>1472.1031764512413</v>
      </c>
      <c r="I185" s="90"/>
      <c r="J185" s="103">
        <f t="shared" si="34"/>
        <v>-4.404898752576436E-3</v>
      </c>
      <c r="K185" s="126">
        <f t="shared" si="35"/>
        <v>2.6759567626537528E-3</v>
      </c>
      <c r="L185" s="56">
        <v>258490</v>
      </c>
      <c r="M185" s="103">
        <v>1.6231347638768323E-2</v>
      </c>
      <c r="N185" s="97">
        <f>INDEX('Pace of change parameters'!$E$22:$I$22,1,$B$5)</f>
        <v>9.0547645222140982E-3</v>
      </c>
      <c r="O185" s="108">
        <f>MAX(L185,IF(INDEX('Pace of change parameters'!$E$30:$I$30,1,$B$5)=1,(1+M185)*D185,D185))</f>
        <v>258490</v>
      </c>
      <c r="P185" s="94">
        <f>IF(K185&lt;INDEX('Pace of change parameters'!$E$18:$I$18,1,$B$5),1,IF(K185&gt;INDEX('Pace of change parameters'!$E$19:$I$19,1,$B$5),0,(K185-INDEX('Pace of change parameters'!$E$19:$I$19,1,$B$5))/(INDEX('Pace of change parameters'!$E$18:$I$18,1,$B$5)-INDEX('Pace of change parameters'!$E$19:$I$19,1,$B$5))))</f>
        <v>0.24627626253392512</v>
      </c>
      <c r="Q185" s="57">
        <v>3.3182867717424624E-2</v>
      </c>
      <c r="R185" s="57">
        <v>2.5886573677684321E-2</v>
      </c>
      <c r="S185" s="9">
        <f>MAX(IF(INDEX('Pace of change parameters'!$E$31:$I$31,1,$B$5)=1,D185*(1+Q185),D185),L185)</f>
        <v>258490</v>
      </c>
      <c r="T185" s="103">
        <f>IF(Q185&lt;INDEX('Pace of change parameters'!$E$24:$I$24,1,$B$5),INDEX('Pace of change parameters'!$E$24:$I$24,1,$B$5),Q185)</f>
        <v>3.3182867717424624E-2</v>
      </c>
      <c r="U185" s="132">
        <v>2.5886573677684321E-2</v>
      </c>
      <c r="V185" s="117">
        <f t="shared" si="36"/>
        <v>258490</v>
      </c>
      <c r="W185" s="131">
        <f>IF(J185&gt;INDEX('Pace of change parameters'!$E$26:$I$26,1,$B$5),0,IF(J185&lt;INDEX('Pace of change parameters'!$E$25:$I$25,1,$B$5),1,(J185-INDEX('Pace of change parameters'!$E$26:$I$26,1,$B$5))/(INDEX('Pace of change parameters'!$E$25:$I$25,1,$B$5)-INDEX('Pace of change parameters'!$E$26:$I$26,1,$B$5))))</f>
        <v>1</v>
      </c>
      <c r="X185" s="132">
        <f>MIN(T185, T185+(INDEX('Pace of change parameters'!$E$27:$I$27,1,$B$5)-T185)*(1-W185))</f>
        <v>3.3182867717424624E-2</v>
      </c>
      <c r="Y185" s="132">
        <v>2.5886573677684321E-2</v>
      </c>
      <c r="Z185" s="108">
        <f t="shared" si="37"/>
        <v>258490</v>
      </c>
      <c r="AA185" s="97">
        <v>-2.5000000000000001E-2</v>
      </c>
      <c r="AB185" s="99">
        <f t="shared" si="29"/>
        <v>254604.75185162923</v>
      </c>
      <c r="AC185" s="99">
        <f>MAX(IF(INDEX('Pace of change parameters'!$E$29:$I$29,1,$B$5)=1,MAX(AB185,Z185),Z185),L185)</f>
        <v>258490</v>
      </c>
      <c r="AD185" s="97">
        <f t="shared" si="42"/>
        <v>3.7345846190669274E-2</v>
      </c>
      <c r="AE185" s="146">
        <v>3.0020153371709046E-2</v>
      </c>
      <c r="AF185" s="56">
        <f t="shared" si="39"/>
        <v>258490</v>
      </c>
      <c r="AG185" s="56">
        <v>1520.3534819610106</v>
      </c>
      <c r="AH185" s="16">
        <f t="shared" si="30"/>
        <v>3.7345846190669274E-2</v>
      </c>
      <c r="AI185" s="16">
        <f t="shared" si="31"/>
        <v>3.0020153371709046E-2</v>
      </c>
      <c r="AJ185" s="56"/>
      <c r="AK185" s="56">
        <v>261133.07882218383</v>
      </c>
      <c r="AL185" s="56">
        <v>1535.8992055495617</v>
      </c>
      <c r="AM185" s="16">
        <f t="shared" si="43"/>
        <v>-1.0121577986615837E-2</v>
      </c>
      <c r="AN185" s="58">
        <f t="shared" si="44"/>
        <v>-1.0121577986615726E-2</v>
      </c>
      <c r="AP185" s="56">
        <f t="shared" si="32"/>
        <v>1</v>
      </c>
      <c r="AQ185" s="56">
        <f t="shared" si="33"/>
        <v>0</v>
      </c>
    </row>
    <row r="186" spans="1:43" x14ac:dyDescent="0.2">
      <c r="A186" s="156" t="s">
        <v>417</v>
      </c>
      <c r="B186" s="156" t="s">
        <v>418</v>
      </c>
      <c r="D186" s="68">
        <v>328785.21109600458</v>
      </c>
      <c r="E186" s="73">
        <v>1404.1229222103316</v>
      </c>
      <c r="F186" s="55"/>
      <c r="G186" s="88">
        <v>333915.02839015733</v>
      </c>
      <c r="H186" s="81">
        <v>1416.5779821417532</v>
      </c>
      <c r="I186" s="90"/>
      <c r="J186" s="103">
        <f t="shared" si="34"/>
        <v>-1.5362642762394296E-2</v>
      </c>
      <c r="K186" s="126">
        <f t="shared" si="35"/>
        <v>-8.7923574193851106E-3</v>
      </c>
      <c r="L186" s="56">
        <v>341325</v>
      </c>
      <c r="M186" s="103">
        <v>1.5787982270760281E-2</v>
      </c>
      <c r="N186" s="97">
        <f>INDEX('Pace of change parameters'!$E$22:$I$22,1,$B$5)</f>
        <v>9.0547645222140982E-3</v>
      </c>
      <c r="O186" s="108">
        <f>MAX(L186,IF(INDEX('Pace of change parameters'!$E$30:$I$30,1,$B$5)=1,(1+M186)*D186,D186))</f>
        <v>341325</v>
      </c>
      <c r="P186" s="94">
        <f>IF(K186&lt;INDEX('Pace of change parameters'!$E$18:$I$18,1,$B$5),1,IF(K186&gt;INDEX('Pace of change parameters'!$E$19:$I$19,1,$B$5),0,(K186-INDEX('Pace of change parameters'!$E$19:$I$19,1,$B$5))/(INDEX('Pace of change parameters'!$E$18:$I$18,1,$B$5)-INDEX('Pace of change parameters'!$E$19:$I$19,1,$B$5))))</f>
        <v>0.35082831087049965</v>
      </c>
      <c r="Q186" s="57">
        <v>3.9925422406055899E-2</v>
      </c>
      <c r="R186" s="57">
        <v>3.3032208040932209E-2</v>
      </c>
      <c r="S186" s="9">
        <f>MAX(IF(INDEX('Pace of change parameters'!$E$31:$I$31,1,$B$5)=1,D186*(1+Q186),D186),L186)</f>
        <v>341912.09952987684</v>
      </c>
      <c r="T186" s="103">
        <f>IF(Q186&lt;INDEX('Pace of change parameters'!$E$24:$I$24,1,$B$5),INDEX('Pace of change parameters'!$E$24:$I$24,1,$B$5),Q186)</f>
        <v>3.9925422406055899E-2</v>
      </c>
      <c r="U186" s="132">
        <v>3.3032208040932209E-2</v>
      </c>
      <c r="V186" s="117">
        <f t="shared" si="36"/>
        <v>341912.09952987684</v>
      </c>
      <c r="W186" s="131">
        <f>IF(J186&gt;INDEX('Pace of change parameters'!$E$26:$I$26,1,$B$5),0,IF(J186&lt;INDEX('Pace of change parameters'!$E$25:$I$25,1,$B$5),1,(J186-INDEX('Pace of change parameters'!$E$26:$I$26,1,$B$5))/(INDEX('Pace of change parameters'!$E$25:$I$25,1,$B$5)-INDEX('Pace of change parameters'!$E$26:$I$26,1,$B$5))))</f>
        <v>1</v>
      </c>
      <c r="X186" s="132">
        <f>MIN(T186, T186+(INDEX('Pace of change parameters'!$E$27:$I$27,1,$B$5)-T186)*(1-W186))</f>
        <v>3.9925422406055899E-2</v>
      </c>
      <c r="Y186" s="132">
        <v>3.3032208040932209E-2</v>
      </c>
      <c r="Z186" s="108">
        <f t="shared" si="37"/>
        <v>341912.09952987684</v>
      </c>
      <c r="AA186" s="97">
        <v>-2.5000000000000001E-2</v>
      </c>
      <c r="AB186" s="99">
        <f t="shared" si="29"/>
        <v>339800.32656165201</v>
      </c>
      <c r="AC186" s="99">
        <f>MAX(IF(INDEX('Pace of change parameters'!$E$29:$I$29,1,$B$5)=1,MAX(AB186,Z186),Z186),L186)</f>
        <v>341912.09952987684</v>
      </c>
      <c r="AD186" s="97">
        <f t="shared" si="42"/>
        <v>3.9925422406055899E-2</v>
      </c>
      <c r="AE186" s="146">
        <v>3.3032208040932209E-2</v>
      </c>
      <c r="AF186" s="56">
        <f t="shared" si="39"/>
        <v>341912.09952987684</v>
      </c>
      <c r="AG186" s="56">
        <v>1450.5042026918247</v>
      </c>
      <c r="AH186" s="16">
        <f t="shared" si="30"/>
        <v>3.9925422406055899E-2</v>
      </c>
      <c r="AI186" s="16">
        <f t="shared" si="31"/>
        <v>3.3032208040931987E-2</v>
      </c>
      <c r="AJ186" s="56"/>
      <c r="AK186" s="56">
        <v>348513.1554478482</v>
      </c>
      <c r="AL186" s="56">
        <v>1478.5080649838774</v>
      </c>
      <c r="AM186" s="16">
        <f t="shared" si="43"/>
        <v>-1.8940621938614677E-2</v>
      </c>
      <c r="AN186" s="58">
        <f t="shared" si="44"/>
        <v>-1.8940621938614899E-2</v>
      </c>
      <c r="AP186" s="56">
        <f t="shared" si="32"/>
        <v>0</v>
      </c>
      <c r="AQ186" s="56">
        <f t="shared" si="33"/>
        <v>0</v>
      </c>
    </row>
    <row r="187" spans="1:43" x14ac:dyDescent="0.2">
      <c r="A187" s="156" t="s">
        <v>419</v>
      </c>
      <c r="B187" s="156" t="s">
        <v>420</v>
      </c>
      <c r="D187" s="68">
        <v>255146.3759421306</v>
      </c>
      <c r="E187" s="73">
        <v>1789.4586026534062</v>
      </c>
      <c r="F187" s="55"/>
      <c r="G187" s="88">
        <v>226631.5527534287</v>
      </c>
      <c r="H187" s="81">
        <v>1583.5139423618393</v>
      </c>
      <c r="I187" s="90"/>
      <c r="J187" s="103">
        <f t="shared" si="34"/>
        <v>0.12582018188670108</v>
      </c>
      <c r="K187" s="126">
        <f t="shared" si="35"/>
        <v>0.13005547648314142</v>
      </c>
      <c r="L187" s="56">
        <v>261010</v>
      </c>
      <c r="M187" s="103">
        <v>1.2850791863393329E-2</v>
      </c>
      <c r="N187" s="97">
        <f>INDEX('Pace of change parameters'!$E$22:$I$22,1,$B$5)</f>
        <v>9.0547645222140982E-3</v>
      </c>
      <c r="O187" s="108">
        <f>MAX(L187,IF(INDEX('Pace of change parameters'!$E$30:$I$30,1,$B$5)=1,(1+M187)*D187,D187))</f>
        <v>261010</v>
      </c>
      <c r="P187" s="94">
        <f>IF(K187&lt;INDEX('Pace of change parameters'!$E$18:$I$18,1,$B$5),1,IF(K187&gt;INDEX('Pace of change parameters'!$E$19:$I$19,1,$B$5),0,(K187-INDEX('Pace of change parameters'!$E$19:$I$19,1,$B$5))/(INDEX('Pace of change parameters'!$E$18:$I$18,1,$B$5)-INDEX('Pace of change parameters'!$E$19:$I$19,1,$B$5))))</f>
        <v>0</v>
      </c>
      <c r="Q187" s="57">
        <v>1.2850791863393329E-2</v>
      </c>
      <c r="R187" s="57">
        <v>9.0547645222140982E-3</v>
      </c>
      <c r="S187" s="9">
        <f>MAX(IF(INDEX('Pace of change parameters'!$E$31:$I$31,1,$B$5)=1,D187*(1+Q187),D187),L187)</f>
        <v>261010</v>
      </c>
      <c r="T187" s="103">
        <f>IF(Q187&lt;INDEX('Pace of change parameters'!$E$24:$I$24,1,$B$5),INDEX('Pace of change parameters'!$E$24:$I$24,1,$B$5),Q187)</f>
        <v>3.0386941478720321E-2</v>
      </c>
      <c r="U187" s="132">
        <v>2.6525191028141881E-2</v>
      </c>
      <c r="V187" s="117">
        <f t="shared" si="36"/>
        <v>262899.49393639172</v>
      </c>
      <c r="W187" s="131">
        <f>IF(J187&gt;INDEX('Pace of change parameters'!$E$26:$I$26,1,$B$5),0,IF(J187&lt;INDEX('Pace of change parameters'!$E$25:$I$25,1,$B$5),1,(J187-INDEX('Pace of change parameters'!$E$26:$I$26,1,$B$5))/(INDEX('Pace of change parameters'!$E$25:$I$25,1,$B$5)-INDEX('Pace of change parameters'!$E$26:$I$26,1,$B$5))))</f>
        <v>0</v>
      </c>
      <c r="X187" s="132">
        <f>MIN(T187, T187+(INDEX('Pace of change parameters'!$E$27:$I$27,1,$B$5)-T187)*(1-W187))</f>
        <v>1.3786941478720324E-2</v>
      </c>
      <c r="Y187" s="132">
        <v>9.987405575802466E-3</v>
      </c>
      <c r="Z187" s="108">
        <f t="shared" si="37"/>
        <v>261010</v>
      </c>
      <c r="AA187" s="97">
        <v>-2.5000000000000001E-2</v>
      </c>
      <c r="AB187" s="99">
        <f t="shared" si="29"/>
        <v>230415.55580354066</v>
      </c>
      <c r="AC187" s="99">
        <f>MAX(IF(INDEX('Pace of change parameters'!$E$29:$I$29,1,$B$5)=1,MAX(AB187,Z187),Z187),L187)</f>
        <v>261010</v>
      </c>
      <c r="AD187" s="97">
        <f t="shared" si="42"/>
        <v>2.2981412282333746E-2</v>
      </c>
      <c r="AE187" s="146">
        <v>1.9147416750378232E-2</v>
      </c>
      <c r="AF187" s="56">
        <f t="shared" si="39"/>
        <v>261010</v>
      </c>
      <c r="AG187" s="56">
        <v>1823.7221122759602</v>
      </c>
      <c r="AH187" s="16">
        <f t="shared" si="30"/>
        <v>2.2981412282333746E-2</v>
      </c>
      <c r="AI187" s="16">
        <f t="shared" si="31"/>
        <v>1.914741675037801E-2</v>
      </c>
      <c r="AJ187" s="56"/>
      <c r="AK187" s="56">
        <v>236323.64697799043</v>
      </c>
      <c r="AL187" s="56">
        <v>1651.2342846920003</v>
      </c>
      <c r="AM187" s="16">
        <f t="shared" si="43"/>
        <v>0.10445993592976621</v>
      </c>
      <c r="AN187" s="58">
        <f t="shared" si="44"/>
        <v>0.10445993592976621</v>
      </c>
      <c r="AP187" s="56">
        <f t="shared" si="32"/>
        <v>1</v>
      </c>
      <c r="AQ187" s="56">
        <f t="shared" si="33"/>
        <v>0</v>
      </c>
    </row>
    <row r="188" spans="1:43" x14ac:dyDescent="0.2">
      <c r="A188" s="156" t="s">
        <v>421</v>
      </c>
      <c r="B188" s="156" t="s">
        <v>422</v>
      </c>
      <c r="D188" s="68">
        <v>432191.51521406916</v>
      </c>
      <c r="E188" s="73">
        <v>1469.5693050999653</v>
      </c>
      <c r="F188" s="55"/>
      <c r="G188" s="88">
        <v>450221.4706393581</v>
      </c>
      <c r="H188" s="81">
        <v>1516.8769095175101</v>
      </c>
      <c r="I188" s="90"/>
      <c r="J188" s="103">
        <f t="shared" si="34"/>
        <v>-4.0046858271074126E-2</v>
      </c>
      <c r="K188" s="126">
        <f t="shared" si="35"/>
        <v>-3.1187503824942842E-2</v>
      </c>
      <c r="L188" s="56">
        <v>448674</v>
      </c>
      <c r="M188" s="103">
        <v>1.8367275129095528E-2</v>
      </c>
      <c r="N188" s="97">
        <f>INDEX('Pace of change parameters'!$E$22:$I$22,1,$B$5)</f>
        <v>9.0547645222140982E-3</v>
      </c>
      <c r="O188" s="108">
        <f>MAX(L188,IF(INDEX('Pace of change parameters'!$E$30:$I$30,1,$B$5)=1,(1+M188)*D188,D188))</f>
        <v>448674</v>
      </c>
      <c r="P188" s="94">
        <f>IF(K188&lt;INDEX('Pace of change parameters'!$E$18:$I$18,1,$B$5),1,IF(K188&gt;INDEX('Pace of change parameters'!$E$19:$I$19,1,$B$5),0,(K188-INDEX('Pace of change parameters'!$E$19:$I$19,1,$B$5))/(INDEX('Pace of change parameters'!$E$18:$I$18,1,$B$5)-INDEX('Pace of change parameters'!$E$19:$I$19,1,$B$5))))</f>
        <v>0.55499593239987999</v>
      </c>
      <c r="Q188" s="57">
        <v>5.6648668943286351E-2</v>
      </c>
      <c r="R188" s="57">
        <v>4.6986092211297237E-2</v>
      </c>
      <c r="S188" s="9">
        <f>MAX(IF(INDEX('Pace of change parameters'!$E$31:$I$31,1,$B$5)=1,D188*(1+Q188),D188),L188)</f>
        <v>456674.5892795283</v>
      </c>
      <c r="T188" s="103">
        <f>IF(Q188&lt;INDEX('Pace of change parameters'!$E$24:$I$24,1,$B$5),INDEX('Pace of change parameters'!$E$24:$I$24,1,$B$5),Q188)</f>
        <v>5.6648668943286351E-2</v>
      </c>
      <c r="U188" s="132">
        <v>4.6986092211297237E-2</v>
      </c>
      <c r="V188" s="117">
        <f t="shared" si="36"/>
        <v>456674.5892795283</v>
      </c>
      <c r="W188" s="131">
        <f>IF(J188&gt;INDEX('Pace of change parameters'!$E$26:$I$26,1,$B$5),0,IF(J188&lt;INDEX('Pace of change parameters'!$E$25:$I$25,1,$B$5),1,(J188-INDEX('Pace of change parameters'!$E$26:$I$26,1,$B$5))/(INDEX('Pace of change parameters'!$E$25:$I$25,1,$B$5)-INDEX('Pace of change parameters'!$E$26:$I$26,1,$B$5))))</f>
        <v>1</v>
      </c>
      <c r="X188" s="132">
        <f>MIN(T188, T188+(INDEX('Pace of change parameters'!$E$27:$I$27,1,$B$5)-T188)*(1-W188))</f>
        <v>5.6648668943286351E-2</v>
      </c>
      <c r="Y188" s="132">
        <v>4.6986092211297237E-2</v>
      </c>
      <c r="Z188" s="108">
        <f t="shared" si="37"/>
        <v>456674.5892795283</v>
      </c>
      <c r="AA188" s="97">
        <v>-3.8281911175425232E-2</v>
      </c>
      <c r="AB188" s="99">
        <f t="shared" si="29"/>
        <v>451998.31181639747</v>
      </c>
      <c r="AC188" s="99">
        <f>MAX(IF(INDEX('Pace of change parameters'!$E$29:$I$29,1,$B$5)=1,MAX(AB188,Z188),Z188),L188)</f>
        <v>456674.5892795283</v>
      </c>
      <c r="AD188" s="97">
        <f t="shared" si="42"/>
        <v>5.6648668943286351E-2</v>
      </c>
      <c r="AE188" s="146">
        <v>4.6986092211297237E-2</v>
      </c>
      <c r="AF188" s="56">
        <f t="shared" si="39"/>
        <v>456674.5892795283</v>
      </c>
      <c r="AG188" s="56">
        <v>1538.6186239802844</v>
      </c>
      <c r="AH188" s="16">
        <f t="shared" si="30"/>
        <v>5.6648668943286351E-2</v>
      </c>
      <c r="AI188" s="16">
        <f t="shared" si="31"/>
        <v>4.6986092211297237E-2</v>
      </c>
      <c r="AJ188" s="56"/>
      <c r="AK188" s="56">
        <v>469990.44425673236</v>
      </c>
      <c r="AL188" s="56">
        <v>1583.4821284167137</v>
      </c>
      <c r="AM188" s="16">
        <f t="shared" si="43"/>
        <v>-2.8332182366521241E-2</v>
      </c>
      <c r="AN188" s="58">
        <f t="shared" si="44"/>
        <v>-2.833218236652113E-2</v>
      </c>
      <c r="AP188" s="56">
        <f t="shared" si="32"/>
        <v>0</v>
      </c>
      <c r="AQ188" s="56">
        <f t="shared" si="33"/>
        <v>0</v>
      </c>
    </row>
    <row r="189" spans="1:43" x14ac:dyDescent="0.2">
      <c r="A189" s="156" t="s">
        <v>423</v>
      </c>
      <c r="B189" s="156" t="s">
        <v>424</v>
      </c>
      <c r="D189" s="68">
        <v>161153.82269603922</v>
      </c>
      <c r="E189" s="73">
        <v>1373.5208064164804</v>
      </c>
      <c r="F189" s="55"/>
      <c r="G189" s="88">
        <v>162210.54847128369</v>
      </c>
      <c r="H189" s="81">
        <v>1374.1612301239074</v>
      </c>
      <c r="I189" s="90"/>
      <c r="J189" s="103">
        <f t="shared" si="34"/>
        <v>-6.5145317934212077E-3</v>
      </c>
      <c r="K189" s="126">
        <f t="shared" si="35"/>
        <v>-4.6604699171237662E-4</v>
      </c>
      <c r="L189" s="56">
        <v>167161</v>
      </c>
      <c r="M189" s="103">
        <v>1.5198037476495063E-2</v>
      </c>
      <c r="N189" s="97">
        <f>INDEX('Pace of change parameters'!$E$22:$I$22,1,$B$5)</f>
        <v>9.0547645222140982E-3</v>
      </c>
      <c r="O189" s="108">
        <f>MAX(L189,IF(INDEX('Pace of change parameters'!$E$30:$I$30,1,$B$5)=1,(1+M189)*D189,D189))</f>
        <v>167161</v>
      </c>
      <c r="P189" s="94">
        <f>IF(K189&lt;INDEX('Pace of change parameters'!$E$18:$I$18,1,$B$5),1,IF(K189&gt;INDEX('Pace of change parameters'!$E$19:$I$19,1,$B$5),0,(K189-INDEX('Pace of change parameters'!$E$19:$I$19,1,$B$5))/(INDEX('Pace of change parameters'!$E$18:$I$18,1,$B$5)-INDEX('Pace of change parameters'!$E$19:$I$19,1,$B$5))))</f>
        <v>0.2749206581430611</v>
      </c>
      <c r="Q189" s="57">
        <v>3.4101947922683173E-2</v>
      </c>
      <c r="R189" s="57">
        <v>2.7844281640709401E-2</v>
      </c>
      <c r="S189" s="9">
        <f>MAX(IF(INDEX('Pace of change parameters'!$E$31:$I$31,1,$B$5)=1,D189*(1+Q189),D189),L189)</f>
        <v>167161</v>
      </c>
      <c r="T189" s="103">
        <f>IF(Q189&lt;INDEX('Pace of change parameters'!$E$24:$I$24,1,$B$5),INDEX('Pace of change parameters'!$E$24:$I$24,1,$B$5),Q189)</f>
        <v>3.4101947922683173E-2</v>
      </c>
      <c r="U189" s="132">
        <v>2.7844281640709401E-2</v>
      </c>
      <c r="V189" s="117">
        <f t="shared" si="36"/>
        <v>167161</v>
      </c>
      <c r="W189" s="131">
        <f>IF(J189&gt;INDEX('Pace of change parameters'!$E$26:$I$26,1,$B$5),0,IF(J189&lt;INDEX('Pace of change parameters'!$E$25:$I$25,1,$B$5),1,(J189-INDEX('Pace of change parameters'!$E$26:$I$26,1,$B$5))/(INDEX('Pace of change parameters'!$E$25:$I$25,1,$B$5)-INDEX('Pace of change parameters'!$E$26:$I$26,1,$B$5))))</f>
        <v>1</v>
      </c>
      <c r="X189" s="132">
        <f>MIN(T189, T189+(INDEX('Pace of change parameters'!$E$27:$I$27,1,$B$5)-T189)*(1-W189))</f>
        <v>3.4101947922683173E-2</v>
      </c>
      <c r="Y189" s="132">
        <v>2.7844281640709401E-2</v>
      </c>
      <c r="Z189" s="108">
        <f t="shared" si="37"/>
        <v>167161</v>
      </c>
      <c r="AA189" s="97">
        <v>-2.5000000000000001E-2</v>
      </c>
      <c r="AB189" s="99">
        <f t="shared" si="29"/>
        <v>164958.86801891861</v>
      </c>
      <c r="AC189" s="99">
        <f>MAX(IF(INDEX('Pace of change parameters'!$E$29:$I$29,1,$B$5)=1,MAX(AB189,Z189),Z189),L189)</f>
        <v>167161</v>
      </c>
      <c r="AD189" s="97">
        <f t="shared" si="42"/>
        <v>3.7276045975597194E-2</v>
      </c>
      <c r="AE189" s="146">
        <v>3.0999172258223684E-2</v>
      </c>
      <c r="AF189" s="56">
        <f t="shared" si="39"/>
        <v>167161</v>
      </c>
      <c r="AG189" s="56">
        <v>1416.0988144948392</v>
      </c>
      <c r="AH189" s="16">
        <f t="shared" si="30"/>
        <v>3.7276045975597194E-2</v>
      </c>
      <c r="AI189" s="16">
        <f t="shared" si="31"/>
        <v>3.0999172258223684E-2</v>
      </c>
      <c r="AJ189" s="56"/>
      <c r="AK189" s="56">
        <v>169188.58258350627</v>
      </c>
      <c r="AL189" s="56">
        <v>1433.2754124620301</v>
      </c>
      <c r="AM189" s="16">
        <f t="shared" si="43"/>
        <v>-1.1984157279085417E-2</v>
      </c>
      <c r="AN189" s="58">
        <f t="shared" si="44"/>
        <v>-1.1984157279085306E-2</v>
      </c>
      <c r="AP189" s="56">
        <f t="shared" si="32"/>
        <v>1</v>
      </c>
      <c r="AQ189" s="56">
        <f t="shared" si="33"/>
        <v>0</v>
      </c>
    </row>
    <row r="190" spans="1:43" x14ac:dyDescent="0.2">
      <c r="A190" s="156" t="s">
        <v>425</v>
      </c>
      <c r="B190" s="156" t="s">
        <v>426</v>
      </c>
      <c r="D190" s="68">
        <v>149146.45856721085</v>
      </c>
      <c r="E190" s="73">
        <v>1364.0113638353348</v>
      </c>
      <c r="F190" s="55"/>
      <c r="G190" s="88">
        <v>153929.9675703487</v>
      </c>
      <c r="H190" s="81">
        <v>1396.8635762074593</v>
      </c>
      <c r="I190" s="90"/>
      <c r="J190" s="103">
        <f t="shared" si="34"/>
        <v>-3.1075878717064631E-2</v>
      </c>
      <c r="K190" s="126">
        <f t="shared" si="35"/>
        <v>-2.3518554661808522E-2</v>
      </c>
      <c r="L190" s="56">
        <v>154616</v>
      </c>
      <c r="M190" s="103">
        <v>1.6925095828340897E-2</v>
      </c>
      <c r="N190" s="97">
        <f>INDEX('Pace of change parameters'!$E$22:$I$22,1,$B$5)</f>
        <v>9.0547645222140982E-3</v>
      </c>
      <c r="O190" s="108">
        <f>MAX(L190,IF(INDEX('Pace of change parameters'!$E$30:$I$30,1,$B$5)=1,(1+M190)*D190,D190))</f>
        <v>154616</v>
      </c>
      <c r="P190" s="94">
        <f>IF(K190&lt;INDEX('Pace of change parameters'!$E$18:$I$18,1,$B$5),1,IF(K190&gt;INDEX('Pace of change parameters'!$E$19:$I$19,1,$B$5),0,(K190-INDEX('Pace of change parameters'!$E$19:$I$19,1,$B$5))/(INDEX('Pace of change parameters'!$E$18:$I$18,1,$B$5)-INDEX('Pace of change parameters'!$E$19:$I$19,1,$B$5))))</f>
        <v>0.48508118025169583</v>
      </c>
      <c r="Q190" s="57">
        <v>5.0336666900377303E-2</v>
      </c>
      <c r="R190" s="57">
        <v>4.220775201235849E-2</v>
      </c>
      <c r="S190" s="9">
        <f>MAX(IF(INDEX('Pace of change parameters'!$E$31:$I$31,1,$B$5)=1,D190*(1+Q190),D190),L190)</f>
        <v>156653.99417147945</v>
      </c>
      <c r="T190" s="103">
        <f>IF(Q190&lt;INDEX('Pace of change parameters'!$E$24:$I$24,1,$B$5),INDEX('Pace of change parameters'!$E$24:$I$24,1,$B$5),Q190)</f>
        <v>5.0336666900377303E-2</v>
      </c>
      <c r="U190" s="132">
        <v>4.220775201235849E-2</v>
      </c>
      <c r="V190" s="117">
        <f t="shared" si="36"/>
        <v>156653.99417147945</v>
      </c>
      <c r="W190" s="131">
        <f>IF(J190&gt;INDEX('Pace of change parameters'!$E$26:$I$26,1,$B$5),0,IF(J190&lt;INDEX('Pace of change parameters'!$E$25:$I$25,1,$B$5),1,(J190-INDEX('Pace of change parameters'!$E$26:$I$26,1,$B$5))/(INDEX('Pace of change parameters'!$E$25:$I$25,1,$B$5)-INDEX('Pace of change parameters'!$E$26:$I$26,1,$B$5))))</f>
        <v>1</v>
      </c>
      <c r="X190" s="132">
        <f>MIN(T190, T190+(INDEX('Pace of change parameters'!$E$27:$I$27,1,$B$5)-T190)*(1-W190))</f>
        <v>5.0336666900377303E-2</v>
      </c>
      <c r="Y190" s="132">
        <v>4.220775201235849E-2</v>
      </c>
      <c r="Z190" s="108">
        <f t="shared" si="37"/>
        <v>156653.99417147945</v>
      </c>
      <c r="AA190" s="97">
        <v>-3.0656583960545936E-2</v>
      </c>
      <c r="AB190" s="99">
        <f t="shared" si="29"/>
        <v>155556.01899763412</v>
      </c>
      <c r="AC190" s="99">
        <f>MAX(IF(INDEX('Pace of change parameters'!$E$29:$I$29,1,$B$5)=1,MAX(AB190,Z190),Z190),L190)</f>
        <v>156653.99417147945</v>
      </c>
      <c r="AD190" s="97">
        <f t="shared" si="42"/>
        <v>5.0336666900377303E-2</v>
      </c>
      <c r="AE190" s="146">
        <v>4.220775201235849E-2</v>
      </c>
      <c r="AF190" s="56">
        <f t="shared" si="39"/>
        <v>156653.99417147945</v>
      </c>
      <c r="AG190" s="56">
        <v>1421.5832172221355</v>
      </c>
      <c r="AH190" s="16">
        <f t="shared" si="30"/>
        <v>5.0336666900377303E-2</v>
      </c>
      <c r="AI190" s="16">
        <f t="shared" si="31"/>
        <v>4.220775201235849E-2</v>
      </c>
      <c r="AJ190" s="56"/>
      <c r="AK190" s="56">
        <v>160475.65436943423</v>
      </c>
      <c r="AL190" s="56">
        <v>1456.2635203198743</v>
      </c>
      <c r="AM190" s="16">
        <f t="shared" si="43"/>
        <v>-2.3814579307817274E-2</v>
      </c>
      <c r="AN190" s="58">
        <f t="shared" si="44"/>
        <v>-2.3814579307817163E-2</v>
      </c>
      <c r="AP190" s="56">
        <f t="shared" si="32"/>
        <v>0</v>
      </c>
      <c r="AQ190" s="56">
        <f t="shared" si="33"/>
        <v>0</v>
      </c>
    </row>
    <row r="191" spans="1:43" x14ac:dyDescent="0.2">
      <c r="A191" s="156" t="s">
        <v>427</v>
      </c>
      <c r="B191" s="156" t="s">
        <v>428</v>
      </c>
      <c r="D191" s="68">
        <v>311499.77877676964</v>
      </c>
      <c r="E191" s="73">
        <v>1391.2140362062912</v>
      </c>
      <c r="F191" s="55"/>
      <c r="G191" s="88">
        <v>329944.43974303384</v>
      </c>
      <c r="H191" s="81">
        <v>1466.2002004609742</v>
      </c>
      <c r="I191" s="90"/>
      <c r="J191" s="103">
        <f t="shared" si="34"/>
        <v>-5.5902323981059321E-2</v>
      </c>
      <c r="K191" s="126">
        <f t="shared" si="35"/>
        <v>-5.1143196018597847E-2</v>
      </c>
      <c r="L191" s="56">
        <v>327938</v>
      </c>
      <c r="M191" s="103">
        <v>1.4141336460133269E-2</v>
      </c>
      <c r="N191" s="97">
        <f>INDEX('Pace of change parameters'!$E$22:$I$22,1,$B$5)</f>
        <v>9.0547645222140982E-3</v>
      </c>
      <c r="O191" s="108">
        <f>MAX(L191,IF(INDEX('Pace of change parameters'!$E$30:$I$30,1,$B$5)=1,(1+M191)*D191,D191))</f>
        <v>327938</v>
      </c>
      <c r="P191" s="94">
        <f>IF(K191&lt;INDEX('Pace of change parameters'!$E$18:$I$18,1,$B$5),1,IF(K191&gt;INDEX('Pace of change parameters'!$E$19:$I$19,1,$B$5),0,(K191-INDEX('Pace of change parameters'!$E$19:$I$19,1,$B$5))/(INDEX('Pace of change parameters'!$E$18:$I$18,1,$B$5)-INDEX('Pace of change parameters'!$E$19:$I$19,1,$B$5))))</f>
        <v>0.7369240224140563</v>
      </c>
      <c r="Q191" s="57">
        <v>6.4760469855383418E-2</v>
      </c>
      <c r="R191" s="57">
        <v>5.9420010363339992E-2</v>
      </c>
      <c r="S191" s="9">
        <f>MAX(IF(INDEX('Pace of change parameters'!$E$31:$I$31,1,$B$5)=1,D191*(1+Q191),D191),L191)</f>
        <v>331672.65081020124</v>
      </c>
      <c r="T191" s="103">
        <f>IF(Q191&lt;INDEX('Pace of change parameters'!$E$24:$I$24,1,$B$5),INDEX('Pace of change parameters'!$E$24:$I$24,1,$B$5),Q191)</f>
        <v>6.4760469855383418E-2</v>
      </c>
      <c r="U191" s="132">
        <v>5.9420010363339992E-2</v>
      </c>
      <c r="V191" s="117">
        <f t="shared" si="36"/>
        <v>331672.65081020124</v>
      </c>
      <c r="W191" s="131">
        <f>IF(J191&gt;INDEX('Pace of change parameters'!$E$26:$I$26,1,$B$5),0,IF(J191&lt;INDEX('Pace of change parameters'!$E$25:$I$25,1,$B$5),1,(J191-INDEX('Pace of change parameters'!$E$26:$I$26,1,$B$5))/(INDEX('Pace of change parameters'!$E$25:$I$25,1,$B$5)-INDEX('Pace of change parameters'!$E$26:$I$26,1,$B$5))))</f>
        <v>1</v>
      </c>
      <c r="X191" s="132">
        <f>MIN(T191, T191+(INDEX('Pace of change parameters'!$E$27:$I$27,1,$B$5)-T191)*(1-W191))</f>
        <v>6.4760469855383418E-2</v>
      </c>
      <c r="Y191" s="132">
        <v>5.9420010363339992E-2</v>
      </c>
      <c r="Z191" s="108">
        <f t="shared" si="37"/>
        <v>331672.65081020124</v>
      </c>
      <c r="AA191" s="97">
        <v>-5.8087864158455904E-2</v>
      </c>
      <c r="AB191" s="99">
        <f t="shared" si="29"/>
        <v>324301.89992139291</v>
      </c>
      <c r="AC191" s="99">
        <f>MAX(IF(INDEX('Pace of change parameters'!$E$29:$I$29,1,$B$5)=1,MAX(AB191,Z191),Z191),L191)</f>
        <v>331672.65081020124</v>
      </c>
      <c r="AD191" s="97">
        <f t="shared" si="42"/>
        <v>6.4760469855383418E-2</v>
      </c>
      <c r="AE191" s="146">
        <v>5.9420010363339992E-2</v>
      </c>
      <c r="AF191" s="56">
        <f t="shared" si="39"/>
        <v>331672.65081020124</v>
      </c>
      <c r="AG191" s="56">
        <v>1473.8799886552931</v>
      </c>
      <c r="AH191" s="16">
        <f t="shared" si="30"/>
        <v>6.4760469855383418E-2</v>
      </c>
      <c r="AI191" s="16">
        <f t="shared" si="31"/>
        <v>5.9420010363339992E-2</v>
      </c>
      <c r="AJ191" s="56"/>
      <c r="AK191" s="56">
        <v>344301.64723554376</v>
      </c>
      <c r="AL191" s="56">
        <v>1530.0004588316635</v>
      </c>
      <c r="AM191" s="16">
        <f t="shared" si="43"/>
        <v>-3.6680034866933831E-2</v>
      </c>
      <c r="AN191" s="58">
        <f t="shared" si="44"/>
        <v>-3.6680034866933942E-2</v>
      </c>
      <c r="AP191" s="56">
        <f t="shared" si="32"/>
        <v>0</v>
      </c>
      <c r="AQ191" s="56">
        <f t="shared" si="33"/>
        <v>0</v>
      </c>
    </row>
    <row r="192" spans="1:43" x14ac:dyDescent="0.2">
      <c r="A192" s="156" t="s">
        <v>429</v>
      </c>
      <c r="B192" s="156" t="s">
        <v>430</v>
      </c>
      <c r="D192" s="68">
        <v>298410.92683409253</v>
      </c>
      <c r="E192" s="73">
        <v>1347.1121070160689</v>
      </c>
      <c r="F192" s="55"/>
      <c r="G192" s="88">
        <v>311938.44885547156</v>
      </c>
      <c r="H192" s="81">
        <v>1394.1982749232138</v>
      </c>
      <c r="I192" s="90"/>
      <c r="J192" s="103">
        <f t="shared" si="34"/>
        <v>-4.3365997590270267E-2</v>
      </c>
      <c r="K192" s="126">
        <f t="shared" si="35"/>
        <v>-3.3772935137032944E-2</v>
      </c>
      <c r="L192" s="56">
        <v>319160</v>
      </c>
      <c r="M192" s="103">
        <v>1.9173498908003017E-2</v>
      </c>
      <c r="N192" s="97">
        <f>INDEX('Pace of change parameters'!$E$22:$I$22,1,$B$5)</f>
        <v>9.0547645222140982E-3</v>
      </c>
      <c r="O192" s="108">
        <f>MAX(L192,IF(INDEX('Pace of change parameters'!$E$30:$I$30,1,$B$5)=1,(1+M192)*D192,D192))</f>
        <v>319160</v>
      </c>
      <c r="P192" s="94">
        <f>IF(K192&lt;INDEX('Pace of change parameters'!$E$18:$I$18,1,$B$5),1,IF(K192&gt;INDEX('Pace of change parameters'!$E$19:$I$19,1,$B$5),0,(K192-INDEX('Pace of change parameters'!$E$19:$I$19,1,$B$5))/(INDEX('Pace of change parameters'!$E$18:$I$18,1,$B$5)-INDEX('Pace of change parameters'!$E$19:$I$19,1,$B$5))))</f>
        <v>0.57856627894095114</v>
      </c>
      <c r="Q192" s="57">
        <v>5.9112274532987286E-2</v>
      </c>
      <c r="R192" s="57">
        <v>4.8597013095939667E-2</v>
      </c>
      <c r="S192" s="9">
        <f>MAX(IF(INDEX('Pace of change parameters'!$E$31:$I$31,1,$B$5)=1,D192*(1+Q192),D192),L192)</f>
        <v>319160</v>
      </c>
      <c r="T192" s="103">
        <f>IF(Q192&lt;INDEX('Pace of change parameters'!$E$24:$I$24,1,$B$5),INDEX('Pace of change parameters'!$E$24:$I$24,1,$B$5),Q192)</f>
        <v>5.9112274532987286E-2</v>
      </c>
      <c r="U192" s="132">
        <v>4.8597013095939667E-2</v>
      </c>
      <c r="V192" s="117">
        <f t="shared" si="36"/>
        <v>319160</v>
      </c>
      <c r="W192" s="131">
        <f>IF(J192&gt;INDEX('Pace of change parameters'!$E$26:$I$26,1,$B$5),0,IF(J192&lt;INDEX('Pace of change parameters'!$E$25:$I$25,1,$B$5),1,(J192-INDEX('Pace of change parameters'!$E$26:$I$26,1,$B$5))/(INDEX('Pace of change parameters'!$E$25:$I$25,1,$B$5)-INDEX('Pace of change parameters'!$E$26:$I$26,1,$B$5))))</f>
        <v>1</v>
      </c>
      <c r="X192" s="132">
        <f>MIN(T192, T192+(INDEX('Pace of change parameters'!$E$27:$I$27,1,$B$5)-T192)*(1-W192))</f>
        <v>5.9112274532987286E-2</v>
      </c>
      <c r="Y192" s="132">
        <v>4.8597013095939667E-2</v>
      </c>
      <c r="Z192" s="108">
        <f t="shared" si="37"/>
        <v>319160</v>
      </c>
      <c r="AA192" s="97">
        <v>-4.0836872221372333E-2</v>
      </c>
      <c r="AB192" s="99">
        <f t="shared" si="29"/>
        <v>311964.82648931904</v>
      </c>
      <c r="AC192" s="99">
        <f>MAX(IF(INDEX('Pace of change parameters'!$E$29:$I$29,1,$B$5)=1,MAX(AB192,Z192),Z192),L192)</f>
        <v>319160</v>
      </c>
      <c r="AD192" s="97">
        <f t="shared" si="42"/>
        <v>6.9531881375923366E-2</v>
      </c>
      <c r="AE192" s="146">
        <v>5.8913170198315434E-2</v>
      </c>
      <c r="AF192" s="56">
        <f t="shared" si="39"/>
        <v>319160</v>
      </c>
      <c r="AG192" s="56">
        <v>1426.474751852918</v>
      </c>
      <c r="AH192" s="16">
        <f t="shared" si="30"/>
        <v>6.9531881375923366E-2</v>
      </c>
      <c r="AI192" s="16">
        <f t="shared" si="31"/>
        <v>5.8913170198315434E-2</v>
      </c>
      <c r="AJ192" s="56"/>
      <c r="AK192" s="56">
        <v>325246.89226931968</v>
      </c>
      <c r="AL192" s="56">
        <v>1453.6799095776742</v>
      </c>
      <c r="AM192" s="16">
        <f t="shared" si="43"/>
        <v>-1.8714682335164157E-2</v>
      </c>
      <c r="AN192" s="58">
        <f t="shared" si="44"/>
        <v>-1.8714682335164046E-2</v>
      </c>
      <c r="AP192" s="56">
        <f t="shared" si="32"/>
        <v>1</v>
      </c>
      <c r="AQ192" s="56">
        <f t="shared" si="33"/>
        <v>0</v>
      </c>
    </row>
    <row r="193" spans="1:43" x14ac:dyDescent="0.2">
      <c r="A193" s="156" t="s">
        <v>431</v>
      </c>
      <c r="B193" s="156" t="s">
        <v>432</v>
      </c>
      <c r="D193" s="68">
        <v>519662.19836692308</v>
      </c>
      <c r="E193" s="73">
        <v>1422.7653494801425</v>
      </c>
      <c r="F193" s="55"/>
      <c r="G193" s="88">
        <v>533862.37433287851</v>
      </c>
      <c r="H193" s="81">
        <v>1449.7758643855091</v>
      </c>
      <c r="I193" s="90"/>
      <c r="J193" s="103">
        <f t="shared" si="34"/>
        <v>-2.6598945062761059E-2</v>
      </c>
      <c r="K193" s="126">
        <f t="shared" si="35"/>
        <v>-1.8630821197189062E-2</v>
      </c>
      <c r="L193" s="56">
        <v>540143</v>
      </c>
      <c r="M193" s="103">
        <v>1.7314744630184231E-2</v>
      </c>
      <c r="N193" s="97">
        <f>INDEX('Pace of change parameters'!$E$22:$I$22,1,$B$5)</f>
        <v>9.0547645222140982E-3</v>
      </c>
      <c r="O193" s="108">
        <f>MAX(L193,IF(INDEX('Pace of change parameters'!$E$30:$I$30,1,$B$5)=1,(1+M193)*D193,D193))</f>
        <v>540143</v>
      </c>
      <c r="P193" s="94">
        <f>IF(K193&lt;INDEX('Pace of change parameters'!$E$18:$I$18,1,$B$5),1,IF(K193&gt;INDEX('Pace of change parameters'!$E$19:$I$19,1,$B$5),0,(K193-INDEX('Pace of change parameters'!$E$19:$I$19,1,$B$5))/(INDEX('Pace of change parameters'!$E$18:$I$18,1,$B$5)-INDEX('Pace of change parameters'!$E$19:$I$19,1,$B$5))))</f>
        <v>0.44052166284245653</v>
      </c>
      <c r="Q193" s="57">
        <v>4.7668757627309599E-2</v>
      </c>
      <c r="R193" s="57">
        <v>3.9162321302247616E-2</v>
      </c>
      <c r="S193" s="9">
        <f>MAX(IF(INDEX('Pace of change parameters'!$E$31:$I$31,1,$B$5)=1,D193*(1+Q193),D193),L193)</f>
        <v>544433.8497489508</v>
      </c>
      <c r="T193" s="103">
        <f>IF(Q193&lt;INDEX('Pace of change parameters'!$E$24:$I$24,1,$B$5),INDEX('Pace of change parameters'!$E$24:$I$24,1,$B$5),Q193)</f>
        <v>4.7668757627309599E-2</v>
      </c>
      <c r="U193" s="132">
        <v>3.9162321302247616E-2</v>
      </c>
      <c r="V193" s="117">
        <f t="shared" si="36"/>
        <v>544433.8497489508</v>
      </c>
      <c r="W193" s="131">
        <f>IF(J193&gt;INDEX('Pace of change parameters'!$E$26:$I$26,1,$B$5),0,IF(J193&lt;INDEX('Pace of change parameters'!$E$25:$I$25,1,$B$5),1,(J193-INDEX('Pace of change parameters'!$E$26:$I$26,1,$B$5))/(INDEX('Pace of change parameters'!$E$25:$I$25,1,$B$5)-INDEX('Pace of change parameters'!$E$26:$I$26,1,$B$5))))</f>
        <v>1</v>
      </c>
      <c r="X193" s="132">
        <f>MIN(T193, T193+(INDEX('Pace of change parameters'!$E$27:$I$27,1,$B$5)-T193)*(1-W193))</f>
        <v>4.7668757627309599E-2</v>
      </c>
      <c r="Y193" s="132">
        <v>3.9162321302247616E-2</v>
      </c>
      <c r="Z193" s="108">
        <f t="shared" si="37"/>
        <v>544433.8497489508</v>
      </c>
      <c r="AA193" s="97">
        <v>-2.5809220276910239E-2</v>
      </c>
      <c r="AB193" s="99">
        <f t="shared" si="29"/>
        <v>542483.77551069763</v>
      </c>
      <c r="AC193" s="99">
        <f>MAX(IF(INDEX('Pace of change parameters'!$E$29:$I$29,1,$B$5)=1,MAX(AB193,Z193),Z193),L193)</f>
        <v>544433.8497489508</v>
      </c>
      <c r="AD193" s="97">
        <f t="shared" si="42"/>
        <v>4.7668757627309599E-2</v>
      </c>
      <c r="AE193" s="146">
        <v>3.9162321302247616E-2</v>
      </c>
      <c r="AF193" s="56">
        <f t="shared" si="39"/>
        <v>544433.8497489508</v>
      </c>
      <c r="AG193" s="56">
        <v>1478.4841432341884</v>
      </c>
      <c r="AH193" s="16">
        <f t="shared" si="30"/>
        <v>4.7668757627309599E-2</v>
      </c>
      <c r="AI193" s="16">
        <f t="shared" si="31"/>
        <v>3.9162321302247616E-2</v>
      </c>
      <c r="AJ193" s="56"/>
      <c r="AK193" s="56">
        <v>556855.78923760366</v>
      </c>
      <c r="AL193" s="56">
        <v>1512.2176088713022</v>
      </c>
      <c r="AM193" s="16">
        <f t="shared" si="43"/>
        <v>-2.2307282655101512E-2</v>
      </c>
      <c r="AN193" s="58">
        <f t="shared" si="44"/>
        <v>-2.2307282655101401E-2</v>
      </c>
      <c r="AP193" s="56">
        <f t="shared" si="32"/>
        <v>0</v>
      </c>
      <c r="AQ193" s="56">
        <f t="shared" si="33"/>
        <v>0</v>
      </c>
    </row>
    <row r="194" spans="1:43" x14ac:dyDescent="0.2">
      <c r="A194" s="156" t="s">
        <v>433</v>
      </c>
      <c r="B194" s="156" t="s">
        <v>434</v>
      </c>
      <c r="D194" s="68">
        <v>962216.77359388326</v>
      </c>
      <c r="E194" s="73">
        <v>1343.5160265373765</v>
      </c>
      <c r="F194" s="55"/>
      <c r="G194" s="88">
        <v>985789.78620532225</v>
      </c>
      <c r="H194" s="81">
        <v>1367.5768335078201</v>
      </c>
      <c r="I194" s="90"/>
      <c r="J194" s="103">
        <f t="shared" si="34"/>
        <v>-2.3912818880159503E-2</v>
      </c>
      <c r="K194" s="126">
        <f t="shared" si="35"/>
        <v>-1.7593751503327093E-2</v>
      </c>
      <c r="L194" s="56">
        <v>1029589</v>
      </c>
      <c r="M194" s="103">
        <v>1.5587259946049148E-2</v>
      </c>
      <c r="N194" s="97">
        <f>INDEX('Pace of change parameters'!$E$22:$I$22,1,$B$5)</f>
        <v>9.0547645222140982E-3</v>
      </c>
      <c r="O194" s="108">
        <f>MAX(L194,IF(INDEX('Pace of change parameters'!$E$30:$I$30,1,$B$5)=1,(1+M194)*D194,D194))</f>
        <v>1029589</v>
      </c>
      <c r="P194" s="94">
        <f>IF(K194&lt;INDEX('Pace of change parameters'!$E$18:$I$18,1,$B$5),1,IF(K194&gt;INDEX('Pace of change parameters'!$E$19:$I$19,1,$B$5),0,(K194-INDEX('Pace of change parameters'!$E$19:$I$19,1,$B$5))/(INDEX('Pace of change parameters'!$E$18:$I$18,1,$B$5)-INDEX('Pace of change parameters'!$E$19:$I$19,1,$B$5))))</f>
        <v>0.43106711189103009</v>
      </c>
      <c r="Q194" s="57">
        <v>4.5239372557074553E-2</v>
      </c>
      <c r="R194" s="57">
        <v>3.8516147791135547E-2</v>
      </c>
      <c r="S194" s="9">
        <f>MAX(IF(INDEX('Pace of change parameters'!$E$31:$I$31,1,$B$5)=1,D194*(1+Q194),D194),L194)</f>
        <v>1029589</v>
      </c>
      <c r="T194" s="103">
        <f>IF(Q194&lt;INDEX('Pace of change parameters'!$E$24:$I$24,1,$B$5),INDEX('Pace of change parameters'!$E$24:$I$24,1,$B$5),Q194)</f>
        <v>4.5239372557074553E-2</v>
      </c>
      <c r="U194" s="132">
        <v>3.8516147791135547E-2</v>
      </c>
      <c r="V194" s="117">
        <f t="shared" si="36"/>
        <v>1029589</v>
      </c>
      <c r="W194" s="131">
        <f>IF(J194&gt;INDEX('Pace of change parameters'!$E$26:$I$26,1,$B$5),0,IF(J194&lt;INDEX('Pace of change parameters'!$E$25:$I$25,1,$B$5),1,(J194-INDEX('Pace of change parameters'!$E$26:$I$26,1,$B$5))/(INDEX('Pace of change parameters'!$E$25:$I$25,1,$B$5)-INDEX('Pace of change parameters'!$E$26:$I$26,1,$B$5))))</f>
        <v>1</v>
      </c>
      <c r="X194" s="132">
        <f>MIN(T194, T194+(INDEX('Pace of change parameters'!$E$27:$I$27,1,$B$5)-T194)*(1-W194))</f>
        <v>4.5239372557074553E-2</v>
      </c>
      <c r="Y194" s="132">
        <v>3.8516147791135547E-2</v>
      </c>
      <c r="Z194" s="108">
        <f t="shared" si="37"/>
        <v>1029589</v>
      </c>
      <c r="AA194" s="97">
        <v>-2.5000000000000001E-2</v>
      </c>
      <c r="AB194" s="99">
        <f t="shared" si="29"/>
        <v>1003573.3549156595</v>
      </c>
      <c r="AC194" s="99">
        <f>MAX(IF(INDEX('Pace of change parameters'!$E$29:$I$29,1,$B$5)=1,MAX(AB194,Z194),Z194),L194)</f>
        <v>1029589</v>
      </c>
      <c r="AD194" s="97">
        <f t="shared" si="42"/>
        <v>7.001772184294941E-2</v>
      </c>
      <c r="AE194" s="146">
        <v>6.3135116923572099E-2</v>
      </c>
      <c r="AF194" s="56">
        <f t="shared" si="39"/>
        <v>1029589</v>
      </c>
      <c r="AG194" s="56">
        <v>1428.3390679615068</v>
      </c>
      <c r="AH194" s="16">
        <f t="shared" si="30"/>
        <v>7.001772184294941E-2</v>
      </c>
      <c r="AI194" s="16">
        <f t="shared" si="31"/>
        <v>6.3135116923572099E-2</v>
      </c>
      <c r="AJ194" s="56"/>
      <c r="AK194" s="56">
        <v>1029306.0050417021</v>
      </c>
      <c r="AL194" s="56">
        <v>1427.946471736243</v>
      </c>
      <c r="AM194" s="16">
        <f t="shared" si="43"/>
        <v>2.749376345925203E-4</v>
      </c>
      <c r="AN194" s="58">
        <f t="shared" si="44"/>
        <v>2.749376345925203E-4</v>
      </c>
      <c r="AP194" s="56">
        <f t="shared" si="32"/>
        <v>1</v>
      </c>
      <c r="AQ194" s="56">
        <f t="shared" si="33"/>
        <v>0</v>
      </c>
    </row>
    <row r="195" spans="1:43" x14ac:dyDescent="0.2">
      <c r="A195" s="156" t="s">
        <v>435</v>
      </c>
      <c r="B195" s="156" t="s">
        <v>436</v>
      </c>
      <c r="D195" s="68">
        <v>330052.3766790987</v>
      </c>
      <c r="E195" s="73">
        <v>1489.9708223293069</v>
      </c>
      <c r="F195" s="55"/>
      <c r="G195" s="88">
        <v>324145.5136202533</v>
      </c>
      <c r="H195" s="81">
        <v>1453.0342776072785</v>
      </c>
      <c r="I195" s="90"/>
      <c r="J195" s="103">
        <f t="shared" si="34"/>
        <v>1.8222874636992348E-2</v>
      </c>
      <c r="K195" s="126">
        <f t="shared" si="35"/>
        <v>2.5420284497934986E-2</v>
      </c>
      <c r="L195" s="56">
        <v>342326</v>
      </c>
      <c r="M195" s="103">
        <v>1.6187368683157066E-2</v>
      </c>
      <c r="N195" s="97">
        <f>INDEX('Pace of change parameters'!$E$22:$I$22,1,$B$5)</f>
        <v>9.0547645222140982E-3</v>
      </c>
      <c r="O195" s="108">
        <f>MAX(L195,IF(INDEX('Pace of change parameters'!$E$30:$I$30,1,$B$5)=1,(1+M195)*D195,D195))</f>
        <v>342326</v>
      </c>
      <c r="P195" s="94">
        <f>IF(K195&lt;INDEX('Pace of change parameters'!$E$18:$I$18,1,$B$5),1,IF(K195&gt;INDEX('Pace of change parameters'!$E$19:$I$19,1,$B$5),0,(K195-INDEX('Pace of change parameters'!$E$19:$I$19,1,$B$5))/(INDEX('Pace of change parameters'!$E$18:$I$18,1,$B$5)-INDEX('Pace of change parameters'!$E$19:$I$19,1,$B$5))))</f>
        <v>3.8925294029218842E-2</v>
      </c>
      <c r="Q195" s="57">
        <v>1.8866532078000375E-2</v>
      </c>
      <c r="R195" s="57">
        <v>1.1715122908683151E-2</v>
      </c>
      <c r="S195" s="9">
        <f>MAX(IF(INDEX('Pace of change parameters'!$E$31:$I$31,1,$B$5)=1,D195*(1+Q195),D195),L195)</f>
        <v>342326</v>
      </c>
      <c r="T195" s="103">
        <f>IF(Q195&lt;INDEX('Pace of change parameters'!$E$24:$I$24,1,$B$5),INDEX('Pace of change parameters'!$E$24:$I$24,1,$B$5),Q195)</f>
        <v>3.0386941478720321E-2</v>
      </c>
      <c r="U195" s="132">
        <v>2.3154670725644255E-2</v>
      </c>
      <c r="V195" s="117">
        <f t="shared" si="36"/>
        <v>342326</v>
      </c>
      <c r="W195" s="131">
        <f>IF(J195&gt;INDEX('Pace of change parameters'!$E$26:$I$26,1,$B$5),0,IF(J195&lt;INDEX('Pace of change parameters'!$E$25:$I$25,1,$B$5),1,(J195-INDEX('Pace of change parameters'!$E$26:$I$26,1,$B$5))/(INDEX('Pace of change parameters'!$E$25:$I$25,1,$B$5)-INDEX('Pace of change parameters'!$E$26:$I$26,1,$B$5))))</f>
        <v>1</v>
      </c>
      <c r="X195" s="132">
        <f>MIN(T195, T195+(INDEX('Pace of change parameters'!$E$27:$I$27,1,$B$5)-T195)*(1-W195))</f>
        <v>3.0386941478720321E-2</v>
      </c>
      <c r="Y195" s="132">
        <v>2.3154670725644255E-2</v>
      </c>
      <c r="Z195" s="108">
        <f t="shared" si="37"/>
        <v>342326</v>
      </c>
      <c r="AA195" s="97">
        <v>-2.5000000000000001E-2</v>
      </c>
      <c r="AB195" s="99">
        <f t="shared" si="29"/>
        <v>329622.14269531611</v>
      </c>
      <c r="AC195" s="99">
        <f>MAX(IF(INDEX('Pace of change parameters'!$E$29:$I$29,1,$B$5)=1,MAX(AB195,Z195),Z195),L195)</f>
        <v>342326</v>
      </c>
      <c r="AD195" s="97">
        <f t="shared" si="42"/>
        <v>3.7186895741807113E-2</v>
      </c>
      <c r="AE195" s="146">
        <v>2.990689620999798E-2</v>
      </c>
      <c r="AF195" s="56">
        <f t="shared" si="39"/>
        <v>342326</v>
      </c>
      <c r="AG195" s="56">
        <v>1534.531225068635</v>
      </c>
      <c r="AH195" s="16">
        <f t="shared" si="30"/>
        <v>3.7186895741807113E-2</v>
      </c>
      <c r="AI195" s="16">
        <f t="shared" si="31"/>
        <v>2.990689620999798E-2</v>
      </c>
      <c r="AJ195" s="56"/>
      <c r="AK195" s="56">
        <v>338073.99250801653</v>
      </c>
      <c r="AL195" s="56">
        <v>1515.4709192032481</v>
      </c>
      <c r="AM195" s="16">
        <f t="shared" si="43"/>
        <v>1.2577150523883196E-2</v>
      </c>
      <c r="AN195" s="58">
        <f t="shared" si="44"/>
        <v>1.2577150523883196E-2</v>
      </c>
      <c r="AP195" s="56">
        <f t="shared" si="32"/>
        <v>1</v>
      </c>
      <c r="AQ195" s="56">
        <f t="shared" si="33"/>
        <v>0</v>
      </c>
    </row>
    <row r="196" spans="1:43" x14ac:dyDescent="0.2">
      <c r="A196" s="156" t="s">
        <v>437</v>
      </c>
      <c r="B196" s="156" t="s">
        <v>438</v>
      </c>
      <c r="D196" s="68">
        <v>220863.91369390907</v>
      </c>
      <c r="E196" s="73">
        <v>1454.9473241058029</v>
      </c>
      <c r="F196" s="55"/>
      <c r="G196" s="88">
        <v>218039.41083692829</v>
      </c>
      <c r="H196" s="81">
        <v>1417.9423461967335</v>
      </c>
      <c r="I196" s="90"/>
      <c r="J196" s="103">
        <f t="shared" si="34"/>
        <v>1.2954093235434394E-2</v>
      </c>
      <c r="K196" s="126">
        <f t="shared" si="35"/>
        <v>2.6097660464352135E-2</v>
      </c>
      <c r="L196" s="56">
        <v>229531</v>
      </c>
      <c r="M196" s="103">
        <v>2.2147736083043545E-2</v>
      </c>
      <c r="N196" s="97">
        <f>INDEX('Pace of change parameters'!$E$22:$I$22,1,$B$5)</f>
        <v>9.0547645222140982E-3</v>
      </c>
      <c r="O196" s="108">
        <f>MAX(L196,IF(INDEX('Pace of change parameters'!$E$30:$I$30,1,$B$5)=1,(1+M196)*D196,D196))</f>
        <v>229531</v>
      </c>
      <c r="P196" s="94">
        <f>IF(K196&lt;INDEX('Pace of change parameters'!$E$18:$I$18,1,$B$5),1,IF(K196&gt;INDEX('Pace of change parameters'!$E$19:$I$19,1,$B$5),0,(K196-INDEX('Pace of change parameters'!$E$19:$I$19,1,$B$5))/(INDEX('Pace of change parameters'!$E$18:$I$18,1,$B$5)-INDEX('Pace of change parameters'!$E$19:$I$19,1,$B$5))))</f>
        <v>3.2749927392176734E-2</v>
      </c>
      <c r="Q196" s="57">
        <v>2.4415080622531393E-2</v>
      </c>
      <c r="R196" s="57">
        <v>1.1293066021712761E-2</v>
      </c>
      <c r="S196" s="9">
        <f>MAX(IF(INDEX('Pace of change parameters'!$E$31:$I$31,1,$B$5)=1,D196*(1+Q196),D196),L196)</f>
        <v>229531</v>
      </c>
      <c r="T196" s="103">
        <f>IF(Q196&lt;INDEX('Pace of change parameters'!$E$24:$I$24,1,$B$5),INDEX('Pace of change parameters'!$E$24:$I$24,1,$B$5),Q196)</f>
        <v>3.0386941478720321E-2</v>
      </c>
      <c r="U196" s="132">
        <v>1.7188431669239446E-2</v>
      </c>
      <c r="V196" s="117">
        <f t="shared" si="36"/>
        <v>229531</v>
      </c>
      <c r="W196" s="131">
        <f>IF(J196&gt;INDEX('Pace of change parameters'!$E$26:$I$26,1,$B$5),0,IF(J196&lt;INDEX('Pace of change parameters'!$E$25:$I$25,1,$B$5),1,(J196-INDEX('Pace of change parameters'!$E$26:$I$26,1,$B$5))/(INDEX('Pace of change parameters'!$E$25:$I$25,1,$B$5)-INDEX('Pace of change parameters'!$E$26:$I$26,1,$B$5))))</f>
        <v>1</v>
      </c>
      <c r="X196" s="132">
        <f>MIN(T196, T196+(INDEX('Pace of change parameters'!$E$27:$I$27,1,$B$5)-T196)*(1-W196))</f>
        <v>3.0386941478720321E-2</v>
      </c>
      <c r="Y196" s="132">
        <v>1.7188431669239446E-2</v>
      </c>
      <c r="Z196" s="108">
        <f t="shared" si="37"/>
        <v>229531</v>
      </c>
      <c r="AA196" s="97">
        <v>-2.5000000000000001E-2</v>
      </c>
      <c r="AB196" s="99">
        <f t="shared" si="29"/>
        <v>221901.27823712397</v>
      </c>
      <c r="AC196" s="99">
        <f>MAX(IF(INDEX('Pace of change parameters'!$E$29:$I$29,1,$B$5)=1,MAX(AB196,Z196),Z196),L196)</f>
        <v>229531</v>
      </c>
      <c r="AD196" s="97">
        <f t="shared" si="42"/>
        <v>3.9241749189061537E-2</v>
      </c>
      <c r="AE196" s="146">
        <v>2.59298157115182E-2</v>
      </c>
      <c r="AF196" s="56">
        <f t="shared" si="39"/>
        <v>229531</v>
      </c>
      <c r="AG196" s="56">
        <v>1492.6738400898328</v>
      </c>
      <c r="AH196" s="16">
        <f t="shared" si="30"/>
        <v>3.9241749189061537E-2</v>
      </c>
      <c r="AI196" s="16">
        <f t="shared" si="31"/>
        <v>2.59298157115182E-2</v>
      </c>
      <c r="AJ196" s="56"/>
      <c r="AK196" s="56">
        <v>227591.05460217842</v>
      </c>
      <c r="AL196" s="56">
        <v>1480.0580899448375</v>
      </c>
      <c r="AM196" s="16">
        <f t="shared" si="43"/>
        <v>8.523820943720839E-3</v>
      </c>
      <c r="AN196" s="58">
        <f t="shared" si="44"/>
        <v>8.523820943720839E-3</v>
      </c>
      <c r="AP196" s="56">
        <f t="shared" si="32"/>
        <v>1</v>
      </c>
      <c r="AQ196" s="56">
        <f t="shared" si="33"/>
        <v>0</v>
      </c>
    </row>
    <row r="197" spans="1:43" x14ac:dyDescent="0.2">
      <c r="A197" s="156" t="s">
        <v>439</v>
      </c>
      <c r="B197" s="156" t="s">
        <v>440</v>
      </c>
      <c r="D197" s="68">
        <v>309255.54938164144</v>
      </c>
      <c r="E197" s="73">
        <v>1457.9479691945551</v>
      </c>
      <c r="F197" s="55"/>
      <c r="G197" s="88">
        <v>324527.73135932389</v>
      </c>
      <c r="H197" s="81">
        <v>1522.8166326089629</v>
      </c>
      <c r="I197" s="90"/>
      <c r="J197" s="103">
        <f t="shared" si="34"/>
        <v>-4.7059713244575585E-2</v>
      </c>
      <c r="K197" s="126">
        <f t="shared" si="35"/>
        <v>-4.2597816457567661E-2</v>
      </c>
      <c r="L197" s="56">
        <v>326370</v>
      </c>
      <c r="M197" s="103">
        <v>1.3779402859277479E-2</v>
      </c>
      <c r="N197" s="97">
        <f>INDEX('Pace of change parameters'!$E$22:$I$22,1,$B$5)</f>
        <v>9.0547645222140982E-3</v>
      </c>
      <c r="O197" s="108">
        <f>MAX(L197,IF(INDEX('Pace of change parameters'!$E$30:$I$30,1,$B$5)=1,(1+M197)*D197,D197))</f>
        <v>326370</v>
      </c>
      <c r="P197" s="94">
        <f>IF(K197&lt;INDEX('Pace of change parameters'!$E$18:$I$18,1,$B$5),1,IF(K197&gt;INDEX('Pace of change parameters'!$E$19:$I$19,1,$B$5),0,(K197-INDEX('Pace of change parameters'!$E$19:$I$19,1,$B$5))/(INDEX('Pace of change parameters'!$E$18:$I$18,1,$B$5)-INDEX('Pace of change parameters'!$E$19:$I$19,1,$B$5))))</f>
        <v>0.65901920373386502</v>
      </c>
      <c r="Q197" s="57">
        <v>5.9031117542760692E-2</v>
      </c>
      <c r="R197" s="57">
        <v>5.4095587185787997E-2</v>
      </c>
      <c r="S197" s="9">
        <f>MAX(IF(INDEX('Pace of change parameters'!$E$31:$I$31,1,$B$5)=1,D197*(1+Q197),D197),L197)</f>
        <v>327511.25006794016</v>
      </c>
      <c r="T197" s="103">
        <f>IF(Q197&lt;INDEX('Pace of change parameters'!$E$24:$I$24,1,$B$5),INDEX('Pace of change parameters'!$E$24:$I$24,1,$B$5),Q197)</f>
        <v>5.9031117542760692E-2</v>
      </c>
      <c r="U197" s="132">
        <v>5.4095587185787997E-2</v>
      </c>
      <c r="V197" s="117">
        <f t="shared" si="36"/>
        <v>327511.25006794016</v>
      </c>
      <c r="W197" s="131">
        <f>IF(J197&gt;INDEX('Pace of change parameters'!$E$26:$I$26,1,$B$5),0,IF(J197&lt;INDEX('Pace of change parameters'!$E$25:$I$25,1,$B$5),1,(J197-INDEX('Pace of change parameters'!$E$26:$I$26,1,$B$5))/(INDEX('Pace of change parameters'!$E$25:$I$25,1,$B$5)-INDEX('Pace of change parameters'!$E$26:$I$26,1,$B$5))))</f>
        <v>1</v>
      </c>
      <c r="X197" s="132">
        <f>MIN(T197, T197+(INDEX('Pace of change parameters'!$E$27:$I$27,1,$B$5)-T197)*(1-W197))</f>
        <v>5.9031117542760692E-2</v>
      </c>
      <c r="Y197" s="132">
        <v>5.4095587185787997E-2</v>
      </c>
      <c r="Z197" s="108">
        <f t="shared" si="37"/>
        <v>327511.25006794016</v>
      </c>
      <c r="AA197" s="97">
        <v>-4.9597406108886299E-2</v>
      </c>
      <c r="AB197" s="99">
        <f t="shared" si="29"/>
        <v>321593.72980037244</v>
      </c>
      <c r="AC197" s="99">
        <f>MAX(IF(INDEX('Pace of change parameters'!$E$29:$I$29,1,$B$5)=1,MAX(AB197,Z197),Z197),L197)</f>
        <v>327511.25006794016</v>
      </c>
      <c r="AD197" s="97">
        <f t="shared" si="42"/>
        <v>5.9031117542760692E-2</v>
      </c>
      <c r="AE197" s="146">
        <v>5.4095587185787997E-2</v>
      </c>
      <c r="AF197" s="56">
        <f t="shared" si="39"/>
        <v>327511.25006794016</v>
      </c>
      <c r="AG197" s="56">
        <v>1536.8165206744618</v>
      </c>
      <c r="AH197" s="16">
        <f t="shared" si="30"/>
        <v>5.9031117542760692E-2</v>
      </c>
      <c r="AI197" s="16">
        <f t="shared" si="31"/>
        <v>5.4095587185787997E-2</v>
      </c>
      <c r="AJ197" s="56"/>
      <c r="AK197" s="56">
        <v>338376.31743376428</v>
      </c>
      <c r="AL197" s="56">
        <v>1587.7998533770046</v>
      </c>
      <c r="AM197" s="16">
        <f t="shared" si="43"/>
        <v>-3.2109420210682749E-2</v>
      </c>
      <c r="AN197" s="58">
        <f t="shared" si="44"/>
        <v>-3.210942021068286E-2</v>
      </c>
      <c r="AP197" s="56">
        <f t="shared" si="32"/>
        <v>0</v>
      </c>
      <c r="AQ197" s="56">
        <f t="shared" si="33"/>
        <v>0</v>
      </c>
    </row>
    <row r="198" spans="1:43" x14ac:dyDescent="0.2">
      <c r="A198" s="156" t="s">
        <v>441</v>
      </c>
      <c r="B198" s="156" t="s">
        <v>442</v>
      </c>
      <c r="D198" s="68">
        <v>341102.380599191</v>
      </c>
      <c r="E198" s="73">
        <v>1702.4644915560698</v>
      </c>
      <c r="F198" s="55"/>
      <c r="G198" s="88">
        <v>329486.60653628991</v>
      </c>
      <c r="H198" s="81">
        <v>1637.3666011610267</v>
      </c>
      <c r="I198" s="90"/>
      <c r="J198" s="103">
        <f t="shared" si="34"/>
        <v>3.5254161572791265E-2</v>
      </c>
      <c r="K198" s="126">
        <f t="shared" si="35"/>
        <v>3.9757675739130915E-2</v>
      </c>
      <c r="L198" s="56">
        <v>353179</v>
      </c>
      <c r="M198" s="103">
        <v>1.344430729858348E-2</v>
      </c>
      <c r="N198" s="97">
        <f>INDEX('Pace of change parameters'!$E$22:$I$22,1,$B$5)</f>
        <v>9.0547645222140982E-3</v>
      </c>
      <c r="O198" s="108">
        <f>MAX(L198,IF(INDEX('Pace of change parameters'!$E$30:$I$30,1,$B$5)=1,(1+M198)*D198,D198))</f>
        <v>353179</v>
      </c>
      <c r="P198" s="94">
        <f>IF(K198&lt;INDEX('Pace of change parameters'!$E$18:$I$18,1,$B$5),1,IF(K198&gt;INDEX('Pace of change parameters'!$E$19:$I$19,1,$B$5),0,(K198-INDEX('Pace of change parameters'!$E$19:$I$19,1,$B$5))/(INDEX('Pace of change parameters'!$E$18:$I$18,1,$B$5)-INDEX('Pace of change parameters'!$E$19:$I$19,1,$B$5))))</f>
        <v>0</v>
      </c>
      <c r="Q198" s="57">
        <v>1.344430729858348E-2</v>
      </c>
      <c r="R198" s="57">
        <v>9.0547645222140982E-3</v>
      </c>
      <c r="S198" s="9">
        <f>MAX(IF(INDEX('Pace of change parameters'!$E$31:$I$31,1,$B$5)=1,D198*(1+Q198),D198),L198)</f>
        <v>353179</v>
      </c>
      <c r="T198" s="103">
        <f>IF(Q198&lt;INDEX('Pace of change parameters'!$E$24:$I$24,1,$B$5),INDEX('Pace of change parameters'!$E$24:$I$24,1,$B$5),Q198)</f>
        <v>3.0386941478720321E-2</v>
      </c>
      <c r="U198" s="132">
        <v>2.592401487953766E-2</v>
      </c>
      <c r="V198" s="117">
        <f t="shared" si="36"/>
        <v>353179</v>
      </c>
      <c r="W198" s="131">
        <f>IF(J198&gt;INDEX('Pace of change parameters'!$E$26:$I$26,1,$B$5),0,IF(J198&lt;INDEX('Pace of change parameters'!$E$25:$I$25,1,$B$5),1,(J198-INDEX('Pace of change parameters'!$E$26:$I$26,1,$B$5))/(INDEX('Pace of change parameters'!$E$25:$I$25,1,$B$5)-INDEX('Pace of change parameters'!$E$26:$I$26,1,$B$5))))</f>
        <v>1</v>
      </c>
      <c r="X198" s="132">
        <f>MIN(T198, T198+(INDEX('Pace of change parameters'!$E$27:$I$27,1,$B$5)-T198)*(1-W198))</f>
        <v>3.0386941478720321E-2</v>
      </c>
      <c r="Y198" s="132">
        <v>2.592401487953766E-2</v>
      </c>
      <c r="Z198" s="108">
        <f t="shared" si="37"/>
        <v>353179</v>
      </c>
      <c r="AA198" s="97">
        <v>-2.5000000000000001E-2</v>
      </c>
      <c r="AB198" s="99">
        <f t="shared" si="29"/>
        <v>335294.10432736378</v>
      </c>
      <c r="AC198" s="99">
        <f>MAX(IF(INDEX('Pace of change parameters'!$E$29:$I$29,1,$B$5)=1,MAX(AB198,Z198),Z198),L198)</f>
        <v>353179</v>
      </c>
      <c r="AD198" s="97">
        <f t="shared" si="42"/>
        <v>3.5404676389519274E-2</v>
      </c>
      <c r="AE198" s="146">
        <v>3.0920016418435559E-2</v>
      </c>
      <c r="AF198" s="56">
        <f t="shared" si="39"/>
        <v>353179</v>
      </c>
      <c r="AG198" s="56">
        <v>1755.1047215867866</v>
      </c>
      <c r="AH198" s="16">
        <f t="shared" si="30"/>
        <v>3.5404676389519274E-2</v>
      </c>
      <c r="AI198" s="16">
        <f t="shared" si="31"/>
        <v>3.0920016418435337E-2</v>
      </c>
      <c r="AJ198" s="56"/>
      <c r="AK198" s="56">
        <v>343891.38905370643</v>
      </c>
      <c r="AL198" s="56">
        <v>1708.9504207248979</v>
      </c>
      <c r="AM198" s="16">
        <f t="shared" si="43"/>
        <v>2.7007396061444089E-2</v>
      </c>
      <c r="AN198" s="58">
        <f t="shared" si="44"/>
        <v>2.7007396061444089E-2</v>
      </c>
      <c r="AP198" s="56">
        <f t="shared" si="32"/>
        <v>1</v>
      </c>
      <c r="AQ198" s="56">
        <f t="shared" si="33"/>
        <v>0</v>
      </c>
    </row>
    <row r="199" spans="1:43" x14ac:dyDescent="0.2">
      <c r="A199" s="156" t="s">
        <v>443</v>
      </c>
      <c r="B199" s="156" t="s">
        <v>444</v>
      </c>
      <c r="D199" s="68">
        <v>166207.53063403571</v>
      </c>
      <c r="E199" s="73">
        <v>1204.5944326924271</v>
      </c>
      <c r="F199" s="55"/>
      <c r="G199" s="88">
        <v>173948.50924468212</v>
      </c>
      <c r="H199" s="81">
        <v>1254.7258872604255</v>
      </c>
      <c r="I199" s="90"/>
      <c r="J199" s="103">
        <f t="shared" si="34"/>
        <v>-4.4501551891759417E-2</v>
      </c>
      <c r="K199" s="126">
        <f t="shared" si="35"/>
        <v>-3.9954108763513019E-2</v>
      </c>
      <c r="L199" s="56">
        <v>175513</v>
      </c>
      <c r="M199" s="103">
        <v>1.385709482849129E-2</v>
      </c>
      <c r="N199" s="97">
        <f>INDEX('Pace of change parameters'!$E$22:$I$22,1,$B$5)</f>
        <v>9.0547645222140982E-3</v>
      </c>
      <c r="O199" s="108">
        <f>MAX(L199,IF(INDEX('Pace of change parameters'!$E$30:$I$30,1,$B$5)=1,(1+M199)*D199,D199))</f>
        <v>175513</v>
      </c>
      <c r="P199" s="94">
        <f>IF(K199&lt;INDEX('Pace of change parameters'!$E$18:$I$18,1,$B$5),1,IF(K199&gt;INDEX('Pace of change parameters'!$E$19:$I$19,1,$B$5),0,(K199-INDEX('Pace of change parameters'!$E$19:$I$19,1,$B$5))/(INDEX('Pace of change parameters'!$E$18:$I$18,1,$B$5)-INDEX('Pace of change parameters'!$E$19:$I$19,1,$B$5))))</f>
        <v>0.63491757465140852</v>
      </c>
      <c r="Q199" s="57">
        <v>5.7457206341626765E-2</v>
      </c>
      <c r="R199" s="57">
        <v>5.2448355670749347E-2</v>
      </c>
      <c r="S199" s="9">
        <f>MAX(IF(INDEX('Pace of change parameters'!$E$31:$I$31,1,$B$5)=1,D199*(1+Q199),D199),L199)</f>
        <v>175757.35101720775</v>
      </c>
      <c r="T199" s="103">
        <f>IF(Q199&lt;INDEX('Pace of change parameters'!$E$24:$I$24,1,$B$5),INDEX('Pace of change parameters'!$E$24:$I$24,1,$B$5),Q199)</f>
        <v>5.7457206341626765E-2</v>
      </c>
      <c r="U199" s="132">
        <v>5.2448355670749347E-2</v>
      </c>
      <c r="V199" s="117">
        <f t="shared" si="36"/>
        <v>175757.35101720775</v>
      </c>
      <c r="W199" s="131">
        <f>IF(J199&gt;INDEX('Pace of change parameters'!$E$26:$I$26,1,$B$5),0,IF(J199&lt;INDEX('Pace of change parameters'!$E$25:$I$25,1,$B$5),1,(J199-INDEX('Pace of change parameters'!$E$26:$I$26,1,$B$5))/(INDEX('Pace of change parameters'!$E$25:$I$25,1,$B$5)-INDEX('Pace of change parameters'!$E$26:$I$26,1,$B$5))))</f>
        <v>1</v>
      </c>
      <c r="X199" s="132">
        <f>MIN(T199, T199+(INDEX('Pace of change parameters'!$E$27:$I$27,1,$B$5)-T199)*(1-W199))</f>
        <v>5.7457206341626765E-2</v>
      </c>
      <c r="Y199" s="132">
        <v>5.2448355670749347E-2</v>
      </c>
      <c r="Z199" s="108">
        <f t="shared" si="37"/>
        <v>175757.35101720775</v>
      </c>
      <c r="AA199" s="97">
        <v>-4.6977065566756182E-2</v>
      </c>
      <c r="AB199" s="99">
        <f t="shared" si="29"/>
        <v>172881.11936677303</v>
      </c>
      <c r="AC199" s="99">
        <f>MAX(IF(INDEX('Pace of change parameters'!$E$29:$I$29,1,$B$5)=1,MAX(AB199,Z199),Z199),L199)</f>
        <v>175757.35101720775</v>
      </c>
      <c r="AD199" s="97">
        <f t="shared" si="42"/>
        <v>5.7457206341626765E-2</v>
      </c>
      <c r="AE199" s="146">
        <v>5.2448355670749347E-2</v>
      </c>
      <c r="AF199" s="56">
        <f t="shared" si="39"/>
        <v>175757.35101720775</v>
      </c>
      <c r="AG199" s="56">
        <v>1267.7734299372839</v>
      </c>
      <c r="AH199" s="16">
        <f t="shared" si="30"/>
        <v>5.7457206341626765E-2</v>
      </c>
      <c r="AI199" s="16">
        <f t="shared" si="31"/>
        <v>5.2448355670749347E-2</v>
      </c>
      <c r="AJ199" s="56"/>
      <c r="AK199" s="56">
        <v>181402.89506210492</v>
      </c>
      <c r="AL199" s="56">
        <v>1308.4958844817916</v>
      </c>
      <c r="AM199" s="16">
        <f t="shared" si="43"/>
        <v>-3.1121576328560607E-2</v>
      </c>
      <c r="AN199" s="58">
        <f t="shared" si="44"/>
        <v>-3.1121576328560718E-2</v>
      </c>
      <c r="AP199" s="56">
        <f t="shared" si="32"/>
        <v>0</v>
      </c>
      <c r="AQ199" s="56">
        <f t="shared" si="33"/>
        <v>0</v>
      </c>
    </row>
    <row r="200" spans="1:43" x14ac:dyDescent="0.2">
      <c r="A200" s="156" t="s">
        <v>445</v>
      </c>
      <c r="B200" s="156" t="s">
        <v>446</v>
      </c>
      <c r="D200" s="68">
        <v>396140.17305802862</v>
      </c>
      <c r="E200" s="73">
        <v>1443.3334052000955</v>
      </c>
      <c r="F200" s="55"/>
      <c r="G200" s="88">
        <v>412957.12091220421</v>
      </c>
      <c r="H200" s="81">
        <v>1493.7191091964387</v>
      </c>
      <c r="I200" s="90"/>
      <c r="J200" s="103">
        <f t="shared" si="34"/>
        <v>-4.0723230094755758E-2</v>
      </c>
      <c r="K200" s="126">
        <f t="shared" si="35"/>
        <v>-3.3731712800707636E-2</v>
      </c>
      <c r="L200" s="56">
        <v>423544</v>
      </c>
      <c r="M200" s="103">
        <v>1.6409079833628937E-2</v>
      </c>
      <c r="N200" s="97">
        <f>INDEX('Pace of change parameters'!$E$22:$I$22,1,$B$5)</f>
        <v>9.0547645222140982E-3</v>
      </c>
      <c r="O200" s="108">
        <f>MAX(L200,IF(INDEX('Pace of change parameters'!$E$30:$I$30,1,$B$5)=1,(1+M200)*D200,D200))</f>
        <v>423544</v>
      </c>
      <c r="P200" s="94">
        <f>IF(K200&lt;INDEX('Pace of change parameters'!$E$18:$I$18,1,$B$5),1,IF(K200&gt;INDEX('Pace of change parameters'!$E$19:$I$19,1,$B$5),0,(K200-INDEX('Pace of change parameters'!$E$19:$I$19,1,$B$5))/(INDEX('Pace of change parameters'!$E$18:$I$18,1,$B$5)-INDEX('Pace of change parameters'!$E$19:$I$19,1,$B$5))))</f>
        <v>0.57819047133474</v>
      </c>
      <c r="Q200" s="57">
        <v>5.6213653161643284E-2</v>
      </c>
      <c r="R200" s="57">
        <v>4.8571328436598948E-2</v>
      </c>
      <c r="S200" s="9">
        <f>MAX(IF(INDEX('Pace of change parameters'!$E$31:$I$31,1,$B$5)=1,D200*(1+Q200),D200),L200)</f>
        <v>423544</v>
      </c>
      <c r="T200" s="103">
        <f>IF(Q200&lt;INDEX('Pace of change parameters'!$E$24:$I$24,1,$B$5),INDEX('Pace of change parameters'!$E$24:$I$24,1,$B$5),Q200)</f>
        <v>5.6213653161643284E-2</v>
      </c>
      <c r="U200" s="132">
        <v>4.8571328436598948E-2</v>
      </c>
      <c r="V200" s="117">
        <f t="shared" si="36"/>
        <v>423544</v>
      </c>
      <c r="W200" s="131">
        <f>IF(J200&gt;INDEX('Pace of change parameters'!$E$26:$I$26,1,$B$5),0,IF(J200&lt;INDEX('Pace of change parameters'!$E$25:$I$25,1,$B$5),1,(J200-INDEX('Pace of change parameters'!$E$26:$I$26,1,$B$5))/(INDEX('Pace of change parameters'!$E$25:$I$25,1,$B$5)-INDEX('Pace of change parameters'!$E$26:$I$26,1,$B$5))))</f>
        <v>1</v>
      </c>
      <c r="X200" s="132">
        <f>MIN(T200, T200+(INDEX('Pace of change parameters'!$E$27:$I$27,1,$B$5)-T200)*(1-W200))</f>
        <v>5.6213653161643284E-2</v>
      </c>
      <c r="Y200" s="132">
        <v>4.8571328436598948E-2</v>
      </c>
      <c r="Z200" s="108">
        <f t="shared" si="37"/>
        <v>423544</v>
      </c>
      <c r="AA200" s="97">
        <v>-4.0801982721804131E-2</v>
      </c>
      <c r="AB200" s="99">
        <f t="shared" si="29"/>
        <v>413248.86846184667</v>
      </c>
      <c r="AC200" s="99">
        <f>MAX(IF(INDEX('Pace of change parameters'!$E$29:$I$29,1,$B$5)=1,MAX(AB200,Z200),Z200),L200)</f>
        <v>423544</v>
      </c>
      <c r="AD200" s="97">
        <f t="shared" si="42"/>
        <v>6.9177096406117577E-2</v>
      </c>
      <c r="AE200" s="146">
        <v>6.1440973572582269E-2</v>
      </c>
      <c r="AF200" s="56">
        <f t="shared" si="39"/>
        <v>423544</v>
      </c>
      <c r="AG200" s="56">
        <v>1532.0132148054199</v>
      </c>
      <c r="AH200" s="16">
        <f t="shared" si="30"/>
        <v>6.9177096406117577E-2</v>
      </c>
      <c r="AI200" s="16">
        <f t="shared" si="31"/>
        <v>6.1440973572582491E-2</v>
      </c>
      <c r="AJ200" s="56"/>
      <c r="AK200" s="56">
        <v>430827.48402094771</v>
      </c>
      <c r="AL200" s="56">
        <v>1558.3585148684972</v>
      </c>
      <c r="AM200" s="16">
        <f t="shared" si="43"/>
        <v>-1.6905801721307068E-2</v>
      </c>
      <c r="AN200" s="58">
        <f t="shared" si="44"/>
        <v>-1.6905801721306957E-2</v>
      </c>
      <c r="AP200" s="56">
        <f t="shared" si="32"/>
        <v>1</v>
      </c>
      <c r="AQ200" s="56">
        <f t="shared" si="33"/>
        <v>0</v>
      </c>
    </row>
    <row r="201" spans="1:43" x14ac:dyDescent="0.2">
      <c r="A201" s="156" t="s">
        <v>447</v>
      </c>
      <c r="B201" s="156" t="s">
        <v>448</v>
      </c>
      <c r="D201" s="68">
        <v>437874.16229475709</v>
      </c>
      <c r="E201" s="73">
        <v>1445.8068213313072</v>
      </c>
      <c r="F201" s="55"/>
      <c r="G201" s="88">
        <v>453065.01590870786</v>
      </c>
      <c r="H201" s="81">
        <v>1482.906460141593</v>
      </c>
      <c r="I201" s="90"/>
      <c r="J201" s="103">
        <f t="shared" si="34"/>
        <v>-3.3529080993999538E-2</v>
      </c>
      <c r="K201" s="126">
        <f t="shared" si="35"/>
        <v>-2.5018192183708821E-2</v>
      </c>
      <c r="L201" s="56">
        <v>455195</v>
      </c>
      <c r="M201" s="103">
        <v>1.7940653104537407E-2</v>
      </c>
      <c r="N201" s="97">
        <f>INDEX('Pace of change parameters'!$E$22:$I$22,1,$B$5)</f>
        <v>9.0547645222140982E-3</v>
      </c>
      <c r="O201" s="108">
        <f>MAX(L201,IF(INDEX('Pace of change parameters'!$E$30:$I$30,1,$B$5)=1,(1+M201)*D201,D201))</f>
        <v>455195</v>
      </c>
      <c r="P201" s="94">
        <f>IF(K201&lt;INDEX('Pace of change parameters'!$E$18:$I$18,1,$B$5),1,IF(K201&gt;INDEX('Pace of change parameters'!$E$19:$I$19,1,$B$5),0,(K201-INDEX('Pace of change parameters'!$E$19:$I$19,1,$B$5))/(INDEX('Pace of change parameters'!$E$18:$I$18,1,$B$5)-INDEX('Pace of change parameters'!$E$19:$I$19,1,$B$5))))</f>
        <v>0.49875277767990533</v>
      </c>
      <c r="Q201" s="57">
        <v>5.2328207719438691E-2</v>
      </c>
      <c r="R201" s="57">
        <v>4.3142140557947073E-2</v>
      </c>
      <c r="S201" s="9">
        <f>MAX(IF(INDEX('Pace of change parameters'!$E$31:$I$31,1,$B$5)=1,D201*(1+Q201),D201),L201)</f>
        <v>460787.33241429232</v>
      </c>
      <c r="T201" s="103">
        <f>IF(Q201&lt;INDEX('Pace of change parameters'!$E$24:$I$24,1,$B$5),INDEX('Pace of change parameters'!$E$24:$I$24,1,$B$5),Q201)</f>
        <v>5.2328207719438691E-2</v>
      </c>
      <c r="U201" s="132">
        <v>4.3142140557947073E-2</v>
      </c>
      <c r="V201" s="117">
        <f t="shared" si="36"/>
        <v>460787.33241429232</v>
      </c>
      <c r="W201" s="131">
        <f>IF(J201&gt;INDEX('Pace of change parameters'!$E$26:$I$26,1,$B$5),0,IF(J201&lt;INDEX('Pace of change parameters'!$E$25:$I$25,1,$B$5),1,(J201-INDEX('Pace of change parameters'!$E$26:$I$26,1,$B$5))/(INDEX('Pace of change parameters'!$E$25:$I$25,1,$B$5)-INDEX('Pace of change parameters'!$E$26:$I$26,1,$B$5))))</f>
        <v>1</v>
      </c>
      <c r="X201" s="132">
        <f>MIN(T201, T201+(INDEX('Pace of change parameters'!$E$27:$I$27,1,$B$5)-T201)*(1-W201))</f>
        <v>5.2328207719438691E-2</v>
      </c>
      <c r="Y201" s="132">
        <v>4.3142140557947073E-2</v>
      </c>
      <c r="Z201" s="108">
        <f t="shared" si="37"/>
        <v>460787.33241429232</v>
      </c>
      <c r="AA201" s="97">
        <v>-3.2158594524529849E-2</v>
      </c>
      <c r="AB201" s="99">
        <f t="shared" si="29"/>
        <v>457799.52680723259</v>
      </c>
      <c r="AC201" s="99">
        <f>MAX(IF(INDEX('Pace of change parameters'!$E$29:$I$29,1,$B$5)=1,MAX(AB201,Z201),Z201),L201)</f>
        <v>460787.33241429232</v>
      </c>
      <c r="AD201" s="97">
        <f t="shared" si="42"/>
        <v>5.2328207719438691E-2</v>
      </c>
      <c r="AE201" s="146">
        <v>4.3142140557947073E-2</v>
      </c>
      <c r="AF201" s="56">
        <f t="shared" si="39"/>
        <v>460787.33241429232</v>
      </c>
      <c r="AG201" s="56">
        <v>1508.1820224368216</v>
      </c>
      <c r="AH201" s="16">
        <f t="shared" si="30"/>
        <v>5.2328207719438691E-2</v>
      </c>
      <c r="AI201" s="16">
        <f t="shared" si="31"/>
        <v>4.3142140557947295E-2</v>
      </c>
      <c r="AJ201" s="56"/>
      <c r="AK201" s="56">
        <v>473010.89229834097</v>
      </c>
      <c r="AL201" s="56">
        <v>1548.1903993396982</v>
      </c>
      <c r="AM201" s="16">
        <f t="shared" si="43"/>
        <v>-2.5842026226192916E-2</v>
      </c>
      <c r="AN201" s="58">
        <f t="shared" si="44"/>
        <v>-2.5842026226192916E-2</v>
      </c>
      <c r="AP201" s="56">
        <f t="shared" si="32"/>
        <v>0</v>
      </c>
      <c r="AQ201" s="56">
        <f t="shared" si="33"/>
        <v>0</v>
      </c>
    </row>
    <row r="202" spans="1:43" x14ac:dyDescent="0.2">
      <c r="A202" s="156" t="s">
        <v>449</v>
      </c>
      <c r="B202" s="156" t="s">
        <v>450</v>
      </c>
      <c r="D202" s="68">
        <v>141664.01195702647</v>
      </c>
      <c r="E202" s="73">
        <v>1494.9769096351463</v>
      </c>
      <c r="F202" s="55"/>
      <c r="G202" s="88">
        <v>143075.28757643572</v>
      </c>
      <c r="H202" s="81">
        <v>1502.1285054565301</v>
      </c>
      <c r="I202" s="90"/>
      <c r="J202" s="103">
        <f t="shared" si="34"/>
        <v>-9.8638670822541741E-3</v>
      </c>
      <c r="K202" s="126">
        <f t="shared" si="35"/>
        <v>-4.7609747071608588E-3</v>
      </c>
      <c r="L202" s="56">
        <v>146997</v>
      </c>
      <c r="M202" s="103">
        <v>1.4255158379934185E-2</v>
      </c>
      <c r="N202" s="97">
        <f>INDEX('Pace of change parameters'!$E$22:$I$22,1,$B$5)</f>
        <v>9.0547645222140982E-3</v>
      </c>
      <c r="O202" s="108">
        <f>MAX(L202,IF(INDEX('Pace of change parameters'!$E$30:$I$30,1,$B$5)=1,(1+M202)*D202,D202))</f>
        <v>146997</v>
      </c>
      <c r="P202" s="94">
        <f>IF(K202&lt;INDEX('Pace of change parameters'!$E$18:$I$18,1,$B$5),1,IF(K202&gt;INDEX('Pace of change parameters'!$E$19:$I$19,1,$B$5),0,(K202-INDEX('Pace of change parameters'!$E$19:$I$19,1,$B$5))/(INDEX('Pace of change parameters'!$E$18:$I$18,1,$B$5)-INDEX('Pace of change parameters'!$E$19:$I$19,1,$B$5))))</f>
        <v>0.31407580187036976</v>
      </c>
      <c r="Q202" s="57">
        <v>3.5831370802584805E-2</v>
      </c>
      <c r="R202" s="57">
        <v>3.0520349158918991E-2</v>
      </c>
      <c r="S202" s="9">
        <f>MAX(IF(INDEX('Pace of change parameters'!$E$31:$I$31,1,$B$5)=1,D202*(1+Q202),D202),L202)</f>
        <v>146997</v>
      </c>
      <c r="T202" s="103">
        <f>IF(Q202&lt;INDEX('Pace of change parameters'!$E$24:$I$24,1,$B$5),INDEX('Pace of change parameters'!$E$24:$I$24,1,$B$5),Q202)</f>
        <v>3.5831370802584805E-2</v>
      </c>
      <c r="U202" s="132">
        <v>3.0520349158918991E-2</v>
      </c>
      <c r="V202" s="117">
        <f t="shared" si="36"/>
        <v>146997</v>
      </c>
      <c r="W202" s="131">
        <f>IF(J202&gt;INDEX('Pace of change parameters'!$E$26:$I$26,1,$B$5),0,IF(J202&lt;INDEX('Pace of change parameters'!$E$25:$I$25,1,$B$5),1,(J202-INDEX('Pace of change parameters'!$E$26:$I$26,1,$B$5))/(INDEX('Pace of change parameters'!$E$25:$I$25,1,$B$5)-INDEX('Pace of change parameters'!$E$26:$I$26,1,$B$5))))</f>
        <v>1</v>
      </c>
      <c r="X202" s="132">
        <f>MIN(T202, T202+(INDEX('Pace of change parameters'!$E$27:$I$27,1,$B$5)-T202)*(1-W202))</f>
        <v>3.5831370802584805E-2</v>
      </c>
      <c r="Y202" s="132">
        <v>3.0520349158918991E-2</v>
      </c>
      <c r="Z202" s="108">
        <f t="shared" si="37"/>
        <v>146997</v>
      </c>
      <c r="AA202" s="97">
        <v>-2.5000000000000001E-2</v>
      </c>
      <c r="AB202" s="99">
        <f t="shared" si="29"/>
        <v>145598.8192948089</v>
      </c>
      <c r="AC202" s="99">
        <f>MAX(IF(INDEX('Pace of change parameters'!$E$29:$I$29,1,$B$5)=1,MAX(AB202,Z202),Z202),L202)</f>
        <v>146997</v>
      </c>
      <c r="AD202" s="97">
        <f t="shared" si="42"/>
        <v>3.7645326920370481E-2</v>
      </c>
      <c r="AE202" s="146">
        <v>3.2325004573449556E-2</v>
      </c>
      <c r="AF202" s="56">
        <f t="shared" si="39"/>
        <v>146997</v>
      </c>
      <c r="AG202" s="56">
        <v>1543.302045076304</v>
      </c>
      <c r="AH202" s="16">
        <f t="shared" si="30"/>
        <v>3.7645326920370481E-2</v>
      </c>
      <c r="AI202" s="16">
        <f t="shared" si="31"/>
        <v>3.2325004573449556E-2</v>
      </c>
      <c r="AJ202" s="56"/>
      <c r="AK202" s="56">
        <v>149332.12235365016</v>
      </c>
      <c r="AL202" s="56">
        <v>1567.8181855682303</v>
      </c>
      <c r="AM202" s="16">
        <f t="shared" si="43"/>
        <v>-1.563710685180042E-2</v>
      </c>
      <c r="AN202" s="58">
        <f t="shared" si="44"/>
        <v>-1.563710685180042E-2</v>
      </c>
      <c r="AP202" s="56">
        <f t="shared" si="32"/>
        <v>1</v>
      </c>
      <c r="AQ202" s="56">
        <f t="shared" si="33"/>
        <v>0</v>
      </c>
    </row>
    <row r="203" spans="1:43" x14ac:dyDescent="0.2">
      <c r="A203" s="156" t="s">
        <v>451</v>
      </c>
      <c r="B203" s="156" t="s">
        <v>452</v>
      </c>
      <c r="D203" s="68">
        <v>168580.69623738652</v>
      </c>
      <c r="E203" s="73">
        <v>1543.2563713520742</v>
      </c>
      <c r="F203" s="55"/>
      <c r="G203" s="88">
        <v>174313.35143454562</v>
      </c>
      <c r="H203" s="81">
        <v>1577.2764403320957</v>
      </c>
      <c r="I203" s="90"/>
      <c r="J203" s="103">
        <f t="shared" si="34"/>
        <v>-3.2887068890484317E-2</v>
      </c>
      <c r="K203" s="126">
        <f t="shared" si="35"/>
        <v>-2.1568869039125804E-2</v>
      </c>
      <c r="L203" s="56">
        <v>174978</v>
      </c>
      <c r="M203" s="103">
        <v>2.0863812998823228E-2</v>
      </c>
      <c r="N203" s="97">
        <f>INDEX('Pace of change parameters'!$E$22:$I$22,1,$B$5)</f>
        <v>9.0547645222140982E-3</v>
      </c>
      <c r="O203" s="108">
        <f>MAX(L203,IF(INDEX('Pace of change parameters'!$E$30:$I$30,1,$B$5)=1,(1+M203)*D203,D203))</f>
        <v>174978</v>
      </c>
      <c r="P203" s="94">
        <f>IF(K203&lt;INDEX('Pace of change parameters'!$E$18:$I$18,1,$B$5),1,IF(K203&gt;INDEX('Pace of change parameters'!$E$19:$I$19,1,$B$5),0,(K203-INDEX('Pace of change parameters'!$E$19:$I$19,1,$B$5))/(INDEX('Pace of change parameters'!$E$18:$I$18,1,$B$5)-INDEX('Pace of change parameters'!$E$19:$I$19,1,$B$5))))</f>
        <v>0.46730667370886864</v>
      </c>
      <c r="Q203" s="57">
        <v>5.3175772778900177E-2</v>
      </c>
      <c r="R203" s="57">
        <v>4.0992949177187654E-2</v>
      </c>
      <c r="S203" s="9">
        <f>MAX(IF(INDEX('Pace of change parameters'!$E$31:$I$31,1,$B$5)=1,D203*(1+Q203),D203),L203)</f>
        <v>177545.10503541457</v>
      </c>
      <c r="T203" s="103">
        <f>IF(Q203&lt;INDEX('Pace of change parameters'!$E$24:$I$24,1,$B$5),INDEX('Pace of change parameters'!$E$24:$I$24,1,$B$5),Q203)</f>
        <v>5.3175772778900177E-2</v>
      </c>
      <c r="U203" s="132">
        <v>4.0992949177187654E-2</v>
      </c>
      <c r="V203" s="117">
        <f t="shared" si="36"/>
        <v>177545.10503541457</v>
      </c>
      <c r="W203" s="131">
        <f>IF(J203&gt;INDEX('Pace of change parameters'!$E$26:$I$26,1,$B$5),0,IF(J203&lt;INDEX('Pace of change parameters'!$E$25:$I$25,1,$B$5),1,(J203-INDEX('Pace of change parameters'!$E$26:$I$26,1,$B$5))/(INDEX('Pace of change parameters'!$E$25:$I$25,1,$B$5)-INDEX('Pace of change parameters'!$E$26:$I$26,1,$B$5))))</f>
        <v>1</v>
      </c>
      <c r="X203" s="132">
        <f>MIN(T203, T203+(INDEX('Pace of change parameters'!$E$27:$I$27,1,$B$5)-T203)*(1-W203))</f>
        <v>5.3175772778900177E-2</v>
      </c>
      <c r="Y203" s="132">
        <v>4.0992949177187654E-2</v>
      </c>
      <c r="Z203" s="108">
        <f t="shared" si="37"/>
        <v>177545.10503541457</v>
      </c>
      <c r="AA203" s="97">
        <v>-2.8728434468601627E-2</v>
      </c>
      <c r="AB203" s="99">
        <f t="shared" si="29"/>
        <v>176651.49373773849</v>
      </c>
      <c r="AC203" s="99">
        <f>MAX(IF(INDEX('Pace of change parameters'!$E$29:$I$29,1,$B$5)=1,MAX(AB203,Z203),Z203),L203)</f>
        <v>177545.10503541457</v>
      </c>
      <c r="AD203" s="97">
        <f t="shared" si="42"/>
        <v>5.3175772778900177E-2</v>
      </c>
      <c r="AE203" s="146">
        <v>4.0992949177187654E-2</v>
      </c>
      <c r="AF203" s="56">
        <f t="shared" si="39"/>
        <v>177545.10503541457</v>
      </c>
      <c r="AG203" s="56">
        <v>1606.5190013502809</v>
      </c>
      <c r="AH203" s="16">
        <f t="shared" si="30"/>
        <v>5.3175772778900177E-2</v>
      </c>
      <c r="AI203" s="16">
        <f t="shared" si="31"/>
        <v>4.0992949177187654E-2</v>
      </c>
      <c r="AJ203" s="56"/>
      <c r="AK203" s="56">
        <v>181876.52146605321</v>
      </c>
      <c r="AL203" s="56">
        <v>1645.7118746046226</v>
      </c>
      <c r="AM203" s="16">
        <f t="shared" si="43"/>
        <v>-2.3815148847824652E-2</v>
      </c>
      <c r="AN203" s="58">
        <f t="shared" si="44"/>
        <v>-2.3815148847824763E-2</v>
      </c>
      <c r="AP203" s="56">
        <f t="shared" si="32"/>
        <v>0</v>
      </c>
      <c r="AQ203" s="56">
        <f t="shared" si="33"/>
        <v>0</v>
      </c>
    </row>
    <row r="204" spans="1:43" x14ac:dyDescent="0.2">
      <c r="A204" s="156" t="s">
        <v>453</v>
      </c>
      <c r="B204" s="156" t="s">
        <v>454</v>
      </c>
      <c r="D204" s="68">
        <v>255574.64114397336</v>
      </c>
      <c r="E204" s="73">
        <v>1778.6034291200283</v>
      </c>
      <c r="F204" s="55"/>
      <c r="G204" s="88">
        <v>255131.60308548162</v>
      </c>
      <c r="H204" s="81">
        <v>1760.5148003671129</v>
      </c>
      <c r="I204" s="90"/>
      <c r="J204" s="103">
        <f t="shared" si="34"/>
        <v>1.7365079556346252E-3</v>
      </c>
      <c r="K204" s="126">
        <f t="shared" si="35"/>
        <v>1.0274624643396013E-2</v>
      </c>
      <c r="L204" s="56">
        <v>265502</v>
      </c>
      <c r="M204" s="103">
        <v>1.7655257022397564E-2</v>
      </c>
      <c r="N204" s="97">
        <f>INDEX('Pace of change parameters'!$E$22:$I$22,1,$B$5)</f>
        <v>9.0547645222140982E-3</v>
      </c>
      <c r="O204" s="108">
        <f>MAX(L204,IF(INDEX('Pace of change parameters'!$E$30:$I$30,1,$B$5)=1,(1+M204)*D204,D204))</f>
        <v>265502</v>
      </c>
      <c r="P204" s="94">
        <f>IF(K204&lt;INDEX('Pace of change parameters'!$E$18:$I$18,1,$B$5),1,IF(K204&gt;INDEX('Pace of change parameters'!$E$19:$I$19,1,$B$5),0,(K204-INDEX('Pace of change parameters'!$E$19:$I$19,1,$B$5))/(INDEX('Pace of change parameters'!$E$18:$I$18,1,$B$5)-INDEX('Pace of change parameters'!$E$19:$I$19,1,$B$5))))</f>
        <v>0.17700223681834248</v>
      </c>
      <c r="Q204" s="57">
        <v>2.9855625342338765E-2</v>
      </c>
      <c r="R204" s="57">
        <v>2.1152024077658593E-2</v>
      </c>
      <c r="S204" s="9">
        <f>MAX(IF(INDEX('Pace of change parameters'!$E$31:$I$31,1,$B$5)=1,D204*(1+Q204),D204),L204)</f>
        <v>265502</v>
      </c>
      <c r="T204" s="103">
        <f>IF(Q204&lt;INDEX('Pace of change parameters'!$E$24:$I$24,1,$B$5),INDEX('Pace of change parameters'!$E$24:$I$24,1,$B$5),Q204)</f>
        <v>3.0386941478720321E-2</v>
      </c>
      <c r="U204" s="132">
        <v>2.1678849911047404E-2</v>
      </c>
      <c r="V204" s="117">
        <f t="shared" si="36"/>
        <v>265502</v>
      </c>
      <c r="W204" s="131">
        <f>IF(J204&gt;INDEX('Pace of change parameters'!$E$26:$I$26,1,$B$5),0,IF(J204&lt;INDEX('Pace of change parameters'!$E$25:$I$25,1,$B$5),1,(J204-INDEX('Pace of change parameters'!$E$26:$I$26,1,$B$5))/(INDEX('Pace of change parameters'!$E$25:$I$25,1,$B$5)-INDEX('Pace of change parameters'!$E$26:$I$26,1,$B$5))))</f>
        <v>1</v>
      </c>
      <c r="X204" s="132">
        <f>MIN(T204, T204+(INDEX('Pace of change parameters'!$E$27:$I$27,1,$B$5)-T204)*(1-W204))</f>
        <v>3.0386941478720321E-2</v>
      </c>
      <c r="Y204" s="132">
        <v>2.1678849911047404E-2</v>
      </c>
      <c r="Z204" s="108">
        <f t="shared" si="37"/>
        <v>265502</v>
      </c>
      <c r="AA204" s="97">
        <v>-2.5000000000000001E-2</v>
      </c>
      <c r="AB204" s="99">
        <f t="shared" ref="AB204:AB220" si="45">(1+AA204)*AK204</f>
        <v>259571.75119578376</v>
      </c>
      <c r="AC204" s="99">
        <f>MAX(IF(INDEX('Pace of change parameters'!$E$29:$I$29,1,$B$5)=1,MAX(AB204,Z204),Z204),L204)</f>
        <v>265502</v>
      </c>
      <c r="AD204" s="97">
        <f t="shared" si="42"/>
        <v>3.8843285905013625E-2</v>
      </c>
      <c r="AE204" s="146">
        <v>3.006372737805818E-2</v>
      </c>
      <c r="AF204" s="56">
        <f t="shared" si="39"/>
        <v>265502</v>
      </c>
      <c r="AG204" s="56">
        <v>1832.0748777267727</v>
      </c>
      <c r="AH204" s="16">
        <f t="shared" ref="AH204:AH220" si="46">AF204/D204 - 1</f>
        <v>3.8843285905013625E-2</v>
      </c>
      <c r="AI204" s="16">
        <f t="shared" ref="AI204:AI220" si="47">AG204/E204 - 1</f>
        <v>3.0063727378058402E-2</v>
      </c>
      <c r="AJ204" s="56"/>
      <c r="AK204" s="56">
        <v>266227.43712388078</v>
      </c>
      <c r="AL204" s="56">
        <v>1837.0806973817369</v>
      </c>
      <c r="AM204" s="16">
        <f t="shared" si="43"/>
        <v>-2.7248773894901213E-3</v>
      </c>
      <c r="AN204" s="58">
        <f t="shared" si="44"/>
        <v>-2.7248773894901213E-3</v>
      </c>
      <c r="AP204" s="56">
        <f t="shared" ref="AP204:AP220" si="48">IF(AF204=L204,1,0)</f>
        <v>1</v>
      </c>
      <c r="AQ204" s="56">
        <f t="shared" ref="AQ204:AQ220" si="49">IF(AB204=AF204,1,0)</f>
        <v>0</v>
      </c>
    </row>
    <row r="205" spans="1:43" x14ac:dyDescent="0.2">
      <c r="A205" s="156" t="s">
        <v>455</v>
      </c>
      <c r="B205" s="156" t="s">
        <v>456</v>
      </c>
      <c r="D205" s="68">
        <v>804957.42314245098</v>
      </c>
      <c r="E205" s="73">
        <v>1458.5098552328864</v>
      </c>
      <c r="F205" s="55"/>
      <c r="G205" s="88">
        <v>826542.3624202857</v>
      </c>
      <c r="H205" s="81">
        <v>1487.4337674063779</v>
      </c>
      <c r="I205" s="90"/>
      <c r="J205" s="103">
        <f t="shared" ref="J205:J220" si="50">D205/G205-1</f>
        <v>-2.6114740464880271E-2</v>
      </c>
      <c r="K205" s="126">
        <f t="shared" ref="K205:K220" si="51">E205/H205-1</f>
        <v>-1.944551267242367E-2</v>
      </c>
      <c r="L205" s="56">
        <v>853409</v>
      </c>
      <c r="M205" s="103">
        <v>1.5964835307015424E-2</v>
      </c>
      <c r="N205" s="97">
        <f>INDEX('Pace of change parameters'!$E$22:$I$22,1,$B$5)</f>
        <v>9.0547645222140982E-3</v>
      </c>
      <c r="O205" s="108">
        <f>MAX(L205,IF(INDEX('Pace of change parameters'!$E$30:$I$30,1,$B$5)=1,(1+M205)*D205,D205))</f>
        <v>853409</v>
      </c>
      <c r="P205" s="94">
        <f>IF(K205&lt;INDEX('Pace of change parameters'!$E$18:$I$18,1,$B$5),1,IF(K205&gt;INDEX('Pace of change parameters'!$E$19:$I$19,1,$B$5),0,(K205-INDEX('Pace of change parameters'!$E$19:$I$19,1,$B$5))/(INDEX('Pace of change parameters'!$E$18:$I$18,1,$B$5)-INDEX('Pace of change parameters'!$E$19:$I$19,1,$B$5))))</f>
        <v>0.44794888022995411</v>
      </c>
      <c r="Q205" s="57">
        <v>4.6789661638579449E-2</v>
      </c>
      <c r="R205" s="57">
        <v>3.9669936223540869E-2</v>
      </c>
      <c r="S205" s="9">
        <f>MAX(IF(INDEX('Pace of change parameters'!$E$31:$I$31,1,$B$5)=1,D205*(1+Q205),D205),L205)</f>
        <v>853409</v>
      </c>
      <c r="T205" s="103">
        <f>IF(Q205&lt;INDEX('Pace of change parameters'!$E$24:$I$24,1,$B$5),INDEX('Pace of change parameters'!$E$24:$I$24,1,$B$5),Q205)</f>
        <v>4.6789661638579449E-2</v>
      </c>
      <c r="U205" s="132">
        <v>3.9669936223540869E-2</v>
      </c>
      <c r="V205" s="117">
        <f t="shared" ref="V205:V220" si="52">MAX(D205*(1+T205),L205)</f>
        <v>853409</v>
      </c>
      <c r="W205" s="131">
        <f>IF(J205&gt;INDEX('Pace of change parameters'!$E$26:$I$26,1,$B$5),0,IF(J205&lt;INDEX('Pace of change parameters'!$E$25:$I$25,1,$B$5),1,(J205-INDEX('Pace of change parameters'!$E$26:$I$26,1,$B$5))/(INDEX('Pace of change parameters'!$E$25:$I$25,1,$B$5)-INDEX('Pace of change parameters'!$E$26:$I$26,1,$B$5))))</f>
        <v>1</v>
      </c>
      <c r="X205" s="132">
        <f>MIN(T205, T205+(INDEX('Pace of change parameters'!$E$27:$I$27,1,$B$5)-T205)*(1-W205))</f>
        <v>4.6789661638579449E-2</v>
      </c>
      <c r="Y205" s="132">
        <v>3.9669936223540869E-2</v>
      </c>
      <c r="Z205" s="108">
        <f t="shared" ref="Z205:Z220" si="53">MAX(D205*(1+X205),L205)</f>
        <v>853409</v>
      </c>
      <c r="AA205" s="97">
        <v>-2.6615982979423247E-2</v>
      </c>
      <c r="AB205" s="99">
        <f t="shared" si="45"/>
        <v>839065.95300613693</v>
      </c>
      <c r="AC205" s="99">
        <f>MAX(IF(INDEX('Pace of change parameters'!$E$29:$I$29,1,$B$5)=1,MAX(AB205,Z205),Z205),L205)</f>
        <v>853409</v>
      </c>
      <c r="AD205" s="97">
        <f t="shared" si="42"/>
        <v>6.0191477790713765E-2</v>
      </c>
      <c r="AE205" s="146">
        <v>5.2980600108354592E-2</v>
      </c>
      <c r="AF205" s="56">
        <f t="shared" ref="AF205:AF220" si="54">AC205</f>
        <v>853409</v>
      </c>
      <c r="AG205" s="56">
        <v>1535.7825826270741</v>
      </c>
      <c r="AH205" s="16">
        <f t="shared" si="46"/>
        <v>6.0191477790713765E-2</v>
      </c>
      <c r="AI205" s="16">
        <f t="shared" si="47"/>
        <v>5.2980600108354592E-2</v>
      </c>
      <c r="AJ205" s="56"/>
      <c r="AK205" s="56">
        <v>862009.1745233573</v>
      </c>
      <c r="AL205" s="56">
        <v>1551.2593332126962</v>
      </c>
      <c r="AM205" s="16">
        <f t="shared" si="43"/>
        <v>-9.9768944200770981E-3</v>
      </c>
      <c r="AN205" s="58">
        <f t="shared" si="44"/>
        <v>-9.9768944200769871E-3</v>
      </c>
      <c r="AP205" s="56">
        <f t="shared" si="48"/>
        <v>1</v>
      </c>
      <c r="AQ205" s="56">
        <f t="shared" si="49"/>
        <v>0</v>
      </c>
    </row>
    <row r="206" spans="1:43" x14ac:dyDescent="0.2">
      <c r="A206" s="156" t="s">
        <v>457</v>
      </c>
      <c r="B206" s="156" t="s">
        <v>458</v>
      </c>
      <c r="D206" s="68">
        <v>680584.7333179838</v>
      </c>
      <c r="E206" s="73">
        <v>1428.0687765418468</v>
      </c>
      <c r="F206" s="55"/>
      <c r="G206" s="88">
        <v>705271.41541204636</v>
      </c>
      <c r="H206" s="81">
        <v>1465.514970063067</v>
      </c>
      <c r="I206" s="90"/>
      <c r="J206" s="103">
        <f t="shared" si="50"/>
        <v>-3.5003094630794984E-2</v>
      </c>
      <c r="K206" s="126">
        <f t="shared" si="51"/>
        <v>-2.5551559885880093E-2</v>
      </c>
      <c r="L206" s="56">
        <v>708163</v>
      </c>
      <c r="M206" s="103">
        <v>1.8937818149991958E-2</v>
      </c>
      <c r="N206" s="97">
        <f>INDEX('Pace of change parameters'!$E$22:$I$22,1,$B$5)</f>
        <v>9.0547645222140982E-3</v>
      </c>
      <c r="O206" s="108">
        <f>MAX(L206,IF(INDEX('Pace of change parameters'!$E$30:$I$30,1,$B$5)=1,(1+M206)*D206,D206))</f>
        <v>708163</v>
      </c>
      <c r="P206" s="94">
        <f>IF(K206&lt;INDEX('Pace of change parameters'!$E$18:$I$18,1,$B$5),1,IF(K206&gt;INDEX('Pace of change parameters'!$E$19:$I$19,1,$B$5),0,(K206-INDEX('Pace of change parameters'!$E$19:$I$19,1,$B$5))/(INDEX('Pace of change parameters'!$E$18:$I$18,1,$B$5)-INDEX('Pace of change parameters'!$E$19:$I$19,1,$B$5))))</f>
        <v>0.50361527838344511</v>
      </c>
      <c r="Q206" s="57">
        <v>5.3694642194173747E-2</v>
      </c>
      <c r="R206" s="57">
        <v>4.3474469313541375E-2</v>
      </c>
      <c r="S206" s="9">
        <f>MAX(IF(INDEX('Pace of change parameters'!$E$31:$I$31,1,$B$5)=1,D206*(1+Q206),D206),L206)</f>
        <v>717128.48705631006</v>
      </c>
      <c r="T206" s="103">
        <f>IF(Q206&lt;INDEX('Pace of change parameters'!$E$24:$I$24,1,$B$5),INDEX('Pace of change parameters'!$E$24:$I$24,1,$B$5),Q206)</f>
        <v>5.3694642194173747E-2</v>
      </c>
      <c r="U206" s="132">
        <v>4.3474469313541375E-2</v>
      </c>
      <c r="V206" s="117">
        <f t="shared" si="52"/>
        <v>717128.48705631006</v>
      </c>
      <c r="W206" s="131">
        <f>IF(J206&gt;INDEX('Pace of change parameters'!$E$26:$I$26,1,$B$5),0,IF(J206&lt;INDEX('Pace of change parameters'!$E$25:$I$25,1,$B$5),1,(J206-INDEX('Pace of change parameters'!$E$26:$I$26,1,$B$5))/(INDEX('Pace of change parameters'!$E$25:$I$25,1,$B$5)-INDEX('Pace of change parameters'!$E$26:$I$26,1,$B$5))))</f>
        <v>1</v>
      </c>
      <c r="X206" s="132">
        <f>MIN(T206, T206+(INDEX('Pace of change parameters'!$E$27:$I$27,1,$B$5)-T206)*(1-W206))</f>
        <v>5.3694642194173747E-2</v>
      </c>
      <c r="Y206" s="132">
        <v>4.3474469313541375E-2</v>
      </c>
      <c r="Z206" s="108">
        <f t="shared" si="53"/>
        <v>717128.48705631006</v>
      </c>
      <c r="AA206" s="97">
        <v>-3.2687307524542075E-2</v>
      </c>
      <c r="AB206" s="99">
        <f t="shared" si="45"/>
        <v>712196.4105835536</v>
      </c>
      <c r="AC206" s="99">
        <f>MAX(IF(INDEX('Pace of change parameters'!$E$29:$I$29,1,$B$5)=1,MAX(AB206,Z206),Z206),L206)</f>
        <v>717128.48705631006</v>
      </c>
      <c r="AD206" s="97">
        <f t="shared" si="42"/>
        <v>5.3694642194173747E-2</v>
      </c>
      <c r="AE206" s="146">
        <v>4.3474469313541375E-2</v>
      </c>
      <c r="AF206" s="56">
        <f t="shared" si="54"/>
        <v>717128.48705631006</v>
      </c>
      <c r="AG206" s="56">
        <v>1490.1533087452419</v>
      </c>
      <c r="AH206" s="16">
        <f t="shared" si="46"/>
        <v>5.3694642194173747E-2</v>
      </c>
      <c r="AI206" s="16">
        <f t="shared" si="47"/>
        <v>4.3474469313541375E-2</v>
      </c>
      <c r="AJ206" s="56"/>
      <c r="AK206" s="56">
        <v>736262.86114468926</v>
      </c>
      <c r="AL206" s="56">
        <v>1529.9134791654812</v>
      </c>
      <c r="AM206" s="16">
        <f t="shared" si="43"/>
        <v>-2.5988509129240112E-2</v>
      </c>
      <c r="AN206" s="58">
        <f t="shared" si="44"/>
        <v>-2.598850912923989E-2</v>
      </c>
      <c r="AP206" s="56">
        <f t="shared" si="48"/>
        <v>0</v>
      </c>
      <c r="AQ206" s="56">
        <f t="shared" si="49"/>
        <v>0</v>
      </c>
    </row>
    <row r="207" spans="1:43" x14ac:dyDescent="0.2">
      <c r="A207" s="156" t="s">
        <v>459</v>
      </c>
      <c r="B207" s="156" t="s">
        <v>460</v>
      </c>
      <c r="D207" s="68">
        <v>202543.74217055921</v>
      </c>
      <c r="E207" s="73">
        <v>1332.1915716502403</v>
      </c>
      <c r="F207" s="55"/>
      <c r="G207" s="88">
        <v>212532.41192634398</v>
      </c>
      <c r="H207" s="81">
        <v>1385.950709973828</v>
      </c>
      <c r="I207" s="90"/>
      <c r="J207" s="103">
        <f t="shared" si="50"/>
        <v>-4.6998336231400262E-2</v>
      </c>
      <c r="K207" s="126">
        <f t="shared" si="51"/>
        <v>-3.8788636519838993E-2</v>
      </c>
      <c r="L207" s="56">
        <v>212649</v>
      </c>
      <c r="M207" s="103">
        <v>1.774733760386904E-2</v>
      </c>
      <c r="N207" s="97">
        <f>INDEX('Pace of change parameters'!$E$22:$I$22,1,$B$5)</f>
        <v>9.0547645222140982E-3</v>
      </c>
      <c r="O207" s="108">
        <f>MAX(L207,IF(INDEX('Pace of change parameters'!$E$30:$I$30,1,$B$5)=1,(1+M207)*D207,D207))</f>
        <v>212649</v>
      </c>
      <c r="P207" s="94">
        <f>IF(K207&lt;INDEX('Pace of change parameters'!$E$18:$I$18,1,$B$5),1,IF(K207&gt;INDEX('Pace of change parameters'!$E$19:$I$19,1,$B$5),0,(K207-INDEX('Pace of change parameters'!$E$19:$I$19,1,$B$5))/(INDEX('Pace of change parameters'!$E$18:$I$18,1,$B$5)-INDEX('Pace of change parameters'!$E$19:$I$19,1,$B$5))))</f>
        <v>0.6242924288434587</v>
      </c>
      <c r="Q207" s="57">
        <v>6.0782312084229018E-2</v>
      </c>
      <c r="R207" s="57">
        <v>5.1722177578519268E-2</v>
      </c>
      <c r="S207" s="9">
        <f>MAX(IF(INDEX('Pace of change parameters'!$E$31:$I$31,1,$B$5)=1,D207*(1+Q207),D207),L207)</f>
        <v>214854.81911787775</v>
      </c>
      <c r="T207" s="103">
        <f>IF(Q207&lt;INDEX('Pace of change parameters'!$E$24:$I$24,1,$B$5),INDEX('Pace of change parameters'!$E$24:$I$24,1,$B$5),Q207)</f>
        <v>6.0782312084229018E-2</v>
      </c>
      <c r="U207" s="132">
        <v>5.1722177578519268E-2</v>
      </c>
      <c r="V207" s="117">
        <f t="shared" si="52"/>
        <v>214854.81911787775</v>
      </c>
      <c r="W207" s="131">
        <f>IF(J207&gt;INDEX('Pace of change parameters'!$E$26:$I$26,1,$B$5),0,IF(J207&lt;INDEX('Pace of change parameters'!$E$25:$I$25,1,$B$5),1,(J207-INDEX('Pace of change parameters'!$E$26:$I$26,1,$B$5))/(INDEX('Pace of change parameters'!$E$25:$I$25,1,$B$5)-INDEX('Pace of change parameters'!$E$26:$I$26,1,$B$5))))</f>
        <v>1</v>
      </c>
      <c r="X207" s="132">
        <f>MIN(T207, T207+(INDEX('Pace of change parameters'!$E$27:$I$27,1,$B$5)-T207)*(1-W207))</f>
        <v>6.0782312084229018E-2</v>
      </c>
      <c r="Y207" s="132">
        <v>5.1722177578519268E-2</v>
      </c>
      <c r="Z207" s="108">
        <f t="shared" si="53"/>
        <v>214854.81911787775</v>
      </c>
      <c r="AA207" s="97">
        <v>-4.5820508845313634E-2</v>
      </c>
      <c r="AB207" s="99">
        <f t="shared" si="45"/>
        <v>211529.90819633604</v>
      </c>
      <c r="AC207" s="99">
        <f>MAX(IF(INDEX('Pace of change parameters'!$E$29:$I$29,1,$B$5)=1,MAX(AB207,Z207),Z207),L207)</f>
        <v>214854.81911787775</v>
      </c>
      <c r="AD207" s="97">
        <f t="shared" si="42"/>
        <v>6.0782312084229018E-2</v>
      </c>
      <c r="AE207" s="146">
        <v>5.1722177578519268E-2</v>
      </c>
      <c r="AF207" s="56">
        <f t="shared" si="54"/>
        <v>214854.81911787775</v>
      </c>
      <c r="AG207" s="56">
        <v>1401.0954206877404</v>
      </c>
      <c r="AH207" s="16">
        <f t="shared" si="46"/>
        <v>6.0782312084229018E-2</v>
      </c>
      <c r="AI207" s="16">
        <f t="shared" si="47"/>
        <v>5.1722177578519046E-2</v>
      </c>
      <c r="AJ207" s="56"/>
      <c r="AK207" s="56">
        <v>221687.7538840792</v>
      </c>
      <c r="AL207" s="56">
        <v>1445.6538515858181</v>
      </c>
      <c r="AM207" s="16">
        <f t="shared" si="43"/>
        <v>-3.0822337483623063E-2</v>
      </c>
      <c r="AN207" s="58">
        <f t="shared" si="44"/>
        <v>-3.0822337483623063E-2</v>
      </c>
      <c r="AP207" s="56">
        <f t="shared" si="48"/>
        <v>0</v>
      </c>
      <c r="AQ207" s="56">
        <f t="shared" si="49"/>
        <v>0</v>
      </c>
    </row>
    <row r="208" spans="1:43" x14ac:dyDescent="0.2">
      <c r="A208" s="156" t="s">
        <v>461</v>
      </c>
      <c r="B208" s="156" t="s">
        <v>462</v>
      </c>
      <c r="D208" s="68">
        <v>207379.71043540692</v>
      </c>
      <c r="E208" s="73">
        <v>1299.135560802905</v>
      </c>
      <c r="F208" s="55"/>
      <c r="G208" s="88">
        <v>207814.38200217354</v>
      </c>
      <c r="H208" s="81">
        <v>1288.7623433449255</v>
      </c>
      <c r="I208" s="90"/>
      <c r="J208" s="103">
        <f t="shared" si="50"/>
        <v>-2.0916337097500737E-3</v>
      </c>
      <c r="K208" s="126">
        <f t="shared" si="51"/>
        <v>8.048976222455595E-3</v>
      </c>
      <c r="L208" s="56">
        <v>215076</v>
      </c>
      <c r="M208" s="103">
        <v>1.9308642646608032E-2</v>
      </c>
      <c r="N208" s="97">
        <f>INDEX('Pace of change parameters'!$E$22:$I$22,1,$B$5)</f>
        <v>9.0547645222140982E-3</v>
      </c>
      <c r="O208" s="108">
        <f>MAX(L208,IF(INDEX('Pace of change parameters'!$E$30:$I$30,1,$B$5)=1,(1+M208)*D208,D208))</f>
        <v>215076</v>
      </c>
      <c r="P208" s="94">
        <f>IF(K208&lt;INDEX('Pace of change parameters'!$E$18:$I$18,1,$B$5),1,IF(K208&gt;INDEX('Pace of change parameters'!$E$19:$I$19,1,$B$5),0,(K208-INDEX('Pace of change parameters'!$E$19:$I$19,1,$B$5))/(INDEX('Pace of change parameters'!$E$18:$I$18,1,$B$5)-INDEX('Pace of change parameters'!$E$19:$I$19,1,$B$5))))</f>
        <v>0.19729258617507889</v>
      </c>
      <c r="Q208" s="57">
        <v>3.2929673576088225E-2</v>
      </c>
      <c r="R208" s="57">
        <v>2.2538772782371153E-2</v>
      </c>
      <c r="S208" s="9">
        <f>MAX(IF(INDEX('Pace of change parameters'!$E$31:$I$31,1,$B$5)=1,D208*(1+Q208),D208),L208)</f>
        <v>215076</v>
      </c>
      <c r="T208" s="103">
        <f>IF(Q208&lt;INDEX('Pace of change parameters'!$E$24:$I$24,1,$B$5),INDEX('Pace of change parameters'!$E$24:$I$24,1,$B$5),Q208)</f>
        <v>3.2929673576088225E-2</v>
      </c>
      <c r="U208" s="132">
        <v>2.2538772782371153E-2</v>
      </c>
      <c r="V208" s="117">
        <f t="shared" si="52"/>
        <v>215076</v>
      </c>
      <c r="W208" s="131">
        <f>IF(J208&gt;INDEX('Pace of change parameters'!$E$26:$I$26,1,$B$5),0,IF(J208&lt;INDEX('Pace of change parameters'!$E$25:$I$25,1,$B$5),1,(J208-INDEX('Pace of change parameters'!$E$26:$I$26,1,$B$5))/(INDEX('Pace of change parameters'!$E$25:$I$25,1,$B$5)-INDEX('Pace of change parameters'!$E$26:$I$26,1,$B$5))))</f>
        <v>1</v>
      </c>
      <c r="X208" s="132">
        <f>MIN(T208, T208+(INDEX('Pace of change parameters'!$E$27:$I$27,1,$B$5)-T208)*(1-W208))</f>
        <v>3.2929673576088225E-2</v>
      </c>
      <c r="Y208" s="132">
        <v>2.2538772782371153E-2</v>
      </c>
      <c r="Z208" s="108">
        <f t="shared" si="53"/>
        <v>215076</v>
      </c>
      <c r="AA208" s="97">
        <v>-2.5000000000000001E-2</v>
      </c>
      <c r="AB208" s="99">
        <f t="shared" si="45"/>
        <v>211291.7528863356</v>
      </c>
      <c r="AC208" s="99">
        <f>MAX(IF(INDEX('Pace of change parameters'!$E$29:$I$29,1,$B$5)=1,MAX(AB208,Z208),Z208),L208)</f>
        <v>215076</v>
      </c>
      <c r="AD208" s="97">
        <f t="shared" si="42"/>
        <v>3.7112066307905645E-2</v>
      </c>
      <c r="AE208" s="146">
        <v>2.6679092148432559E-2</v>
      </c>
      <c r="AF208" s="56">
        <f t="shared" si="54"/>
        <v>215076</v>
      </c>
      <c r="AG208" s="56">
        <v>1333.7953181428711</v>
      </c>
      <c r="AH208" s="16">
        <f t="shared" si="46"/>
        <v>3.7112066307905645E-2</v>
      </c>
      <c r="AI208" s="16">
        <f t="shared" si="47"/>
        <v>2.6679092148432337E-2</v>
      </c>
      <c r="AJ208" s="56"/>
      <c r="AK208" s="56">
        <v>216709.49013983138</v>
      </c>
      <c r="AL208" s="56">
        <v>1343.9254186689161</v>
      </c>
      <c r="AM208" s="16">
        <f t="shared" si="43"/>
        <v>-7.5376954593792123E-3</v>
      </c>
      <c r="AN208" s="58">
        <f t="shared" si="44"/>
        <v>-7.5376954593792123E-3</v>
      </c>
      <c r="AP208" s="56">
        <f t="shared" si="48"/>
        <v>1</v>
      </c>
      <c r="AQ208" s="56">
        <f t="shared" si="49"/>
        <v>0</v>
      </c>
    </row>
    <row r="209" spans="1:43" x14ac:dyDescent="0.2">
      <c r="A209" s="156" t="s">
        <v>463</v>
      </c>
      <c r="B209" s="156" t="s">
        <v>464</v>
      </c>
      <c r="D209" s="68">
        <v>279892.38104582729</v>
      </c>
      <c r="E209" s="73">
        <v>1375.9334433478875</v>
      </c>
      <c r="F209" s="55"/>
      <c r="G209" s="88">
        <v>283329.50598032289</v>
      </c>
      <c r="H209" s="81">
        <v>1385.6979402630664</v>
      </c>
      <c r="I209" s="90"/>
      <c r="J209" s="103">
        <f t="shared" si="50"/>
        <v>-1.2131193052425382E-2</v>
      </c>
      <c r="K209" s="126">
        <f t="shared" si="51"/>
        <v>-7.0466272853989542E-3</v>
      </c>
      <c r="L209" s="56">
        <v>290262</v>
      </c>
      <c r="M209" s="103">
        <v>1.4248374520486662E-2</v>
      </c>
      <c r="N209" s="97">
        <f>INDEX('Pace of change parameters'!$E$22:$I$22,1,$B$5)</f>
        <v>9.0547645222140982E-3</v>
      </c>
      <c r="O209" s="108">
        <f>MAX(L209,IF(INDEX('Pace of change parameters'!$E$30:$I$30,1,$B$5)=1,(1+M209)*D209,D209))</f>
        <v>290262</v>
      </c>
      <c r="P209" s="94">
        <f>IF(K209&lt;INDEX('Pace of change parameters'!$E$18:$I$18,1,$B$5),1,IF(K209&gt;INDEX('Pace of change parameters'!$E$19:$I$19,1,$B$5),0,(K209-INDEX('Pace of change parameters'!$E$19:$I$19,1,$B$5))/(INDEX('Pace of change parameters'!$E$18:$I$18,1,$B$5)-INDEX('Pace of change parameters'!$E$19:$I$19,1,$B$5))))</f>
        <v>0.3349131852073931</v>
      </c>
      <c r="Q209" s="57">
        <v>3.7255908535817506E-2</v>
      </c>
      <c r="R209" s="57">
        <v>3.1944485029828718E-2</v>
      </c>
      <c r="S209" s="9">
        <f>MAX(IF(INDEX('Pace of change parameters'!$E$31:$I$31,1,$B$5)=1,D209*(1+Q209),D209),L209)</f>
        <v>290320.02599394281</v>
      </c>
      <c r="T209" s="103">
        <f>IF(Q209&lt;INDEX('Pace of change parameters'!$E$24:$I$24,1,$B$5),INDEX('Pace of change parameters'!$E$24:$I$24,1,$B$5),Q209)</f>
        <v>3.7255908535817506E-2</v>
      </c>
      <c r="U209" s="132">
        <v>3.1944485029828718E-2</v>
      </c>
      <c r="V209" s="117">
        <f t="shared" si="52"/>
        <v>290320.02599394281</v>
      </c>
      <c r="W209" s="131">
        <f>IF(J209&gt;INDEX('Pace of change parameters'!$E$26:$I$26,1,$B$5),0,IF(J209&lt;INDEX('Pace of change parameters'!$E$25:$I$25,1,$B$5),1,(J209-INDEX('Pace of change parameters'!$E$26:$I$26,1,$B$5))/(INDEX('Pace of change parameters'!$E$25:$I$25,1,$B$5)-INDEX('Pace of change parameters'!$E$26:$I$26,1,$B$5))))</f>
        <v>1</v>
      </c>
      <c r="X209" s="132">
        <f>MIN(T209, T209+(INDEX('Pace of change parameters'!$E$27:$I$27,1,$B$5)-T209)*(1-W209))</f>
        <v>3.7255908535817506E-2</v>
      </c>
      <c r="Y209" s="132">
        <v>3.1944485029828718E-2</v>
      </c>
      <c r="Z209" s="108">
        <f t="shared" si="53"/>
        <v>290320.02599394281</v>
      </c>
      <c r="AA209" s="97">
        <v>-2.5000000000000001E-2</v>
      </c>
      <c r="AB209" s="99">
        <f t="shared" si="45"/>
        <v>288093.18186190294</v>
      </c>
      <c r="AC209" s="99">
        <f>MAX(IF(INDEX('Pace of change parameters'!$E$29:$I$29,1,$B$5)=1,MAX(AB209,Z209),Z209),L209)</f>
        <v>290320.02599394281</v>
      </c>
      <c r="AD209" s="97">
        <f t="shared" si="42"/>
        <v>3.7255908535817506E-2</v>
      </c>
      <c r="AE209" s="146">
        <v>3.1944485029828718E-2</v>
      </c>
      <c r="AF209" s="56">
        <f t="shared" si="54"/>
        <v>290320.02599394281</v>
      </c>
      <c r="AG209" s="56">
        <v>1419.8869286309548</v>
      </c>
      <c r="AH209" s="16">
        <f t="shared" si="46"/>
        <v>3.7255908535817506E-2</v>
      </c>
      <c r="AI209" s="16">
        <f t="shared" si="47"/>
        <v>3.1944485029828718E-2</v>
      </c>
      <c r="AJ209" s="56"/>
      <c r="AK209" s="56">
        <v>295480.18652502866</v>
      </c>
      <c r="AL209" s="56">
        <v>1445.124059492465</v>
      </c>
      <c r="AM209" s="16">
        <f t="shared" si="43"/>
        <v>-1.7463643135506079E-2</v>
      </c>
      <c r="AN209" s="58">
        <f t="shared" si="44"/>
        <v>-1.7463643135506079E-2</v>
      </c>
      <c r="AP209" s="56">
        <f t="shared" si="48"/>
        <v>0</v>
      </c>
      <c r="AQ209" s="56">
        <f t="shared" si="49"/>
        <v>0</v>
      </c>
    </row>
    <row r="210" spans="1:43" x14ac:dyDescent="0.2">
      <c r="A210" s="156" t="s">
        <v>465</v>
      </c>
      <c r="B210" s="156" t="s">
        <v>466</v>
      </c>
      <c r="D210" s="68">
        <v>735211.53699669917</v>
      </c>
      <c r="E210" s="73">
        <v>1504.6601101395129</v>
      </c>
      <c r="F210" s="55"/>
      <c r="G210" s="88">
        <v>718796.42952792277</v>
      </c>
      <c r="H210" s="81">
        <v>1455.8971955922195</v>
      </c>
      <c r="I210" s="90"/>
      <c r="J210" s="103">
        <f t="shared" si="50"/>
        <v>2.2836935180044149E-2</v>
      </c>
      <c r="K210" s="126">
        <f t="shared" si="51"/>
        <v>3.349337761960447E-2</v>
      </c>
      <c r="L210" s="56">
        <v>764413</v>
      </c>
      <c r="M210" s="103">
        <v>1.9567617203469778E-2</v>
      </c>
      <c r="N210" s="97">
        <f>INDEX('Pace of change parameters'!$E$22:$I$22,1,$B$5)</f>
        <v>9.0547645222140982E-3</v>
      </c>
      <c r="O210" s="108">
        <f>MAX(L210,IF(INDEX('Pace of change parameters'!$E$30:$I$30,1,$B$5)=1,(1+M210)*D210,D210))</f>
        <v>764413</v>
      </c>
      <c r="P210" s="94">
        <f>IF(K210&lt;INDEX('Pace of change parameters'!$E$18:$I$18,1,$B$5),1,IF(K210&gt;INDEX('Pace of change parameters'!$E$19:$I$19,1,$B$5),0,(K210-INDEX('Pace of change parameters'!$E$19:$I$19,1,$B$5))/(INDEX('Pace of change parameters'!$E$18:$I$18,1,$B$5)-INDEX('Pace of change parameters'!$E$19:$I$19,1,$B$5))))</f>
        <v>0</v>
      </c>
      <c r="Q210" s="57">
        <v>1.9567617203469778E-2</v>
      </c>
      <c r="R210" s="57">
        <v>9.0547645222140982E-3</v>
      </c>
      <c r="S210" s="9">
        <f>MAX(IF(INDEX('Pace of change parameters'!$E$31:$I$31,1,$B$5)=1,D210*(1+Q210),D210),L210)</f>
        <v>764413</v>
      </c>
      <c r="T210" s="103">
        <f>IF(Q210&lt;INDEX('Pace of change parameters'!$E$24:$I$24,1,$B$5),INDEX('Pace of change parameters'!$E$24:$I$24,1,$B$5),Q210)</f>
        <v>3.0386941478720321E-2</v>
      </c>
      <c r="U210" s="132">
        <v>1.9762529779409066E-2</v>
      </c>
      <c r="V210" s="117">
        <f t="shared" si="52"/>
        <v>764413</v>
      </c>
      <c r="W210" s="131">
        <f>IF(J210&gt;INDEX('Pace of change parameters'!$E$26:$I$26,1,$B$5),0,IF(J210&lt;INDEX('Pace of change parameters'!$E$25:$I$25,1,$B$5),1,(J210-INDEX('Pace of change parameters'!$E$26:$I$26,1,$B$5))/(INDEX('Pace of change parameters'!$E$25:$I$25,1,$B$5)-INDEX('Pace of change parameters'!$E$26:$I$26,1,$B$5))))</f>
        <v>1</v>
      </c>
      <c r="X210" s="132">
        <f>MIN(T210, T210+(INDEX('Pace of change parameters'!$E$27:$I$27,1,$B$5)-T210)*(1-W210))</f>
        <v>3.0386941478720321E-2</v>
      </c>
      <c r="Y210" s="132">
        <v>1.9762529779409066E-2</v>
      </c>
      <c r="Z210" s="108">
        <f t="shared" si="53"/>
        <v>764413</v>
      </c>
      <c r="AA210" s="97">
        <v>-2.5000000000000001E-2</v>
      </c>
      <c r="AB210" s="99">
        <f t="shared" si="45"/>
        <v>731928.22110917966</v>
      </c>
      <c r="AC210" s="99">
        <f>MAX(IF(INDEX('Pace of change parameters'!$E$29:$I$29,1,$B$5)=1,MAX(AB210,Z210),Z210),L210)</f>
        <v>764413</v>
      </c>
      <c r="AD210" s="97">
        <f t="shared" si="42"/>
        <v>3.9718450451127651E-2</v>
      </c>
      <c r="AE210" s="146">
        <v>2.8997820730112478E-2</v>
      </c>
      <c r="AF210" s="56">
        <f t="shared" si="54"/>
        <v>764413</v>
      </c>
      <c r="AG210" s="56">
        <v>1548.2919742730896</v>
      </c>
      <c r="AH210" s="16">
        <f t="shared" si="46"/>
        <v>3.9718450451127651E-2</v>
      </c>
      <c r="AI210" s="16">
        <f t="shared" si="47"/>
        <v>2.8997820730112478E-2</v>
      </c>
      <c r="AJ210" s="56"/>
      <c r="AK210" s="56">
        <v>750695.61139403039</v>
      </c>
      <c r="AL210" s="56">
        <v>1520.5078802210419</v>
      </c>
      <c r="AM210" s="16">
        <f t="shared" si="43"/>
        <v>1.8272903687949649E-2</v>
      </c>
      <c r="AN210" s="58">
        <f t="shared" si="44"/>
        <v>1.8272903687949871E-2</v>
      </c>
      <c r="AP210" s="56">
        <f t="shared" si="48"/>
        <v>1</v>
      </c>
      <c r="AQ210" s="56">
        <f t="shared" si="49"/>
        <v>0</v>
      </c>
    </row>
    <row r="211" spans="1:43" x14ac:dyDescent="0.2">
      <c r="A211" s="156" t="s">
        <v>467</v>
      </c>
      <c r="B211" s="156" t="s">
        <v>468</v>
      </c>
      <c r="D211" s="68">
        <v>1245365.267917979</v>
      </c>
      <c r="E211" s="73">
        <v>1582.7447138715531</v>
      </c>
      <c r="F211" s="55"/>
      <c r="G211" s="88">
        <v>1234151.3958019579</v>
      </c>
      <c r="H211" s="81">
        <v>1559.2475350111295</v>
      </c>
      <c r="I211" s="90"/>
      <c r="J211" s="103">
        <f t="shared" si="50"/>
        <v>9.0863018541855745E-3</v>
      </c>
      <c r="K211" s="126">
        <f t="shared" si="51"/>
        <v>1.5069562935211556E-2</v>
      </c>
      <c r="L211" s="56">
        <v>1291335</v>
      </c>
      <c r="M211" s="103">
        <v>1.5037838606260179E-2</v>
      </c>
      <c r="N211" s="97">
        <f>INDEX('Pace of change parameters'!$E$22:$I$22,1,$B$5)</f>
        <v>9.0547645222140982E-3</v>
      </c>
      <c r="O211" s="108">
        <f>MAX(L211,IF(INDEX('Pace of change parameters'!$E$30:$I$30,1,$B$5)=1,(1+M211)*D211,D211))</f>
        <v>1291335</v>
      </c>
      <c r="P211" s="94">
        <f>IF(K211&lt;INDEX('Pace of change parameters'!$E$18:$I$18,1,$B$5),1,IF(K211&gt;INDEX('Pace of change parameters'!$E$19:$I$19,1,$B$5),0,(K211-INDEX('Pace of change parameters'!$E$19:$I$19,1,$B$5))/(INDEX('Pace of change parameters'!$E$18:$I$18,1,$B$5)-INDEX('Pace of change parameters'!$E$19:$I$19,1,$B$5))))</f>
        <v>0.13328869600499996</v>
      </c>
      <c r="Q211" s="57">
        <v>2.4201500526482844E-2</v>
      </c>
      <c r="R211" s="57">
        <v>1.8164411837202854E-2</v>
      </c>
      <c r="S211" s="9">
        <f>MAX(IF(INDEX('Pace of change parameters'!$E$31:$I$31,1,$B$5)=1,D211*(1+Q211),D211),L211)</f>
        <v>1291335</v>
      </c>
      <c r="T211" s="103">
        <f>IF(Q211&lt;INDEX('Pace of change parameters'!$E$24:$I$24,1,$B$5),INDEX('Pace of change parameters'!$E$24:$I$24,1,$B$5),Q211)</f>
        <v>3.0386941478720321E-2</v>
      </c>
      <c r="U211" s="132">
        <v>2.4313393112714854E-2</v>
      </c>
      <c r="V211" s="117">
        <f t="shared" si="52"/>
        <v>1291335</v>
      </c>
      <c r="W211" s="131">
        <f>IF(J211&gt;INDEX('Pace of change parameters'!$E$26:$I$26,1,$B$5),0,IF(J211&lt;INDEX('Pace of change parameters'!$E$25:$I$25,1,$B$5),1,(J211-INDEX('Pace of change parameters'!$E$26:$I$26,1,$B$5))/(INDEX('Pace of change parameters'!$E$25:$I$25,1,$B$5)-INDEX('Pace of change parameters'!$E$26:$I$26,1,$B$5))))</f>
        <v>1</v>
      </c>
      <c r="X211" s="132">
        <f>MIN(T211, T211+(INDEX('Pace of change parameters'!$E$27:$I$27,1,$B$5)-T211)*(1-W211))</f>
        <v>3.0386941478720321E-2</v>
      </c>
      <c r="Y211" s="132">
        <v>2.4313393112714854E-2</v>
      </c>
      <c r="Z211" s="108">
        <f t="shared" si="53"/>
        <v>1291335</v>
      </c>
      <c r="AA211" s="97">
        <v>-2.5000000000000001E-2</v>
      </c>
      <c r="AB211" s="99">
        <f t="shared" si="45"/>
        <v>1254617.7996445126</v>
      </c>
      <c r="AC211" s="99">
        <f>MAX(IF(INDEX('Pace of change parameters'!$E$29:$I$29,1,$B$5)=1,MAX(AB211,Z211),Z211),L211)</f>
        <v>1291335</v>
      </c>
      <c r="AD211" s="97">
        <f t="shared" si="42"/>
        <v>3.6912649859646374E-2</v>
      </c>
      <c r="AE211" s="146">
        <v>3.0800636132834569E-2</v>
      </c>
      <c r="AF211" s="56">
        <f t="shared" si="54"/>
        <v>1291335</v>
      </c>
      <c r="AG211" s="56">
        <v>1631.4942578946784</v>
      </c>
      <c r="AH211" s="16">
        <f t="shared" si="46"/>
        <v>3.6912649859646374E-2</v>
      </c>
      <c r="AI211" s="16">
        <f t="shared" si="47"/>
        <v>3.0800636132834791E-2</v>
      </c>
      <c r="AJ211" s="56"/>
      <c r="AK211" s="56">
        <v>1286787.4868148847</v>
      </c>
      <c r="AL211" s="56">
        <v>1625.7488536043772</v>
      </c>
      <c r="AM211" s="16">
        <f t="shared" si="43"/>
        <v>3.5340048234160371E-3</v>
      </c>
      <c r="AN211" s="58">
        <f t="shared" si="44"/>
        <v>3.5340048234162591E-3</v>
      </c>
      <c r="AP211" s="56">
        <f t="shared" si="48"/>
        <v>1</v>
      </c>
      <c r="AQ211" s="56">
        <f t="shared" si="49"/>
        <v>0</v>
      </c>
    </row>
    <row r="212" spans="1:43" x14ac:dyDescent="0.2">
      <c r="A212" s="156" t="s">
        <v>469</v>
      </c>
      <c r="B212" s="156" t="s">
        <v>470</v>
      </c>
      <c r="D212" s="68">
        <v>916557.52020234393</v>
      </c>
      <c r="E212" s="73">
        <v>1442.5798290769706</v>
      </c>
      <c r="F212" s="55"/>
      <c r="G212" s="88">
        <v>918423.97084250604</v>
      </c>
      <c r="H212" s="81">
        <v>1435.4832721181986</v>
      </c>
      <c r="I212" s="90"/>
      <c r="J212" s="103">
        <f t="shared" si="50"/>
        <v>-2.0322320621161127E-3</v>
      </c>
      <c r="K212" s="126">
        <f t="shared" si="51"/>
        <v>4.9436709550090274E-3</v>
      </c>
      <c r="L212" s="56">
        <v>950959</v>
      </c>
      <c r="M212" s="103">
        <v>1.6108166848844085E-2</v>
      </c>
      <c r="N212" s="97">
        <f>INDEX('Pace of change parameters'!$E$22:$I$22,1,$B$5)</f>
        <v>9.0547645222140982E-3</v>
      </c>
      <c r="O212" s="108">
        <f>MAX(L212,IF(INDEX('Pace of change parameters'!$E$30:$I$30,1,$B$5)=1,(1+M212)*D212,D212))</f>
        <v>950959</v>
      </c>
      <c r="P212" s="94">
        <f>IF(K212&lt;INDEX('Pace of change parameters'!$E$18:$I$18,1,$B$5),1,IF(K212&gt;INDEX('Pace of change parameters'!$E$19:$I$19,1,$B$5),0,(K212-INDEX('Pace of change parameters'!$E$19:$I$19,1,$B$5))/(INDEX('Pace of change parameters'!$E$18:$I$18,1,$B$5)-INDEX('Pace of change parameters'!$E$19:$I$19,1,$B$5))))</f>
        <v>0.22560241630951747</v>
      </c>
      <c r="Q212" s="57">
        <v>3.1634796552801214E-2</v>
      </c>
      <c r="R212" s="57">
        <v>2.4473614789245479E-2</v>
      </c>
      <c r="S212" s="9">
        <f>MAX(IF(INDEX('Pace of change parameters'!$E$31:$I$31,1,$B$5)=1,D212*(1+Q212),D212),L212)</f>
        <v>950959</v>
      </c>
      <c r="T212" s="103">
        <f>IF(Q212&lt;INDEX('Pace of change parameters'!$E$24:$I$24,1,$B$5),INDEX('Pace of change parameters'!$E$24:$I$24,1,$B$5),Q212)</f>
        <v>3.1634796552801214E-2</v>
      </c>
      <c r="U212" s="132">
        <v>2.4473614789245479E-2</v>
      </c>
      <c r="V212" s="117">
        <f t="shared" si="52"/>
        <v>950959</v>
      </c>
      <c r="W212" s="131">
        <f>IF(J212&gt;INDEX('Pace of change parameters'!$E$26:$I$26,1,$B$5),0,IF(J212&lt;INDEX('Pace of change parameters'!$E$25:$I$25,1,$B$5),1,(J212-INDEX('Pace of change parameters'!$E$26:$I$26,1,$B$5))/(INDEX('Pace of change parameters'!$E$25:$I$25,1,$B$5)-INDEX('Pace of change parameters'!$E$26:$I$26,1,$B$5))))</f>
        <v>1</v>
      </c>
      <c r="X212" s="132">
        <f>MIN(T212, T212+(INDEX('Pace of change parameters'!$E$27:$I$27,1,$B$5)-T212)*(1-W212))</f>
        <v>3.1634796552801214E-2</v>
      </c>
      <c r="Y212" s="132">
        <v>2.4473614789245479E-2</v>
      </c>
      <c r="Z212" s="108">
        <f t="shared" si="53"/>
        <v>950959</v>
      </c>
      <c r="AA212" s="97">
        <v>-2.5000000000000001E-2</v>
      </c>
      <c r="AB212" s="99">
        <f t="shared" si="45"/>
        <v>934033.15320822783</v>
      </c>
      <c r="AC212" s="99">
        <f>MAX(IF(INDEX('Pace of change parameters'!$E$29:$I$29,1,$B$5)=1,MAX(AB212,Z212),Z212),L212)</f>
        <v>950959</v>
      </c>
      <c r="AD212" s="97">
        <f t="shared" si="42"/>
        <v>3.7533356106293603E-2</v>
      </c>
      <c r="AE212" s="146">
        <v>3.0331228983734082E-2</v>
      </c>
      <c r="AF212" s="56">
        <f t="shared" si="54"/>
        <v>950959</v>
      </c>
      <c r="AG212" s="56">
        <v>1486.3350482000201</v>
      </c>
      <c r="AH212" s="16">
        <f t="shared" si="46"/>
        <v>3.7533356106293603E-2</v>
      </c>
      <c r="AI212" s="16">
        <f t="shared" si="47"/>
        <v>3.0331228983734082E-2</v>
      </c>
      <c r="AJ212" s="56"/>
      <c r="AK212" s="56">
        <v>957982.72123920801</v>
      </c>
      <c r="AL212" s="56">
        <v>1497.3130220628489</v>
      </c>
      <c r="AM212" s="16">
        <f t="shared" si="43"/>
        <v>-7.3317828009699104E-3</v>
      </c>
      <c r="AN212" s="58">
        <f t="shared" si="44"/>
        <v>-7.3317828009700214E-3</v>
      </c>
      <c r="AP212" s="56">
        <f t="shared" si="48"/>
        <v>1</v>
      </c>
      <c r="AQ212" s="56">
        <f t="shared" si="49"/>
        <v>0</v>
      </c>
    </row>
    <row r="213" spans="1:43" x14ac:dyDescent="0.2">
      <c r="A213" s="156" t="s">
        <v>471</v>
      </c>
      <c r="B213" s="156" t="s">
        <v>472</v>
      </c>
      <c r="D213" s="68">
        <v>912433.52951643476</v>
      </c>
      <c r="E213" s="73">
        <v>1627.6220529268735</v>
      </c>
      <c r="F213" s="55"/>
      <c r="G213" s="88">
        <v>886232.60157508345</v>
      </c>
      <c r="H213" s="81">
        <v>1567.8655905034982</v>
      </c>
      <c r="I213" s="90"/>
      <c r="J213" s="103">
        <f t="shared" si="50"/>
        <v>2.9564391893036834E-2</v>
      </c>
      <c r="K213" s="126">
        <f t="shared" si="51"/>
        <v>3.811325587175185E-2</v>
      </c>
      <c r="L213" s="56">
        <v>946039</v>
      </c>
      <c r="M213" s="103">
        <v>1.7433329279211929E-2</v>
      </c>
      <c r="N213" s="97">
        <f>INDEX('Pace of change parameters'!$E$22:$I$22,1,$B$5)</f>
        <v>9.0547645222140982E-3</v>
      </c>
      <c r="O213" s="108">
        <f>MAX(L213,IF(INDEX('Pace of change parameters'!$E$30:$I$30,1,$B$5)=1,(1+M213)*D213,D213))</f>
        <v>946039</v>
      </c>
      <c r="P213" s="94">
        <f>IF(K213&lt;INDEX('Pace of change parameters'!$E$18:$I$18,1,$B$5),1,IF(K213&gt;INDEX('Pace of change parameters'!$E$19:$I$19,1,$B$5),0,(K213-INDEX('Pace of change parameters'!$E$19:$I$19,1,$B$5))/(INDEX('Pace of change parameters'!$E$18:$I$18,1,$B$5)-INDEX('Pace of change parameters'!$E$19:$I$19,1,$B$5))))</f>
        <v>0</v>
      </c>
      <c r="Q213" s="57">
        <v>1.7433329279211929E-2</v>
      </c>
      <c r="R213" s="57">
        <v>9.0547645222140982E-3</v>
      </c>
      <c r="S213" s="9">
        <f>MAX(IF(INDEX('Pace of change parameters'!$E$31:$I$31,1,$B$5)=1,D213*(1+Q213),D213),L213)</f>
        <v>946039</v>
      </c>
      <c r="T213" s="103">
        <f>IF(Q213&lt;INDEX('Pace of change parameters'!$E$24:$I$24,1,$B$5),INDEX('Pace of change parameters'!$E$24:$I$24,1,$B$5),Q213)</f>
        <v>3.0386941478720321E-2</v>
      </c>
      <c r="U213" s="132">
        <v>2.1901703708830933E-2</v>
      </c>
      <c r="V213" s="117">
        <f t="shared" si="52"/>
        <v>946039</v>
      </c>
      <c r="W213" s="131">
        <f>IF(J213&gt;INDEX('Pace of change parameters'!$E$26:$I$26,1,$B$5),0,IF(J213&lt;INDEX('Pace of change parameters'!$E$25:$I$25,1,$B$5),1,(J213-INDEX('Pace of change parameters'!$E$26:$I$26,1,$B$5))/(INDEX('Pace of change parameters'!$E$25:$I$25,1,$B$5)-INDEX('Pace of change parameters'!$E$26:$I$26,1,$B$5))))</f>
        <v>1</v>
      </c>
      <c r="X213" s="132">
        <f>MIN(T213, T213+(INDEX('Pace of change parameters'!$E$27:$I$27,1,$B$5)-T213)*(1-W213))</f>
        <v>3.0386941478720321E-2</v>
      </c>
      <c r="Y213" s="132">
        <v>2.1901703708830933E-2</v>
      </c>
      <c r="Z213" s="108">
        <f t="shared" si="53"/>
        <v>946039</v>
      </c>
      <c r="AA213" s="97">
        <v>-2.5000000000000001E-2</v>
      </c>
      <c r="AB213" s="99">
        <f t="shared" si="45"/>
        <v>901275.55415565299</v>
      </c>
      <c r="AC213" s="99">
        <f>MAX(IF(INDEX('Pace of change parameters'!$E$29:$I$29,1,$B$5)=1,MAX(AB213,Z213),Z213),L213)</f>
        <v>946039</v>
      </c>
      <c r="AD213" s="97">
        <f t="shared" si="42"/>
        <v>3.683059576008274E-2</v>
      </c>
      <c r="AE213" s="146">
        <v>2.8292294489013825E-2</v>
      </c>
      <c r="AF213" s="56">
        <f t="shared" si="54"/>
        <v>946039</v>
      </c>
      <c r="AG213" s="56">
        <v>1673.6712153650938</v>
      </c>
      <c r="AH213" s="16">
        <f t="shared" si="46"/>
        <v>3.683059576008274E-2</v>
      </c>
      <c r="AI213" s="16">
        <f t="shared" si="47"/>
        <v>2.8292294489013825E-2</v>
      </c>
      <c r="AJ213" s="56"/>
      <c r="AK213" s="56">
        <v>924385.18374938774</v>
      </c>
      <c r="AL213" s="56">
        <v>1635.3626794998127</v>
      </c>
      <c r="AM213" s="16">
        <f t="shared" si="43"/>
        <v>2.3425100954974631E-2</v>
      </c>
      <c r="AN213" s="58">
        <f t="shared" si="44"/>
        <v>2.3425100954974631E-2</v>
      </c>
      <c r="AP213" s="56">
        <f t="shared" si="48"/>
        <v>1</v>
      </c>
      <c r="AQ213" s="56">
        <f t="shared" si="49"/>
        <v>0</v>
      </c>
    </row>
    <row r="214" spans="1:43" x14ac:dyDescent="0.2">
      <c r="A214" s="156" t="s">
        <v>473</v>
      </c>
      <c r="B214" s="156" t="s">
        <v>474</v>
      </c>
      <c r="D214" s="68">
        <v>339781.38472686091</v>
      </c>
      <c r="E214" s="73">
        <v>1575.6881131833652</v>
      </c>
      <c r="F214" s="55"/>
      <c r="G214" s="88">
        <v>339156.01031543966</v>
      </c>
      <c r="H214" s="81">
        <v>1556.9873977544439</v>
      </c>
      <c r="I214" s="90"/>
      <c r="J214" s="103">
        <f t="shared" si="50"/>
        <v>1.8439136928152244E-3</v>
      </c>
      <c r="K214" s="126">
        <f t="shared" si="51"/>
        <v>1.2010832878861066E-2</v>
      </c>
      <c r="L214" s="56">
        <v>352725</v>
      </c>
      <c r="M214" s="103">
        <v>1.9294860913454448E-2</v>
      </c>
      <c r="N214" s="97">
        <f>INDEX('Pace of change parameters'!$E$22:$I$22,1,$B$5)</f>
        <v>9.0547645222140982E-3</v>
      </c>
      <c r="O214" s="108">
        <f>MAX(L214,IF(INDEX('Pace of change parameters'!$E$30:$I$30,1,$B$5)=1,(1+M214)*D214,D214))</f>
        <v>352725</v>
      </c>
      <c r="P214" s="94">
        <f>IF(K214&lt;INDEX('Pace of change parameters'!$E$18:$I$18,1,$B$5),1,IF(K214&gt;INDEX('Pace of change parameters'!$E$19:$I$19,1,$B$5),0,(K214-INDEX('Pace of change parameters'!$E$19:$I$19,1,$B$5))/(INDEX('Pace of change parameters'!$E$18:$I$18,1,$B$5)-INDEX('Pace of change parameters'!$E$19:$I$19,1,$B$5))))</f>
        <v>0.16117391850796731</v>
      </c>
      <c r="Q214" s="57">
        <v>3.0422117588018605E-2</v>
      </c>
      <c r="R214" s="57">
        <v>2.0070233935518544E-2</v>
      </c>
      <c r="S214" s="9">
        <f>MAX(IF(INDEX('Pace of change parameters'!$E$31:$I$31,1,$B$5)=1,D214*(1+Q214),D214),L214)</f>
        <v>352725</v>
      </c>
      <c r="T214" s="103">
        <f>IF(Q214&lt;INDEX('Pace of change parameters'!$E$24:$I$24,1,$B$5),INDEX('Pace of change parameters'!$E$24:$I$24,1,$B$5),Q214)</f>
        <v>3.0422117588018605E-2</v>
      </c>
      <c r="U214" s="132">
        <v>2.0070233935518544E-2</v>
      </c>
      <c r="V214" s="117">
        <f t="shared" si="52"/>
        <v>352725</v>
      </c>
      <c r="W214" s="131">
        <f>IF(J214&gt;INDEX('Pace of change parameters'!$E$26:$I$26,1,$B$5),0,IF(J214&lt;INDEX('Pace of change parameters'!$E$25:$I$25,1,$B$5),1,(J214-INDEX('Pace of change parameters'!$E$26:$I$26,1,$B$5))/(INDEX('Pace of change parameters'!$E$25:$I$25,1,$B$5)-INDEX('Pace of change parameters'!$E$26:$I$26,1,$B$5))))</f>
        <v>1</v>
      </c>
      <c r="X214" s="132">
        <f>MIN(T214, T214+(INDEX('Pace of change parameters'!$E$27:$I$27,1,$B$5)-T214)*(1-W214))</f>
        <v>3.0422117588018605E-2</v>
      </c>
      <c r="Y214" s="132">
        <v>2.0070233935518544E-2</v>
      </c>
      <c r="Z214" s="108">
        <f t="shared" si="53"/>
        <v>352725</v>
      </c>
      <c r="AA214" s="97">
        <v>-2.5000000000000001E-2</v>
      </c>
      <c r="AB214" s="99">
        <f t="shared" si="45"/>
        <v>344935.73385734408</v>
      </c>
      <c r="AC214" s="99">
        <f>MAX(IF(INDEX('Pace of change parameters'!$E$29:$I$29,1,$B$5)=1,MAX(AB214,Z214),Z214),L214)</f>
        <v>352725</v>
      </c>
      <c r="AD214" s="97">
        <f t="shared" si="42"/>
        <v>3.8093950566314927E-2</v>
      </c>
      <c r="AE214" s="146">
        <v>2.7664993721152387E-2</v>
      </c>
      <c r="AF214" s="56">
        <f t="shared" si="54"/>
        <v>352725</v>
      </c>
      <c r="AG214" s="56">
        <v>1619.2795149410777</v>
      </c>
      <c r="AH214" s="16">
        <f t="shared" si="46"/>
        <v>3.8093950566314927E-2</v>
      </c>
      <c r="AI214" s="16">
        <f t="shared" si="47"/>
        <v>2.7664993721152609E-2</v>
      </c>
      <c r="AJ214" s="56"/>
      <c r="AK214" s="56">
        <v>353780.23985368625</v>
      </c>
      <c r="AL214" s="56">
        <v>1624.123878902871</v>
      </c>
      <c r="AM214" s="16">
        <f t="shared" si="43"/>
        <v>-2.9827552101910904E-3</v>
      </c>
      <c r="AN214" s="58">
        <f t="shared" si="44"/>
        <v>-2.9827552101910904E-3</v>
      </c>
      <c r="AP214" s="56">
        <f t="shared" si="48"/>
        <v>1</v>
      </c>
      <c r="AQ214" s="56">
        <f t="shared" si="49"/>
        <v>0</v>
      </c>
    </row>
    <row r="215" spans="1:43" x14ac:dyDescent="0.2">
      <c r="A215" s="156" t="s">
        <v>475</v>
      </c>
      <c r="B215" s="156" t="s">
        <v>476</v>
      </c>
      <c r="D215" s="68">
        <v>1420108.3659397389</v>
      </c>
      <c r="E215" s="73">
        <v>1574.8499747596752</v>
      </c>
      <c r="F215" s="55"/>
      <c r="G215" s="88">
        <v>1408142.0201847157</v>
      </c>
      <c r="H215" s="81">
        <v>1553.5062158001126</v>
      </c>
      <c r="I215" s="90"/>
      <c r="J215" s="103">
        <f t="shared" si="50"/>
        <v>8.4979679488959015E-3</v>
      </c>
      <c r="K215" s="126">
        <f t="shared" si="51"/>
        <v>1.3739088226673024E-2</v>
      </c>
      <c r="L215" s="56">
        <v>1472930</v>
      </c>
      <c r="M215" s="103">
        <v>1.4298778447676908E-2</v>
      </c>
      <c r="N215" s="97">
        <f>INDEX('Pace of change parameters'!$E$22:$I$22,1,$B$5)</f>
        <v>9.0547645222140982E-3</v>
      </c>
      <c r="O215" s="108">
        <f>MAX(L215,IF(INDEX('Pace of change parameters'!$E$30:$I$30,1,$B$5)=1,(1+M215)*D215,D215))</f>
        <v>1472930</v>
      </c>
      <c r="P215" s="94">
        <f>IF(K215&lt;INDEX('Pace of change parameters'!$E$18:$I$18,1,$B$5),1,IF(K215&gt;INDEX('Pace of change parameters'!$E$19:$I$19,1,$B$5),0,(K215-INDEX('Pace of change parameters'!$E$19:$I$19,1,$B$5))/(INDEX('Pace of change parameters'!$E$18:$I$18,1,$B$5)-INDEX('Pace of change parameters'!$E$19:$I$19,1,$B$5))))</f>
        <v>0.14541810350375581</v>
      </c>
      <c r="Q215" s="57">
        <v>2.4289063627728646E-2</v>
      </c>
      <c r="R215" s="57">
        <v>1.8993399048911286E-2</v>
      </c>
      <c r="S215" s="9">
        <f>MAX(IF(INDEX('Pace of change parameters'!$E$31:$I$31,1,$B$5)=1,D215*(1+Q215),D215),L215)</f>
        <v>1472930</v>
      </c>
      <c r="T215" s="103">
        <f>IF(Q215&lt;INDEX('Pace of change parameters'!$E$24:$I$24,1,$B$5),INDEX('Pace of change parameters'!$E$24:$I$24,1,$B$5),Q215)</f>
        <v>3.0386941478720321E-2</v>
      </c>
      <c r="U215" s="132">
        <v>2.5059750334904818E-2</v>
      </c>
      <c r="V215" s="117">
        <f t="shared" si="52"/>
        <v>1472930</v>
      </c>
      <c r="W215" s="131">
        <f>IF(J215&gt;INDEX('Pace of change parameters'!$E$26:$I$26,1,$B$5),0,IF(J215&lt;INDEX('Pace of change parameters'!$E$25:$I$25,1,$B$5),1,(J215-INDEX('Pace of change parameters'!$E$26:$I$26,1,$B$5))/(INDEX('Pace of change parameters'!$E$25:$I$25,1,$B$5)-INDEX('Pace of change parameters'!$E$26:$I$26,1,$B$5))))</f>
        <v>1</v>
      </c>
      <c r="X215" s="132">
        <f>MIN(T215, T215+(INDEX('Pace of change parameters'!$E$27:$I$27,1,$B$5)-T215)*(1-W215))</f>
        <v>3.0386941478720321E-2</v>
      </c>
      <c r="Y215" s="132">
        <v>2.5059750334904818E-2</v>
      </c>
      <c r="Z215" s="108">
        <f t="shared" si="53"/>
        <v>1472930</v>
      </c>
      <c r="AA215" s="97">
        <v>-2.5000000000000001E-2</v>
      </c>
      <c r="AB215" s="99">
        <f t="shared" si="45"/>
        <v>1432406.9581767244</v>
      </c>
      <c r="AC215" s="99">
        <f>MAX(IF(INDEX('Pace of change parameters'!$E$29:$I$29,1,$B$5)=1,MAX(AB215,Z215),Z215),L215)</f>
        <v>1472930</v>
      </c>
      <c r="AD215" s="97">
        <f t="shared" si="42"/>
        <v>3.7195495306660664E-2</v>
      </c>
      <c r="AE215" s="146">
        <v>3.1833103340518809E-2</v>
      </c>
      <c r="AF215" s="56">
        <f t="shared" si="54"/>
        <v>1472930</v>
      </c>
      <c r="AG215" s="56">
        <v>1624.9823367520132</v>
      </c>
      <c r="AH215" s="16">
        <f t="shared" si="46"/>
        <v>3.7195495306660664E-2</v>
      </c>
      <c r="AI215" s="16">
        <f t="shared" si="47"/>
        <v>3.1833103340518809E-2</v>
      </c>
      <c r="AJ215" s="56"/>
      <c r="AK215" s="56">
        <v>1469135.3417197173</v>
      </c>
      <c r="AL215" s="56">
        <v>1620.79595133012</v>
      </c>
      <c r="AM215" s="16">
        <f t="shared" si="43"/>
        <v>2.582919471422418E-3</v>
      </c>
      <c r="AN215" s="58">
        <f t="shared" si="44"/>
        <v>2.582919471422418E-3</v>
      </c>
      <c r="AP215" s="56">
        <f t="shared" si="48"/>
        <v>1</v>
      </c>
      <c r="AQ215" s="56">
        <f t="shared" si="49"/>
        <v>0</v>
      </c>
    </row>
    <row r="216" spans="1:43" x14ac:dyDescent="0.2">
      <c r="A216" s="156" t="s">
        <v>477</v>
      </c>
      <c r="B216" s="156" t="s">
        <v>478</v>
      </c>
      <c r="D216" s="68">
        <v>864118.87889495702</v>
      </c>
      <c r="E216" s="73">
        <v>1538.9664321638152</v>
      </c>
      <c r="F216" s="55"/>
      <c r="G216" s="88">
        <v>869410.9305062535</v>
      </c>
      <c r="H216" s="81">
        <v>1538.9043865516278</v>
      </c>
      <c r="I216" s="90"/>
      <c r="J216" s="103">
        <f t="shared" si="50"/>
        <v>-6.0869393581409748E-3</v>
      </c>
      <c r="K216" s="126">
        <f t="shared" si="51"/>
        <v>4.0318042322518011E-5</v>
      </c>
      <c r="L216" s="56">
        <v>895521</v>
      </c>
      <c r="M216" s="103">
        <v>1.5275367227041148E-2</v>
      </c>
      <c r="N216" s="97">
        <f>INDEX('Pace of change parameters'!$E$22:$I$22,1,$B$5)</f>
        <v>9.0547645222140982E-3</v>
      </c>
      <c r="O216" s="108">
        <f>MAX(L216,IF(INDEX('Pace of change parameters'!$E$30:$I$30,1,$B$5)=1,(1+M216)*D216,D216))</f>
        <v>895521</v>
      </c>
      <c r="P216" s="94">
        <f>IF(K216&lt;INDEX('Pace of change parameters'!$E$18:$I$18,1,$B$5),1,IF(K216&gt;INDEX('Pace of change parameters'!$E$19:$I$19,1,$B$5),0,(K216-INDEX('Pace of change parameters'!$E$19:$I$19,1,$B$5))/(INDEX('Pace of change parameters'!$E$18:$I$18,1,$B$5)-INDEX('Pace of change parameters'!$E$19:$I$19,1,$B$5))))</f>
        <v>0.2703043299997947</v>
      </c>
      <c r="Q216" s="57">
        <v>3.3863268575889283E-2</v>
      </c>
      <c r="R216" s="57">
        <v>2.7528777606715238E-2</v>
      </c>
      <c r="S216" s="9">
        <f>MAX(IF(INDEX('Pace of change parameters'!$E$31:$I$31,1,$B$5)=1,D216*(1+Q216),D216),L216)</f>
        <v>895521</v>
      </c>
      <c r="T216" s="103">
        <f>IF(Q216&lt;INDEX('Pace of change parameters'!$E$24:$I$24,1,$B$5),INDEX('Pace of change parameters'!$E$24:$I$24,1,$B$5),Q216)</f>
        <v>3.3863268575889283E-2</v>
      </c>
      <c r="U216" s="132">
        <v>2.7528777606715238E-2</v>
      </c>
      <c r="V216" s="117">
        <f t="shared" si="52"/>
        <v>895521</v>
      </c>
      <c r="W216" s="131">
        <f>IF(J216&gt;INDEX('Pace of change parameters'!$E$26:$I$26,1,$B$5),0,IF(J216&lt;INDEX('Pace of change parameters'!$E$25:$I$25,1,$B$5),1,(J216-INDEX('Pace of change parameters'!$E$26:$I$26,1,$B$5))/(INDEX('Pace of change parameters'!$E$25:$I$25,1,$B$5)-INDEX('Pace of change parameters'!$E$26:$I$26,1,$B$5))))</f>
        <v>1</v>
      </c>
      <c r="X216" s="132">
        <f>MIN(T216, T216+(INDEX('Pace of change parameters'!$E$27:$I$27,1,$B$5)-T216)*(1-W216))</f>
        <v>3.3863268575889283E-2</v>
      </c>
      <c r="Y216" s="132">
        <v>2.7528777606715238E-2</v>
      </c>
      <c r="Z216" s="108">
        <f t="shared" si="53"/>
        <v>895521</v>
      </c>
      <c r="AA216" s="97">
        <v>-2.5000000000000001E-2</v>
      </c>
      <c r="AB216" s="99">
        <f t="shared" si="45"/>
        <v>883993.85718173033</v>
      </c>
      <c r="AC216" s="99">
        <f>MAX(IF(INDEX('Pace of change parameters'!$E$29:$I$29,1,$B$5)=1,MAX(AB216,Z216),Z216),L216)</f>
        <v>895521</v>
      </c>
      <c r="AD216" s="97">
        <f t="shared" si="42"/>
        <v>3.6340047500408978E-2</v>
      </c>
      <c r="AE216" s="146">
        <v>2.9990381281076672E-2</v>
      </c>
      <c r="AF216" s="56">
        <f t="shared" si="54"/>
        <v>895521</v>
      </c>
      <c r="AG216" s="56">
        <v>1585.1206222431863</v>
      </c>
      <c r="AH216" s="16">
        <f t="shared" si="46"/>
        <v>3.6340047500408978E-2</v>
      </c>
      <c r="AI216" s="16">
        <f t="shared" si="47"/>
        <v>2.9990381281076672E-2</v>
      </c>
      <c r="AJ216" s="56"/>
      <c r="AK216" s="56">
        <v>906660.36634023627</v>
      </c>
      <c r="AL216" s="56">
        <v>1604.8379033618091</v>
      </c>
      <c r="AM216" s="16">
        <f t="shared" si="43"/>
        <v>-1.2286151191543415E-2</v>
      </c>
      <c r="AN216" s="58">
        <f t="shared" si="44"/>
        <v>-1.2286151191543526E-2</v>
      </c>
      <c r="AP216" s="56">
        <f t="shared" si="48"/>
        <v>1</v>
      </c>
      <c r="AQ216" s="56">
        <f t="shared" si="49"/>
        <v>0</v>
      </c>
    </row>
    <row r="217" spans="1:43" x14ac:dyDescent="0.2">
      <c r="A217" s="156" t="s">
        <v>479</v>
      </c>
      <c r="B217" s="156" t="s">
        <v>480</v>
      </c>
      <c r="D217" s="68">
        <v>485968.13821869914</v>
      </c>
      <c r="E217" s="73">
        <v>1694.9282685092344</v>
      </c>
      <c r="F217" s="55"/>
      <c r="G217" s="88">
        <v>464223.70658732753</v>
      </c>
      <c r="H217" s="81">
        <v>1611.9845844294264</v>
      </c>
      <c r="I217" s="90"/>
      <c r="J217" s="103">
        <f t="shared" si="50"/>
        <v>4.6840416210586433E-2</v>
      </c>
      <c r="K217" s="126">
        <f t="shared" si="51"/>
        <v>5.1454390371336256E-2</v>
      </c>
      <c r="L217" s="56">
        <v>500992</v>
      </c>
      <c r="M217" s="103">
        <v>1.3502197519824177E-2</v>
      </c>
      <c r="N217" s="97">
        <f>INDEX('Pace of change parameters'!$E$22:$I$22,1,$B$5)</f>
        <v>9.0547645222140982E-3</v>
      </c>
      <c r="O217" s="108">
        <f>MAX(L217,IF(INDEX('Pace of change parameters'!$E$30:$I$30,1,$B$5)=1,(1+M217)*D217,D217))</f>
        <v>500992</v>
      </c>
      <c r="P217" s="94">
        <f>IF(K217&lt;INDEX('Pace of change parameters'!$E$18:$I$18,1,$B$5),1,IF(K217&gt;INDEX('Pace of change parameters'!$E$19:$I$19,1,$B$5),0,(K217-INDEX('Pace of change parameters'!$E$19:$I$19,1,$B$5))/(INDEX('Pace of change parameters'!$E$18:$I$18,1,$B$5)-INDEX('Pace of change parameters'!$E$19:$I$19,1,$B$5))))</f>
        <v>0</v>
      </c>
      <c r="Q217" s="57">
        <v>1.3502197519824177E-2</v>
      </c>
      <c r="R217" s="57">
        <v>9.0547645222140982E-3</v>
      </c>
      <c r="S217" s="9">
        <f>MAX(IF(INDEX('Pace of change parameters'!$E$31:$I$31,1,$B$5)=1,D217*(1+Q217),D217),L217)</f>
        <v>500992</v>
      </c>
      <c r="T217" s="103">
        <f>IF(Q217&lt;INDEX('Pace of change parameters'!$E$24:$I$24,1,$B$5),INDEX('Pace of change parameters'!$E$24:$I$24,1,$B$5),Q217)</f>
        <v>3.0386941478720321E-2</v>
      </c>
      <c r="U217" s="132">
        <v>2.5865415136643088E-2</v>
      </c>
      <c r="V217" s="117">
        <f t="shared" si="52"/>
        <v>500992</v>
      </c>
      <c r="W217" s="131">
        <f>IF(J217&gt;INDEX('Pace of change parameters'!$E$26:$I$26,1,$B$5),0,IF(J217&lt;INDEX('Pace of change parameters'!$E$25:$I$25,1,$B$5),1,(J217-INDEX('Pace of change parameters'!$E$26:$I$26,1,$B$5))/(INDEX('Pace of change parameters'!$E$25:$I$25,1,$B$5)-INDEX('Pace of change parameters'!$E$26:$I$26,1,$B$5))))</f>
        <v>1</v>
      </c>
      <c r="X217" s="132">
        <f>MIN(T217, T217+(INDEX('Pace of change parameters'!$E$27:$I$27,1,$B$5)-T217)*(1-W217))</f>
        <v>3.0386941478720321E-2</v>
      </c>
      <c r="Y217" s="132">
        <v>2.5865415136643088E-2</v>
      </c>
      <c r="Z217" s="108">
        <f t="shared" si="53"/>
        <v>500992</v>
      </c>
      <c r="AA217" s="97">
        <v>-2.5000000000000001E-2</v>
      </c>
      <c r="AB217" s="99">
        <f t="shared" si="45"/>
        <v>472222.6318720089</v>
      </c>
      <c r="AC217" s="99">
        <f>MAX(IF(INDEX('Pace of change parameters'!$E$29:$I$29,1,$B$5)=1,MAX(AB217,Z217),Z217),L217)</f>
        <v>500992</v>
      </c>
      <c r="AD217" s="97">
        <f t="shared" si="42"/>
        <v>3.0915322630759912E-2</v>
      </c>
      <c r="AE217" s="146">
        <v>2.6391477655554274E-2</v>
      </c>
      <c r="AF217" s="56">
        <f t="shared" si="54"/>
        <v>500992</v>
      </c>
      <c r="AG217" s="56">
        <v>1739.6599300353632</v>
      </c>
      <c r="AH217" s="16">
        <f t="shared" si="46"/>
        <v>3.0915322630759912E-2</v>
      </c>
      <c r="AI217" s="16">
        <f t="shared" si="47"/>
        <v>2.6391477655554274E-2</v>
      </c>
      <c r="AJ217" s="56"/>
      <c r="AK217" s="56">
        <v>484330.9044841117</v>
      </c>
      <c r="AL217" s="56">
        <v>1681.8054328388357</v>
      </c>
      <c r="AM217" s="16">
        <f t="shared" si="43"/>
        <v>3.4400232076115422E-2</v>
      </c>
      <c r="AN217" s="58">
        <f t="shared" si="44"/>
        <v>3.4400232076115422E-2</v>
      </c>
      <c r="AP217" s="56">
        <f t="shared" si="48"/>
        <v>1</v>
      </c>
      <c r="AQ217" s="56">
        <f t="shared" si="49"/>
        <v>0</v>
      </c>
    </row>
    <row r="218" spans="1:43" x14ac:dyDescent="0.2">
      <c r="A218" s="156" t="s">
        <v>481</v>
      </c>
      <c r="B218" s="156" t="s">
        <v>482</v>
      </c>
      <c r="D218" s="68">
        <v>360519.2770320134</v>
      </c>
      <c r="E218" s="73">
        <v>1365.8154373672178</v>
      </c>
      <c r="F218" s="55"/>
      <c r="G218" s="88">
        <v>364807.50552247802</v>
      </c>
      <c r="H218" s="81">
        <v>1370.4976531811139</v>
      </c>
      <c r="I218" s="90"/>
      <c r="J218" s="103">
        <f t="shared" si="50"/>
        <v>-1.1754770462638953E-2</v>
      </c>
      <c r="K218" s="126">
        <f t="shared" si="51"/>
        <v>-3.4164347549432428E-3</v>
      </c>
      <c r="L218" s="56">
        <v>374193</v>
      </c>
      <c r="M218" s="103">
        <v>1.7568681030543543E-2</v>
      </c>
      <c r="N218" s="97">
        <f>INDEX('Pace of change parameters'!$E$22:$I$22,1,$B$5)</f>
        <v>9.0547645222140982E-3</v>
      </c>
      <c r="O218" s="108">
        <f>MAX(L218,IF(INDEX('Pace of change parameters'!$E$30:$I$30,1,$B$5)=1,(1+M218)*D218,D218))</f>
        <v>374193</v>
      </c>
      <c r="P218" s="94">
        <f>IF(K218&lt;INDEX('Pace of change parameters'!$E$18:$I$18,1,$B$5),1,IF(K218&gt;INDEX('Pace of change parameters'!$E$19:$I$19,1,$B$5),0,(K218-INDEX('Pace of change parameters'!$E$19:$I$19,1,$B$5))/(INDEX('Pace of change parameters'!$E$18:$I$18,1,$B$5)-INDEX('Pace of change parameters'!$E$19:$I$19,1,$B$5))))</f>
        <v>0.30181816715236798</v>
      </c>
      <c r="Q218" s="57">
        <v>3.8370562429086208E-2</v>
      </c>
      <c r="R218" s="57">
        <v>2.9682598227716461E-2</v>
      </c>
      <c r="S218" s="9">
        <f>MAX(IF(INDEX('Pace of change parameters'!$E$31:$I$31,1,$B$5)=1,D218*(1+Q218),D218),L218)</f>
        <v>374352.6044582593</v>
      </c>
      <c r="T218" s="103">
        <f>IF(Q218&lt;INDEX('Pace of change parameters'!$E$24:$I$24,1,$B$5),INDEX('Pace of change parameters'!$E$24:$I$24,1,$B$5),Q218)</f>
        <v>3.8370562429086208E-2</v>
      </c>
      <c r="U218" s="132">
        <v>2.9682598227716461E-2</v>
      </c>
      <c r="V218" s="117">
        <f t="shared" si="52"/>
        <v>374352.6044582593</v>
      </c>
      <c r="W218" s="131">
        <f>IF(J218&gt;INDEX('Pace of change parameters'!$E$26:$I$26,1,$B$5),0,IF(J218&lt;INDEX('Pace of change parameters'!$E$25:$I$25,1,$B$5),1,(J218-INDEX('Pace of change parameters'!$E$26:$I$26,1,$B$5))/(INDEX('Pace of change parameters'!$E$25:$I$25,1,$B$5)-INDEX('Pace of change parameters'!$E$26:$I$26,1,$B$5))))</f>
        <v>1</v>
      </c>
      <c r="X218" s="132">
        <f>MIN(T218, T218+(INDEX('Pace of change parameters'!$E$27:$I$27,1,$B$5)-T218)*(1-W218))</f>
        <v>3.8370562429086208E-2</v>
      </c>
      <c r="Y218" s="132">
        <v>2.9682598227716461E-2</v>
      </c>
      <c r="Z218" s="108">
        <f t="shared" si="53"/>
        <v>374352.6044582593</v>
      </c>
      <c r="AA218" s="97">
        <v>-2.5000000000000001E-2</v>
      </c>
      <c r="AB218" s="99">
        <f t="shared" si="45"/>
        <v>371196.56514789403</v>
      </c>
      <c r="AC218" s="99">
        <f>MAX(IF(INDEX('Pace of change parameters'!$E$29:$I$29,1,$B$5)=1,MAX(AB218,Z218),Z218),L218)</f>
        <v>374352.6044582593</v>
      </c>
      <c r="AD218" s="97">
        <f t="shared" si="42"/>
        <v>3.8370562429086208E-2</v>
      </c>
      <c r="AE218" s="146">
        <v>2.9682598227716461E-2</v>
      </c>
      <c r="AF218" s="56">
        <f t="shared" si="54"/>
        <v>374352.6044582593</v>
      </c>
      <c r="AG218" s="56">
        <v>1406.3563882478015</v>
      </c>
      <c r="AH218" s="16">
        <f t="shared" si="46"/>
        <v>3.8370562429086208E-2</v>
      </c>
      <c r="AI218" s="16">
        <f t="shared" si="47"/>
        <v>2.9682598227716239E-2</v>
      </c>
      <c r="AJ218" s="56"/>
      <c r="AK218" s="56">
        <v>380714.42579271185</v>
      </c>
      <c r="AL218" s="56">
        <v>1430.2562836086101</v>
      </c>
      <c r="AM218" s="16">
        <f t="shared" si="43"/>
        <v>-1.6710218745208172E-2</v>
      </c>
      <c r="AN218" s="58">
        <f t="shared" si="44"/>
        <v>-1.6710218745208394E-2</v>
      </c>
      <c r="AP218" s="56">
        <f t="shared" si="48"/>
        <v>0</v>
      </c>
      <c r="AQ218" s="56">
        <f t="shared" si="49"/>
        <v>0</v>
      </c>
    </row>
    <row r="219" spans="1:43" x14ac:dyDescent="0.2">
      <c r="A219" s="156" t="s">
        <v>483</v>
      </c>
      <c r="B219" s="156" t="s">
        <v>484</v>
      </c>
      <c r="D219" s="68">
        <v>318223.72558632138</v>
      </c>
      <c r="E219" s="73">
        <v>1376.8706676862828</v>
      </c>
      <c r="F219" s="55"/>
      <c r="G219" s="88">
        <v>325635.56731869269</v>
      </c>
      <c r="H219" s="81">
        <v>1392.385111044759</v>
      </c>
      <c r="I219" s="90"/>
      <c r="J219" s="103">
        <f t="shared" si="50"/>
        <v>-2.2761155341233019E-2</v>
      </c>
      <c r="K219" s="126">
        <f t="shared" si="51"/>
        <v>-1.1142350801808809E-2</v>
      </c>
      <c r="L219" s="56">
        <v>330295</v>
      </c>
      <c r="M219" s="103">
        <v>2.1051841943601435E-2</v>
      </c>
      <c r="N219" s="97">
        <f>INDEX('Pace of change parameters'!$E$22:$I$22,1,$B$5)</f>
        <v>9.0547645222140982E-3</v>
      </c>
      <c r="O219" s="108">
        <f>MAX(L219,IF(INDEX('Pace of change parameters'!$E$30:$I$30,1,$B$5)=1,(1+M219)*D219,D219))</f>
        <v>330295</v>
      </c>
      <c r="P219" s="94">
        <f>IF(K219&lt;INDEX('Pace of change parameters'!$E$18:$I$18,1,$B$5),1,IF(K219&gt;INDEX('Pace of change parameters'!$E$19:$I$19,1,$B$5),0,(K219-INDEX('Pace of change parameters'!$E$19:$I$19,1,$B$5))/(INDEX('Pace of change parameters'!$E$18:$I$18,1,$B$5)-INDEX('Pace of change parameters'!$E$19:$I$19,1,$B$5))))</f>
        <v>0.37225226366860065</v>
      </c>
      <c r="Q219" s="57">
        <v>4.6795997283265223E-2</v>
      </c>
      <c r="R219" s="57">
        <v>3.4496433139783456E-2</v>
      </c>
      <c r="S219" s="9">
        <f>MAX(IF(INDEX('Pace of change parameters'!$E$31:$I$31,1,$B$5)=1,D219*(1+Q219),D219),L219)</f>
        <v>333115.32218432939</v>
      </c>
      <c r="T219" s="103">
        <f>IF(Q219&lt;INDEX('Pace of change parameters'!$E$24:$I$24,1,$B$5),INDEX('Pace of change parameters'!$E$24:$I$24,1,$B$5),Q219)</f>
        <v>4.6795997283265223E-2</v>
      </c>
      <c r="U219" s="132">
        <v>3.4496433139783456E-2</v>
      </c>
      <c r="V219" s="117">
        <f t="shared" si="52"/>
        <v>333115.32218432939</v>
      </c>
      <c r="W219" s="131">
        <f>IF(J219&gt;INDEX('Pace of change parameters'!$E$26:$I$26,1,$B$5),0,IF(J219&lt;INDEX('Pace of change parameters'!$E$25:$I$25,1,$B$5),1,(J219-INDEX('Pace of change parameters'!$E$26:$I$26,1,$B$5))/(INDEX('Pace of change parameters'!$E$25:$I$25,1,$B$5)-INDEX('Pace of change parameters'!$E$26:$I$26,1,$B$5))))</f>
        <v>1</v>
      </c>
      <c r="X219" s="132">
        <f>MIN(T219, T219+(INDEX('Pace of change parameters'!$E$27:$I$27,1,$B$5)-T219)*(1-W219))</f>
        <v>4.6795997283265223E-2</v>
      </c>
      <c r="Y219" s="132">
        <v>3.4496433139783456E-2</v>
      </c>
      <c r="Z219" s="108">
        <f t="shared" si="53"/>
        <v>333115.32218432939</v>
      </c>
      <c r="AA219" s="97">
        <v>-2.5000000000000001E-2</v>
      </c>
      <c r="AB219" s="99">
        <f t="shared" si="45"/>
        <v>331198.77527828451</v>
      </c>
      <c r="AC219" s="99">
        <f>MAX(IF(INDEX('Pace of change parameters'!$E$29:$I$29,1,$B$5)=1,MAX(AB219,Z219),Z219),L219)</f>
        <v>333115.32218432939</v>
      </c>
      <c r="AD219" s="97">
        <f t="shared" si="42"/>
        <v>4.6795997283265223E-2</v>
      </c>
      <c r="AE219" s="146">
        <v>3.4496433139783456E-2</v>
      </c>
      <c r="AF219" s="56">
        <f t="shared" si="54"/>
        <v>333115.32218432939</v>
      </c>
      <c r="AG219" s="56">
        <v>1424.3677946162516</v>
      </c>
      <c r="AH219" s="16">
        <f t="shared" si="46"/>
        <v>4.6795997283265223E-2</v>
      </c>
      <c r="AI219" s="16">
        <f t="shared" si="47"/>
        <v>3.4496433139783456E-2</v>
      </c>
      <c r="AJ219" s="56"/>
      <c r="AK219" s="56">
        <v>339691.0515674713</v>
      </c>
      <c r="AL219" s="56">
        <v>1452.4849556583852</v>
      </c>
      <c r="AM219" s="16">
        <f t="shared" si="43"/>
        <v>-1.9357970581794337E-2</v>
      </c>
      <c r="AN219" s="58">
        <f t="shared" si="44"/>
        <v>-1.9357970581794115E-2</v>
      </c>
      <c r="AP219" s="56">
        <f t="shared" si="48"/>
        <v>0</v>
      </c>
      <c r="AQ219" s="56">
        <f t="shared" si="49"/>
        <v>0</v>
      </c>
    </row>
    <row r="220" spans="1:43" x14ac:dyDescent="0.2">
      <c r="A220" s="156" t="s">
        <v>485</v>
      </c>
      <c r="B220" s="156" t="s">
        <v>486</v>
      </c>
      <c r="D220" s="68">
        <v>691623.75805014535</v>
      </c>
      <c r="E220" s="73">
        <v>1423.0150959723337</v>
      </c>
      <c r="F220" s="55"/>
      <c r="G220" s="88">
        <v>724557.7731641063</v>
      </c>
      <c r="H220" s="81">
        <v>1482.2400234922068</v>
      </c>
      <c r="I220" s="90"/>
      <c r="J220" s="103">
        <f t="shared" si="50"/>
        <v>-4.545395320257184E-2</v>
      </c>
      <c r="K220" s="126">
        <f t="shared" si="51"/>
        <v>-3.9956367782012281E-2</v>
      </c>
      <c r="L220" s="56">
        <v>724428</v>
      </c>
      <c r="M220" s="103">
        <v>1.4866285905174248E-2</v>
      </c>
      <c r="N220" s="97">
        <f>INDEX('Pace of change parameters'!$E$22:$I$22,1,$B$5)</f>
        <v>9.0547645222140982E-3</v>
      </c>
      <c r="O220" s="108">
        <f>MAX(L220,IF(INDEX('Pace of change parameters'!$E$30:$I$30,1,$B$5)=1,(1+M220)*D220,D220))</f>
        <v>724428</v>
      </c>
      <c r="P220" s="94">
        <f>IF(K220&lt;INDEX('Pace of change parameters'!$E$18:$I$18,1,$B$5),1,IF(K220&gt;INDEX('Pace of change parameters'!$E$19:$I$19,1,$B$5),0,(K220-INDEX('Pace of change parameters'!$E$19:$I$19,1,$B$5))/(INDEX('Pace of change parameters'!$E$18:$I$18,1,$B$5)-INDEX('Pace of change parameters'!$E$19:$I$19,1,$B$5))))</f>
        <v>0.63493816922246571</v>
      </c>
      <c r="Q220" s="57">
        <v>5.8511212518812528E-2</v>
      </c>
      <c r="R220" s="57">
        <v>5.2449763211557698E-2</v>
      </c>
      <c r="S220" s="9">
        <f>MAX(IF(INDEX('Pace of change parameters'!$E$31:$I$31,1,$B$5)=1,D220*(1+Q220),D220),L220)</f>
        <v>732091.50274047721</v>
      </c>
      <c r="T220" s="103">
        <f>IF(Q220&lt;INDEX('Pace of change parameters'!$E$24:$I$24,1,$B$5),INDEX('Pace of change parameters'!$E$24:$I$24,1,$B$5),Q220)</f>
        <v>5.8511212518812528E-2</v>
      </c>
      <c r="U220" s="132">
        <v>5.2449763211557698E-2</v>
      </c>
      <c r="V220" s="117">
        <f t="shared" si="52"/>
        <v>732091.50274047721</v>
      </c>
      <c r="W220" s="131">
        <f>IF(J220&gt;INDEX('Pace of change parameters'!$E$26:$I$26,1,$B$5),0,IF(J220&lt;INDEX('Pace of change parameters'!$E$25:$I$25,1,$B$5),1,(J220-INDEX('Pace of change parameters'!$E$26:$I$26,1,$B$5))/(INDEX('Pace of change parameters'!$E$25:$I$25,1,$B$5)-INDEX('Pace of change parameters'!$E$26:$I$26,1,$B$5))))</f>
        <v>1</v>
      </c>
      <c r="X220" s="132">
        <f>MIN(T220, T220+(INDEX('Pace of change parameters'!$E$27:$I$27,1,$B$5)-T220)*(1-W220))</f>
        <v>5.8511212518812528E-2</v>
      </c>
      <c r="Y220" s="132">
        <v>5.2449763211557698E-2</v>
      </c>
      <c r="Z220" s="108">
        <f t="shared" si="53"/>
        <v>732091.50274047721</v>
      </c>
      <c r="AA220" s="97">
        <v>-4.6977120435312103E-2</v>
      </c>
      <c r="AB220" s="99">
        <f t="shared" si="45"/>
        <v>720157.10440974892</v>
      </c>
      <c r="AC220" s="99">
        <f>MAX(IF(INDEX('Pace of change parameters'!$E$29:$I$29,1,$B$5)=1,MAX(AB220,Z220),Z220),L220)</f>
        <v>732091.50274047721</v>
      </c>
      <c r="AD220" s="97">
        <f t="shared" si="42"/>
        <v>5.8511212518812528E-2</v>
      </c>
      <c r="AE220" s="146">
        <v>5.2449763211557698E-2</v>
      </c>
      <c r="AF220" s="56">
        <f t="shared" si="54"/>
        <v>732091.50274047721</v>
      </c>
      <c r="AG220" s="56">
        <v>1497.6519008025546</v>
      </c>
      <c r="AH220" s="16">
        <f t="shared" si="46"/>
        <v>5.8511212518812528E-2</v>
      </c>
      <c r="AI220" s="16">
        <f t="shared" si="47"/>
        <v>5.2449763211557698E-2</v>
      </c>
      <c r="AJ220" s="56"/>
      <c r="AK220" s="56">
        <v>755655.62994531146</v>
      </c>
      <c r="AL220" s="56">
        <v>1545.8574321698318</v>
      </c>
      <c r="AM220" s="16">
        <f t="shared" si="43"/>
        <v>-3.118368509547087E-2</v>
      </c>
      <c r="AN220" s="58">
        <f t="shared" si="44"/>
        <v>-3.118368509547087E-2</v>
      </c>
      <c r="AP220" s="56">
        <f t="shared" si="48"/>
        <v>0</v>
      </c>
      <c r="AQ220" s="56">
        <f t="shared" si="49"/>
        <v>0</v>
      </c>
    </row>
    <row r="221" spans="1:43" x14ac:dyDescent="0.2">
      <c r="A221" s="156"/>
      <c r="B221" s="156"/>
      <c r="D221" s="68"/>
      <c r="E221" s="73"/>
      <c r="F221" s="55"/>
      <c r="G221" s="88"/>
      <c r="H221" s="81"/>
      <c r="I221" s="90"/>
      <c r="J221" s="103"/>
      <c r="K221" s="126"/>
      <c r="L221" s="56"/>
      <c r="M221" s="103"/>
      <c r="N221" s="97"/>
      <c r="O221" s="108"/>
      <c r="P221" s="94"/>
      <c r="Q221" s="57"/>
      <c r="R221" s="57"/>
      <c r="S221" s="9"/>
      <c r="T221" s="103"/>
      <c r="U221" s="132"/>
      <c r="V221" s="117"/>
      <c r="W221" s="131"/>
      <c r="X221" s="132"/>
      <c r="Y221" s="132"/>
      <c r="Z221" s="108"/>
      <c r="AA221" s="97"/>
      <c r="AB221" s="99"/>
      <c r="AC221" s="99"/>
      <c r="AD221" s="97"/>
      <c r="AE221" s="146"/>
      <c r="AF221" s="56"/>
      <c r="AG221" s="56"/>
      <c r="AH221" s="16"/>
      <c r="AI221" s="16"/>
      <c r="AJ221" s="56"/>
      <c r="AK221" s="56"/>
      <c r="AL221" s="56"/>
      <c r="AM221" s="16"/>
      <c r="AN221" s="58"/>
      <c r="AP221" s="16"/>
      <c r="AQ221" s="16"/>
    </row>
    <row r="222" spans="1:43" s="43" customFormat="1" x14ac:dyDescent="0.2">
      <c r="A222" s="2"/>
      <c r="B222" s="59" t="s">
        <v>12</v>
      </c>
      <c r="D222" s="23">
        <f>SUM(D12:D220)</f>
        <v>88538506.675905585</v>
      </c>
      <c r="E222" s="74">
        <v>1544.3881845212816</v>
      </c>
      <c r="F222" s="60"/>
      <c r="G222" s="89">
        <f>SUM(G12:G220)</f>
        <v>88538506.67590566</v>
      </c>
      <c r="H222" s="82">
        <v>1532.9256894186631</v>
      </c>
      <c r="I222" s="154"/>
      <c r="J222" s="104">
        <f>D222/G222-1</f>
        <v>-8.8817841970012523E-16</v>
      </c>
      <c r="K222" s="127">
        <f>E222/H222-1</f>
        <v>7.4775282205397087E-3</v>
      </c>
      <c r="L222" s="24">
        <f>SUM(L12:L220)</f>
        <v>92076402</v>
      </c>
      <c r="M222" s="104">
        <f>O222/D222 - 1</f>
        <v>3.99588321163451E-2</v>
      </c>
      <c r="N222" s="26">
        <f>'Pace of change parameters'!$E$22</f>
        <v>9.0547645222140982E-3</v>
      </c>
      <c r="O222" s="109">
        <f>SUM(O12:O220)</f>
        <v>92076402</v>
      </c>
      <c r="P222" s="26"/>
      <c r="Q222" s="26">
        <f>S222/D222 - 1</f>
        <v>4.3532147438944069E-2</v>
      </c>
      <c r="R222" s="26"/>
      <c r="S222" s="109">
        <f>SUM(S12:S220)</f>
        <v>92392778.002545044</v>
      </c>
      <c r="T222" s="104">
        <f>V222/D222-1</f>
        <v>4.3762450644539541E-2</v>
      </c>
      <c r="U222" s="26"/>
      <c r="V222" s="118">
        <f>SUM(V12:V220)</f>
        <v>92413168.704451129</v>
      </c>
      <c r="W222" s="104"/>
      <c r="X222" s="26">
        <f>Z222/D222-1</f>
        <v>4.3535153838077711E-2</v>
      </c>
      <c r="Y222" s="26"/>
      <c r="Z222" s="109">
        <f>SUM(Z12:Z220)</f>
        <v>92393044.184634805</v>
      </c>
      <c r="AA222" s="29"/>
      <c r="AB222" s="29">
        <f>SUM(AB12:AB163)</f>
        <v>64561609.459950745</v>
      </c>
      <c r="AC222" s="29">
        <f>SUM(AC12:AC220)</f>
        <v>92393044.184634805</v>
      </c>
      <c r="AD222" s="26">
        <f>AC222/D222-1</f>
        <v>4.3535153838077711E-2</v>
      </c>
      <c r="AE222" s="127"/>
      <c r="AF222" s="24">
        <f>SUM(AF12:AF220)</f>
        <v>92393044.184634805</v>
      </c>
      <c r="AG222" s="61">
        <v>1599.6618451298448</v>
      </c>
      <c r="AH222" s="25">
        <f>AF222/D222 - 1</f>
        <v>4.3535153838077711E-2</v>
      </c>
      <c r="AI222" s="25">
        <f>AG222/E222 - 1</f>
        <v>3.5790004846285806E-2</v>
      </c>
      <c r="AJ222" s="21"/>
      <c r="AK222" s="24">
        <f>SUM(AK12:AK220)</f>
        <v>92393127.90849492</v>
      </c>
      <c r="AL222" s="61">
        <v>1599.6632946963757</v>
      </c>
      <c r="AM222" s="25">
        <f t="shared" ref="AM222" si="55">AF222/AK222-1</f>
        <v>-9.0616977699298218E-7</v>
      </c>
      <c r="AN222" s="62">
        <f t="shared" ref="AN222" si="56">AG222/AL222-1</f>
        <v>-9.0616977699298218E-7</v>
      </c>
      <c r="AP222" s="28">
        <f>SUM(AP12:AP220)</f>
        <v>127</v>
      </c>
      <c r="AQ222" s="28">
        <f>SUM(AQ12:AQ220)</f>
        <v>0</v>
      </c>
    </row>
    <row r="223" spans="1:43" x14ac:dyDescent="0.2">
      <c r="D223" s="13"/>
      <c r="E223" s="69"/>
      <c r="G223" s="84"/>
      <c r="H223" s="77"/>
      <c r="J223" s="125"/>
      <c r="K223" s="116"/>
      <c r="L223" s="3"/>
      <c r="M223" s="125"/>
      <c r="N223" s="15"/>
      <c r="O223" s="107"/>
      <c r="P223" s="4"/>
      <c r="Q223" s="4"/>
      <c r="R223" s="4"/>
      <c r="S223" s="4"/>
      <c r="T223" s="125"/>
      <c r="U223" s="15"/>
      <c r="V223" s="116"/>
      <c r="W223" s="125"/>
      <c r="X223" s="15"/>
      <c r="Y223" s="15"/>
      <c r="Z223" s="107"/>
      <c r="AA223" s="15"/>
      <c r="AB223" s="15"/>
      <c r="AC223" s="15"/>
      <c r="AD223" s="15"/>
      <c r="AE223" s="116"/>
      <c r="AF223" s="3"/>
      <c r="AG223" s="3"/>
      <c r="AH223" s="3"/>
      <c r="AI223" s="3"/>
      <c r="AJ223" s="3"/>
      <c r="AK223" s="3"/>
      <c r="AL223" s="3"/>
      <c r="AM223" s="3"/>
      <c r="AN223" s="4"/>
      <c r="AP223" s="3"/>
      <c r="AQ223" s="3"/>
    </row>
    <row r="224" spans="1:43" x14ac:dyDescent="0.2">
      <c r="B224" s="43" t="s">
        <v>513</v>
      </c>
      <c r="D224" s="1"/>
      <c r="AP224" s="1"/>
      <c r="AQ224" s="1"/>
    </row>
    <row r="225" spans="2:43" x14ac:dyDescent="0.2">
      <c r="D225" s="1"/>
      <c r="AP225" s="1"/>
      <c r="AQ225" s="1"/>
    </row>
    <row r="226" spans="2:43" x14ac:dyDescent="0.2">
      <c r="B226" s="1" t="s">
        <v>514</v>
      </c>
      <c r="D226" s="55">
        <v>26628325.936692845</v>
      </c>
      <c r="E226" s="166">
        <v>1662.2666125335568</v>
      </c>
      <c r="G226" s="55">
        <v>26038301.064568974</v>
      </c>
      <c r="H226" s="166">
        <v>1618.5850022298698</v>
      </c>
      <c r="J226" s="167">
        <f>D226/G226-1</f>
        <v>2.2659883632989208E-2</v>
      </c>
      <c r="K226" s="168">
        <f>E226/H226-1</f>
        <v>2.698752938122384E-2</v>
      </c>
      <c r="L226" s="55">
        <v>27621824</v>
      </c>
      <c r="M226" s="167">
        <f>O226/$D226-1</f>
        <v>3.7309820589891185E-2</v>
      </c>
      <c r="N226" s="169">
        <f>N$222</f>
        <v>9.0547645222140982E-3</v>
      </c>
      <c r="O226" s="55">
        <v>27621824</v>
      </c>
      <c r="Q226" s="167">
        <f>S226/$D226-1</f>
        <v>3.7551589740578928E-2</v>
      </c>
      <c r="R226" s="170">
        <v>3.3179427861826039E-2</v>
      </c>
      <c r="S226" s="55">
        <v>27628261.907745954</v>
      </c>
      <c r="T226" s="167">
        <f>V226/$D226-1</f>
        <v>3.7921510142910231E-2</v>
      </c>
      <c r="U226" s="170">
        <v>3.3547789448290066E-2</v>
      </c>
      <c r="V226" s="55">
        <v>27638112.268789861</v>
      </c>
      <c r="X226" s="167">
        <f>Z226/$D226-1</f>
        <v>3.755715964140327E-2</v>
      </c>
      <c r="Y226" s="170">
        <v>3.3184974291520675E-2</v>
      </c>
      <c r="Z226" s="55">
        <v>27628410.224880539</v>
      </c>
      <c r="AB226" s="55">
        <v>26432483.153061911</v>
      </c>
      <c r="AC226" s="55">
        <v>27628410.224880539</v>
      </c>
      <c r="AD226" s="167">
        <f>AC226/$D226-1</f>
        <v>3.755715964140327E-2</v>
      </c>
      <c r="AE226" s="170">
        <v>3.3184974291520675E-2</v>
      </c>
      <c r="AF226" s="55">
        <v>27628410.224880539</v>
      </c>
      <c r="AG226" s="166">
        <v>1717.4288873361361</v>
      </c>
      <c r="AH226" s="171">
        <f t="shared" ref="AH226:AI229" si="57">AF226/D226 - 1</f>
        <v>3.755715964140327E-2</v>
      </c>
      <c r="AI226" s="171">
        <f t="shared" si="57"/>
        <v>3.3184974291520675E-2</v>
      </c>
      <c r="AK226" s="55">
        <v>27161533.708415609</v>
      </c>
      <c r="AL226" s="166">
        <v>1688.4070504056253</v>
      </c>
      <c r="AM226" s="171">
        <f>AF226/AK226-1</f>
        <v>1.7188886366909184E-2</v>
      </c>
      <c r="AN226" s="170">
        <f t="shared" ref="AN226:AN229" si="58">AG226/AL226-1</f>
        <v>1.7188886366909184E-2</v>
      </c>
      <c r="AP226" s="55">
        <v>58</v>
      </c>
      <c r="AQ226" s="55">
        <v>0</v>
      </c>
    </row>
    <row r="227" spans="2:43" x14ac:dyDescent="0.2">
      <c r="B227" s="1" t="s">
        <v>515</v>
      </c>
      <c r="D227" s="55">
        <v>25761917.654267985</v>
      </c>
      <c r="E227" s="166">
        <v>1487.2531315731355</v>
      </c>
      <c r="G227" s="55">
        <v>26292016.742599715</v>
      </c>
      <c r="H227" s="166">
        <v>1506.987795280148</v>
      </c>
      <c r="J227" s="167">
        <f t="shared" ref="J227:K229" si="59">D227/G227-1</f>
        <v>-2.0161978958154081E-2</v>
      </c>
      <c r="K227" s="168">
        <f t="shared" si="59"/>
        <v>-1.3095436982848208E-2</v>
      </c>
      <c r="L227" s="55">
        <v>26798774</v>
      </c>
      <c r="M227" s="167">
        <f>O227/$D227-1</f>
        <v>4.0247638380298767E-2</v>
      </c>
      <c r="N227" s="169">
        <f t="shared" ref="N227:N229" si="60">N$222</f>
        <v>9.0547645222140982E-3</v>
      </c>
      <c r="O227" s="55">
        <v>26798774</v>
      </c>
      <c r="Q227" s="167">
        <f>S227/$D227-1</f>
        <v>4.7023325372696156E-2</v>
      </c>
      <c r="R227" s="170">
        <v>3.952631446086996E-2</v>
      </c>
      <c r="S227" s="55">
        <v>26973328.690349232</v>
      </c>
      <c r="T227" s="167">
        <f>V227/$D227-1</f>
        <v>4.7124840819746439E-2</v>
      </c>
      <c r="U227" s="170">
        <v>3.9627103025915211E-2</v>
      </c>
      <c r="V227" s="55">
        <v>26975943.922936782</v>
      </c>
      <c r="X227" s="167">
        <f>Z227/$D227-1</f>
        <v>4.7023325372696156E-2</v>
      </c>
      <c r="Y227" s="170">
        <v>3.952631446086996E-2</v>
      </c>
      <c r="Z227" s="55">
        <v>26973328.690349232</v>
      </c>
      <c r="AB227" s="55">
        <v>26533046.015724197</v>
      </c>
      <c r="AC227" s="55">
        <v>26973328.690349232</v>
      </c>
      <c r="AD227" s="167">
        <f>AC227/$D227-1</f>
        <v>4.7023325372696156E-2</v>
      </c>
      <c r="AE227" s="170">
        <v>3.952631446086996E-2</v>
      </c>
      <c r="AF227" s="55">
        <v>26973328.690349232</v>
      </c>
      <c r="AG227" s="166">
        <v>1546.0387665346088</v>
      </c>
      <c r="AH227" s="171">
        <f t="shared" si="57"/>
        <v>4.7023325372696156E-2</v>
      </c>
      <c r="AI227" s="171">
        <f t="shared" si="57"/>
        <v>3.952631446086996E-2</v>
      </c>
      <c r="AK227" s="55">
        <v>27434505.879980899</v>
      </c>
      <c r="AL227" s="166">
        <v>1572.4722046021598</v>
      </c>
      <c r="AM227" s="171">
        <f t="shared" ref="AM227:AM229" si="61">AF227/AK227-1</f>
        <v>-1.6810114665421816E-2</v>
      </c>
      <c r="AN227" s="170">
        <f t="shared" si="58"/>
        <v>-1.6810114665421816E-2</v>
      </c>
      <c r="AP227" s="55">
        <v>22</v>
      </c>
      <c r="AQ227" s="55">
        <v>0</v>
      </c>
    </row>
    <row r="228" spans="2:43" x14ac:dyDescent="0.2">
      <c r="B228" s="1" t="s">
        <v>516</v>
      </c>
      <c r="D228" s="55">
        <v>14451736.813293526</v>
      </c>
      <c r="E228" s="166">
        <v>1542.2773116004935</v>
      </c>
      <c r="G228" s="55">
        <v>14326960.619236281</v>
      </c>
      <c r="H228" s="166">
        <v>1508.5448214365842</v>
      </c>
      <c r="J228" s="167">
        <f t="shared" si="59"/>
        <v>8.7091880387883958E-3</v>
      </c>
      <c r="K228" s="168">
        <f t="shared" si="59"/>
        <v>2.2360946578826812E-2</v>
      </c>
      <c r="L228" s="55">
        <v>15039840</v>
      </c>
      <c r="M228" s="167">
        <f>O228/$D228-1</f>
        <v>4.0694291233251967E-2</v>
      </c>
      <c r="N228" s="169">
        <f t="shared" si="60"/>
        <v>9.0547645222140982E-3</v>
      </c>
      <c r="O228" s="55">
        <v>15039840</v>
      </c>
      <c r="Q228" s="167">
        <f>S228/$D228-1</f>
        <v>4.5357787781504344E-2</v>
      </c>
      <c r="R228" s="170">
        <v>3.139894853348979E-2</v>
      </c>
      <c r="S228" s="55">
        <v>15107235.624745047</v>
      </c>
      <c r="T228" s="167">
        <f>V228/$D228-1</f>
        <v>4.57520396346347E-2</v>
      </c>
      <c r="U228" s="170">
        <v>3.1787935874980855E-2</v>
      </c>
      <c r="V228" s="55">
        <v>15112933.248764642</v>
      </c>
      <c r="X228" s="167">
        <f>Z228/$D228-1</f>
        <v>4.5357787781504344E-2</v>
      </c>
      <c r="Y228" s="170">
        <v>3.139894853348979E-2</v>
      </c>
      <c r="Z228" s="55">
        <v>15107235.624745047</v>
      </c>
      <c r="AB228" s="55">
        <v>14541660.775362942</v>
      </c>
      <c r="AC228" s="55">
        <v>15107235.624745047</v>
      </c>
      <c r="AD228" s="167">
        <f>AC228/$D228-1</f>
        <v>4.5357787781504344E-2</v>
      </c>
      <c r="AE228" s="170">
        <v>3.139894853348979E-2</v>
      </c>
      <c r="AF228" s="55">
        <v>15107235.624745047</v>
      </c>
      <c r="AG228" s="166">
        <v>1590.7031975318064</v>
      </c>
      <c r="AH228" s="171">
        <f t="shared" si="57"/>
        <v>4.5357787781504344E-2</v>
      </c>
      <c r="AI228" s="171">
        <f t="shared" si="57"/>
        <v>3.139894853348979E-2</v>
      </c>
      <c r="AK228" s="55">
        <v>14968223.031785134</v>
      </c>
      <c r="AL228" s="166">
        <v>1576.06598781249</v>
      </c>
      <c r="AM228" s="171">
        <f t="shared" si="61"/>
        <v>9.2871807605163781E-3</v>
      </c>
      <c r="AN228" s="170">
        <f t="shared" si="58"/>
        <v>9.2871807605163781E-3</v>
      </c>
      <c r="AP228" s="55">
        <v>18</v>
      </c>
      <c r="AQ228" s="55">
        <v>0</v>
      </c>
    </row>
    <row r="229" spans="2:43" x14ac:dyDescent="0.2">
      <c r="B229" s="1" t="s">
        <v>517</v>
      </c>
      <c r="D229" s="55">
        <v>21696526.271651279</v>
      </c>
      <c r="E229" s="166">
        <v>1484.2647380575909</v>
      </c>
      <c r="G229" s="55">
        <v>21881228.249500662</v>
      </c>
      <c r="H229" s="166">
        <v>1485.805862523312</v>
      </c>
      <c r="J229" s="167">
        <f t="shared" si="59"/>
        <v>-8.4411156331499759E-3</v>
      </c>
      <c r="K229" s="168">
        <f t="shared" si="59"/>
        <v>-1.0372313803527211E-3</v>
      </c>
      <c r="L229" s="55">
        <v>22615964</v>
      </c>
      <c r="M229" s="167">
        <f>O229/$D229-1</f>
        <v>4.2377185953037078E-2</v>
      </c>
      <c r="N229" s="169">
        <f t="shared" si="60"/>
        <v>9.0547645222140982E-3</v>
      </c>
      <c r="O229" s="55">
        <v>22615964</v>
      </c>
      <c r="Q229" s="167">
        <f>S229/$D229-1</f>
        <v>4.5510764981015361E-2</v>
      </c>
      <c r="R229" s="170">
        <v>3.7761886912547116E-2</v>
      </c>
      <c r="S229" s="55">
        <v>22683951.779704824</v>
      </c>
      <c r="T229" s="167">
        <f>V229/$D229-1</f>
        <v>4.5613430459679805E-2</v>
      </c>
      <c r="U229" s="170">
        <v>3.7863791478648379E-2</v>
      </c>
      <c r="V229" s="55">
        <v>22686179.263959862</v>
      </c>
      <c r="X229" s="167">
        <f>Z229/$D229-1</f>
        <v>4.5516197415391479E-2</v>
      </c>
      <c r="Y229" s="170">
        <v>3.7767279084045979E-2</v>
      </c>
      <c r="Z229" s="55">
        <v>22684069.644659989</v>
      </c>
      <c r="AB229" s="55">
        <v>22166552.83233181</v>
      </c>
      <c r="AC229" s="55">
        <v>22684069.644659989</v>
      </c>
      <c r="AD229" s="167">
        <f>AC229/$D229-1</f>
        <v>4.5516197415391479E-2</v>
      </c>
      <c r="AE229" s="170">
        <v>3.7767279084045979E-2</v>
      </c>
      <c r="AF229" s="55">
        <v>22684069.644659989</v>
      </c>
      <c r="AG229" s="166">
        <v>1540.3213786544206</v>
      </c>
      <c r="AH229" s="171">
        <f t="shared" si="57"/>
        <v>4.5516197415391479E-2</v>
      </c>
      <c r="AI229" s="171">
        <f t="shared" si="57"/>
        <v>3.7767279084046201E-2</v>
      </c>
      <c r="AK229" s="55">
        <v>22828865.288313329</v>
      </c>
      <c r="AL229" s="166">
        <v>1550.1534691456332</v>
      </c>
      <c r="AM229" s="171">
        <f t="shared" si="61"/>
        <v>-6.3426561865720377E-3</v>
      </c>
      <c r="AN229" s="170">
        <f t="shared" si="58"/>
        <v>-6.3426561865719266E-3</v>
      </c>
      <c r="AP229" s="55">
        <v>29</v>
      </c>
      <c r="AQ229" s="55">
        <v>0</v>
      </c>
    </row>
    <row r="230" spans="2:43" ht="15" x14ac:dyDescent="0.25">
      <c r="B230"/>
      <c r="D230" s="1"/>
      <c r="G230" s="1"/>
      <c r="L230" s="1"/>
      <c r="O230" s="1"/>
      <c r="Q230" s="53"/>
      <c r="S230" s="1"/>
      <c r="U230" s="52"/>
      <c r="V230" s="1"/>
      <c r="X230" s="53"/>
      <c r="Y230" s="52"/>
      <c r="Z230" s="1"/>
      <c r="AB230" s="1"/>
      <c r="AC230" s="1"/>
      <c r="AD230" s="53"/>
      <c r="AE230" s="52"/>
      <c r="AF230" s="1"/>
      <c r="AG230" s="75"/>
      <c r="AK230" s="1"/>
      <c r="AL230" s="75"/>
      <c r="AP230" s="1"/>
      <c r="AQ230" s="1"/>
    </row>
    <row r="231" spans="2:43" x14ac:dyDescent="0.2">
      <c r="B231" s="1" t="s">
        <v>12</v>
      </c>
      <c r="D231" s="172">
        <f>SUM(D226:D229)</f>
        <v>88538506.67590563</v>
      </c>
      <c r="E231" s="173">
        <v>1544.3881845212823</v>
      </c>
      <c r="G231" s="172">
        <f>SUM(G226:G229)</f>
        <v>88538506.675905645</v>
      </c>
      <c r="H231" s="173">
        <v>1532.9256894186628</v>
      </c>
      <c r="J231" s="167">
        <f>D231/G231-1</f>
        <v>0</v>
      </c>
      <c r="K231" s="168">
        <f>E231/H231-1</f>
        <v>7.4775282205403748E-3</v>
      </c>
      <c r="L231" s="172">
        <f>SUM(L226:L229)</f>
        <v>92076402</v>
      </c>
      <c r="M231" s="167">
        <f>O231/$D231-1</f>
        <v>3.9958832116344656E-2</v>
      </c>
      <c r="N231" s="169">
        <f>N$222</f>
        <v>9.0547645222140982E-3</v>
      </c>
      <c r="O231" s="172">
        <f>SUM(O226:O229)</f>
        <v>92076402</v>
      </c>
      <c r="Q231" s="167">
        <f>S231/$D231-1</f>
        <v>4.3532147438943847E-2</v>
      </c>
      <c r="R231" s="170">
        <v>3.578702076073581E-2</v>
      </c>
      <c r="S231" s="172">
        <f>SUM(S226:S229)</f>
        <v>92392778.002545059</v>
      </c>
      <c r="T231" s="167">
        <f>V231/$D231-1</f>
        <v>4.3762450644539097E-2</v>
      </c>
      <c r="U231" s="170">
        <v>3.6015614649079986E-2</v>
      </c>
      <c r="V231" s="172">
        <f>SUM(V226:V229)</f>
        <v>92413168.704451144</v>
      </c>
      <c r="X231" s="167">
        <f>Z231/$D231-1</f>
        <v>4.3535153838077267E-2</v>
      </c>
      <c r="Y231" s="170">
        <v>3.5790004846285361E-2</v>
      </c>
      <c r="Z231" s="172">
        <f>SUM(Z226:Z229)</f>
        <v>92393044.184634805</v>
      </c>
      <c r="AB231" s="172">
        <f>SUM(AB226:AB229)</f>
        <v>89673742.776480854</v>
      </c>
      <c r="AC231" s="172">
        <f>SUM(AC226:AC229)</f>
        <v>92393044.184634805</v>
      </c>
      <c r="AD231" s="167">
        <f>AC231/$D231-1</f>
        <v>4.3535153838077267E-2</v>
      </c>
      <c r="AE231" s="170">
        <v>3.5790004846285361E-2</v>
      </c>
      <c r="AF231" s="172">
        <f>SUM(AF226:AF229)</f>
        <v>92393044.184634805</v>
      </c>
      <c r="AG231" s="166">
        <v>1599.6618451298448</v>
      </c>
      <c r="AH231" s="171">
        <f>AF231/D231 - 1</f>
        <v>4.3535153838077267E-2</v>
      </c>
      <c r="AI231" s="171">
        <f>AG231/E231 - 1</f>
        <v>3.5790004846285361E-2</v>
      </c>
      <c r="AK231" s="172">
        <f>SUM(AK226:AK229)</f>
        <v>92393127.908494964</v>
      </c>
      <c r="AL231" s="173">
        <v>1599.6632946963764</v>
      </c>
      <c r="AM231" s="171">
        <f>AF231/AK231-1</f>
        <v>-9.0616977754809369E-7</v>
      </c>
      <c r="AN231" s="170">
        <f t="shared" ref="AN231" si="62">AG231/AL231-1</f>
        <v>-9.0616977732604909E-7</v>
      </c>
      <c r="AP231" s="172">
        <f>SUM(AP226:AP229)</f>
        <v>127</v>
      </c>
      <c r="AQ231" s="172">
        <f>SUM(AQ226:AQ229)</f>
        <v>0</v>
      </c>
    </row>
    <row r="232" spans="2:43" ht="15" x14ac:dyDescent="0.25">
      <c r="B232"/>
      <c r="D232" s="1"/>
      <c r="G232" s="1"/>
      <c r="L232" s="1"/>
      <c r="O232" s="1"/>
      <c r="Q232" s="53"/>
      <c r="S232" s="1"/>
      <c r="U232" s="52"/>
      <c r="V232" s="1"/>
      <c r="X232" s="53"/>
      <c r="Y232" s="52"/>
      <c r="Z232" s="1"/>
      <c r="AB232" s="1"/>
      <c r="AC232" s="1"/>
      <c r="AD232" s="53"/>
      <c r="AE232" s="52"/>
      <c r="AF232" s="1"/>
      <c r="AG232" s="75"/>
      <c r="AK232" s="1"/>
      <c r="AL232" s="75"/>
      <c r="AP232" s="1"/>
      <c r="AQ232" s="1"/>
    </row>
    <row r="233" spans="2:43" x14ac:dyDescent="0.2">
      <c r="B233" s="43" t="s">
        <v>518</v>
      </c>
      <c r="D233" s="1"/>
      <c r="G233" s="1"/>
      <c r="L233" s="1"/>
      <c r="O233" s="1"/>
      <c r="Q233" s="53"/>
      <c r="S233" s="1"/>
      <c r="U233" s="52"/>
      <c r="V233" s="1"/>
      <c r="X233" s="53"/>
      <c r="Y233" s="52"/>
      <c r="Z233" s="1"/>
      <c r="AB233" s="1"/>
      <c r="AC233" s="1"/>
      <c r="AD233" s="53"/>
      <c r="AE233" s="52"/>
      <c r="AF233" s="1"/>
      <c r="AG233" s="75"/>
      <c r="AK233" s="1"/>
      <c r="AL233" s="75"/>
      <c r="AP233" s="1"/>
      <c r="AQ233" s="1"/>
    </row>
    <row r="234" spans="2:43" x14ac:dyDescent="0.2">
      <c r="D234" s="1"/>
      <c r="G234" s="1"/>
      <c r="L234" s="1"/>
      <c r="O234" s="1"/>
      <c r="Q234" s="53"/>
      <c r="S234" s="1"/>
      <c r="U234" s="52"/>
      <c r="V234" s="1"/>
      <c r="X234" s="53"/>
      <c r="Y234" s="52"/>
      <c r="Z234" s="1"/>
      <c r="AB234" s="1"/>
      <c r="AC234" s="1"/>
      <c r="AD234" s="53"/>
      <c r="AE234" s="52"/>
      <c r="AF234" s="1"/>
      <c r="AG234" s="75"/>
      <c r="AK234" s="1"/>
      <c r="AL234" s="75"/>
      <c r="AP234" s="1"/>
      <c r="AQ234" s="1"/>
    </row>
    <row r="235" spans="2:43" x14ac:dyDescent="0.2">
      <c r="B235" s="1" t="s">
        <v>519</v>
      </c>
      <c r="D235" s="55">
        <v>2134473.6713865297</v>
      </c>
      <c r="E235" s="166">
        <v>1726.5446851668446</v>
      </c>
      <c r="G235" s="55">
        <v>2083597.881975702</v>
      </c>
      <c r="H235" s="166">
        <v>1679.3790089408485</v>
      </c>
      <c r="J235" s="167">
        <f t="shared" ref="J235:K259" si="63">D235/G235-1</f>
        <v>2.4417278329437631E-2</v>
      </c>
      <c r="K235" s="168">
        <f t="shared" si="63"/>
        <v>2.8085188617275048E-2</v>
      </c>
      <c r="L235" s="55">
        <v>2211173</v>
      </c>
      <c r="M235" s="167">
        <f t="shared" ref="M235:M259" si="64">O235/$D235-1</f>
        <v>3.593360257456224E-2</v>
      </c>
      <c r="N235" s="169">
        <f t="shared" ref="N235:N259" si="65">N$222</f>
        <v>9.0547645222140982E-3</v>
      </c>
      <c r="O235" s="55">
        <v>2211173</v>
      </c>
      <c r="Q235" s="167">
        <f t="shared" ref="Q235:Q259" si="66">S235/$D235-1</f>
        <v>3.593360257456224E-2</v>
      </c>
      <c r="R235" s="170">
        <v>3.2237691418104619E-2</v>
      </c>
      <c r="S235" s="55">
        <v>2211173</v>
      </c>
      <c r="T235" s="167">
        <f t="shared" ref="T235:T259" si="67">V235/$D235-1</f>
        <v>3.593360257456224E-2</v>
      </c>
      <c r="U235" s="170">
        <v>3.2237691418104619E-2</v>
      </c>
      <c r="V235" s="55">
        <v>2211173</v>
      </c>
      <c r="X235" s="167">
        <f t="shared" ref="X235:X259" si="68">Z235/$D235-1</f>
        <v>3.593360257456224E-2</v>
      </c>
      <c r="Y235" s="170">
        <v>3.2237691418104619E-2</v>
      </c>
      <c r="Z235" s="55">
        <v>2211173</v>
      </c>
      <c r="AB235" s="55">
        <v>2118500.7687907764</v>
      </c>
      <c r="AC235" s="55">
        <v>2211173</v>
      </c>
      <c r="AD235" s="167">
        <f t="shared" ref="AD235:AD259" si="69">AC235/$D235-1</f>
        <v>3.593360257456224E-2</v>
      </c>
      <c r="AE235" s="170">
        <v>3.2237691418104619E-2</v>
      </c>
      <c r="AF235" s="55">
        <v>2211173</v>
      </c>
      <c r="AG235" s="166">
        <v>1782.2044999468217</v>
      </c>
      <c r="AH235" s="171">
        <f t="shared" ref="AH235:AH259" si="70">AF235/D235 - 1</f>
        <v>3.593360257456224E-2</v>
      </c>
      <c r="AI235" s="171">
        <f t="shared" ref="AI235:AI259" si="71">AG235/E235 - 1</f>
        <v>3.2237691418104397E-2</v>
      </c>
      <c r="AK235" s="55">
        <v>2172821.301323873</v>
      </c>
      <c r="AL235" s="166">
        <v>1751.2930470839303</v>
      </c>
      <c r="AM235" s="171">
        <f t="shared" ref="AM235:AM259" si="72">AF235/AK235-1</f>
        <v>1.7650645569776025E-2</v>
      </c>
      <c r="AN235" s="170">
        <f t="shared" ref="AN235:AN259" si="73">AG235/AL235-1</f>
        <v>1.7650645569776025E-2</v>
      </c>
      <c r="AP235" s="55">
        <v>5</v>
      </c>
      <c r="AQ235" s="55">
        <v>0</v>
      </c>
    </row>
    <row r="236" spans="2:43" x14ac:dyDescent="0.2">
      <c r="B236" s="1" t="s">
        <v>520</v>
      </c>
      <c r="D236" s="55">
        <v>3501597.6120201694</v>
      </c>
      <c r="E236" s="166">
        <v>1742.4802055089847</v>
      </c>
      <c r="G236" s="55">
        <v>3334575.1695531206</v>
      </c>
      <c r="H236" s="166">
        <v>1655.9385737924993</v>
      </c>
      <c r="J236" s="167">
        <f t="shared" si="63"/>
        <v>5.0088072385374494E-2</v>
      </c>
      <c r="K236" s="168">
        <f t="shared" si="63"/>
        <v>5.2261377979911483E-2</v>
      </c>
      <c r="L236" s="55">
        <v>3616655</v>
      </c>
      <c r="M236" s="167">
        <f t="shared" si="64"/>
        <v>3.2858540794312052E-2</v>
      </c>
      <c r="N236" s="169">
        <f t="shared" si="65"/>
        <v>9.0547645222140982E-3</v>
      </c>
      <c r="O236" s="55">
        <v>3616655</v>
      </c>
      <c r="Q236" s="167">
        <f t="shared" si="66"/>
        <v>3.2858540794312052E-2</v>
      </c>
      <c r="R236" s="170">
        <v>3.0725309173302628E-2</v>
      </c>
      <c r="S236" s="55">
        <v>3616655</v>
      </c>
      <c r="T236" s="167">
        <f t="shared" si="67"/>
        <v>3.480770988653048E-2</v>
      </c>
      <c r="U236" s="170">
        <v>3.2670452516613491E-2</v>
      </c>
      <c r="V236" s="55">
        <v>3623480.2058387352</v>
      </c>
      <c r="X236" s="167">
        <f t="shared" si="68"/>
        <v>3.2900897784184036E-2</v>
      </c>
      <c r="Y236" s="170">
        <v>3.0767578680458874E-2</v>
      </c>
      <c r="Z236" s="55">
        <v>3616803.3171345876</v>
      </c>
      <c r="AB236" s="55">
        <v>3390706.7665136065</v>
      </c>
      <c r="AC236" s="55">
        <v>3616803.3171345876</v>
      </c>
      <c r="AD236" s="167">
        <f t="shared" si="69"/>
        <v>3.2900897784184036E-2</v>
      </c>
      <c r="AE236" s="170">
        <v>3.0767578680458874E-2</v>
      </c>
      <c r="AF236" s="55">
        <v>3616803.3171345876</v>
      </c>
      <c r="AG236" s="166">
        <v>1796.0921023311244</v>
      </c>
      <c r="AH236" s="171">
        <f t="shared" si="70"/>
        <v>3.2900897784184036E-2</v>
      </c>
      <c r="AI236" s="171">
        <f t="shared" si="71"/>
        <v>3.0767578680458874E-2</v>
      </c>
      <c r="AK236" s="55">
        <v>3477647.9656549809</v>
      </c>
      <c r="AL236" s="166">
        <v>1726.9880328326353</v>
      </c>
      <c r="AM236" s="171">
        <f t="shared" si="72"/>
        <v>4.001421445008102E-2</v>
      </c>
      <c r="AN236" s="170">
        <f t="shared" si="73"/>
        <v>4.0014214450081242E-2</v>
      </c>
      <c r="AP236" s="55">
        <v>5</v>
      </c>
      <c r="AQ236" s="55">
        <v>0</v>
      </c>
    </row>
    <row r="237" spans="2:43" x14ac:dyDescent="0.2">
      <c r="B237" s="1" t="s">
        <v>55</v>
      </c>
      <c r="D237" s="55">
        <v>2562761.257260541</v>
      </c>
      <c r="E237" s="166">
        <v>1677.2327056555698</v>
      </c>
      <c r="G237" s="55">
        <v>2532103.3405514243</v>
      </c>
      <c r="H237" s="166">
        <v>1653.1652053141208</v>
      </c>
      <c r="J237" s="167">
        <f t="shared" si="63"/>
        <v>1.2107687793832422E-2</v>
      </c>
      <c r="K237" s="168">
        <f t="shared" si="63"/>
        <v>1.455843630393594E-2</v>
      </c>
      <c r="L237" s="55">
        <v>2660732</v>
      </c>
      <c r="M237" s="167">
        <f t="shared" si="64"/>
        <v>3.8228587412073134E-2</v>
      </c>
      <c r="N237" s="169">
        <f t="shared" si="65"/>
        <v>9.0547645222140982E-3</v>
      </c>
      <c r="O237" s="55">
        <v>2660732</v>
      </c>
      <c r="Q237" s="167">
        <f t="shared" si="66"/>
        <v>3.8327719003770966E-2</v>
      </c>
      <c r="R237" s="170">
        <v>3.5819553855967134E-2</v>
      </c>
      <c r="S237" s="55">
        <v>2660986.0506025739</v>
      </c>
      <c r="T237" s="167">
        <f t="shared" si="67"/>
        <v>3.8327719003770966E-2</v>
      </c>
      <c r="U237" s="170">
        <v>3.5819553855967134E-2</v>
      </c>
      <c r="V237" s="55">
        <v>2660986.0506025739</v>
      </c>
      <c r="X237" s="167">
        <f t="shared" si="68"/>
        <v>3.8327719003770966E-2</v>
      </c>
      <c r="Y237" s="170">
        <v>3.5819553855967134E-2</v>
      </c>
      <c r="Z237" s="55">
        <v>2660986.0506025739</v>
      </c>
      <c r="AB237" s="55">
        <v>2569794.8026093883</v>
      </c>
      <c r="AC237" s="55">
        <v>2660986.0506025739</v>
      </c>
      <c r="AD237" s="167">
        <f t="shared" si="69"/>
        <v>3.8327719003770966E-2</v>
      </c>
      <c r="AE237" s="170">
        <v>3.5819553855967134E-2</v>
      </c>
      <c r="AF237" s="55">
        <v>2660986.0506025739</v>
      </c>
      <c r="AG237" s="166">
        <v>1737.310432884789</v>
      </c>
      <c r="AH237" s="171">
        <f t="shared" si="70"/>
        <v>3.8327719003770966E-2</v>
      </c>
      <c r="AI237" s="171">
        <f t="shared" si="71"/>
        <v>3.5819553855967134E-2</v>
      </c>
      <c r="AK237" s="55">
        <v>2641728.4985318617</v>
      </c>
      <c r="AL237" s="166">
        <v>1724.73751987884</v>
      </c>
      <c r="AM237" s="171">
        <f t="shared" si="72"/>
        <v>7.289754447292518E-3</v>
      </c>
      <c r="AN237" s="170">
        <f t="shared" si="73"/>
        <v>7.289754447292518E-3</v>
      </c>
      <c r="AP237" s="55">
        <v>7</v>
      </c>
      <c r="AQ237" s="55">
        <v>0</v>
      </c>
    </row>
    <row r="238" spans="2:43" x14ac:dyDescent="0.2">
      <c r="B238" s="1" t="s">
        <v>521</v>
      </c>
      <c r="D238" s="55">
        <v>4923177.9524744758</v>
      </c>
      <c r="E238" s="166">
        <v>1669.7019411574202</v>
      </c>
      <c r="G238" s="55">
        <v>4984379.2726288289</v>
      </c>
      <c r="H238" s="166">
        <v>1679.9369925465903</v>
      </c>
      <c r="J238" s="167">
        <f t="shared" si="63"/>
        <v>-1.2278624239217328E-2</v>
      </c>
      <c r="K238" s="168">
        <f t="shared" si="63"/>
        <v>-6.0925209901205868E-3</v>
      </c>
      <c r="L238" s="55">
        <v>5149109</v>
      </c>
      <c r="M238" s="167">
        <f t="shared" si="64"/>
        <v>4.5891302265839817E-2</v>
      </c>
      <c r="N238" s="169">
        <f t="shared" si="65"/>
        <v>9.0547645222140982E-3</v>
      </c>
      <c r="O238" s="55">
        <v>5149109</v>
      </c>
      <c r="Q238" s="167">
        <f t="shared" si="66"/>
        <v>4.661269767133458E-2</v>
      </c>
      <c r="R238" s="170">
        <v>4.0098555916349143E-2</v>
      </c>
      <c r="S238" s="55">
        <v>5152660.5579553489</v>
      </c>
      <c r="T238" s="167">
        <f t="shared" si="67"/>
        <v>4.661269767133458E-2</v>
      </c>
      <c r="U238" s="170">
        <v>4.0098555916349143E-2</v>
      </c>
      <c r="V238" s="55">
        <v>5152660.5579553489</v>
      </c>
      <c r="X238" s="167">
        <f t="shared" si="68"/>
        <v>4.661269767133458E-2</v>
      </c>
      <c r="Y238" s="170">
        <v>4.0098555916349143E-2</v>
      </c>
      <c r="Z238" s="55">
        <v>5152660.5579553489</v>
      </c>
      <c r="AB238" s="55">
        <v>5036178.4717603819</v>
      </c>
      <c r="AC238" s="55">
        <v>5152660.5579553489</v>
      </c>
      <c r="AD238" s="167">
        <f t="shared" si="69"/>
        <v>4.661269767133458E-2</v>
      </c>
      <c r="AE238" s="170">
        <v>4.0098555916349143E-2</v>
      </c>
      <c r="AF238" s="55">
        <v>5152660.5579553489</v>
      </c>
      <c r="AG238" s="166">
        <v>1736.6545778085579</v>
      </c>
      <c r="AH238" s="171">
        <f t="shared" si="70"/>
        <v>4.661269767133458E-2</v>
      </c>
      <c r="AI238" s="171">
        <f t="shared" si="71"/>
        <v>4.0098555916349365E-2</v>
      </c>
      <c r="AK238" s="55">
        <v>5202527.7146038115</v>
      </c>
      <c r="AL238" s="166">
        <v>1753.4618223188022</v>
      </c>
      <c r="AM238" s="171">
        <f t="shared" si="72"/>
        <v>-9.5851784717038147E-3</v>
      </c>
      <c r="AN238" s="170">
        <f t="shared" si="73"/>
        <v>-9.5851784717035926E-3</v>
      </c>
      <c r="AP238" s="55">
        <v>10</v>
      </c>
      <c r="AQ238" s="55">
        <v>0</v>
      </c>
    </row>
    <row r="239" spans="2:43" x14ac:dyDescent="0.2">
      <c r="B239" s="1" t="s">
        <v>522</v>
      </c>
      <c r="D239" s="55">
        <v>2082321.5205426146</v>
      </c>
      <c r="E239" s="166">
        <v>1603.9647093995495</v>
      </c>
      <c r="G239" s="55">
        <v>2094543.6853828819</v>
      </c>
      <c r="H239" s="166">
        <v>1607.4468709418309</v>
      </c>
      <c r="J239" s="167">
        <f t="shared" si="63"/>
        <v>-5.8352398785289639E-3</v>
      </c>
      <c r="K239" s="168">
        <f t="shared" si="63"/>
        <v>-2.166268512651448E-3</v>
      </c>
      <c r="L239" s="55">
        <v>2159228</v>
      </c>
      <c r="M239" s="167">
        <f t="shared" si="64"/>
        <v>3.6933047417838205E-2</v>
      </c>
      <c r="N239" s="169">
        <f t="shared" si="65"/>
        <v>9.0547645222140982E-3</v>
      </c>
      <c r="O239" s="55">
        <v>2159228</v>
      </c>
      <c r="Q239" s="167">
        <f t="shared" si="66"/>
        <v>3.7644881562601817E-2</v>
      </c>
      <c r="R239" s="170">
        <v>3.382952712201015E-2</v>
      </c>
      <c r="S239" s="55">
        <v>2160710.2675586981</v>
      </c>
      <c r="T239" s="167">
        <f t="shared" si="67"/>
        <v>3.7644881562601817E-2</v>
      </c>
      <c r="U239" s="170">
        <v>3.382952712201015E-2</v>
      </c>
      <c r="V239" s="55">
        <v>2160710.2675586981</v>
      </c>
      <c r="X239" s="167">
        <f t="shared" si="68"/>
        <v>3.7644881562601817E-2</v>
      </c>
      <c r="Y239" s="170">
        <v>3.382952712201015E-2</v>
      </c>
      <c r="Z239" s="55">
        <v>2160710.2675586981</v>
      </c>
      <c r="AB239" s="55">
        <v>2129436.9224562314</v>
      </c>
      <c r="AC239" s="55">
        <v>2160710.2675586981</v>
      </c>
      <c r="AD239" s="167">
        <f t="shared" si="69"/>
        <v>3.7644881562601817E-2</v>
      </c>
      <c r="AE239" s="170">
        <v>3.382952712201015E-2</v>
      </c>
      <c r="AF239" s="55">
        <v>2160710.2675586981</v>
      </c>
      <c r="AG239" s="166">
        <v>1658.2260770389282</v>
      </c>
      <c r="AH239" s="171">
        <f t="shared" si="70"/>
        <v>3.7644881562601817E-2</v>
      </c>
      <c r="AI239" s="171">
        <f t="shared" si="71"/>
        <v>3.3829527122009928E-2</v>
      </c>
      <c r="AK239" s="55">
        <v>2184037.869185878</v>
      </c>
      <c r="AL239" s="166">
        <v>1676.1287259566245</v>
      </c>
      <c r="AM239" s="171">
        <f t="shared" si="72"/>
        <v>-1.0680951075209832E-2</v>
      </c>
      <c r="AN239" s="170">
        <f t="shared" si="73"/>
        <v>-1.0680951075209721E-2</v>
      </c>
      <c r="AP239" s="55">
        <v>3</v>
      </c>
      <c r="AQ239" s="55">
        <v>0</v>
      </c>
    </row>
    <row r="240" spans="2:43" x14ac:dyDescent="0.2">
      <c r="B240" s="1" t="s">
        <v>523</v>
      </c>
      <c r="D240" s="55">
        <v>2384494.5665381341</v>
      </c>
      <c r="E240" s="166">
        <v>1873.2934030682441</v>
      </c>
      <c r="G240" s="55">
        <v>2281318.7541863481</v>
      </c>
      <c r="H240" s="166">
        <v>1788.6635888017506</v>
      </c>
      <c r="J240" s="167">
        <f t="shared" si="63"/>
        <v>4.522639028958686E-2</v>
      </c>
      <c r="K240" s="168">
        <f t="shared" si="63"/>
        <v>4.7314550816784928E-2</v>
      </c>
      <c r="L240" s="55">
        <v>2466882</v>
      </c>
      <c r="M240" s="167">
        <f t="shared" si="64"/>
        <v>3.4551319436000094E-2</v>
      </c>
      <c r="N240" s="169">
        <f t="shared" si="65"/>
        <v>9.0547645222140982E-3</v>
      </c>
      <c r="O240" s="55">
        <v>2466882</v>
      </c>
      <c r="Q240" s="167">
        <f t="shared" si="66"/>
        <v>3.4551319436000094E-2</v>
      </c>
      <c r="R240" s="170">
        <v>3.2488606541462239E-2</v>
      </c>
      <c r="S240" s="55">
        <v>2466882</v>
      </c>
      <c r="T240" s="167">
        <f t="shared" si="67"/>
        <v>3.4551319436000094E-2</v>
      </c>
      <c r="U240" s="170">
        <v>3.2488606541462239E-2</v>
      </c>
      <c r="V240" s="55">
        <v>2466882</v>
      </c>
      <c r="X240" s="167">
        <f t="shared" si="68"/>
        <v>3.4551319436000094E-2</v>
      </c>
      <c r="Y240" s="170">
        <v>3.2488606541462239E-2</v>
      </c>
      <c r="Z240" s="55">
        <v>2466882</v>
      </c>
      <c r="AB240" s="55">
        <v>2320289.2884957511</v>
      </c>
      <c r="AC240" s="55">
        <v>2466882</v>
      </c>
      <c r="AD240" s="167">
        <f t="shared" si="69"/>
        <v>3.4551319436000094E-2</v>
      </c>
      <c r="AE240" s="170">
        <v>3.2488606541462239E-2</v>
      </c>
      <c r="AF240" s="55">
        <v>2466882</v>
      </c>
      <c r="AG240" s="166">
        <v>1934.1540953772455</v>
      </c>
      <c r="AH240" s="171">
        <f t="shared" si="70"/>
        <v>3.4551319436000094E-2</v>
      </c>
      <c r="AI240" s="171">
        <f t="shared" si="71"/>
        <v>3.2488606541462461E-2</v>
      </c>
      <c r="AK240" s="55">
        <v>2379783.8856366677</v>
      </c>
      <c r="AL240" s="166">
        <v>1865.8649860499752</v>
      </c>
      <c r="AM240" s="171">
        <f t="shared" si="72"/>
        <v>3.6599169735125336E-2</v>
      </c>
      <c r="AN240" s="170">
        <f t="shared" si="73"/>
        <v>3.6599169735125336E-2</v>
      </c>
      <c r="AP240" s="55">
        <v>6</v>
      </c>
      <c r="AQ240" s="55">
        <v>0</v>
      </c>
    </row>
    <row r="241" spans="2:43" x14ac:dyDescent="0.2">
      <c r="B241" s="1" t="s">
        <v>524</v>
      </c>
      <c r="D241" s="55">
        <v>3831403.3772681034</v>
      </c>
      <c r="E241" s="166">
        <v>1540.0453553159348</v>
      </c>
      <c r="G241" s="55">
        <v>3739760.8838913157</v>
      </c>
      <c r="H241" s="166">
        <v>1493.5088537860581</v>
      </c>
      <c r="J241" s="167">
        <f t="shared" si="63"/>
        <v>2.4504907191133407E-2</v>
      </c>
      <c r="K241" s="168">
        <f t="shared" si="63"/>
        <v>3.1159173520736827E-2</v>
      </c>
      <c r="L241" s="55">
        <v>3974201</v>
      </c>
      <c r="M241" s="167">
        <f t="shared" si="64"/>
        <v>3.7270318123933777E-2</v>
      </c>
      <c r="N241" s="169">
        <f t="shared" si="65"/>
        <v>9.0547645222140982E-3</v>
      </c>
      <c r="O241" s="55">
        <v>3974201</v>
      </c>
      <c r="Q241" s="167">
        <f t="shared" si="66"/>
        <v>3.7570477495342036E-2</v>
      </c>
      <c r="R241" s="170">
        <v>3.0874837801409871E-2</v>
      </c>
      <c r="S241" s="55">
        <v>3975351.0316293323</v>
      </c>
      <c r="T241" s="167">
        <f t="shared" si="67"/>
        <v>3.8132564238062772E-2</v>
      </c>
      <c r="U241" s="170">
        <v>3.1433297291440176E-2</v>
      </c>
      <c r="V241" s="55">
        <v>3977504.6126737101</v>
      </c>
      <c r="X241" s="167">
        <f t="shared" si="68"/>
        <v>3.7570477495342036E-2</v>
      </c>
      <c r="Y241" s="170">
        <v>3.0874837801409871E-2</v>
      </c>
      <c r="Z241" s="55">
        <v>3975351.0316293323</v>
      </c>
      <c r="AB241" s="55">
        <v>3794450.5948704681</v>
      </c>
      <c r="AC241" s="55">
        <v>3975351.0316293323</v>
      </c>
      <c r="AD241" s="167">
        <f t="shared" si="69"/>
        <v>3.7570477495342036E-2</v>
      </c>
      <c r="AE241" s="170">
        <v>3.0874837801409871E-2</v>
      </c>
      <c r="AF241" s="55">
        <v>3975351.0316293323</v>
      </c>
      <c r="AG241" s="166">
        <v>1587.594005868129</v>
      </c>
      <c r="AH241" s="171">
        <f t="shared" si="70"/>
        <v>3.7570477495342036E-2</v>
      </c>
      <c r="AI241" s="171">
        <f t="shared" si="71"/>
        <v>3.0874837801409871E-2</v>
      </c>
      <c r="AK241" s="55">
        <v>3899780.793924361</v>
      </c>
      <c r="AL241" s="166">
        <v>1557.414317219786</v>
      </c>
      <c r="AM241" s="171">
        <f t="shared" si="72"/>
        <v>1.9378073204192825E-2</v>
      </c>
      <c r="AN241" s="170">
        <f t="shared" si="73"/>
        <v>1.9378073204192825E-2</v>
      </c>
      <c r="AP241" s="55">
        <v>9</v>
      </c>
      <c r="AQ241" s="55">
        <v>0</v>
      </c>
    </row>
    <row r="242" spans="2:43" x14ac:dyDescent="0.2">
      <c r="B242" s="1" t="s">
        <v>525</v>
      </c>
      <c r="D242" s="55">
        <v>2579615.0555112781</v>
      </c>
      <c r="E242" s="166">
        <v>1688.2783637168075</v>
      </c>
      <c r="G242" s="55">
        <v>2416577.5610238514</v>
      </c>
      <c r="H242" s="166">
        <v>1574.1380828581048</v>
      </c>
      <c r="J242" s="167">
        <f t="shared" si="63"/>
        <v>6.7466278391806078E-2</v>
      </c>
      <c r="K242" s="168">
        <f t="shared" si="63"/>
        <v>7.2509700452365822E-2</v>
      </c>
      <c r="L242" s="55">
        <v>2660531</v>
      </c>
      <c r="M242" s="167">
        <f t="shared" si="64"/>
        <v>3.1367449308317141E-2</v>
      </c>
      <c r="N242" s="169">
        <f t="shared" si="65"/>
        <v>9.0547645222140982E-3</v>
      </c>
      <c r="O242" s="55">
        <v>2660531</v>
      </c>
      <c r="Q242" s="167">
        <f t="shared" si="66"/>
        <v>3.1367449308317141E-2</v>
      </c>
      <c r="R242" s="170">
        <v>2.6517496581371258E-2</v>
      </c>
      <c r="S242" s="55">
        <v>2660531</v>
      </c>
      <c r="T242" s="167">
        <f t="shared" si="67"/>
        <v>3.1705319161782652E-2</v>
      </c>
      <c r="U242" s="170">
        <v>2.6853777619116226E-2</v>
      </c>
      <c r="V242" s="55">
        <v>2661402.5741608026</v>
      </c>
      <c r="X242" s="167">
        <f t="shared" si="68"/>
        <v>3.1367449308317141E-2</v>
      </c>
      <c r="Y242" s="170">
        <v>2.6517496581371258E-2</v>
      </c>
      <c r="Z242" s="55">
        <v>2660531</v>
      </c>
      <c r="AB242" s="55">
        <v>2458267.324647055</v>
      </c>
      <c r="AC242" s="55">
        <v>2660531</v>
      </c>
      <c r="AD242" s="167">
        <f t="shared" si="69"/>
        <v>3.1367449308317141E-2</v>
      </c>
      <c r="AE242" s="170">
        <v>2.6517496581371258E-2</v>
      </c>
      <c r="AF242" s="55">
        <v>2660531</v>
      </c>
      <c r="AG242" s="166">
        <v>1733.047279455071</v>
      </c>
      <c r="AH242" s="171">
        <f t="shared" si="70"/>
        <v>3.1367449308317141E-2</v>
      </c>
      <c r="AI242" s="171">
        <f t="shared" si="71"/>
        <v>2.6517496581371258E-2</v>
      </c>
      <c r="AK242" s="55">
        <v>2521299.8201508261</v>
      </c>
      <c r="AL242" s="166">
        <v>1642.3532723365931</v>
      </c>
      <c r="AM242" s="171">
        <f t="shared" si="72"/>
        <v>5.5221984603499141E-2</v>
      </c>
      <c r="AN242" s="170">
        <f t="shared" si="73"/>
        <v>5.5221984603499141E-2</v>
      </c>
      <c r="AP242" s="55">
        <v>5</v>
      </c>
      <c r="AQ242" s="55">
        <v>0</v>
      </c>
    </row>
    <row r="243" spans="2:43" x14ac:dyDescent="0.2">
      <c r="B243" s="1" t="s">
        <v>526</v>
      </c>
      <c r="D243" s="55">
        <v>2628480.9236910064</v>
      </c>
      <c r="E243" s="166">
        <v>1537.0936839762778</v>
      </c>
      <c r="G243" s="55">
        <v>2571444.5153755066</v>
      </c>
      <c r="H243" s="166">
        <v>1498.197729165478</v>
      </c>
      <c r="J243" s="167">
        <f t="shared" si="63"/>
        <v>2.2180687926362186E-2</v>
      </c>
      <c r="K243" s="168">
        <f t="shared" si="63"/>
        <v>2.5961830039927802E-2</v>
      </c>
      <c r="L243" s="55">
        <v>2723313</v>
      </c>
      <c r="M243" s="167">
        <f t="shared" si="64"/>
        <v>3.6078662566752406E-2</v>
      </c>
      <c r="N243" s="169">
        <f t="shared" si="65"/>
        <v>9.0547645222140982E-3</v>
      </c>
      <c r="O243" s="55">
        <v>2723313</v>
      </c>
      <c r="Q243" s="167">
        <f t="shared" si="66"/>
        <v>3.6078662566752406E-2</v>
      </c>
      <c r="R243" s="170">
        <v>3.2260235263423587E-2</v>
      </c>
      <c r="S243" s="55">
        <v>2723313</v>
      </c>
      <c r="T243" s="167">
        <f t="shared" si="67"/>
        <v>3.6078662566752406E-2</v>
      </c>
      <c r="U243" s="170">
        <v>3.2260235263423587E-2</v>
      </c>
      <c r="V243" s="55">
        <v>2723313</v>
      </c>
      <c r="X243" s="167">
        <f t="shared" si="68"/>
        <v>3.6078662566752406E-2</v>
      </c>
      <c r="Y243" s="170">
        <v>3.2260235263423587E-2</v>
      </c>
      <c r="Z243" s="55">
        <v>2723313</v>
      </c>
      <c r="AB243" s="55">
        <v>2614858.2129182587</v>
      </c>
      <c r="AC243" s="55">
        <v>2723313</v>
      </c>
      <c r="AD243" s="167">
        <f t="shared" si="69"/>
        <v>3.6078662566752406E-2</v>
      </c>
      <c r="AE243" s="170">
        <v>3.2260235263423587E-2</v>
      </c>
      <c r="AF243" s="55">
        <v>2723313</v>
      </c>
      <c r="AG243" s="166">
        <v>1586.6806878432751</v>
      </c>
      <c r="AH243" s="171">
        <f t="shared" si="70"/>
        <v>3.6078662566752406E-2</v>
      </c>
      <c r="AI243" s="171">
        <f t="shared" si="71"/>
        <v>3.2260235263423587E-2</v>
      </c>
      <c r="AK243" s="55">
        <v>2681905.8594033429</v>
      </c>
      <c r="AL243" s="166">
        <v>1562.5556936455728</v>
      </c>
      <c r="AM243" s="171">
        <f t="shared" si="72"/>
        <v>1.5439445963949305E-2</v>
      </c>
      <c r="AN243" s="170">
        <f t="shared" si="73"/>
        <v>1.5439445963949527E-2</v>
      </c>
      <c r="AP243" s="55">
        <v>8</v>
      </c>
      <c r="AQ243" s="55">
        <v>0</v>
      </c>
    </row>
    <row r="244" spans="2:43" x14ac:dyDescent="0.2">
      <c r="B244" s="1" t="s">
        <v>527</v>
      </c>
      <c r="D244" s="55">
        <v>4258454.4649825012</v>
      </c>
      <c r="E244" s="166">
        <v>1590.2667482935776</v>
      </c>
      <c r="G244" s="55">
        <v>4286071.1356766224</v>
      </c>
      <c r="H244" s="166">
        <v>1590.3657465308361</v>
      </c>
      <c r="J244" s="167">
        <f t="shared" si="63"/>
        <v>-6.4433533228704931E-3</v>
      </c>
      <c r="K244" s="168">
        <f t="shared" si="63"/>
        <v>-6.2248723272873008E-5</v>
      </c>
      <c r="L244" s="55">
        <v>4420325</v>
      </c>
      <c r="M244" s="167">
        <f t="shared" si="64"/>
        <v>3.8011568832910791E-2</v>
      </c>
      <c r="N244" s="169">
        <f t="shared" si="65"/>
        <v>9.0547645222140982E-3</v>
      </c>
      <c r="O244" s="55">
        <v>4420325</v>
      </c>
      <c r="Q244" s="167">
        <f t="shared" si="66"/>
        <v>4.0975824522536897E-2</v>
      </c>
      <c r="R244" s="170">
        <v>3.433283538301346E-2</v>
      </c>
      <c r="S244" s="55">
        <v>4432948.1478768382</v>
      </c>
      <c r="T244" s="167">
        <f t="shared" si="67"/>
        <v>4.1122968645954883E-2</v>
      </c>
      <c r="U244" s="170">
        <v>3.4479040505937197E-2</v>
      </c>
      <c r="V244" s="55">
        <v>4433574.7544262037</v>
      </c>
      <c r="X244" s="167">
        <f t="shared" si="68"/>
        <v>4.0975824522536897E-2</v>
      </c>
      <c r="Y244" s="170">
        <v>3.433283538301346E-2</v>
      </c>
      <c r="Z244" s="55">
        <v>4432948.1478768382</v>
      </c>
      <c r="AB244" s="55">
        <v>4357675.0539510828</v>
      </c>
      <c r="AC244" s="55">
        <v>4432948.1478768382</v>
      </c>
      <c r="AD244" s="167">
        <f t="shared" si="69"/>
        <v>4.0975824522536897E-2</v>
      </c>
      <c r="AE244" s="170">
        <v>3.433283538301346E-2</v>
      </c>
      <c r="AF244" s="55">
        <v>4432948.1478768382</v>
      </c>
      <c r="AG244" s="166">
        <v>1644.8651147778216</v>
      </c>
      <c r="AH244" s="171">
        <f t="shared" si="70"/>
        <v>4.0975824522536897E-2</v>
      </c>
      <c r="AI244" s="171">
        <f t="shared" si="71"/>
        <v>3.4332835383013682E-2</v>
      </c>
      <c r="AK244" s="55">
        <v>4474447.5806147838</v>
      </c>
      <c r="AL244" s="166">
        <v>1660.2636637607168</v>
      </c>
      <c r="AM244" s="171">
        <f t="shared" si="72"/>
        <v>-9.2747611834227417E-3</v>
      </c>
      <c r="AN244" s="170">
        <f t="shared" si="73"/>
        <v>-9.2747611834227417E-3</v>
      </c>
      <c r="AP244" s="55">
        <v>2</v>
      </c>
      <c r="AQ244" s="55">
        <v>0</v>
      </c>
    </row>
    <row r="245" spans="2:43" x14ac:dyDescent="0.2">
      <c r="B245" s="1" t="s">
        <v>528</v>
      </c>
      <c r="D245" s="55">
        <v>2477874.7397787063</v>
      </c>
      <c r="E245" s="166">
        <v>1532.2147681178756</v>
      </c>
      <c r="G245" s="55">
        <v>2496836.1553900177</v>
      </c>
      <c r="H245" s="166">
        <v>1538.0790998915534</v>
      </c>
      <c r="J245" s="167">
        <f t="shared" si="63"/>
        <v>-7.594176962865018E-3</v>
      </c>
      <c r="K245" s="168">
        <f t="shared" si="63"/>
        <v>-3.8127634489613094E-3</v>
      </c>
      <c r="L245" s="55">
        <v>2575378</v>
      </c>
      <c r="M245" s="167">
        <f t="shared" si="64"/>
        <v>3.9349551717049902E-2</v>
      </c>
      <c r="N245" s="169">
        <f t="shared" si="65"/>
        <v>9.0547645222140982E-3</v>
      </c>
      <c r="O245" s="55">
        <v>2575378</v>
      </c>
      <c r="Q245" s="167">
        <f t="shared" si="66"/>
        <v>4.175658786932801E-2</v>
      </c>
      <c r="R245" s="170">
        <v>3.7802198277662846E-2</v>
      </c>
      <c r="S245" s="55">
        <v>2581342.334079464</v>
      </c>
      <c r="T245" s="167">
        <f t="shared" si="67"/>
        <v>4.175658786932801E-2</v>
      </c>
      <c r="U245" s="170">
        <v>3.7802198277662846E-2</v>
      </c>
      <c r="V245" s="55">
        <v>2581342.334079464</v>
      </c>
      <c r="X245" s="167">
        <f t="shared" si="68"/>
        <v>4.175658786932801E-2</v>
      </c>
      <c r="Y245" s="170">
        <v>3.7802198277662846E-2</v>
      </c>
      <c r="Z245" s="55">
        <v>2581342.334079464</v>
      </c>
      <c r="AB245" s="55">
        <v>2528090.6549565587</v>
      </c>
      <c r="AC245" s="55">
        <v>2581342.334079464</v>
      </c>
      <c r="AD245" s="167">
        <f t="shared" si="69"/>
        <v>4.175658786932801E-2</v>
      </c>
      <c r="AE245" s="170">
        <v>3.7802198277662846E-2</v>
      </c>
      <c r="AF245" s="55">
        <v>2581342.334079464</v>
      </c>
      <c r="AG245" s="166">
        <v>1590.1358545862304</v>
      </c>
      <c r="AH245" s="171">
        <f t="shared" si="70"/>
        <v>4.175658786932801E-2</v>
      </c>
      <c r="AI245" s="171">
        <f t="shared" si="71"/>
        <v>3.7802198277662624E-2</v>
      </c>
      <c r="AK245" s="55">
        <v>2604987.589101682</v>
      </c>
      <c r="AL245" s="166">
        <v>1604.7015971091307</v>
      </c>
      <c r="AM245" s="171">
        <f t="shared" si="72"/>
        <v>-9.0769165738605606E-3</v>
      </c>
      <c r="AN245" s="170">
        <f t="shared" si="73"/>
        <v>-9.0769165738605606E-3</v>
      </c>
      <c r="AP245" s="55">
        <v>5</v>
      </c>
      <c r="AQ245" s="55">
        <v>0</v>
      </c>
    </row>
    <row r="246" spans="2:43" x14ac:dyDescent="0.2">
      <c r="B246" s="1" t="s">
        <v>529</v>
      </c>
      <c r="D246" s="55">
        <v>2555884.874998868</v>
      </c>
      <c r="E246" s="166">
        <v>1482.2833498322311</v>
      </c>
      <c r="G246" s="55">
        <v>2579201.3906812188</v>
      </c>
      <c r="H246" s="166">
        <v>1485.7020612804786</v>
      </c>
      <c r="J246" s="167">
        <f t="shared" si="63"/>
        <v>-9.0402074714268643E-3</v>
      </c>
      <c r="K246" s="168">
        <f t="shared" si="63"/>
        <v>-2.301074715680862E-3</v>
      </c>
      <c r="L246" s="55">
        <v>2651877</v>
      </c>
      <c r="M246" s="167">
        <f t="shared" si="64"/>
        <v>3.7557296081723868E-2</v>
      </c>
      <c r="N246" s="169">
        <f t="shared" si="65"/>
        <v>9.0547645222140982E-3</v>
      </c>
      <c r="O246" s="55">
        <v>2651877</v>
      </c>
      <c r="Q246" s="167">
        <f t="shared" si="66"/>
        <v>3.9467227176505082E-2</v>
      </c>
      <c r="R246" s="170">
        <v>3.244596308404013E-2</v>
      </c>
      <c r="S246" s="55">
        <v>2656758.5639974414</v>
      </c>
      <c r="T246" s="167">
        <f t="shared" si="67"/>
        <v>3.9467227176505082E-2</v>
      </c>
      <c r="U246" s="170">
        <v>3.244596308404013E-2</v>
      </c>
      <c r="V246" s="55">
        <v>2656758.5639974414</v>
      </c>
      <c r="X246" s="167">
        <f t="shared" si="68"/>
        <v>3.9467227176505082E-2</v>
      </c>
      <c r="Y246" s="170">
        <v>3.244596308404013E-2</v>
      </c>
      <c r="Z246" s="55">
        <v>2656758.5639974414</v>
      </c>
      <c r="AB246" s="55">
        <v>2621119.4269532668</v>
      </c>
      <c r="AC246" s="55">
        <v>2656758.5639974414</v>
      </c>
      <c r="AD246" s="167">
        <f t="shared" si="69"/>
        <v>3.9467227176505082E-2</v>
      </c>
      <c r="AE246" s="170">
        <v>3.244596308404013E-2</v>
      </c>
      <c r="AF246" s="55">
        <v>2656758.5639974414</v>
      </c>
      <c r="AG246" s="166">
        <v>1530.377460680975</v>
      </c>
      <c r="AH246" s="171">
        <f t="shared" si="70"/>
        <v>3.9467227176505082E-2</v>
      </c>
      <c r="AI246" s="171">
        <f t="shared" si="71"/>
        <v>3.244596308404013E-2</v>
      </c>
      <c r="AK246" s="55">
        <v>2690840.1749981274</v>
      </c>
      <c r="AL246" s="166">
        <v>1550.0095529628829</v>
      </c>
      <c r="AM246" s="171">
        <f t="shared" si="72"/>
        <v>-1.2665787926519845E-2</v>
      </c>
      <c r="AN246" s="170">
        <f t="shared" si="73"/>
        <v>-1.2665787926519956E-2</v>
      </c>
      <c r="AP246" s="55">
        <v>4</v>
      </c>
      <c r="AQ246" s="55">
        <v>0</v>
      </c>
    </row>
    <row r="247" spans="2:43" x14ac:dyDescent="0.2">
      <c r="B247" s="1" t="s">
        <v>530</v>
      </c>
      <c r="D247" s="55">
        <v>4087174.2749669673</v>
      </c>
      <c r="E247" s="166">
        <v>1397.2352109341957</v>
      </c>
      <c r="G247" s="55">
        <v>4342233.9429199258</v>
      </c>
      <c r="H247" s="166">
        <v>1468.7116958772726</v>
      </c>
      <c r="J247" s="167">
        <f t="shared" si="63"/>
        <v>-5.8739273679355053E-2</v>
      </c>
      <c r="K247" s="168">
        <f t="shared" si="63"/>
        <v>-4.8666109995388451E-2</v>
      </c>
      <c r="L247" s="55">
        <v>4311414</v>
      </c>
      <c r="M247" s="167">
        <f t="shared" si="64"/>
        <v>5.4864243594028084E-2</v>
      </c>
      <c r="N247" s="169">
        <f t="shared" si="65"/>
        <v>9.0547645222140982E-3</v>
      </c>
      <c r="O247" s="55">
        <v>4311414</v>
      </c>
      <c r="Q247" s="167">
        <f t="shared" si="66"/>
        <v>6.9018087893474522E-2</v>
      </c>
      <c r="R247" s="170">
        <v>5.7698829435836929E-2</v>
      </c>
      <c r="S247" s="55">
        <v>4369263.2283125855</v>
      </c>
      <c r="T247" s="167">
        <f t="shared" si="67"/>
        <v>6.9018087893474522E-2</v>
      </c>
      <c r="U247" s="170">
        <v>5.7698829435836929E-2</v>
      </c>
      <c r="V247" s="55">
        <v>4369263.2283125855</v>
      </c>
      <c r="X247" s="167">
        <f t="shared" si="68"/>
        <v>6.9018087893474522E-2</v>
      </c>
      <c r="Y247" s="170">
        <v>5.7698829435836929E-2</v>
      </c>
      <c r="Z247" s="55">
        <v>4369263.2283125855</v>
      </c>
      <c r="AB247" s="55">
        <v>4278890.9229351673</v>
      </c>
      <c r="AC247" s="55">
        <v>4369263.2283125855</v>
      </c>
      <c r="AD247" s="167">
        <f t="shared" si="69"/>
        <v>6.9018087893474522E-2</v>
      </c>
      <c r="AE247" s="170">
        <v>5.7698829435836929E-2</v>
      </c>
      <c r="AF247" s="55">
        <v>4369263.2283125855</v>
      </c>
      <c r="AG247" s="166">
        <v>1477.8540470516339</v>
      </c>
      <c r="AH247" s="171">
        <f t="shared" si="70"/>
        <v>6.9018087893474522E-2</v>
      </c>
      <c r="AI247" s="171">
        <f t="shared" si="71"/>
        <v>5.7698829435837151E-2</v>
      </c>
      <c r="AK247" s="55">
        <v>4531054.6169069717</v>
      </c>
      <c r="AL247" s="166">
        <v>1532.5781609166295</v>
      </c>
      <c r="AM247" s="171">
        <f t="shared" si="72"/>
        <v>-3.5707225419593258E-2</v>
      </c>
      <c r="AN247" s="170">
        <f t="shared" si="73"/>
        <v>-3.5707225419593147E-2</v>
      </c>
      <c r="AP247" s="55">
        <v>0</v>
      </c>
      <c r="AQ247" s="55">
        <v>0</v>
      </c>
    </row>
    <row r="248" spans="2:43" x14ac:dyDescent="0.2">
      <c r="B248" s="1" t="s">
        <v>531</v>
      </c>
      <c r="D248" s="55">
        <v>2702501.6843788279</v>
      </c>
      <c r="E248" s="166">
        <v>1450.110688250182</v>
      </c>
      <c r="G248" s="55">
        <v>2732097.1022121478</v>
      </c>
      <c r="H248" s="166">
        <v>1456.2107875039151</v>
      </c>
      <c r="J248" s="167">
        <f t="shared" si="63"/>
        <v>-1.0832491205878703E-2</v>
      </c>
      <c r="K248" s="168">
        <f t="shared" si="63"/>
        <v>-4.1890221567368879E-3</v>
      </c>
      <c r="L248" s="55">
        <v>2802172</v>
      </c>
      <c r="M248" s="167">
        <f t="shared" si="64"/>
        <v>3.6880759851989353E-2</v>
      </c>
      <c r="N248" s="169">
        <f t="shared" si="65"/>
        <v>9.0547645222140982E-3</v>
      </c>
      <c r="O248" s="55">
        <v>2802172</v>
      </c>
      <c r="Q248" s="167">
        <f t="shared" si="66"/>
        <v>3.9392443650025699E-2</v>
      </c>
      <c r="R248" s="170">
        <v>3.2458224523162826E-2</v>
      </c>
      <c r="S248" s="55">
        <v>2808959.8296948206</v>
      </c>
      <c r="T248" s="167">
        <f t="shared" si="67"/>
        <v>3.9392443650025699E-2</v>
      </c>
      <c r="U248" s="170">
        <v>3.2458224523162826E-2</v>
      </c>
      <c r="V248" s="55">
        <v>2808959.8296948206</v>
      </c>
      <c r="X248" s="167">
        <f t="shared" si="68"/>
        <v>3.9392443650025699E-2</v>
      </c>
      <c r="Y248" s="170">
        <v>3.2458224523162826E-2</v>
      </c>
      <c r="Z248" s="55">
        <v>2808959.8296948206</v>
      </c>
      <c r="AB248" s="55">
        <v>2779392.0035132719</v>
      </c>
      <c r="AC248" s="55">
        <v>2808959.8296948206</v>
      </c>
      <c r="AD248" s="167">
        <f t="shared" si="69"/>
        <v>3.9392443650025699E-2</v>
      </c>
      <c r="AE248" s="170">
        <v>3.2458224523162826E-2</v>
      </c>
      <c r="AF248" s="55">
        <v>2808959.8296948206</v>
      </c>
      <c r="AG248" s="166">
        <v>1497.1787065528442</v>
      </c>
      <c r="AH248" s="171">
        <f t="shared" si="70"/>
        <v>3.9392443650025699E-2</v>
      </c>
      <c r="AI248" s="171">
        <f t="shared" si="71"/>
        <v>3.2458224523162604E-2</v>
      </c>
      <c r="AK248" s="55">
        <v>2850658.4651418179</v>
      </c>
      <c r="AL248" s="166">
        <v>1519.4041255223769</v>
      </c>
      <c r="AM248" s="171">
        <f t="shared" si="72"/>
        <v>-1.4627720562422009E-2</v>
      </c>
      <c r="AN248" s="170">
        <f t="shared" si="73"/>
        <v>-1.462772056242212E-2</v>
      </c>
      <c r="AP248" s="55">
        <v>4</v>
      </c>
      <c r="AQ248" s="55">
        <v>0</v>
      </c>
    </row>
    <row r="249" spans="2:43" x14ac:dyDescent="0.2">
      <c r="B249" s="1" t="s">
        <v>532</v>
      </c>
      <c r="D249" s="55">
        <v>3221025.8269382305</v>
      </c>
      <c r="E249" s="166">
        <v>1548.7234922969442</v>
      </c>
      <c r="G249" s="55">
        <v>3198229.2205922399</v>
      </c>
      <c r="H249" s="166">
        <v>1528.9516682997262</v>
      </c>
      <c r="J249" s="167">
        <f t="shared" si="63"/>
        <v>7.1278838299679848E-3</v>
      </c>
      <c r="K249" s="168">
        <f t="shared" si="63"/>
        <v>1.2931621324044462E-2</v>
      </c>
      <c r="L249" s="55">
        <v>3335172</v>
      </c>
      <c r="M249" s="167">
        <f t="shared" si="64"/>
        <v>3.5437832291544291E-2</v>
      </c>
      <c r="N249" s="169">
        <f t="shared" si="65"/>
        <v>9.0547645222140982E-3</v>
      </c>
      <c r="O249" s="55">
        <v>3335172</v>
      </c>
      <c r="Q249" s="167">
        <f t="shared" si="66"/>
        <v>3.7178782758633622E-2</v>
      </c>
      <c r="R249" s="170">
        <v>3.1236117663739682E-2</v>
      </c>
      <c r="S249" s="55">
        <v>3340779.6464179149</v>
      </c>
      <c r="T249" s="167">
        <f t="shared" si="67"/>
        <v>3.7796171797104039E-2</v>
      </c>
      <c r="U249" s="170">
        <v>3.1849969282866653E-2</v>
      </c>
      <c r="V249" s="55">
        <v>3342768.272456097</v>
      </c>
      <c r="X249" s="167">
        <f t="shared" si="68"/>
        <v>3.7178782758633622E-2</v>
      </c>
      <c r="Y249" s="170">
        <v>3.1236117663739682E-2</v>
      </c>
      <c r="Z249" s="55">
        <v>3340779.6464179149</v>
      </c>
      <c r="AB249" s="55">
        <v>3251709.8893063152</v>
      </c>
      <c r="AC249" s="55">
        <v>3340779.6464179149</v>
      </c>
      <c r="AD249" s="167">
        <f t="shared" si="69"/>
        <v>3.7178782758633622E-2</v>
      </c>
      <c r="AE249" s="170">
        <v>3.1236117663739682E-2</v>
      </c>
      <c r="AF249" s="55">
        <v>3340779.6464179149</v>
      </c>
      <c r="AG249" s="166">
        <v>1597.099601530929</v>
      </c>
      <c r="AH249" s="171">
        <f t="shared" si="70"/>
        <v>3.7178782758633622E-2</v>
      </c>
      <c r="AI249" s="171">
        <f t="shared" si="71"/>
        <v>3.123611766373946E-2</v>
      </c>
      <c r="AK249" s="55">
        <v>3336360.2773865219</v>
      </c>
      <c r="AL249" s="166">
        <v>1594.9868693946974</v>
      </c>
      <c r="AM249" s="171">
        <f t="shared" si="72"/>
        <v>1.3246078552568985E-3</v>
      </c>
      <c r="AN249" s="170">
        <f t="shared" si="73"/>
        <v>1.3246078552568985E-3</v>
      </c>
      <c r="AP249" s="55">
        <v>6</v>
      </c>
      <c r="AQ249" s="55">
        <v>0</v>
      </c>
    </row>
    <row r="250" spans="2:43" x14ac:dyDescent="0.2">
      <c r="B250" s="1" t="s">
        <v>56</v>
      </c>
      <c r="D250" s="55">
        <v>2714065.1009456622</v>
      </c>
      <c r="E250" s="166">
        <v>1477.3887648997736</v>
      </c>
      <c r="G250" s="55">
        <v>2820718.9380497932</v>
      </c>
      <c r="H250" s="166">
        <v>1523.3461234095835</v>
      </c>
      <c r="J250" s="167">
        <f t="shared" si="63"/>
        <v>-3.7810870010987374E-2</v>
      </c>
      <c r="K250" s="168">
        <f t="shared" si="63"/>
        <v>-3.0168691017473548E-2</v>
      </c>
      <c r="L250" s="55">
        <v>2814412</v>
      </c>
      <c r="M250" s="167">
        <f t="shared" si="64"/>
        <v>3.6972915284668062E-2</v>
      </c>
      <c r="N250" s="169">
        <f t="shared" si="65"/>
        <v>9.0547645222140982E-3</v>
      </c>
      <c r="O250" s="55">
        <v>2814412</v>
      </c>
      <c r="Q250" s="167">
        <f t="shared" si="66"/>
        <v>5.4615401817954545E-2</v>
      </c>
      <c r="R250" s="170">
        <v>4.6305132191307052E-2</v>
      </c>
      <c r="S250" s="55">
        <v>2862294.8569938969</v>
      </c>
      <c r="T250" s="167">
        <f t="shared" si="67"/>
        <v>5.4615401817954545E-2</v>
      </c>
      <c r="U250" s="170">
        <v>4.6305132191307052E-2</v>
      </c>
      <c r="V250" s="55">
        <v>2862294.8569938969</v>
      </c>
      <c r="X250" s="167">
        <f t="shared" si="68"/>
        <v>5.4615401817954545E-2</v>
      </c>
      <c r="Y250" s="170">
        <v>4.6305132191307052E-2</v>
      </c>
      <c r="Z250" s="55">
        <v>2862294.8569938969</v>
      </c>
      <c r="AB250" s="55">
        <v>2831813.5328859077</v>
      </c>
      <c r="AC250" s="55">
        <v>2862294.8569938969</v>
      </c>
      <c r="AD250" s="167">
        <f t="shared" si="69"/>
        <v>5.4615401817954545E-2</v>
      </c>
      <c r="AE250" s="170">
        <v>4.6305132191307052E-2</v>
      </c>
      <c r="AF250" s="55">
        <v>2862294.8569938969</v>
      </c>
      <c r="AG250" s="166">
        <v>1545.7994469564096</v>
      </c>
      <c r="AH250" s="171">
        <f t="shared" si="70"/>
        <v>5.4615401817954545E-2</v>
      </c>
      <c r="AI250" s="171">
        <f t="shared" si="71"/>
        <v>4.6305132191307052E-2</v>
      </c>
      <c r="AK250" s="55">
        <v>2942652.4470422212</v>
      </c>
      <c r="AL250" s="166">
        <v>1589.1970438014484</v>
      </c>
      <c r="AM250" s="171">
        <f t="shared" si="72"/>
        <v>-2.7307876650229268E-2</v>
      </c>
      <c r="AN250" s="170">
        <f t="shared" si="73"/>
        <v>-2.7307876650229157E-2</v>
      </c>
      <c r="AP250" s="55">
        <v>0</v>
      </c>
      <c r="AQ250" s="55">
        <v>0</v>
      </c>
    </row>
    <row r="251" spans="2:43" x14ac:dyDescent="0.2">
      <c r="B251" s="1" t="s">
        <v>533</v>
      </c>
      <c r="D251" s="55">
        <v>3744936.6872782134</v>
      </c>
      <c r="E251" s="166">
        <v>1442.1290911345545</v>
      </c>
      <c r="G251" s="55">
        <v>3836628.8570777522</v>
      </c>
      <c r="H251" s="166">
        <v>1466.460535205068</v>
      </c>
      <c r="J251" s="167">
        <f t="shared" si="63"/>
        <v>-2.3899150325783158E-2</v>
      </c>
      <c r="K251" s="168">
        <f t="shared" si="63"/>
        <v>-1.6591952859550396E-2</v>
      </c>
      <c r="L251" s="55">
        <v>3888024</v>
      </c>
      <c r="M251" s="167">
        <f t="shared" si="64"/>
        <v>3.8208206084728635E-2</v>
      </c>
      <c r="N251" s="169">
        <f t="shared" si="65"/>
        <v>9.0547645222140982E-3</v>
      </c>
      <c r="O251" s="55">
        <v>3888024</v>
      </c>
      <c r="Q251" s="167">
        <f t="shared" si="66"/>
        <v>4.7008911070806514E-2</v>
      </c>
      <c r="R251" s="170">
        <v>3.9229128421736092E-2</v>
      </c>
      <c r="S251" s="55">
        <v>3920982.0829762761</v>
      </c>
      <c r="T251" s="167">
        <f t="shared" si="67"/>
        <v>4.7008911070806514E-2</v>
      </c>
      <c r="U251" s="170">
        <v>3.9229128421736092E-2</v>
      </c>
      <c r="V251" s="55">
        <v>3920982.0829762761</v>
      </c>
      <c r="X251" s="167">
        <f t="shared" si="68"/>
        <v>4.7008911070806514E-2</v>
      </c>
      <c r="Y251" s="170">
        <v>3.9229128421736092E-2</v>
      </c>
      <c r="Z251" s="55">
        <v>3920982.0829762761</v>
      </c>
      <c r="AB251" s="55">
        <v>3884354.5312226238</v>
      </c>
      <c r="AC251" s="55">
        <v>3920982.0829762761</v>
      </c>
      <c r="AD251" s="167">
        <f t="shared" si="69"/>
        <v>4.7008911070806514E-2</v>
      </c>
      <c r="AE251" s="170">
        <v>3.9229128421736092E-2</v>
      </c>
      <c r="AF251" s="55">
        <v>3920982.0829762761</v>
      </c>
      <c r="AG251" s="166">
        <v>1498.7025584513933</v>
      </c>
      <c r="AH251" s="171">
        <f t="shared" si="70"/>
        <v>4.7008911070806514E-2</v>
      </c>
      <c r="AI251" s="171">
        <f t="shared" si="71"/>
        <v>3.922912842173587E-2</v>
      </c>
      <c r="AK251" s="55">
        <v>4003504.7287887763</v>
      </c>
      <c r="AL251" s="166">
        <v>1530.2448858051296</v>
      </c>
      <c r="AM251" s="171">
        <f t="shared" si="72"/>
        <v>-2.0612601059039282E-2</v>
      </c>
      <c r="AN251" s="170">
        <f t="shared" si="73"/>
        <v>-2.0612601059039282E-2</v>
      </c>
      <c r="AP251" s="55">
        <v>1</v>
      </c>
      <c r="AQ251" s="55">
        <v>0</v>
      </c>
    </row>
    <row r="252" spans="2:43" x14ac:dyDescent="0.2">
      <c r="B252" s="1" t="s">
        <v>516</v>
      </c>
      <c r="D252" s="55">
        <v>14451736.813293526</v>
      </c>
      <c r="E252" s="166">
        <v>1542.2773116004935</v>
      </c>
      <c r="G252" s="55">
        <v>14326960.619236281</v>
      </c>
      <c r="H252" s="166">
        <v>1508.5448214365842</v>
      </c>
      <c r="J252" s="167">
        <f t="shared" si="63"/>
        <v>8.7091880387883958E-3</v>
      </c>
      <c r="K252" s="168">
        <f t="shared" si="63"/>
        <v>2.2360946578826812E-2</v>
      </c>
      <c r="L252" s="55">
        <v>15039840</v>
      </c>
      <c r="M252" s="167">
        <f t="shared" si="64"/>
        <v>4.0694291233251967E-2</v>
      </c>
      <c r="N252" s="169">
        <f t="shared" si="65"/>
        <v>9.0547645222140982E-3</v>
      </c>
      <c r="O252" s="55">
        <v>15039840</v>
      </c>
      <c r="Q252" s="167">
        <f t="shared" si="66"/>
        <v>4.5357787781504344E-2</v>
      </c>
      <c r="R252" s="170">
        <v>3.139894853348979E-2</v>
      </c>
      <c r="S252" s="55">
        <v>15107235.624745047</v>
      </c>
      <c r="T252" s="167">
        <f t="shared" si="67"/>
        <v>4.57520396346347E-2</v>
      </c>
      <c r="U252" s="170">
        <v>3.1787935874980855E-2</v>
      </c>
      <c r="V252" s="55">
        <v>15112933.248764642</v>
      </c>
      <c r="X252" s="167">
        <f t="shared" si="68"/>
        <v>4.5357787781504344E-2</v>
      </c>
      <c r="Y252" s="170">
        <v>3.139894853348979E-2</v>
      </c>
      <c r="Z252" s="55">
        <v>15107235.624745047</v>
      </c>
      <c r="AB252" s="55">
        <v>14541660.775362942</v>
      </c>
      <c r="AC252" s="55">
        <v>15107235.624745047</v>
      </c>
      <c r="AD252" s="167">
        <f t="shared" si="69"/>
        <v>4.5357787781504344E-2</v>
      </c>
      <c r="AE252" s="170">
        <v>3.139894853348979E-2</v>
      </c>
      <c r="AF252" s="55">
        <v>15107235.624745047</v>
      </c>
      <c r="AG252" s="166">
        <v>1590.7031975318064</v>
      </c>
      <c r="AH252" s="171">
        <f t="shared" si="70"/>
        <v>4.5357787781504344E-2</v>
      </c>
      <c r="AI252" s="171">
        <f t="shared" si="71"/>
        <v>3.139894853348979E-2</v>
      </c>
      <c r="AK252" s="55">
        <v>14968223.031785134</v>
      </c>
      <c r="AL252" s="166">
        <v>1576.06598781249</v>
      </c>
      <c r="AM252" s="171">
        <f t="shared" si="72"/>
        <v>9.2871807605163781E-3</v>
      </c>
      <c r="AN252" s="170">
        <f t="shared" si="73"/>
        <v>9.2871807605163781E-3</v>
      </c>
      <c r="AP252" s="55">
        <v>18</v>
      </c>
      <c r="AQ252" s="55">
        <v>0</v>
      </c>
    </row>
    <row r="253" spans="2:43" x14ac:dyDescent="0.2">
      <c r="B253" s="1" t="s">
        <v>534</v>
      </c>
      <c r="D253" s="55">
        <v>2767063.1233366048</v>
      </c>
      <c r="E253" s="166">
        <v>1513.6071785772881</v>
      </c>
      <c r="G253" s="55">
        <v>2809661.1145161879</v>
      </c>
      <c r="H253" s="166">
        <v>1523.6003547938258</v>
      </c>
      <c r="J253" s="167">
        <f t="shared" si="63"/>
        <v>-1.5161255910721594E-2</v>
      </c>
      <c r="K253" s="168">
        <f t="shared" si="63"/>
        <v>-6.5589222167712347E-3</v>
      </c>
      <c r="L253" s="55">
        <v>2873445</v>
      </c>
      <c r="M253" s="167">
        <f t="shared" si="64"/>
        <v>3.844577153524309E-2</v>
      </c>
      <c r="N253" s="169">
        <f t="shared" si="65"/>
        <v>9.0547645222140982E-3</v>
      </c>
      <c r="O253" s="55">
        <v>2873445</v>
      </c>
      <c r="Q253" s="167">
        <f t="shared" si="66"/>
        <v>4.697556605016362E-2</v>
      </c>
      <c r="R253" s="170">
        <v>3.7909670356909952E-2</v>
      </c>
      <c r="S253" s="55">
        <v>2897047.4798518755</v>
      </c>
      <c r="T253" s="167">
        <f t="shared" si="67"/>
        <v>4.697556605016362E-2</v>
      </c>
      <c r="U253" s="170">
        <v>3.7909670356909952E-2</v>
      </c>
      <c r="V253" s="55">
        <v>2897047.4798518755</v>
      </c>
      <c r="X253" s="167">
        <f t="shared" si="68"/>
        <v>4.697556605016362E-2</v>
      </c>
      <c r="Y253" s="170">
        <v>3.7909670356909952E-2</v>
      </c>
      <c r="Z253" s="55">
        <v>2897047.4798518755</v>
      </c>
      <c r="AB253" s="55">
        <v>2846514.187603455</v>
      </c>
      <c r="AC253" s="55">
        <v>2897047.4798518755</v>
      </c>
      <c r="AD253" s="167">
        <f t="shared" si="69"/>
        <v>4.697556605016362E-2</v>
      </c>
      <c r="AE253" s="170">
        <v>3.7909670356909952E-2</v>
      </c>
      <c r="AF253" s="55">
        <v>2897047.4798518755</v>
      </c>
      <c r="AG253" s="166">
        <v>1570.9875277670055</v>
      </c>
      <c r="AH253" s="171">
        <f t="shared" si="70"/>
        <v>4.697556605016362E-2</v>
      </c>
      <c r="AI253" s="171">
        <f t="shared" si="71"/>
        <v>3.7909670356909952E-2</v>
      </c>
      <c r="AK253" s="55">
        <v>2932673.124858249</v>
      </c>
      <c r="AL253" s="166">
        <v>1590.3063150367709</v>
      </c>
      <c r="AM253" s="171">
        <f t="shared" si="72"/>
        <v>-1.2147840379618025E-2</v>
      </c>
      <c r="AN253" s="170">
        <f t="shared" si="73"/>
        <v>-1.2147840379618136E-2</v>
      </c>
      <c r="AP253" s="55">
        <v>4</v>
      </c>
      <c r="AQ253" s="55">
        <v>0</v>
      </c>
    </row>
    <row r="254" spans="2:43" x14ac:dyDescent="0.2">
      <c r="B254" s="1" t="s">
        <v>535</v>
      </c>
      <c r="D254" s="55">
        <v>2995256.0680634663</v>
      </c>
      <c r="E254" s="166">
        <v>1343.4822541227099</v>
      </c>
      <c r="G254" s="55">
        <v>3066855.2674115603</v>
      </c>
      <c r="H254" s="166">
        <v>1364.9863704235399</v>
      </c>
      <c r="J254" s="167">
        <f t="shared" si="63"/>
        <v>-2.3346129212195921E-2</v>
      </c>
      <c r="K254" s="168">
        <f t="shared" si="63"/>
        <v>-1.5754088661088628E-2</v>
      </c>
      <c r="L254" s="55">
        <v>3154194</v>
      </c>
      <c r="M254" s="167">
        <f t="shared" si="64"/>
        <v>5.3063220080309392E-2</v>
      </c>
      <c r="N254" s="169">
        <f t="shared" si="65"/>
        <v>9.0547645222140982E-3</v>
      </c>
      <c r="O254" s="55">
        <v>3154194</v>
      </c>
      <c r="Q254" s="167">
        <f t="shared" si="66"/>
        <v>5.5346715041571626E-2</v>
      </c>
      <c r="R254" s="170">
        <v>4.7206234127433078E-2</v>
      </c>
      <c r="S254" s="55">
        <v>3161033.6521391133</v>
      </c>
      <c r="T254" s="167">
        <f t="shared" si="67"/>
        <v>5.5346715041571626E-2</v>
      </c>
      <c r="U254" s="170">
        <v>4.7206234127433078E-2</v>
      </c>
      <c r="V254" s="55">
        <v>3161033.6521391133</v>
      </c>
      <c r="X254" s="167">
        <f t="shared" si="68"/>
        <v>5.5346715041571626E-2</v>
      </c>
      <c r="Y254" s="170">
        <v>4.7206234127433078E-2</v>
      </c>
      <c r="Z254" s="55">
        <v>3161033.6521391133</v>
      </c>
      <c r="AB254" s="55">
        <v>3104896.6803495819</v>
      </c>
      <c r="AC254" s="55">
        <v>3161033.6521391133</v>
      </c>
      <c r="AD254" s="167">
        <f t="shared" si="69"/>
        <v>5.5346715041571626E-2</v>
      </c>
      <c r="AE254" s="170">
        <v>4.7206234127433078E-2</v>
      </c>
      <c r="AF254" s="55">
        <v>3161033.6521391133</v>
      </c>
      <c r="AG254" s="166">
        <v>1406.9029919568782</v>
      </c>
      <c r="AH254" s="171">
        <f t="shared" si="70"/>
        <v>5.5346715041571626E-2</v>
      </c>
      <c r="AI254" s="171">
        <f t="shared" si="71"/>
        <v>4.7206234127433078E-2</v>
      </c>
      <c r="AK254" s="55">
        <v>3200168.4380117604</v>
      </c>
      <c r="AL254" s="166">
        <v>1424.3209803090615</v>
      </c>
      <c r="AM254" s="171">
        <f t="shared" si="72"/>
        <v>-1.2228976890029331E-2</v>
      </c>
      <c r="AN254" s="170">
        <f t="shared" si="73"/>
        <v>-1.222897689002922E-2</v>
      </c>
      <c r="AP254" s="55">
        <v>6</v>
      </c>
      <c r="AQ254" s="55">
        <v>0</v>
      </c>
    </row>
    <row r="255" spans="2:43" x14ac:dyDescent="0.2">
      <c r="B255" s="1" t="s">
        <v>536</v>
      </c>
      <c r="D255" s="55">
        <v>4372796.6480873795</v>
      </c>
      <c r="E255" s="166">
        <v>1514.3354805900744</v>
      </c>
      <c r="G255" s="55">
        <v>4415098.527017667</v>
      </c>
      <c r="H255" s="166">
        <v>1516.7784844214816</v>
      </c>
      <c r="J255" s="167">
        <f t="shared" si="63"/>
        <v>-9.581185713393725E-3</v>
      </c>
      <c r="K255" s="168">
        <f t="shared" si="63"/>
        <v>-1.6106530099805338E-3</v>
      </c>
      <c r="L255" s="55">
        <v>4540825</v>
      </c>
      <c r="M255" s="167">
        <f t="shared" si="64"/>
        <v>3.8425832581561847E-2</v>
      </c>
      <c r="N255" s="169">
        <f t="shared" si="65"/>
        <v>9.0547645222140982E-3</v>
      </c>
      <c r="O255" s="55">
        <v>4540825</v>
      </c>
      <c r="Q255" s="167">
        <f t="shared" si="66"/>
        <v>4.3211135355196717E-2</v>
      </c>
      <c r="R255" s="170">
        <v>3.4882772782036664E-2</v>
      </c>
      <c r="S255" s="55">
        <v>4561750.1559286341</v>
      </c>
      <c r="T255" s="167">
        <f t="shared" si="67"/>
        <v>4.3288429212160695E-2</v>
      </c>
      <c r="U255" s="170">
        <v>3.4959449571904999E-2</v>
      </c>
      <c r="V255" s="55">
        <v>4562088.1462472836</v>
      </c>
      <c r="X255" s="167">
        <f t="shared" si="68"/>
        <v>4.3238089491108189E-2</v>
      </c>
      <c r="Y255" s="170">
        <v>3.4909511732537313E-2</v>
      </c>
      <c r="Z255" s="55">
        <v>4561868.0208837995</v>
      </c>
      <c r="AB255" s="55">
        <v>4481116.3772051577</v>
      </c>
      <c r="AC255" s="55">
        <v>4561868.0208837995</v>
      </c>
      <c r="AD255" s="167">
        <f t="shared" si="69"/>
        <v>4.3238089491108189E-2</v>
      </c>
      <c r="AE255" s="170">
        <v>3.4909511732537313E-2</v>
      </c>
      <c r="AF255" s="55">
        <v>4561868.0208837995</v>
      </c>
      <c r="AG255" s="166">
        <v>1567.2001928167313</v>
      </c>
      <c r="AH255" s="171">
        <f t="shared" si="70"/>
        <v>4.3238089491108189E-2</v>
      </c>
      <c r="AI255" s="171">
        <f t="shared" si="71"/>
        <v>3.4909511732537313E-2</v>
      </c>
      <c r="AK255" s="55">
        <v>4606919.5164613575</v>
      </c>
      <c r="AL255" s="166">
        <v>1582.6773421407818</v>
      </c>
      <c r="AM255" s="171">
        <f t="shared" si="72"/>
        <v>-9.7790932566936828E-3</v>
      </c>
      <c r="AN255" s="170">
        <f t="shared" si="73"/>
        <v>-9.7790932566934607E-3</v>
      </c>
      <c r="AP255" s="55">
        <v>6</v>
      </c>
      <c r="AQ255" s="55">
        <v>0</v>
      </c>
    </row>
    <row r="256" spans="2:43" x14ac:dyDescent="0.2">
      <c r="B256" s="1" t="s">
        <v>537</v>
      </c>
      <c r="D256" s="55">
        <v>4236971.9359537791</v>
      </c>
      <c r="E256" s="166">
        <v>1493.0491655691417</v>
      </c>
      <c r="G256" s="55">
        <v>4286897.3190304041</v>
      </c>
      <c r="H256" s="166">
        <v>1501.1187123175787</v>
      </c>
      <c r="J256" s="167">
        <f t="shared" si="63"/>
        <v>-1.1646041265088392E-2</v>
      </c>
      <c r="K256" s="168">
        <f t="shared" si="63"/>
        <v>-5.3756885995901449E-3</v>
      </c>
      <c r="L256" s="55">
        <v>4444743</v>
      </c>
      <c r="M256" s="167">
        <f t="shared" si="64"/>
        <v>4.9037630455640357E-2</v>
      </c>
      <c r="N256" s="169">
        <f t="shared" si="65"/>
        <v>9.0547645222140982E-3</v>
      </c>
      <c r="O256" s="55">
        <v>4444743</v>
      </c>
      <c r="Q256" s="167">
        <f t="shared" si="66"/>
        <v>5.0434627296230383E-2</v>
      </c>
      <c r="R256" s="170">
        <v>4.3812432875982577E-2</v>
      </c>
      <c r="S256" s="55">
        <v>4450662.0364081953</v>
      </c>
      <c r="T256" s="167">
        <f t="shared" si="67"/>
        <v>5.0880581143683878E-2</v>
      </c>
      <c r="U256" s="170">
        <v>4.4255575322323049E-2</v>
      </c>
      <c r="V256" s="55">
        <v>4452551.5303445868</v>
      </c>
      <c r="X256" s="167">
        <f t="shared" si="68"/>
        <v>5.0434627296230383E-2</v>
      </c>
      <c r="Y256" s="170">
        <v>4.3812432875982577E-2</v>
      </c>
      <c r="Z256" s="55">
        <v>4450662.0364081953</v>
      </c>
      <c r="AB256" s="55">
        <v>4322583.8509149104</v>
      </c>
      <c r="AC256" s="55">
        <v>4450662.0364081953</v>
      </c>
      <c r="AD256" s="167">
        <f t="shared" si="69"/>
        <v>5.0434627296230383E-2</v>
      </c>
      <c r="AE256" s="170">
        <v>4.3812432875982577E-2</v>
      </c>
      <c r="AF256" s="55">
        <v>4450662.0364081953</v>
      </c>
      <c r="AG256" s="166">
        <v>1558.4632819161814</v>
      </c>
      <c r="AH256" s="171">
        <f t="shared" si="70"/>
        <v>5.0434627296230383E-2</v>
      </c>
      <c r="AI256" s="171">
        <f t="shared" si="71"/>
        <v>4.3812432875982577E-2</v>
      </c>
      <c r="AK256" s="55">
        <v>4470592.5463710576</v>
      </c>
      <c r="AL256" s="166">
        <v>1565.4422364431471</v>
      </c>
      <c r="AM256" s="171">
        <f t="shared" si="72"/>
        <v>-4.4581360873606757E-3</v>
      </c>
      <c r="AN256" s="170">
        <f t="shared" si="73"/>
        <v>-4.4581360873605647E-3</v>
      </c>
      <c r="AP256" s="55">
        <v>6</v>
      </c>
      <c r="AQ256" s="55">
        <v>0</v>
      </c>
    </row>
    <row r="257" spans="2:43" x14ac:dyDescent="0.2">
      <c r="B257" s="1" t="s">
        <v>538</v>
      </c>
      <c r="D257" s="55">
        <v>2206297.3848846378</v>
      </c>
      <c r="E257" s="166">
        <v>1417.994524736773</v>
      </c>
      <c r="G257" s="55">
        <v>2251946.8173056282</v>
      </c>
      <c r="H257" s="166">
        <v>1437.1407126948536</v>
      </c>
      <c r="J257" s="167">
        <f t="shared" si="63"/>
        <v>-2.0271097021557716E-2</v>
      </c>
      <c r="K257" s="168">
        <f t="shared" si="63"/>
        <v>-1.3322417066717662E-2</v>
      </c>
      <c r="L257" s="55">
        <v>2295944</v>
      </c>
      <c r="M257" s="167">
        <f t="shared" si="64"/>
        <v>4.0632154001329024E-2</v>
      </c>
      <c r="N257" s="169">
        <f t="shared" si="65"/>
        <v>9.0547645222140982E-3</v>
      </c>
      <c r="O257" s="55">
        <v>2295944</v>
      </c>
      <c r="Q257" s="167">
        <f t="shared" si="66"/>
        <v>4.5410227433755557E-2</v>
      </c>
      <c r="R257" s="170">
        <v>3.8047922646858412E-2</v>
      </c>
      <c r="S257" s="55">
        <v>2306485.8509187493</v>
      </c>
      <c r="T257" s="167">
        <f t="shared" si="67"/>
        <v>4.5410227433755557E-2</v>
      </c>
      <c r="U257" s="170">
        <v>3.8047922646858412E-2</v>
      </c>
      <c r="V257" s="55">
        <v>2306485.8509187493</v>
      </c>
      <c r="X257" s="167">
        <f t="shared" si="68"/>
        <v>4.5410227433755557E-2</v>
      </c>
      <c r="Y257" s="170">
        <v>3.8047922646858412E-2</v>
      </c>
      <c r="Z257" s="55">
        <v>2306485.8509187493</v>
      </c>
      <c r="AB257" s="55">
        <v>2273482.2147581642</v>
      </c>
      <c r="AC257" s="55">
        <v>2306485.8509187493</v>
      </c>
      <c r="AD257" s="167">
        <f t="shared" si="69"/>
        <v>4.5410227433755557E-2</v>
      </c>
      <c r="AE257" s="170">
        <v>3.8047922646858412E-2</v>
      </c>
      <c r="AF257" s="55">
        <v>2306485.8509187493</v>
      </c>
      <c r="AG257" s="166">
        <v>1471.9462707276266</v>
      </c>
      <c r="AH257" s="171">
        <f t="shared" si="70"/>
        <v>4.5410227433755557E-2</v>
      </c>
      <c r="AI257" s="171">
        <f t="shared" si="71"/>
        <v>3.8047922646858412E-2</v>
      </c>
      <c r="AK257" s="55">
        <v>2348809.5892770197</v>
      </c>
      <c r="AL257" s="166">
        <v>1498.9563080165576</v>
      </c>
      <c r="AM257" s="171">
        <f t="shared" si="72"/>
        <v>-1.8019229209336629E-2</v>
      </c>
      <c r="AN257" s="170">
        <f t="shared" si="73"/>
        <v>-1.8019229209336407E-2</v>
      </c>
      <c r="AP257" s="55">
        <v>1</v>
      </c>
      <c r="AQ257" s="55">
        <v>0</v>
      </c>
    </row>
    <row r="258" spans="2:43" x14ac:dyDescent="0.2">
      <c r="B258" s="1" t="s">
        <v>539</v>
      </c>
      <c r="D258" s="55">
        <v>2299631.0776505303</v>
      </c>
      <c r="E258" s="166">
        <v>1503.3068758889926</v>
      </c>
      <c r="G258" s="55">
        <v>2292170.8758720937</v>
      </c>
      <c r="H258" s="166">
        <v>1485.8342789184828</v>
      </c>
      <c r="J258" s="167">
        <f t="shared" si="63"/>
        <v>3.2546446937984364E-3</v>
      </c>
      <c r="K258" s="168">
        <f t="shared" si="63"/>
        <v>1.1759452058965669E-2</v>
      </c>
      <c r="L258" s="55">
        <v>2386852</v>
      </c>
      <c r="M258" s="167">
        <f t="shared" si="64"/>
        <v>3.7928223877797373E-2</v>
      </c>
      <c r="N258" s="169">
        <f t="shared" si="65"/>
        <v>9.0547645222140982E-3</v>
      </c>
      <c r="O258" s="55">
        <v>2386852</v>
      </c>
      <c r="Q258" s="167">
        <f t="shared" si="66"/>
        <v>3.7997628253051641E-2</v>
      </c>
      <c r="R258" s="170">
        <v>2.9272263883262539E-2</v>
      </c>
      <c r="S258" s="55">
        <v>2387011.6044582594</v>
      </c>
      <c r="T258" s="167">
        <f t="shared" si="67"/>
        <v>3.7997628253051641E-2</v>
      </c>
      <c r="U258" s="170">
        <v>2.9272263883262539E-2</v>
      </c>
      <c r="V258" s="55">
        <v>2387011.6044582594</v>
      </c>
      <c r="X258" s="167">
        <f t="shared" si="68"/>
        <v>3.7997628253051641E-2</v>
      </c>
      <c r="Y258" s="170">
        <v>2.9272263883262539E-2</v>
      </c>
      <c r="Z258" s="55">
        <v>2387011.6044582594</v>
      </c>
      <c r="AB258" s="55">
        <v>2332054.3772961479</v>
      </c>
      <c r="AC258" s="55">
        <v>2387011.6044582594</v>
      </c>
      <c r="AD258" s="167">
        <f t="shared" si="69"/>
        <v>3.7997628253051641E-2</v>
      </c>
      <c r="AE258" s="170">
        <v>2.9272263883262539E-2</v>
      </c>
      <c r="AF258" s="55">
        <v>2387011.6044582594</v>
      </c>
      <c r="AG258" s="166">
        <v>1547.3120714575382</v>
      </c>
      <c r="AH258" s="171">
        <f t="shared" si="70"/>
        <v>3.7997628253051641E-2</v>
      </c>
      <c r="AI258" s="171">
        <f t="shared" si="71"/>
        <v>2.9272263883262539E-2</v>
      </c>
      <c r="AK258" s="55">
        <v>2391850.6433806648</v>
      </c>
      <c r="AL258" s="166">
        <v>1550.4488401791086</v>
      </c>
      <c r="AM258" s="171">
        <f t="shared" si="72"/>
        <v>-2.0231359076693378E-3</v>
      </c>
      <c r="AN258" s="170">
        <f t="shared" si="73"/>
        <v>-2.0231359076692268E-3</v>
      </c>
      <c r="AP258" s="55">
        <v>3</v>
      </c>
      <c r="AQ258" s="55">
        <v>0</v>
      </c>
    </row>
    <row r="259" spans="2:43" x14ac:dyDescent="0.2">
      <c r="B259" s="1" t="s">
        <v>540</v>
      </c>
      <c r="D259" s="55">
        <v>2818510.0336748725</v>
      </c>
      <c r="E259" s="166">
        <v>1611.448264990602</v>
      </c>
      <c r="G259" s="55">
        <v>2758598.328347127</v>
      </c>
      <c r="H259" s="166">
        <v>1567.689285936091</v>
      </c>
      <c r="J259" s="167">
        <f t="shared" si="63"/>
        <v>2.1718169228226447E-2</v>
      </c>
      <c r="K259" s="168">
        <f t="shared" si="63"/>
        <v>2.7913043386261327E-2</v>
      </c>
      <c r="L259" s="55">
        <v>2919961</v>
      </c>
      <c r="M259" s="167">
        <f t="shared" si="64"/>
        <v>3.5994537934233461E-2</v>
      </c>
      <c r="N259" s="169">
        <f t="shared" si="65"/>
        <v>9.0547645222140982E-3</v>
      </c>
      <c r="O259" s="55">
        <v>2919961</v>
      </c>
      <c r="Q259" s="167">
        <f t="shared" si="66"/>
        <v>3.5994537934233461E-2</v>
      </c>
      <c r="R259" s="170">
        <v>2.9750959421238177E-2</v>
      </c>
      <c r="S259" s="55">
        <v>2919961</v>
      </c>
      <c r="T259" s="167">
        <f t="shared" si="67"/>
        <v>3.5994537934233461E-2</v>
      </c>
      <c r="U259" s="170">
        <v>2.9750959421238177E-2</v>
      </c>
      <c r="V259" s="55">
        <v>2919961</v>
      </c>
      <c r="X259" s="167">
        <f t="shared" si="68"/>
        <v>3.5994537934233461E-2</v>
      </c>
      <c r="Y259" s="170">
        <v>2.9750959421238177E-2</v>
      </c>
      <c r="Z259" s="55">
        <v>2919961</v>
      </c>
      <c r="AB259" s="55">
        <v>2805905.1442043865</v>
      </c>
      <c r="AC259" s="55">
        <v>2919961</v>
      </c>
      <c r="AD259" s="167">
        <f t="shared" si="69"/>
        <v>3.5994537934233461E-2</v>
      </c>
      <c r="AE259" s="170">
        <v>2.9750959421238177E-2</v>
      </c>
      <c r="AF259" s="55">
        <v>2919961</v>
      </c>
      <c r="AG259" s="166">
        <v>1659.3903969317621</v>
      </c>
      <c r="AH259" s="171">
        <f t="shared" si="70"/>
        <v>3.5994537934233461E-2</v>
      </c>
      <c r="AI259" s="171">
        <f t="shared" si="71"/>
        <v>2.9750959421238177E-2</v>
      </c>
      <c r="AK259" s="55">
        <v>2877851.4299532166</v>
      </c>
      <c r="AL259" s="166">
        <v>1635.4598662998262</v>
      </c>
      <c r="AM259" s="171">
        <f t="shared" si="72"/>
        <v>1.4632294637763055E-2</v>
      </c>
      <c r="AN259" s="170">
        <f t="shared" si="73"/>
        <v>1.4632294637763277E-2</v>
      </c>
      <c r="AP259" s="55">
        <v>3</v>
      </c>
      <c r="AQ259" s="55">
        <v>0</v>
      </c>
    </row>
    <row r="260" spans="2:43" ht="15" x14ac:dyDescent="0.25">
      <c r="B260"/>
      <c r="D260" s="1"/>
      <c r="G260" s="1"/>
      <c r="L260" s="1"/>
      <c r="O260" s="1"/>
      <c r="Q260" s="53"/>
      <c r="S260" s="1"/>
      <c r="U260" s="52"/>
      <c r="V260" s="1"/>
      <c r="X260" s="53"/>
      <c r="Y260" s="52"/>
      <c r="Z260" s="1"/>
      <c r="AB260" s="1"/>
      <c r="AC260" s="1"/>
      <c r="AD260" s="53"/>
      <c r="AE260" s="52"/>
      <c r="AF260" s="1"/>
      <c r="AG260" s="75"/>
      <c r="AK260" s="1"/>
      <c r="AL260" s="75"/>
      <c r="AP260" s="1"/>
      <c r="AQ260" s="1"/>
    </row>
    <row r="261" spans="2:43" x14ac:dyDescent="0.2">
      <c r="B261" s="1" t="s">
        <v>12</v>
      </c>
      <c r="D261" s="172">
        <f>SUM(D235:D259)</f>
        <v>88538506.675905615</v>
      </c>
      <c r="E261" s="173">
        <v>1544.388184521282</v>
      </c>
      <c r="G261" s="172">
        <f>SUM(G235:G259)</f>
        <v>88538506.675905645</v>
      </c>
      <c r="H261" s="173">
        <v>1532.9256894186628</v>
      </c>
      <c r="J261" s="167">
        <f>D261/G261-1</f>
        <v>0</v>
      </c>
      <c r="K261" s="168">
        <f>E261/H261-1</f>
        <v>7.4775282205401528E-3</v>
      </c>
      <c r="L261" s="172">
        <f>SUM(L235:L259)</f>
        <v>92076402</v>
      </c>
      <c r="M261" s="167">
        <f>O261/$D261-1</f>
        <v>3.9958832116344878E-2</v>
      </c>
      <c r="N261" s="169">
        <f>N$222</f>
        <v>9.0547645222140982E-3</v>
      </c>
      <c r="O261" s="172">
        <f>SUM(O235:O259)</f>
        <v>92076402</v>
      </c>
      <c r="Q261" s="167">
        <f>S261/$D261-1</f>
        <v>4.3532147438944069E-2</v>
      </c>
      <c r="R261" s="170">
        <v>3.5787020760736032E-2</v>
      </c>
      <c r="S261" s="172">
        <f>SUM(S235:S259)</f>
        <v>92392778.002545074</v>
      </c>
      <c r="T261" s="167">
        <f>V261/$D261-1</f>
        <v>4.3762450644539541E-2</v>
      </c>
      <c r="U261" s="170">
        <v>3.601561464908043E-2</v>
      </c>
      <c r="V261" s="172">
        <f>SUM(V235:V259)</f>
        <v>92413168.704451174</v>
      </c>
      <c r="X261" s="167">
        <f>Z261/$D261-1</f>
        <v>4.3535153838077489E-2</v>
      </c>
      <c r="Y261" s="170">
        <v>3.5790004846285584E-2</v>
      </c>
      <c r="Z261" s="172">
        <f>SUM(Z235:Z259)</f>
        <v>92393044.18463482</v>
      </c>
      <c r="AB261" s="172">
        <f>SUM(AB235:AB259)</f>
        <v>89673742.776480868</v>
      </c>
      <c r="AC261" s="172">
        <f>SUM(AC235:AC259)</f>
        <v>92393044.18463482</v>
      </c>
      <c r="AD261" s="167">
        <f>AC261/$D261-1</f>
        <v>4.3535153838077489E-2</v>
      </c>
      <c r="AE261" s="170">
        <v>3.5790004846285584E-2</v>
      </c>
      <c r="AF261" s="172">
        <f>SUM(AF235:AF259)</f>
        <v>92393044.18463482</v>
      </c>
      <c r="AG261" s="166">
        <v>1599.661845129845</v>
      </c>
      <c r="AH261" s="171">
        <f>AF261/D261 - 1</f>
        <v>4.3535153838077489E-2</v>
      </c>
      <c r="AI261" s="171">
        <f>AG261/E261 - 1</f>
        <v>3.5790004846285584E-2</v>
      </c>
      <c r="AK261" s="172">
        <f>SUM(AK235:AK259)</f>
        <v>92393127.908494964</v>
      </c>
      <c r="AL261" s="173">
        <v>1599.6632946963764</v>
      </c>
      <c r="AM261" s="171">
        <f>AF261/AK261-1</f>
        <v>-9.0616977732604909E-7</v>
      </c>
      <c r="AN261" s="170">
        <f t="shared" ref="AN261" si="74">AG261/AL261-1</f>
        <v>-9.0616977721502678E-7</v>
      </c>
      <c r="AP261" s="172">
        <f>SUM(AP235:AP259)</f>
        <v>127</v>
      </c>
      <c r="AQ261" s="172">
        <f>SUM(AQ235:AQ259)</f>
        <v>0</v>
      </c>
    </row>
    <row r="262" spans="2:43" ht="15" x14ac:dyDescent="0.25">
      <c r="B262"/>
      <c r="D262" s="1"/>
      <c r="G262" s="1"/>
      <c r="L262" s="1"/>
      <c r="O262" s="1"/>
      <c r="Q262" s="53"/>
      <c r="S262" s="1"/>
      <c r="U262" s="52"/>
      <c r="V262" s="1"/>
      <c r="X262" s="53"/>
      <c r="Y262" s="52"/>
      <c r="Z262" s="1"/>
      <c r="AB262" s="1"/>
      <c r="AC262" s="1"/>
      <c r="AD262" s="53"/>
      <c r="AE262" s="52"/>
      <c r="AF262" s="1"/>
      <c r="AG262" s="75"/>
      <c r="AK262" s="1"/>
      <c r="AL262" s="75"/>
      <c r="AP262" s="1"/>
      <c r="AQ262" s="1"/>
    </row>
    <row r="263" spans="2:43" ht="15" x14ac:dyDescent="0.25">
      <c r="B263" s="174" t="s">
        <v>541</v>
      </c>
      <c r="D263" s="1"/>
      <c r="G263" s="1"/>
      <c r="L263" s="1"/>
      <c r="O263" s="1"/>
      <c r="Q263" s="53"/>
      <c r="S263" s="1"/>
      <c r="U263" s="52"/>
      <c r="V263" s="1"/>
      <c r="X263" s="53"/>
      <c r="Y263" s="52"/>
      <c r="Z263" s="1"/>
      <c r="AB263" s="1"/>
      <c r="AC263" s="1"/>
      <c r="AD263" s="53"/>
      <c r="AE263" s="52"/>
      <c r="AF263" s="1"/>
      <c r="AG263" s="75"/>
      <c r="AK263" s="1"/>
      <c r="AL263" s="75"/>
      <c r="AP263" s="1"/>
      <c r="AQ263" s="1"/>
    </row>
    <row r="264" spans="2:43" ht="15" x14ac:dyDescent="0.25">
      <c r="B264" t="s">
        <v>542</v>
      </c>
      <c r="D264" s="55">
        <v>6473964.9527219944</v>
      </c>
      <c r="E264" s="166">
        <v>1395.1635689921159</v>
      </c>
      <c r="G264" s="55">
        <v>6611902.6033200128</v>
      </c>
      <c r="H264" s="166">
        <v>1413.3083183867734</v>
      </c>
      <c r="J264" s="167">
        <f t="shared" ref="J264:K273" si="75">D264/G264-1</f>
        <v>-2.0862020945189963E-2</v>
      </c>
      <c r="K264" s="168">
        <f t="shared" si="75"/>
        <v>-1.2838493312888E-2</v>
      </c>
      <c r="L264" s="55">
        <v>6768244</v>
      </c>
      <c r="M264" s="167">
        <f t="shared" ref="M264:M273" si="76">O264/$D264-1</f>
        <v>4.545576774466098E-2</v>
      </c>
      <c r="N264" s="169">
        <f t="shared" ref="N264:N273" si="77">N$222</f>
        <v>9.0547645222140982E-3</v>
      </c>
      <c r="O264" s="55">
        <v>6768244</v>
      </c>
      <c r="Q264" s="167">
        <f t="shared" ref="Q264:Q273" si="78">S264/$D264-1</f>
        <v>4.9170650374010139E-2</v>
      </c>
      <c r="R264" s="170">
        <v>4.0643120028416524E-2</v>
      </c>
      <c r="S264" s="55">
        <v>6792294.0199458832</v>
      </c>
      <c r="T264" s="167">
        <f t="shared" ref="T264:T273" si="79">V264/$D264-1</f>
        <v>4.9170650374010139E-2</v>
      </c>
      <c r="U264" s="170">
        <v>4.0643120028416524E-2</v>
      </c>
      <c r="V264" s="55">
        <v>6792294.0199458832</v>
      </c>
      <c r="X264" s="167">
        <f t="shared" ref="X264:X273" si="80">Z264/$D264-1</f>
        <v>4.9170650374010139E-2</v>
      </c>
      <c r="Y264" s="170">
        <v>4.0643120028416524E-2</v>
      </c>
      <c r="Z264" s="55">
        <v>6792294.0199458832</v>
      </c>
      <c r="AB264" s="55">
        <v>6685761.0888958378</v>
      </c>
      <c r="AC264" s="55">
        <v>6792294.0199458832</v>
      </c>
      <c r="AD264" s="167">
        <f t="shared" ref="AD264:AD273" si="81">AC264/$D264-1</f>
        <v>4.9170650374010139E-2</v>
      </c>
      <c r="AE264" s="170">
        <v>4.0643120028416524E-2</v>
      </c>
      <c r="AF264" s="55">
        <v>6792294.0199458832</v>
      </c>
      <c r="AG264" s="166">
        <v>1451.8673693859364</v>
      </c>
      <c r="AH264" s="171">
        <f t="shared" ref="AH264:AH273" si="82">AF264/D264 - 1</f>
        <v>4.9170650374010139E-2</v>
      </c>
      <c r="AI264" s="171">
        <f t="shared" ref="AI264:AI273" si="83">AG264/E264 - 1</f>
        <v>4.0643120028416524E-2</v>
      </c>
      <c r="AK264" s="55">
        <v>6898059.667071051</v>
      </c>
      <c r="AL264" s="166">
        <v>1474.4750025967617</v>
      </c>
      <c r="AM264" s="171">
        <f t="shared" ref="AM264:AM273" si="84">AF264/AK264-1</f>
        <v>-1.5332666319205157E-2</v>
      </c>
      <c r="AN264" s="170">
        <f t="shared" ref="AN264:AN273" si="85">AG264/AL264-1</f>
        <v>-1.5332666319205157E-2</v>
      </c>
      <c r="AP264" s="55">
        <v>12</v>
      </c>
      <c r="AQ264" s="55">
        <v>0</v>
      </c>
    </row>
    <row r="265" spans="2:43" ht="15" x14ac:dyDescent="0.25">
      <c r="B265" t="s">
        <v>543</v>
      </c>
      <c r="D265" s="55">
        <v>9630686.6515021212</v>
      </c>
      <c r="E265" s="166">
        <v>1413.588927338948</v>
      </c>
      <c r="G265" s="55">
        <v>9916436.9651623033</v>
      </c>
      <c r="H265" s="166">
        <v>1444.0558122527091</v>
      </c>
      <c r="J265" s="167">
        <f t="shared" si="75"/>
        <v>-2.8815825146074059E-2</v>
      </c>
      <c r="K265" s="168">
        <f t="shared" si="75"/>
        <v>-2.1098135304225663E-2</v>
      </c>
      <c r="L265" s="55">
        <v>10079737</v>
      </c>
      <c r="M265" s="167">
        <f t="shared" si="76"/>
        <v>4.662703343461394E-2</v>
      </c>
      <c r="N265" s="169">
        <f t="shared" si="77"/>
        <v>9.0547645222140982E-3</v>
      </c>
      <c r="O265" s="55">
        <v>10079737</v>
      </c>
      <c r="Q265" s="167">
        <f t="shared" si="78"/>
        <v>5.4709953853251836E-2</v>
      </c>
      <c r="R265" s="170">
        <v>4.6394590903688471E-2</v>
      </c>
      <c r="S265" s="55">
        <v>10157581.073780932</v>
      </c>
      <c r="T265" s="167">
        <f t="shared" si="79"/>
        <v>5.4709953853251836E-2</v>
      </c>
      <c r="U265" s="170">
        <v>4.6394590903688471E-2</v>
      </c>
      <c r="V265" s="55">
        <v>10157581.073780932</v>
      </c>
      <c r="X265" s="167">
        <f t="shared" si="80"/>
        <v>5.4709953853251836E-2</v>
      </c>
      <c r="Y265" s="170">
        <v>4.6394590903688471E-2</v>
      </c>
      <c r="Z265" s="55">
        <v>10157581.073780932</v>
      </c>
      <c r="AB265" s="55">
        <v>9946009.1397355851</v>
      </c>
      <c r="AC265" s="55">
        <v>10157581.073780932</v>
      </c>
      <c r="AD265" s="167">
        <f t="shared" si="81"/>
        <v>5.4709953853251836E-2</v>
      </c>
      <c r="AE265" s="170">
        <v>4.6394590903688471E-2</v>
      </c>
      <c r="AF265" s="55">
        <v>10157581.073780932</v>
      </c>
      <c r="AG265" s="166">
        <v>1479.1718073288225</v>
      </c>
      <c r="AH265" s="171">
        <f t="shared" si="82"/>
        <v>5.4709953853251836E-2</v>
      </c>
      <c r="AI265" s="171">
        <f t="shared" si="83"/>
        <v>4.6394590903688693E-2</v>
      </c>
      <c r="AK265" s="55">
        <v>10347058.486989811</v>
      </c>
      <c r="AL265" s="166">
        <v>1506.7639718125113</v>
      </c>
      <c r="AM265" s="171">
        <f t="shared" si="84"/>
        <v>-1.8312200848881299E-2</v>
      </c>
      <c r="AN265" s="170">
        <f t="shared" si="85"/>
        <v>-1.8312200848881299E-2</v>
      </c>
      <c r="AP265" s="55">
        <v>10</v>
      </c>
      <c r="AQ265" s="55">
        <v>0</v>
      </c>
    </row>
    <row r="266" spans="2:43" ht="15" x14ac:dyDescent="0.25">
      <c r="B266" t="s">
        <v>544</v>
      </c>
      <c r="D266" s="55">
        <v>10152764.803929895</v>
      </c>
      <c r="E266" s="166">
        <v>1491.4087115578252</v>
      </c>
      <c r="G266" s="55">
        <v>10316385.844087686</v>
      </c>
      <c r="H266" s="166">
        <v>1503.9406938107322</v>
      </c>
      <c r="J266" s="167">
        <f t="shared" si="75"/>
        <v>-1.5860306373822075E-2</v>
      </c>
      <c r="K266" s="168">
        <f t="shared" si="75"/>
        <v>-8.3327635886711882E-3</v>
      </c>
      <c r="L266" s="55">
        <v>10546216</v>
      </c>
      <c r="M266" s="167">
        <f t="shared" si="76"/>
        <v>3.8753108504769873E-2</v>
      </c>
      <c r="N266" s="169">
        <f t="shared" si="77"/>
        <v>9.0547645222140982E-3</v>
      </c>
      <c r="O266" s="55">
        <v>10546216</v>
      </c>
      <c r="Q266" s="167">
        <f t="shared" si="78"/>
        <v>4.4769961796787827E-2</v>
      </c>
      <c r="R266" s="170">
        <v>3.6839327104724928E-2</v>
      </c>
      <c r="S266" s="55">
        <v>10607303.696333608</v>
      </c>
      <c r="T266" s="167">
        <f t="shared" si="79"/>
        <v>4.4769961796787827E-2</v>
      </c>
      <c r="U266" s="170">
        <v>3.6839327104724928E-2</v>
      </c>
      <c r="V266" s="55">
        <v>10607303.696333608</v>
      </c>
      <c r="X266" s="167">
        <f t="shared" si="80"/>
        <v>4.4769961796787827E-2</v>
      </c>
      <c r="Y266" s="170">
        <v>3.6839327104724928E-2</v>
      </c>
      <c r="Z266" s="55">
        <v>10607303.696333608</v>
      </c>
      <c r="AB266" s="55">
        <v>10450353.438412171</v>
      </c>
      <c r="AC266" s="55">
        <v>10607303.696333608</v>
      </c>
      <c r="AD266" s="167">
        <f t="shared" si="81"/>
        <v>4.4769961796787827E-2</v>
      </c>
      <c r="AE266" s="170">
        <v>3.6839327104724928E-2</v>
      </c>
      <c r="AF266" s="55">
        <v>10607303.696333608</v>
      </c>
      <c r="AG266" s="166">
        <v>1546.3512049297403</v>
      </c>
      <c r="AH266" s="171">
        <f t="shared" si="82"/>
        <v>4.4769961796787827E-2</v>
      </c>
      <c r="AI266" s="171">
        <f t="shared" si="83"/>
        <v>3.6839327104724928E-2</v>
      </c>
      <c r="AK266" s="55">
        <v>10763035.293479767</v>
      </c>
      <c r="AL266" s="166">
        <v>1569.0540283603389</v>
      </c>
      <c r="AM266" s="171">
        <f t="shared" si="84"/>
        <v>-1.4469115161268808E-2</v>
      </c>
      <c r="AN266" s="170">
        <f t="shared" si="85"/>
        <v>-1.4469115161268808E-2</v>
      </c>
      <c r="AP266" s="55">
        <v>9</v>
      </c>
      <c r="AQ266" s="55">
        <v>0</v>
      </c>
    </row>
    <row r="267" spans="2:43" ht="15" x14ac:dyDescent="0.25">
      <c r="B267" t="s">
        <v>545</v>
      </c>
      <c r="D267" s="55">
        <v>8042941.0452478146</v>
      </c>
      <c r="E267" s="166">
        <v>1502.1674560585836</v>
      </c>
      <c r="G267" s="55">
        <v>8087566.6153884251</v>
      </c>
      <c r="H267" s="166">
        <v>1498.2562260653301</v>
      </c>
      <c r="J267" s="167">
        <f t="shared" si="75"/>
        <v>-5.517799390449607E-3</v>
      </c>
      <c r="K267" s="168">
        <f t="shared" si="75"/>
        <v>2.6105214349918526E-3</v>
      </c>
      <c r="L267" s="55">
        <v>8363928</v>
      </c>
      <c r="M267" s="167">
        <f t="shared" si="76"/>
        <v>3.9909151757595129E-2</v>
      </c>
      <c r="N267" s="169">
        <f t="shared" si="77"/>
        <v>9.0547645222140982E-3</v>
      </c>
      <c r="O267" s="55">
        <v>8363928</v>
      </c>
      <c r="Q267" s="167">
        <f t="shared" si="78"/>
        <v>4.3993218506663379E-2</v>
      </c>
      <c r="R267" s="170">
        <v>3.5529401662349969E-2</v>
      </c>
      <c r="S267" s="55">
        <v>8396775.9080876131</v>
      </c>
      <c r="T267" s="167">
        <f t="shared" si="79"/>
        <v>4.4240469608840316E-2</v>
      </c>
      <c r="U267" s="170">
        <v>3.5774648261043263E-2</v>
      </c>
      <c r="V267" s="55">
        <v>8398764.5341257956</v>
      </c>
      <c r="X267" s="167">
        <f t="shared" si="80"/>
        <v>4.3993218506663379E-2</v>
      </c>
      <c r="Y267" s="170">
        <v>3.5529401662349969E-2</v>
      </c>
      <c r="Z267" s="55">
        <v>8396775.9080876131</v>
      </c>
      <c r="AB267" s="55">
        <v>8186018.3360167481</v>
      </c>
      <c r="AC267" s="55">
        <v>8396775.9080876131</v>
      </c>
      <c r="AD267" s="167">
        <f t="shared" si="81"/>
        <v>4.3993218506663379E-2</v>
      </c>
      <c r="AE267" s="170">
        <v>3.5529401662349969E-2</v>
      </c>
      <c r="AF267" s="55">
        <v>8396775.9080876131</v>
      </c>
      <c r="AG267" s="166">
        <v>1555.5385669689995</v>
      </c>
      <c r="AH267" s="171">
        <f t="shared" si="82"/>
        <v>4.3993218506663379E-2</v>
      </c>
      <c r="AI267" s="171">
        <f t="shared" si="83"/>
        <v>3.5529401662349969E-2</v>
      </c>
      <c r="AK267" s="55">
        <v>8439904.7073959261</v>
      </c>
      <c r="AL267" s="166">
        <v>1563.5283610763458</v>
      </c>
      <c r="AM267" s="171">
        <f t="shared" si="84"/>
        <v>-5.1101050075268439E-3</v>
      </c>
      <c r="AN267" s="170">
        <f t="shared" si="85"/>
        <v>-5.1101050075267329E-3</v>
      </c>
      <c r="AP267" s="55">
        <v>12</v>
      </c>
      <c r="AQ267" s="55">
        <v>0</v>
      </c>
    </row>
    <row r="268" spans="2:43" ht="15" x14ac:dyDescent="0.25">
      <c r="B268" t="s">
        <v>546</v>
      </c>
      <c r="D268" s="55">
        <v>8653157.7882912718</v>
      </c>
      <c r="E268" s="166">
        <v>1548.2817460483609</v>
      </c>
      <c r="G268" s="55">
        <v>8682175.2571483832</v>
      </c>
      <c r="H268" s="166">
        <v>1544.6657096959141</v>
      </c>
      <c r="J268" s="167">
        <f t="shared" si="75"/>
        <v>-3.3421887945903617E-3</v>
      </c>
      <c r="K268" s="168">
        <f t="shared" si="75"/>
        <v>2.3409831200038589E-3</v>
      </c>
      <c r="L268" s="55">
        <v>8991603</v>
      </c>
      <c r="M268" s="167">
        <f t="shared" si="76"/>
        <v>3.9112335633898265E-2</v>
      </c>
      <c r="N268" s="169">
        <f t="shared" si="77"/>
        <v>9.0547645222140982E-3</v>
      </c>
      <c r="O268" s="55">
        <v>8991603</v>
      </c>
      <c r="Q268" s="167">
        <f t="shared" si="78"/>
        <v>4.333906676986099E-2</v>
      </c>
      <c r="R268" s="170">
        <v>3.7423439870910125E-2</v>
      </c>
      <c r="S268" s="55">
        <v>9028177.5714481696</v>
      </c>
      <c r="T268" s="167">
        <f t="shared" si="79"/>
        <v>4.333906676986099E-2</v>
      </c>
      <c r="U268" s="170">
        <v>3.7423439870910125E-2</v>
      </c>
      <c r="V268" s="55">
        <v>9028177.5714481696</v>
      </c>
      <c r="X268" s="167">
        <f t="shared" si="80"/>
        <v>4.333906676986099E-2</v>
      </c>
      <c r="Y268" s="170">
        <v>3.7423439870910125E-2</v>
      </c>
      <c r="Z268" s="55">
        <v>9028177.5714481696</v>
      </c>
      <c r="AB268" s="55">
        <v>8797150.51711246</v>
      </c>
      <c r="AC268" s="55">
        <v>9028177.5714481696</v>
      </c>
      <c r="AD268" s="167">
        <f t="shared" si="81"/>
        <v>4.333906676986099E-2</v>
      </c>
      <c r="AE268" s="170">
        <v>3.7423439870910125E-2</v>
      </c>
      <c r="AF268" s="55">
        <v>9028177.5714481696</v>
      </c>
      <c r="AG268" s="166">
        <v>1606.2237748748294</v>
      </c>
      <c r="AH268" s="171">
        <f t="shared" si="82"/>
        <v>4.333906676986099E-2</v>
      </c>
      <c r="AI268" s="171">
        <f t="shared" si="83"/>
        <v>3.7423439870910125E-2</v>
      </c>
      <c r="AK268" s="55">
        <v>9056942.7074310128</v>
      </c>
      <c r="AL268" s="166">
        <v>1611.3414461808602</v>
      </c>
      <c r="AM268" s="171">
        <f t="shared" si="84"/>
        <v>-3.1760315718064591E-3</v>
      </c>
      <c r="AN268" s="170">
        <f t="shared" si="85"/>
        <v>-3.1760315718065701E-3</v>
      </c>
      <c r="AP268" s="55">
        <v>11</v>
      </c>
      <c r="AQ268" s="55">
        <v>0</v>
      </c>
    </row>
    <row r="269" spans="2:43" ht="15" x14ac:dyDescent="0.25">
      <c r="B269" t="s">
        <v>547</v>
      </c>
      <c r="D269" s="55">
        <v>7125679.7836883133</v>
      </c>
      <c r="E269" s="166">
        <v>1538.7860802680177</v>
      </c>
      <c r="G269" s="55">
        <v>7120039.8691218635</v>
      </c>
      <c r="H269" s="166">
        <v>1527.3006680583001</v>
      </c>
      <c r="J269" s="167">
        <f t="shared" si="75"/>
        <v>7.9211839682380436E-4</v>
      </c>
      <c r="K269" s="168">
        <f t="shared" si="75"/>
        <v>7.520072798972377E-3</v>
      </c>
      <c r="L269" s="55">
        <v>7390966</v>
      </c>
      <c r="M269" s="167">
        <f t="shared" si="76"/>
        <v>3.7229601155943648E-2</v>
      </c>
      <c r="N269" s="169">
        <f t="shared" si="77"/>
        <v>9.0547645222140982E-3</v>
      </c>
      <c r="O269" s="55">
        <v>7390966</v>
      </c>
      <c r="Q269" s="167">
        <f t="shared" si="78"/>
        <v>4.1462637880998354E-2</v>
      </c>
      <c r="R269" s="170">
        <v>3.4508023944881838E-2</v>
      </c>
      <c r="S269" s="55">
        <v>7421129.2642153325</v>
      </c>
      <c r="T269" s="167">
        <f t="shared" si="79"/>
        <v>4.1727804713321826E-2</v>
      </c>
      <c r="U269" s="170">
        <v>3.4771420062750025E-2</v>
      </c>
      <c r="V269" s="55">
        <v>7423018.758151724</v>
      </c>
      <c r="X269" s="167">
        <f t="shared" si="80"/>
        <v>4.1462637880998354E-2</v>
      </c>
      <c r="Y269" s="170">
        <v>3.4508023944881838E-2</v>
      </c>
      <c r="Z269" s="55">
        <v>7421129.2642153325</v>
      </c>
      <c r="AB269" s="55">
        <v>7220750.3732448081</v>
      </c>
      <c r="AC269" s="55">
        <v>7421129.2642153325</v>
      </c>
      <c r="AD269" s="167">
        <f t="shared" si="81"/>
        <v>4.1462637880998354E-2</v>
      </c>
      <c r="AE269" s="170">
        <v>3.4508023944881838E-2</v>
      </c>
      <c r="AF269" s="55">
        <v>7421129.2642153325</v>
      </c>
      <c r="AG269" s="166">
        <v>1591.8865471719571</v>
      </c>
      <c r="AH269" s="171">
        <f t="shared" si="82"/>
        <v>4.1462637880998354E-2</v>
      </c>
      <c r="AI269" s="171">
        <f t="shared" si="83"/>
        <v>3.4508023944881616E-2</v>
      </c>
      <c r="AK269" s="55">
        <v>7427737.8968996871</v>
      </c>
      <c r="AL269" s="166">
        <v>1593.3041472555662</v>
      </c>
      <c r="AM269" s="171">
        <f t="shared" si="84"/>
        <v>-8.8972346306315231E-4</v>
      </c>
      <c r="AN269" s="170">
        <f t="shared" si="85"/>
        <v>-8.8972346306315231E-4</v>
      </c>
      <c r="AP269" s="55">
        <v>13</v>
      </c>
      <c r="AQ269" s="55">
        <v>0</v>
      </c>
    </row>
    <row r="270" spans="2:43" ht="15" x14ac:dyDescent="0.25">
      <c r="B270" t="s">
        <v>548</v>
      </c>
      <c r="D270" s="55">
        <v>8618241.9285026491</v>
      </c>
      <c r="E270" s="166">
        <v>1587.6055164339914</v>
      </c>
      <c r="G270" s="55">
        <v>8378670.7968985029</v>
      </c>
      <c r="H270" s="166">
        <v>1530.4971182946008</v>
      </c>
      <c r="J270" s="167">
        <f t="shared" si="75"/>
        <v>2.8592975832494538E-2</v>
      </c>
      <c r="K270" s="168">
        <f t="shared" si="75"/>
        <v>3.7313626701254599E-2</v>
      </c>
      <c r="L270" s="55">
        <v>8935617</v>
      </c>
      <c r="M270" s="167">
        <f t="shared" si="76"/>
        <v>3.682596452157072E-2</v>
      </c>
      <c r="N270" s="169">
        <f t="shared" si="77"/>
        <v>9.0547645222140982E-3</v>
      </c>
      <c r="O270" s="55">
        <v>8935617</v>
      </c>
      <c r="Q270" s="167">
        <f t="shared" si="78"/>
        <v>3.8756677707419085E-2</v>
      </c>
      <c r="R270" s="170">
        <v>3.0023895171160664E-2</v>
      </c>
      <c r="S270" s="55">
        <v>8952256.3533301931</v>
      </c>
      <c r="T270" s="167">
        <f t="shared" si="79"/>
        <v>3.9706894172744533E-2</v>
      </c>
      <c r="U270" s="170">
        <v>3.096612320769232E-2</v>
      </c>
      <c r="V270" s="55">
        <v>8960445.5487128142</v>
      </c>
      <c r="X270" s="167">
        <f t="shared" si="80"/>
        <v>3.8770353925392964E-2</v>
      </c>
      <c r="Y270" s="170">
        <v>3.0037456413760655E-2</v>
      </c>
      <c r="Z270" s="55">
        <v>8952374.2182853576</v>
      </c>
      <c r="AB270" s="55">
        <v>8505002.8516950309</v>
      </c>
      <c r="AC270" s="55">
        <v>8952374.2182853576</v>
      </c>
      <c r="AD270" s="167">
        <f t="shared" si="81"/>
        <v>3.8770353925392964E-2</v>
      </c>
      <c r="AE270" s="170">
        <v>3.0037456413760655E-2</v>
      </c>
      <c r="AF270" s="55">
        <v>8952374.2182853576</v>
      </c>
      <c r="AG270" s="166">
        <v>1635.2931479361234</v>
      </c>
      <c r="AH270" s="171">
        <f t="shared" si="82"/>
        <v>3.8770353925392964E-2</v>
      </c>
      <c r="AI270" s="171">
        <f t="shared" si="83"/>
        <v>3.0037456413760655E-2</v>
      </c>
      <c r="AK270" s="55">
        <v>8745336.4551243875</v>
      </c>
      <c r="AL270" s="166">
        <v>1597.4744165911325</v>
      </c>
      <c r="AM270" s="171">
        <f t="shared" si="84"/>
        <v>2.3674076374689434E-2</v>
      </c>
      <c r="AN270" s="170">
        <f t="shared" si="85"/>
        <v>2.3674076374689434E-2</v>
      </c>
      <c r="AP270" s="55">
        <v>13</v>
      </c>
      <c r="AQ270" s="55">
        <v>0</v>
      </c>
    </row>
    <row r="271" spans="2:43" ht="15" x14ac:dyDescent="0.25">
      <c r="B271" t="s">
        <v>549</v>
      </c>
      <c r="D271" s="55">
        <v>10419326.391373191</v>
      </c>
      <c r="E271" s="166">
        <v>1614.2894600957623</v>
      </c>
      <c r="G271" s="55">
        <v>10314236.953107651</v>
      </c>
      <c r="H271" s="166">
        <v>1587.0555311409369</v>
      </c>
      <c r="J271" s="167">
        <f t="shared" si="75"/>
        <v>1.0188774869465789E-2</v>
      </c>
      <c r="K271" s="168">
        <f t="shared" si="75"/>
        <v>1.7160035310955335E-2</v>
      </c>
      <c r="L271" s="55">
        <v>10830405</v>
      </c>
      <c r="M271" s="167">
        <f t="shared" si="76"/>
        <v>3.9453472632085651E-2</v>
      </c>
      <c r="N271" s="169">
        <f t="shared" si="77"/>
        <v>9.0547645222140982E-3</v>
      </c>
      <c r="O271" s="55">
        <v>10830405</v>
      </c>
      <c r="Q271" s="167">
        <f t="shared" si="78"/>
        <v>4.1396877802771126E-2</v>
      </c>
      <c r="R271" s="170">
        <v>3.4259506488435676E-2</v>
      </c>
      <c r="S271" s="55">
        <v>10850653.972784055</v>
      </c>
      <c r="T271" s="167">
        <f t="shared" si="79"/>
        <v>4.1431980372315325E-2</v>
      </c>
      <c r="U271" s="170">
        <v>3.429436847719991E-2</v>
      </c>
      <c r="V271" s="55">
        <v>10851019.717913313</v>
      </c>
      <c r="X271" s="167">
        <f t="shared" si="80"/>
        <v>4.1396877802771126E-2</v>
      </c>
      <c r="Y271" s="170">
        <v>3.4259506488435676E-2</v>
      </c>
      <c r="Z271" s="55">
        <v>10850653.972784055</v>
      </c>
      <c r="AB271" s="55">
        <v>10463583.120778793</v>
      </c>
      <c r="AC271" s="55">
        <v>10850653.972784055</v>
      </c>
      <c r="AD271" s="167">
        <f t="shared" si="81"/>
        <v>4.1396877802771126E-2</v>
      </c>
      <c r="AE271" s="170">
        <v>3.4259506488435676E-2</v>
      </c>
      <c r="AF271" s="55">
        <v>10850653.972784055</v>
      </c>
      <c r="AG271" s="166">
        <v>1669.5942203281261</v>
      </c>
      <c r="AH271" s="171">
        <f t="shared" si="82"/>
        <v>4.1396877802771126E-2</v>
      </c>
      <c r="AI271" s="171">
        <f t="shared" si="83"/>
        <v>3.4259506488435454E-2</v>
      </c>
      <c r="AK271" s="55">
        <v>10763556.993582794</v>
      </c>
      <c r="AL271" s="166">
        <v>1656.1925752800762</v>
      </c>
      <c r="AM271" s="171">
        <f t="shared" si="84"/>
        <v>8.0918398307536776E-3</v>
      </c>
      <c r="AN271" s="170">
        <f t="shared" si="85"/>
        <v>8.0918398307536776E-3</v>
      </c>
      <c r="AP271" s="55">
        <v>14</v>
      </c>
      <c r="AQ271" s="55">
        <v>0</v>
      </c>
    </row>
    <row r="272" spans="2:43" ht="15" x14ac:dyDescent="0.25">
      <c r="B272" t="s">
        <v>550</v>
      </c>
      <c r="D272" s="55">
        <v>9234841.798906181</v>
      </c>
      <c r="E272" s="166">
        <v>1677.8001344999554</v>
      </c>
      <c r="G272" s="55">
        <v>8981190.7738770973</v>
      </c>
      <c r="H272" s="166">
        <v>1618.6427685848184</v>
      </c>
      <c r="J272" s="167">
        <f t="shared" si="75"/>
        <v>2.8242471562552662E-2</v>
      </c>
      <c r="K272" s="168">
        <f t="shared" si="75"/>
        <v>3.6547511942278899E-2</v>
      </c>
      <c r="L272" s="55">
        <v>9565794</v>
      </c>
      <c r="M272" s="167">
        <f t="shared" si="76"/>
        <v>3.5837343865816829E-2</v>
      </c>
      <c r="N272" s="169">
        <f t="shared" si="77"/>
        <v>9.0547645222140982E-3</v>
      </c>
      <c r="O272" s="55">
        <v>9565794</v>
      </c>
      <c r="Q272" s="167">
        <f t="shared" si="78"/>
        <v>3.6740971995747884E-2</v>
      </c>
      <c r="R272" s="170">
        <v>2.8434381572692846E-2</v>
      </c>
      <c r="S272" s="55">
        <v>9574138.862824956</v>
      </c>
      <c r="T272" s="167">
        <f t="shared" si="79"/>
        <v>3.760266963961989E-2</v>
      </c>
      <c r="U272" s="170">
        <v>2.9289175110727816E-2</v>
      </c>
      <c r="V272" s="55">
        <v>9582096.5042446032</v>
      </c>
      <c r="X272" s="167">
        <f t="shared" si="80"/>
        <v>3.6757032599472161E-2</v>
      </c>
      <c r="Y272" s="170">
        <v>2.8450313495424817E-2</v>
      </c>
      <c r="Z272" s="55">
        <v>9574287.179959543</v>
      </c>
      <c r="AB272" s="55">
        <v>9140626.8320988491</v>
      </c>
      <c r="AC272" s="55">
        <v>9574287.179959543</v>
      </c>
      <c r="AD272" s="167">
        <f t="shared" si="81"/>
        <v>3.6757032599472161E-2</v>
      </c>
      <c r="AE272" s="170">
        <v>2.8450313495424817E-2</v>
      </c>
      <c r="AF272" s="55">
        <v>9574287.179959543</v>
      </c>
      <c r="AG272" s="166">
        <v>1725.5340743091447</v>
      </c>
      <c r="AH272" s="171">
        <f t="shared" si="82"/>
        <v>3.6757032599472161E-2</v>
      </c>
      <c r="AI272" s="171">
        <f t="shared" si="83"/>
        <v>2.8450313495424595E-2</v>
      </c>
      <c r="AK272" s="55">
        <v>9375001.8790757414</v>
      </c>
      <c r="AL272" s="166">
        <v>1689.6177109579669</v>
      </c>
      <c r="AM272" s="171">
        <f t="shared" si="84"/>
        <v>2.1257094500278573E-2</v>
      </c>
      <c r="AN272" s="170">
        <f t="shared" si="85"/>
        <v>2.1257094500278573E-2</v>
      </c>
      <c r="AP272" s="55">
        <v>17</v>
      </c>
      <c r="AQ272" s="55">
        <v>0</v>
      </c>
    </row>
    <row r="273" spans="2:43" ht="15" x14ac:dyDescent="0.25">
      <c r="B273" t="s">
        <v>551</v>
      </c>
      <c r="D273" s="55">
        <v>10186901.531742197</v>
      </c>
      <c r="E273" s="166">
        <v>1667.9022609556625</v>
      </c>
      <c r="G273" s="55">
        <v>10129900.997793728</v>
      </c>
      <c r="H273" s="166">
        <v>1647.064699406772</v>
      </c>
      <c r="J273" s="167">
        <f t="shared" si="75"/>
        <v>5.6269586406503258E-3</v>
      </c>
      <c r="K273" s="168">
        <f t="shared" si="75"/>
        <v>1.2651331521096765E-2</v>
      </c>
      <c r="L273" s="55">
        <v>10603892</v>
      </c>
      <c r="M273" s="167">
        <f t="shared" si="76"/>
        <v>4.093398438754603E-2</v>
      </c>
      <c r="N273" s="169">
        <f t="shared" si="77"/>
        <v>9.0547645222140982E-3</v>
      </c>
      <c r="O273" s="55">
        <v>10603892</v>
      </c>
      <c r="Q273" s="167">
        <f t="shared" si="78"/>
        <v>4.1775779094955778E-2</v>
      </c>
      <c r="R273" s="170">
        <v>3.4549381121244283E-2</v>
      </c>
      <c r="S273" s="55">
        <v>10612467.279794326</v>
      </c>
      <c r="T273" s="167">
        <f t="shared" si="79"/>
        <v>4.1775779094955778E-2</v>
      </c>
      <c r="U273" s="170">
        <v>3.4549381121244283E-2</v>
      </c>
      <c r="V273" s="55">
        <v>10612467.279794326</v>
      </c>
      <c r="X273" s="167">
        <f t="shared" si="80"/>
        <v>4.1775779094955778E-2</v>
      </c>
      <c r="Y273" s="170">
        <v>3.4549381121244283E-2</v>
      </c>
      <c r="Z273" s="55">
        <v>10612467.279794326</v>
      </c>
      <c r="AB273" s="55">
        <v>10278487.078490578</v>
      </c>
      <c r="AC273" s="55">
        <v>10612467.279794326</v>
      </c>
      <c r="AD273" s="167">
        <f t="shared" si="81"/>
        <v>4.1775779094955778E-2</v>
      </c>
      <c r="AE273" s="170">
        <v>3.4549381121244283E-2</v>
      </c>
      <c r="AF273" s="55">
        <v>10612467.279794326</v>
      </c>
      <c r="AG273" s="166">
        <v>1725.5272518424047</v>
      </c>
      <c r="AH273" s="171">
        <f t="shared" si="82"/>
        <v>4.1775779094955778E-2</v>
      </c>
      <c r="AI273" s="171">
        <f t="shared" si="83"/>
        <v>3.4549381121244283E-2</v>
      </c>
      <c r="AK273" s="55">
        <v>10576493.821444778</v>
      </c>
      <c r="AL273" s="166">
        <v>1719.6781706543431</v>
      </c>
      <c r="AM273" s="171">
        <f t="shared" si="84"/>
        <v>3.4012650086940877E-3</v>
      </c>
      <c r="AN273" s="170">
        <f t="shared" si="85"/>
        <v>3.4012650086940877E-3</v>
      </c>
      <c r="AP273" s="55">
        <v>16</v>
      </c>
      <c r="AQ273" s="55">
        <v>0</v>
      </c>
    </row>
    <row r="274" spans="2:43" ht="15" x14ac:dyDescent="0.25">
      <c r="B274"/>
      <c r="D274" s="1"/>
      <c r="G274" s="1"/>
      <c r="L274" s="1"/>
      <c r="O274" s="1"/>
      <c r="Q274" s="53"/>
      <c r="S274" s="1"/>
      <c r="U274" s="52"/>
      <c r="V274" s="1"/>
      <c r="X274" s="53"/>
      <c r="Y274" s="52"/>
      <c r="Z274" s="1"/>
      <c r="AB274" s="1"/>
      <c r="AC274" s="1"/>
      <c r="AD274" s="53"/>
      <c r="AE274" s="52"/>
      <c r="AF274" s="1"/>
      <c r="AG274" s="75"/>
      <c r="AK274" s="1"/>
      <c r="AL274" s="75"/>
      <c r="AP274" s="1"/>
      <c r="AQ274" s="1"/>
    </row>
    <row r="275" spans="2:43" ht="15" x14ac:dyDescent="0.25">
      <c r="B275" t="s">
        <v>12</v>
      </c>
      <c r="D275" s="172">
        <f>SUM(D264:D273)</f>
        <v>88538506.67590563</v>
      </c>
      <c r="E275" s="173">
        <v>1544.3881845212823</v>
      </c>
      <c r="G275" s="172">
        <f>SUM(G264:G273)</f>
        <v>88538506.675905675</v>
      </c>
      <c r="H275" s="173">
        <v>1532.9256894186633</v>
      </c>
      <c r="J275" s="167">
        <f>D275/G275-1</f>
        <v>0</v>
      </c>
      <c r="K275" s="168">
        <f>E275/H275-1</f>
        <v>7.4775282205401528E-3</v>
      </c>
      <c r="L275" s="172">
        <f>SUM(L264:L273)</f>
        <v>92076402</v>
      </c>
      <c r="M275" s="167">
        <f>O275/$D275-1</f>
        <v>3.9958832116344656E-2</v>
      </c>
      <c r="N275" s="169">
        <f>N$222</f>
        <v>9.0547645222140982E-3</v>
      </c>
      <c r="O275" s="172">
        <f>SUM(O264:O273)</f>
        <v>92076402</v>
      </c>
      <c r="Q275" s="167">
        <f>S275/$D275-1</f>
        <v>4.3532147438943847E-2</v>
      </c>
      <c r="R275" s="170">
        <v>3.578702076073581E-2</v>
      </c>
      <c r="S275" s="172">
        <f>SUM(S264:S273)</f>
        <v>92392778.002545074</v>
      </c>
      <c r="T275" s="167">
        <f>V275/$D275-1</f>
        <v>4.3762450644539319E-2</v>
      </c>
      <c r="U275" s="170">
        <v>3.6015614649080208E-2</v>
      </c>
      <c r="V275" s="172">
        <f>SUM(V264:V273)</f>
        <v>92413168.704451159</v>
      </c>
      <c r="X275" s="167">
        <f>Z275/$D275-1</f>
        <v>4.3535153838077267E-2</v>
      </c>
      <c r="Y275" s="170">
        <v>3.5790004846285361E-2</v>
      </c>
      <c r="Z275" s="172">
        <f>SUM(Z264:Z273)</f>
        <v>92393044.18463482</v>
      </c>
      <c r="AB275" s="172">
        <f>SUM(AB264:AB273)</f>
        <v>89673742.776480883</v>
      </c>
      <c r="AC275" s="172">
        <f>SUM(AC264:AC273)</f>
        <v>92393044.18463482</v>
      </c>
      <c r="AD275" s="167">
        <f>AC275/$D275-1</f>
        <v>4.3535153838077267E-2</v>
      </c>
      <c r="AE275" s="170">
        <v>3.5790004846285361E-2</v>
      </c>
      <c r="AF275" s="172">
        <f>SUM(AF264:AF273)</f>
        <v>92393044.18463482</v>
      </c>
      <c r="AG275" s="166">
        <v>1599.661845129845</v>
      </c>
      <c r="AH275" s="171">
        <f>AF275/D275 - 1</f>
        <v>4.3535153838077267E-2</v>
      </c>
      <c r="AI275" s="171">
        <f>AG275/E275 - 1</f>
        <v>3.5790004846285584E-2</v>
      </c>
      <c r="AK275" s="172">
        <f>SUM(AK264:AK273)</f>
        <v>92393127.908494949</v>
      </c>
      <c r="AL275" s="173">
        <v>1599.6632946963762</v>
      </c>
      <c r="AM275" s="171">
        <f>AF275/AK275-1</f>
        <v>-9.0616977721502678E-7</v>
      </c>
      <c r="AN275" s="170">
        <f t="shared" ref="AN275" si="86">AG275/AL275-1</f>
        <v>-9.0616977710400448E-7</v>
      </c>
      <c r="AP275" s="172">
        <f>SUM(AP264:AP273)</f>
        <v>127</v>
      </c>
      <c r="AQ275" s="172">
        <f>SUM(AQ264:AQ273)</f>
        <v>0</v>
      </c>
    </row>
    <row r="276" spans="2:43" ht="15" x14ac:dyDescent="0.25">
      <c r="B276"/>
      <c r="D276" s="1"/>
      <c r="G276" s="1"/>
      <c r="L276" s="1"/>
      <c r="O276" s="1"/>
      <c r="Q276" s="53"/>
      <c r="S276" s="1"/>
      <c r="U276" s="52"/>
      <c r="V276" s="1"/>
      <c r="X276" s="53"/>
      <c r="Y276" s="52"/>
      <c r="Z276" s="1"/>
      <c r="AB276" s="1"/>
      <c r="AC276" s="1"/>
      <c r="AD276" s="53"/>
      <c r="AE276" s="52"/>
      <c r="AF276" s="1"/>
      <c r="AG276" s="75"/>
      <c r="AK276" s="1"/>
      <c r="AL276" s="75"/>
      <c r="AP276" s="1"/>
      <c r="AQ276" s="1"/>
    </row>
    <row r="277" spans="2:43" ht="15" x14ac:dyDescent="0.25">
      <c r="B277" s="174" t="s">
        <v>552</v>
      </c>
      <c r="D277" s="1"/>
      <c r="G277" s="1"/>
      <c r="L277" s="1"/>
      <c r="O277" s="1"/>
      <c r="Q277" s="53"/>
      <c r="S277" s="1"/>
      <c r="U277" s="52"/>
      <c r="V277" s="1"/>
      <c r="X277" s="53"/>
      <c r="Y277" s="52"/>
      <c r="Z277" s="1"/>
      <c r="AB277" s="1"/>
      <c r="AC277" s="1"/>
      <c r="AD277" s="53"/>
      <c r="AE277" s="52"/>
      <c r="AF277" s="1"/>
      <c r="AG277" s="75"/>
      <c r="AK277" s="1"/>
      <c r="AL277" s="75"/>
      <c r="AP277" s="1"/>
      <c r="AQ277" s="1"/>
    </row>
    <row r="278" spans="2:43" ht="15" x14ac:dyDescent="0.25">
      <c r="B278" t="s">
        <v>553</v>
      </c>
      <c r="D278" s="55">
        <v>9107620.8940791097</v>
      </c>
      <c r="E278" s="166">
        <v>1569.3654444151509</v>
      </c>
      <c r="G278" s="55">
        <v>8917707.4965722859</v>
      </c>
      <c r="H278" s="166">
        <v>1516.9415443439361</v>
      </c>
      <c r="J278" s="167">
        <f t="shared" ref="J278:K287" si="87">D278/G278-1</f>
        <v>2.1296212908959111E-2</v>
      </c>
      <c r="K278" s="168">
        <f t="shared" si="87"/>
        <v>3.4558945443008193E-2</v>
      </c>
      <c r="L278" s="55">
        <v>9473269</v>
      </c>
      <c r="M278" s="167">
        <f t="shared" ref="M278:M287" si="88">O278/$D278-1</f>
        <v>4.0147488589319602E-2</v>
      </c>
      <c r="N278" s="169">
        <f t="shared" ref="N278:N287" si="89">N$222</f>
        <v>9.0547645222140982E-3</v>
      </c>
      <c r="O278" s="55">
        <v>9473269</v>
      </c>
      <c r="Q278" s="167">
        <f t="shared" ref="Q278:Q287" si="90">S278/$D278-1</f>
        <v>4.1233829959943735E-2</v>
      </c>
      <c r="R278" s="170">
        <v>2.788552742678152E-2</v>
      </c>
      <c r="S278" s="55">
        <v>9483162.9853651989</v>
      </c>
      <c r="T278" s="167">
        <f t="shared" ref="T278:T287" si="91">V278/$D278-1</f>
        <v>4.1559791995483542E-2</v>
      </c>
      <c r="U278" s="170">
        <v>2.8207310727689894E-2</v>
      </c>
      <c r="V278" s="55">
        <v>9486131.7240107581</v>
      </c>
      <c r="X278" s="167">
        <f t="shared" ref="X278:X287" si="92">Z278/$D278-1</f>
        <v>4.1233829959943735E-2</v>
      </c>
      <c r="Y278" s="170">
        <v>2.788552742678152E-2</v>
      </c>
      <c r="Z278" s="55">
        <v>9483162.9853651989</v>
      </c>
      <c r="AB278" s="55">
        <v>9074894.6288186349</v>
      </c>
      <c r="AC278" s="55">
        <v>9483162.9853651989</v>
      </c>
      <c r="AD278" s="167">
        <f t="shared" ref="AD278:AD287" si="93">AC278/$D278-1</f>
        <v>4.1233829959943735E-2</v>
      </c>
      <c r="AE278" s="170">
        <v>2.788552742678152E-2</v>
      </c>
      <c r="AF278" s="55">
        <v>9483162.9853651989</v>
      </c>
      <c r="AG278" s="166">
        <v>1613.1280275580327</v>
      </c>
      <c r="AH278" s="171">
        <f t="shared" ref="AH278:AH287" si="94">AF278/D278 - 1</f>
        <v>4.1233829959943735E-2</v>
      </c>
      <c r="AI278" s="171">
        <f t="shared" ref="AI278:AI287" si="95">AG278/E278 - 1</f>
        <v>2.788552742678152E-2</v>
      </c>
      <c r="AK278" s="55">
        <v>9319467.3136131316</v>
      </c>
      <c r="AL278" s="166">
        <v>1585.2826687362233</v>
      </c>
      <c r="AM278" s="171">
        <f t="shared" ref="AM278:AM287" si="96">AF278/AK278-1</f>
        <v>1.7564917204329289E-2</v>
      </c>
      <c r="AN278" s="170">
        <f t="shared" ref="AN278:AN287" si="97">AG278/AL278-1</f>
        <v>1.7564917204329067E-2</v>
      </c>
      <c r="AP278" s="55">
        <v>16</v>
      </c>
      <c r="AQ278" s="55">
        <v>0</v>
      </c>
    </row>
    <row r="279" spans="2:43" ht="15" x14ac:dyDescent="0.25">
      <c r="B279" t="s">
        <v>554</v>
      </c>
      <c r="D279" s="55">
        <v>9569200.1029879879</v>
      </c>
      <c r="E279" s="166">
        <v>1497.9249739818249</v>
      </c>
      <c r="G279" s="55">
        <v>9672571.9660496768</v>
      </c>
      <c r="H279" s="166">
        <v>1497.3890744509151</v>
      </c>
      <c r="J279" s="167">
        <f t="shared" si="87"/>
        <v>-1.0687112323849335E-2</v>
      </c>
      <c r="K279" s="168">
        <f t="shared" si="87"/>
        <v>3.5788930215496784E-4</v>
      </c>
      <c r="L279" s="55">
        <v>10002812</v>
      </c>
      <c r="M279" s="167">
        <f t="shared" si="88"/>
        <v>4.5313285577194273E-2</v>
      </c>
      <c r="N279" s="169">
        <f t="shared" si="89"/>
        <v>9.0547645222140982E-3</v>
      </c>
      <c r="O279" s="55">
        <v>10002812</v>
      </c>
      <c r="Q279" s="167">
        <f t="shared" si="90"/>
        <v>5.0026022136656412E-2</v>
      </c>
      <c r="R279" s="170">
        <v>3.8432632165056768E-2</v>
      </c>
      <c r="S279" s="55">
        <v>10047909.119170159</v>
      </c>
      <c r="T279" s="167">
        <f t="shared" si="91"/>
        <v>5.0311195959406918E-2</v>
      </c>
      <c r="U279" s="170">
        <v>3.871465736932822E-2</v>
      </c>
      <c r="V279" s="55">
        <v>10050638.004544193</v>
      </c>
      <c r="X279" s="167">
        <f t="shared" si="92"/>
        <v>5.0026022136656412E-2</v>
      </c>
      <c r="Y279" s="170">
        <v>3.8432632165056768E-2</v>
      </c>
      <c r="Z279" s="55">
        <v>10047909.119170159</v>
      </c>
      <c r="AB279" s="55">
        <v>9777644.7232024595</v>
      </c>
      <c r="AC279" s="55">
        <v>10047909.119170159</v>
      </c>
      <c r="AD279" s="167">
        <f t="shared" si="93"/>
        <v>5.0026022136656412E-2</v>
      </c>
      <c r="AE279" s="170">
        <v>3.8432632165056768E-2</v>
      </c>
      <c r="AF279" s="55">
        <v>10047909.119170159</v>
      </c>
      <c r="AG279" s="166">
        <v>1555.4941735177204</v>
      </c>
      <c r="AH279" s="171">
        <f t="shared" si="94"/>
        <v>5.0026022136656412E-2</v>
      </c>
      <c r="AI279" s="171">
        <f t="shared" si="95"/>
        <v>3.8432632165056546E-2</v>
      </c>
      <c r="AK279" s="55">
        <v>10101143.66984373</v>
      </c>
      <c r="AL279" s="166">
        <v>1563.7352943738583</v>
      </c>
      <c r="AM279" s="171">
        <f t="shared" si="96"/>
        <v>-5.2701508278214515E-3</v>
      </c>
      <c r="AN279" s="170">
        <f t="shared" si="97"/>
        <v>-5.2701508278214515E-3</v>
      </c>
      <c r="AP279" s="55">
        <v>10</v>
      </c>
      <c r="AQ279" s="55">
        <v>0</v>
      </c>
    </row>
    <row r="280" spans="2:43" ht="15" x14ac:dyDescent="0.25">
      <c r="B280" t="s">
        <v>555</v>
      </c>
      <c r="D280" s="55">
        <v>9170670.080845071</v>
      </c>
      <c r="E280" s="166">
        <v>1598.432653618298</v>
      </c>
      <c r="G280" s="55">
        <v>9109192.1043091565</v>
      </c>
      <c r="H280" s="166">
        <v>1575.7857586434534</v>
      </c>
      <c r="J280" s="167">
        <f t="shared" si="87"/>
        <v>6.749004284016813E-3</v>
      </c>
      <c r="K280" s="168">
        <f t="shared" si="87"/>
        <v>1.4371810920756456E-2</v>
      </c>
      <c r="L280" s="55">
        <v>9522925</v>
      </c>
      <c r="M280" s="167">
        <f t="shared" si="88"/>
        <v>3.8411033877523204E-2</v>
      </c>
      <c r="N280" s="169">
        <f t="shared" si="89"/>
        <v>9.0547645222140982E-3</v>
      </c>
      <c r="O280" s="55">
        <v>9522925</v>
      </c>
      <c r="Q280" s="167">
        <f t="shared" si="90"/>
        <v>4.0106192889586278E-2</v>
      </c>
      <c r="R280" s="170">
        <v>3.22899973834474E-2</v>
      </c>
      <c r="S280" s="55">
        <v>9538470.7440342009</v>
      </c>
      <c r="T280" s="167">
        <f t="shared" si="91"/>
        <v>4.0106192889586278E-2</v>
      </c>
      <c r="U280" s="170">
        <v>3.22899973834474E-2</v>
      </c>
      <c r="V280" s="55">
        <v>9538470.7440342009</v>
      </c>
      <c r="X280" s="167">
        <f t="shared" si="92"/>
        <v>4.0106192889586278E-2</v>
      </c>
      <c r="Y280" s="170">
        <v>3.22899973834474E-2</v>
      </c>
      <c r="Z280" s="55">
        <v>9538470.7440342009</v>
      </c>
      <c r="AB280" s="55">
        <v>9251788.1525421999</v>
      </c>
      <c r="AC280" s="55">
        <v>9538470.7440342009</v>
      </c>
      <c r="AD280" s="167">
        <f t="shared" si="93"/>
        <v>4.0106192889586278E-2</v>
      </c>
      <c r="AE280" s="170">
        <v>3.22899973834474E-2</v>
      </c>
      <c r="AF280" s="55">
        <v>9538470.7440342009</v>
      </c>
      <c r="AG280" s="166">
        <v>1650.0460398212495</v>
      </c>
      <c r="AH280" s="171">
        <f t="shared" si="94"/>
        <v>4.0106192889586278E-2</v>
      </c>
      <c r="AI280" s="171">
        <f t="shared" si="95"/>
        <v>3.2289997383447178E-2</v>
      </c>
      <c r="AK280" s="55">
        <v>9505790.1041001659</v>
      </c>
      <c r="AL280" s="166">
        <v>1644.3926639343754</v>
      </c>
      <c r="AM280" s="171">
        <f t="shared" si="96"/>
        <v>3.437971970361442E-3</v>
      </c>
      <c r="AN280" s="170">
        <f t="shared" si="97"/>
        <v>3.4379719703612199E-3</v>
      </c>
      <c r="AP280" s="55">
        <v>15</v>
      </c>
      <c r="AQ280" s="55">
        <v>0</v>
      </c>
    </row>
    <row r="281" spans="2:43" ht="15" x14ac:dyDescent="0.25">
      <c r="B281" t="s">
        <v>556</v>
      </c>
      <c r="D281" s="55">
        <v>11325811.991924372</v>
      </c>
      <c r="E281" s="166">
        <v>1481.4473941965136</v>
      </c>
      <c r="G281" s="55">
        <v>11483029.875187846</v>
      </c>
      <c r="H281" s="166">
        <v>1491.0778791580842</v>
      </c>
      <c r="J281" s="167">
        <f t="shared" si="87"/>
        <v>-1.3691324064495025E-2</v>
      </c>
      <c r="K281" s="168">
        <f t="shared" si="87"/>
        <v>-6.4587404160326711E-3</v>
      </c>
      <c r="L281" s="55">
        <v>11811069</v>
      </c>
      <c r="M281" s="167">
        <f t="shared" si="88"/>
        <v>4.2845228970923355E-2</v>
      </c>
      <c r="N281" s="169">
        <f t="shared" si="89"/>
        <v>9.0547645222140982E-3</v>
      </c>
      <c r="O281" s="55">
        <v>11811069</v>
      </c>
      <c r="Q281" s="167">
        <f t="shared" si="90"/>
        <v>5.0197829890925805E-2</v>
      </c>
      <c r="R281" s="170">
        <v>4.2552809033613581E-2</v>
      </c>
      <c r="S281" s="55">
        <v>11894343.1756716</v>
      </c>
      <c r="T281" s="167">
        <f t="shared" si="91"/>
        <v>5.0197829890925805E-2</v>
      </c>
      <c r="U281" s="170">
        <v>4.2552809033613581E-2</v>
      </c>
      <c r="V281" s="55">
        <v>11894343.1756716</v>
      </c>
      <c r="X281" s="167">
        <f t="shared" si="92"/>
        <v>5.0197829890925805E-2</v>
      </c>
      <c r="Y281" s="170">
        <v>4.2552809033613581E-2</v>
      </c>
      <c r="Z281" s="55">
        <v>11894343.1756716</v>
      </c>
      <c r="AB281" s="55">
        <v>11585670.275390178</v>
      </c>
      <c r="AC281" s="55">
        <v>11894343.1756716</v>
      </c>
      <c r="AD281" s="167">
        <f t="shared" si="93"/>
        <v>5.0197829890925805E-2</v>
      </c>
      <c r="AE281" s="170">
        <v>4.2552809033613581E-2</v>
      </c>
      <c r="AF281" s="55">
        <v>11894343.1756716</v>
      </c>
      <c r="AG281" s="166">
        <v>1544.4871422551028</v>
      </c>
      <c r="AH281" s="171">
        <f t="shared" si="94"/>
        <v>5.0197829890925805E-2</v>
      </c>
      <c r="AI281" s="171">
        <f t="shared" si="95"/>
        <v>4.2552809033613803E-2</v>
      </c>
      <c r="AK281" s="55">
        <v>11982599.502536055</v>
      </c>
      <c r="AL281" s="166">
        <v>1555.9472758708555</v>
      </c>
      <c r="AM281" s="171">
        <f t="shared" si="96"/>
        <v>-7.3653740030096282E-3</v>
      </c>
      <c r="AN281" s="170">
        <f t="shared" si="97"/>
        <v>-7.3653740030095172E-3</v>
      </c>
      <c r="AP281" s="55">
        <v>9</v>
      </c>
      <c r="AQ281" s="55">
        <v>0</v>
      </c>
    </row>
    <row r="282" spans="2:43" ht="15" x14ac:dyDescent="0.25">
      <c r="B282" t="s">
        <v>557</v>
      </c>
      <c r="D282" s="55">
        <v>8034897.8413341437</v>
      </c>
      <c r="E282" s="166">
        <v>1524.5496101266567</v>
      </c>
      <c r="G282" s="55">
        <v>8157507.8918257747</v>
      </c>
      <c r="H282" s="166">
        <v>1536.4496539499396</v>
      </c>
      <c r="J282" s="167">
        <f t="shared" si="87"/>
        <v>-1.5030331826524135E-2</v>
      </c>
      <c r="K282" s="168">
        <f t="shared" si="87"/>
        <v>-7.7451570200754993E-3</v>
      </c>
      <c r="L282" s="55">
        <v>8377234</v>
      </c>
      <c r="M282" s="167">
        <f t="shared" si="88"/>
        <v>4.2606161948290922E-2</v>
      </c>
      <c r="N282" s="169">
        <f t="shared" si="89"/>
        <v>9.0547645222140982E-3</v>
      </c>
      <c r="O282" s="55">
        <v>8377234</v>
      </c>
      <c r="Q282" s="167">
        <f t="shared" si="90"/>
        <v>4.86641574880331E-2</v>
      </c>
      <c r="R282" s="170">
        <v>4.0964823234733716E-2</v>
      </c>
      <c r="S282" s="55">
        <v>8425909.3752850853</v>
      </c>
      <c r="T282" s="167">
        <f t="shared" si="91"/>
        <v>4.9010171544296544E-2</v>
      </c>
      <c r="U282" s="170">
        <v>4.1308296841934933E-2</v>
      </c>
      <c r="V282" s="55">
        <v>8428689.5628788285</v>
      </c>
      <c r="X282" s="167">
        <f t="shared" si="92"/>
        <v>4.86641574880331E-2</v>
      </c>
      <c r="Y282" s="170">
        <v>4.0964823234733716E-2</v>
      </c>
      <c r="Z282" s="55">
        <v>8425909.3752850853</v>
      </c>
      <c r="AB282" s="55">
        <v>8212159.5233119652</v>
      </c>
      <c r="AC282" s="55">
        <v>8425909.3752850853</v>
      </c>
      <c r="AD282" s="167">
        <f t="shared" si="93"/>
        <v>4.86641574880331E-2</v>
      </c>
      <c r="AE282" s="170">
        <v>4.0964823234733716E-2</v>
      </c>
      <c r="AF282" s="55">
        <v>8425909.3752850853</v>
      </c>
      <c r="AG282" s="166">
        <v>1587.0025154180771</v>
      </c>
      <c r="AH282" s="171">
        <f t="shared" si="94"/>
        <v>4.86641574880331E-2</v>
      </c>
      <c r="AI282" s="171">
        <f t="shared" si="95"/>
        <v>4.0964823234733494E-2</v>
      </c>
      <c r="AK282" s="55">
        <v>8511267.9287373759</v>
      </c>
      <c r="AL282" s="166">
        <v>1603.0796215211381</v>
      </c>
      <c r="AM282" s="171">
        <f t="shared" si="96"/>
        <v>-1.0028888077190823E-2</v>
      </c>
      <c r="AN282" s="170">
        <f t="shared" si="97"/>
        <v>-1.0028888077190823E-2</v>
      </c>
      <c r="AP282" s="55">
        <v>11</v>
      </c>
      <c r="AQ282" s="55">
        <v>0</v>
      </c>
    </row>
    <row r="283" spans="2:43" ht="15" x14ac:dyDescent="0.25">
      <c r="B283" t="s">
        <v>558</v>
      </c>
      <c r="D283" s="55">
        <v>7994605.5326793296</v>
      </c>
      <c r="E283" s="166">
        <v>1562.3077983582218</v>
      </c>
      <c r="G283" s="55">
        <v>7868887.9883122891</v>
      </c>
      <c r="H283" s="166">
        <v>1528.5557968609899</v>
      </c>
      <c r="J283" s="167">
        <f t="shared" si="87"/>
        <v>1.5976532459703208E-2</v>
      </c>
      <c r="K283" s="168">
        <f t="shared" si="87"/>
        <v>2.2080974450879864E-2</v>
      </c>
      <c r="L283" s="55">
        <v>8282987</v>
      </c>
      <c r="M283" s="167">
        <f t="shared" si="88"/>
        <v>3.6072007073002066E-2</v>
      </c>
      <c r="N283" s="169">
        <f t="shared" si="89"/>
        <v>9.0547645222140982E-3</v>
      </c>
      <c r="O283" s="55">
        <v>8282987</v>
      </c>
      <c r="Q283" s="167">
        <f t="shared" si="90"/>
        <v>3.8184399221983023E-2</v>
      </c>
      <c r="R283" s="170">
        <v>3.1983778527913342E-2</v>
      </c>
      <c r="S283" s="55">
        <v>8299874.7419614308</v>
      </c>
      <c r="T283" s="167">
        <f t="shared" si="91"/>
        <v>3.8908140440517602E-2</v>
      </c>
      <c r="U283" s="170">
        <v>3.2703197157146535E-2</v>
      </c>
      <c r="V283" s="55">
        <v>8305660.7675113557</v>
      </c>
      <c r="X283" s="167">
        <f t="shared" si="92"/>
        <v>3.8184399221983023E-2</v>
      </c>
      <c r="Y283" s="170">
        <v>3.1983778527913342E-2</v>
      </c>
      <c r="Z283" s="55">
        <v>8299874.7419614308</v>
      </c>
      <c r="AB283" s="55">
        <v>7980222.5909031387</v>
      </c>
      <c r="AC283" s="55">
        <v>8299874.7419614308</v>
      </c>
      <c r="AD283" s="167">
        <f t="shared" si="93"/>
        <v>3.8184399221983023E-2</v>
      </c>
      <c r="AE283" s="170">
        <v>3.1983778527913342E-2</v>
      </c>
      <c r="AF283" s="55">
        <v>8299874.7419614308</v>
      </c>
      <c r="AG283" s="166">
        <v>1612.2763049733426</v>
      </c>
      <c r="AH283" s="171">
        <f t="shared" si="94"/>
        <v>3.8184399221983023E-2</v>
      </c>
      <c r="AI283" s="171">
        <f t="shared" si="95"/>
        <v>3.198377852791312E-2</v>
      </c>
      <c r="AK283" s="55">
        <v>8207739.6810232187</v>
      </c>
      <c r="AL283" s="166">
        <v>1594.378784802713</v>
      </c>
      <c r="AM283" s="171">
        <f t="shared" si="96"/>
        <v>1.1225387806978571E-2</v>
      </c>
      <c r="AN283" s="170">
        <f t="shared" si="97"/>
        <v>1.1225387806978571E-2</v>
      </c>
      <c r="AP283" s="55">
        <v>13</v>
      </c>
      <c r="AQ283" s="55">
        <v>0</v>
      </c>
    </row>
    <row r="284" spans="2:43" ht="15" x14ac:dyDescent="0.25">
      <c r="B284" t="s">
        <v>559</v>
      </c>
      <c r="D284" s="55">
        <v>7257180.4123500772</v>
      </c>
      <c r="E284" s="166">
        <v>1532.9698429109517</v>
      </c>
      <c r="G284" s="55">
        <v>7271421.9071962209</v>
      </c>
      <c r="H284" s="166">
        <v>1527.4280772637094</v>
      </c>
      <c r="J284" s="167">
        <f t="shared" si="87"/>
        <v>-1.9585570783685613E-3</v>
      </c>
      <c r="K284" s="168">
        <f t="shared" si="87"/>
        <v>3.6281679836409619E-3</v>
      </c>
      <c r="L284" s="55">
        <v>7536428</v>
      </c>
      <c r="M284" s="167">
        <f t="shared" si="88"/>
        <v>3.8478799173120581E-2</v>
      </c>
      <c r="N284" s="169">
        <f t="shared" si="89"/>
        <v>9.0547645222140982E-3</v>
      </c>
      <c r="O284" s="55">
        <v>7536428</v>
      </c>
      <c r="Q284" s="167">
        <f t="shared" si="90"/>
        <v>4.2549912565347237E-2</v>
      </c>
      <c r="R284" s="170">
        <v>3.6746528492711761E-2</v>
      </c>
      <c r="S284" s="55">
        <v>7565972.8043665234</v>
      </c>
      <c r="T284" s="167">
        <f t="shared" si="91"/>
        <v>4.2813204138802075E-2</v>
      </c>
      <c r="U284" s="170">
        <v>3.700835444605044E-2</v>
      </c>
      <c r="V284" s="55">
        <v>7567883.5588161368</v>
      </c>
      <c r="X284" s="167">
        <f t="shared" si="92"/>
        <v>4.2570349860020951E-2</v>
      </c>
      <c r="Y284" s="170">
        <v>3.6766852022596774E-2</v>
      </c>
      <c r="Z284" s="55">
        <v>7566121.1215011105</v>
      </c>
      <c r="AB284" s="55">
        <v>7367420.2979108226</v>
      </c>
      <c r="AC284" s="55">
        <v>7566121.1215011105</v>
      </c>
      <c r="AD284" s="167">
        <f t="shared" si="93"/>
        <v>4.2570349860020951E-2</v>
      </c>
      <c r="AE284" s="170">
        <v>3.6766852022596774E-2</v>
      </c>
      <c r="AF284" s="55">
        <v>7566121.1215011105</v>
      </c>
      <c r="AG284" s="166">
        <v>1589.332318280362</v>
      </c>
      <c r="AH284" s="171">
        <f t="shared" si="94"/>
        <v>4.2570349860020951E-2</v>
      </c>
      <c r="AI284" s="171">
        <f t="shared" si="95"/>
        <v>3.6766852022596774E-2</v>
      </c>
      <c r="AK284" s="55">
        <v>7585522.986796164</v>
      </c>
      <c r="AL284" s="166">
        <v>1593.407855937395</v>
      </c>
      <c r="AM284" s="171">
        <f t="shared" si="96"/>
        <v>-2.5577491926167539E-3</v>
      </c>
      <c r="AN284" s="170">
        <f t="shared" si="97"/>
        <v>-2.5577491926167539E-3</v>
      </c>
      <c r="AP284" s="55">
        <v>13</v>
      </c>
      <c r="AQ284" s="55">
        <v>0</v>
      </c>
    </row>
    <row r="285" spans="2:43" ht="15" x14ac:dyDescent="0.25">
      <c r="B285" t="s">
        <v>560</v>
      </c>
      <c r="D285" s="55">
        <v>7782729.9000668023</v>
      </c>
      <c r="E285" s="166">
        <v>1530.351865345363</v>
      </c>
      <c r="G285" s="55">
        <v>7868684.6219878932</v>
      </c>
      <c r="H285" s="166">
        <v>1539.9549297085478</v>
      </c>
      <c r="J285" s="167">
        <f t="shared" si="87"/>
        <v>-1.0923645571065732E-2</v>
      </c>
      <c r="K285" s="168">
        <f t="shared" si="87"/>
        <v>-6.2359385836066039E-3</v>
      </c>
      <c r="L285" s="55">
        <v>8089973</v>
      </c>
      <c r="M285" s="167">
        <f t="shared" si="88"/>
        <v>3.9477548865027412E-2</v>
      </c>
      <c r="N285" s="169">
        <f t="shared" si="89"/>
        <v>9.0547645222140982E-3</v>
      </c>
      <c r="O285" s="55">
        <v>8089973</v>
      </c>
      <c r="Q285" s="167">
        <f t="shared" si="90"/>
        <v>4.2575350596664174E-2</v>
      </c>
      <c r="R285" s="170">
        <v>3.7657394770229224E-2</v>
      </c>
      <c r="S285" s="55">
        <v>8114082.3541612877</v>
      </c>
      <c r="T285" s="167">
        <f t="shared" si="91"/>
        <v>4.2575350596664174E-2</v>
      </c>
      <c r="U285" s="170">
        <v>3.7657394770229224E-2</v>
      </c>
      <c r="V285" s="55">
        <v>8114082.3541612877</v>
      </c>
      <c r="X285" s="167">
        <f t="shared" si="92"/>
        <v>4.2575350596664174E-2</v>
      </c>
      <c r="Y285" s="170">
        <v>3.7657394770229224E-2</v>
      </c>
      <c r="Z285" s="55">
        <v>8114082.3541612877</v>
      </c>
      <c r="AB285" s="55">
        <v>7956630.1940524848</v>
      </c>
      <c r="AC285" s="55">
        <v>8114082.3541612877</v>
      </c>
      <c r="AD285" s="167">
        <f t="shared" si="93"/>
        <v>4.2575350596664174E-2</v>
      </c>
      <c r="AE285" s="170">
        <v>3.7657394770229224E-2</v>
      </c>
      <c r="AF285" s="55">
        <v>8114082.3541612877</v>
      </c>
      <c r="AG285" s="166">
        <v>1587.9809296760297</v>
      </c>
      <c r="AH285" s="171">
        <f t="shared" si="94"/>
        <v>4.2575350596664174E-2</v>
      </c>
      <c r="AI285" s="171">
        <f t="shared" si="95"/>
        <v>3.7657394770229002E-2</v>
      </c>
      <c r="AK285" s="55">
        <v>8206573.9005036373</v>
      </c>
      <c r="AL285" s="166">
        <v>1606.0821523820791</v>
      </c>
      <c r="AM285" s="171">
        <f t="shared" si="96"/>
        <v>-1.1270421428444477E-2</v>
      </c>
      <c r="AN285" s="170">
        <f t="shared" si="97"/>
        <v>-1.1270421428444588E-2</v>
      </c>
      <c r="AP285" s="55">
        <v>12</v>
      </c>
      <c r="AQ285" s="55">
        <v>0</v>
      </c>
    </row>
    <row r="286" spans="2:43" ht="15" x14ac:dyDescent="0.25">
      <c r="B286" t="s">
        <v>561</v>
      </c>
      <c r="D286" s="55">
        <v>9139117.2517590076</v>
      </c>
      <c r="E286" s="166">
        <v>1554.8576218110445</v>
      </c>
      <c r="G286" s="55">
        <v>9109157.7323592845</v>
      </c>
      <c r="H286" s="166">
        <v>1541.6850130353394</v>
      </c>
      <c r="J286" s="167">
        <f t="shared" si="87"/>
        <v>3.2889450682465071E-3</v>
      </c>
      <c r="K286" s="168">
        <f t="shared" si="87"/>
        <v>8.5442932014823114E-3</v>
      </c>
      <c r="L286" s="55">
        <v>9497738</v>
      </c>
      <c r="M286" s="167">
        <f t="shared" si="88"/>
        <v>3.9240195563960967E-2</v>
      </c>
      <c r="N286" s="169">
        <f t="shared" si="89"/>
        <v>9.0547645222140982E-3</v>
      </c>
      <c r="O286" s="55">
        <v>9497738</v>
      </c>
      <c r="Q286" s="167">
        <f t="shared" si="90"/>
        <v>4.1550027185022875E-2</v>
      </c>
      <c r="R286" s="170">
        <v>3.6122691937640727E-2</v>
      </c>
      <c r="S286" s="55">
        <v>9518847.8220167067</v>
      </c>
      <c r="T286" s="167">
        <f t="shared" si="91"/>
        <v>4.1767622165304052E-2</v>
      </c>
      <c r="U286" s="170">
        <v>3.6339153068490448E-2</v>
      </c>
      <c r="V286" s="55">
        <v>9520836.4480548892</v>
      </c>
      <c r="X286" s="167">
        <f t="shared" si="92"/>
        <v>4.1550027185022875E-2</v>
      </c>
      <c r="Y286" s="170">
        <v>3.6122691937640727E-2</v>
      </c>
      <c r="Z286" s="55">
        <v>9518847.8220167067</v>
      </c>
      <c r="AB286" s="55">
        <v>9241391.1116400175</v>
      </c>
      <c r="AC286" s="55">
        <v>9518847.8220167067</v>
      </c>
      <c r="AD286" s="167">
        <f t="shared" si="93"/>
        <v>4.1550027185022875E-2</v>
      </c>
      <c r="AE286" s="170">
        <v>3.6122691937640727E-2</v>
      </c>
      <c r="AF286" s="55">
        <v>9518847.8220167067</v>
      </c>
      <c r="AG286" s="166">
        <v>1611.0232646906175</v>
      </c>
      <c r="AH286" s="171">
        <f t="shared" si="94"/>
        <v>4.1550027185022875E-2</v>
      </c>
      <c r="AI286" s="171">
        <f t="shared" si="95"/>
        <v>3.6122691937640727E-2</v>
      </c>
      <c r="AK286" s="55">
        <v>9502256.9152764771</v>
      </c>
      <c r="AL286" s="166">
        <v>1608.2153264568535</v>
      </c>
      <c r="AM286" s="171">
        <f t="shared" si="96"/>
        <v>1.745996439388664E-3</v>
      </c>
      <c r="AN286" s="170">
        <f t="shared" si="97"/>
        <v>1.745996439388664E-3</v>
      </c>
      <c r="AP286" s="55">
        <v>14</v>
      </c>
      <c r="AQ286" s="55">
        <v>0</v>
      </c>
    </row>
    <row r="287" spans="2:43" ht="15" x14ac:dyDescent="0.25">
      <c r="B287" t="s">
        <v>562</v>
      </c>
      <c r="D287" s="55">
        <v>9156672.6678797286</v>
      </c>
      <c r="E287" s="166">
        <v>1614.8884507062639</v>
      </c>
      <c r="G287" s="55">
        <v>9080345.0921052191</v>
      </c>
      <c r="H287" s="166">
        <v>1592.6148212108942</v>
      </c>
      <c r="J287" s="167">
        <f t="shared" si="87"/>
        <v>8.405801211329722E-3</v>
      </c>
      <c r="K287" s="168">
        <f t="shared" si="87"/>
        <v>1.3985572153871306E-2</v>
      </c>
      <c r="L287" s="55">
        <v>9481967</v>
      </c>
      <c r="M287" s="167">
        <f t="shared" si="88"/>
        <v>3.5525386122117864E-2</v>
      </c>
      <c r="N287" s="169">
        <f t="shared" si="89"/>
        <v>9.0547645222140982E-3</v>
      </c>
      <c r="O287" s="55">
        <v>9481967</v>
      </c>
      <c r="Q287" s="167">
        <f t="shared" si="90"/>
        <v>3.7953984513636296E-2</v>
      </c>
      <c r="R287" s="170">
        <v>3.2242319928328378E-2</v>
      </c>
      <c r="S287" s="55">
        <v>9504204.8805128727</v>
      </c>
      <c r="T287" s="167">
        <f t="shared" si="91"/>
        <v>3.8197248015110263E-2</v>
      </c>
      <c r="U287" s="170">
        <v>3.248424479673484E-2</v>
      </c>
      <c r="V287" s="55">
        <v>9506432.3647679128</v>
      </c>
      <c r="X287" s="167">
        <f t="shared" si="92"/>
        <v>3.7966856542531513E-2</v>
      </c>
      <c r="Y287" s="170">
        <v>3.2255121124881603E-2</v>
      </c>
      <c r="Z287" s="55">
        <v>9504322.7454680372</v>
      </c>
      <c r="AB287" s="55">
        <v>9225921.2787089627</v>
      </c>
      <c r="AC287" s="55">
        <v>9504322.7454680372</v>
      </c>
      <c r="AD287" s="167">
        <f t="shared" si="93"/>
        <v>3.7966856542531513E-2</v>
      </c>
      <c r="AE287" s="170">
        <v>3.2255121124881603E-2</v>
      </c>
      <c r="AF287" s="55">
        <v>9504322.7454680372</v>
      </c>
      <c r="AG287" s="166">
        <v>1666.9768732869668</v>
      </c>
      <c r="AH287" s="171">
        <f t="shared" si="94"/>
        <v>3.7966856542531513E-2</v>
      </c>
      <c r="AI287" s="171">
        <f t="shared" si="95"/>
        <v>3.2255121124881603E-2</v>
      </c>
      <c r="AK287" s="55">
        <v>9470765.9060650039</v>
      </c>
      <c r="AL287" s="166">
        <v>1661.0912908290127</v>
      </c>
      <c r="AM287" s="171">
        <f t="shared" si="96"/>
        <v>3.5432022854184897E-3</v>
      </c>
      <c r="AN287" s="170">
        <f t="shared" si="97"/>
        <v>3.5432022854184897E-3</v>
      </c>
      <c r="AP287" s="55">
        <v>14</v>
      </c>
      <c r="AQ287" s="55">
        <v>0</v>
      </c>
    </row>
    <row r="288" spans="2:43" ht="15" x14ac:dyDescent="0.25">
      <c r="B288"/>
      <c r="D288" s="1"/>
      <c r="G288" s="1"/>
      <c r="L288" s="1"/>
      <c r="O288" s="1"/>
      <c r="Q288" s="53"/>
      <c r="S288" s="1"/>
      <c r="U288" s="52"/>
      <c r="V288" s="1"/>
      <c r="X288" s="53"/>
      <c r="Y288" s="52"/>
      <c r="Z288" s="1"/>
      <c r="AB288" s="1"/>
      <c r="AC288" s="1"/>
      <c r="AD288" s="53"/>
      <c r="AE288" s="52"/>
      <c r="AF288" s="1"/>
      <c r="AG288" s="75"/>
      <c r="AK288" s="1"/>
      <c r="AL288" s="75"/>
      <c r="AP288" s="1"/>
      <c r="AQ288" s="1"/>
    </row>
    <row r="289" spans="2:43" ht="15" x14ac:dyDescent="0.25">
      <c r="B289" t="s">
        <v>12</v>
      </c>
      <c r="D289" s="172">
        <f>SUM(D278:D287)</f>
        <v>88538506.67590563</v>
      </c>
      <c r="E289" s="173">
        <v>1544.3881845212823</v>
      </c>
      <c r="G289" s="172">
        <f>SUM(G278:G287)</f>
        <v>88538506.67590566</v>
      </c>
      <c r="H289" s="173">
        <v>1532.9256894186631</v>
      </c>
      <c r="J289" s="167">
        <f>D289/G289-1</f>
        <v>0</v>
      </c>
      <c r="K289" s="168">
        <f>E289/H289-1</f>
        <v>7.4775282205401528E-3</v>
      </c>
      <c r="L289" s="172">
        <f>SUM(L278:L287)</f>
        <v>92076402</v>
      </c>
      <c r="M289" s="167">
        <f>O289/$D289-1</f>
        <v>3.9958832116344656E-2</v>
      </c>
      <c r="N289" s="169">
        <f>N$222</f>
        <v>9.0547645222140982E-3</v>
      </c>
      <c r="O289" s="172">
        <f>SUM(O278:O287)</f>
        <v>92076402</v>
      </c>
      <c r="Q289" s="167">
        <f>S289/$D289-1</f>
        <v>4.3532147438943847E-2</v>
      </c>
      <c r="R289" s="170">
        <v>3.578702076073581E-2</v>
      </c>
      <c r="S289" s="172">
        <f>SUM(S278:S287)</f>
        <v>92392778.002545059</v>
      </c>
      <c r="T289" s="167">
        <f>V289/$D289-1</f>
        <v>4.3762450644539319E-2</v>
      </c>
      <c r="U289" s="170">
        <v>3.6015614649080208E-2</v>
      </c>
      <c r="V289" s="172">
        <f>SUM(V278:V287)</f>
        <v>92413168.704451159</v>
      </c>
      <c r="X289" s="167">
        <f>Z289/$D289-1</f>
        <v>4.3535153838077267E-2</v>
      </c>
      <c r="Y289" s="170">
        <v>3.5790004846285361E-2</v>
      </c>
      <c r="Z289" s="172">
        <f>SUM(Z278:Z287)</f>
        <v>92393044.184634805</v>
      </c>
      <c r="AB289" s="172">
        <f>SUM(AB278:AB287)</f>
        <v>89673742.776480868</v>
      </c>
      <c r="AC289" s="172">
        <f>SUM(AC278:AC287)</f>
        <v>92393044.184634805</v>
      </c>
      <c r="AD289" s="167">
        <f>AC289/$D289-1</f>
        <v>4.3535153838077267E-2</v>
      </c>
      <c r="AE289" s="170">
        <v>3.5790004846285361E-2</v>
      </c>
      <c r="AF289" s="172">
        <f>SUM(AF278:AF287)</f>
        <v>92393044.184634805</v>
      </c>
      <c r="AG289" s="166">
        <v>1599.6618451298448</v>
      </c>
      <c r="AH289" s="171">
        <f>AF289/D289 - 1</f>
        <v>4.3535153838077267E-2</v>
      </c>
      <c r="AI289" s="171">
        <f>AG289/E289 - 1</f>
        <v>3.5790004846285361E-2</v>
      </c>
      <c r="AK289" s="172">
        <f>SUM(AK278:AK287)</f>
        <v>92393127.908494949</v>
      </c>
      <c r="AL289" s="173">
        <v>1599.6632946963762</v>
      </c>
      <c r="AM289" s="171">
        <f>AF289/AK289-1</f>
        <v>-9.0616977732604909E-7</v>
      </c>
      <c r="AN289" s="170">
        <f t="shared" ref="AN289" si="98">AG289/AL289-1</f>
        <v>-9.0616977721502678E-7</v>
      </c>
      <c r="AP289" s="172">
        <f>SUM(AP278:AP287)</f>
        <v>127</v>
      </c>
      <c r="AQ289" s="172">
        <f>SUM(AQ278:AQ287)</f>
        <v>0</v>
      </c>
    </row>
    <row r="290" spans="2:43" ht="15" x14ac:dyDescent="0.25">
      <c r="B290"/>
      <c r="D290" s="1"/>
      <c r="G290" s="1"/>
      <c r="L290" s="1"/>
      <c r="O290" s="1"/>
      <c r="Q290" s="53"/>
      <c r="S290" s="1"/>
      <c r="U290" s="52"/>
      <c r="V290" s="1"/>
      <c r="X290" s="53"/>
      <c r="Y290" s="52"/>
      <c r="Z290" s="1"/>
      <c r="AB290" s="1"/>
      <c r="AC290" s="1"/>
      <c r="AD290" s="53"/>
      <c r="AE290" s="52"/>
      <c r="AF290" s="1"/>
      <c r="AG290" s="75"/>
      <c r="AK290" s="1"/>
      <c r="AL290" s="75"/>
      <c r="AP290" s="1"/>
      <c r="AQ290" s="1"/>
    </row>
    <row r="291" spans="2:43" ht="15" x14ac:dyDescent="0.25">
      <c r="B291" s="174" t="s">
        <v>563</v>
      </c>
      <c r="D291" s="1"/>
      <c r="G291" s="1"/>
      <c r="L291" s="1"/>
      <c r="O291" s="1"/>
      <c r="Q291" s="53"/>
      <c r="S291" s="1"/>
      <c r="U291" s="52"/>
      <c r="V291" s="1"/>
      <c r="X291" s="53"/>
      <c r="Y291" s="52"/>
      <c r="Z291" s="1"/>
      <c r="AB291" s="1"/>
      <c r="AC291" s="1"/>
      <c r="AD291" s="53"/>
      <c r="AE291" s="52"/>
      <c r="AF291" s="1"/>
      <c r="AG291" s="75"/>
      <c r="AK291" s="1"/>
      <c r="AL291" s="75"/>
      <c r="AP291" s="1"/>
      <c r="AQ291" s="1"/>
    </row>
    <row r="292" spans="2:43" ht="15" x14ac:dyDescent="0.25">
      <c r="B292"/>
      <c r="D292" s="1"/>
      <c r="G292" s="1"/>
      <c r="L292" s="1"/>
      <c r="O292" s="1"/>
      <c r="Q292" s="53"/>
      <c r="S292" s="1"/>
      <c r="U292" s="52"/>
      <c r="V292" s="1"/>
      <c r="X292" s="53"/>
      <c r="Y292" s="52"/>
      <c r="Z292" s="1"/>
      <c r="AB292" s="1"/>
      <c r="AC292" s="1"/>
      <c r="AD292" s="53"/>
      <c r="AE292" s="52"/>
      <c r="AF292" s="1"/>
      <c r="AG292" s="75"/>
      <c r="AK292" s="1"/>
      <c r="AL292" s="75"/>
      <c r="AP292" s="1"/>
      <c r="AQ292" s="1"/>
    </row>
    <row r="293" spans="2:43" ht="15" x14ac:dyDescent="0.25">
      <c r="B293" t="s">
        <v>564</v>
      </c>
      <c r="D293" s="55">
        <v>6252374.2488248888</v>
      </c>
      <c r="E293" s="166">
        <v>1776.836814134979</v>
      </c>
      <c r="G293" s="55">
        <v>6025288.7384086642</v>
      </c>
      <c r="H293" s="166">
        <v>1707.363605870117</v>
      </c>
      <c r="J293" s="167">
        <f t="shared" ref="J293:K304" si="99">D293/G293-1</f>
        <v>3.7688734976076832E-2</v>
      </c>
      <c r="K293" s="168">
        <f t="shared" si="99"/>
        <v>4.0690341545295272E-2</v>
      </c>
      <c r="L293" s="55">
        <v>6466384</v>
      </c>
      <c r="M293" s="167">
        <f t="shared" ref="M293:M304" si="100">O293/$D293-1</f>
        <v>3.4228557450049157E-2</v>
      </c>
      <c r="N293" s="169">
        <f t="shared" ref="N293:N304" si="101">N$222</f>
        <v>9.0547645222140982E-3</v>
      </c>
      <c r="O293" s="55">
        <v>6466384</v>
      </c>
      <c r="Q293" s="167">
        <f t="shared" ref="Q293:Q304" si="102">S293/$D293-1</f>
        <v>3.4228557450049157E-2</v>
      </c>
      <c r="R293" s="170">
        <v>3.1245588253365764E-2</v>
      </c>
      <c r="S293" s="55">
        <v>6466384</v>
      </c>
      <c r="T293" s="167">
        <f t="shared" ref="T293:T304" si="103">V293/$D293-1</f>
        <v>3.5320175700511047E-2</v>
      </c>
      <c r="U293" s="170">
        <v>3.2334058008659738E-2</v>
      </c>
      <c r="V293" s="55">
        <v>6473209.2058387352</v>
      </c>
      <c r="X293" s="167">
        <f t="shared" ref="X293:X304" si="104">Z293/$D293-1</f>
        <v>3.4252279180176703E-2</v>
      </c>
      <c r="Y293" s="170">
        <v>3.1269241564196859E-2</v>
      </c>
      <c r="Z293" s="55">
        <v>6466532.3171345871</v>
      </c>
      <c r="AB293" s="55">
        <v>6126796.5745646134</v>
      </c>
      <c r="AC293" s="55">
        <v>6466532.3171345871</v>
      </c>
      <c r="AD293" s="167">
        <f t="shared" ref="AD293:AD304" si="105">AC293/$D293-1</f>
        <v>3.4252279180176703E-2</v>
      </c>
      <c r="AE293" s="170">
        <v>3.1269241564196859E-2</v>
      </c>
      <c r="AF293" s="55">
        <v>6466532.3171345871</v>
      </c>
      <c r="AG293" s="166">
        <v>1832.397153696324</v>
      </c>
      <c r="AH293" s="171">
        <f t="shared" ref="AH293:AH304" si="106">AF293/D293 - 1</f>
        <v>3.4252279180176703E-2</v>
      </c>
      <c r="AI293" s="171">
        <f t="shared" ref="AI293:AI304" si="107">AG293/E293 - 1</f>
        <v>3.1269241564197081E-2</v>
      </c>
      <c r="AK293" s="55">
        <v>6283893.9226303715</v>
      </c>
      <c r="AL293" s="166">
        <v>1780.6435927718055</v>
      </c>
      <c r="AM293" s="171">
        <f>AF293/AK293-1</f>
        <v>2.9064525396661267E-2</v>
      </c>
      <c r="AN293" s="170">
        <f t="shared" ref="AN293:AN304" si="108">AG293/AL293-1</f>
        <v>2.9064525396661489E-2</v>
      </c>
      <c r="AP293" s="55">
        <v>15</v>
      </c>
      <c r="AQ293" s="55">
        <v>0</v>
      </c>
    </row>
    <row r="294" spans="2:43" ht="15" x14ac:dyDescent="0.25">
      <c r="B294" t="s">
        <v>565</v>
      </c>
      <c r="D294" s="55">
        <v>7117935.3652067892</v>
      </c>
      <c r="E294" s="166">
        <v>1614.4180694003735</v>
      </c>
      <c r="G294" s="55">
        <v>6919869.1660374524</v>
      </c>
      <c r="H294" s="166">
        <v>1559.2570673358109</v>
      </c>
      <c r="J294" s="167">
        <f t="shared" si="99"/>
        <v>2.8622824278447423E-2</v>
      </c>
      <c r="K294" s="168">
        <f t="shared" si="99"/>
        <v>3.5376464356074555E-2</v>
      </c>
      <c r="L294" s="55">
        <v>7388841</v>
      </c>
      <c r="M294" s="167">
        <f t="shared" si="100"/>
        <v>3.805958060780168E-2</v>
      </c>
      <c r="N294" s="169">
        <f t="shared" si="101"/>
        <v>9.0547645222140982E-3</v>
      </c>
      <c r="O294" s="55">
        <v>7388841</v>
      </c>
      <c r="Q294" s="167">
        <f t="shared" si="102"/>
        <v>3.8062679951169631E-2</v>
      </c>
      <c r="R294" s="170">
        <v>3.1291518002102947E-2</v>
      </c>
      <c r="S294" s="55">
        <v>7388863.0609257678</v>
      </c>
      <c r="T294" s="167">
        <f t="shared" si="103"/>
        <v>3.8110164270892755E-2</v>
      </c>
      <c r="U294" s="170">
        <v>3.1338692587139505E-2</v>
      </c>
      <c r="V294" s="55">
        <v>7389201.0512444172</v>
      </c>
      <c r="X294" s="167">
        <f t="shared" si="104"/>
        <v>3.8079238819593852E-2</v>
      </c>
      <c r="Y294" s="170">
        <v>3.1307968858957258E-2</v>
      </c>
      <c r="Z294" s="55">
        <v>7388980.9258809322</v>
      </c>
      <c r="AB294" s="55">
        <v>7034394.8752717609</v>
      </c>
      <c r="AC294" s="55">
        <v>7388980.9258809322</v>
      </c>
      <c r="AD294" s="167">
        <f t="shared" si="105"/>
        <v>3.8079238819593852E-2</v>
      </c>
      <c r="AE294" s="170">
        <v>3.1307968858957258E-2</v>
      </c>
      <c r="AF294" s="55">
        <v>7388980.9258809322</v>
      </c>
      <c r="AG294" s="166">
        <v>1664.9622200424981</v>
      </c>
      <c r="AH294" s="171">
        <f t="shared" si="106"/>
        <v>3.8079238819593852E-2</v>
      </c>
      <c r="AI294" s="171">
        <f t="shared" si="107"/>
        <v>3.1307968858957036E-2</v>
      </c>
      <c r="AK294" s="55">
        <v>7221746.4653644487</v>
      </c>
      <c r="AL294" s="166">
        <v>1627.2792078054706</v>
      </c>
      <c r="AM294" s="171">
        <f t="shared" ref="AM294:AM306" si="109">AF294/AK294-1</f>
        <v>2.3157066136085147E-2</v>
      </c>
      <c r="AN294" s="170">
        <f t="shared" si="108"/>
        <v>2.3157066136085147E-2</v>
      </c>
      <c r="AP294" s="55">
        <v>11</v>
      </c>
      <c r="AQ294" s="55">
        <v>0</v>
      </c>
    </row>
    <row r="295" spans="2:43" ht="15" x14ac:dyDescent="0.25">
      <c r="B295" t="s">
        <v>566</v>
      </c>
      <c r="D295" s="55">
        <v>6962497.6568545178</v>
      </c>
      <c r="E295" s="166">
        <v>1622.1808774468479</v>
      </c>
      <c r="G295" s="55">
        <v>6824015.8886564467</v>
      </c>
      <c r="H295" s="166">
        <v>1582.9931034516987</v>
      </c>
      <c r="J295" s="167">
        <f t="shared" si="99"/>
        <v>2.0293295100362929E-2</v>
      </c>
      <c r="K295" s="168">
        <f t="shared" si="99"/>
        <v>2.4755492560075476E-2</v>
      </c>
      <c r="L295" s="55">
        <v>7208261</v>
      </c>
      <c r="M295" s="167">
        <f t="shared" si="100"/>
        <v>3.5298158111914057E-2</v>
      </c>
      <c r="N295" s="169">
        <f t="shared" si="101"/>
        <v>9.0547645222140982E-3</v>
      </c>
      <c r="O295" s="55">
        <v>7208261</v>
      </c>
      <c r="Q295" s="167">
        <f t="shared" si="102"/>
        <v>3.6574759304395243E-2</v>
      </c>
      <c r="R295" s="170">
        <v>3.2061096004855516E-2</v>
      </c>
      <c r="S295" s="55">
        <v>7217149.3328113873</v>
      </c>
      <c r="T295" s="167">
        <f t="shared" si="103"/>
        <v>3.6985560189357614E-2</v>
      </c>
      <c r="U295" s="170">
        <v>3.2470108097585548E-2</v>
      </c>
      <c r="V295" s="55">
        <v>7220009.533010372</v>
      </c>
      <c r="X295" s="167">
        <f t="shared" si="104"/>
        <v>3.6574759304395243E-2</v>
      </c>
      <c r="Y295" s="170">
        <v>3.2061096004855516E-2</v>
      </c>
      <c r="Z295" s="55">
        <v>7217149.3328113873</v>
      </c>
      <c r="AB295" s="55">
        <v>6928855.9417365789</v>
      </c>
      <c r="AC295" s="55">
        <v>7217149.3328113873</v>
      </c>
      <c r="AD295" s="167">
        <f t="shared" si="105"/>
        <v>3.6574759304395243E-2</v>
      </c>
      <c r="AE295" s="170">
        <v>3.2061096004855516E-2</v>
      </c>
      <c r="AF295" s="55">
        <v>7217149.3328113873</v>
      </c>
      <c r="AG295" s="166">
        <v>1674.1897742959122</v>
      </c>
      <c r="AH295" s="171">
        <f t="shared" si="106"/>
        <v>3.6574759304395243E-2</v>
      </c>
      <c r="AI295" s="171">
        <f t="shared" si="107"/>
        <v>3.2061096004855516E-2</v>
      </c>
      <c r="AK295" s="55">
        <v>7117001.7830038359</v>
      </c>
      <c r="AL295" s="166">
        <v>1650.9581635758275</v>
      </c>
      <c r="AM295" s="171">
        <f t="shared" si="109"/>
        <v>1.4071592625804152E-2</v>
      </c>
      <c r="AN295" s="170">
        <f t="shared" si="108"/>
        <v>1.4071592625804152E-2</v>
      </c>
      <c r="AP295" s="55">
        <v>15</v>
      </c>
      <c r="AQ295" s="55">
        <v>0</v>
      </c>
    </row>
    <row r="296" spans="2:43" ht="15" x14ac:dyDescent="0.25">
      <c r="B296" t="s">
        <v>567</v>
      </c>
      <c r="D296" s="55">
        <v>20252128.969569705</v>
      </c>
      <c r="E296" s="166">
        <v>1500.3926518248641</v>
      </c>
      <c r="G296" s="55">
        <v>20478178.354361556</v>
      </c>
      <c r="H296" s="166">
        <v>1507.8719153092445</v>
      </c>
      <c r="J296" s="167">
        <f t="shared" si="99"/>
        <v>-1.1038549468620373E-2</v>
      </c>
      <c r="K296" s="168">
        <f t="shared" si="99"/>
        <v>-4.9601450948482118E-3</v>
      </c>
      <c r="L296" s="55">
        <v>21070110</v>
      </c>
      <c r="M296" s="167">
        <f t="shared" si="100"/>
        <v>4.0389878597917761E-2</v>
      </c>
      <c r="N296" s="169">
        <f t="shared" si="101"/>
        <v>9.0547645222140982E-3</v>
      </c>
      <c r="O296" s="55">
        <v>21070110</v>
      </c>
      <c r="Q296" s="167">
        <f t="shared" si="102"/>
        <v>4.3484577509659506E-2</v>
      </c>
      <c r="R296" s="170">
        <v>3.711023864410401E-2</v>
      </c>
      <c r="S296" s="55">
        <v>21132784.241482582</v>
      </c>
      <c r="T296" s="167">
        <f t="shared" si="103"/>
        <v>4.3484577509659506E-2</v>
      </c>
      <c r="U296" s="170">
        <v>3.711023864410401E-2</v>
      </c>
      <c r="V296" s="55">
        <v>21132784.241482582</v>
      </c>
      <c r="X296" s="167">
        <f t="shared" si="104"/>
        <v>4.3484577509659506E-2</v>
      </c>
      <c r="Y296" s="170">
        <v>3.711023864410401E-2</v>
      </c>
      <c r="Z296" s="55">
        <v>21132784.241482582</v>
      </c>
      <c r="AB296" s="55">
        <v>20714090.268046148</v>
      </c>
      <c r="AC296" s="55">
        <v>21132784.241482582</v>
      </c>
      <c r="AD296" s="167">
        <f t="shared" si="105"/>
        <v>4.3484577509659506E-2</v>
      </c>
      <c r="AE296" s="170">
        <v>3.711023864410401E-2</v>
      </c>
      <c r="AF296" s="55">
        <v>21132784.241482582</v>
      </c>
      <c r="AG296" s="166">
        <v>1556.0725811939449</v>
      </c>
      <c r="AH296" s="171">
        <f t="shared" si="106"/>
        <v>4.3484577509659506E-2</v>
      </c>
      <c r="AI296" s="171">
        <f t="shared" si="107"/>
        <v>3.711023864410401E-2</v>
      </c>
      <c r="AK296" s="55">
        <v>21361659.46530788</v>
      </c>
      <c r="AL296" s="166">
        <v>1572.925375233742</v>
      </c>
      <c r="AM296" s="171">
        <f t="shared" si="109"/>
        <v>-1.0714299804142069E-2</v>
      </c>
      <c r="AN296" s="170">
        <f t="shared" si="108"/>
        <v>-1.071429980414218E-2</v>
      </c>
      <c r="AP296" s="55">
        <v>30</v>
      </c>
      <c r="AQ296" s="55">
        <v>0</v>
      </c>
    </row>
    <row r="297" spans="2:43" ht="15" x14ac:dyDescent="0.25">
      <c r="B297" t="s">
        <v>568</v>
      </c>
      <c r="D297" s="55">
        <v>11650716.313901586</v>
      </c>
      <c r="E297" s="166">
        <v>1577.1653912810434</v>
      </c>
      <c r="G297" s="55">
        <v>11672397.70208383</v>
      </c>
      <c r="H297" s="166">
        <v>1569.0918169650804</v>
      </c>
      <c r="J297" s="167">
        <f t="shared" si="99"/>
        <v>-1.8574922424355877E-3</v>
      </c>
      <c r="K297" s="168">
        <f t="shared" si="99"/>
        <v>5.1453804224017574E-3</v>
      </c>
      <c r="L297" s="55">
        <v>12115871</v>
      </c>
      <c r="M297" s="167">
        <f t="shared" si="100"/>
        <v>3.9924986032265908E-2</v>
      </c>
      <c r="N297" s="169">
        <f t="shared" si="101"/>
        <v>9.0547645222140982E-3</v>
      </c>
      <c r="O297" s="55">
        <v>12115871</v>
      </c>
      <c r="Q297" s="167">
        <f t="shared" si="102"/>
        <v>4.1232270022409034E-2</v>
      </c>
      <c r="R297" s="170">
        <v>3.3977979107375322E-2</v>
      </c>
      <c r="S297" s="55">
        <v>12131101.794910863</v>
      </c>
      <c r="T297" s="167">
        <f t="shared" si="103"/>
        <v>4.1470898061993555E-2</v>
      </c>
      <c r="U297" s="170">
        <v>3.4214944619520349E-2</v>
      </c>
      <c r="V297" s="55">
        <v>12133881.982504604</v>
      </c>
      <c r="X297" s="167">
        <f t="shared" si="104"/>
        <v>4.1232270022409034E-2</v>
      </c>
      <c r="Y297" s="170">
        <v>3.3977979107375322E-2</v>
      </c>
      <c r="Z297" s="55">
        <v>12131101.794910863</v>
      </c>
      <c r="AB297" s="55">
        <v>11842037.487282258</v>
      </c>
      <c r="AC297" s="55">
        <v>12131101.794910863</v>
      </c>
      <c r="AD297" s="167">
        <f t="shared" si="105"/>
        <v>4.1232270022409034E-2</v>
      </c>
      <c r="AE297" s="170">
        <v>3.3977979107375322E-2</v>
      </c>
      <c r="AF297" s="55">
        <v>12131101.794910863</v>
      </c>
      <c r="AG297" s="166">
        <v>1630.754283994866</v>
      </c>
      <c r="AH297" s="171">
        <f t="shared" si="106"/>
        <v>4.1232270022409034E-2</v>
      </c>
      <c r="AI297" s="171">
        <f t="shared" si="107"/>
        <v>3.3977979107375322E-2</v>
      </c>
      <c r="AK297" s="55">
        <v>12182957.514043991</v>
      </c>
      <c r="AL297" s="166">
        <v>1637.7251212325402</v>
      </c>
      <c r="AM297" s="171">
        <f t="shared" si="109"/>
        <v>-4.2564146738056641E-3</v>
      </c>
      <c r="AN297" s="170">
        <f t="shared" si="108"/>
        <v>-4.2564146738055531E-3</v>
      </c>
      <c r="AP297" s="55">
        <v>18</v>
      </c>
      <c r="AQ297" s="55">
        <v>0</v>
      </c>
    </row>
    <row r="298" spans="2:43" ht="15" x14ac:dyDescent="0.25">
      <c r="B298" t="s">
        <v>569</v>
      </c>
      <c r="D298" s="55">
        <v>6307353.9608063856</v>
      </c>
      <c r="E298" s="166">
        <v>1633.2412519052039</v>
      </c>
      <c r="G298" s="55">
        <v>6192604.2306812387</v>
      </c>
      <c r="H298" s="166">
        <v>1596.9325183329861</v>
      </c>
      <c r="J298" s="167">
        <f t="shared" si="99"/>
        <v>1.8530124944303727E-2</v>
      </c>
      <c r="K298" s="168">
        <f t="shared" si="99"/>
        <v>2.2736548448596849E-2</v>
      </c>
      <c r="L298" s="55">
        <v>6535831</v>
      </c>
      <c r="M298" s="167">
        <f t="shared" si="100"/>
        <v>3.6223912691972115E-2</v>
      </c>
      <c r="N298" s="169">
        <f t="shared" si="101"/>
        <v>9.0547645222140982E-3</v>
      </c>
      <c r="O298" s="55">
        <v>6535831</v>
      </c>
      <c r="Q298" s="167">
        <f t="shared" si="102"/>
        <v>3.6942499991546862E-2</v>
      </c>
      <c r="R298" s="170">
        <v>3.2677648685331739E-2</v>
      </c>
      <c r="S298" s="55">
        <v>6540363.3844501581</v>
      </c>
      <c r="T298" s="167">
        <f t="shared" si="103"/>
        <v>3.7242069977333703E-2</v>
      </c>
      <c r="U298" s="170">
        <v>3.2975986566691207E-2</v>
      </c>
      <c r="V298" s="55">
        <v>6542252.8783865497</v>
      </c>
      <c r="X298" s="167">
        <f t="shared" si="104"/>
        <v>3.6942499991546862E-2</v>
      </c>
      <c r="Y298" s="170">
        <v>3.2677648685331739E-2</v>
      </c>
      <c r="Z298" s="55">
        <v>6540363.3844501581</v>
      </c>
      <c r="AB298" s="55">
        <v>6290677.4431761457</v>
      </c>
      <c r="AC298" s="55">
        <v>6540363.3844501581</v>
      </c>
      <c r="AD298" s="167">
        <f t="shared" si="105"/>
        <v>3.6942499991546862E-2</v>
      </c>
      <c r="AE298" s="170">
        <v>3.2677648685331739E-2</v>
      </c>
      <c r="AF298" s="55">
        <v>6540363.3844501581</v>
      </c>
      <c r="AG298" s="166">
        <v>1686.6117357533533</v>
      </c>
      <c r="AH298" s="171">
        <f t="shared" si="106"/>
        <v>3.6942499991546862E-2</v>
      </c>
      <c r="AI298" s="171">
        <f t="shared" si="107"/>
        <v>3.2677648685331517E-2</v>
      </c>
      <c r="AK298" s="55">
        <v>6459056.1749114543</v>
      </c>
      <c r="AL298" s="166">
        <v>1665.6444460557543</v>
      </c>
      <c r="AM298" s="171">
        <f t="shared" si="109"/>
        <v>1.2588094504351943E-2</v>
      </c>
      <c r="AN298" s="170">
        <f t="shared" si="108"/>
        <v>1.2588094504352165E-2</v>
      </c>
      <c r="AP298" s="55">
        <v>10</v>
      </c>
      <c r="AQ298" s="55">
        <v>0</v>
      </c>
    </row>
    <row r="299" spans="2:43" ht="15" x14ac:dyDescent="0.25">
      <c r="B299" t="s">
        <v>570</v>
      </c>
      <c r="D299" s="55">
        <v>3581173.9381617587</v>
      </c>
      <c r="E299" s="166">
        <v>1465.3334886139417</v>
      </c>
      <c r="G299" s="55">
        <v>3726645.7448174185</v>
      </c>
      <c r="H299" s="166">
        <v>1509.1672158308827</v>
      </c>
      <c r="J299" s="167">
        <f t="shared" si="99"/>
        <v>-3.9035587661629734E-2</v>
      </c>
      <c r="K299" s="168">
        <f t="shared" si="99"/>
        <v>-2.9044977095402991E-2</v>
      </c>
      <c r="L299" s="55">
        <v>3731951</v>
      </c>
      <c r="M299" s="167">
        <f t="shared" si="100"/>
        <v>4.2102691587115659E-2</v>
      </c>
      <c r="N299" s="169">
        <f t="shared" si="101"/>
        <v>9.0547645222140982E-3</v>
      </c>
      <c r="O299" s="55">
        <v>3731951</v>
      </c>
      <c r="Q299" s="167">
        <f t="shared" si="102"/>
        <v>5.6659309197439001E-2</v>
      </c>
      <c r="R299" s="170">
        <v>4.5786847126240815E-2</v>
      </c>
      <c r="S299" s="55">
        <v>3784080.7796138758</v>
      </c>
      <c r="T299" s="167">
        <f t="shared" si="103"/>
        <v>5.6659309197439001E-2</v>
      </c>
      <c r="U299" s="170">
        <v>4.5786847126240815E-2</v>
      </c>
      <c r="V299" s="55">
        <v>3784080.7796138758</v>
      </c>
      <c r="X299" s="167">
        <f t="shared" si="104"/>
        <v>5.6659309197439001E-2</v>
      </c>
      <c r="Y299" s="170">
        <v>4.5786847126240815E-2</v>
      </c>
      <c r="Z299" s="55">
        <v>3784080.7796138758</v>
      </c>
      <c r="AB299" s="55">
        <v>3740482.3636962618</v>
      </c>
      <c r="AC299" s="55">
        <v>3784080.7796138758</v>
      </c>
      <c r="AD299" s="167">
        <f t="shared" si="105"/>
        <v>5.6659309197439001E-2</v>
      </c>
      <c r="AE299" s="170">
        <v>4.5786847126240815E-2</v>
      </c>
      <c r="AF299" s="55">
        <v>3784080.7796138758</v>
      </c>
      <c r="AG299" s="166">
        <v>1532.426489046069</v>
      </c>
      <c r="AH299" s="171">
        <f t="shared" si="106"/>
        <v>5.6659309197439001E-2</v>
      </c>
      <c r="AI299" s="171">
        <f t="shared" si="107"/>
        <v>4.5786847126240593E-2</v>
      </c>
      <c r="AK299" s="55">
        <v>3889679.2904692828</v>
      </c>
      <c r="AL299" s="166">
        <v>1575.1903634618673</v>
      </c>
      <c r="AM299" s="171">
        <f t="shared" si="109"/>
        <v>-2.7148384987459084E-2</v>
      </c>
      <c r="AN299" s="170">
        <f t="shared" si="108"/>
        <v>-2.7148384987458973E-2</v>
      </c>
      <c r="AP299" s="55">
        <v>1</v>
      </c>
      <c r="AQ299" s="55">
        <v>0</v>
      </c>
    </row>
    <row r="300" spans="2:43" ht="15" x14ac:dyDescent="0.25">
      <c r="B300" t="s">
        <v>571</v>
      </c>
      <c r="D300" s="55">
        <v>12136135.923045821</v>
      </c>
      <c r="E300" s="166">
        <v>1412.4509512284872</v>
      </c>
      <c r="G300" s="55">
        <v>12553044.642914092</v>
      </c>
      <c r="H300" s="166">
        <v>1449.2077491869873</v>
      </c>
      <c r="J300" s="167">
        <f t="shared" si="99"/>
        <v>-3.321176110877655E-2</v>
      </c>
      <c r="K300" s="168">
        <f t="shared" si="99"/>
        <v>-2.5363373870392891E-2</v>
      </c>
      <c r="L300" s="55">
        <v>12694748</v>
      </c>
      <c r="M300" s="167">
        <f t="shared" si="100"/>
        <v>4.6028825030989262E-2</v>
      </c>
      <c r="N300" s="169">
        <f t="shared" si="101"/>
        <v>9.0547645222140982E-3</v>
      </c>
      <c r="O300" s="55">
        <v>12694748</v>
      </c>
      <c r="Q300" s="167">
        <f t="shared" si="102"/>
        <v>5.5244249687365077E-2</v>
      </c>
      <c r="R300" s="170">
        <v>4.6746759155419149E-2</v>
      </c>
      <c r="S300" s="55">
        <v>12806587.646218367</v>
      </c>
      <c r="T300" s="167">
        <f t="shared" si="103"/>
        <v>5.5244249687365077E-2</v>
      </c>
      <c r="U300" s="170">
        <v>4.6746759155419149E-2</v>
      </c>
      <c r="V300" s="55">
        <v>12806587.646218367</v>
      </c>
      <c r="X300" s="167">
        <f t="shared" si="104"/>
        <v>5.5244249687365077E-2</v>
      </c>
      <c r="Y300" s="170">
        <v>4.6746759155419149E-2</v>
      </c>
      <c r="Z300" s="55">
        <v>12806587.646218367</v>
      </c>
      <c r="AB300" s="55">
        <v>12637199.828872938</v>
      </c>
      <c r="AC300" s="55">
        <v>12806587.646218367</v>
      </c>
      <c r="AD300" s="167">
        <f t="shared" si="105"/>
        <v>5.5244249687365077E-2</v>
      </c>
      <c r="AE300" s="170">
        <v>4.6746759155419149E-2</v>
      </c>
      <c r="AF300" s="55">
        <v>12806587.646218367</v>
      </c>
      <c r="AG300" s="166">
        <v>1478.4784556644079</v>
      </c>
      <c r="AH300" s="171">
        <f t="shared" si="106"/>
        <v>5.5244249687365077E-2</v>
      </c>
      <c r="AI300" s="171">
        <f t="shared" si="107"/>
        <v>4.6746759155419149E-2</v>
      </c>
      <c r="AK300" s="55">
        <v>13097727.307508087</v>
      </c>
      <c r="AL300" s="166">
        <v>1512.0895727470595</v>
      </c>
      <c r="AM300" s="171">
        <f t="shared" si="109"/>
        <v>-2.2228257960663744E-2</v>
      </c>
      <c r="AN300" s="170">
        <f t="shared" si="108"/>
        <v>-2.2228257960663855E-2</v>
      </c>
      <c r="AP300" s="55">
        <v>9</v>
      </c>
      <c r="AQ300" s="55">
        <v>0</v>
      </c>
    </row>
    <row r="301" spans="2:43" ht="15" x14ac:dyDescent="0.25">
      <c r="B301" t="s">
        <v>572</v>
      </c>
      <c r="D301" s="55">
        <v>5045730.8063031239</v>
      </c>
      <c r="E301" s="166">
        <v>1463.2262311078669</v>
      </c>
      <c r="G301" s="55">
        <v>5212566.2627295833</v>
      </c>
      <c r="H301" s="166">
        <v>1491.1205519762082</v>
      </c>
      <c r="J301" s="167">
        <f t="shared" si="99"/>
        <v>-3.2006395318051162E-2</v>
      </c>
      <c r="K301" s="168">
        <f t="shared" si="99"/>
        <v>-1.8706952185302828E-2</v>
      </c>
      <c r="L301" s="55">
        <v>5275059</v>
      </c>
      <c r="M301" s="167">
        <f t="shared" si="100"/>
        <v>4.5449946202123837E-2</v>
      </c>
      <c r="N301" s="169">
        <f t="shared" si="101"/>
        <v>9.0547645222140982E-3</v>
      </c>
      <c r="O301" s="55">
        <v>5275059</v>
      </c>
      <c r="Q301" s="167">
        <f t="shared" si="102"/>
        <v>5.3984889853676554E-2</v>
      </c>
      <c r="R301" s="170">
        <v>3.9700255781722982E-2</v>
      </c>
      <c r="S301" s="55">
        <v>5318124.0281127002</v>
      </c>
      <c r="T301" s="167">
        <f t="shared" si="103"/>
        <v>5.3984889853676554E-2</v>
      </c>
      <c r="U301" s="170">
        <v>3.9700255781722982E-2</v>
      </c>
      <c r="V301" s="55">
        <v>5318124.0281127002</v>
      </c>
      <c r="X301" s="167">
        <f t="shared" si="104"/>
        <v>5.3984889853676554E-2</v>
      </c>
      <c r="Y301" s="170">
        <v>3.9700255781722982E-2</v>
      </c>
      <c r="Z301" s="55">
        <v>5318124.0281127002</v>
      </c>
      <c r="AB301" s="55">
        <v>5269166.6577526135</v>
      </c>
      <c r="AC301" s="55">
        <v>5318124.0281127002</v>
      </c>
      <c r="AD301" s="167">
        <f t="shared" si="105"/>
        <v>5.3984889853676554E-2</v>
      </c>
      <c r="AE301" s="170">
        <v>3.9700255781722982E-2</v>
      </c>
      <c r="AF301" s="55">
        <v>5318124.0281127002</v>
      </c>
      <c r="AG301" s="166">
        <v>1521.3166867493755</v>
      </c>
      <c r="AH301" s="171">
        <f t="shared" si="106"/>
        <v>5.3984889853676554E-2</v>
      </c>
      <c r="AI301" s="171">
        <f t="shared" si="107"/>
        <v>3.9700255781722982E-2</v>
      </c>
      <c r="AK301" s="55">
        <v>5444589.9045823766</v>
      </c>
      <c r="AL301" s="166">
        <v>1557.4938513210677</v>
      </c>
      <c r="AM301" s="171">
        <f t="shared" si="109"/>
        <v>-2.3227805709156835E-2</v>
      </c>
      <c r="AN301" s="170">
        <f t="shared" si="108"/>
        <v>-2.3227805709156835E-2</v>
      </c>
      <c r="AP301" s="55">
        <v>1</v>
      </c>
      <c r="AQ301" s="55">
        <v>0</v>
      </c>
    </row>
    <row r="302" spans="2:43" ht="15" x14ac:dyDescent="0.25">
      <c r="B302" t="s">
        <v>573</v>
      </c>
      <c r="D302" s="55">
        <v>3715048.571439039</v>
      </c>
      <c r="E302" s="166">
        <v>1581.080973456078</v>
      </c>
      <c r="G302" s="55">
        <v>3673602.1838653134</v>
      </c>
      <c r="H302" s="166">
        <v>1542.5665994287433</v>
      </c>
      <c r="J302" s="167">
        <f t="shared" si="99"/>
        <v>1.1282219875565325E-2</v>
      </c>
      <c r="K302" s="168">
        <f t="shared" si="99"/>
        <v>2.4967722004092252E-2</v>
      </c>
      <c r="L302" s="55">
        <v>3865784</v>
      </c>
      <c r="M302" s="167">
        <f t="shared" si="100"/>
        <v>4.0574282048369881E-2</v>
      </c>
      <c r="N302" s="169">
        <f t="shared" si="101"/>
        <v>9.0547645222140982E-3</v>
      </c>
      <c r="O302" s="55">
        <v>3865784</v>
      </c>
      <c r="Q302" s="167">
        <f t="shared" si="102"/>
        <v>4.1416457657399208E-2</v>
      </c>
      <c r="R302" s="170">
        <v>2.751132987436411E-2</v>
      </c>
      <c r="S302" s="55">
        <v>3868912.7232932253</v>
      </c>
      <c r="T302" s="167">
        <f t="shared" si="103"/>
        <v>4.1416457657399208E-2</v>
      </c>
      <c r="U302" s="170">
        <v>2.751132987436411E-2</v>
      </c>
      <c r="V302" s="55">
        <v>3868912.7232932253</v>
      </c>
      <c r="X302" s="167">
        <f t="shared" si="104"/>
        <v>4.1416457657399208E-2</v>
      </c>
      <c r="Y302" s="170">
        <v>2.751132987436411E-2</v>
      </c>
      <c r="Z302" s="55">
        <v>3868912.7232932253</v>
      </c>
      <c r="AB302" s="55">
        <v>3743998.8144654399</v>
      </c>
      <c r="AC302" s="55">
        <v>3868912.7232932253</v>
      </c>
      <c r="AD302" s="167">
        <f t="shared" si="105"/>
        <v>4.1416457657399208E-2</v>
      </c>
      <c r="AE302" s="170">
        <v>2.751132987436411E-2</v>
      </c>
      <c r="AF302" s="55">
        <v>3868912.7232932253</v>
      </c>
      <c r="AG302" s="166">
        <v>1624.5786136749091</v>
      </c>
      <c r="AH302" s="171">
        <f t="shared" si="106"/>
        <v>4.1416457657399208E-2</v>
      </c>
      <c r="AI302" s="171">
        <f t="shared" si="107"/>
        <v>2.7511329874364332E-2</v>
      </c>
      <c r="AK302" s="55">
        <v>3839998.7840671167</v>
      </c>
      <c r="AL302" s="166">
        <v>1612.437484974583</v>
      </c>
      <c r="AM302" s="171">
        <f t="shared" si="109"/>
        <v>7.5296740577308618E-3</v>
      </c>
      <c r="AN302" s="170">
        <f t="shared" si="108"/>
        <v>7.5296740577310839E-3</v>
      </c>
      <c r="AP302" s="55">
        <v>6</v>
      </c>
      <c r="AQ302" s="55">
        <v>0</v>
      </c>
    </row>
    <row r="303" spans="2:43" ht="15" x14ac:dyDescent="0.25">
      <c r="B303" t="s">
        <v>574</v>
      </c>
      <c r="D303" s="55">
        <v>2441389.187547572</v>
      </c>
      <c r="E303" s="166">
        <v>1443.5165265740143</v>
      </c>
      <c r="G303" s="55">
        <v>2483201.0063559618</v>
      </c>
      <c r="H303" s="166">
        <v>1449.2931770631119</v>
      </c>
      <c r="J303" s="167">
        <f t="shared" si="99"/>
        <v>-1.6837871240132807E-2</v>
      </c>
      <c r="K303" s="168">
        <f t="shared" si="99"/>
        <v>-3.985839842842287E-3</v>
      </c>
      <c r="L303" s="55">
        <v>2545071</v>
      </c>
      <c r="M303" s="167">
        <f t="shared" si="100"/>
        <v>4.2468367182611599E-2</v>
      </c>
      <c r="N303" s="169">
        <f t="shared" si="101"/>
        <v>9.0547645222140982E-3</v>
      </c>
      <c r="O303" s="55">
        <v>2545071</v>
      </c>
      <c r="Q303" s="167">
        <f t="shared" si="102"/>
        <v>4.8557118128981447E-2</v>
      </c>
      <c r="R303" s="170">
        <v>3.5027100642162079E-2</v>
      </c>
      <c r="S303" s="55">
        <v>2559936.0107261376</v>
      </c>
      <c r="T303" s="167">
        <f t="shared" si="103"/>
        <v>4.8557118128981447E-2</v>
      </c>
      <c r="U303" s="170">
        <v>3.5027100642162079E-2</v>
      </c>
      <c r="V303" s="55">
        <v>2559936.0107261376</v>
      </c>
      <c r="X303" s="167">
        <f t="shared" si="104"/>
        <v>4.8557118128981447E-2</v>
      </c>
      <c r="Y303" s="170">
        <v>3.5027100642162079E-2</v>
      </c>
      <c r="Z303" s="55">
        <v>2559936.0107261376</v>
      </c>
      <c r="AB303" s="55">
        <v>2515831.8936513416</v>
      </c>
      <c r="AC303" s="55">
        <v>2559936.0107261376</v>
      </c>
      <c r="AD303" s="167">
        <f t="shared" si="105"/>
        <v>4.8557118128981447E-2</v>
      </c>
      <c r="AE303" s="170">
        <v>3.5027100642162079E-2</v>
      </c>
      <c r="AF303" s="55">
        <v>2559936.0107261376</v>
      </c>
      <c r="AG303" s="166">
        <v>1494.0787252289465</v>
      </c>
      <c r="AH303" s="171">
        <f t="shared" si="106"/>
        <v>4.8557118128981447E-2</v>
      </c>
      <c r="AI303" s="171">
        <f t="shared" si="107"/>
        <v>3.5027100642162079E-2</v>
      </c>
      <c r="AK303" s="55">
        <v>2592037.1653602002</v>
      </c>
      <c r="AL303" s="166">
        <v>1512.8142139259603</v>
      </c>
      <c r="AM303" s="171">
        <f t="shared" si="109"/>
        <v>-1.238452714454108E-2</v>
      </c>
      <c r="AN303" s="170">
        <f t="shared" si="108"/>
        <v>-1.2384527144541191E-2</v>
      </c>
      <c r="AP303" s="55">
        <v>4</v>
      </c>
      <c r="AQ303" s="55">
        <v>0</v>
      </c>
    </row>
    <row r="304" spans="2:43" ht="15" x14ac:dyDescent="0.25">
      <c r="B304" t="s">
        <v>575</v>
      </c>
      <c r="D304" s="55">
        <v>3076021.7342444398</v>
      </c>
      <c r="E304" s="166">
        <v>1674.5430610629244</v>
      </c>
      <c r="G304" s="55">
        <v>2777092.7549940851</v>
      </c>
      <c r="H304" s="166">
        <v>1492.6331100328475</v>
      </c>
      <c r="J304" s="167">
        <f t="shared" si="99"/>
        <v>0.10764097767810843</v>
      </c>
      <c r="K304" s="168">
        <f t="shared" si="99"/>
        <v>0.12187184500153125</v>
      </c>
      <c r="L304" s="55">
        <v>3178491</v>
      </c>
      <c r="M304" s="167">
        <f t="shared" si="100"/>
        <v>3.3312269745951584E-2</v>
      </c>
      <c r="N304" s="169">
        <f t="shared" si="101"/>
        <v>9.0547645222140982E-3</v>
      </c>
      <c r="O304" s="55">
        <v>3178491</v>
      </c>
      <c r="Q304" s="167">
        <f t="shared" si="102"/>
        <v>3.3312269745951584E-2</v>
      </c>
      <c r="R304" s="170">
        <v>2.0204774553931992E-2</v>
      </c>
      <c r="S304" s="55">
        <v>3178491</v>
      </c>
      <c r="T304" s="167">
        <f t="shared" si="103"/>
        <v>3.5164540149689394E-2</v>
      </c>
      <c r="U304" s="170">
        <v>2.2033549034779831E-2</v>
      </c>
      <c r="V304" s="55">
        <v>3184188.6240195953</v>
      </c>
      <c r="X304" s="167">
        <f t="shared" si="104"/>
        <v>3.3312269745951584E-2</v>
      </c>
      <c r="Y304" s="170">
        <v>2.0204774553931992E-2</v>
      </c>
      <c r="Z304" s="55">
        <v>3178491</v>
      </c>
      <c r="AB304" s="55">
        <v>2830210.6279647793</v>
      </c>
      <c r="AC304" s="55">
        <v>3178491</v>
      </c>
      <c r="AD304" s="167">
        <f t="shared" si="105"/>
        <v>3.3312269745951584E-2</v>
      </c>
      <c r="AE304" s="170">
        <v>2.0204774553931992E-2</v>
      </c>
      <c r="AF304" s="55">
        <v>3178491</v>
      </c>
      <c r="AG304" s="166">
        <v>1708.3768260925517</v>
      </c>
      <c r="AH304" s="171">
        <f t="shared" si="106"/>
        <v>3.3312269745951584E-2</v>
      </c>
      <c r="AI304" s="171">
        <f t="shared" si="107"/>
        <v>2.020477455393177E-2</v>
      </c>
      <c r="AK304" s="55">
        <v>2902780.131245927</v>
      </c>
      <c r="AL304" s="166">
        <v>1560.187619679413</v>
      </c>
      <c r="AM304" s="171">
        <f t="shared" si="109"/>
        <v>9.4981657682675635E-2</v>
      </c>
      <c r="AN304" s="170">
        <f t="shared" si="108"/>
        <v>9.4981657682675635E-2</v>
      </c>
      <c r="AP304" s="55">
        <v>7</v>
      </c>
      <c r="AQ304" s="55">
        <v>0</v>
      </c>
    </row>
    <row r="305" spans="2:43" ht="15" x14ac:dyDescent="0.25">
      <c r="B305"/>
      <c r="D305" s="1"/>
      <c r="G305" s="1"/>
      <c r="L305" s="1"/>
      <c r="O305" s="1"/>
      <c r="Q305" s="53"/>
      <c r="S305" s="1"/>
      <c r="U305" s="52"/>
      <c r="V305" s="1"/>
      <c r="X305" s="53"/>
      <c r="Y305" s="52"/>
      <c r="Z305" s="1"/>
      <c r="AB305" s="1"/>
      <c r="AC305" s="1"/>
      <c r="AD305" s="53"/>
      <c r="AE305" s="52"/>
      <c r="AF305" s="1"/>
      <c r="AG305" s="75"/>
      <c r="AK305" s="1"/>
      <c r="AL305" s="75"/>
      <c r="AP305" s="1"/>
      <c r="AQ305" s="1"/>
    </row>
    <row r="306" spans="2:43" ht="15" x14ac:dyDescent="0.25">
      <c r="B306" t="s">
        <v>12</v>
      </c>
      <c r="D306" s="172">
        <f>SUM(D293:D304)</f>
        <v>88538506.675905645</v>
      </c>
      <c r="E306" s="173">
        <v>1544.3881845212827</v>
      </c>
      <c r="G306" s="172">
        <f>SUM(G293:G304)</f>
        <v>88538506.67590563</v>
      </c>
      <c r="H306" s="173">
        <v>1532.9256894186626</v>
      </c>
      <c r="J306" s="167">
        <f>D306/G306-1</f>
        <v>0</v>
      </c>
      <c r="K306" s="168">
        <f>E306/H306-1</f>
        <v>7.4775282205408189E-3</v>
      </c>
      <c r="L306" s="172">
        <f>SUM(L293:L304)</f>
        <v>92076402</v>
      </c>
      <c r="M306" s="167">
        <f>O306/$D306-1</f>
        <v>3.9958832116344434E-2</v>
      </c>
      <c r="N306" s="169">
        <f>N$222</f>
        <v>9.0547645222140982E-3</v>
      </c>
      <c r="O306" s="172">
        <f>SUM(O293:O304)</f>
        <v>92076402</v>
      </c>
      <c r="Q306" s="167">
        <f>S306/$D306-1</f>
        <v>4.3532147438943625E-2</v>
      </c>
      <c r="R306" s="170">
        <v>3.5787020760735588E-2</v>
      </c>
      <c r="S306" s="172">
        <f>SUM(S293:S304)</f>
        <v>92392778.002545074</v>
      </c>
      <c r="T306" s="167">
        <f>V306/$D306-1</f>
        <v>4.3762450644539097E-2</v>
      </c>
      <c r="U306" s="170">
        <v>3.6015614649079986E-2</v>
      </c>
      <c r="V306" s="172">
        <f>SUM(V293:V304)</f>
        <v>92413168.704451159</v>
      </c>
      <c r="X306" s="167">
        <f>Z306/$D306-1</f>
        <v>4.3535153838077267E-2</v>
      </c>
      <c r="Y306" s="170">
        <v>3.5790004846285361E-2</v>
      </c>
      <c r="Z306" s="172">
        <f>SUM(Z293:Z304)</f>
        <v>92393044.18463482</v>
      </c>
      <c r="AB306" s="172">
        <f>SUM(AB293:AB304)</f>
        <v>89673742.776480868</v>
      </c>
      <c r="AC306" s="172">
        <f>SUM(AC293:AC304)</f>
        <v>92393044.18463482</v>
      </c>
      <c r="AD306" s="167">
        <f>AC306/$D306-1</f>
        <v>4.3535153838077267E-2</v>
      </c>
      <c r="AE306" s="170">
        <v>3.5790004846285361E-2</v>
      </c>
      <c r="AF306" s="172">
        <f>SUM(AF293:AF304)</f>
        <v>92393044.18463482</v>
      </c>
      <c r="AG306" s="166">
        <v>1599.661845129845</v>
      </c>
      <c r="AH306" s="171">
        <f>AF306/D306 - 1</f>
        <v>4.3535153838077267E-2</v>
      </c>
      <c r="AI306" s="171">
        <f>AG306/E306 - 1</f>
        <v>3.5790004846285139E-2</v>
      </c>
      <c r="AK306" s="172">
        <f>SUM(AK293:AK304)</f>
        <v>92393127.908494979</v>
      </c>
      <c r="AL306" s="173">
        <v>1599.6632946963769</v>
      </c>
      <c r="AM306" s="171">
        <f t="shared" si="109"/>
        <v>-9.0616977754809369E-7</v>
      </c>
      <c r="AN306" s="170">
        <f t="shared" ref="AN306" si="110">AG306/AL306-1</f>
        <v>-9.0616977754809369E-7</v>
      </c>
      <c r="AP306" s="172">
        <f>SUM(AP293:AP304)</f>
        <v>127</v>
      </c>
      <c r="AQ306" s="172">
        <f>SUM(AQ293:AQ304)</f>
        <v>0</v>
      </c>
    </row>
    <row r="307" spans="2:43" ht="15" x14ac:dyDescent="0.25">
      <c r="B307"/>
      <c r="D307" s="1"/>
      <c r="G307" s="1"/>
      <c r="L307" s="1"/>
      <c r="O307" s="1"/>
      <c r="Q307" s="53"/>
      <c r="S307" s="1"/>
      <c r="U307" s="52"/>
      <c r="V307" s="1"/>
      <c r="X307" s="53"/>
      <c r="Y307" s="52"/>
      <c r="Z307" s="1"/>
      <c r="AB307" s="1"/>
      <c r="AC307" s="1"/>
      <c r="AD307" s="53"/>
      <c r="AE307" s="52"/>
      <c r="AF307" s="1"/>
      <c r="AG307" s="75"/>
      <c r="AK307" s="1"/>
      <c r="AL307" s="75"/>
      <c r="AP307" s="1"/>
      <c r="AQ307" s="1"/>
    </row>
    <row r="308" spans="2:43" x14ac:dyDescent="0.2">
      <c r="B308" s="43" t="s">
        <v>576</v>
      </c>
      <c r="D308" s="1"/>
      <c r="G308" s="1"/>
      <c r="L308" s="1"/>
      <c r="O308" s="1"/>
      <c r="Q308" s="53"/>
      <c r="S308" s="1"/>
      <c r="U308" s="52"/>
      <c r="V308" s="1"/>
      <c r="X308" s="53"/>
      <c r="Y308" s="52"/>
      <c r="Z308" s="1"/>
      <c r="AB308" s="1"/>
      <c r="AC308" s="1"/>
      <c r="AD308" s="53"/>
      <c r="AE308" s="52"/>
      <c r="AF308" s="1"/>
      <c r="AG308" s="75"/>
      <c r="AK308" s="1"/>
      <c r="AL308" s="75"/>
      <c r="AP308" s="1"/>
      <c r="AQ308" s="1"/>
    </row>
    <row r="309" spans="2:43" ht="15" x14ac:dyDescent="0.25">
      <c r="B309"/>
      <c r="D309" s="1"/>
      <c r="G309" s="1"/>
      <c r="L309" s="1"/>
      <c r="O309" s="1"/>
      <c r="Q309" s="53"/>
      <c r="S309" s="1"/>
      <c r="U309" s="52"/>
      <c r="V309" s="1"/>
      <c r="X309" s="53"/>
      <c r="Y309" s="52"/>
      <c r="Z309" s="1"/>
      <c r="AB309" s="1"/>
      <c r="AC309" s="1"/>
      <c r="AD309" s="53"/>
      <c r="AE309" s="52"/>
      <c r="AF309" s="1"/>
      <c r="AG309" s="75"/>
      <c r="AK309" s="1"/>
      <c r="AL309" s="75"/>
      <c r="AP309" s="1"/>
      <c r="AQ309" s="1"/>
    </row>
    <row r="310" spans="2:43" ht="15" x14ac:dyDescent="0.25">
      <c r="B310" t="s">
        <v>577</v>
      </c>
      <c r="D310" s="55">
        <v>5636071.2834066981</v>
      </c>
      <c r="E310" s="166">
        <v>1736.4106736167498</v>
      </c>
      <c r="G310" s="55">
        <v>5418173.0515288226</v>
      </c>
      <c r="H310" s="166">
        <v>1664.8749119310089</v>
      </c>
      <c r="J310" s="167">
        <f t="shared" ref="J310:K322" si="111">D310/G310-1</f>
        <v>4.021618169179586E-2</v>
      </c>
      <c r="K310" s="168">
        <f t="shared" si="111"/>
        <v>4.2967649505132988E-2</v>
      </c>
      <c r="L310" s="55">
        <v>5827828</v>
      </c>
      <c r="M310" s="167">
        <f t="shared" ref="M310:M322" si="112">O310/$D310-1</f>
        <v>3.4023117691548421E-2</v>
      </c>
      <c r="N310" s="169">
        <f t="shared" ref="N310:N322" si="113">N$222</f>
        <v>9.0547645222140982E-3</v>
      </c>
      <c r="O310" s="55">
        <v>5827828</v>
      </c>
      <c r="Q310" s="167">
        <f t="shared" ref="Q310:Q322" si="114">S310/$D310-1</f>
        <v>3.4023117691548421E-2</v>
      </c>
      <c r="R310" s="170">
        <v>3.1295246575004487E-2</v>
      </c>
      <c r="S310" s="55">
        <v>5827828</v>
      </c>
      <c r="T310" s="167">
        <f t="shared" ref="T310:T322" si="115">V310/$D310-1</f>
        <v>3.5234104120841714E-2</v>
      </c>
      <c r="U310" s="170">
        <v>3.250303828374812E-2</v>
      </c>
      <c r="V310" s="55">
        <v>5834653.2058387352</v>
      </c>
      <c r="X310" s="167">
        <f t="shared" ref="X310:X322" si="116">Z310/$D310-1</f>
        <v>3.4049433386849071E-2</v>
      </c>
      <c r="Y310" s="170">
        <v>3.1321492846494436E-2</v>
      </c>
      <c r="Z310" s="55">
        <v>5827976.3171345871</v>
      </c>
      <c r="AB310" s="55">
        <v>5509207.5353043834</v>
      </c>
      <c r="AC310" s="55">
        <v>5827976.3171345871</v>
      </c>
      <c r="AD310" s="167">
        <f t="shared" ref="AD310:AD322" si="117">AC310/$D310-1</f>
        <v>3.4049433386849071E-2</v>
      </c>
      <c r="AE310" s="170">
        <v>3.1321492846494436E-2</v>
      </c>
      <c r="AF310" s="55">
        <v>5827976.3171345871</v>
      </c>
      <c r="AG310" s="166">
        <v>1790.7976481090134</v>
      </c>
      <c r="AH310" s="171">
        <f t="shared" ref="AH310:AH322" si="118">AF310/D310 - 1</f>
        <v>3.4049433386849071E-2</v>
      </c>
      <c r="AI310" s="171">
        <f t="shared" ref="AI310:AI322" si="119">AG310/E310 - 1</f>
        <v>3.1321492846494436E-2</v>
      </c>
      <c r="AK310" s="55">
        <v>5650469.2669788543</v>
      </c>
      <c r="AL310" s="166">
        <v>1736.2539796649478</v>
      </c>
      <c r="AM310" s="171">
        <f>AF310/AK310-1</f>
        <v>3.1414567847148245E-2</v>
      </c>
      <c r="AN310" s="170">
        <f t="shared" ref="AN310" si="120">AG310/AL310-1</f>
        <v>3.1414567847148245E-2</v>
      </c>
      <c r="AP310" s="1"/>
      <c r="AQ310" s="1"/>
    </row>
    <row r="311" spans="2:43" ht="15" x14ac:dyDescent="0.25">
      <c r="B311" t="s">
        <v>578</v>
      </c>
      <c r="D311" s="55">
        <v>7485939.2097350163</v>
      </c>
      <c r="E311" s="166">
        <v>1672.272423506769</v>
      </c>
      <c r="G311" s="55">
        <v>7516482.6131802546</v>
      </c>
      <c r="H311" s="166">
        <v>1670.8219635741179</v>
      </c>
      <c r="J311" s="167">
        <f t="shared" si="111"/>
        <v>-4.0635234613168869E-3</v>
      </c>
      <c r="K311" s="168">
        <f t="shared" si="111"/>
        <v>8.6811160271582644E-4</v>
      </c>
      <c r="L311" s="55">
        <v>7809841</v>
      </c>
      <c r="M311" s="167">
        <f t="shared" si="112"/>
        <v>4.3268023048299575E-2</v>
      </c>
      <c r="N311" s="169">
        <f t="shared" si="113"/>
        <v>9.0547645222140982E-3</v>
      </c>
      <c r="O311" s="55">
        <v>7809841</v>
      </c>
      <c r="Q311" s="167">
        <f t="shared" si="114"/>
        <v>4.3776390595951176E-2</v>
      </c>
      <c r="R311" s="170">
        <v>3.8633331098701706E-2</v>
      </c>
      <c r="S311" s="55">
        <v>7813646.6085579228</v>
      </c>
      <c r="T311" s="167">
        <f t="shared" si="115"/>
        <v>4.3776390595951176E-2</v>
      </c>
      <c r="U311" s="170">
        <v>3.8633331098701706E-2</v>
      </c>
      <c r="V311" s="55">
        <v>7813646.6085579228</v>
      </c>
      <c r="X311" s="167">
        <f t="shared" si="116"/>
        <v>4.3776390595951176E-2</v>
      </c>
      <c r="Y311" s="170">
        <v>3.8633331098701706E-2</v>
      </c>
      <c r="Z311" s="55">
        <v>7813646.6085579228</v>
      </c>
      <c r="AB311" s="55">
        <v>7605973.2743697697</v>
      </c>
      <c r="AC311" s="55">
        <v>7813646.6085579228</v>
      </c>
      <c r="AD311" s="167">
        <f t="shared" si="117"/>
        <v>4.3776390595951176E-2</v>
      </c>
      <c r="AE311" s="170">
        <v>3.8633331098701706E-2</v>
      </c>
      <c r="AF311" s="55">
        <v>7813646.6085579228</v>
      </c>
      <c r="AG311" s="166">
        <v>1736.8778777313344</v>
      </c>
      <c r="AH311" s="171">
        <f t="shared" si="118"/>
        <v>4.3776390595951176E-2</v>
      </c>
      <c r="AI311" s="171">
        <f t="shared" si="119"/>
        <v>3.8633331098701706E-2</v>
      </c>
      <c r="AK311" s="55">
        <v>7844256.2131356737</v>
      </c>
      <c r="AL311" s="166">
        <v>1743.6820176804038</v>
      </c>
      <c r="AM311" s="171">
        <f t="shared" ref="AM311:AM322" si="121">AF311/AK311-1</f>
        <v>-3.9021678723972775E-3</v>
      </c>
      <c r="AN311" s="170">
        <f t="shared" ref="AN311:AN322" si="122">AG311/AL311-1</f>
        <v>-3.9021678723972775E-3</v>
      </c>
      <c r="AP311" s="1"/>
      <c r="AQ311" s="1"/>
    </row>
    <row r="312" spans="2:43" ht="15" x14ac:dyDescent="0.25">
      <c r="B312" t="s">
        <v>579</v>
      </c>
      <c r="D312" s="55">
        <v>4466816.0870807488</v>
      </c>
      <c r="E312" s="166">
        <v>1737.3015943153046</v>
      </c>
      <c r="G312" s="55">
        <v>4375862.4395692302</v>
      </c>
      <c r="H312" s="166">
        <v>1697.0855917079764</v>
      </c>
      <c r="J312" s="167">
        <f t="shared" si="111"/>
        <v>2.0785307757634319E-2</v>
      </c>
      <c r="K312" s="168">
        <f t="shared" si="111"/>
        <v>2.3697097426214064E-2</v>
      </c>
      <c r="L312" s="55">
        <v>4626110</v>
      </c>
      <c r="M312" s="167">
        <f t="shared" si="112"/>
        <v>3.5661623360758732E-2</v>
      </c>
      <c r="N312" s="169">
        <f t="shared" si="113"/>
        <v>9.0547645222140982E-3</v>
      </c>
      <c r="O312" s="55">
        <v>4626110</v>
      </c>
      <c r="Q312" s="167">
        <f t="shared" si="114"/>
        <v>3.599346320591934E-2</v>
      </c>
      <c r="R312" s="170">
        <v>3.3046697926947921E-2</v>
      </c>
      <c r="S312" s="55">
        <v>4627592.2675586985</v>
      </c>
      <c r="T312" s="167">
        <f t="shared" si="115"/>
        <v>3.599346320591934E-2</v>
      </c>
      <c r="U312" s="170">
        <v>3.3046697926947921E-2</v>
      </c>
      <c r="V312" s="55">
        <v>4627592.2675586985</v>
      </c>
      <c r="X312" s="167">
        <f t="shared" si="116"/>
        <v>3.599346320591934E-2</v>
      </c>
      <c r="Y312" s="170">
        <v>3.3046697926947921E-2</v>
      </c>
      <c r="Z312" s="55">
        <v>4627592.2675586985</v>
      </c>
      <c r="AB312" s="55">
        <v>4449726.2109519821</v>
      </c>
      <c r="AC312" s="55">
        <v>4627592.2675586985</v>
      </c>
      <c r="AD312" s="167">
        <f t="shared" si="117"/>
        <v>3.599346320591934E-2</v>
      </c>
      <c r="AE312" s="170">
        <v>3.3046697926947921E-2</v>
      </c>
      <c r="AF312" s="55">
        <v>4627592.2675586985</v>
      </c>
      <c r="AG312" s="166">
        <v>1794.7136753106477</v>
      </c>
      <c r="AH312" s="171">
        <f t="shared" si="118"/>
        <v>3.599346320591934E-2</v>
      </c>
      <c r="AI312" s="171">
        <f t="shared" si="119"/>
        <v>3.3046697926948143E-2</v>
      </c>
      <c r="AK312" s="55">
        <v>4563821.7548225457</v>
      </c>
      <c r="AL312" s="166">
        <v>1769.9816322368695</v>
      </c>
      <c r="AM312" s="171">
        <f t="shared" si="121"/>
        <v>1.3973050693482314E-2</v>
      </c>
      <c r="AN312" s="170">
        <f t="shared" si="122"/>
        <v>1.3973050693482314E-2</v>
      </c>
      <c r="AP312" s="1"/>
      <c r="AQ312" s="1"/>
    </row>
    <row r="313" spans="2:43" ht="15" x14ac:dyDescent="0.25">
      <c r="B313" t="s">
        <v>580</v>
      </c>
      <c r="D313" s="55">
        <v>9039499.3564703893</v>
      </c>
      <c r="E313" s="166">
        <v>1578.7202151073709</v>
      </c>
      <c r="G313" s="55">
        <v>8727782.9602906723</v>
      </c>
      <c r="H313" s="166">
        <v>1516.4133413784398</v>
      </c>
      <c r="J313" s="167">
        <f t="shared" si="111"/>
        <v>3.5715415655722893E-2</v>
      </c>
      <c r="K313" s="168">
        <f t="shared" si="111"/>
        <v>4.1088318091618392E-2</v>
      </c>
      <c r="L313" s="55">
        <v>9358045</v>
      </c>
      <c r="M313" s="167">
        <f t="shared" si="112"/>
        <v>3.5239301532954848E-2</v>
      </c>
      <c r="N313" s="169">
        <f t="shared" si="113"/>
        <v>9.0547645222140982E-3</v>
      </c>
      <c r="O313" s="55">
        <v>9358045</v>
      </c>
      <c r="Q313" s="167">
        <f t="shared" si="114"/>
        <v>3.536652446687838E-2</v>
      </c>
      <c r="R313" s="170">
        <v>3.0023151359445999E-2</v>
      </c>
      <c r="S313" s="55">
        <v>9359195.0316293314</v>
      </c>
      <c r="T313" s="167">
        <f t="shared" si="115"/>
        <v>3.5701184063155367E-2</v>
      </c>
      <c r="U313" s="170">
        <v>3.0356083827170366E-2</v>
      </c>
      <c r="V313" s="55">
        <v>9362220.1868345123</v>
      </c>
      <c r="X313" s="167">
        <f t="shared" si="116"/>
        <v>3.536652446687838E-2</v>
      </c>
      <c r="Y313" s="170">
        <v>3.0023151359445999E-2</v>
      </c>
      <c r="Z313" s="55">
        <v>9359195.0316293314</v>
      </c>
      <c r="AB313" s="55">
        <v>8867576.13243578</v>
      </c>
      <c r="AC313" s="55">
        <v>9359195.0316293314</v>
      </c>
      <c r="AD313" s="167">
        <f t="shared" si="117"/>
        <v>3.536652446687838E-2</v>
      </c>
      <c r="AE313" s="170">
        <v>3.0023151359445999E-2</v>
      </c>
      <c r="AF313" s="55">
        <v>9359195.0316293314</v>
      </c>
      <c r="AG313" s="166">
        <v>1626.118371079757</v>
      </c>
      <c r="AH313" s="171">
        <f t="shared" si="118"/>
        <v>3.536652446687838E-2</v>
      </c>
      <c r="AI313" s="171">
        <f t="shared" si="119"/>
        <v>3.0023151359446221E-2</v>
      </c>
      <c r="AK313" s="55">
        <v>9102986.4734785259</v>
      </c>
      <c r="AL313" s="166">
        <v>1581.6032774388082</v>
      </c>
      <c r="AM313" s="171">
        <f t="shared" si="121"/>
        <v>2.814554969374794E-2</v>
      </c>
      <c r="AN313" s="170">
        <f t="shared" si="122"/>
        <v>2.8145549693748162E-2</v>
      </c>
      <c r="AP313" s="1"/>
      <c r="AQ313" s="1"/>
    </row>
    <row r="314" spans="2:43" ht="15" x14ac:dyDescent="0.25">
      <c r="B314" t="s">
        <v>581</v>
      </c>
      <c r="D314" s="55">
        <v>6814339.3399813678</v>
      </c>
      <c r="E314" s="166">
        <v>1547.9701088957436</v>
      </c>
      <c r="G314" s="55">
        <v>6865272.5263578398</v>
      </c>
      <c r="H314" s="166">
        <v>1549.3600565148056</v>
      </c>
      <c r="J314" s="167">
        <f t="shared" si="111"/>
        <v>-7.4189605992951435E-3</v>
      </c>
      <c r="K314" s="168">
        <f t="shared" si="111"/>
        <v>-8.9711078662280119E-4</v>
      </c>
      <c r="L314" s="55">
        <v>7072202</v>
      </c>
      <c r="M314" s="167">
        <f t="shared" si="112"/>
        <v>3.7841182710947496E-2</v>
      </c>
      <c r="N314" s="169">
        <f t="shared" si="113"/>
        <v>9.0547645222140982E-3</v>
      </c>
      <c r="O314" s="55">
        <v>7072202</v>
      </c>
      <c r="Q314" s="167">
        <f t="shared" si="114"/>
        <v>4.0409988137406705E-2</v>
      </c>
      <c r="R314" s="170">
        <v>3.3618497731870312E-2</v>
      </c>
      <c r="S314" s="55">
        <v>7089706.7118742792</v>
      </c>
      <c r="T314" s="167">
        <f t="shared" si="115"/>
        <v>4.0501942253294176E-2</v>
      </c>
      <c r="U314" s="170">
        <v>3.3709851598334062E-2</v>
      </c>
      <c r="V314" s="55">
        <v>7090333.3184236437</v>
      </c>
      <c r="X314" s="167">
        <f t="shared" si="116"/>
        <v>4.0409988137406705E-2</v>
      </c>
      <c r="Y314" s="170">
        <v>3.3618497731870312E-2</v>
      </c>
      <c r="Z314" s="55">
        <v>7089706.7118742792</v>
      </c>
      <c r="AB314" s="55">
        <v>6978794.480904351</v>
      </c>
      <c r="AC314" s="55">
        <v>7089706.7118742792</v>
      </c>
      <c r="AD314" s="167">
        <f t="shared" si="117"/>
        <v>4.0409988137406705E-2</v>
      </c>
      <c r="AE314" s="170">
        <v>3.3618497731870312E-2</v>
      </c>
      <c r="AF314" s="55">
        <v>7089706.7118742792</v>
      </c>
      <c r="AG314" s="166">
        <v>1600.0105384906583</v>
      </c>
      <c r="AH314" s="171">
        <f t="shared" si="118"/>
        <v>4.0409988137406705E-2</v>
      </c>
      <c r="AI314" s="171">
        <f t="shared" si="119"/>
        <v>3.3618497731870312E-2</v>
      </c>
      <c r="AK314" s="55">
        <v>7165287.7556129107</v>
      </c>
      <c r="AL314" s="166">
        <v>1617.0677273711788</v>
      </c>
      <c r="AM314" s="171">
        <f t="shared" si="121"/>
        <v>-1.0548221692761039E-2</v>
      </c>
      <c r="AN314" s="170">
        <f t="shared" si="122"/>
        <v>-1.0548221692761039E-2</v>
      </c>
      <c r="AP314" s="1"/>
      <c r="AQ314" s="1"/>
    </row>
    <row r="315" spans="2:43" ht="15" x14ac:dyDescent="0.25">
      <c r="B315" t="s">
        <v>582</v>
      </c>
      <c r="D315" s="55">
        <v>5698900.5667169364</v>
      </c>
      <c r="E315" s="166">
        <v>1541.5020119716494</v>
      </c>
      <c r="G315" s="55">
        <v>5695065.3759822575</v>
      </c>
      <c r="H315" s="166">
        <v>1532.9399551856332</v>
      </c>
      <c r="J315" s="167">
        <f t="shared" si="111"/>
        <v>6.7342347830678939E-4</v>
      </c>
      <c r="K315" s="168">
        <f t="shared" si="111"/>
        <v>5.5853830132435167E-3</v>
      </c>
      <c r="L315" s="55">
        <v>5910550</v>
      </c>
      <c r="M315" s="167">
        <f t="shared" si="112"/>
        <v>3.7138642937402988E-2</v>
      </c>
      <c r="N315" s="169">
        <f t="shared" si="113"/>
        <v>9.0547645222140982E-3</v>
      </c>
      <c r="O315" s="55">
        <v>5910550</v>
      </c>
      <c r="Q315" s="167">
        <f t="shared" si="114"/>
        <v>3.9169206615766061E-2</v>
      </c>
      <c r="R315" s="170">
        <v>3.4093200958689174E-2</v>
      </c>
      <c r="S315" s="55">
        <v>5922121.9804973779</v>
      </c>
      <c r="T315" s="167">
        <f t="shared" si="115"/>
        <v>3.9518155683204714E-2</v>
      </c>
      <c r="U315" s="170">
        <v>3.4440445522732954E-2</v>
      </c>
      <c r="V315" s="55">
        <v>5924110.6065355605</v>
      </c>
      <c r="X315" s="167">
        <f t="shared" si="116"/>
        <v>3.9169206615766061E-2</v>
      </c>
      <c r="Y315" s="170">
        <v>3.4093200958689174E-2</v>
      </c>
      <c r="Z315" s="55">
        <v>5922121.9804973779</v>
      </c>
      <c r="AB315" s="55">
        <v>5779800.544262873</v>
      </c>
      <c r="AC315" s="55">
        <v>5922121.9804973779</v>
      </c>
      <c r="AD315" s="167">
        <f t="shared" si="117"/>
        <v>3.9169206615766061E-2</v>
      </c>
      <c r="AE315" s="170">
        <v>3.4093200958689174E-2</v>
      </c>
      <c r="AF315" s="55">
        <v>5922121.9804973779</v>
      </c>
      <c r="AG315" s="166">
        <v>1594.0567498440225</v>
      </c>
      <c r="AH315" s="171">
        <f t="shared" si="118"/>
        <v>3.9169206615766061E-2</v>
      </c>
      <c r="AI315" s="171">
        <f t="shared" si="119"/>
        <v>3.4093200958689174E-2</v>
      </c>
      <c r="AK315" s="55">
        <v>5941347.8664882025</v>
      </c>
      <c r="AL315" s="166">
        <v>1599.2317789022436</v>
      </c>
      <c r="AM315" s="171">
        <f t="shared" si="121"/>
        <v>-3.2359468630455135E-3</v>
      </c>
      <c r="AN315" s="170">
        <f t="shared" si="122"/>
        <v>-3.2359468630452914E-3</v>
      </c>
      <c r="AP315" s="1"/>
      <c r="AQ315" s="1"/>
    </row>
    <row r="316" spans="2:43" ht="15" x14ac:dyDescent="0.25">
      <c r="B316" t="s">
        <v>583</v>
      </c>
      <c r="D316" s="55">
        <v>6789675.9593457952</v>
      </c>
      <c r="E316" s="166">
        <v>1417.812534383761</v>
      </c>
      <c r="G316" s="55">
        <v>7074331.0451320736</v>
      </c>
      <c r="H316" s="166">
        <v>1463.8585071433324</v>
      </c>
      <c r="J316" s="167">
        <f t="shared" si="111"/>
        <v>-4.0237738942419554E-2</v>
      </c>
      <c r="K316" s="168">
        <f t="shared" si="111"/>
        <v>-3.1455207272339858E-2</v>
      </c>
      <c r="L316" s="55">
        <v>7113586</v>
      </c>
      <c r="M316" s="167">
        <f t="shared" si="112"/>
        <v>4.7706259119531635E-2</v>
      </c>
      <c r="N316" s="169">
        <f t="shared" si="113"/>
        <v>9.0547645222140982E-3</v>
      </c>
      <c r="O316" s="55">
        <v>7113586</v>
      </c>
      <c r="Q316" s="167">
        <f t="shared" si="114"/>
        <v>5.7226162336478703E-2</v>
      </c>
      <c r="R316" s="170">
        <v>4.7639489295774329E-2</v>
      </c>
      <c r="S316" s="55">
        <v>7178223.0580074051</v>
      </c>
      <c r="T316" s="167">
        <f t="shared" si="115"/>
        <v>5.7226162336478703E-2</v>
      </c>
      <c r="U316" s="170">
        <v>4.7639489295774329E-2</v>
      </c>
      <c r="V316" s="55">
        <v>7178223.0580074051</v>
      </c>
      <c r="X316" s="167">
        <f t="shared" si="116"/>
        <v>5.7226162336478703E-2</v>
      </c>
      <c r="Y316" s="170">
        <v>4.7639489295774329E-2</v>
      </c>
      <c r="Z316" s="55">
        <v>7178223.0580074051</v>
      </c>
      <c r="AB316" s="55">
        <v>7058282.9264484383</v>
      </c>
      <c r="AC316" s="55">
        <v>7178223.0580074051</v>
      </c>
      <c r="AD316" s="167">
        <f t="shared" si="117"/>
        <v>5.7226162336478703E-2</v>
      </c>
      <c r="AE316" s="170">
        <v>4.7639489295774329E-2</v>
      </c>
      <c r="AF316" s="55">
        <v>7178223.0580074051</v>
      </c>
      <c r="AG316" s="166">
        <v>1485.356399438951</v>
      </c>
      <c r="AH316" s="171">
        <f t="shared" si="118"/>
        <v>5.7226162336478703E-2</v>
      </c>
      <c r="AI316" s="171">
        <f t="shared" si="119"/>
        <v>4.7639489295774551E-2</v>
      </c>
      <c r="AK316" s="55">
        <v>7381713.0820487887</v>
      </c>
      <c r="AL316" s="166">
        <v>1527.4636461752705</v>
      </c>
      <c r="AM316" s="171">
        <f t="shared" si="121"/>
        <v>-2.7566775053373571E-2</v>
      </c>
      <c r="AN316" s="170">
        <f t="shared" si="122"/>
        <v>-2.7566775053373571E-2</v>
      </c>
      <c r="AP316" s="1"/>
      <c r="AQ316" s="1"/>
    </row>
    <row r="317" spans="2:43" ht="15" x14ac:dyDescent="0.25">
      <c r="B317" t="s">
        <v>584</v>
      </c>
      <c r="D317" s="55">
        <v>6459001.7882238757</v>
      </c>
      <c r="E317" s="166">
        <v>1456.7380687397665</v>
      </c>
      <c r="G317" s="55">
        <v>6657347.7951275473</v>
      </c>
      <c r="H317" s="166">
        <v>1490.0359298001363</v>
      </c>
      <c r="J317" s="167">
        <f t="shared" si="111"/>
        <v>-2.979354737164841E-2</v>
      </c>
      <c r="K317" s="168">
        <f t="shared" si="111"/>
        <v>-2.2347018883521863E-2</v>
      </c>
      <c r="L317" s="55">
        <v>6702436</v>
      </c>
      <c r="M317" s="167">
        <f t="shared" si="112"/>
        <v>3.7689138315452508E-2</v>
      </c>
      <c r="N317" s="169">
        <f t="shared" si="113"/>
        <v>9.0547645222140982E-3</v>
      </c>
      <c r="O317" s="55">
        <v>6702436</v>
      </c>
      <c r="Q317" s="167">
        <f t="shared" si="114"/>
        <v>5.0205149708662411E-2</v>
      </c>
      <c r="R317" s="170">
        <v>4.220601022181536E-2</v>
      </c>
      <c r="S317" s="55">
        <v>6783276.9399701729</v>
      </c>
      <c r="T317" s="167">
        <f t="shared" si="115"/>
        <v>5.0205149708662411E-2</v>
      </c>
      <c r="U317" s="170">
        <v>4.220601022181536E-2</v>
      </c>
      <c r="V317" s="55">
        <v>6783276.9399701729</v>
      </c>
      <c r="X317" s="167">
        <f t="shared" si="116"/>
        <v>5.0205149708662411E-2</v>
      </c>
      <c r="Y317" s="170">
        <v>4.220601022181536E-2</v>
      </c>
      <c r="Z317" s="55">
        <v>6783276.9399701729</v>
      </c>
      <c r="AB317" s="55">
        <v>6716168.0641085319</v>
      </c>
      <c r="AC317" s="55">
        <v>6783276.9399701729</v>
      </c>
      <c r="AD317" s="167">
        <f t="shared" si="117"/>
        <v>5.0205149708662411E-2</v>
      </c>
      <c r="AE317" s="170">
        <v>4.220601022181536E-2</v>
      </c>
      <c r="AF317" s="55">
        <v>6783276.9399701729</v>
      </c>
      <c r="AG317" s="166">
        <v>1518.2211705595043</v>
      </c>
      <c r="AH317" s="171">
        <f t="shared" si="118"/>
        <v>5.0205149708662411E-2</v>
      </c>
      <c r="AI317" s="171">
        <f t="shared" si="119"/>
        <v>4.2206010221815138E-2</v>
      </c>
      <c r="AK317" s="55">
        <v>6946157.1758309985</v>
      </c>
      <c r="AL317" s="166">
        <v>1554.6767398275811</v>
      </c>
      <c r="AM317" s="171">
        <f t="shared" si="121"/>
        <v>-2.3448970666480662E-2</v>
      </c>
      <c r="AN317" s="170">
        <f t="shared" si="122"/>
        <v>-2.3448970666480662E-2</v>
      </c>
      <c r="AP317" s="1"/>
      <c r="AQ317" s="1"/>
    </row>
    <row r="318" spans="2:43" ht="15" x14ac:dyDescent="0.25">
      <c r="B318" t="s">
        <v>516</v>
      </c>
      <c r="D318" s="55">
        <v>14451736.813293526</v>
      </c>
      <c r="E318" s="166">
        <v>1542.2773116004935</v>
      </c>
      <c r="G318" s="55">
        <v>14326960.619236281</v>
      </c>
      <c r="H318" s="166">
        <v>1508.5448214365842</v>
      </c>
      <c r="J318" s="167">
        <f t="shared" si="111"/>
        <v>8.7091880387883958E-3</v>
      </c>
      <c r="K318" s="168">
        <f t="shared" si="111"/>
        <v>2.2360946578826812E-2</v>
      </c>
      <c r="L318" s="55">
        <v>15039840</v>
      </c>
      <c r="M318" s="167">
        <f t="shared" si="112"/>
        <v>4.0694291233251967E-2</v>
      </c>
      <c r="N318" s="169">
        <f t="shared" si="113"/>
        <v>9.0547645222140982E-3</v>
      </c>
      <c r="O318" s="55">
        <v>15039840</v>
      </c>
      <c r="Q318" s="167">
        <f t="shared" si="114"/>
        <v>4.5357787781504344E-2</v>
      </c>
      <c r="R318" s="170">
        <v>3.139894853348979E-2</v>
      </c>
      <c r="S318" s="55">
        <v>15107235.624745047</v>
      </c>
      <c r="T318" s="167">
        <f t="shared" si="115"/>
        <v>4.57520396346347E-2</v>
      </c>
      <c r="U318" s="170">
        <v>3.1787935874980855E-2</v>
      </c>
      <c r="V318" s="55">
        <v>15112933.248764642</v>
      </c>
      <c r="X318" s="167">
        <f t="shared" si="116"/>
        <v>4.5357787781504344E-2</v>
      </c>
      <c r="Y318" s="170">
        <v>3.139894853348979E-2</v>
      </c>
      <c r="Z318" s="55">
        <v>15107235.624745047</v>
      </c>
      <c r="AB318" s="55">
        <v>14541660.775362942</v>
      </c>
      <c r="AC318" s="55">
        <v>15107235.624745047</v>
      </c>
      <c r="AD318" s="167">
        <f t="shared" si="117"/>
        <v>4.5357787781504344E-2</v>
      </c>
      <c r="AE318" s="170">
        <v>3.139894853348979E-2</v>
      </c>
      <c r="AF318" s="55">
        <v>15107235.624745047</v>
      </c>
      <c r="AG318" s="166">
        <v>1590.7031975318064</v>
      </c>
      <c r="AH318" s="171">
        <f t="shared" si="118"/>
        <v>4.5357787781504344E-2</v>
      </c>
      <c r="AI318" s="171">
        <f t="shared" si="119"/>
        <v>3.139894853348979E-2</v>
      </c>
      <c r="AK318" s="55">
        <v>14968223.031785134</v>
      </c>
      <c r="AL318" s="166">
        <v>1576.06598781249</v>
      </c>
      <c r="AM318" s="171">
        <f t="shared" si="121"/>
        <v>9.2871807605163781E-3</v>
      </c>
      <c r="AN318" s="170">
        <f t="shared" si="122"/>
        <v>9.2871807605163781E-3</v>
      </c>
      <c r="AP318" s="1"/>
      <c r="AQ318" s="1"/>
    </row>
    <row r="319" spans="2:43" ht="15" x14ac:dyDescent="0.25">
      <c r="B319" t="s">
        <v>585</v>
      </c>
      <c r="D319" s="55">
        <v>7139859.7714239843</v>
      </c>
      <c r="E319" s="166">
        <v>1514.0531429145765</v>
      </c>
      <c r="G319" s="55">
        <v>7224759.6415338544</v>
      </c>
      <c r="H319" s="166">
        <v>1519.424192798607</v>
      </c>
      <c r="J319" s="167">
        <f t="shared" si="111"/>
        <v>-1.1751238009607423E-2</v>
      </c>
      <c r="K319" s="168">
        <f t="shared" si="111"/>
        <v>-3.5349245520025496E-3</v>
      </c>
      <c r="L319" s="55">
        <v>7414270</v>
      </c>
      <c r="M319" s="167">
        <f t="shared" si="112"/>
        <v>3.8433559952296692E-2</v>
      </c>
      <c r="N319" s="169">
        <f t="shared" si="113"/>
        <v>9.0547645222140982E-3</v>
      </c>
      <c r="O319" s="55">
        <v>7414270</v>
      </c>
      <c r="Q319" s="167">
        <f t="shared" si="114"/>
        <v>4.4670045990681695E-2</v>
      </c>
      <c r="R319" s="170">
        <v>3.6056260350707303E-2</v>
      </c>
      <c r="S319" s="55">
        <v>7458797.6357805114</v>
      </c>
      <c r="T319" s="167">
        <f t="shared" si="115"/>
        <v>4.471738450004592E-2</v>
      </c>
      <c r="U319" s="170">
        <v>3.6103208532260567E-2</v>
      </c>
      <c r="V319" s="55">
        <v>7459135.6260991599</v>
      </c>
      <c r="X319" s="167">
        <f t="shared" si="116"/>
        <v>4.468655401169852E-2</v>
      </c>
      <c r="Y319" s="170">
        <v>3.6072632255488291E-2</v>
      </c>
      <c r="Z319" s="55">
        <v>7458915.5007356759</v>
      </c>
      <c r="AB319" s="55">
        <v>7327630.5648086136</v>
      </c>
      <c r="AC319" s="55">
        <v>7458915.5007356759</v>
      </c>
      <c r="AD319" s="167">
        <f t="shared" si="117"/>
        <v>4.468655401169852E-2</v>
      </c>
      <c r="AE319" s="170">
        <v>3.6072632255488291E-2</v>
      </c>
      <c r="AF319" s="55">
        <v>7458915.5007356759</v>
      </c>
      <c r="AG319" s="166">
        <v>1568.6690251542002</v>
      </c>
      <c r="AH319" s="171">
        <f t="shared" si="118"/>
        <v>4.468655401169852E-2</v>
      </c>
      <c r="AI319" s="171">
        <f t="shared" si="119"/>
        <v>3.6072632255488291E-2</v>
      </c>
      <c r="AK319" s="55">
        <v>7539592.6413196055</v>
      </c>
      <c r="AL319" s="166">
        <v>1585.6360670062684</v>
      </c>
      <c r="AM319" s="171">
        <f t="shared" si="121"/>
        <v>-1.0700464126110809E-2</v>
      </c>
      <c r="AN319" s="170">
        <f t="shared" si="122"/>
        <v>-1.070046412611092E-2</v>
      </c>
      <c r="AP319" s="1"/>
      <c r="AQ319" s="1"/>
    </row>
    <row r="320" spans="2:43" ht="15" x14ac:dyDescent="0.25">
      <c r="B320" t="s">
        <v>586</v>
      </c>
      <c r="D320" s="55">
        <v>5201553.4529481046</v>
      </c>
      <c r="E320" s="166">
        <v>1374.109328723016</v>
      </c>
      <c r="G320" s="55">
        <v>5318802.084717189</v>
      </c>
      <c r="H320" s="166">
        <v>1394.6324482650998</v>
      </c>
      <c r="J320" s="167">
        <f t="shared" si="111"/>
        <v>-2.2044180231105326E-2</v>
      </c>
      <c r="K320" s="168">
        <f t="shared" si="111"/>
        <v>-1.4715790936611461E-2</v>
      </c>
      <c r="L320" s="55">
        <v>5450138</v>
      </c>
      <c r="M320" s="167">
        <f t="shared" si="112"/>
        <v>4.7790443624299295E-2</v>
      </c>
      <c r="N320" s="169">
        <f t="shared" si="113"/>
        <v>9.0547645222140982E-3</v>
      </c>
      <c r="O320" s="55">
        <v>5450138</v>
      </c>
      <c r="Q320" s="167">
        <f t="shared" si="114"/>
        <v>5.113204209388944E-2</v>
      </c>
      <c r="R320" s="170">
        <v>4.3313886952945024E-2</v>
      </c>
      <c r="S320" s="55">
        <v>5467519.5030578626</v>
      </c>
      <c r="T320" s="167">
        <f t="shared" si="115"/>
        <v>5.113204209388944E-2</v>
      </c>
      <c r="U320" s="170">
        <v>4.3313886952945024E-2</v>
      </c>
      <c r="V320" s="55">
        <v>5467519.5030578626</v>
      </c>
      <c r="X320" s="167">
        <f t="shared" si="116"/>
        <v>5.113204209388944E-2</v>
      </c>
      <c r="Y320" s="170">
        <v>4.3313886952945024E-2</v>
      </c>
      <c r="Z320" s="55">
        <v>5467519.5030578626</v>
      </c>
      <c r="AB320" s="55">
        <v>5378378.8951077452</v>
      </c>
      <c r="AC320" s="55">
        <v>5467519.5030578626</v>
      </c>
      <c r="AD320" s="167">
        <f t="shared" si="117"/>
        <v>5.113204209388944E-2</v>
      </c>
      <c r="AE320" s="170">
        <v>4.3313886952945024E-2</v>
      </c>
      <c r="AF320" s="55">
        <v>5467519.5030578626</v>
      </c>
      <c r="AG320" s="166">
        <v>1433.6273448483116</v>
      </c>
      <c r="AH320" s="171">
        <f t="shared" si="118"/>
        <v>5.113204209388944E-2</v>
      </c>
      <c r="AI320" s="171">
        <f t="shared" si="119"/>
        <v>4.3313886952944802E-2</v>
      </c>
      <c r="AK320" s="55">
        <v>5548978.0272887805</v>
      </c>
      <c r="AL320" s="166">
        <v>1454.9864214356232</v>
      </c>
      <c r="AM320" s="171">
        <f t="shared" si="121"/>
        <v>-1.4679914721291154E-2</v>
      </c>
      <c r="AN320" s="170">
        <f t="shared" si="122"/>
        <v>-1.4679914721291154E-2</v>
      </c>
      <c r="AP320" s="1"/>
      <c r="AQ320" s="1"/>
    </row>
    <row r="321" spans="2:44" ht="15" x14ac:dyDescent="0.25">
      <c r="B321" t="s">
        <v>537</v>
      </c>
      <c r="D321" s="55">
        <v>4236971.9359537791</v>
      </c>
      <c r="E321" s="166">
        <v>1493.0491655691417</v>
      </c>
      <c r="G321" s="55">
        <v>4286897.3190304041</v>
      </c>
      <c r="H321" s="166">
        <v>1501.1187123175787</v>
      </c>
      <c r="J321" s="167">
        <f t="shared" si="111"/>
        <v>-1.1646041265088392E-2</v>
      </c>
      <c r="K321" s="168">
        <f t="shared" si="111"/>
        <v>-5.3756885995901449E-3</v>
      </c>
      <c r="L321" s="55">
        <v>4444743</v>
      </c>
      <c r="M321" s="167">
        <f t="shared" si="112"/>
        <v>4.9037630455640357E-2</v>
      </c>
      <c r="N321" s="169">
        <f t="shared" si="113"/>
        <v>9.0547645222140982E-3</v>
      </c>
      <c r="O321" s="55">
        <v>4444743</v>
      </c>
      <c r="Q321" s="167">
        <f t="shared" si="114"/>
        <v>5.0434627296230383E-2</v>
      </c>
      <c r="R321" s="170">
        <v>4.3812432875982577E-2</v>
      </c>
      <c r="S321" s="55">
        <v>4450662.0364081953</v>
      </c>
      <c r="T321" s="167">
        <f t="shared" si="115"/>
        <v>5.0880581143683878E-2</v>
      </c>
      <c r="U321" s="170">
        <v>4.4255575322323049E-2</v>
      </c>
      <c r="V321" s="55">
        <v>4452551.5303445868</v>
      </c>
      <c r="X321" s="167">
        <f t="shared" si="116"/>
        <v>5.0434627296230383E-2</v>
      </c>
      <c r="Y321" s="170">
        <v>4.3812432875982577E-2</v>
      </c>
      <c r="Z321" s="55">
        <v>4450662.0364081953</v>
      </c>
      <c r="AB321" s="55">
        <v>4322583.8509149104</v>
      </c>
      <c r="AC321" s="55">
        <v>4450662.0364081953</v>
      </c>
      <c r="AD321" s="167">
        <f t="shared" si="117"/>
        <v>5.0434627296230383E-2</v>
      </c>
      <c r="AE321" s="170">
        <v>4.3812432875982577E-2</v>
      </c>
      <c r="AF321" s="55">
        <v>4450662.0364081953</v>
      </c>
      <c r="AG321" s="166">
        <v>1558.4632819161814</v>
      </c>
      <c r="AH321" s="171">
        <f t="shared" si="118"/>
        <v>5.0434627296230383E-2</v>
      </c>
      <c r="AI321" s="171">
        <f t="shared" si="119"/>
        <v>4.3812432875982577E-2</v>
      </c>
      <c r="AK321" s="55">
        <v>4470592.5463710576</v>
      </c>
      <c r="AL321" s="166">
        <v>1565.4422364431471</v>
      </c>
      <c r="AM321" s="171">
        <f t="shared" si="121"/>
        <v>-4.4581360873606757E-3</v>
      </c>
      <c r="AN321" s="170">
        <f t="shared" si="122"/>
        <v>-4.4581360873605647E-3</v>
      </c>
      <c r="AP321" s="1"/>
      <c r="AQ321" s="1"/>
    </row>
    <row r="322" spans="2:44" ht="15" x14ac:dyDescent="0.25">
      <c r="B322" t="s">
        <v>587</v>
      </c>
      <c r="D322" s="55">
        <v>5118141.1113254027</v>
      </c>
      <c r="E322" s="166">
        <v>1560.9947243387392</v>
      </c>
      <c r="G322" s="55">
        <v>5050769.2042192211</v>
      </c>
      <c r="H322" s="166">
        <v>1529.4508716464163</v>
      </c>
      <c r="J322" s="167">
        <f t="shared" si="111"/>
        <v>1.3338939947978856E-2</v>
      </c>
      <c r="K322" s="168">
        <f t="shared" si="111"/>
        <v>2.0624299398624535E-2</v>
      </c>
      <c r="L322" s="55">
        <v>5306813</v>
      </c>
      <c r="M322" s="167">
        <f t="shared" si="112"/>
        <v>3.6863362023588087E-2</v>
      </c>
      <c r="N322" s="169">
        <f t="shared" si="113"/>
        <v>9.0547645222140982E-3</v>
      </c>
      <c r="O322" s="55">
        <v>5306813</v>
      </c>
      <c r="Q322" s="167">
        <f t="shared" si="114"/>
        <v>3.6894546091160052E-2</v>
      </c>
      <c r="S322" s="55">
        <v>5306972.6044582594</v>
      </c>
      <c r="T322" s="167">
        <f t="shared" si="115"/>
        <v>3.6894546091160052E-2</v>
      </c>
      <c r="U322" s="52"/>
      <c r="V322" s="55">
        <v>5306972.6044582594</v>
      </c>
      <c r="X322" s="167">
        <f t="shared" si="116"/>
        <v>3.6894546091160052E-2</v>
      </c>
      <c r="Y322" s="52"/>
      <c r="Z322" s="55">
        <v>5306972.6044582594</v>
      </c>
      <c r="AB322" s="55">
        <v>5137959.5215005344</v>
      </c>
      <c r="AC322" s="55">
        <v>5306972.6044582594</v>
      </c>
      <c r="AD322" s="167">
        <f t="shared" si="117"/>
        <v>3.6894546091160052E-2</v>
      </c>
      <c r="AE322" s="170">
        <v>2.9493047336781153E-2</v>
      </c>
      <c r="AF322" s="55">
        <v>5306972.6044582594</v>
      </c>
      <c r="AG322" s="166">
        <v>1607.0332156361271</v>
      </c>
      <c r="AH322" s="171">
        <f t="shared" si="118"/>
        <v>3.6894546091160052E-2</v>
      </c>
      <c r="AI322" s="171">
        <f t="shared" si="119"/>
        <v>2.9493047336781153E-2</v>
      </c>
      <c r="AK322" s="55">
        <v>5269702.0733338809</v>
      </c>
      <c r="AL322" s="166">
        <v>1595.7471235558776</v>
      </c>
      <c r="AM322" s="171">
        <f t="shared" si="121"/>
        <v>7.0726068771473916E-3</v>
      </c>
      <c r="AN322" s="170">
        <f t="shared" si="122"/>
        <v>7.0726068771473916E-3</v>
      </c>
      <c r="AP322" s="1"/>
      <c r="AQ322" s="1"/>
    </row>
    <row r="323" spans="2:44" ht="15" x14ac:dyDescent="0.25">
      <c r="B323"/>
      <c r="D323" s="1"/>
      <c r="E323" s="173"/>
      <c r="G323" s="1"/>
      <c r="H323" s="173"/>
      <c r="L323" s="1"/>
      <c r="O323" s="1"/>
      <c r="Q323" s="53"/>
      <c r="S323" s="1"/>
      <c r="U323" s="52"/>
      <c r="V323" s="1"/>
      <c r="X323" s="53"/>
      <c r="Y323" s="52"/>
      <c r="Z323" s="1"/>
      <c r="AB323" s="1"/>
      <c r="AC323" s="1"/>
      <c r="AD323" s="53"/>
      <c r="AE323" s="52"/>
      <c r="AF323" s="1"/>
      <c r="AG323" s="173"/>
      <c r="AK323" s="1"/>
      <c r="AL323" s="173"/>
      <c r="AP323" s="1"/>
      <c r="AQ323" s="1"/>
    </row>
    <row r="324" spans="2:44" ht="15" x14ac:dyDescent="0.25">
      <c r="B324" t="s">
        <v>12</v>
      </c>
      <c r="D324" s="172">
        <f>SUM(D310:D322)</f>
        <v>88538506.67590563</v>
      </c>
      <c r="E324" s="173">
        <v>1544.3881845212823</v>
      </c>
      <c r="G324" s="172">
        <f>SUM(G310:G322)</f>
        <v>88538506.675905645</v>
      </c>
      <c r="H324" s="173">
        <v>1532.9256894186628</v>
      </c>
      <c r="J324" s="167">
        <f>D324/G324-1</f>
        <v>0</v>
      </c>
      <c r="K324" s="168">
        <f>E324/H324-1</f>
        <v>7.4775282205403748E-3</v>
      </c>
      <c r="L324" s="172">
        <f>SUM(L310:L322)</f>
        <v>92076402</v>
      </c>
      <c r="M324" s="167">
        <f>O324/$D324-1</f>
        <v>3.9958832116344656E-2</v>
      </c>
      <c r="N324" s="169">
        <f>N$222</f>
        <v>9.0547645222140982E-3</v>
      </c>
      <c r="O324" s="172">
        <f>SUM(O310:O322)</f>
        <v>92076402</v>
      </c>
      <c r="Q324" s="167">
        <f>S324/$D324-1</f>
        <v>4.3532147438943847E-2</v>
      </c>
      <c r="R324" s="170">
        <v>3.578702076073581E-2</v>
      </c>
      <c r="S324" s="172">
        <f>SUM(S310:S322)</f>
        <v>92392778.002545074</v>
      </c>
      <c r="T324" s="167">
        <f>V324/$D324-1</f>
        <v>4.3762450644539319E-2</v>
      </c>
      <c r="U324" s="170">
        <v>3.6015614649080208E-2</v>
      </c>
      <c r="V324" s="172">
        <f>SUM(V310:V322)</f>
        <v>92413168.704451159</v>
      </c>
      <c r="X324" s="167">
        <f>Z324/$D324-1</f>
        <v>4.3535153838077267E-2</v>
      </c>
      <c r="Y324" s="170">
        <v>3.5790004846285361E-2</v>
      </c>
      <c r="Z324" s="172">
        <f>SUM(Z310:Z322)</f>
        <v>92393044.184634805</v>
      </c>
      <c r="AB324" s="172">
        <f>SUM(AB310:AB322)</f>
        <v>89673742.776480839</v>
      </c>
      <c r="AC324" s="172">
        <f>SUM(AC310:AC322)</f>
        <v>92393044.184634805</v>
      </c>
      <c r="AD324" s="167">
        <f>AC324/$D324-1</f>
        <v>4.3535153838077267E-2</v>
      </c>
      <c r="AE324" s="170">
        <v>3.5790004846285361E-2</v>
      </c>
      <c r="AF324" s="172">
        <f>SUM(AF310:AF322)</f>
        <v>92393044.184634805</v>
      </c>
      <c r="AG324" s="166">
        <v>1599.6618451298448</v>
      </c>
      <c r="AH324" s="171">
        <f>AF324/D324 - 1</f>
        <v>4.3535153838077267E-2</v>
      </c>
      <c r="AI324" s="171">
        <f>AG324/E324 - 1</f>
        <v>3.5790004846285361E-2</v>
      </c>
      <c r="AK324" s="172">
        <f>SUM(AK310:AK322)</f>
        <v>92393127.908494949</v>
      </c>
      <c r="AL324" s="173">
        <v>1599.6632946963762</v>
      </c>
      <c r="AM324" s="171">
        <f>AF324/AK324-1</f>
        <v>-9.0616977732604909E-7</v>
      </c>
      <c r="AN324" s="170">
        <f t="shared" ref="AN324" si="123">AG324/AL324-1</f>
        <v>-9.0616977721502678E-7</v>
      </c>
      <c r="AP324" s="1"/>
      <c r="AQ324" s="1"/>
    </row>
    <row r="325" spans="2:44" x14ac:dyDescent="0.2">
      <c r="AO325" s="52"/>
      <c r="AP325" s="1"/>
      <c r="AQ325" s="1"/>
    </row>
    <row r="326" spans="2:44" x14ac:dyDescent="0.2">
      <c r="AN326" s="64"/>
      <c r="AO326" s="52"/>
      <c r="AP326" s="1"/>
      <c r="AR326" s="64"/>
    </row>
  </sheetData>
  <mergeCells count="7">
    <mergeCell ref="T9:V9"/>
    <mergeCell ref="W9:Z9"/>
    <mergeCell ref="D9:E9"/>
    <mergeCell ref="AK9:AN9"/>
    <mergeCell ref="G9:H9"/>
    <mergeCell ref="P9:S9"/>
    <mergeCell ref="M9:O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BN326"/>
  <sheetViews>
    <sheetView zoomScaleNormal="100" workbookViewId="0">
      <pane xSplit="3" ySplit="10" topLeftCell="AB11" activePane="bottomRight" state="frozen"/>
      <selection pane="topRight"/>
      <selection pane="bottomLeft"/>
      <selection pane="bottomRight" activeCell="AI12" sqref="AI12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3.28515625" style="64" customWidth="1"/>
    <col min="5" max="7" width="11.140625" style="64" customWidth="1"/>
    <col min="8" max="8" width="5.7109375" style="64" customWidth="1"/>
    <col min="9" max="9" width="12.85546875" style="64" customWidth="1"/>
    <col min="10" max="11" width="11.140625" style="64" customWidth="1"/>
    <col min="12" max="12" width="11.140625" style="52" customWidth="1"/>
    <col min="13" max="13" width="5.7109375" style="52" customWidth="1"/>
    <col min="14" max="16" width="13.28515625" style="64" customWidth="1"/>
    <col min="17" max="17" width="4.28515625" style="1" customWidth="1"/>
    <col min="18" max="19" width="13.28515625" style="64" customWidth="1"/>
    <col min="20" max="20" width="4.85546875" style="1" customWidth="1"/>
    <col min="21" max="25" width="13.28515625" style="64" customWidth="1"/>
    <col min="26" max="26" width="5.140625" style="1" customWidth="1"/>
    <col min="27" max="29" width="13.28515625" style="64" customWidth="1"/>
    <col min="30" max="30" width="4.140625" style="1" customWidth="1"/>
    <col min="31" max="33" width="13.28515625" style="64" customWidth="1"/>
    <col min="34" max="34" width="3.5703125" style="1" customWidth="1"/>
    <col min="35" max="37" width="13.28515625" style="64" customWidth="1"/>
    <col min="38" max="38" width="4.42578125" style="1" customWidth="1"/>
    <col min="39" max="41" width="13.28515625" style="64" customWidth="1"/>
    <col min="42" max="42" width="4.28515625" style="64" customWidth="1"/>
    <col min="43" max="43" width="13.28515625" style="64" customWidth="1"/>
    <col min="44" max="44" width="4.42578125" style="1" customWidth="1"/>
    <col min="45" max="47" width="13.28515625" style="64" customWidth="1"/>
    <col min="48" max="48" width="5" style="64" customWidth="1"/>
    <col min="49" max="49" width="13.28515625" style="64" customWidth="1"/>
    <col min="50" max="50" width="4.42578125" style="1" customWidth="1"/>
    <col min="51" max="54" width="13.28515625" style="64" customWidth="1"/>
    <col min="55" max="55" width="5.85546875" style="64" customWidth="1"/>
    <col min="56" max="56" width="9.140625" style="1"/>
    <col min="57" max="60" width="13.28515625" style="64" customWidth="1"/>
    <col min="61" max="61" width="4.42578125" style="1" customWidth="1"/>
    <col min="62" max="63" width="13.28515625" style="64" customWidth="1"/>
    <col min="64" max="64" width="15.140625" style="64" customWidth="1"/>
    <col min="65" max="65" width="13.28515625" style="64" customWidth="1"/>
    <col min="66" max="16384" width="9.140625" style="1"/>
  </cols>
  <sheetData>
    <row r="1" spans="1:65" x14ac:dyDescent="0.2">
      <c r="A1" s="321" t="s">
        <v>616</v>
      </c>
    </row>
    <row r="2" spans="1:65" x14ac:dyDescent="0.2">
      <c r="A2" s="279" t="s">
        <v>949</v>
      </c>
    </row>
    <row r="3" spans="1:65" x14ac:dyDescent="0.2">
      <c r="A3" s="354" t="s">
        <v>998</v>
      </c>
    </row>
    <row r="4" spans="1:65" x14ac:dyDescent="0.2">
      <c r="B4" s="1" t="s">
        <v>64</v>
      </c>
      <c r="D4" s="6"/>
      <c r="E4" s="7"/>
      <c r="F4" s="7"/>
      <c r="G4" s="7"/>
      <c r="H4" s="7"/>
      <c r="I4" s="7" t="s">
        <v>1</v>
      </c>
      <c r="J4" s="8">
        <f>MIN(K12:K163)</f>
        <v>-4.9309481245687015E-2</v>
      </c>
      <c r="K4" s="7" t="s">
        <v>2</v>
      </c>
      <c r="L4" s="9">
        <f>COUNTIF(L12:L163,"&lt;-5%")</f>
        <v>0</v>
      </c>
      <c r="M4" s="10"/>
      <c r="N4" s="6"/>
      <c r="O4" s="6"/>
      <c r="P4" s="6"/>
      <c r="R4" s="6"/>
      <c r="S4" s="6"/>
      <c r="U4" s="8">
        <f>MIN(U12:U220)</f>
        <v>-4.9958786664706878E-2</v>
      </c>
      <c r="V4" s="8">
        <f>MIN(V12:V220)</f>
        <v>-0.12280110480860984</v>
      </c>
      <c r="W4" s="8"/>
      <c r="X4" s="8"/>
      <c r="Y4" s="6"/>
      <c r="AA4" s="6"/>
      <c r="AB4" s="6"/>
      <c r="AC4" s="6"/>
      <c r="AE4" s="6"/>
      <c r="AF4" s="6"/>
      <c r="AG4" s="6"/>
      <c r="AI4" s="6"/>
      <c r="AJ4" s="6"/>
      <c r="AK4" s="6"/>
      <c r="AM4" s="6"/>
      <c r="AN4" s="6"/>
      <c r="AO4" s="6"/>
      <c r="AP4" s="6"/>
      <c r="AQ4" s="6"/>
      <c r="AS4" s="6"/>
      <c r="AT4" s="6"/>
      <c r="AU4" s="6"/>
      <c r="AV4" s="6"/>
      <c r="AW4" s="6"/>
      <c r="AY4" s="8">
        <f>MIN(AY12:AY220)</f>
        <v>-4.9958786664706878E-2</v>
      </c>
      <c r="AZ4" s="8">
        <f t="shared" ref="AZ4:BB4" si="0">MIN(AZ12:AZ220)</f>
        <v>-0.12280110480860984</v>
      </c>
      <c r="BA4" s="8">
        <f t="shared" si="0"/>
        <v>-0.2483905911116735</v>
      </c>
      <c r="BB4" s="8">
        <f t="shared" si="0"/>
        <v>-4.9309956337865835E-2</v>
      </c>
      <c r="BC4" s="8"/>
      <c r="BE4" s="183"/>
      <c r="BF4" s="6"/>
      <c r="BG4" s="6"/>
      <c r="BH4" s="6"/>
      <c r="BJ4" s="6"/>
      <c r="BK4" s="6"/>
      <c r="BL4" s="6"/>
      <c r="BM4" s="6"/>
    </row>
    <row r="5" spans="1:65" s="11" customFormat="1" x14ac:dyDescent="0.2">
      <c r="B5" s="12">
        <v>1</v>
      </c>
      <c r="D5" s="20"/>
      <c r="E5" s="21"/>
      <c r="F5" s="21"/>
      <c r="G5" s="21"/>
      <c r="H5" s="21"/>
      <c r="I5" s="19"/>
      <c r="J5" s="19"/>
      <c r="K5" s="66" t="s">
        <v>14</v>
      </c>
      <c r="L5" s="9">
        <f>COUNTIF(L12:L163,"&lt;-5%")</f>
        <v>0</v>
      </c>
      <c r="M5" s="22"/>
      <c r="N5" s="20"/>
      <c r="O5" s="20"/>
      <c r="P5" s="20"/>
      <c r="R5" s="20"/>
      <c r="S5" s="20"/>
      <c r="U5" s="162">
        <f>COUNTIF(U12:U220,"&lt;-5%")</f>
        <v>0</v>
      </c>
      <c r="V5" s="162">
        <f>COUNTIF(V12:V220,"&lt;-5%")</f>
        <v>53</v>
      </c>
      <c r="W5" s="162"/>
      <c r="X5" s="162"/>
      <c r="Y5" s="20"/>
      <c r="AA5" s="20"/>
      <c r="AB5" s="20"/>
      <c r="AC5" s="20"/>
      <c r="AE5" s="20"/>
      <c r="AF5" s="20"/>
      <c r="AG5" s="20"/>
      <c r="AI5" s="20"/>
      <c r="AJ5" s="20"/>
      <c r="AK5" s="20"/>
      <c r="AM5" s="20"/>
      <c r="AN5" s="20"/>
      <c r="AO5" s="20"/>
      <c r="AP5" s="20"/>
      <c r="AQ5" s="185">
        <f>I8-(AM9+AN9+AO9)</f>
        <v>81.908494919538498</v>
      </c>
      <c r="AS5" s="20"/>
      <c r="AT5" s="20"/>
      <c r="AU5" s="20"/>
      <c r="AV5" s="20"/>
      <c r="AW5" s="20"/>
      <c r="AY5" s="8">
        <f>MAX(AY12:AY220)</f>
        <v>0.30509896457134933</v>
      </c>
      <c r="AZ5" s="8">
        <f t="shared" ref="AZ5:BB5" si="1">MAX(AZ12:AZ220)</f>
        <v>0.29023799306472609</v>
      </c>
      <c r="BA5" s="8">
        <f t="shared" si="1"/>
        <v>0.23082151754240932</v>
      </c>
      <c r="BB5" s="8">
        <f t="shared" si="1"/>
        <v>0.23053900950256323</v>
      </c>
      <c r="BC5" s="8"/>
      <c r="BE5" s="20"/>
      <c r="BF5" s="20"/>
      <c r="BG5" s="20"/>
      <c r="BH5" s="20"/>
      <c r="BJ5" s="20"/>
      <c r="BK5" s="20"/>
      <c r="BL5" s="20"/>
      <c r="BM5" s="20"/>
    </row>
    <row r="6" spans="1:65" s="11" customFormat="1" x14ac:dyDescent="0.2">
      <c r="B6" s="12"/>
      <c r="D6" s="28"/>
      <c r="E6" s="25"/>
      <c r="F6" s="25"/>
      <c r="G6" s="25"/>
      <c r="H6" s="25"/>
      <c r="I6" s="28"/>
      <c r="J6" s="28"/>
      <c r="K6" s="28"/>
      <c r="L6" s="29"/>
      <c r="M6" s="22"/>
      <c r="N6" s="28"/>
      <c r="O6" s="28"/>
      <c r="P6" s="28"/>
      <c r="R6" s="28"/>
      <c r="S6" s="28"/>
      <c r="U6" s="28"/>
      <c r="V6" s="28"/>
      <c r="W6" s="28"/>
      <c r="X6" s="28"/>
      <c r="Y6" s="28"/>
      <c r="AA6" s="377" t="s">
        <v>501</v>
      </c>
      <c r="AB6" s="378"/>
      <c r="AC6" s="378"/>
      <c r="AE6" s="377" t="s">
        <v>503</v>
      </c>
      <c r="AF6" s="378"/>
      <c r="AG6" s="378"/>
      <c r="AI6" s="377" t="s">
        <v>504</v>
      </c>
      <c r="AJ6" s="378"/>
      <c r="AK6" s="378"/>
      <c r="AM6" s="377" t="s">
        <v>505</v>
      </c>
      <c r="AN6" s="378"/>
      <c r="AO6" s="378"/>
      <c r="AP6" s="378"/>
      <c r="AQ6" s="378"/>
      <c r="AS6" s="377" t="s">
        <v>510</v>
      </c>
      <c r="AT6" s="378"/>
      <c r="AU6" s="378"/>
      <c r="AV6" s="378"/>
      <c r="AW6" s="378"/>
      <c r="AY6" s="377" t="s">
        <v>65</v>
      </c>
      <c r="AZ6" s="378"/>
      <c r="BA6" s="378"/>
      <c r="BB6" s="378"/>
      <c r="BC6" s="378"/>
      <c r="BE6" s="377" t="s">
        <v>588</v>
      </c>
      <c r="BF6" s="378"/>
      <c r="BG6" s="378"/>
      <c r="BH6" s="378"/>
      <c r="BJ6" s="377" t="s">
        <v>592</v>
      </c>
      <c r="BK6" s="378"/>
      <c r="BL6" s="378"/>
      <c r="BM6" s="378"/>
    </row>
    <row r="7" spans="1:65" s="11" customFormat="1" x14ac:dyDescent="0.2">
      <c r="B7" s="12"/>
      <c r="D7" s="28"/>
      <c r="E7" s="25"/>
      <c r="F7" s="25"/>
      <c r="G7" s="25"/>
      <c r="H7" s="25"/>
      <c r="I7" s="25"/>
      <c r="J7" s="28"/>
      <c r="K7" s="28"/>
      <c r="L7" s="29"/>
      <c r="M7" s="22"/>
      <c r="N7" s="28"/>
      <c r="O7" s="28"/>
      <c r="P7" s="28"/>
      <c r="R7" s="28"/>
      <c r="S7" s="28"/>
      <c r="U7" s="28"/>
      <c r="V7" s="28"/>
      <c r="W7" s="28"/>
      <c r="X7" s="28"/>
      <c r="Y7" s="28"/>
      <c r="AA7" s="377"/>
      <c r="AB7" s="378"/>
      <c r="AC7" s="378"/>
      <c r="AE7" s="377"/>
      <c r="AF7" s="378"/>
      <c r="AG7" s="378"/>
      <c r="AI7" s="377"/>
      <c r="AJ7" s="378"/>
      <c r="AK7" s="378"/>
      <c r="AM7" s="377"/>
      <c r="AN7" s="378"/>
      <c r="AO7" s="378"/>
      <c r="AP7" s="378"/>
      <c r="AQ7" s="378"/>
      <c r="AS7" s="377"/>
      <c r="AT7" s="378"/>
      <c r="AU7" s="378"/>
      <c r="AV7" s="378"/>
      <c r="AW7" s="378"/>
      <c r="AY7" s="377"/>
      <c r="AZ7" s="378"/>
      <c r="BA7" s="378"/>
      <c r="BB7" s="378"/>
      <c r="BC7" s="378"/>
      <c r="BE7" s="377"/>
      <c r="BF7" s="378"/>
      <c r="BG7" s="378"/>
      <c r="BH7" s="378"/>
      <c r="BJ7" s="377"/>
      <c r="BK7" s="378"/>
      <c r="BL7" s="378"/>
      <c r="BM7" s="378"/>
    </row>
    <row r="8" spans="1:65" s="30" customFormat="1" x14ac:dyDescent="0.2">
      <c r="B8" s="31"/>
      <c r="D8" s="101">
        <f>D222</f>
        <v>92393044.184634805</v>
      </c>
      <c r="E8" s="34">
        <f t="shared" ref="E8:G8" si="2">+E222</f>
        <v>1599.6618451298448</v>
      </c>
      <c r="F8" s="35">
        <f t="shared" si="2"/>
        <v>0</v>
      </c>
      <c r="G8" s="35">
        <f t="shared" si="2"/>
        <v>0</v>
      </c>
      <c r="H8" s="65"/>
      <c r="I8" s="34">
        <f>+I222</f>
        <v>92393127.90849492</v>
      </c>
      <c r="J8" s="34">
        <f>+J222</f>
        <v>1599.6632946963757</v>
      </c>
      <c r="K8" s="35">
        <f>+K222</f>
        <v>-9.0616977699298218E-7</v>
      </c>
      <c r="L8" s="36">
        <f>+L222</f>
        <v>-9.0616977699298218E-7</v>
      </c>
      <c r="M8" s="37"/>
      <c r="N8" s="101">
        <f t="shared" ref="N8:P8" si="3">N222</f>
        <v>70245190</v>
      </c>
      <c r="O8" s="101">
        <f t="shared" si="3"/>
        <v>7323728</v>
      </c>
      <c r="P8" s="101">
        <f t="shared" si="3"/>
        <v>14507484</v>
      </c>
      <c r="R8" s="101">
        <f t="shared" ref="R8:S8" si="4">R222</f>
        <v>14507484</v>
      </c>
      <c r="S8" s="101">
        <f t="shared" si="4"/>
        <v>316642.18463481672</v>
      </c>
      <c r="U8" s="101"/>
      <c r="V8" s="101"/>
      <c r="W8" s="101"/>
      <c r="X8" s="101"/>
      <c r="Y8" s="101"/>
      <c r="AA8" s="101"/>
      <c r="AB8" s="101"/>
      <c r="AC8" s="101"/>
      <c r="AE8" s="101"/>
      <c r="AF8" s="101"/>
      <c r="AG8" s="101"/>
      <c r="AI8" s="101"/>
      <c r="AJ8" s="101"/>
      <c r="AK8" s="101"/>
      <c r="AM8" s="105">
        <v>-1.6138645902696869E-4</v>
      </c>
      <c r="AN8" s="105">
        <v>1.558749727252895E-3</v>
      </c>
      <c r="AO8" s="105">
        <v>-8.6613249400402381E-6</v>
      </c>
      <c r="AP8" s="105"/>
      <c r="AQ8" s="105">
        <v>-8.8652150675994079E-7</v>
      </c>
      <c r="AS8" s="101"/>
      <c r="AT8" s="101"/>
      <c r="AU8" s="101"/>
      <c r="AV8" s="101"/>
      <c r="AW8" s="101"/>
      <c r="AY8" s="101"/>
      <c r="AZ8" s="101"/>
      <c r="BA8" s="101"/>
      <c r="BB8" s="101"/>
      <c r="BC8" s="101"/>
      <c r="BE8" s="101"/>
      <c r="BF8" s="101"/>
      <c r="BG8" s="101"/>
      <c r="BH8" s="101"/>
      <c r="BJ8" s="101"/>
      <c r="BK8" s="101"/>
      <c r="BL8" s="101"/>
      <c r="BM8" s="101"/>
    </row>
    <row r="9" spans="1:65" s="38" customFormat="1" x14ac:dyDescent="0.2">
      <c r="D9" s="39"/>
      <c r="E9" s="40"/>
      <c r="F9" s="40"/>
      <c r="G9" s="40"/>
      <c r="H9" s="41"/>
      <c r="I9" s="374" t="s">
        <v>3</v>
      </c>
      <c r="J9" s="374"/>
      <c r="K9" s="374"/>
      <c r="L9" s="374"/>
      <c r="M9" s="42"/>
      <c r="N9" s="39"/>
      <c r="O9" s="39"/>
      <c r="P9" s="39"/>
      <c r="R9" s="39"/>
      <c r="S9" s="39"/>
      <c r="U9" s="39"/>
      <c r="V9" s="39"/>
      <c r="W9" s="39"/>
      <c r="X9" s="39"/>
      <c r="Y9" s="39"/>
      <c r="AA9" s="39"/>
      <c r="AB9" s="39"/>
      <c r="AC9" s="39"/>
      <c r="AE9" s="39"/>
      <c r="AF9" s="39"/>
      <c r="AG9" s="39"/>
      <c r="AI9" s="39"/>
      <c r="AJ9" s="39"/>
      <c r="AK9" s="39"/>
      <c r="AM9" s="39">
        <f>AM222</f>
        <v>70541332</v>
      </c>
      <c r="AN9" s="39">
        <f>AN222</f>
        <v>7344230</v>
      </c>
      <c r="AO9" s="39">
        <f>AO222</f>
        <v>14507484</v>
      </c>
      <c r="AP9" s="39"/>
      <c r="AQ9" s="39">
        <f>AQ222</f>
        <v>92393046</v>
      </c>
      <c r="AS9" s="39">
        <f>AS222</f>
        <v>1221.3287082470968</v>
      </c>
      <c r="AT9" s="39">
        <f>AT222</f>
        <v>127.15550847508203</v>
      </c>
      <c r="AU9" s="39">
        <f>AU222</f>
        <v>251.17765983828352</v>
      </c>
      <c r="AV9" s="39"/>
      <c r="AW9" s="39">
        <f>AW222</f>
        <v>1599.6618765604621</v>
      </c>
      <c r="AY9" s="158">
        <f>AY222</f>
        <v>-1.6138645902696869E-4</v>
      </c>
      <c r="AZ9" s="158">
        <f>AZ222</f>
        <v>1.5587497272517847E-3</v>
      </c>
      <c r="BA9" s="158">
        <f>BA222</f>
        <v>-8.6613249400402381E-6</v>
      </c>
      <c r="BB9" s="158">
        <f>BB222</f>
        <v>-8.8652150620482928E-7</v>
      </c>
      <c r="BC9" s="158"/>
      <c r="BE9" s="158">
        <f>BE222</f>
        <v>3.7369768177528684E-2</v>
      </c>
      <c r="BF9" s="158">
        <f>BF222</f>
        <v>3.9264425125302704E-2</v>
      </c>
      <c r="BG9" s="158">
        <f>BG222</f>
        <v>7.6896479441228349E-2</v>
      </c>
      <c r="BH9" s="158">
        <f>BH222</f>
        <v>4.3535174341757576E-2</v>
      </c>
      <c r="BJ9" s="158">
        <f>BJ222</f>
        <v>2.967037886173518E-2</v>
      </c>
      <c r="BK9" s="158">
        <f t="shared" ref="BK9:BM9" si="5">BK222</f>
        <v>3.1550973609213662E-2</v>
      </c>
      <c r="BL9" s="158">
        <f t="shared" si="5"/>
        <v>6.8903721697196829E-2</v>
      </c>
      <c r="BM9" s="158">
        <f t="shared" si="5"/>
        <v>3.5790025197786512E-2</v>
      </c>
    </row>
    <row r="10" spans="1:65" ht="63.75" x14ac:dyDescent="0.2">
      <c r="A10" s="44" t="s">
        <v>67</v>
      </c>
      <c r="B10" s="45" t="s">
        <v>68</v>
      </c>
      <c r="C10" s="43"/>
      <c r="D10" s="50" t="s">
        <v>487</v>
      </c>
      <c r="E10" s="50" t="s">
        <v>5</v>
      </c>
      <c r="F10" s="50" t="s">
        <v>10</v>
      </c>
      <c r="G10" s="50" t="s">
        <v>11</v>
      </c>
      <c r="H10" s="48"/>
      <c r="I10" s="48" t="s">
        <v>6</v>
      </c>
      <c r="J10" s="48" t="s">
        <v>7</v>
      </c>
      <c r="K10" s="48" t="s">
        <v>8</v>
      </c>
      <c r="L10" s="49" t="s">
        <v>9</v>
      </c>
      <c r="M10" s="51"/>
      <c r="N10" s="50" t="s">
        <v>489</v>
      </c>
      <c r="O10" s="50" t="s">
        <v>490</v>
      </c>
      <c r="P10" s="50" t="s">
        <v>491</v>
      </c>
      <c r="R10" s="50" t="s">
        <v>492</v>
      </c>
      <c r="S10" s="50" t="s">
        <v>493</v>
      </c>
      <c r="U10" s="50" t="s">
        <v>495</v>
      </c>
      <c r="V10" s="50" t="s">
        <v>496</v>
      </c>
      <c r="W10" s="50" t="s">
        <v>494</v>
      </c>
      <c r="X10" s="50" t="s">
        <v>497</v>
      </c>
      <c r="Y10" s="50" t="s">
        <v>498</v>
      </c>
      <c r="AA10" s="50" t="s">
        <v>499</v>
      </c>
      <c r="AB10" s="50" t="s">
        <v>500</v>
      </c>
      <c r="AC10" s="50" t="s">
        <v>502</v>
      </c>
      <c r="AE10" s="50" t="s">
        <v>499</v>
      </c>
      <c r="AF10" s="50" t="s">
        <v>500</v>
      </c>
      <c r="AG10" s="50" t="s">
        <v>502</v>
      </c>
      <c r="AI10" s="50" t="s">
        <v>499</v>
      </c>
      <c r="AJ10" s="50" t="s">
        <v>500</v>
      </c>
      <c r="AK10" s="50" t="s">
        <v>502</v>
      </c>
      <c r="AM10" s="50" t="s">
        <v>508</v>
      </c>
      <c r="AN10" s="50" t="s">
        <v>507</v>
      </c>
      <c r="AO10" s="50" t="s">
        <v>506</v>
      </c>
      <c r="AP10" s="50"/>
      <c r="AQ10" s="50" t="s">
        <v>509</v>
      </c>
      <c r="AS10" s="50" t="s">
        <v>604</v>
      </c>
      <c r="AT10" s="50" t="s">
        <v>603</v>
      </c>
      <c r="AU10" s="50" t="s">
        <v>602</v>
      </c>
      <c r="AV10" s="50"/>
      <c r="AW10" s="50" t="s">
        <v>509</v>
      </c>
      <c r="AY10" s="50" t="s">
        <v>508</v>
      </c>
      <c r="AZ10" s="50" t="s">
        <v>507</v>
      </c>
      <c r="BA10" s="50" t="s">
        <v>506</v>
      </c>
      <c r="BB10" s="50" t="s">
        <v>509</v>
      </c>
      <c r="BC10" s="50"/>
      <c r="BE10" s="50" t="s">
        <v>67</v>
      </c>
      <c r="BF10" s="50" t="s">
        <v>589</v>
      </c>
      <c r="BG10" s="50" t="s">
        <v>590</v>
      </c>
      <c r="BH10" s="50" t="s">
        <v>591</v>
      </c>
      <c r="BJ10" s="50" t="s">
        <v>67</v>
      </c>
      <c r="BK10" s="50" t="s">
        <v>589</v>
      </c>
      <c r="BL10" s="50" t="s">
        <v>590</v>
      </c>
      <c r="BM10" s="50" t="s">
        <v>591</v>
      </c>
    </row>
    <row r="11" spans="1:65" x14ac:dyDescent="0.2">
      <c r="D11" s="3"/>
      <c r="E11" s="3"/>
      <c r="F11" s="3"/>
      <c r="G11" s="3"/>
      <c r="H11" s="3"/>
      <c r="I11" s="3"/>
      <c r="J11" s="3"/>
      <c r="K11" s="3"/>
      <c r="L11" s="4"/>
      <c r="N11" s="3"/>
      <c r="O11" s="3"/>
      <c r="P11" s="3"/>
      <c r="R11" s="3"/>
      <c r="S11" s="3"/>
      <c r="U11" s="3"/>
      <c r="V11" s="3"/>
      <c r="W11" s="3"/>
      <c r="X11" s="3"/>
      <c r="Y11" s="3"/>
      <c r="AA11" s="3"/>
      <c r="AB11" s="3"/>
      <c r="AC11" s="3"/>
      <c r="AE11" s="3"/>
      <c r="AF11" s="3"/>
      <c r="AG11" s="3"/>
      <c r="AI11" s="3"/>
      <c r="AJ11" s="3"/>
      <c r="AK11" s="3"/>
      <c r="AM11" s="3"/>
      <c r="AN11" s="3"/>
      <c r="AO11" s="3"/>
      <c r="AP11" s="3"/>
      <c r="AQ11" s="3"/>
      <c r="AS11" s="3"/>
      <c r="AT11" s="3"/>
      <c r="AU11" s="3"/>
      <c r="AV11" s="3"/>
      <c r="AW11" s="3"/>
      <c r="AY11" s="3"/>
      <c r="AZ11" s="3"/>
      <c r="BA11" s="3"/>
      <c r="BB11" s="3"/>
      <c r="BC11" s="3"/>
      <c r="BE11" s="3"/>
      <c r="BF11" s="3"/>
      <c r="BG11" s="3"/>
      <c r="BH11" s="3"/>
      <c r="BJ11" s="3"/>
      <c r="BK11" s="3"/>
      <c r="BL11" s="3"/>
      <c r="BM11" s="3"/>
    </row>
    <row r="12" spans="1:65" x14ac:dyDescent="0.2">
      <c r="A12" s="156" t="s">
        <v>69</v>
      </c>
      <c r="B12" s="156" t="s">
        <v>70</v>
      </c>
      <c r="D12" s="56">
        <f>VLOOKUP(A12,'2016-17'!$A$12:$AMX220,32,FALSE)</f>
        <v>184764</v>
      </c>
      <c r="E12" s="56">
        <v>1719.1849478116142</v>
      </c>
      <c r="F12" s="16">
        <f>VLOOKUP(A12,'2016-17'!$A$12:$AMX220,34,FALSE)</f>
        <v>3.6233452432285373E-2</v>
      </c>
      <c r="G12" s="16">
        <f>VLOOKUP(A12,'2016-17'!$A$12:$AMX220,35,FALSE)</f>
        <v>3.4518565766907816E-2</v>
      </c>
      <c r="H12" s="56"/>
      <c r="I12" s="56">
        <v>184611.31333990901</v>
      </c>
      <c r="J12" s="56">
        <v>1717.7642348601732</v>
      </c>
      <c r="K12" s="16">
        <f>D12/I12-1</f>
        <v>8.2707098134249257E-4</v>
      </c>
      <c r="L12" s="58">
        <f>E12/J12-1</f>
        <v>8.2707098134249257E-4</v>
      </c>
      <c r="M12" s="10"/>
      <c r="N12" s="56">
        <v>145159</v>
      </c>
      <c r="O12" s="56">
        <v>14083</v>
      </c>
      <c r="P12" s="56">
        <v>25522</v>
      </c>
      <c r="R12" s="56">
        <f>ROUND(P12,0)</f>
        <v>25522</v>
      </c>
      <c r="S12" s="56">
        <f>D12-SUM(N12:P12)</f>
        <v>0</v>
      </c>
      <c r="U12" s="16">
        <v>-1.2254682531431804E-4</v>
      </c>
      <c r="V12" s="16">
        <v>1.1882026007927537E-2</v>
      </c>
      <c r="W12" s="56">
        <f>IF(AND(U12&lt;0,V12&gt;0),1,IF(AND(U12&gt;0,V12&gt;0),2,IF(AND(U12&gt;0,V12&lt;0),3,IF(AND(U12&lt;0,V12&lt;0),4,5))))</f>
        <v>1</v>
      </c>
      <c r="X12" s="56">
        <f>N12/(1+U12)/100</f>
        <v>1451.7679095484084</v>
      </c>
      <c r="Y12" s="56">
        <f>O12/(1+V12)/100</f>
        <v>139.17630354163111</v>
      </c>
      <c r="AA12" s="56">
        <f>IF(W12=1,MIN(S12,-1*U12*N12),0)</f>
        <v>0</v>
      </c>
      <c r="AB12" s="56">
        <v>0</v>
      </c>
      <c r="AC12" s="56">
        <f>S12-AA12-AB12</f>
        <v>0</v>
      </c>
      <c r="AE12" s="56">
        <v>0</v>
      </c>
      <c r="AF12" s="56">
        <f>IF(W12=3,MIN(S12,-1*V12*O12),0)</f>
        <v>0</v>
      </c>
      <c r="AG12" s="56">
        <f>AC12-AE12-AF12</f>
        <v>0</v>
      </c>
      <c r="AI12" s="56">
        <f>AG12*X12/(X12+Y12)</f>
        <v>0</v>
      </c>
      <c r="AJ12" s="56">
        <f>AG12*Y12/(X12+Y12)</f>
        <v>0</v>
      </c>
      <c r="AK12" s="56">
        <f>S12-SUM(AA12:AB12)-SUM(AE12:AF12)-SUM(AI12:AJ12)</f>
        <v>0</v>
      </c>
      <c r="AM12" s="56">
        <f>ROUND(N12+AA12+AE12+AI12,0)</f>
        <v>145159</v>
      </c>
      <c r="AN12" s="56">
        <f>ROUND(O12+AB12+AF12+AJ12,0)</f>
        <v>14083</v>
      </c>
      <c r="AO12" s="56">
        <f>R12</f>
        <v>25522</v>
      </c>
      <c r="AP12" s="56"/>
      <c r="AQ12" s="56">
        <f>SUM(AM12:AP12)</f>
        <v>184764</v>
      </c>
      <c r="AS12" s="56">
        <v>1350.6698698847508</v>
      </c>
      <c r="AT12" s="56">
        <v>131.03895574912301</v>
      </c>
      <c r="AU12" s="56">
        <v>237.47612217774034</v>
      </c>
      <c r="AV12" s="56"/>
      <c r="AW12" s="56">
        <v>1719.1849478116142</v>
      </c>
      <c r="AY12" s="16">
        <v>-1.2254682531431804E-4</v>
      </c>
      <c r="AZ12" s="16">
        <v>1.1882026007927537E-2</v>
      </c>
      <c r="BA12" s="16">
        <v>2.0017990783327555E-4</v>
      </c>
      <c r="BB12" s="16">
        <f>SUM(AM12:AO12)/I12-1</f>
        <v>8.2707098134249257E-4</v>
      </c>
      <c r="BC12" s="16"/>
      <c r="BE12" s="16">
        <v>3.0490124101085314E-2</v>
      </c>
      <c r="BF12" s="16">
        <v>3.5667009854390308E-2</v>
      </c>
      <c r="BG12" s="16">
        <v>7.0490269620236079E-2</v>
      </c>
      <c r="BH12" s="16">
        <f>AQ12/(VLOOKUP($A12,'2016-17'!$A$12:$D$220,4,FALSE))-1</f>
        <v>3.6233452432285373E-2</v>
      </c>
      <c r="BJ12" s="16">
        <v>2.8784742202367042E-2</v>
      </c>
      <c r="BK12" s="16">
        <v>3.3953060607913255E-2</v>
      </c>
      <c r="BL12" s="16">
        <v>6.8718690557159956E-2</v>
      </c>
      <c r="BM12" s="16">
        <v>3.4518565766907816E-2</v>
      </c>
    </row>
    <row r="13" spans="1:65" x14ac:dyDescent="0.2">
      <c r="A13" s="156" t="s">
        <v>71</v>
      </c>
      <c r="B13" s="156" t="s">
        <v>72</v>
      </c>
      <c r="D13" s="56">
        <f>VLOOKUP(A13,'2016-17'!$A$12:$AMX221,32,FALSE)</f>
        <v>548171</v>
      </c>
      <c r="E13" s="56">
        <v>1884.4293093245024</v>
      </c>
      <c r="F13" s="16">
        <f>VLOOKUP(A13,'2016-17'!$A$12:$AMX221,34,FALSE)</f>
        <v>3.5223532537877578E-2</v>
      </c>
      <c r="G13" s="16">
        <f>VLOOKUP(A13,'2016-17'!$A$12:$AMX221,35,FALSE)</f>
        <v>3.0835709987266924E-2</v>
      </c>
      <c r="H13" s="56"/>
      <c r="I13" s="56">
        <v>527961.30863671342</v>
      </c>
      <c r="J13" s="56">
        <v>1814.9551220045248</v>
      </c>
      <c r="K13" s="16">
        <f t="shared" ref="K13:L76" si="6">D13/I13-1</f>
        <v>3.8278735643472617E-2</v>
      </c>
      <c r="L13" s="58">
        <f t="shared" si="6"/>
        <v>3.8278735643472395E-2</v>
      </c>
      <c r="M13" s="10"/>
      <c r="N13" s="56">
        <v>440432</v>
      </c>
      <c r="O13" s="56">
        <v>43261</v>
      </c>
      <c r="P13" s="56">
        <v>64478</v>
      </c>
      <c r="R13" s="56">
        <f t="shared" ref="R13:R76" si="7">ROUND(P13,0)</f>
        <v>64478</v>
      </c>
      <c r="S13" s="56">
        <f t="shared" ref="S13:S76" si="8">D13-SUM(N13:P13)</f>
        <v>0</v>
      </c>
      <c r="U13" s="16">
        <v>4.2673315433692238E-2</v>
      </c>
      <c r="V13" s="16">
        <v>0.11546195400374315</v>
      </c>
      <c r="W13" s="56">
        <f t="shared" ref="W13:W76" si="9">IF(AND(U13&lt;0,V13&gt;0),1,IF(AND(U13&gt;0,V13&gt;0),2,IF(AND(U13&gt;0,V13&lt;0),3,IF(AND(U13&lt;0,V13&lt;0),4,5))))</f>
        <v>2</v>
      </c>
      <c r="X13" s="56">
        <f t="shared" ref="X13:Y76" si="10">N13/(1+U13)/100</f>
        <v>4224.065136037414</v>
      </c>
      <c r="Y13" s="56">
        <f t="shared" si="10"/>
        <v>387.83034997045564</v>
      </c>
      <c r="AA13" s="56">
        <f>IF(W13=1,MIN(S13,-1*U13*N13),0)</f>
        <v>0</v>
      </c>
      <c r="AB13" s="56">
        <v>0</v>
      </c>
      <c r="AC13" s="56">
        <f t="shared" ref="AC13:AC76" si="11">S13-AA13-AB13</f>
        <v>0</v>
      </c>
      <c r="AE13" s="56">
        <v>0</v>
      </c>
      <c r="AF13" s="56">
        <f t="shared" ref="AF13:AF76" si="12">IF(W13=3,MIN(S13,-1*V13*O13),0)</f>
        <v>0</v>
      </c>
      <c r="AG13" s="56">
        <f t="shared" ref="AG13:AG76" si="13">AC13-AE13-AF13</f>
        <v>0</v>
      </c>
      <c r="AI13" s="56">
        <f t="shared" ref="AI13:AI76" si="14">AG13*X13/(X13+Y13)</f>
        <v>0</v>
      </c>
      <c r="AJ13" s="56">
        <f t="shared" ref="AJ13:AJ76" si="15">AG13*Y13/(X13+Y13)</f>
        <v>0</v>
      </c>
      <c r="AK13" s="56">
        <f t="shared" ref="AK13:AK76" si="16">S13-SUM(AA13:AB13)-SUM(AE13:AF13)-SUM(AI13:AJ13)</f>
        <v>0</v>
      </c>
      <c r="AM13" s="56">
        <f t="shared" ref="AM13:AM76" si="17">ROUND(N13+AA13+AE13+AI13,0)</f>
        <v>440432</v>
      </c>
      <c r="AN13" s="56">
        <f t="shared" ref="AN13:AN76" si="18">ROUND(O13+AB13+AF13+AJ13,0)</f>
        <v>43261</v>
      </c>
      <c r="AO13" s="56">
        <f t="shared" ref="AO13:AO76" si="19">R13</f>
        <v>64478</v>
      </c>
      <c r="AP13" s="56"/>
      <c r="AQ13" s="56">
        <f t="shared" ref="AQ13:AQ76" si="20">SUM(AM13:AP13)</f>
        <v>548171</v>
      </c>
      <c r="AS13" s="56">
        <v>1514.0585137929756</v>
      </c>
      <c r="AT13" s="56">
        <v>148.71690832000834</v>
      </c>
      <c r="AU13" s="56">
        <v>221.65388721151842</v>
      </c>
      <c r="AV13" s="56"/>
      <c r="AW13" s="56">
        <v>1884.4293093245024</v>
      </c>
      <c r="AY13" s="16">
        <v>4.2673315433692238E-2</v>
      </c>
      <c r="AZ13" s="16">
        <v>0.11546195400374315</v>
      </c>
      <c r="BA13" s="16">
        <v>-3.4352247637209676E-2</v>
      </c>
      <c r="BB13" s="16">
        <f t="shared" ref="BB13:BB76" si="21">SUM(AM13:AO13)/I13-1</f>
        <v>3.8278735643472617E-2</v>
      </c>
      <c r="BC13" s="16"/>
      <c r="BE13" s="16">
        <v>3.0487295160912975E-2</v>
      </c>
      <c r="BF13" s="16">
        <v>2.9043767840152279E-2</v>
      </c>
      <c r="BG13" s="16">
        <v>7.3242135902687133E-2</v>
      </c>
      <c r="BH13" s="16">
        <f>AQ13/(VLOOKUP($A13,'2016-17'!$A$12:$D$220,4,FALSE))-1</f>
        <v>3.5223532537877578E-2</v>
      </c>
      <c r="BJ13" s="16">
        <v>2.6119547278733446E-2</v>
      </c>
      <c r="BK13" s="16">
        <v>2.4682138387018604E-2</v>
      </c>
      <c r="BL13" s="16">
        <v>6.8693170487812427E-2</v>
      </c>
      <c r="BM13" s="16">
        <v>3.0835709987266924E-2</v>
      </c>
    </row>
    <row r="14" spans="1:65" x14ac:dyDescent="0.2">
      <c r="A14" s="156" t="s">
        <v>73</v>
      </c>
      <c r="B14" s="156" t="s">
        <v>74</v>
      </c>
      <c r="D14" s="56">
        <f>VLOOKUP(A14,'2016-17'!$A$12:$AMX222,32,FALSE)</f>
        <v>897104</v>
      </c>
      <c r="E14" s="56">
        <v>1755.817203143853</v>
      </c>
      <c r="F14" s="16">
        <f>VLOOKUP(A14,'2016-17'!$A$12:$AMX222,34,FALSE)</f>
        <v>3.6774374268424781E-2</v>
      </c>
      <c r="G14" s="16">
        <f>VLOOKUP(A14,'2016-17'!$A$12:$AMX222,35,FALSE)</f>
        <v>3.3287311463384706E-2</v>
      </c>
      <c r="H14" s="56"/>
      <c r="I14" s="56">
        <v>880893.61257449118</v>
      </c>
      <c r="J14" s="56">
        <v>1724.0901379303043</v>
      </c>
      <c r="K14" s="16">
        <f t="shared" si="6"/>
        <v>1.8402207933069903E-2</v>
      </c>
      <c r="L14" s="58">
        <f t="shared" si="6"/>
        <v>1.8402207933069903E-2</v>
      </c>
      <c r="M14" s="10"/>
      <c r="N14" s="56">
        <v>700165</v>
      </c>
      <c r="O14" s="56">
        <v>65882</v>
      </c>
      <c r="P14" s="56">
        <v>131057</v>
      </c>
      <c r="R14" s="56">
        <f t="shared" si="7"/>
        <v>131057</v>
      </c>
      <c r="S14" s="56">
        <f t="shared" si="8"/>
        <v>0</v>
      </c>
      <c r="U14" s="16">
        <v>2.958884898020897E-2</v>
      </c>
      <c r="V14" s="16">
        <v>-4.2256077011629145E-2</v>
      </c>
      <c r="W14" s="56">
        <f t="shared" si="9"/>
        <v>3</v>
      </c>
      <c r="X14" s="56">
        <f t="shared" si="10"/>
        <v>6800.4330145329577</v>
      </c>
      <c r="Y14" s="56">
        <f t="shared" si="10"/>
        <v>687.88742396228133</v>
      </c>
      <c r="AA14" s="56">
        <f t="shared" ref="AA14:AA76" si="22">IF(W14=1,MIN(S14,-1*U14*N14),0)</f>
        <v>0</v>
      </c>
      <c r="AB14" s="56">
        <v>0</v>
      </c>
      <c r="AC14" s="56">
        <f t="shared" si="11"/>
        <v>0</v>
      </c>
      <c r="AE14" s="56">
        <v>0</v>
      </c>
      <c r="AF14" s="56">
        <f t="shared" si="12"/>
        <v>0</v>
      </c>
      <c r="AG14" s="56">
        <f t="shared" si="13"/>
        <v>0</v>
      </c>
      <c r="AI14" s="56">
        <f t="shared" si="14"/>
        <v>0</v>
      </c>
      <c r="AJ14" s="56">
        <f t="shared" si="15"/>
        <v>0</v>
      </c>
      <c r="AK14" s="56">
        <f t="shared" si="16"/>
        <v>0</v>
      </c>
      <c r="AM14" s="56">
        <f t="shared" si="17"/>
        <v>700165</v>
      </c>
      <c r="AN14" s="56">
        <f t="shared" si="18"/>
        <v>65882</v>
      </c>
      <c r="AO14" s="56">
        <f t="shared" si="19"/>
        <v>131057</v>
      </c>
      <c r="AP14" s="56"/>
      <c r="AQ14" s="56">
        <f t="shared" si="20"/>
        <v>897104</v>
      </c>
      <c r="AS14" s="56">
        <v>1370.3670388708731</v>
      </c>
      <c r="AT14" s="56">
        <v>128.94463627129443</v>
      </c>
      <c r="AU14" s="56">
        <v>256.50552800168538</v>
      </c>
      <c r="AV14" s="56"/>
      <c r="AW14" s="56">
        <v>1755.817203143853</v>
      </c>
      <c r="AY14" s="16">
        <v>2.958884898020897E-2</v>
      </c>
      <c r="AZ14" s="16">
        <v>-4.2256077011629145E-2</v>
      </c>
      <c r="BA14" s="16">
        <v>-7.6068210810019687E-3</v>
      </c>
      <c r="BB14" s="16">
        <f t="shared" si="21"/>
        <v>1.8402207933069903E-2</v>
      </c>
      <c r="BC14" s="16"/>
      <c r="BE14" s="16">
        <v>3.0487850637798797E-2</v>
      </c>
      <c r="BF14" s="16">
        <v>3.5652529317445891E-2</v>
      </c>
      <c r="BG14" s="16">
        <v>7.2306646027438193E-2</v>
      </c>
      <c r="BH14" s="16">
        <f>AQ14/(VLOOKUP($A14,'2016-17'!$A$12:$D$220,4,FALSE))-1</f>
        <v>3.6774374268424781E-2</v>
      </c>
      <c r="BJ14" s="16">
        <v>2.7021931780052633E-2</v>
      </c>
      <c r="BK14" s="16">
        <v>3.2169239699608942E-2</v>
      </c>
      <c r="BL14" s="16">
        <v>6.870007480638729E-2</v>
      </c>
      <c r="BM14" s="16">
        <v>3.3287311463384706E-2</v>
      </c>
    </row>
    <row r="15" spans="1:65" x14ac:dyDescent="0.2">
      <c r="A15" s="156" t="s">
        <v>75</v>
      </c>
      <c r="B15" s="156" t="s">
        <v>76</v>
      </c>
      <c r="D15" s="56">
        <f>VLOOKUP(A15,'2016-17'!$A$12:$AMX223,32,FALSE)</f>
        <v>505934</v>
      </c>
      <c r="E15" s="56">
        <v>1709.5667237443909</v>
      </c>
      <c r="F15" s="16">
        <f>VLOOKUP(A15,'2016-17'!$A$12:$AMX223,34,FALSE)</f>
        <v>3.6666137001186927E-2</v>
      </c>
      <c r="G15" s="16">
        <f>VLOOKUP(A15,'2016-17'!$A$12:$AMX223,35,FALSE)</f>
        <v>3.1443897455553538E-2</v>
      </c>
      <c r="H15" s="56"/>
      <c r="I15" s="56">
        <v>509977.67932480539</v>
      </c>
      <c r="J15" s="56">
        <v>1723.2304419668872</v>
      </c>
      <c r="K15" s="16">
        <f t="shared" si="6"/>
        <v>-7.9291300163549794E-3</v>
      </c>
      <c r="L15" s="58">
        <f t="shared" si="6"/>
        <v>-7.9291300163549794E-3</v>
      </c>
      <c r="M15" s="10"/>
      <c r="N15" s="56">
        <v>397063</v>
      </c>
      <c r="O15" s="56">
        <v>39466</v>
      </c>
      <c r="P15" s="56">
        <v>69405</v>
      </c>
      <c r="R15" s="56">
        <f t="shared" si="7"/>
        <v>69405</v>
      </c>
      <c r="S15" s="56">
        <f t="shared" si="8"/>
        <v>0</v>
      </c>
      <c r="U15" s="16">
        <v>-1.2137548307440627E-2</v>
      </c>
      <c r="V15" s="16">
        <v>1.6511503719796705E-2</v>
      </c>
      <c r="W15" s="56">
        <f t="shared" si="9"/>
        <v>1</v>
      </c>
      <c r="X15" s="56">
        <f t="shared" si="10"/>
        <v>4019.4158540967928</v>
      </c>
      <c r="Y15" s="56">
        <f t="shared" si="10"/>
        <v>388.24941828576561</v>
      </c>
      <c r="AA15" s="56">
        <f t="shared" si="22"/>
        <v>0</v>
      </c>
      <c r="AB15" s="56">
        <v>0</v>
      </c>
      <c r="AC15" s="56">
        <f t="shared" si="11"/>
        <v>0</v>
      </c>
      <c r="AE15" s="56">
        <v>0</v>
      </c>
      <c r="AF15" s="56">
        <f t="shared" si="12"/>
        <v>0</v>
      </c>
      <c r="AG15" s="56">
        <f t="shared" si="13"/>
        <v>0</v>
      </c>
      <c r="AI15" s="56">
        <f t="shared" si="14"/>
        <v>0</v>
      </c>
      <c r="AJ15" s="56">
        <f t="shared" si="15"/>
        <v>0</v>
      </c>
      <c r="AK15" s="56">
        <f t="shared" si="16"/>
        <v>0</v>
      </c>
      <c r="AM15" s="56">
        <f t="shared" si="17"/>
        <v>397063</v>
      </c>
      <c r="AN15" s="56">
        <f t="shared" si="18"/>
        <v>39466</v>
      </c>
      <c r="AO15" s="56">
        <f t="shared" si="19"/>
        <v>69405</v>
      </c>
      <c r="AP15" s="56"/>
      <c r="AQ15" s="56">
        <f t="shared" si="20"/>
        <v>505934</v>
      </c>
      <c r="AS15" s="56">
        <v>1341.6882281683363</v>
      </c>
      <c r="AT15" s="56">
        <v>133.35684164198517</v>
      </c>
      <c r="AU15" s="56">
        <v>234.52165393406935</v>
      </c>
      <c r="AV15" s="56"/>
      <c r="AW15" s="56">
        <v>1709.5667237443909</v>
      </c>
      <c r="AY15" s="16">
        <v>-1.2137548307440627E-2</v>
      </c>
      <c r="AZ15" s="16">
        <v>1.6511503719796705E-2</v>
      </c>
      <c r="BA15" s="16">
        <v>2.8008190530919297E-3</v>
      </c>
      <c r="BB15" s="16">
        <f t="shared" si="21"/>
        <v>-7.9291300163549794E-3</v>
      </c>
      <c r="BC15" s="16"/>
      <c r="BE15" s="16">
        <v>3.048713083484933E-2</v>
      </c>
      <c r="BF15" s="16">
        <v>3.5662739129293852E-2</v>
      </c>
      <c r="BG15" s="16">
        <v>7.4103938028560856E-2</v>
      </c>
      <c r="BH15" s="16">
        <f>AQ15/(VLOOKUP($A15,'2016-17'!$A$12:$D$220,4,FALSE))-1</f>
        <v>3.6666137001186927E-2</v>
      </c>
      <c r="BJ15" s="16">
        <v>2.529601823472194E-2</v>
      </c>
      <c r="BK15" s="16">
        <v>3.0445554233233141E-2</v>
      </c>
      <c r="BL15" s="16">
        <v>6.8693104336703614E-2</v>
      </c>
      <c r="BM15" s="16">
        <v>3.1443897455553538E-2</v>
      </c>
    </row>
    <row r="16" spans="1:65" x14ac:dyDescent="0.2">
      <c r="A16" s="156" t="s">
        <v>77</v>
      </c>
      <c r="B16" s="156" t="s">
        <v>78</v>
      </c>
      <c r="D16" s="56">
        <f>VLOOKUP(A16,'2016-17'!$A$12:$AMX224,32,FALSE)</f>
        <v>428818</v>
      </c>
      <c r="E16" s="56">
        <v>1699.0357711243414</v>
      </c>
      <c r="F16" s="16">
        <f>VLOOKUP(A16,'2016-17'!$A$12:$AMX224,34,FALSE)</f>
        <v>3.4355223802964074E-2</v>
      </c>
      <c r="G16" s="16">
        <f>VLOOKUP(A16,'2016-17'!$A$12:$AMX224,35,FALSE)</f>
        <v>3.0224033818697427E-2</v>
      </c>
      <c r="H16" s="56"/>
      <c r="I16" s="56">
        <v>411983.80989140901</v>
      </c>
      <c r="J16" s="56">
        <v>1632.336399427249</v>
      </c>
      <c r="K16" s="16">
        <f t="shared" si="6"/>
        <v>4.0861290430388886E-2</v>
      </c>
      <c r="L16" s="58">
        <f t="shared" si="6"/>
        <v>4.0861290430389108E-2</v>
      </c>
      <c r="M16" s="10"/>
      <c r="N16" s="56">
        <v>340109</v>
      </c>
      <c r="O16" s="56">
        <v>33765</v>
      </c>
      <c r="P16" s="56">
        <v>54944</v>
      </c>
      <c r="R16" s="56">
        <f t="shared" si="7"/>
        <v>54944</v>
      </c>
      <c r="S16" s="56">
        <f t="shared" si="8"/>
        <v>0</v>
      </c>
      <c r="U16" s="16">
        <v>4.6000065494806286E-2</v>
      </c>
      <c r="V16" s="16">
        <v>9.8502898572343289E-2</v>
      </c>
      <c r="W16" s="56">
        <f t="shared" si="9"/>
        <v>2</v>
      </c>
      <c r="X16" s="56">
        <f t="shared" si="10"/>
        <v>3251.519872889422</v>
      </c>
      <c r="Y16" s="56">
        <f t="shared" si="10"/>
        <v>307.37288034362308</v>
      </c>
      <c r="AA16" s="56">
        <f t="shared" si="22"/>
        <v>0</v>
      </c>
      <c r="AB16" s="56">
        <v>0</v>
      </c>
      <c r="AC16" s="56">
        <f t="shared" si="11"/>
        <v>0</v>
      </c>
      <c r="AE16" s="56">
        <v>0</v>
      </c>
      <c r="AF16" s="56">
        <f t="shared" si="12"/>
        <v>0</v>
      </c>
      <c r="AG16" s="56">
        <f t="shared" si="13"/>
        <v>0</v>
      </c>
      <c r="AI16" s="56">
        <f t="shared" si="14"/>
        <v>0</v>
      </c>
      <c r="AJ16" s="56">
        <f t="shared" si="15"/>
        <v>0</v>
      </c>
      <c r="AK16" s="56">
        <f t="shared" si="16"/>
        <v>0</v>
      </c>
      <c r="AM16" s="56">
        <f t="shared" si="17"/>
        <v>340109</v>
      </c>
      <c r="AN16" s="56">
        <f t="shared" si="18"/>
        <v>33765</v>
      </c>
      <c r="AO16" s="56">
        <f t="shared" si="19"/>
        <v>54944</v>
      </c>
      <c r="AP16" s="56"/>
      <c r="AQ16" s="56">
        <f t="shared" si="20"/>
        <v>428818</v>
      </c>
      <c r="AS16" s="56">
        <v>1347.558537844327</v>
      </c>
      <c r="AT16" s="56">
        <v>133.78156423474152</v>
      </c>
      <c r="AU16" s="56">
        <v>217.69566904527284</v>
      </c>
      <c r="AV16" s="56"/>
      <c r="AW16" s="56">
        <v>1699.0357711243414</v>
      </c>
      <c r="AY16" s="16">
        <v>4.6000065494806286E-2</v>
      </c>
      <c r="AZ16" s="16">
        <v>9.8502898572343289E-2</v>
      </c>
      <c r="BA16" s="16">
        <v>-2.0510635785873199E-2</v>
      </c>
      <c r="BB16" s="16">
        <f t="shared" si="21"/>
        <v>4.0861290430388886E-2</v>
      </c>
      <c r="BC16" s="16"/>
      <c r="BE16" s="16">
        <v>2.8899142113143483E-2</v>
      </c>
      <c r="BF16" s="16">
        <v>2.9044252102889079E-2</v>
      </c>
      <c r="BG16" s="16">
        <v>7.2978976890223146E-2</v>
      </c>
      <c r="BH16" s="16">
        <f>AQ16/(VLOOKUP($A16,'2016-17'!$A$12:$D$220,4,FALSE))-1</f>
        <v>3.4355223802964074E-2</v>
      </c>
      <c r="BJ16" s="16">
        <v>2.4789743588436997E-2</v>
      </c>
      <c r="BK16" s="16">
        <v>2.4934274012360147E-2</v>
      </c>
      <c r="BL16" s="16">
        <v>6.8693524561418418E-2</v>
      </c>
      <c r="BM16" s="16">
        <v>3.0224033818697427E-2</v>
      </c>
    </row>
    <row r="17" spans="1:65" x14ac:dyDescent="0.2">
      <c r="A17" s="156" t="s">
        <v>79</v>
      </c>
      <c r="B17" s="156" t="s">
        <v>80</v>
      </c>
      <c r="D17" s="56">
        <f>VLOOKUP(A17,'2016-17'!$A$12:$AMX225,32,FALSE)</f>
        <v>390287</v>
      </c>
      <c r="E17" s="56">
        <v>1789.7842357823924</v>
      </c>
      <c r="F17" s="16">
        <f>VLOOKUP(A17,'2016-17'!$A$12:$AMX225,34,FALSE)</f>
        <v>3.6939644105760561E-2</v>
      </c>
      <c r="G17" s="16">
        <f>VLOOKUP(A17,'2016-17'!$A$12:$AMX225,35,FALSE)</f>
        <v>3.0683136323304216E-2</v>
      </c>
      <c r="H17" s="56"/>
      <c r="I17" s="56">
        <v>379601.55572430836</v>
      </c>
      <c r="J17" s="56">
        <v>1740.7827581083625</v>
      </c>
      <c r="K17" s="16">
        <f t="shared" si="6"/>
        <v>2.8149105593898271E-2</v>
      </c>
      <c r="L17" s="58">
        <f t="shared" si="6"/>
        <v>2.8149105593898271E-2</v>
      </c>
      <c r="M17" s="10"/>
      <c r="N17" s="56">
        <v>307314</v>
      </c>
      <c r="O17" s="56">
        <v>27912</v>
      </c>
      <c r="P17" s="56">
        <v>55061</v>
      </c>
      <c r="R17" s="56">
        <f t="shared" si="7"/>
        <v>55061</v>
      </c>
      <c r="S17" s="56">
        <f t="shared" si="8"/>
        <v>0</v>
      </c>
      <c r="U17" s="16">
        <v>4.0790582638917217E-2</v>
      </c>
      <c r="V17" s="16">
        <v>1.0602173938758952E-2</v>
      </c>
      <c r="W17" s="56">
        <f t="shared" si="9"/>
        <v>2</v>
      </c>
      <c r="X17" s="56">
        <f t="shared" si="10"/>
        <v>2952.6977388746877</v>
      </c>
      <c r="Y17" s="56">
        <f t="shared" si="10"/>
        <v>276.19176684743036</v>
      </c>
      <c r="AA17" s="56">
        <f t="shared" si="22"/>
        <v>0</v>
      </c>
      <c r="AB17" s="56">
        <v>0</v>
      </c>
      <c r="AC17" s="56">
        <f t="shared" si="11"/>
        <v>0</v>
      </c>
      <c r="AE17" s="56">
        <v>0</v>
      </c>
      <c r="AF17" s="56">
        <f t="shared" si="12"/>
        <v>0</v>
      </c>
      <c r="AG17" s="56">
        <f t="shared" si="13"/>
        <v>0</v>
      </c>
      <c r="AI17" s="56">
        <f t="shared" si="14"/>
        <v>0</v>
      </c>
      <c r="AJ17" s="56">
        <f t="shared" si="15"/>
        <v>0</v>
      </c>
      <c r="AK17" s="56">
        <f t="shared" si="16"/>
        <v>0</v>
      </c>
      <c r="AM17" s="56">
        <f t="shared" si="17"/>
        <v>307314</v>
      </c>
      <c r="AN17" s="56">
        <f t="shared" si="18"/>
        <v>27912</v>
      </c>
      <c r="AO17" s="56">
        <f t="shared" si="19"/>
        <v>55061</v>
      </c>
      <c r="AP17" s="56"/>
      <c r="AQ17" s="56">
        <f t="shared" si="20"/>
        <v>390287</v>
      </c>
      <c r="AS17" s="56">
        <v>1409.2853531765857</v>
      </c>
      <c r="AT17" s="56">
        <v>127.9992866509982</v>
      </c>
      <c r="AU17" s="56">
        <v>252.4995959548084</v>
      </c>
      <c r="AV17" s="56"/>
      <c r="AW17" s="56">
        <v>1789.7842357823924</v>
      </c>
      <c r="AY17" s="16">
        <v>4.0790582638917217E-2</v>
      </c>
      <c r="AZ17" s="16">
        <v>1.0602173938758952E-2</v>
      </c>
      <c r="BA17" s="16">
        <v>-2.9122364378555976E-2</v>
      </c>
      <c r="BB17" s="16">
        <f t="shared" si="21"/>
        <v>2.8149105593898271E-2</v>
      </c>
      <c r="BC17" s="16"/>
      <c r="BE17" s="16">
        <v>3.0488153264224049E-2</v>
      </c>
      <c r="BF17" s="16">
        <v>3.5657303996141199E-2</v>
      </c>
      <c r="BG17" s="16">
        <v>7.5184252386383044E-2</v>
      </c>
      <c r="BH17" s="16">
        <f>AQ17/(VLOOKUP($A17,'2016-17'!$A$12:$D$220,4,FALSE))-1</f>
        <v>3.6939644105760561E-2</v>
      </c>
      <c r="BJ17" s="16">
        <v>2.4270571375755612E-2</v>
      </c>
      <c r="BK17" s="16">
        <v>2.9408533376518831E-2</v>
      </c>
      <c r="BL17" s="16">
        <v>6.8696990875197317E-2</v>
      </c>
      <c r="BM17" s="16">
        <v>3.0683136323304216E-2</v>
      </c>
    </row>
    <row r="18" spans="1:65" x14ac:dyDescent="0.2">
      <c r="A18" s="156" t="s">
        <v>81</v>
      </c>
      <c r="B18" s="156" t="s">
        <v>82</v>
      </c>
      <c r="D18" s="56">
        <f>VLOOKUP(A18,'2016-17'!$A$12:$AMX226,32,FALSE)</f>
        <v>572800</v>
      </c>
      <c r="E18" s="56">
        <v>1772.7272915169385</v>
      </c>
      <c r="F18" s="16">
        <f>VLOOKUP(A18,'2016-17'!$A$12:$AMX226,34,FALSE)</f>
        <v>3.6133275276715837E-2</v>
      </c>
      <c r="G18" s="16">
        <f>VLOOKUP(A18,'2016-17'!$A$12:$AMX226,35,FALSE)</f>
        <v>3.4421087843478526E-2</v>
      </c>
      <c r="H18" s="56"/>
      <c r="I18" s="56">
        <v>558328.6224956169</v>
      </c>
      <c r="J18" s="56">
        <v>1727.9406192965052</v>
      </c>
      <c r="K18" s="16">
        <f t="shared" si="6"/>
        <v>2.5919103770283058E-2</v>
      </c>
      <c r="L18" s="58">
        <f t="shared" si="6"/>
        <v>2.5919103770283058E-2</v>
      </c>
      <c r="M18" s="10"/>
      <c r="N18" s="56">
        <v>448361</v>
      </c>
      <c r="O18" s="56">
        <v>43385</v>
      </c>
      <c r="P18" s="56">
        <v>81054</v>
      </c>
      <c r="R18" s="56">
        <f t="shared" si="7"/>
        <v>81054</v>
      </c>
      <c r="S18" s="56">
        <f t="shared" si="8"/>
        <v>0</v>
      </c>
      <c r="U18" s="16">
        <v>2.8004264523279643E-2</v>
      </c>
      <c r="V18" s="16">
        <v>6.7001016285138881E-2</v>
      </c>
      <c r="W18" s="56">
        <f t="shared" si="9"/>
        <v>2</v>
      </c>
      <c r="X18" s="56">
        <f t="shared" si="10"/>
        <v>4361.4702338605584</v>
      </c>
      <c r="Y18" s="56">
        <f t="shared" si="10"/>
        <v>406.60692293479559</v>
      </c>
      <c r="AA18" s="56">
        <f t="shared" si="22"/>
        <v>0</v>
      </c>
      <c r="AB18" s="56">
        <v>0</v>
      </c>
      <c r="AC18" s="56">
        <f t="shared" si="11"/>
        <v>0</v>
      </c>
      <c r="AE18" s="56">
        <v>0</v>
      </c>
      <c r="AF18" s="56">
        <f t="shared" si="12"/>
        <v>0</v>
      </c>
      <c r="AG18" s="56">
        <f t="shared" si="13"/>
        <v>0</v>
      </c>
      <c r="AI18" s="56">
        <f t="shared" si="14"/>
        <v>0</v>
      </c>
      <c r="AJ18" s="56">
        <f t="shared" si="15"/>
        <v>0</v>
      </c>
      <c r="AK18" s="56">
        <f t="shared" si="16"/>
        <v>0</v>
      </c>
      <c r="AM18" s="56">
        <f t="shared" si="17"/>
        <v>448361</v>
      </c>
      <c r="AN18" s="56">
        <f t="shared" si="18"/>
        <v>43385</v>
      </c>
      <c r="AO18" s="56">
        <f t="shared" si="19"/>
        <v>81054</v>
      </c>
      <c r="AP18" s="56"/>
      <c r="AQ18" s="56">
        <f t="shared" si="20"/>
        <v>572800</v>
      </c>
      <c r="AS18" s="56">
        <v>1387.607858156121</v>
      </c>
      <c r="AT18" s="56">
        <v>134.26985604480163</v>
      </c>
      <c r="AU18" s="56">
        <v>250.84957731601594</v>
      </c>
      <c r="AV18" s="56"/>
      <c r="AW18" s="56">
        <v>1772.7272915169385</v>
      </c>
      <c r="AY18" s="16">
        <v>2.8004264523279643E-2</v>
      </c>
      <c r="AZ18" s="16">
        <v>6.7001016285138881E-2</v>
      </c>
      <c r="BA18" s="16">
        <v>-5.7274487529304086E-3</v>
      </c>
      <c r="BB18" s="16">
        <f t="shared" si="21"/>
        <v>2.5919103770283058E-2</v>
      </c>
      <c r="BC18" s="16"/>
      <c r="BE18" s="16">
        <v>3.048675959507019E-2</v>
      </c>
      <c r="BF18" s="16">
        <v>3.2730302308974002E-2</v>
      </c>
      <c r="BG18" s="16">
        <v>7.0467599790138058E-2</v>
      </c>
      <c r="BH18" s="16">
        <f>AQ18/(VLOOKUP($A18,'2016-17'!$A$12:$D$220,4,FALSE))-1</f>
        <v>3.6133275276715837E-2</v>
      </c>
      <c r="BJ18" s="16">
        <v>2.8783902904723213E-2</v>
      </c>
      <c r="BK18" s="16">
        <v>3.1023738213670216E-2</v>
      </c>
      <c r="BL18" s="16">
        <v>6.8698675641303497E-2</v>
      </c>
      <c r="BM18" s="16">
        <v>3.4421087843478526E-2</v>
      </c>
    </row>
    <row r="19" spans="1:65" x14ac:dyDescent="0.2">
      <c r="A19" s="156" t="s">
        <v>83</v>
      </c>
      <c r="B19" s="156" t="s">
        <v>84</v>
      </c>
      <c r="D19" s="56">
        <f>VLOOKUP(A19,'2016-17'!$A$12:$AMX227,32,FALSE)</f>
        <v>543486</v>
      </c>
      <c r="E19" s="56">
        <v>1848.6122029961205</v>
      </c>
      <c r="F19" s="16">
        <f>VLOOKUP(A19,'2016-17'!$A$12:$AMX227,34,FALSE)</f>
        <v>3.7115548931970554E-2</v>
      </c>
      <c r="G19" s="16">
        <f>VLOOKUP(A19,'2016-17'!$A$12:$AMX227,35,FALSE)</f>
        <v>3.529260077487284E-2</v>
      </c>
      <c r="H19" s="56"/>
      <c r="I19" s="56">
        <v>538287.19013103645</v>
      </c>
      <c r="J19" s="56">
        <v>1830.928981413922</v>
      </c>
      <c r="K19" s="16">
        <f t="shared" si="6"/>
        <v>9.6580597946200886E-3</v>
      </c>
      <c r="L19" s="58">
        <f t="shared" si="6"/>
        <v>9.6580597946200886E-3</v>
      </c>
      <c r="M19" s="10"/>
      <c r="N19" s="56">
        <v>413341</v>
      </c>
      <c r="O19" s="56">
        <v>43142</v>
      </c>
      <c r="P19" s="56">
        <v>87003</v>
      </c>
      <c r="R19" s="56">
        <f t="shared" si="7"/>
        <v>87003</v>
      </c>
      <c r="S19" s="56">
        <f t="shared" si="8"/>
        <v>0</v>
      </c>
      <c r="U19" s="16">
        <v>-1.0655690198098089E-3</v>
      </c>
      <c r="V19" s="16">
        <v>4.2719967605103326E-2</v>
      </c>
      <c r="W19" s="56">
        <f t="shared" si="9"/>
        <v>1</v>
      </c>
      <c r="X19" s="56">
        <f t="shared" si="10"/>
        <v>4137.8191318765039</v>
      </c>
      <c r="Y19" s="56">
        <f t="shared" si="10"/>
        <v>413.74483409085968</v>
      </c>
      <c r="AA19" s="56">
        <f t="shared" si="22"/>
        <v>0</v>
      </c>
      <c r="AB19" s="56">
        <v>0</v>
      </c>
      <c r="AC19" s="56">
        <f t="shared" si="11"/>
        <v>0</v>
      </c>
      <c r="AE19" s="56">
        <v>0</v>
      </c>
      <c r="AF19" s="56">
        <f t="shared" si="12"/>
        <v>0</v>
      </c>
      <c r="AG19" s="56">
        <f t="shared" si="13"/>
        <v>0</v>
      </c>
      <c r="AI19" s="56">
        <f t="shared" si="14"/>
        <v>0</v>
      </c>
      <c r="AJ19" s="56">
        <f t="shared" si="15"/>
        <v>0</v>
      </c>
      <c r="AK19" s="56">
        <f t="shared" si="16"/>
        <v>0</v>
      </c>
      <c r="AM19" s="56">
        <f t="shared" si="17"/>
        <v>413341</v>
      </c>
      <c r="AN19" s="56">
        <f t="shared" si="18"/>
        <v>43142</v>
      </c>
      <c r="AO19" s="56">
        <f t="shared" si="19"/>
        <v>87003</v>
      </c>
      <c r="AP19" s="56"/>
      <c r="AQ19" s="56">
        <f t="shared" si="20"/>
        <v>543486</v>
      </c>
      <c r="AS19" s="56">
        <v>1405.9372579949058</v>
      </c>
      <c r="AT19" s="56">
        <v>146.74311327551885</v>
      </c>
      <c r="AU19" s="56">
        <v>295.93183172569576</v>
      </c>
      <c r="AV19" s="56"/>
      <c r="AW19" s="56">
        <v>1848.6122029961205</v>
      </c>
      <c r="AY19" s="16">
        <v>-1.0655690198098089E-3</v>
      </c>
      <c r="AZ19" s="16">
        <v>4.2719967605103326E-2</v>
      </c>
      <c r="BA19" s="16">
        <v>4.6579688477317083E-2</v>
      </c>
      <c r="BB19" s="16">
        <f t="shared" si="21"/>
        <v>9.6580597946200886E-3</v>
      </c>
      <c r="BC19" s="16"/>
      <c r="BE19" s="16">
        <v>3.0487972719413836E-2</v>
      </c>
      <c r="BF19" s="16">
        <v>3.5648270398732418E-2</v>
      </c>
      <c r="BG19" s="16">
        <v>7.0579506677854509E-2</v>
      </c>
      <c r="BH19" s="16">
        <f>AQ19/(VLOOKUP($A19,'2016-17'!$A$12:$D$220,4,FALSE))-1</f>
        <v>3.7115548931970554E-2</v>
      </c>
      <c r="BJ19" s="16">
        <v>2.8676673917930495E-2</v>
      </c>
      <c r="BK19" s="16">
        <v>3.3827901291482165E-2</v>
      </c>
      <c r="BL19" s="16">
        <v>6.8697738594505564E-2</v>
      </c>
      <c r="BM19" s="16">
        <v>3.529260077487284E-2</v>
      </c>
    </row>
    <row r="20" spans="1:65" x14ac:dyDescent="0.2">
      <c r="A20" s="156" t="s">
        <v>85</v>
      </c>
      <c r="B20" s="156" t="s">
        <v>86</v>
      </c>
      <c r="D20" s="56">
        <f>VLOOKUP(A20,'2016-17'!$A$12:$AMX228,32,FALSE)</f>
        <v>299734.3171345875</v>
      </c>
      <c r="E20" s="56">
        <v>1925.7146902740051</v>
      </c>
      <c r="F20" s="16">
        <f>VLOOKUP(A20,'2016-17'!$A$12:$AMX228,34,FALSE)</f>
        <v>2.4363684618487813E-2</v>
      </c>
      <c r="G20" s="16">
        <f>VLOOKUP(A20,'2016-17'!$A$12:$AMX228,35,FALSE)</f>
        <v>2.1715700671138372E-2</v>
      </c>
      <c r="H20" s="56"/>
      <c r="I20" s="56">
        <v>285627.13551083911</v>
      </c>
      <c r="J20" s="56">
        <v>1835.0797334531699</v>
      </c>
      <c r="K20" s="16">
        <f t="shared" si="6"/>
        <v>4.9390200964337438E-2</v>
      </c>
      <c r="L20" s="58">
        <f t="shared" si="6"/>
        <v>4.939020096433766E-2</v>
      </c>
      <c r="M20" s="10"/>
      <c r="N20" s="56">
        <v>242525</v>
      </c>
      <c r="O20" s="56">
        <v>20263</v>
      </c>
      <c r="P20" s="56">
        <v>36798</v>
      </c>
      <c r="R20" s="56">
        <f t="shared" si="7"/>
        <v>36798</v>
      </c>
      <c r="S20" s="56">
        <f t="shared" si="8"/>
        <v>148.31713458750164</v>
      </c>
      <c r="U20" s="16">
        <v>7.0866853821872855E-2</v>
      </c>
      <c r="V20" s="16">
        <v>-2.3940894184934836E-2</v>
      </c>
      <c r="W20" s="56">
        <f t="shared" si="9"/>
        <v>3</v>
      </c>
      <c r="X20" s="56">
        <f t="shared" si="10"/>
        <v>2264.7540087214375</v>
      </c>
      <c r="Y20" s="56">
        <f t="shared" si="10"/>
        <v>207.60013281244107</v>
      </c>
      <c r="AA20" s="56">
        <f t="shared" si="22"/>
        <v>0</v>
      </c>
      <c r="AB20" s="56">
        <v>0</v>
      </c>
      <c r="AC20" s="56">
        <f t="shared" si="11"/>
        <v>148.31713458750164</v>
      </c>
      <c r="AE20" s="56">
        <v>0</v>
      </c>
      <c r="AF20" s="56">
        <f t="shared" si="12"/>
        <v>148.31713458750164</v>
      </c>
      <c r="AG20" s="56">
        <f t="shared" si="13"/>
        <v>0</v>
      </c>
      <c r="AI20" s="56">
        <f t="shared" si="14"/>
        <v>0</v>
      </c>
      <c r="AJ20" s="56">
        <f t="shared" si="15"/>
        <v>0</v>
      </c>
      <c r="AK20" s="56">
        <f t="shared" si="16"/>
        <v>0</v>
      </c>
      <c r="AM20" s="56">
        <f t="shared" si="17"/>
        <v>242525</v>
      </c>
      <c r="AN20" s="56">
        <f t="shared" si="18"/>
        <v>20411</v>
      </c>
      <c r="AO20" s="56">
        <f t="shared" si="19"/>
        <v>36798</v>
      </c>
      <c r="AP20" s="56"/>
      <c r="AQ20" s="56">
        <f t="shared" si="20"/>
        <v>299734</v>
      </c>
      <c r="AS20" s="56">
        <v>1558.1597720390296</v>
      </c>
      <c r="AT20" s="56">
        <v>131.13534318972737</v>
      </c>
      <c r="AU20" s="56">
        <v>236.41753753836596</v>
      </c>
      <c r="AV20" s="56"/>
      <c r="AW20" s="56">
        <v>1925.7126527671228</v>
      </c>
      <c r="AY20" s="16">
        <v>7.0866853821872855E-2</v>
      </c>
      <c r="AZ20" s="16">
        <v>-1.681180433345042E-2</v>
      </c>
      <c r="BA20" s="16">
        <v>-4.1512109931533203E-2</v>
      </c>
      <c r="BB20" s="16">
        <f t="shared" si="21"/>
        <v>4.938909065460817E-2</v>
      </c>
      <c r="BC20" s="16"/>
      <c r="BE20" s="16">
        <v>1.6037306284072184E-2</v>
      </c>
      <c r="BF20" s="16">
        <v>4.3240480449782792E-2</v>
      </c>
      <c r="BG20" s="16">
        <v>7.147137031155637E-2</v>
      </c>
      <c r="BH20" s="16">
        <f>AQ20/(VLOOKUP($A20,'2016-17'!$A$12:$D$220,4,FALSE))-1</f>
        <v>2.4362600788122135E-2</v>
      </c>
      <c r="BJ20" s="16">
        <v>1.3410846055788683E-2</v>
      </c>
      <c r="BK20" s="16">
        <v>4.0543699914767029E-2</v>
      </c>
      <c r="BL20" s="16">
        <v>6.8701612820898816E-2</v>
      </c>
      <c r="BM20" s="16">
        <v>2.1714619642478006E-2</v>
      </c>
    </row>
    <row r="21" spans="1:65" x14ac:dyDescent="0.2">
      <c r="A21" s="156" t="s">
        <v>87</v>
      </c>
      <c r="B21" s="156" t="s">
        <v>88</v>
      </c>
      <c r="D21" s="56">
        <f>VLOOKUP(A21,'2016-17'!$A$12:$AMX229,32,FALSE)</f>
        <v>545177</v>
      </c>
      <c r="E21" s="56">
        <v>1917.4681958574167</v>
      </c>
      <c r="F21" s="16">
        <f>VLOOKUP(A21,'2016-17'!$A$12:$AMX229,34,FALSE)</f>
        <v>2.1181587490585407E-2</v>
      </c>
      <c r="G21" s="16">
        <f>VLOOKUP(A21,'2016-17'!$A$12:$AMX229,35,FALSE)</f>
        <v>2.0077968381293276E-2</v>
      </c>
      <c r="H21" s="56"/>
      <c r="I21" s="56">
        <v>485594.60919373453</v>
      </c>
      <c r="J21" s="56">
        <v>1707.9081091256555</v>
      </c>
      <c r="K21" s="16">
        <f t="shared" si="6"/>
        <v>0.12269986049720383</v>
      </c>
      <c r="L21" s="58">
        <f t="shared" si="6"/>
        <v>0.12269986049720383</v>
      </c>
      <c r="M21" s="10"/>
      <c r="N21" s="56">
        <v>447097</v>
      </c>
      <c r="O21" s="56">
        <v>39512</v>
      </c>
      <c r="P21" s="56">
        <v>58568</v>
      </c>
      <c r="R21" s="56">
        <f t="shared" si="7"/>
        <v>58568</v>
      </c>
      <c r="S21" s="56">
        <f t="shared" si="8"/>
        <v>0</v>
      </c>
      <c r="U21" s="16">
        <v>0.16603222850767563</v>
      </c>
      <c r="V21" s="16">
        <v>3.6260186711234432E-2</v>
      </c>
      <c r="W21" s="56">
        <f t="shared" si="9"/>
        <v>2</v>
      </c>
      <c r="X21" s="56">
        <f t="shared" si="10"/>
        <v>3834.3451327431035</v>
      </c>
      <c r="Y21" s="56">
        <f t="shared" si="10"/>
        <v>381.29420107703567</v>
      </c>
      <c r="AA21" s="56">
        <f t="shared" si="22"/>
        <v>0</v>
      </c>
      <c r="AB21" s="56">
        <v>0</v>
      </c>
      <c r="AC21" s="56">
        <f t="shared" si="11"/>
        <v>0</v>
      </c>
      <c r="AE21" s="56">
        <v>0</v>
      </c>
      <c r="AF21" s="56">
        <f t="shared" si="12"/>
        <v>0</v>
      </c>
      <c r="AG21" s="56">
        <f t="shared" si="13"/>
        <v>0</v>
      </c>
      <c r="AI21" s="56">
        <f t="shared" si="14"/>
        <v>0</v>
      </c>
      <c r="AJ21" s="56">
        <f t="shared" si="15"/>
        <v>0</v>
      </c>
      <c r="AK21" s="56">
        <f t="shared" si="16"/>
        <v>0</v>
      </c>
      <c r="AM21" s="56">
        <f t="shared" si="17"/>
        <v>447097</v>
      </c>
      <c r="AN21" s="56">
        <f t="shared" si="18"/>
        <v>39512</v>
      </c>
      <c r="AO21" s="56">
        <f t="shared" si="19"/>
        <v>58568</v>
      </c>
      <c r="AP21" s="56"/>
      <c r="AQ21" s="56">
        <f t="shared" si="20"/>
        <v>545177</v>
      </c>
      <c r="AS21" s="56">
        <v>1572.5063198984246</v>
      </c>
      <c r="AT21" s="56">
        <v>138.96955182393654</v>
      </c>
      <c r="AU21" s="56">
        <v>205.99232413505555</v>
      </c>
      <c r="AV21" s="56"/>
      <c r="AW21" s="56">
        <v>1917.4681958574167</v>
      </c>
      <c r="AY21" s="16">
        <v>0.16603222850767563</v>
      </c>
      <c r="AZ21" s="16">
        <v>3.6260186711234432E-2</v>
      </c>
      <c r="BA21" s="16">
        <v>-8.5313418021439769E-2</v>
      </c>
      <c r="BB21" s="16">
        <f t="shared" si="21"/>
        <v>0.12269986049720383</v>
      </c>
      <c r="BC21" s="16"/>
      <c r="BE21" s="16">
        <v>1.3888283188684847E-2</v>
      </c>
      <c r="BF21" s="16">
        <v>3.5646886139651945E-2</v>
      </c>
      <c r="BG21" s="16">
        <v>6.9849197538075725E-2</v>
      </c>
      <c r="BH21" s="16">
        <f>AQ21/(VLOOKUP($A21,'2016-17'!$A$12:$D$220,4,FALSE))-1</f>
        <v>2.1181587490585407E-2</v>
      </c>
      <c r="BJ21" s="16">
        <v>1.2792546154526407E-2</v>
      </c>
      <c r="BK21" s="16">
        <v>3.452763398310732E-2</v>
      </c>
      <c r="BL21" s="16">
        <v>6.8692982000185809E-2</v>
      </c>
      <c r="BM21" s="16">
        <v>2.0077968381293276E-2</v>
      </c>
    </row>
    <row r="22" spans="1:65" x14ac:dyDescent="0.2">
      <c r="A22" s="156" t="s">
        <v>89</v>
      </c>
      <c r="B22" s="156" t="s">
        <v>90</v>
      </c>
      <c r="D22" s="56">
        <f>VLOOKUP(A22,'2016-17'!$A$12:$AMX230,32,FALSE)</f>
        <v>286064</v>
      </c>
      <c r="E22" s="56">
        <v>1667.1163102234511</v>
      </c>
      <c r="F22" s="16">
        <f>VLOOKUP(A22,'2016-17'!$A$12:$AMX230,34,FALSE)</f>
        <v>3.7021360147592386E-2</v>
      </c>
      <c r="G22" s="16">
        <f>VLOOKUP(A22,'2016-17'!$A$12:$AMX230,35,FALSE)</f>
        <v>3.5129090884523206E-2</v>
      </c>
      <c r="H22" s="56"/>
      <c r="I22" s="56">
        <v>291941.26532959845</v>
      </c>
      <c r="J22" s="56">
        <v>1701.367683659061</v>
      </c>
      <c r="K22" s="16">
        <f t="shared" si="6"/>
        <v>-2.0131670399397228E-2</v>
      </c>
      <c r="L22" s="58">
        <f t="shared" si="6"/>
        <v>-2.0131670399397006E-2</v>
      </c>
      <c r="M22" s="10"/>
      <c r="N22" s="56">
        <v>217854</v>
      </c>
      <c r="O22" s="56">
        <v>23263</v>
      </c>
      <c r="P22" s="56">
        <v>44947</v>
      </c>
      <c r="R22" s="56">
        <f t="shared" si="7"/>
        <v>44947</v>
      </c>
      <c r="S22" s="56">
        <f t="shared" si="8"/>
        <v>0</v>
      </c>
      <c r="U22" s="16">
        <v>-2.4619967955814448E-2</v>
      </c>
      <c r="V22" s="16">
        <v>3.421920005370227E-2</v>
      </c>
      <c r="W22" s="56">
        <f t="shared" si="9"/>
        <v>1</v>
      </c>
      <c r="X22" s="56">
        <f t="shared" si="10"/>
        <v>2233.5294228181515</v>
      </c>
      <c r="Y22" s="56">
        <f t="shared" si="10"/>
        <v>224.93297357844506</v>
      </c>
      <c r="AA22" s="56">
        <f t="shared" si="22"/>
        <v>0</v>
      </c>
      <c r="AB22" s="56">
        <v>0</v>
      </c>
      <c r="AC22" s="56">
        <f t="shared" si="11"/>
        <v>0</v>
      </c>
      <c r="AE22" s="56">
        <v>0</v>
      </c>
      <c r="AF22" s="56">
        <f t="shared" si="12"/>
        <v>0</v>
      </c>
      <c r="AG22" s="56">
        <f t="shared" si="13"/>
        <v>0</v>
      </c>
      <c r="AI22" s="56">
        <f t="shared" si="14"/>
        <v>0</v>
      </c>
      <c r="AJ22" s="56">
        <f t="shared" si="15"/>
        <v>0</v>
      </c>
      <c r="AK22" s="56">
        <f t="shared" si="16"/>
        <v>0</v>
      </c>
      <c r="AM22" s="56">
        <f t="shared" si="17"/>
        <v>217854</v>
      </c>
      <c r="AN22" s="56">
        <f t="shared" si="18"/>
        <v>23263</v>
      </c>
      <c r="AO22" s="56">
        <f t="shared" si="19"/>
        <v>44947</v>
      </c>
      <c r="AP22" s="56"/>
      <c r="AQ22" s="56">
        <f t="shared" si="20"/>
        <v>286064</v>
      </c>
      <c r="AS22" s="56">
        <v>1269.6038531497138</v>
      </c>
      <c r="AT22" s="56">
        <v>135.57150401563337</v>
      </c>
      <c r="AU22" s="56">
        <v>261.94095305810396</v>
      </c>
      <c r="AV22" s="56"/>
      <c r="AW22" s="56">
        <v>1667.1163102234511</v>
      </c>
      <c r="AY22" s="16">
        <v>-2.4619967955814448E-2</v>
      </c>
      <c r="AZ22" s="16">
        <v>3.421920005370227E-2</v>
      </c>
      <c r="BA22" s="16">
        <v>-2.4905630765042486E-2</v>
      </c>
      <c r="BB22" s="16">
        <f t="shared" si="21"/>
        <v>-2.0131670399397228E-2</v>
      </c>
      <c r="BC22" s="16"/>
      <c r="BE22" s="16">
        <v>3.0487996854015931E-2</v>
      </c>
      <c r="BF22" s="16">
        <v>3.5660226159736519E-2</v>
      </c>
      <c r="BG22" s="16">
        <v>7.065043190207132E-2</v>
      </c>
      <c r="BH22" s="16">
        <f>AQ22/(VLOOKUP($A22,'2016-17'!$A$12:$D$220,4,FALSE))-1</f>
        <v>3.7021360147592386E-2</v>
      </c>
      <c r="BJ22" s="16">
        <v>2.8607649122190049E-2</v>
      </c>
      <c r="BK22" s="16">
        <v>3.3770440579363736E-2</v>
      </c>
      <c r="BL22" s="16">
        <v>6.8696799140358422E-2</v>
      </c>
      <c r="BM22" s="16">
        <v>3.5129090884523206E-2</v>
      </c>
    </row>
    <row r="23" spans="1:65" x14ac:dyDescent="0.2">
      <c r="A23" s="156" t="s">
        <v>91</v>
      </c>
      <c r="B23" s="156" t="s">
        <v>92</v>
      </c>
      <c r="D23" s="56">
        <f>VLOOKUP(A23,'2016-17'!$A$12:$AMX231,32,FALSE)</f>
        <v>328873.0506025739</v>
      </c>
      <c r="E23" s="56">
        <v>1914.1388634114833</v>
      </c>
      <c r="F23" s="16">
        <f>VLOOKUP(A23,'2016-17'!$A$12:$AMX231,34,FALSE)</f>
        <v>4.9213663885351089E-2</v>
      </c>
      <c r="G23" s="16">
        <f>VLOOKUP(A23,'2016-17'!$A$12:$AMX231,35,FALSE)</f>
        <v>4.9564586986630799E-2</v>
      </c>
      <c r="H23" s="56"/>
      <c r="I23" s="56">
        <v>338860.30913614109</v>
      </c>
      <c r="J23" s="56">
        <v>1972.2676753132553</v>
      </c>
      <c r="K23" s="16">
        <f t="shared" si="6"/>
        <v>-2.9473084525678983E-2</v>
      </c>
      <c r="L23" s="58">
        <f t="shared" si="6"/>
        <v>-2.9473084525678983E-2</v>
      </c>
      <c r="M23" s="10"/>
      <c r="N23" s="56">
        <v>250533</v>
      </c>
      <c r="O23" s="56">
        <v>24944</v>
      </c>
      <c r="P23" s="56">
        <v>53142</v>
      </c>
      <c r="R23" s="56">
        <f t="shared" si="7"/>
        <v>53142</v>
      </c>
      <c r="S23" s="56">
        <f t="shared" si="8"/>
        <v>254.05060257390141</v>
      </c>
      <c r="U23" s="16">
        <v>-4.5165231434260433E-2</v>
      </c>
      <c r="V23" s="16">
        <v>-3.7804406457083384E-2</v>
      </c>
      <c r="W23" s="56">
        <f t="shared" si="9"/>
        <v>4</v>
      </c>
      <c r="X23" s="56">
        <f t="shared" si="10"/>
        <v>2623.8361677625799</v>
      </c>
      <c r="Y23" s="56">
        <f t="shared" si="10"/>
        <v>259.24043060884617</v>
      </c>
      <c r="AA23" s="56">
        <f t="shared" si="22"/>
        <v>0</v>
      </c>
      <c r="AB23" s="56">
        <v>0</v>
      </c>
      <c r="AC23" s="56">
        <f t="shared" si="11"/>
        <v>254.05060257390141</v>
      </c>
      <c r="AE23" s="56">
        <v>0</v>
      </c>
      <c r="AF23" s="56">
        <f t="shared" si="12"/>
        <v>0</v>
      </c>
      <c r="AG23" s="56">
        <f t="shared" si="13"/>
        <v>254.05060257390141</v>
      </c>
      <c r="AI23" s="56">
        <f t="shared" si="14"/>
        <v>231.20688498245843</v>
      </c>
      <c r="AJ23" s="56">
        <f t="shared" si="15"/>
        <v>22.843717591443021</v>
      </c>
      <c r="AK23" s="56">
        <f t="shared" si="16"/>
        <v>0</v>
      </c>
      <c r="AM23" s="56">
        <f t="shared" si="17"/>
        <v>250764</v>
      </c>
      <c r="AN23" s="56">
        <f t="shared" si="18"/>
        <v>24967</v>
      </c>
      <c r="AO23" s="56">
        <f t="shared" si="19"/>
        <v>53142</v>
      </c>
      <c r="AP23" s="56"/>
      <c r="AQ23" s="56">
        <f t="shared" si="20"/>
        <v>328873</v>
      </c>
      <c r="AS23" s="56">
        <v>1459.5209825342879</v>
      </c>
      <c r="AT23" s="56">
        <v>145.3153577504489</v>
      </c>
      <c r="AU23" s="56">
        <v>309.30222860473242</v>
      </c>
      <c r="AV23" s="56"/>
      <c r="AW23" s="56">
        <v>1914.1385688894691</v>
      </c>
      <c r="AY23" s="16">
        <v>-4.4284841100297734E-2</v>
      </c>
      <c r="AZ23" s="16">
        <v>-3.6917199166693448E-2</v>
      </c>
      <c r="BA23" s="16">
        <v>5.1220870456988088E-2</v>
      </c>
      <c r="BB23" s="16">
        <f t="shared" si="21"/>
        <v>-2.947323385734324E-2</v>
      </c>
      <c r="BC23" s="16"/>
      <c r="BE23" s="16">
        <v>4.6507458512792477E-2</v>
      </c>
      <c r="BF23" s="16">
        <v>3.6620303093211515E-2</v>
      </c>
      <c r="BG23" s="16">
        <v>6.8346705998742596E-2</v>
      </c>
      <c r="BH23" s="16">
        <f>AQ23/(VLOOKUP($A23,'2016-17'!$A$12:$D$220,4,FALSE))-1</f>
        <v>4.9213502446425528E-2</v>
      </c>
      <c r="BJ23" s="16">
        <v>4.685747648862959E-2</v>
      </c>
      <c r="BK23" s="16">
        <v>3.6967014181841673E-2</v>
      </c>
      <c r="BL23" s="16">
        <v>6.8704028393804517E-2</v>
      </c>
      <c r="BM23" s="16">
        <v>4.9564425493709763E-2</v>
      </c>
    </row>
    <row r="24" spans="1:65" x14ac:dyDescent="0.2">
      <c r="A24" s="156" t="s">
        <v>93</v>
      </c>
      <c r="B24" s="156" t="s">
        <v>94</v>
      </c>
      <c r="D24" s="56">
        <f>VLOOKUP(A24,'2016-17'!$A$12:$AMX232,32,FALSE)</f>
        <v>508299.15206228726</v>
      </c>
      <c r="E24" s="56">
        <v>1675.590607049844</v>
      </c>
      <c r="F24" s="16">
        <f>VLOOKUP(A24,'2016-17'!$A$12:$AMX232,34,FALSE)</f>
        <v>5.3886410952955544E-2</v>
      </c>
      <c r="G24" s="16">
        <f>VLOOKUP(A24,'2016-17'!$A$12:$AMX232,35,FALSE)</f>
        <v>4.7535002256072989E-2</v>
      </c>
      <c r="H24" s="56"/>
      <c r="I24" s="56">
        <v>523012.57025999657</v>
      </c>
      <c r="J24" s="56">
        <v>1724.092882195597</v>
      </c>
      <c r="K24" s="16">
        <f t="shared" si="6"/>
        <v>-2.8132054628046688E-2</v>
      </c>
      <c r="L24" s="58">
        <f t="shared" si="6"/>
        <v>-2.8132054628046688E-2</v>
      </c>
      <c r="M24" s="10"/>
      <c r="N24" s="56">
        <v>385873</v>
      </c>
      <c r="O24" s="56">
        <v>39456</v>
      </c>
      <c r="P24" s="56">
        <v>81180</v>
      </c>
      <c r="R24" s="56">
        <f t="shared" si="7"/>
        <v>81180</v>
      </c>
      <c r="S24" s="56">
        <f t="shared" si="8"/>
        <v>1790.1520622872631</v>
      </c>
      <c r="U24" s="16">
        <v>-4.4658351625435522E-2</v>
      </c>
      <c r="V24" s="16">
        <v>-2.0968797221917468E-2</v>
      </c>
      <c r="W24" s="56">
        <f t="shared" si="9"/>
        <v>4</v>
      </c>
      <c r="X24" s="56">
        <f t="shared" si="10"/>
        <v>4039.1099943829654</v>
      </c>
      <c r="Y24" s="56">
        <f t="shared" si="10"/>
        <v>403.01064856809791</v>
      </c>
      <c r="AA24" s="56">
        <f t="shared" si="22"/>
        <v>0</v>
      </c>
      <c r="AB24" s="56">
        <v>0</v>
      </c>
      <c r="AC24" s="56">
        <f t="shared" si="11"/>
        <v>1790.1520622872631</v>
      </c>
      <c r="AE24" s="56">
        <v>0</v>
      </c>
      <c r="AF24" s="56">
        <f t="shared" si="12"/>
        <v>0</v>
      </c>
      <c r="AG24" s="56">
        <f t="shared" si="13"/>
        <v>1790.1520622872631</v>
      </c>
      <c r="AI24" s="56">
        <f t="shared" si="14"/>
        <v>1627.7408173782051</v>
      </c>
      <c r="AJ24" s="56">
        <f t="shared" si="15"/>
        <v>162.41124490905815</v>
      </c>
      <c r="AK24" s="56">
        <f t="shared" si="16"/>
        <v>0</v>
      </c>
      <c r="AM24" s="56">
        <f t="shared" si="17"/>
        <v>387501</v>
      </c>
      <c r="AN24" s="56">
        <f t="shared" si="18"/>
        <v>39618</v>
      </c>
      <c r="AO24" s="56">
        <f t="shared" si="19"/>
        <v>81180</v>
      </c>
      <c r="AP24" s="56"/>
      <c r="AQ24" s="56">
        <f t="shared" si="20"/>
        <v>508299</v>
      </c>
      <c r="AS24" s="56">
        <v>1277.3836690226406</v>
      </c>
      <c r="AT24" s="56">
        <v>130.59936929024434</v>
      </c>
      <c r="AU24" s="56">
        <v>267.60706746887871</v>
      </c>
      <c r="AV24" s="56"/>
      <c r="AW24" s="56">
        <v>1675.5901057817637</v>
      </c>
      <c r="AY24" s="16">
        <v>-4.0627760722330652E-2</v>
      </c>
      <c r="AZ24" s="16">
        <v>-1.6949052320000213E-2</v>
      </c>
      <c r="BA24" s="16">
        <v>3.0196430923552064E-2</v>
      </c>
      <c r="BB24" s="16">
        <f t="shared" si="21"/>
        <v>-2.8132345371129963E-2</v>
      </c>
      <c r="BC24" s="16"/>
      <c r="BE24" s="16">
        <v>5.0971859920008189E-2</v>
      </c>
      <c r="BF24" s="16">
        <v>3.9897107459709202E-2</v>
      </c>
      <c r="BG24" s="16">
        <v>7.5175747301061469E-2</v>
      </c>
      <c r="BH24" s="16">
        <f>AQ24/(VLOOKUP($A24,'2016-17'!$A$12:$D$220,4,FALSE))-1</f>
        <v>5.3886095673306711E-2</v>
      </c>
      <c r="BJ24" s="16">
        <v>4.4638016213608189E-2</v>
      </c>
      <c r="BK24" s="16">
        <v>3.3630007453921529E-2</v>
      </c>
      <c r="BL24" s="16">
        <v>6.8696035141275313E-2</v>
      </c>
      <c r="BM24" s="16">
        <v>4.7534688876505582E-2</v>
      </c>
    </row>
    <row r="25" spans="1:65" x14ac:dyDescent="0.2">
      <c r="A25" s="156" t="s">
        <v>95</v>
      </c>
      <c r="B25" s="156" t="s">
        <v>96</v>
      </c>
      <c r="D25" s="56">
        <f>VLOOKUP(A25,'2016-17'!$A$12:$AMX233,32,FALSE)</f>
        <v>332842</v>
      </c>
      <c r="E25" s="56">
        <v>1658.2449673291735</v>
      </c>
      <c r="F25" s="16">
        <f>VLOOKUP(A25,'2016-17'!$A$12:$AMX233,34,FALSE)</f>
        <v>4.3941337525846391E-2</v>
      </c>
      <c r="G25" s="16">
        <f>VLOOKUP(A25,'2016-17'!$A$12:$AMX233,35,FALSE)</f>
        <v>3.8259563465053326E-2</v>
      </c>
      <c r="H25" s="56"/>
      <c r="I25" s="56">
        <v>339717.20790238865</v>
      </c>
      <c r="J25" s="56">
        <v>1692.4977927042096</v>
      </c>
      <c r="K25" s="16">
        <f t="shared" si="6"/>
        <v>-2.0238032523698712E-2</v>
      </c>
      <c r="L25" s="58">
        <f t="shared" si="6"/>
        <v>-2.0238032523698712E-2</v>
      </c>
      <c r="M25" s="10"/>
      <c r="N25" s="56">
        <v>246199</v>
      </c>
      <c r="O25" s="56">
        <v>25524</v>
      </c>
      <c r="P25" s="56">
        <v>61119</v>
      </c>
      <c r="R25" s="56">
        <f t="shared" si="7"/>
        <v>61119</v>
      </c>
      <c r="S25" s="56">
        <f t="shared" si="8"/>
        <v>0</v>
      </c>
      <c r="U25" s="16">
        <v>-4.4015247113084466E-2</v>
      </c>
      <c r="V25" s="16">
        <v>3.4544153121278676E-3</v>
      </c>
      <c r="W25" s="56">
        <f t="shared" si="9"/>
        <v>1</v>
      </c>
      <c r="X25" s="56">
        <f t="shared" si="10"/>
        <v>2575.3444210958369</v>
      </c>
      <c r="Y25" s="56">
        <f t="shared" si="10"/>
        <v>254.36133032570964</v>
      </c>
      <c r="AA25" s="56">
        <f t="shared" si="22"/>
        <v>0</v>
      </c>
      <c r="AB25" s="56">
        <v>0</v>
      </c>
      <c r="AC25" s="56">
        <f t="shared" si="11"/>
        <v>0</v>
      </c>
      <c r="AE25" s="56">
        <v>0</v>
      </c>
      <c r="AF25" s="56">
        <f t="shared" si="12"/>
        <v>0</v>
      </c>
      <c r="AG25" s="56">
        <f t="shared" si="13"/>
        <v>0</v>
      </c>
      <c r="AI25" s="56">
        <f t="shared" si="14"/>
        <v>0</v>
      </c>
      <c r="AJ25" s="56">
        <f t="shared" si="15"/>
        <v>0</v>
      </c>
      <c r="AK25" s="56">
        <f t="shared" si="16"/>
        <v>0</v>
      </c>
      <c r="AM25" s="56">
        <f t="shared" si="17"/>
        <v>246199</v>
      </c>
      <c r="AN25" s="56">
        <f t="shared" si="18"/>
        <v>25524</v>
      </c>
      <c r="AO25" s="56">
        <f t="shared" si="19"/>
        <v>61119</v>
      </c>
      <c r="AP25" s="56"/>
      <c r="AQ25" s="56">
        <f t="shared" si="20"/>
        <v>332842</v>
      </c>
      <c r="AS25" s="56">
        <v>1226.5827410947993</v>
      </c>
      <c r="AT25" s="56">
        <v>127.16257126837907</v>
      </c>
      <c r="AU25" s="56">
        <v>304.49965496599515</v>
      </c>
      <c r="AV25" s="56"/>
      <c r="AW25" s="56">
        <v>1658.2449673291735</v>
      </c>
      <c r="AY25" s="16">
        <v>-4.4015247113084466E-2</v>
      </c>
      <c r="AZ25" s="16">
        <v>3.4544153121278676E-3</v>
      </c>
      <c r="BA25" s="16">
        <v>7.7050690535949595E-2</v>
      </c>
      <c r="BB25" s="16">
        <f t="shared" si="21"/>
        <v>-2.0238032523698712E-2</v>
      </c>
      <c r="BC25" s="16"/>
      <c r="BE25" s="16">
        <v>3.7464949913373902E-2</v>
      </c>
      <c r="BF25" s="16">
        <v>3.5666463785757774E-2</v>
      </c>
      <c r="BG25" s="16">
        <v>7.4547354211148331E-2</v>
      </c>
      <c r="BH25" s="16">
        <f>AQ25/(VLOOKUP($A25,'2016-17'!$A$12:$D$220,4,FALSE))-1</f>
        <v>4.3941337525846391E-2</v>
      </c>
      <c r="BJ25" s="16">
        <v>3.1818424357282771E-2</v>
      </c>
      <c r="BK25" s="16">
        <v>3.0029726702889503E-2</v>
      </c>
      <c r="BL25" s="16">
        <v>6.869900328874845E-2</v>
      </c>
      <c r="BM25" s="16">
        <v>3.8259563465053326E-2</v>
      </c>
    </row>
    <row r="26" spans="1:65" x14ac:dyDescent="0.2">
      <c r="A26" s="156" t="s">
        <v>97</v>
      </c>
      <c r="B26" s="156" t="s">
        <v>98</v>
      </c>
      <c r="D26" s="56">
        <f>VLOOKUP(A26,'2016-17'!$A$12:$AMX234,32,FALSE)</f>
        <v>380507</v>
      </c>
      <c r="E26" s="56">
        <v>1681.1484190382446</v>
      </c>
      <c r="F26" s="16">
        <f>VLOOKUP(A26,'2016-17'!$A$12:$AMX234,34,FALSE)</f>
        <v>4.9340847725920511E-2</v>
      </c>
      <c r="G26" s="16">
        <f>VLOOKUP(A26,'2016-17'!$A$12:$AMX234,35,FALSE)</f>
        <v>4.1466109282376484E-2</v>
      </c>
      <c r="H26" s="56"/>
      <c r="I26" s="56">
        <v>388677.67528146791</v>
      </c>
      <c r="J26" s="56">
        <v>1717.2479331915051</v>
      </c>
      <c r="K26" s="16">
        <f t="shared" si="6"/>
        <v>-2.1021725200838892E-2</v>
      </c>
      <c r="L26" s="58">
        <f t="shared" si="6"/>
        <v>-2.1021725200839003E-2</v>
      </c>
      <c r="M26" s="10"/>
      <c r="N26" s="56">
        <v>254455</v>
      </c>
      <c r="O26" s="56">
        <v>28492</v>
      </c>
      <c r="P26" s="56">
        <v>97560</v>
      </c>
      <c r="R26" s="56">
        <f t="shared" si="7"/>
        <v>97560</v>
      </c>
      <c r="S26" s="56">
        <f t="shared" si="8"/>
        <v>0</v>
      </c>
      <c r="U26" s="16">
        <v>-4.3814231480599264E-2</v>
      </c>
      <c r="V26" s="16">
        <v>-0.11458296554710479</v>
      </c>
      <c r="W26" s="56">
        <f t="shared" si="9"/>
        <v>4</v>
      </c>
      <c r="X26" s="56">
        <f t="shared" si="10"/>
        <v>2661.146069910757</v>
      </c>
      <c r="Y26" s="56">
        <f t="shared" si="10"/>
        <v>321.7918663334209</v>
      </c>
      <c r="AA26" s="56">
        <f t="shared" si="22"/>
        <v>0</v>
      </c>
      <c r="AB26" s="56">
        <v>0</v>
      </c>
      <c r="AC26" s="56">
        <f t="shared" si="11"/>
        <v>0</v>
      </c>
      <c r="AE26" s="56">
        <v>0</v>
      </c>
      <c r="AF26" s="56">
        <f t="shared" si="12"/>
        <v>0</v>
      </c>
      <c r="AG26" s="56">
        <f t="shared" si="13"/>
        <v>0</v>
      </c>
      <c r="AI26" s="56">
        <f t="shared" si="14"/>
        <v>0</v>
      </c>
      <c r="AJ26" s="56">
        <f t="shared" si="15"/>
        <v>0</v>
      </c>
      <c r="AK26" s="56">
        <f t="shared" si="16"/>
        <v>0</v>
      </c>
      <c r="AM26" s="56">
        <f t="shared" si="17"/>
        <v>254455</v>
      </c>
      <c r="AN26" s="56">
        <f t="shared" si="18"/>
        <v>28492</v>
      </c>
      <c r="AO26" s="56">
        <f t="shared" si="19"/>
        <v>97560</v>
      </c>
      <c r="AP26" s="56"/>
      <c r="AQ26" s="56">
        <f t="shared" si="20"/>
        <v>380507</v>
      </c>
      <c r="AS26" s="56">
        <v>1124.2279930891589</v>
      </c>
      <c r="AT26" s="56">
        <v>125.88278469315325</v>
      </c>
      <c r="AU26" s="56">
        <v>431.03764125593261</v>
      </c>
      <c r="AV26" s="56"/>
      <c r="AW26" s="56">
        <v>1681.1484190382446</v>
      </c>
      <c r="AY26" s="16">
        <v>-4.3814231480599264E-2</v>
      </c>
      <c r="AZ26" s="16">
        <v>-0.11458296554710479</v>
      </c>
      <c r="BA26" s="16">
        <v>7.9395996403193836E-2</v>
      </c>
      <c r="BB26" s="16">
        <f t="shared" si="21"/>
        <v>-2.1021725200838892E-2</v>
      </c>
      <c r="BC26" s="16"/>
      <c r="BE26" s="16">
        <v>3.6459108047351085E-2</v>
      </c>
      <c r="BF26" s="16">
        <v>7.4845329711785036E-2</v>
      </c>
      <c r="BG26" s="16">
        <v>7.6784137202748459E-2</v>
      </c>
      <c r="BH26" s="16">
        <f>AQ26/(VLOOKUP($A26,'2016-17'!$A$12:$D$220,4,FALSE))-1</f>
        <v>4.9340847725920511E-2</v>
      </c>
      <c r="BJ26" s="16">
        <v>2.8681040128819335E-2</v>
      </c>
      <c r="BK26" s="16">
        <v>6.6779193854129115E-2</v>
      </c>
      <c r="BL26" s="16">
        <v>6.8703451638086666E-2</v>
      </c>
      <c r="BM26" s="16">
        <v>4.1466109282376484E-2</v>
      </c>
    </row>
    <row r="27" spans="1:65" x14ac:dyDescent="0.2">
      <c r="A27" s="156" t="s">
        <v>99</v>
      </c>
      <c r="B27" s="156" t="s">
        <v>100</v>
      </c>
      <c r="D27" s="56">
        <f>VLOOKUP(A27,'2016-17'!$A$12:$AMX235,32,FALSE)</f>
        <v>298557</v>
      </c>
      <c r="E27" s="56">
        <v>1657.0201247043501</v>
      </c>
      <c r="F27" s="16">
        <f>VLOOKUP(A27,'2016-17'!$A$12:$AMX235,34,FALSE)</f>
        <v>3.7528962268423172E-2</v>
      </c>
      <c r="G27" s="16">
        <f>VLOOKUP(A27,'2016-17'!$A$12:$AMX235,35,FALSE)</f>
        <v>3.0912281700183009E-2</v>
      </c>
      <c r="H27" s="56"/>
      <c r="I27" s="56">
        <v>292187.13658311369</v>
      </c>
      <c r="J27" s="56">
        <v>1621.6667688178741</v>
      </c>
      <c r="K27" s="16">
        <f t="shared" si="6"/>
        <v>2.1800629183668319E-2</v>
      </c>
      <c r="L27" s="58">
        <f t="shared" si="6"/>
        <v>2.1800629183668319E-2</v>
      </c>
      <c r="M27" s="10"/>
      <c r="N27" s="56">
        <v>232421</v>
      </c>
      <c r="O27" s="56">
        <v>20193</v>
      </c>
      <c r="P27" s="56">
        <v>45943</v>
      </c>
      <c r="R27" s="56">
        <f t="shared" si="7"/>
        <v>45943</v>
      </c>
      <c r="S27" s="56">
        <f t="shared" si="8"/>
        <v>0</v>
      </c>
      <c r="U27" s="16">
        <v>3.0775869830861557E-2</v>
      </c>
      <c r="V27" s="16">
        <v>-6.6438022551044695E-2</v>
      </c>
      <c r="W27" s="56">
        <f t="shared" si="9"/>
        <v>3</v>
      </c>
      <c r="X27" s="56">
        <f t="shared" si="10"/>
        <v>2254.8160740136223</v>
      </c>
      <c r="Y27" s="56">
        <f t="shared" si="10"/>
        <v>216.3005830119522</v>
      </c>
      <c r="AA27" s="56">
        <f t="shared" si="22"/>
        <v>0</v>
      </c>
      <c r="AB27" s="56">
        <v>0</v>
      </c>
      <c r="AC27" s="56">
        <f t="shared" si="11"/>
        <v>0</v>
      </c>
      <c r="AE27" s="56">
        <v>0</v>
      </c>
      <c r="AF27" s="56">
        <f t="shared" si="12"/>
        <v>0</v>
      </c>
      <c r="AG27" s="56">
        <f t="shared" si="13"/>
        <v>0</v>
      </c>
      <c r="AI27" s="56">
        <f t="shared" si="14"/>
        <v>0</v>
      </c>
      <c r="AJ27" s="56">
        <f t="shared" si="15"/>
        <v>0</v>
      </c>
      <c r="AK27" s="56">
        <f t="shared" si="16"/>
        <v>0</v>
      </c>
      <c r="AM27" s="56">
        <f t="shared" si="17"/>
        <v>232421</v>
      </c>
      <c r="AN27" s="56">
        <f t="shared" si="18"/>
        <v>20193</v>
      </c>
      <c r="AO27" s="56">
        <f t="shared" si="19"/>
        <v>45943</v>
      </c>
      <c r="AP27" s="56"/>
      <c r="AQ27" s="56">
        <f t="shared" si="20"/>
        <v>298557</v>
      </c>
      <c r="AS27" s="56">
        <v>1289.9589505652514</v>
      </c>
      <c r="AT27" s="56">
        <v>112.0730961865069</v>
      </c>
      <c r="AU27" s="56">
        <v>254.98807795259182</v>
      </c>
      <c r="AV27" s="56"/>
      <c r="AW27" s="56">
        <v>1657.0201247043501</v>
      </c>
      <c r="AY27" s="16">
        <v>3.0775869830861557E-2</v>
      </c>
      <c r="AZ27" s="16">
        <v>-6.6438022551044695E-2</v>
      </c>
      <c r="BA27" s="16">
        <v>1.924614657365642E-2</v>
      </c>
      <c r="BB27" s="16">
        <f t="shared" si="21"/>
        <v>2.1800629183668319E-2</v>
      </c>
      <c r="BC27" s="16"/>
      <c r="BE27" s="16">
        <v>3.0489129411124249E-2</v>
      </c>
      <c r="BF27" s="16">
        <v>3.5644681505795361E-2</v>
      </c>
      <c r="BG27" s="16">
        <v>7.5560543021334192E-2</v>
      </c>
      <c r="BH27" s="16">
        <f>AQ27/(VLOOKUP($A27,'2016-17'!$A$12:$D$220,4,FALSE))-1</f>
        <v>3.7528962268423172E-2</v>
      </c>
      <c r="BJ27" s="16">
        <v>2.3917344288663989E-2</v>
      </c>
      <c r="BK27" s="16">
        <v>2.9040017646833505E-2</v>
      </c>
      <c r="BL27" s="16">
        <v>6.8701321926035508E-2</v>
      </c>
      <c r="BM27" s="16">
        <v>3.0912281700183009E-2</v>
      </c>
    </row>
    <row r="28" spans="1:65" x14ac:dyDescent="0.2">
      <c r="A28" s="156" t="s">
        <v>101</v>
      </c>
      <c r="B28" s="156" t="s">
        <v>102</v>
      </c>
      <c r="D28" s="56">
        <f>VLOOKUP(A28,'2016-17'!$A$12:$AMX236,32,FALSE)</f>
        <v>911701</v>
      </c>
      <c r="E28" s="56">
        <v>1747.8149491079128</v>
      </c>
      <c r="F28" s="16">
        <f>VLOOKUP(A28,'2016-17'!$A$12:$AMX236,34,FALSE)</f>
        <v>3.5280890919813901E-2</v>
      </c>
      <c r="G28" s="16">
        <f>VLOOKUP(A28,'2016-17'!$A$12:$AMX236,35,FALSE)</f>
        <v>3.5516480004742057E-2</v>
      </c>
      <c r="H28" s="56"/>
      <c r="I28" s="56">
        <v>887602.43015599099</v>
      </c>
      <c r="J28" s="56">
        <v>1701.615766891945</v>
      </c>
      <c r="K28" s="16">
        <f t="shared" si="6"/>
        <v>2.715018461562102E-2</v>
      </c>
      <c r="L28" s="58">
        <f t="shared" si="6"/>
        <v>2.715018461562102E-2</v>
      </c>
      <c r="M28" s="10"/>
      <c r="N28" s="56">
        <v>719217</v>
      </c>
      <c r="O28" s="56">
        <v>72331</v>
      </c>
      <c r="P28" s="56">
        <v>120153</v>
      </c>
      <c r="R28" s="56">
        <f t="shared" si="7"/>
        <v>120153</v>
      </c>
      <c r="S28" s="56">
        <f t="shared" si="8"/>
        <v>0</v>
      </c>
      <c r="U28" s="16">
        <v>2.0488625448709996E-2</v>
      </c>
      <c r="V28" s="16">
        <v>8.6055831964846341E-2</v>
      </c>
      <c r="W28" s="56">
        <f t="shared" si="9"/>
        <v>2</v>
      </c>
      <c r="X28" s="56">
        <f t="shared" si="10"/>
        <v>7047.770862548904</v>
      </c>
      <c r="Y28" s="56">
        <f t="shared" si="10"/>
        <v>665.99706820911592</v>
      </c>
      <c r="AA28" s="56">
        <f t="shared" si="22"/>
        <v>0</v>
      </c>
      <c r="AB28" s="56">
        <v>0</v>
      </c>
      <c r="AC28" s="56">
        <f t="shared" si="11"/>
        <v>0</v>
      </c>
      <c r="AE28" s="56">
        <v>0</v>
      </c>
      <c r="AF28" s="56">
        <f t="shared" si="12"/>
        <v>0</v>
      </c>
      <c r="AG28" s="56">
        <f t="shared" si="13"/>
        <v>0</v>
      </c>
      <c r="AI28" s="56">
        <f t="shared" si="14"/>
        <v>0</v>
      </c>
      <c r="AJ28" s="56">
        <f t="shared" si="15"/>
        <v>0</v>
      </c>
      <c r="AK28" s="56">
        <f t="shared" si="16"/>
        <v>0</v>
      </c>
      <c r="AM28" s="56">
        <f t="shared" si="17"/>
        <v>719217</v>
      </c>
      <c r="AN28" s="56">
        <f t="shared" si="18"/>
        <v>72331</v>
      </c>
      <c r="AO28" s="56">
        <f t="shared" si="19"/>
        <v>120153</v>
      </c>
      <c r="AP28" s="56"/>
      <c r="AQ28" s="56">
        <f t="shared" si="20"/>
        <v>911701</v>
      </c>
      <c r="AS28" s="56">
        <v>1378.8053586126873</v>
      </c>
      <c r="AT28" s="56">
        <v>138.66520173162522</v>
      </c>
      <c r="AU28" s="56">
        <v>230.34438876360016</v>
      </c>
      <c r="AV28" s="56"/>
      <c r="AW28" s="56">
        <v>1747.8149491079128</v>
      </c>
      <c r="AY28" s="16">
        <v>2.0488625448709996E-2</v>
      </c>
      <c r="AZ28" s="16">
        <v>8.6055831964846341E-2</v>
      </c>
      <c r="BA28" s="16">
        <v>3.379084871869753E-2</v>
      </c>
      <c r="BB28" s="16">
        <f t="shared" si="21"/>
        <v>2.715018461562102E-2</v>
      </c>
      <c r="BC28" s="16"/>
      <c r="BE28" s="16">
        <v>3.0487237431998437E-2</v>
      </c>
      <c r="BF28" s="16">
        <v>2.9798684472792436E-2</v>
      </c>
      <c r="BG28" s="16">
        <v>6.8456328386019782E-2</v>
      </c>
      <c r="BH28" s="16">
        <f>AQ28/(VLOOKUP($A28,'2016-17'!$A$12:$D$220,4,FALSE))-1</f>
        <v>3.5280890919813901E-2</v>
      </c>
      <c r="BJ28" s="16">
        <v>3.0721735670520944E-2</v>
      </c>
      <c r="BK28" s="16">
        <v>3.0033026023827736E-2</v>
      </c>
      <c r="BL28" s="16">
        <v>6.8699466891615435E-2</v>
      </c>
      <c r="BM28" s="16">
        <v>3.5516480004742057E-2</v>
      </c>
    </row>
    <row r="29" spans="1:65" x14ac:dyDescent="0.2">
      <c r="A29" s="156" t="s">
        <v>103</v>
      </c>
      <c r="B29" s="156" t="s">
        <v>104</v>
      </c>
      <c r="D29" s="56">
        <f>VLOOKUP(A29,'2016-17'!$A$12:$AMX237,32,FALSE)</f>
        <v>676216</v>
      </c>
      <c r="E29" s="56">
        <v>1803.0750728523917</v>
      </c>
      <c r="F29" s="16">
        <f>VLOOKUP(A29,'2016-17'!$A$12:$AMX237,34,FALSE)</f>
        <v>3.6656084672847644E-2</v>
      </c>
      <c r="G29" s="16">
        <f>VLOOKUP(A29,'2016-17'!$A$12:$AMX237,35,FALSE)</f>
        <v>3.458336370321291E-2</v>
      </c>
      <c r="H29" s="56"/>
      <c r="I29" s="56">
        <v>658659.90054177353</v>
      </c>
      <c r="J29" s="56">
        <v>1756.2631587455892</v>
      </c>
      <c r="K29" s="16">
        <f t="shared" si="6"/>
        <v>2.6654270958025306E-2</v>
      </c>
      <c r="L29" s="58">
        <f t="shared" si="6"/>
        <v>2.6654270958025306E-2</v>
      </c>
      <c r="M29" s="10"/>
      <c r="N29" s="56">
        <v>527178</v>
      </c>
      <c r="O29" s="56">
        <v>48695</v>
      </c>
      <c r="P29" s="56">
        <v>100343</v>
      </c>
      <c r="R29" s="56">
        <f t="shared" si="7"/>
        <v>100343</v>
      </c>
      <c r="S29" s="56">
        <f t="shared" si="8"/>
        <v>0</v>
      </c>
      <c r="U29" s="16">
        <v>3.8132449369002064E-2</v>
      </c>
      <c r="V29" s="16">
        <v>2.680756584934052E-3</v>
      </c>
      <c r="W29" s="56">
        <f t="shared" si="9"/>
        <v>2</v>
      </c>
      <c r="X29" s="56">
        <f t="shared" si="10"/>
        <v>5078.138153955495</v>
      </c>
      <c r="Y29" s="56">
        <f t="shared" si="10"/>
        <v>485.64809566957308</v>
      </c>
      <c r="AA29" s="56">
        <f t="shared" si="22"/>
        <v>0</v>
      </c>
      <c r="AB29" s="56">
        <v>0</v>
      </c>
      <c r="AC29" s="56">
        <f t="shared" si="11"/>
        <v>0</v>
      </c>
      <c r="AE29" s="56">
        <v>0</v>
      </c>
      <c r="AF29" s="56">
        <f t="shared" si="12"/>
        <v>0</v>
      </c>
      <c r="AG29" s="56">
        <f t="shared" si="13"/>
        <v>0</v>
      </c>
      <c r="AI29" s="56">
        <f t="shared" si="14"/>
        <v>0</v>
      </c>
      <c r="AJ29" s="56">
        <f t="shared" si="15"/>
        <v>0</v>
      </c>
      <c r="AK29" s="56">
        <f t="shared" si="16"/>
        <v>0</v>
      </c>
      <c r="AM29" s="56">
        <f t="shared" si="17"/>
        <v>527178</v>
      </c>
      <c r="AN29" s="56">
        <f t="shared" si="18"/>
        <v>48695</v>
      </c>
      <c r="AO29" s="56">
        <f t="shared" si="19"/>
        <v>100343</v>
      </c>
      <c r="AP29" s="56"/>
      <c r="AQ29" s="56">
        <f t="shared" si="20"/>
        <v>676216</v>
      </c>
      <c r="AS29" s="56">
        <v>1405.677343860805</v>
      </c>
      <c r="AT29" s="56">
        <v>129.84126473278835</v>
      </c>
      <c r="AU29" s="56">
        <v>267.55646425879826</v>
      </c>
      <c r="AV29" s="56"/>
      <c r="AW29" s="56">
        <v>1803.0750728523917</v>
      </c>
      <c r="AY29" s="16">
        <v>3.8132449369002064E-2</v>
      </c>
      <c r="AZ29" s="16">
        <v>2.680756584934052E-3</v>
      </c>
      <c r="BA29" s="16">
        <v>-1.8950443942836848E-2</v>
      </c>
      <c r="BB29" s="16">
        <f t="shared" si="21"/>
        <v>2.6654270958025306E-2</v>
      </c>
      <c r="BC29" s="16"/>
      <c r="BE29" s="16">
        <v>3.0488093554994045E-2</v>
      </c>
      <c r="BF29" s="16">
        <v>3.5645164720644829E-2</v>
      </c>
      <c r="BG29" s="16">
        <v>7.0837320527598946E-2</v>
      </c>
      <c r="BH29" s="16">
        <f>AQ29/(VLOOKUP($A29,'2016-17'!$A$12:$D$220,4,FALSE))-1</f>
        <v>3.6656084672847644E-2</v>
      </c>
      <c r="BJ29" s="16">
        <v>2.8427705050020791E-2</v>
      </c>
      <c r="BK29" s="16">
        <v>3.3574465014391874E-2</v>
      </c>
      <c r="BL29" s="16">
        <v>6.8696256579640291E-2</v>
      </c>
      <c r="BM29" s="16">
        <v>3.458336370321291E-2</v>
      </c>
    </row>
    <row r="30" spans="1:65" x14ac:dyDescent="0.2">
      <c r="A30" s="156" t="s">
        <v>105</v>
      </c>
      <c r="B30" s="156" t="s">
        <v>106</v>
      </c>
      <c r="D30" s="56">
        <f>VLOOKUP(A30,'2016-17'!$A$12:$AMX238,32,FALSE)</f>
        <v>328990</v>
      </c>
      <c r="E30" s="56">
        <v>1588.4539823462833</v>
      </c>
      <c r="F30" s="16">
        <f>VLOOKUP(A30,'2016-17'!$A$12:$AMX238,34,FALSE)</f>
        <v>3.8362789834661903E-2</v>
      </c>
      <c r="G30" s="16">
        <f>VLOOKUP(A30,'2016-17'!$A$12:$AMX238,35,FALSE)</f>
        <v>3.33476154864496E-2</v>
      </c>
      <c r="H30" s="56"/>
      <c r="I30" s="56">
        <v>328184.82183666632</v>
      </c>
      <c r="J30" s="56">
        <v>1584.5663612634371</v>
      </c>
      <c r="K30" s="16">
        <f t="shared" si="6"/>
        <v>2.4534290124313962E-3</v>
      </c>
      <c r="L30" s="58">
        <f t="shared" si="6"/>
        <v>2.4534290124311742E-3</v>
      </c>
      <c r="M30" s="10"/>
      <c r="N30" s="56">
        <v>244843</v>
      </c>
      <c r="O30" s="56">
        <v>25564</v>
      </c>
      <c r="P30" s="56">
        <v>58583</v>
      </c>
      <c r="R30" s="56">
        <f t="shared" si="7"/>
        <v>58583</v>
      </c>
      <c r="S30" s="56">
        <f t="shared" si="8"/>
        <v>0</v>
      </c>
      <c r="U30" s="16">
        <v>-3.4269244378023922E-2</v>
      </c>
      <c r="V30" s="16">
        <v>2.8917287643654532E-2</v>
      </c>
      <c r="W30" s="56">
        <f t="shared" si="9"/>
        <v>1</v>
      </c>
      <c r="X30" s="56">
        <f t="shared" si="10"/>
        <v>2535.3132700253454</v>
      </c>
      <c r="Y30" s="56">
        <f t="shared" si="10"/>
        <v>248.455345312981</v>
      </c>
      <c r="AA30" s="56">
        <f t="shared" si="22"/>
        <v>0</v>
      </c>
      <c r="AB30" s="56">
        <v>0</v>
      </c>
      <c r="AC30" s="56">
        <f t="shared" si="11"/>
        <v>0</v>
      </c>
      <c r="AE30" s="56">
        <v>0</v>
      </c>
      <c r="AF30" s="56">
        <f t="shared" si="12"/>
        <v>0</v>
      </c>
      <c r="AG30" s="56">
        <f t="shared" si="13"/>
        <v>0</v>
      </c>
      <c r="AI30" s="56">
        <f t="shared" si="14"/>
        <v>0</v>
      </c>
      <c r="AJ30" s="56">
        <f t="shared" si="15"/>
        <v>0</v>
      </c>
      <c r="AK30" s="56">
        <f t="shared" si="16"/>
        <v>0</v>
      </c>
      <c r="AM30" s="56">
        <f t="shared" si="17"/>
        <v>244843</v>
      </c>
      <c r="AN30" s="56">
        <f t="shared" si="18"/>
        <v>25564</v>
      </c>
      <c r="AO30" s="56">
        <f t="shared" si="19"/>
        <v>58583</v>
      </c>
      <c r="AP30" s="56"/>
      <c r="AQ30" s="56">
        <f t="shared" si="20"/>
        <v>328990</v>
      </c>
      <c r="AS30" s="56">
        <v>1182.1691796091402</v>
      </c>
      <c r="AT30" s="56">
        <v>123.43000578953885</v>
      </c>
      <c r="AU30" s="56">
        <v>282.85479694760426</v>
      </c>
      <c r="AV30" s="56"/>
      <c r="AW30" s="56">
        <v>1588.4539823462833</v>
      </c>
      <c r="AY30" s="16">
        <v>-3.4269244378023922E-2</v>
      </c>
      <c r="AZ30" s="16">
        <v>2.8917287643654532E-2</v>
      </c>
      <c r="BA30" s="16">
        <v>0.17617745524638795</v>
      </c>
      <c r="BB30" s="16">
        <f t="shared" si="21"/>
        <v>2.4534290124313962E-3</v>
      </c>
      <c r="BC30" s="16"/>
      <c r="BE30" s="16">
        <v>3.0486411914024458E-2</v>
      </c>
      <c r="BF30" s="16">
        <v>3.5650623885917998E-2</v>
      </c>
      <c r="BG30" s="16">
        <v>7.389539761802344E-2</v>
      </c>
      <c r="BH30" s="16">
        <f>AQ30/(VLOOKUP($A30,'2016-17'!$A$12:$D$220,4,FALSE))-1</f>
        <v>3.8362789834661903E-2</v>
      </c>
      <c r="BJ30" s="16">
        <v>2.5509279576649835E-2</v>
      </c>
      <c r="BK30" s="16">
        <v>3.0648548991217828E-2</v>
      </c>
      <c r="BL30" s="16">
        <v>6.8708604809650131E-2</v>
      </c>
      <c r="BM30" s="16">
        <v>3.33476154864496E-2</v>
      </c>
    </row>
    <row r="31" spans="1:65" x14ac:dyDescent="0.2">
      <c r="A31" s="156" t="s">
        <v>107</v>
      </c>
      <c r="B31" s="156" t="s">
        <v>108</v>
      </c>
      <c r="D31" s="56">
        <f>VLOOKUP(A31,'2016-17'!$A$12:$AMX239,32,FALSE)</f>
        <v>274519</v>
      </c>
      <c r="E31" s="56">
        <v>1812.9722353001141</v>
      </c>
      <c r="F31" s="16">
        <f>VLOOKUP(A31,'2016-17'!$A$12:$AMX239,34,FALSE)</f>
        <v>3.649274098933053E-2</v>
      </c>
      <c r="G31" s="16">
        <f>VLOOKUP(A31,'2016-17'!$A$12:$AMX239,35,FALSE)</f>
        <v>3.2828465096895521E-2</v>
      </c>
      <c r="H31" s="56"/>
      <c r="I31" s="56">
        <v>266641.63208547444</v>
      </c>
      <c r="J31" s="56">
        <v>1760.9486984364405</v>
      </c>
      <c r="K31" s="16">
        <f t="shared" si="6"/>
        <v>2.9542903157749878E-2</v>
      </c>
      <c r="L31" s="58">
        <f t="shared" si="6"/>
        <v>2.9542903157749878E-2</v>
      </c>
      <c r="M31" s="10"/>
      <c r="N31" s="56">
        <v>213918</v>
      </c>
      <c r="O31" s="56">
        <v>21021</v>
      </c>
      <c r="P31" s="56">
        <v>39580</v>
      </c>
      <c r="R31" s="56">
        <f t="shared" si="7"/>
        <v>39580</v>
      </c>
      <c r="S31" s="56">
        <f t="shared" si="8"/>
        <v>0</v>
      </c>
      <c r="U31" s="16">
        <v>1.473428629131357E-2</v>
      </c>
      <c r="V31" s="16">
        <v>6.869793074423125E-2</v>
      </c>
      <c r="W31" s="56">
        <f t="shared" si="9"/>
        <v>2</v>
      </c>
      <c r="X31" s="56">
        <f t="shared" si="10"/>
        <v>2108.1183802494247</v>
      </c>
      <c r="Y31" s="56">
        <f t="shared" si="10"/>
        <v>196.69730234586655</v>
      </c>
      <c r="AA31" s="56">
        <f t="shared" si="22"/>
        <v>0</v>
      </c>
      <c r="AB31" s="56">
        <v>0</v>
      </c>
      <c r="AC31" s="56">
        <f t="shared" si="11"/>
        <v>0</v>
      </c>
      <c r="AE31" s="56">
        <v>0</v>
      </c>
      <c r="AF31" s="56">
        <f t="shared" si="12"/>
        <v>0</v>
      </c>
      <c r="AG31" s="56">
        <f t="shared" si="13"/>
        <v>0</v>
      </c>
      <c r="AI31" s="56">
        <f t="shared" si="14"/>
        <v>0</v>
      </c>
      <c r="AJ31" s="56">
        <f t="shared" si="15"/>
        <v>0</v>
      </c>
      <c r="AK31" s="56">
        <f t="shared" si="16"/>
        <v>0</v>
      </c>
      <c r="AM31" s="56">
        <f t="shared" si="17"/>
        <v>213918</v>
      </c>
      <c r="AN31" s="56">
        <f t="shared" si="18"/>
        <v>21021</v>
      </c>
      <c r="AO31" s="56">
        <f t="shared" si="19"/>
        <v>39580</v>
      </c>
      <c r="AP31" s="56"/>
      <c r="AQ31" s="56">
        <f t="shared" si="20"/>
        <v>274519</v>
      </c>
      <c r="AS31" s="56">
        <v>1412.7524675192967</v>
      </c>
      <c r="AT31" s="56">
        <v>138.82641769146653</v>
      </c>
      <c r="AU31" s="56">
        <v>261.39335008935092</v>
      </c>
      <c r="AV31" s="56"/>
      <c r="AW31" s="56">
        <v>1812.9722353001141</v>
      </c>
      <c r="AY31" s="16">
        <v>1.473428629131357E-2</v>
      </c>
      <c r="AZ31" s="16">
        <v>6.869793074423125E-2</v>
      </c>
      <c r="BA31" s="16">
        <v>9.4577713980716016E-2</v>
      </c>
      <c r="BB31" s="16">
        <f t="shared" si="21"/>
        <v>2.9542903157749878E-2</v>
      </c>
      <c r="BC31" s="16"/>
      <c r="BE31" s="16">
        <v>3.048820553097964E-2</v>
      </c>
      <c r="BF31" s="16">
        <v>3.2465618860510803E-2</v>
      </c>
      <c r="BG31" s="16">
        <v>7.2489914524397125E-2</v>
      </c>
      <c r="BH31" s="16">
        <f>AQ31/(VLOOKUP($A31,'2016-17'!$A$12:$D$220,4,FALSE))-1</f>
        <v>3.649274098933053E-2</v>
      </c>
      <c r="BJ31" s="16">
        <v>2.6845157259014263E-2</v>
      </c>
      <c r="BK31" s="16">
        <v>2.8815579909589273E-2</v>
      </c>
      <c r="BL31" s="16">
        <v>6.8698379105711638E-2</v>
      </c>
      <c r="BM31" s="16">
        <v>3.2828465096895521E-2</v>
      </c>
    </row>
    <row r="32" spans="1:65" x14ac:dyDescent="0.2">
      <c r="A32" s="156" t="s">
        <v>109</v>
      </c>
      <c r="B32" s="156" t="s">
        <v>110</v>
      </c>
      <c r="D32" s="56">
        <f>VLOOKUP(A32,'2016-17'!$A$12:$AMX240,32,FALSE)</f>
        <v>344624</v>
      </c>
      <c r="E32" s="56">
        <v>1630.275542701941</v>
      </c>
      <c r="F32" s="16">
        <f>VLOOKUP(A32,'2016-17'!$A$12:$AMX240,34,FALSE)</f>
        <v>3.7221166728256039E-2</v>
      </c>
      <c r="G32" s="16">
        <f>VLOOKUP(A32,'2016-17'!$A$12:$AMX240,35,FALSE)</f>
        <v>3.4752952032947926E-2</v>
      </c>
      <c r="H32" s="56"/>
      <c r="I32" s="56">
        <v>349062.09846988687</v>
      </c>
      <c r="J32" s="56">
        <v>1651.2703758869761</v>
      </c>
      <c r="K32" s="16">
        <f t="shared" si="6"/>
        <v>-1.2714352229420745E-2</v>
      </c>
      <c r="L32" s="58">
        <f t="shared" si="6"/>
        <v>-1.2714352229420745E-2</v>
      </c>
      <c r="M32" s="10"/>
      <c r="N32" s="56">
        <v>264303</v>
      </c>
      <c r="O32" s="56">
        <v>24783</v>
      </c>
      <c r="P32" s="56">
        <v>55538</v>
      </c>
      <c r="R32" s="56">
        <f t="shared" si="7"/>
        <v>55538</v>
      </c>
      <c r="S32" s="56">
        <f t="shared" si="8"/>
        <v>0</v>
      </c>
      <c r="U32" s="16">
        <v>-7.8265913548583033E-3</v>
      </c>
      <c r="V32" s="16">
        <v>-0.1026110366232319</v>
      </c>
      <c r="W32" s="56">
        <f t="shared" si="9"/>
        <v>4</v>
      </c>
      <c r="X32" s="56">
        <f t="shared" si="10"/>
        <v>2663.8790930802897</v>
      </c>
      <c r="Y32" s="56">
        <f t="shared" si="10"/>
        <v>276.16787158541058</v>
      </c>
      <c r="AA32" s="56">
        <f t="shared" si="22"/>
        <v>0</v>
      </c>
      <c r="AB32" s="56">
        <v>0</v>
      </c>
      <c r="AC32" s="56">
        <f t="shared" si="11"/>
        <v>0</v>
      </c>
      <c r="AE32" s="56">
        <v>0</v>
      </c>
      <c r="AF32" s="56">
        <f t="shared" si="12"/>
        <v>0</v>
      </c>
      <c r="AG32" s="56">
        <f t="shared" si="13"/>
        <v>0</v>
      </c>
      <c r="AI32" s="56">
        <f t="shared" si="14"/>
        <v>0</v>
      </c>
      <c r="AJ32" s="56">
        <f t="shared" si="15"/>
        <v>0</v>
      </c>
      <c r="AK32" s="56">
        <f t="shared" si="16"/>
        <v>0</v>
      </c>
      <c r="AM32" s="56">
        <f t="shared" si="17"/>
        <v>264303</v>
      </c>
      <c r="AN32" s="56">
        <f t="shared" si="18"/>
        <v>24783</v>
      </c>
      <c r="AO32" s="56">
        <f t="shared" si="19"/>
        <v>55538</v>
      </c>
      <c r="AP32" s="56"/>
      <c r="AQ32" s="56">
        <f t="shared" si="20"/>
        <v>344624</v>
      </c>
      <c r="AS32" s="56">
        <v>1250.3096614360902</v>
      </c>
      <c r="AT32" s="56">
        <v>117.23826191670402</v>
      </c>
      <c r="AU32" s="56">
        <v>262.72761934914689</v>
      </c>
      <c r="AV32" s="56"/>
      <c r="AW32" s="56">
        <v>1630.275542701941</v>
      </c>
      <c r="AY32" s="16">
        <v>-7.8265913548583033E-3</v>
      </c>
      <c r="AZ32" s="16">
        <v>-0.1026110366232319</v>
      </c>
      <c r="BA32" s="16">
        <v>8.7290351378039865E-3</v>
      </c>
      <c r="BB32" s="16">
        <f t="shared" si="21"/>
        <v>-1.2714352229420745E-2</v>
      </c>
      <c r="BC32" s="16"/>
      <c r="BE32" s="16">
        <v>3.0488692703267928E-2</v>
      </c>
      <c r="BF32" s="16">
        <v>3.564563309653157E-2</v>
      </c>
      <c r="BG32" s="16">
        <v>7.1255463906408689E-2</v>
      </c>
      <c r="BH32" s="16">
        <f>AQ32/(VLOOKUP($A32,'2016-17'!$A$12:$D$220,4,FALSE))-1</f>
        <v>3.7221166728256039E-2</v>
      </c>
      <c r="BJ32" s="16">
        <v>2.803649888360038E-2</v>
      </c>
      <c r="BK32" s="16">
        <v>3.3181167606684436E-2</v>
      </c>
      <c r="BL32" s="16">
        <v>6.8706259779786727E-2</v>
      </c>
      <c r="BM32" s="16">
        <v>3.4752952032947926E-2</v>
      </c>
    </row>
    <row r="33" spans="1:65" x14ac:dyDescent="0.2">
      <c r="A33" s="156" t="s">
        <v>111</v>
      </c>
      <c r="B33" s="156" t="s">
        <v>112</v>
      </c>
      <c r="D33" s="56">
        <f>VLOOKUP(A33,'2016-17'!$A$12:$AMX241,32,FALSE)</f>
        <v>242331</v>
      </c>
      <c r="E33" s="56">
        <v>1860.4670783811937</v>
      </c>
      <c r="F33" s="16">
        <f>VLOOKUP(A33,'2016-17'!$A$12:$AMX241,34,FALSE)</f>
        <v>3.627554613184869E-2</v>
      </c>
      <c r="G33" s="16">
        <f>VLOOKUP(A33,'2016-17'!$A$12:$AMX241,35,FALSE)</f>
        <v>3.4001953264457097E-2</v>
      </c>
      <c r="H33" s="56"/>
      <c r="I33" s="56">
        <v>235653.30909570618</v>
      </c>
      <c r="J33" s="56">
        <v>1809.1999103876467</v>
      </c>
      <c r="K33" s="16">
        <f t="shared" si="6"/>
        <v>2.8336928218486435E-2</v>
      </c>
      <c r="L33" s="58">
        <f t="shared" si="6"/>
        <v>2.8336928218486435E-2</v>
      </c>
      <c r="M33" s="10"/>
      <c r="N33" s="56">
        <v>191317</v>
      </c>
      <c r="O33" s="56">
        <v>17619</v>
      </c>
      <c r="P33" s="56">
        <v>33395</v>
      </c>
      <c r="R33" s="56">
        <f t="shared" si="7"/>
        <v>33395</v>
      </c>
      <c r="S33" s="56">
        <f t="shared" si="8"/>
        <v>0</v>
      </c>
      <c r="U33" s="16">
        <v>2.9809423540467561E-2</v>
      </c>
      <c r="V33" s="16">
        <v>-1.3663002202941588E-3</v>
      </c>
      <c r="W33" s="56">
        <f t="shared" si="9"/>
        <v>3</v>
      </c>
      <c r="X33" s="56">
        <f t="shared" si="10"/>
        <v>1857.7903408793384</v>
      </c>
      <c r="Y33" s="56">
        <f t="shared" si="10"/>
        <v>176.43105779312947</v>
      </c>
      <c r="AA33" s="56">
        <f t="shared" si="22"/>
        <v>0</v>
      </c>
      <c r="AB33" s="56">
        <v>0</v>
      </c>
      <c r="AC33" s="56">
        <f t="shared" si="11"/>
        <v>0</v>
      </c>
      <c r="AE33" s="56">
        <v>0</v>
      </c>
      <c r="AF33" s="56">
        <f t="shared" si="12"/>
        <v>0</v>
      </c>
      <c r="AG33" s="56">
        <f t="shared" si="13"/>
        <v>0</v>
      </c>
      <c r="AI33" s="56">
        <f t="shared" si="14"/>
        <v>0</v>
      </c>
      <c r="AJ33" s="56">
        <f t="shared" si="15"/>
        <v>0</v>
      </c>
      <c r="AK33" s="56">
        <f t="shared" si="16"/>
        <v>0</v>
      </c>
      <c r="AM33" s="56">
        <f t="shared" si="17"/>
        <v>191317</v>
      </c>
      <c r="AN33" s="56">
        <f t="shared" si="18"/>
        <v>17619</v>
      </c>
      <c r="AO33" s="56">
        <f t="shared" si="19"/>
        <v>33395</v>
      </c>
      <c r="AP33" s="56"/>
      <c r="AQ33" s="56">
        <f t="shared" si="20"/>
        <v>242331</v>
      </c>
      <c r="AS33" s="56">
        <v>1468.8132349334376</v>
      </c>
      <c r="AT33" s="56">
        <v>135.26775135660833</v>
      </c>
      <c r="AU33" s="56">
        <v>256.38609209114793</v>
      </c>
      <c r="AV33" s="56"/>
      <c r="AW33" s="56">
        <v>1860.4670783811937</v>
      </c>
      <c r="AY33" s="16">
        <v>2.9809423540467561E-2</v>
      </c>
      <c r="AZ33" s="16">
        <v>-1.3663002202941588E-3</v>
      </c>
      <c r="BA33" s="16">
        <v>3.6108859821099237E-2</v>
      </c>
      <c r="BB33" s="16">
        <f t="shared" si="21"/>
        <v>2.8336928218486435E-2</v>
      </c>
      <c r="BC33" s="16"/>
      <c r="BE33" s="16">
        <v>3.0489907011262751E-2</v>
      </c>
      <c r="BF33" s="16">
        <v>3.5680695979308785E-2</v>
      </c>
      <c r="BG33" s="16">
        <v>7.1050125837558653E-2</v>
      </c>
      <c r="BH33" s="16">
        <f>AQ33/(VLOOKUP($A33,'2016-17'!$A$12:$D$220,4,FALSE))-1</f>
        <v>3.627554613184869E-2</v>
      </c>
      <c r="BJ33" s="16">
        <v>2.8229007860216315E-2</v>
      </c>
      <c r="BK33" s="16">
        <v>3.340840821563118E-2</v>
      </c>
      <c r="BL33" s="16">
        <v>6.8700237397353092E-2</v>
      </c>
      <c r="BM33" s="16">
        <v>3.4001953264457097E-2</v>
      </c>
    </row>
    <row r="34" spans="1:65" x14ac:dyDescent="0.2">
      <c r="A34" s="156" t="s">
        <v>113</v>
      </c>
      <c r="B34" s="156" t="s">
        <v>114</v>
      </c>
      <c r="D34" s="56">
        <f>VLOOKUP(A34,'2016-17'!$A$12:$AMX242,32,FALSE)</f>
        <v>406055.40589306102</v>
      </c>
      <c r="E34" s="56">
        <v>1782.4808909116764</v>
      </c>
      <c r="F34" s="16">
        <f>VLOOKUP(A34,'2016-17'!$A$12:$AMX242,34,FALSE)</f>
        <v>4.2277857771030769E-2</v>
      </c>
      <c r="G34" s="16">
        <f>VLOOKUP(A34,'2016-17'!$A$12:$AMX242,35,FALSE)</f>
        <v>3.982313741043364E-2</v>
      </c>
      <c r="H34" s="56"/>
      <c r="I34" s="56">
        <v>415773.04039438965</v>
      </c>
      <c r="J34" s="56">
        <v>1825.1388571697196</v>
      </c>
      <c r="K34" s="16">
        <f t="shared" si="6"/>
        <v>-2.3372449767572134E-2</v>
      </c>
      <c r="L34" s="58">
        <f t="shared" si="6"/>
        <v>-2.3372449767572134E-2</v>
      </c>
      <c r="M34" s="10"/>
      <c r="N34" s="56">
        <v>304175</v>
      </c>
      <c r="O34" s="56">
        <v>29518</v>
      </c>
      <c r="P34" s="56">
        <v>70601</v>
      </c>
      <c r="R34" s="56">
        <f t="shared" si="7"/>
        <v>70601</v>
      </c>
      <c r="S34" s="56">
        <f t="shared" si="8"/>
        <v>1761.405893061019</v>
      </c>
      <c r="U34" s="16">
        <v>-4.1711530728281487E-2</v>
      </c>
      <c r="V34" s="16">
        <v>-4.2621429929116217E-2</v>
      </c>
      <c r="W34" s="56">
        <f t="shared" si="9"/>
        <v>4</v>
      </c>
      <c r="X34" s="56">
        <f t="shared" si="10"/>
        <v>3174.1485967285757</v>
      </c>
      <c r="Y34" s="56">
        <f t="shared" si="10"/>
        <v>308.32108554314624</v>
      </c>
      <c r="AA34" s="56">
        <f t="shared" si="22"/>
        <v>0</v>
      </c>
      <c r="AB34" s="56">
        <v>0</v>
      </c>
      <c r="AC34" s="56">
        <f t="shared" si="11"/>
        <v>1761.405893061019</v>
      </c>
      <c r="AE34" s="56">
        <v>0</v>
      </c>
      <c r="AF34" s="56">
        <f t="shared" si="12"/>
        <v>0</v>
      </c>
      <c r="AG34" s="56">
        <f t="shared" si="13"/>
        <v>1761.405893061019</v>
      </c>
      <c r="AI34" s="56">
        <f t="shared" si="14"/>
        <v>1605.4595025453084</v>
      </c>
      <c r="AJ34" s="56">
        <f t="shared" si="15"/>
        <v>155.94639051571056</v>
      </c>
      <c r="AK34" s="56">
        <f t="shared" si="16"/>
        <v>0</v>
      </c>
      <c r="AM34" s="56">
        <f t="shared" si="17"/>
        <v>305780</v>
      </c>
      <c r="AN34" s="56">
        <f t="shared" si="18"/>
        <v>29674</v>
      </c>
      <c r="AO34" s="56">
        <f t="shared" si="19"/>
        <v>70601</v>
      </c>
      <c r="AP34" s="56"/>
      <c r="AQ34" s="56">
        <f t="shared" si="20"/>
        <v>406055</v>
      </c>
      <c r="AS34" s="56">
        <v>1342.297132146829</v>
      </c>
      <c r="AT34" s="56">
        <v>130.26138105606972</v>
      </c>
      <c r="AU34" s="56">
        <v>309.92059594053984</v>
      </c>
      <c r="AV34" s="56"/>
      <c r="AW34" s="56">
        <v>1782.4791091434386</v>
      </c>
      <c r="AY34" s="16">
        <v>-3.6655056681495601E-2</v>
      </c>
      <c r="AZ34" s="16">
        <v>-3.7561769486977203E-2</v>
      </c>
      <c r="BA34" s="16">
        <v>4.553689758776458E-2</v>
      </c>
      <c r="BB34" s="16">
        <f t="shared" si="21"/>
        <v>-2.3373426004657305E-2</v>
      </c>
      <c r="BC34" s="16"/>
      <c r="BE34" s="16">
        <v>3.5924414119663961E-2</v>
      </c>
      <c r="BF34" s="16">
        <v>4.1119921409023874E-2</v>
      </c>
      <c r="BG34" s="16">
        <v>7.1227625252998861E-2</v>
      </c>
      <c r="BH34" s="16">
        <f>AQ34/(VLOOKUP($A34,'2016-17'!$A$12:$D$220,4,FALSE))-1</f>
        <v>4.2276815909885634E-2</v>
      </c>
      <c r="BJ34" s="16">
        <v>3.3484657069833501E-2</v>
      </c>
      <c r="BK34" s="16">
        <v>3.8667928161876253E-2</v>
      </c>
      <c r="BL34" s="16">
        <v>6.8704723856852778E-2</v>
      </c>
      <c r="BM34" s="16">
        <v>3.9822098003027495E-2</v>
      </c>
    </row>
    <row r="35" spans="1:65" x14ac:dyDescent="0.2">
      <c r="A35" s="156" t="s">
        <v>115</v>
      </c>
      <c r="B35" s="156" t="s">
        <v>116</v>
      </c>
      <c r="D35" s="56">
        <f>VLOOKUP(A35,'2016-17'!$A$12:$AMX243,32,FALSE)</f>
        <v>339400</v>
      </c>
      <c r="E35" s="56">
        <v>2088.9870266385587</v>
      </c>
      <c r="F35" s="16">
        <f>VLOOKUP(A35,'2016-17'!$A$12:$AMX243,34,FALSE)</f>
        <v>3.4446677429478934E-2</v>
      </c>
      <c r="G35" s="16">
        <f>VLOOKUP(A35,'2016-17'!$A$12:$AMX243,35,FALSE)</f>
        <v>3.3662966120987292E-2</v>
      </c>
      <c r="H35" s="56"/>
      <c r="I35" s="56">
        <v>319270.78119526373</v>
      </c>
      <c r="J35" s="56">
        <v>1965.0928694804472</v>
      </c>
      <c r="K35" s="16">
        <f t="shared" si="6"/>
        <v>6.3047481919196846E-2</v>
      </c>
      <c r="L35" s="58">
        <f t="shared" si="6"/>
        <v>6.3047481919197068E-2</v>
      </c>
      <c r="M35" s="10"/>
      <c r="N35" s="56">
        <v>261616</v>
      </c>
      <c r="O35" s="56">
        <v>30140</v>
      </c>
      <c r="P35" s="56">
        <v>47644</v>
      </c>
      <c r="R35" s="56">
        <f t="shared" si="7"/>
        <v>47644</v>
      </c>
      <c r="S35" s="56">
        <f t="shared" si="8"/>
        <v>0</v>
      </c>
      <c r="U35" s="16">
        <v>4.5943163175769852E-2</v>
      </c>
      <c r="V35" s="16">
        <v>0.29023799306472609</v>
      </c>
      <c r="W35" s="56">
        <f t="shared" si="9"/>
        <v>2</v>
      </c>
      <c r="X35" s="56">
        <f t="shared" si="10"/>
        <v>2501.2448975302077</v>
      </c>
      <c r="Y35" s="56">
        <f t="shared" si="10"/>
        <v>233.60031375613039</v>
      </c>
      <c r="AA35" s="56">
        <f t="shared" si="22"/>
        <v>0</v>
      </c>
      <c r="AB35" s="56">
        <v>0</v>
      </c>
      <c r="AC35" s="56">
        <f t="shared" si="11"/>
        <v>0</v>
      </c>
      <c r="AE35" s="56">
        <v>0</v>
      </c>
      <c r="AF35" s="56">
        <f t="shared" si="12"/>
        <v>0</v>
      </c>
      <c r="AG35" s="56">
        <f t="shared" si="13"/>
        <v>0</v>
      </c>
      <c r="AI35" s="56">
        <f t="shared" si="14"/>
        <v>0</v>
      </c>
      <c r="AJ35" s="56">
        <f t="shared" si="15"/>
        <v>0</v>
      </c>
      <c r="AK35" s="56">
        <f t="shared" si="16"/>
        <v>0</v>
      </c>
      <c r="AM35" s="56">
        <f t="shared" si="17"/>
        <v>261616</v>
      </c>
      <c r="AN35" s="56">
        <f t="shared" si="18"/>
        <v>30140</v>
      </c>
      <c r="AO35" s="56">
        <f t="shared" si="19"/>
        <v>47644</v>
      </c>
      <c r="AP35" s="56"/>
      <c r="AQ35" s="56">
        <f t="shared" si="20"/>
        <v>339400</v>
      </c>
      <c r="AS35" s="56">
        <v>1610.2310841516592</v>
      </c>
      <c r="AT35" s="56">
        <v>185.50992629017725</v>
      </c>
      <c r="AU35" s="56">
        <v>293.24601619672211</v>
      </c>
      <c r="AV35" s="56"/>
      <c r="AW35" s="56">
        <v>2088.9870266385587</v>
      </c>
      <c r="AY35" s="16">
        <v>4.5943163175769852E-2</v>
      </c>
      <c r="AZ35" s="16">
        <v>0.29023799306472609</v>
      </c>
      <c r="BA35" s="16">
        <v>4.0574179473639616E-2</v>
      </c>
      <c r="BB35" s="16">
        <f t="shared" si="21"/>
        <v>6.3047481919196846E-2</v>
      </c>
      <c r="BC35" s="16"/>
      <c r="BE35" s="16">
        <v>2.892627270671122E-2</v>
      </c>
      <c r="BF35" s="16">
        <v>2.9055276725050261E-2</v>
      </c>
      <c r="BG35" s="16">
        <v>6.9499552420863919E-2</v>
      </c>
      <c r="BH35" s="16">
        <f>AQ35/(VLOOKUP($A35,'2016-17'!$A$12:$D$220,4,FALSE))-1</f>
        <v>3.4446677429478934E-2</v>
      </c>
      <c r="BJ35" s="16">
        <v>2.814674373424797E-2</v>
      </c>
      <c r="BK35" s="16">
        <v>2.8275650017334009E-2</v>
      </c>
      <c r="BL35" s="16">
        <v>6.8689284562744701E-2</v>
      </c>
      <c r="BM35" s="16">
        <v>3.3662966120987292E-2</v>
      </c>
    </row>
    <row r="36" spans="1:65" x14ac:dyDescent="0.2">
      <c r="A36" s="156" t="s">
        <v>117</v>
      </c>
      <c r="B36" s="156" t="s">
        <v>118</v>
      </c>
      <c r="D36" s="56">
        <f>VLOOKUP(A36,'2016-17'!$A$12:$AMX244,32,FALSE)</f>
        <v>266750</v>
      </c>
      <c r="E36" s="56">
        <v>1685.5423832233573</v>
      </c>
      <c r="F36" s="16">
        <f>VLOOKUP(A36,'2016-17'!$A$12:$AMX244,34,FALSE)</f>
        <v>3.6431193998328615E-2</v>
      </c>
      <c r="G36" s="16">
        <f>VLOOKUP(A36,'2016-17'!$A$12:$AMX244,35,FALSE)</f>
        <v>3.3689359376225969E-2</v>
      </c>
      <c r="H36" s="56"/>
      <c r="I36" s="56">
        <v>259779.6868993151</v>
      </c>
      <c r="J36" s="56">
        <v>1641.4983039148608</v>
      </c>
      <c r="K36" s="16">
        <f t="shared" si="6"/>
        <v>2.683163254171772E-2</v>
      </c>
      <c r="L36" s="58">
        <f t="shared" si="6"/>
        <v>2.683163254171772E-2</v>
      </c>
      <c r="M36" s="10"/>
      <c r="N36" s="56">
        <v>209468</v>
      </c>
      <c r="O36" s="56">
        <v>19949</v>
      </c>
      <c r="P36" s="56">
        <v>37333</v>
      </c>
      <c r="R36" s="56">
        <f t="shared" si="7"/>
        <v>37333</v>
      </c>
      <c r="S36" s="56">
        <f t="shared" si="8"/>
        <v>0</v>
      </c>
      <c r="U36" s="16">
        <v>3.2828019410714226E-2</v>
      </c>
      <c r="V36" s="16">
        <v>-1.2447390363723443E-2</v>
      </c>
      <c r="W36" s="56">
        <f t="shared" si="9"/>
        <v>3</v>
      </c>
      <c r="X36" s="56">
        <f t="shared" si="10"/>
        <v>2028.1014463522506</v>
      </c>
      <c r="Y36" s="56">
        <f t="shared" si="10"/>
        <v>202.00442797014503</v>
      </c>
      <c r="AA36" s="56">
        <f t="shared" si="22"/>
        <v>0</v>
      </c>
      <c r="AB36" s="56">
        <v>0</v>
      </c>
      <c r="AC36" s="56">
        <f t="shared" si="11"/>
        <v>0</v>
      </c>
      <c r="AE36" s="56">
        <v>0</v>
      </c>
      <c r="AF36" s="56">
        <f t="shared" si="12"/>
        <v>0</v>
      </c>
      <c r="AG36" s="56">
        <f t="shared" si="13"/>
        <v>0</v>
      </c>
      <c r="AI36" s="56">
        <f t="shared" si="14"/>
        <v>0</v>
      </c>
      <c r="AJ36" s="56">
        <f t="shared" si="15"/>
        <v>0</v>
      </c>
      <c r="AK36" s="56">
        <f t="shared" si="16"/>
        <v>0</v>
      </c>
      <c r="AM36" s="56">
        <f t="shared" si="17"/>
        <v>209468</v>
      </c>
      <c r="AN36" s="56">
        <f t="shared" si="18"/>
        <v>19949</v>
      </c>
      <c r="AO36" s="56">
        <f t="shared" si="19"/>
        <v>37333</v>
      </c>
      <c r="AP36" s="56"/>
      <c r="AQ36" s="56">
        <f t="shared" si="20"/>
        <v>266750</v>
      </c>
      <c r="AS36" s="56">
        <v>1323.588348374996</v>
      </c>
      <c r="AT36" s="56">
        <v>126.05392690880133</v>
      </c>
      <c r="AU36" s="56">
        <v>235.90010793955989</v>
      </c>
      <c r="AV36" s="56"/>
      <c r="AW36" s="56">
        <v>1685.5423832233573</v>
      </c>
      <c r="AY36" s="16">
        <v>3.2828019410714226E-2</v>
      </c>
      <c r="AZ36" s="16">
        <v>-1.2447390363723443E-2</v>
      </c>
      <c r="BA36" s="16">
        <v>1.5336261727851186E-2</v>
      </c>
      <c r="BB36" s="16">
        <f t="shared" si="21"/>
        <v>2.683163254171772E-2</v>
      </c>
      <c r="BC36" s="16"/>
      <c r="BE36" s="16">
        <v>3.0486466284659564E-2</v>
      </c>
      <c r="BF36" s="16">
        <v>3.5666078288858927E-2</v>
      </c>
      <c r="BG36" s="16">
        <v>7.1537614724784371E-2</v>
      </c>
      <c r="BH36" s="16">
        <f>AQ36/(VLOOKUP($A36,'2016-17'!$A$12:$D$220,4,FALSE))-1</f>
        <v>3.6431193998328615E-2</v>
      </c>
      <c r="BJ36" s="16">
        <v>2.7760358186766476E-2</v>
      </c>
      <c r="BK36" s="16">
        <v>3.2926267747808824E-2</v>
      </c>
      <c r="BL36" s="16">
        <v>6.8702907560477922E-2</v>
      </c>
      <c r="BM36" s="16">
        <v>3.3689359376225969E-2</v>
      </c>
    </row>
    <row r="37" spans="1:65" x14ac:dyDescent="0.2">
      <c r="A37" s="156" t="s">
        <v>119</v>
      </c>
      <c r="B37" s="156" t="s">
        <v>120</v>
      </c>
      <c r="D37" s="56">
        <f>VLOOKUP(A37,'2016-17'!$A$12:$AMX245,32,FALSE)</f>
        <v>988161</v>
      </c>
      <c r="E37" s="56">
        <v>1946.8654669358641</v>
      </c>
      <c r="F37" s="16">
        <f>VLOOKUP(A37,'2016-17'!$A$12:$AMX245,34,FALSE)</f>
        <v>3.3821355716333379E-2</v>
      </c>
      <c r="G37" s="16">
        <f>VLOOKUP(A37,'2016-17'!$A$12:$AMX245,35,FALSE)</f>
        <v>3.1609123823153285E-2</v>
      </c>
      <c r="H37" s="56"/>
      <c r="I37" s="56">
        <v>951609.29511759989</v>
      </c>
      <c r="J37" s="56">
        <v>1874.8516432844795</v>
      </c>
      <c r="K37" s="16">
        <f t="shared" si="6"/>
        <v>3.8410411783423193E-2</v>
      </c>
      <c r="L37" s="58">
        <f t="shared" si="6"/>
        <v>3.8410411783423193E-2</v>
      </c>
      <c r="M37" s="10"/>
      <c r="N37" s="56">
        <v>769414</v>
      </c>
      <c r="O37" s="56">
        <v>66357</v>
      </c>
      <c r="P37" s="56">
        <v>152390</v>
      </c>
      <c r="R37" s="56">
        <f t="shared" si="7"/>
        <v>152390</v>
      </c>
      <c r="S37" s="56">
        <f t="shared" si="8"/>
        <v>0</v>
      </c>
      <c r="U37" s="16">
        <v>5.4951546370902493E-2</v>
      </c>
      <c r="V37" s="16">
        <v>-0.11349682526334037</v>
      </c>
      <c r="W37" s="56">
        <f t="shared" si="9"/>
        <v>3</v>
      </c>
      <c r="X37" s="56">
        <f t="shared" si="10"/>
        <v>7293.3586632185243</v>
      </c>
      <c r="Y37" s="56">
        <f t="shared" si="10"/>
        <v>748.52523816072846</v>
      </c>
      <c r="AA37" s="56">
        <f t="shared" si="22"/>
        <v>0</v>
      </c>
      <c r="AB37" s="56">
        <v>0</v>
      </c>
      <c r="AC37" s="56">
        <f t="shared" si="11"/>
        <v>0</v>
      </c>
      <c r="AE37" s="56">
        <v>0</v>
      </c>
      <c r="AF37" s="56">
        <f t="shared" si="12"/>
        <v>0</v>
      </c>
      <c r="AG37" s="56">
        <f t="shared" si="13"/>
        <v>0</v>
      </c>
      <c r="AI37" s="56">
        <f t="shared" si="14"/>
        <v>0</v>
      </c>
      <c r="AJ37" s="56">
        <f t="shared" si="15"/>
        <v>0</v>
      </c>
      <c r="AK37" s="56">
        <f t="shared" si="16"/>
        <v>0</v>
      </c>
      <c r="AM37" s="56">
        <f t="shared" si="17"/>
        <v>769414</v>
      </c>
      <c r="AN37" s="56">
        <f t="shared" si="18"/>
        <v>66357</v>
      </c>
      <c r="AO37" s="56">
        <f t="shared" si="19"/>
        <v>152390</v>
      </c>
      <c r="AP37" s="56"/>
      <c r="AQ37" s="56">
        <f t="shared" si="20"/>
        <v>988161</v>
      </c>
      <c r="AS37" s="56">
        <v>1515.8921940624969</v>
      </c>
      <c r="AT37" s="56">
        <v>130.73593451822438</v>
      </c>
      <c r="AU37" s="56">
        <v>300.23733835514287</v>
      </c>
      <c r="AV37" s="56"/>
      <c r="AW37" s="56">
        <v>1946.8654669358641</v>
      </c>
      <c r="AY37" s="16">
        <v>5.4951546370902493E-2</v>
      </c>
      <c r="AZ37" s="16">
        <v>-0.11349682526334037</v>
      </c>
      <c r="BA37" s="16">
        <v>3.3706854675803699E-2</v>
      </c>
      <c r="BB37" s="16">
        <f t="shared" si="21"/>
        <v>3.8410411783423193E-2</v>
      </c>
      <c r="BC37" s="16"/>
      <c r="BE37" s="16">
        <v>2.4326431423878025E-2</v>
      </c>
      <c r="BF37" s="16">
        <v>6.3362338349117753E-2</v>
      </c>
      <c r="BG37" s="16">
        <v>7.0989264589023771E-2</v>
      </c>
      <c r="BH37" s="16">
        <f>AQ37/(VLOOKUP($A37,'2016-17'!$A$12:$D$220,4,FALSE))-1</f>
        <v>3.3821355716333379E-2</v>
      </c>
      <c r="BJ37" s="16">
        <v>2.2134517329538861E-2</v>
      </c>
      <c r="BK37" s="16">
        <v>6.10868929195032E-2</v>
      </c>
      <c r="BL37" s="16">
        <v>6.8697498612942054E-2</v>
      </c>
      <c r="BM37" s="16">
        <v>3.1609123823153285E-2</v>
      </c>
    </row>
    <row r="38" spans="1:65" x14ac:dyDescent="0.2">
      <c r="A38" s="156" t="s">
        <v>121</v>
      </c>
      <c r="B38" s="156" t="s">
        <v>122</v>
      </c>
      <c r="D38" s="56">
        <f>VLOOKUP(A38,'2016-17'!$A$12:$AMX246,32,FALSE)</f>
        <v>393117</v>
      </c>
      <c r="E38" s="56">
        <v>1917.2951956041718</v>
      </c>
      <c r="F38" s="16">
        <f>VLOOKUP(A38,'2016-17'!$A$12:$AMX246,34,FALSE)</f>
        <v>8.3752760166423634E-2</v>
      </c>
      <c r="G38" s="16">
        <f>VLOOKUP(A38,'2016-17'!$A$12:$AMX246,35,FALSE)</f>
        <v>7.4739245806349164E-2</v>
      </c>
      <c r="H38" s="56"/>
      <c r="I38" s="56">
        <v>409013.91232229915</v>
      </c>
      <c r="J38" s="56">
        <v>1994.8270083227387</v>
      </c>
      <c r="K38" s="16">
        <f t="shared" si="6"/>
        <v>-3.8866434229680946E-2</v>
      </c>
      <c r="L38" s="58">
        <f t="shared" si="6"/>
        <v>-3.8866434229680946E-2</v>
      </c>
      <c r="M38" s="10"/>
      <c r="N38" s="56">
        <v>280587</v>
      </c>
      <c r="O38" s="56">
        <v>29480</v>
      </c>
      <c r="P38" s="56">
        <v>83050</v>
      </c>
      <c r="R38" s="56">
        <f t="shared" si="7"/>
        <v>83050</v>
      </c>
      <c r="S38" s="56">
        <f t="shared" si="8"/>
        <v>0</v>
      </c>
      <c r="U38" s="16">
        <v>-4.9958786664706878E-2</v>
      </c>
      <c r="V38" s="16">
        <v>-0.1102861075130499</v>
      </c>
      <c r="W38" s="56">
        <f t="shared" si="9"/>
        <v>4</v>
      </c>
      <c r="X38" s="56">
        <f t="shared" si="10"/>
        <v>2953.4192418342368</v>
      </c>
      <c r="Y38" s="56">
        <f t="shared" si="10"/>
        <v>331.34247142749206</v>
      </c>
      <c r="AA38" s="56">
        <f t="shared" si="22"/>
        <v>0</v>
      </c>
      <c r="AB38" s="56">
        <v>0</v>
      </c>
      <c r="AC38" s="56">
        <f t="shared" si="11"/>
        <v>0</v>
      </c>
      <c r="AE38" s="56">
        <v>0</v>
      </c>
      <c r="AF38" s="56">
        <f t="shared" si="12"/>
        <v>0</v>
      </c>
      <c r="AG38" s="56">
        <f t="shared" si="13"/>
        <v>0</v>
      </c>
      <c r="AI38" s="56">
        <f t="shared" si="14"/>
        <v>0</v>
      </c>
      <c r="AJ38" s="56">
        <f t="shared" si="15"/>
        <v>0</v>
      </c>
      <c r="AK38" s="56">
        <f t="shared" si="16"/>
        <v>0</v>
      </c>
      <c r="AM38" s="56">
        <f t="shared" si="17"/>
        <v>280587</v>
      </c>
      <c r="AN38" s="56">
        <f t="shared" si="18"/>
        <v>29480</v>
      </c>
      <c r="AO38" s="56">
        <f t="shared" si="19"/>
        <v>83050</v>
      </c>
      <c r="AP38" s="56"/>
      <c r="AQ38" s="56">
        <f t="shared" si="20"/>
        <v>393117</v>
      </c>
      <c r="AS38" s="56">
        <v>1368.468183896875</v>
      </c>
      <c r="AT38" s="56">
        <v>143.77872838470731</v>
      </c>
      <c r="AU38" s="56">
        <v>405.04828332258961</v>
      </c>
      <c r="AV38" s="56"/>
      <c r="AW38" s="56">
        <v>1917.2951956041718</v>
      </c>
      <c r="AY38" s="16">
        <v>-4.9958786664706878E-2</v>
      </c>
      <c r="AZ38" s="16">
        <v>-0.1102861075130499</v>
      </c>
      <c r="BA38" s="16">
        <v>3.1193561835743511E-2</v>
      </c>
      <c r="BB38" s="16">
        <f t="shared" si="21"/>
        <v>-3.8866434229680946E-2</v>
      </c>
      <c r="BC38" s="16"/>
      <c r="BE38" s="16">
        <v>8.9160013355493506E-2</v>
      </c>
      <c r="BF38" s="16">
        <v>5.0830541099308402E-2</v>
      </c>
      <c r="BG38" s="16">
        <v>7.7661736815137772E-2</v>
      </c>
      <c r="BH38" s="16">
        <f>AQ38/(VLOOKUP($A38,'2016-17'!$A$12:$D$220,4,FALSE))-1</f>
        <v>8.3752760166423634E-2</v>
      </c>
      <c r="BJ38" s="16">
        <v>8.0101527156767771E-2</v>
      </c>
      <c r="BK38" s="16">
        <v>4.2090839093152699E-2</v>
      </c>
      <c r="BL38" s="16">
        <v>6.8698881173972604E-2</v>
      </c>
      <c r="BM38" s="16">
        <v>7.4739245806349164E-2</v>
      </c>
    </row>
    <row r="39" spans="1:65" x14ac:dyDescent="0.2">
      <c r="A39" s="156" t="s">
        <v>123</v>
      </c>
      <c r="B39" s="156" t="s">
        <v>124</v>
      </c>
      <c r="D39" s="56">
        <f>VLOOKUP(A39,'2016-17'!$A$12:$AMX247,32,FALSE)</f>
        <v>427303</v>
      </c>
      <c r="E39" s="56">
        <v>1716.9702550172542</v>
      </c>
      <c r="F39" s="16">
        <f>VLOOKUP(A39,'2016-17'!$A$12:$AMX247,34,FALSE)</f>
        <v>3.6977888091770827E-2</v>
      </c>
      <c r="G39" s="16">
        <f>VLOOKUP(A39,'2016-17'!$A$12:$AMX247,35,FALSE)</f>
        <v>3.2692993387036129E-2</v>
      </c>
      <c r="H39" s="56"/>
      <c r="I39" s="56">
        <v>422213.18302391336</v>
      </c>
      <c r="J39" s="56">
        <v>1696.5185747074447</v>
      </c>
      <c r="K39" s="16">
        <f t="shared" si="6"/>
        <v>1.2055087763089389E-2</v>
      </c>
      <c r="L39" s="58">
        <f t="shared" si="6"/>
        <v>1.2055087763089389E-2</v>
      </c>
      <c r="M39" s="10"/>
      <c r="N39" s="56">
        <v>321901</v>
      </c>
      <c r="O39" s="56">
        <v>36827</v>
      </c>
      <c r="P39" s="56">
        <v>68575</v>
      </c>
      <c r="R39" s="56">
        <f t="shared" si="7"/>
        <v>68575</v>
      </c>
      <c r="S39" s="56">
        <f t="shared" si="8"/>
        <v>0</v>
      </c>
      <c r="U39" s="16">
        <v>-3.0513450813455245E-3</v>
      </c>
      <c r="V39" s="16">
        <v>0.11169137283206121</v>
      </c>
      <c r="W39" s="56">
        <f t="shared" si="9"/>
        <v>1</v>
      </c>
      <c r="X39" s="56">
        <f t="shared" si="10"/>
        <v>3228.8623733211753</v>
      </c>
      <c r="Y39" s="56">
        <f t="shared" si="10"/>
        <v>331.26999903023722</v>
      </c>
      <c r="AA39" s="56">
        <f t="shared" si="22"/>
        <v>0</v>
      </c>
      <c r="AB39" s="56">
        <v>0</v>
      </c>
      <c r="AC39" s="56">
        <f t="shared" si="11"/>
        <v>0</v>
      </c>
      <c r="AE39" s="56">
        <v>0</v>
      </c>
      <c r="AF39" s="56">
        <f t="shared" si="12"/>
        <v>0</v>
      </c>
      <c r="AG39" s="56">
        <f t="shared" si="13"/>
        <v>0</v>
      </c>
      <c r="AI39" s="56">
        <f t="shared" si="14"/>
        <v>0</v>
      </c>
      <c r="AJ39" s="56">
        <f t="shared" si="15"/>
        <v>0</v>
      </c>
      <c r="AK39" s="56">
        <f t="shared" si="16"/>
        <v>0</v>
      </c>
      <c r="AM39" s="56">
        <f t="shared" si="17"/>
        <v>321901</v>
      </c>
      <c r="AN39" s="56">
        <f t="shared" si="18"/>
        <v>36827</v>
      </c>
      <c r="AO39" s="56">
        <f t="shared" si="19"/>
        <v>68575</v>
      </c>
      <c r="AP39" s="56"/>
      <c r="AQ39" s="56">
        <f t="shared" si="20"/>
        <v>427303</v>
      </c>
      <c r="AS39" s="56">
        <v>1293.4485413402415</v>
      </c>
      <c r="AT39" s="56">
        <v>147.97664322862329</v>
      </c>
      <c r="AU39" s="56">
        <v>275.54507044838959</v>
      </c>
      <c r="AV39" s="56"/>
      <c r="AW39" s="56">
        <v>1716.9702550172542</v>
      </c>
      <c r="AY39" s="16">
        <v>-3.0513450813455245E-3</v>
      </c>
      <c r="AZ39" s="16">
        <v>0.11169137283206121</v>
      </c>
      <c r="BA39" s="16">
        <v>3.587698121092231E-2</v>
      </c>
      <c r="BB39" s="16">
        <f t="shared" si="21"/>
        <v>1.2055087763089389E-2</v>
      </c>
      <c r="BC39" s="16"/>
      <c r="BE39" s="16">
        <v>3.0488391333034937E-2</v>
      </c>
      <c r="BF39" s="16">
        <v>2.9060832145751281E-2</v>
      </c>
      <c r="BG39" s="16">
        <v>7.3135035283597549E-2</v>
      </c>
      <c r="BH39" s="16">
        <f>AQ39/(VLOOKUP($A39,'2016-17'!$A$12:$D$220,4,FALSE))-1</f>
        <v>3.6977888091770827E-2</v>
      </c>
      <c r="BJ39" s="16">
        <v>2.6230311867677436E-2</v>
      </c>
      <c r="BK39" s="16">
        <v>2.4808651495471956E-2</v>
      </c>
      <c r="BL39" s="16">
        <v>6.8700735687669212E-2</v>
      </c>
      <c r="BM39" s="16">
        <v>3.2692993387036129E-2</v>
      </c>
    </row>
    <row r="40" spans="1:65" x14ac:dyDescent="0.2">
      <c r="A40" s="156" t="s">
        <v>125</v>
      </c>
      <c r="B40" s="156" t="s">
        <v>126</v>
      </c>
      <c r="D40" s="56">
        <f>VLOOKUP(A40,'2016-17'!$A$12:$AMX248,32,FALSE)</f>
        <v>490855</v>
      </c>
      <c r="E40" s="56">
        <v>1867.2059999105061</v>
      </c>
      <c r="F40" s="16">
        <f>VLOOKUP(A40,'2016-17'!$A$12:$AMX248,34,FALSE)</f>
        <v>3.9605144887310928E-2</v>
      </c>
      <c r="G40" s="16">
        <f>VLOOKUP(A40,'2016-17'!$A$12:$AMX248,35,FALSE)</f>
        <v>2.8583228387518478E-2</v>
      </c>
      <c r="H40" s="56"/>
      <c r="I40" s="56">
        <v>497056.33595632983</v>
      </c>
      <c r="J40" s="56">
        <v>1890.7958007786235</v>
      </c>
      <c r="K40" s="16">
        <f t="shared" si="6"/>
        <v>-1.2476122941675327E-2</v>
      </c>
      <c r="L40" s="58">
        <f t="shared" si="6"/>
        <v>-1.2476122941675216E-2</v>
      </c>
      <c r="M40" s="10"/>
      <c r="N40" s="56">
        <v>365891</v>
      </c>
      <c r="O40" s="56">
        <v>35143</v>
      </c>
      <c r="P40" s="56">
        <v>89821</v>
      </c>
      <c r="R40" s="56">
        <f t="shared" si="7"/>
        <v>89821</v>
      </c>
      <c r="S40" s="56">
        <f t="shared" si="8"/>
        <v>0</v>
      </c>
      <c r="U40" s="16">
        <v>-2.4165268544436347E-2</v>
      </c>
      <c r="V40" s="16">
        <v>-7.6321701529378339E-2</v>
      </c>
      <c r="W40" s="56">
        <f t="shared" si="9"/>
        <v>4</v>
      </c>
      <c r="X40" s="56">
        <f t="shared" si="10"/>
        <v>3749.5181120909047</v>
      </c>
      <c r="Y40" s="56">
        <f t="shared" si="10"/>
        <v>380.46796225685875</v>
      </c>
      <c r="AA40" s="56">
        <f t="shared" si="22"/>
        <v>0</v>
      </c>
      <c r="AB40" s="56">
        <v>0</v>
      </c>
      <c r="AC40" s="56">
        <f t="shared" si="11"/>
        <v>0</v>
      </c>
      <c r="AE40" s="56">
        <v>0</v>
      </c>
      <c r="AF40" s="56">
        <f t="shared" si="12"/>
        <v>0</v>
      </c>
      <c r="AG40" s="56">
        <f t="shared" si="13"/>
        <v>0</v>
      </c>
      <c r="AI40" s="56">
        <f t="shared" si="14"/>
        <v>0</v>
      </c>
      <c r="AJ40" s="56">
        <f t="shared" si="15"/>
        <v>0</v>
      </c>
      <c r="AK40" s="56">
        <f t="shared" si="16"/>
        <v>0</v>
      </c>
      <c r="AM40" s="56">
        <f t="shared" si="17"/>
        <v>365891</v>
      </c>
      <c r="AN40" s="56">
        <f t="shared" si="18"/>
        <v>35143</v>
      </c>
      <c r="AO40" s="56">
        <f t="shared" si="19"/>
        <v>89821</v>
      </c>
      <c r="AP40" s="56"/>
      <c r="AQ40" s="56">
        <f t="shared" si="20"/>
        <v>490855</v>
      </c>
      <c r="AS40" s="56">
        <v>1391.8445783648021</v>
      </c>
      <c r="AT40" s="56">
        <v>133.68351235060234</v>
      </c>
      <c r="AU40" s="56">
        <v>341.67790919510156</v>
      </c>
      <c r="AV40" s="56"/>
      <c r="AW40" s="56">
        <v>1867.2059999105061</v>
      </c>
      <c r="AY40" s="16">
        <v>-2.4165268544436347E-2</v>
      </c>
      <c r="AZ40" s="16">
        <v>-7.6321701529378339E-2</v>
      </c>
      <c r="BA40" s="16">
        <v>6.856325503690841E-2</v>
      </c>
      <c r="BB40" s="16">
        <f t="shared" si="21"/>
        <v>-1.2476122941675327E-2</v>
      </c>
      <c r="BC40" s="16"/>
      <c r="BE40" s="16">
        <v>3.0486384188427307E-2</v>
      </c>
      <c r="BF40" s="16">
        <v>3.5658503521645679E-2</v>
      </c>
      <c r="BG40" s="16">
        <v>8.0151704162630955E-2</v>
      </c>
      <c r="BH40" s="16">
        <f>AQ40/(VLOOKUP($A40,'2016-17'!$A$12:$D$220,4,FALSE))-1</f>
        <v>3.9605144887310928E-2</v>
      </c>
      <c r="BJ40" s="16">
        <v>1.9561144989145518E-2</v>
      </c>
      <c r="BK40" s="16">
        <v>2.4678429399991764E-2</v>
      </c>
      <c r="BL40" s="16">
        <v>6.8699912153964648E-2</v>
      </c>
      <c r="BM40" s="16">
        <v>2.8583228387518478E-2</v>
      </c>
    </row>
    <row r="41" spans="1:65" x14ac:dyDescent="0.2">
      <c r="A41" s="156" t="s">
        <v>127</v>
      </c>
      <c r="B41" s="156" t="s">
        <v>128</v>
      </c>
      <c r="D41" s="56">
        <f>VLOOKUP(A41,'2016-17'!$A$12:$AMX249,32,FALSE)</f>
        <v>282597.78403007216</v>
      </c>
      <c r="E41" s="56">
        <v>1563.8065610374306</v>
      </c>
      <c r="F41" s="16">
        <f>VLOOKUP(A41,'2016-17'!$A$12:$AMX249,34,FALSE)</f>
        <v>3.8775279897432124E-2</v>
      </c>
      <c r="G41" s="16">
        <f>VLOOKUP(A41,'2016-17'!$A$12:$AMX249,35,FALSE)</f>
        <v>3.5174165913452793E-2</v>
      </c>
      <c r="H41" s="56"/>
      <c r="I41" s="56">
        <v>288094.33611044253</v>
      </c>
      <c r="J41" s="56">
        <v>1594.2227379932003</v>
      </c>
      <c r="K41" s="16">
        <f t="shared" si="6"/>
        <v>-1.9079000839028026E-2</v>
      </c>
      <c r="L41" s="58">
        <f t="shared" si="6"/>
        <v>-1.9079000839028026E-2</v>
      </c>
      <c r="M41" s="10"/>
      <c r="N41" s="56">
        <v>219421</v>
      </c>
      <c r="O41" s="56">
        <v>22771</v>
      </c>
      <c r="P41" s="56">
        <v>39866</v>
      </c>
      <c r="R41" s="56">
        <f t="shared" si="7"/>
        <v>39866</v>
      </c>
      <c r="S41" s="56">
        <f t="shared" si="8"/>
        <v>539.7840300721582</v>
      </c>
      <c r="U41" s="16">
        <v>-4.3720466693584759E-2</v>
      </c>
      <c r="V41" s="16">
        <v>3.8466955981236284E-2</v>
      </c>
      <c r="W41" s="56">
        <f t="shared" si="9"/>
        <v>1</v>
      </c>
      <c r="X41" s="56">
        <f t="shared" si="10"/>
        <v>2294.5278274578754</v>
      </c>
      <c r="Y41" s="56">
        <f t="shared" si="10"/>
        <v>219.27515236615233</v>
      </c>
      <c r="AA41" s="56">
        <f t="shared" si="22"/>
        <v>539.7840300721582</v>
      </c>
      <c r="AB41" s="56">
        <v>0</v>
      </c>
      <c r="AC41" s="56">
        <f t="shared" si="11"/>
        <v>0</v>
      </c>
      <c r="AE41" s="56">
        <v>0</v>
      </c>
      <c r="AF41" s="56">
        <f t="shared" si="12"/>
        <v>0</v>
      </c>
      <c r="AG41" s="56">
        <f t="shared" si="13"/>
        <v>0</v>
      </c>
      <c r="AI41" s="56">
        <f t="shared" si="14"/>
        <v>0</v>
      </c>
      <c r="AJ41" s="56">
        <f t="shared" si="15"/>
        <v>0</v>
      </c>
      <c r="AK41" s="56">
        <f t="shared" si="16"/>
        <v>0</v>
      </c>
      <c r="AM41" s="56">
        <f t="shared" si="17"/>
        <v>219961</v>
      </c>
      <c r="AN41" s="56">
        <f t="shared" si="18"/>
        <v>22771</v>
      </c>
      <c r="AO41" s="56">
        <f t="shared" si="19"/>
        <v>39866</v>
      </c>
      <c r="AP41" s="56"/>
      <c r="AQ41" s="56">
        <f t="shared" si="20"/>
        <v>282598</v>
      </c>
      <c r="AS41" s="56">
        <v>1217.19445236609</v>
      </c>
      <c r="AT41" s="56">
        <v>126.00749621445728</v>
      </c>
      <c r="AU41" s="56">
        <v>220.60580756600737</v>
      </c>
      <c r="AV41" s="56"/>
      <c r="AW41" s="56">
        <v>1563.8077561465545</v>
      </c>
      <c r="AY41" s="16">
        <v>-4.1367041324155918E-2</v>
      </c>
      <c r="AZ41" s="16">
        <v>3.8466955981236284E-2</v>
      </c>
      <c r="BA41" s="16">
        <v>8.5851680519800855E-2</v>
      </c>
      <c r="BB41" s="16">
        <f t="shared" si="21"/>
        <v>-1.9078251188997641E-2</v>
      </c>
      <c r="BC41" s="16"/>
      <c r="BE41" s="16">
        <v>3.3222535409090925E-2</v>
      </c>
      <c r="BF41" s="16">
        <v>3.5657433938236283E-2</v>
      </c>
      <c r="BG41" s="16">
        <v>7.242494461789506E-2</v>
      </c>
      <c r="BH41" s="16">
        <f>AQ41/(VLOOKUP($A41,'2016-17'!$A$12:$D$220,4,FALSE))-1</f>
        <v>3.8776073761485286E-2</v>
      </c>
      <c r="BJ41" s="16">
        <v>2.9640671080175096E-2</v>
      </c>
      <c r="BK41" s="16">
        <v>3.2067128565995251E-2</v>
      </c>
      <c r="BL41" s="16">
        <v>6.870717760941103E-2</v>
      </c>
      <c r="BM41" s="16">
        <v>3.5174957025423836E-2</v>
      </c>
    </row>
    <row r="42" spans="1:65" x14ac:dyDescent="0.2">
      <c r="A42" s="156" t="s">
        <v>129</v>
      </c>
      <c r="B42" s="156" t="s">
        <v>130</v>
      </c>
      <c r="D42" s="56">
        <f>VLOOKUP(A42,'2016-17'!$A$12:$AMX250,32,FALSE)</f>
        <v>304809</v>
      </c>
      <c r="E42" s="56">
        <v>1759.0227669152946</v>
      </c>
      <c r="F42" s="16">
        <f>VLOOKUP(A42,'2016-17'!$A$12:$AMX250,34,FALSE)</f>
        <v>3.8924599285614869E-2</v>
      </c>
      <c r="G42" s="16">
        <f>VLOOKUP(A42,'2016-17'!$A$12:$AMX250,35,FALSE)</f>
        <v>3.00743155182841E-2</v>
      </c>
      <c r="H42" s="56"/>
      <c r="I42" s="56">
        <v>295186.7193792761</v>
      </c>
      <c r="J42" s="56">
        <v>1703.4935316187607</v>
      </c>
      <c r="K42" s="16">
        <f t="shared" si="6"/>
        <v>3.2597268064626483E-2</v>
      </c>
      <c r="L42" s="58">
        <f t="shared" si="6"/>
        <v>3.2597268064626483E-2</v>
      </c>
      <c r="M42" s="10"/>
      <c r="N42" s="56">
        <v>233982</v>
      </c>
      <c r="O42" s="56">
        <v>21762</v>
      </c>
      <c r="P42" s="56">
        <v>49065</v>
      </c>
      <c r="R42" s="56">
        <f t="shared" si="7"/>
        <v>49065</v>
      </c>
      <c r="S42" s="56">
        <f t="shared" si="8"/>
        <v>0</v>
      </c>
      <c r="U42" s="16">
        <v>3.0965690441185245E-2</v>
      </c>
      <c r="V42" s="16">
        <v>-0.10955505531621557</v>
      </c>
      <c r="W42" s="56">
        <f t="shared" si="9"/>
        <v>3</v>
      </c>
      <c r="X42" s="56">
        <f t="shared" si="10"/>
        <v>2269.5420630328749</v>
      </c>
      <c r="Y42" s="56">
        <f t="shared" si="10"/>
        <v>244.39467178656551</v>
      </c>
      <c r="AA42" s="56">
        <f t="shared" si="22"/>
        <v>0</v>
      </c>
      <c r="AB42" s="56">
        <v>0</v>
      </c>
      <c r="AC42" s="56">
        <f t="shared" si="11"/>
        <v>0</v>
      </c>
      <c r="AE42" s="56">
        <v>0</v>
      </c>
      <c r="AF42" s="56">
        <f t="shared" si="12"/>
        <v>0</v>
      </c>
      <c r="AG42" s="56">
        <f t="shared" si="13"/>
        <v>0</v>
      </c>
      <c r="AI42" s="56">
        <f t="shared" si="14"/>
        <v>0</v>
      </c>
      <c r="AJ42" s="56">
        <f t="shared" si="15"/>
        <v>0</v>
      </c>
      <c r="AK42" s="56">
        <f t="shared" si="16"/>
        <v>0</v>
      </c>
      <c r="AM42" s="56">
        <f t="shared" si="17"/>
        <v>233982</v>
      </c>
      <c r="AN42" s="56">
        <f t="shared" si="18"/>
        <v>21762</v>
      </c>
      <c r="AO42" s="56">
        <f t="shared" si="19"/>
        <v>49065</v>
      </c>
      <c r="AP42" s="56"/>
      <c r="AQ42" s="56">
        <f t="shared" si="20"/>
        <v>304809</v>
      </c>
      <c r="AS42" s="56">
        <v>1350.287114384334</v>
      </c>
      <c r="AT42" s="56">
        <v>125.58636212713746</v>
      </c>
      <c r="AU42" s="56">
        <v>283.14929040382316</v>
      </c>
      <c r="AV42" s="56"/>
      <c r="AW42" s="56">
        <v>1759.0227669152946</v>
      </c>
      <c r="AY42" s="16">
        <v>3.0965690441185245E-2</v>
      </c>
      <c r="AZ42" s="16">
        <v>-0.10955505531621557</v>
      </c>
      <c r="BA42" s="16">
        <v>0.12038336212163614</v>
      </c>
      <c r="BB42" s="16">
        <f t="shared" si="21"/>
        <v>3.2597268064626483E-2</v>
      </c>
      <c r="BC42" s="16"/>
      <c r="BE42" s="16">
        <v>3.0487772050366679E-2</v>
      </c>
      <c r="BF42" s="16">
        <v>4.5747236905333999E-2</v>
      </c>
      <c r="BG42" s="16">
        <v>7.7889938788354263E-2</v>
      </c>
      <c r="BH42" s="16">
        <f>AQ42/(VLOOKUP($A42,'2016-17'!$A$12:$D$220,4,FALSE))-1</f>
        <v>3.8924599285614869E-2</v>
      </c>
      <c r="BJ42" s="16">
        <v>2.1709359057083821E-2</v>
      </c>
      <c r="BK42" s="16">
        <v>3.6838833156035866E-2</v>
      </c>
      <c r="BL42" s="16">
        <v>6.8707721104041886E-2</v>
      </c>
      <c r="BM42" s="16">
        <v>3.00743155182841E-2</v>
      </c>
    </row>
    <row r="43" spans="1:65" x14ac:dyDescent="0.2">
      <c r="A43" s="156" t="s">
        <v>131</v>
      </c>
      <c r="B43" s="156" t="s">
        <v>132</v>
      </c>
      <c r="D43" s="56">
        <f>VLOOKUP(A43,'2016-17'!$A$12:$AMX251,32,FALSE)</f>
        <v>308470</v>
      </c>
      <c r="E43" s="56">
        <v>1991.9465274494935</v>
      </c>
      <c r="F43" s="16">
        <f>VLOOKUP(A43,'2016-17'!$A$12:$AMX251,34,FALSE)</f>
        <v>3.1945191686501673E-2</v>
      </c>
      <c r="G43" s="16">
        <f>VLOOKUP(A43,'2016-17'!$A$12:$AMX251,35,FALSE)</f>
        <v>3.1814750374406398E-2</v>
      </c>
      <c r="H43" s="56"/>
      <c r="I43" s="56">
        <v>292476.84349459177</v>
      </c>
      <c r="J43" s="56">
        <v>1888.6706414187474</v>
      </c>
      <c r="K43" s="16">
        <f t="shared" si="6"/>
        <v>5.468178716071237E-2</v>
      </c>
      <c r="L43" s="58">
        <f t="shared" si="6"/>
        <v>5.468178716071237E-2</v>
      </c>
      <c r="M43" s="10"/>
      <c r="N43" s="56">
        <v>237180</v>
      </c>
      <c r="O43" s="56">
        <v>19960</v>
      </c>
      <c r="P43" s="56">
        <v>51330</v>
      </c>
      <c r="R43" s="56">
        <f t="shared" si="7"/>
        <v>51330</v>
      </c>
      <c r="S43" s="56">
        <f t="shared" si="8"/>
        <v>0</v>
      </c>
      <c r="U43" s="16">
        <v>5.5610608082924839E-2</v>
      </c>
      <c r="V43" s="16">
        <v>-6.831170097320427E-2</v>
      </c>
      <c r="W43" s="56">
        <f t="shared" si="9"/>
        <v>3</v>
      </c>
      <c r="X43" s="56">
        <f t="shared" si="10"/>
        <v>2246.8512364681355</v>
      </c>
      <c r="Y43" s="56">
        <f t="shared" si="10"/>
        <v>214.23473946006851</v>
      </c>
      <c r="AA43" s="56">
        <f t="shared" si="22"/>
        <v>0</v>
      </c>
      <c r="AB43" s="56">
        <v>0</v>
      </c>
      <c r="AC43" s="56">
        <f t="shared" si="11"/>
        <v>0</v>
      </c>
      <c r="AE43" s="56">
        <v>0</v>
      </c>
      <c r="AF43" s="56">
        <f t="shared" si="12"/>
        <v>0</v>
      </c>
      <c r="AG43" s="56">
        <f t="shared" si="13"/>
        <v>0</v>
      </c>
      <c r="AI43" s="56">
        <f t="shared" si="14"/>
        <v>0</v>
      </c>
      <c r="AJ43" s="56">
        <f t="shared" si="15"/>
        <v>0</v>
      </c>
      <c r="AK43" s="56">
        <f t="shared" si="16"/>
        <v>0</v>
      </c>
      <c r="AM43" s="56">
        <f t="shared" si="17"/>
        <v>237180</v>
      </c>
      <c r="AN43" s="56">
        <f t="shared" si="18"/>
        <v>19960</v>
      </c>
      <c r="AO43" s="56">
        <f t="shared" si="19"/>
        <v>51330</v>
      </c>
      <c r="AP43" s="56"/>
      <c r="AQ43" s="56">
        <f t="shared" si="20"/>
        <v>308470</v>
      </c>
      <c r="AS43" s="56">
        <v>1531.5910052208346</v>
      </c>
      <c r="AT43" s="56">
        <v>128.8917972181797</v>
      </c>
      <c r="AU43" s="56">
        <v>331.46372501047915</v>
      </c>
      <c r="AV43" s="56"/>
      <c r="AW43" s="56">
        <v>1991.9465274494935</v>
      </c>
      <c r="AY43" s="16">
        <v>5.5610608082924839E-2</v>
      </c>
      <c r="AZ43" s="16">
        <v>-6.831170097320427E-2</v>
      </c>
      <c r="BA43" s="16">
        <v>0.10700758680282685</v>
      </c>
      <c r="BB43" s="16">
        <f t="shared" si="21"/>
        <v>5.468178716071237E-2</v>
      </c>
      <c r="BC43" s="16"/>
      <c r="BE43" s="16">
        <v>2.3988547404701688E-2</v>
      </c>
      <c r="BF43" s="16">
        <v>3.5645721994500112E-2</v>
      </c>
      <c r="BG43" s="16">
        <v>6.8835464547003955E-2</v>
      </c>
      <c r="BH43" s="16">
        <f>AQ43/(VLOOKUP($A43,'2016-17'!$A$12:$D$220,4,FALSE))-1</f>
        <v>3.1945191686501673E-2</v>
      </c>
      <c r="BJ43" s="16">
        <v>2.3859111838966385E-2</v>
      </c>
      <c r="BK43" s="16">
        <v>3.551481292303893E-2</v>
      </c>
      <c r="BL43" s="16">
        <v>6.870036018144976E-2</v>
      </c>
      <c r="BM43" s="16">
        <v>3.1814750374406398E-2</v>
      </c>
    </row>
    <row r="44" spans="1:65" x14ac:dyDescent="0.2">
      <c r="A44" s="156" t="s">
        <v>133</v>
      </c>
      <c r="B44" s="156" t="s">
        <v>134</v>
      </c>
      <c r="D44" s="56">
        <f>VLOOKUP(A44,'2016-17'!$A$12:$AMX252,32,FALSE)</f>
        <v>224703</v>
      </c>
      <c r="E44" s="56">
        <v>1810.9644584368129</v>
      </c>
      <c r="F44" s="16">
        <f>VLOOKUP(A44,'2016-17'!$A$12:$AMX252,34,FALSE)</f>
        <v>3.6191354112159679E-2</v>
      </c>
      <c r="G44" s="16">
        <f>VLOOKUP(A44,'2016-17'!$A$12:$AMX252,35,FALSE)</f>
        <v>3.4419359466151489E-2</v>
      </c>
      <c r="H44" s="56"/>
      <c r="I44" s="56">
        <v>220435.7938872505</v>
      </c>
      <c r="J44" s="56">
        <v>1776.5734685211748</v>
      </c>
      <c r="K44" s="16">
        <f t="shared" si="6"/>
        <v>1.9358045431279169E-2</v>
      </c>
      <c r="L44" s="58">
        <f t="shared" si="6"/>
        <v>1.9358045431279169E-2</v>
      </c>
      <c r="M44" s="10"/>
      <c r="N44" s="56">
        <v>177793</v>
      </c>
      <c r="O44" s="56">
        <v>15950</v>
      </c>
      <c r="P44" s="56">
        <v>30960</v>
      </c>
      <c r="R44" s="56">
        <f t="shared" si="7"/>
        <v>30960</v>
      </c>
      <c r="S44" s="56">
        <f t="shared" si="8"/>
        <v>0</v>
      </c>
      <c r="U44" s="16">
        <v>2.0668925456658105E-2</v>
      </c>
      <c r="V44" s="16">
        <v>-3.0892465451751727E-3</v>
      </c>
      <c r="W44" s="56">
        <f t="shared" si="9"/>
        <v>3</v>
      </c>
      <c r="X44" s="56">
        <f t="shared" si="10"/>
        <v>1741.9262560624497</v>
      </c>
      <c r="Y44" s="56">
        <f t="shared" si="10"/>
        <v>159.99426172026719</v>
      </c>
      <c r="AA44" s="56">
        <f t="shared" si="22"/>
        <v>0</v>
      </c>
      <c r="AB44" s="56">
        <v>0</v>
      </c>
      <c r="AC44" s="56">
        <f t="shared" si="11"/>
        <v>0</v>
      </c>
      <c r="AE44" s="56">
        <v>0</v>
      </c>
      <c r="AF44" s="56">
        <f t="shared" si="12"/>
        <v>0</v>
      </c>
      <c r="AG44" s="56">
        <f t="shared" si="13"/>
        <v>0</v>
      </c>
      <c r="AI44" s="56">
        <f t="shared" si="14"/>
        <v>0</v>
      </c>
      <c r="AJ44" s="56">
        <f t="shared" si="15"/>
        <v>0</v>
      </c>
      <c r="AK44" s="56">
        <f t="shared" si="16"/>
        <v>0</v>
      </c>
      <c r="AM44" s="56">
        <f t="shared" si="17"/>
        <v>177793</v>
      </c>
      <c r="AN44" s="56">
        <f t="shared" si="18"/>
        <v>15950</v>
      </c>
      <c r="AO44" s="56">
        <f t="shared" si="19"/>
        <v>30960</v>
      </c>
      <c r="AP44" s="56"/>
      <c r="AQ44" s="56">
        <f t="shared" si="20"/>
        <v>224703</v>
      </c>
      <c r="AS44" s="56">
        <v>1432.8994448621349</v>
      </c>
      <c r="AT44" s="56">
        <v>128.54694023696686</v>
      </c>
      <c r="AU44" s="56">
        <v>249.51807333771126</v>
      </c>
      <c r="AV44" s="56"/>
      <c r="AW44" s="56">
        <v>1810.9644584368129</v>
      </c>
      <c r="AY44" s="16">
        <v>2.0668925456658105E-2</v>
      </c>
      <c r="AZ44" s="16">
        <v>-3.0892465451751727E-3</v>
      </c>
      <c r="BA44" s="16">
        <v>2.3682846138558977E-2</v>
      </c>
      <c r="BB44" s="16">
        <f t="shared" si="21"/>
        <v>1.9358045431279169E-2</v>
      </c>
      <c r="BC44" s="16"/>
      <c r="BE44" s="16">
        <v>3.0484695143978335E-2</v>
      </c>
      <c r="BF44" s="16">
        <v>3.5647035906759328E-2</v>
      </c>
      <c r="BG44" s="16">
        <v>7.05260627889015E-2</v>
      </c>
      <c r="BH44" s="16">
        <f>AQ44/(VLOOKUP($A44,'2016-17'!$A$12:$D$220,4,FALSE))-1</f>
        <v>3.6191354112159679E-2</v>
      </c>
      <c r="BJ44" s="16">
        <v>2.8722459476462125E-2</v>
      </c>
      <c r="BK44" s="16">
        <v>3.3875972101316432E-2</v>
      </c>
      <c r="BL44" s="16">
        <v>6.8695352231294748E-2</v>
      </c>
      <c r="BM44" s="16">
        <v>3.4419359466151489E-2</v>
      </c>
    </row>
    <row r="45" spans="1:65" x14ac:dyDescent="0.2">
      <c r="A45" s="156" t="s">
        <v>135</v>
      </c>
      <c r="B45" s="156" t="s">
        <v>136</v>
      </c>
      <c r="D45" s="56">
        <f>VLOOKUP(A45,'2016-17'!$A$12:$AMX253,32,FALSE)</f>
        <v>363817</v>
      </c>
      <c r="E45" s="56">
        <v>1854.2674980907243</v>
      </c>
      <c r="F45" s="16">
        <f>VLOOKUP(A45,'2016-17'!$A$12:$AMX253,34,FALSE)</f>
        <v>3.6694784770361366E-2</v>
      </c>
      <c r="G45" s="16">
        <f>VLOOKUP(A45,'2016-17'!$A$12:$AMX253,35,FALSE)</f>
        <v>3.2381994568179806E-2</v>
      </c>
      <c r="H45" s="56"/>
      <c r="I45" s="56">
        <v>360337.8628462553</v>
      </c>
      <c r="J45" s="56">
        <v>1836.5353664267598</v>
      </c>
      <c r="K45" s="16">
        <f t="shared" si="6"/>
        <v>9.655208382109759E-3</v>
      </c>
      <c r="L45" s="58">
        <f t="shared" si="6"/>
        <v>9.655208382109759E-3</v>
      </c>
      <c r="M45" s="10"/>
      <c r="N45" s="56">
        <v>284973</v>
      </c>
      <c r="O45" s="56">
        <v>27512</v>
      </c>
      <c r="P45" s="56">
        <v>51332</v>
      </c>
      <c r="R45" s="56">
        <f t="shared" si="7"/>
        <v>51332</v>
      </c>
      <c r="S45" s="56">
        <f t="shared" si="8"/>
        <v>0</v>
      </c>
      <c r="U45" s="16">
        <v>-1.7356686346244876E-3</v>
      </c>
      <c r="V45" s="16">
        <v>3.971987829669632E-2</v>
      </c>
      <c r="W45" s="56">
        <f t="shared" si="9"/>
        <v>1</v>
      </c>
      <c r="X45" s="56">
        <f t="shared" si="10"/>
        <v>2854.6847868462687</v>
      </c>
      <c r="Y45" s="56">
        <f t="shared" si="10"/>
        <v>264.60973358584886</v>
      </c>
      <c r="AA45" s="56">
        <f t="shared" si="22"/>
        <v>0</v>
      </c>
      <c r="AB45" s="56">
        <v>0</v>
      </c>
      <c r="AC45" s="56">
        <f t="shared" si="11"/>
        <v>0</v>
      </c>
      <c r="AE45" s="56">
        <v>0</v>
      </c>
      <c r="AF45" s="56">
        <f t="shared" si="12"/>
        <v>0</v>
      </c>
      <c r="AG45" s="56">
        <f t="shared" si="13"/>
        <v>0</v>
      </c>
      <c r="AI45" s="56">
        <f t="shared" si="14"/>
        <v>0</v>
      </c>
      <c r="AJ45" s="56">
        <f t="shared" si="15"/>
        <v>0</v>
      </c>
      <c r="AK45" s="56">
        <f t="shared" si="16"/>
        <v>0</v>
      </c>
      <c r="AM45" s="56">
        <f t="shared" si="17"/>
        <v>284973</v>
      </c>
      <c r="AN45" s="56">
        <f t="shared" si="18"/>
        <v>27512</v>
      </c>
      <c r="AO45" s="56">
        <f t="shared" si="19"/>
        <v>51332</v>
      </c>
      <c r="AP45" s="56"/>
      <c r="AQ45" s="56">
        <f t="shared" si="20"/>
        <v>363817</v>
      </c>
      <c r="AS45" s="56">
        <v>1452.4229811509854</v>
      </c>
      <c r="AT45" s="56">
        <v>140.22051582930982</v>
      </c>
      <c r="AU45" s="56">
        <v>261.62400111042933</v>
      </c>
      <c r="AV45" s="56"/>
      <c r="AW45" s="56">
        <v>1854.2674980907243</v>
      </c>
      <c r="AY45" s="16">
        <v>-1.7356686346244876E-3</v>
      </c>
      <c r="AZ45" s="16">
        <v>3.971987829669632E-2</v>
      </c>
      <c r="BA45" s="16">
        <v>6.0394240349088912E-2</v>
      </c>
      <c r="BB45" s="16">
        <f t="shared" si="21"/>
        <v>9.655208382109759E-3</v>
      </c>
      <c r="BC45" s="16"/>
      <c r="BE45" s="16">
        <v>3.0486903678835331E-2</v>
      </c>
      <c r="BF45" s="16">
        <v>3.5648409561453098E-2</v>
      </c>
      <c r="BG45" s="16">
        <v>7.3166761414056536E-2</v>
      </c>
      <c r="BH45" s="16">
        <f>AQ45/(VLOOKUP($A45,'2016-17'!$A$12:$D$220,4,FALSE))-1</f>
        <v>3.6694784770361366E-2</v>
      </c>
      <c r="BJ45" s="16">
        <v>2.6199939099721625E-2</v>
      </c>
      <c r="BK45" s="16">
        <v>3.1339972421344342E-2</v>
      </c>
      <c r="BL45" s="16">
        <v>6.8702242867299645E-2</v>
      </c>
      <c r="BM45" s="16">
        <v>3.2381994568179806E-2</v>
      </c>
    </row>
    <row r="46" spans="1:65" x14ac:dyDescent="0.2">
      <c r="A46" s="156" t="s">
        <v>137</v>
      </c>
      <c r="B46" s="156" t="s">
        <v>138</v>
      </c>
      <c r="D46" s="56">
        <f>VLOOKUP(A46,'2016-17'!$A$12:$AMX254,32,FALSE)</f>
        <v>510228</v>
      </c>
      <c r="E46" s="56">
        <v>1658.9231258931038</v>
      </c>
      <c r="F46" s="16">
        <f>VLOOKUP(A46,'2016-17'!$A$12:$AMX254,34,FALSE)</f>
        <v>5.9901184466067958E-2</v>
      </c>
      <c r="G46" s="16">
        <f>VLOOKUP(A46,'2016-17'!$A$12:$AMX254,35,FALSE)</f>
        <v>5.4984333054190371E-2</v>
      </c>
      <c r="H46" s="56"/>
      <c r="I46" s="56">
        <v>522554.22951048811</v>
      </c>
      <c r="J46" s="56">
        <v>1698.9998507886694</v>
      </c>
      <c r="K46" s="16">
        <f t="shared" si="6"/>
        <v>-2.3588421668761406E-2</v>
      </c>
      <c r="L46" s="58">
        <f t="shared" si="6"/>
        <v>-2.3588421668761295E-2</v>
      </c>
      <c r="M46" s="10"/>
      <c r="N46" s="56">
        <v>391056</v>
      </c>
      <c r="O46" s="56">
        <v>35279</v>
      </c>
      <c r="P46" s="56">
        <v>83893</v>
      </c>
      <c r="R46" s="56">
        <f t="shared" si="7"/>
        <v>83893</v>
      </c>
      <c r="S46" s="56">
        <f t="shared" si="8"/>
        <v>0</v>
      </c>
      <c r="U46" s="16">
        <v>-4.6033333808058075E-2</v>
      </c>
      <c r="V46" s="16">
        <v>-9.1379680250893824E-2</v>
      </c>
      <c r="W46" s="56">
        <f t="shared" si="9"/>
        <v>4</v>
      </c>
      <c r="X46" s="56">
        <f t="shared" si="10"/>
        <v>4099.2627295985412</v>
      </c>
      <c r="Y46" s="56">
        <f t="shared" si="10"/>
        <v>388.26998728953646</v>
      </c>
      <c r="AA46" s="56">
        <f t="shared" si="22"/>
        <v>0</v>
      </c>
      <c r="AB46" s="56">
        <v>0</v>
      </c>
      <c r="AC46" s="56">
        <f t="shared" si="11"/>
        <v>0</v>
      </c>
      <c r="AE46" s="56">
        <v>0</v>
      </c>
      <c r="AF46" s="56">
        <f t="shared" si="12"/>
        <v>0</v>
      </c>
      <c r="AG46" s="56">
        <f t="shared" si="13"/>
        <v>0</v>
      </c>
      <c r="AI46" s="56">
        <f t="shared" si="14"/>
        <v>0</v>
      </c>
      <c r="AJ46" s="56">
        <f t="shared" si="15"/>
        <v>0</v>
      </c>
      <c r="AK46" s="56">
        <f t="shared" si="16"/>
        <v>0</v>
      </c>
      <c r="AM46" s="56">
        <f t="shared" si="17"/>
        <v>391056</v>
      </c>
      <c r="AN46" s="56">
        <f t="shared" si="18"/>
        <v>35279</v>
      </c>
      <c r="AO46" s="56">
        <f t="shared" si="19"/>
        <v>83893</v>
      </c>
      <c r="AP46" s="56"/>
      <c r="AQ46" s="56">
        <f t="shared" si="20"/>
        <v>510228</v>
      </c>
      <c r="AS46" s="56">
        <v>1271.4548043605087</v>
      </c>
      <c r="AT46" s="56">
        <v>114.70391463891202</v>
      </c>
      <c r="AU46" s="56">
        <v>272.76440689368314</v>
      </c>
      <c r="AV46" s="56"/>
      <c r="AW46" s="56">
        <v>1658.9231258931038</v>
      </c>
      <c r="AY46" s="16">
        <v>-4.6033333808058075E-2</v>
      </c>
      <c r="AZ46" s="16">
        <v>-9.1379680250893824E-2</v>
      </c>
      <c r="BA46" s="16">
        <v>0.13674676421821363</v>
      </c>
      <c r="BB46" s="16">
        <f t="shared" si="21"/>
        <v>-2.3588421668761406E-2</v>
      </c>
      <c r="BC46" s="16"/>
      <c r="BE46" s="16">
        <v>5.9220059142928605E-2</v>
      </c>
      <c r="BF46" s="16">
        <v>3.5668154062940438E-2</v>
      </c>
      <c r="BG46" s="16">
        <v>7.3684142054738277E-2</v>
      </c>
      <c r="BH46" s="16">
        <f>AQ46/(VLOOKUP($A46,'2016-17'!$A$12:$D$220,4,FALSE))-1</f>
        <v>5.9901184466067958E-2</v>
      </c>
      <c r="BJ46" s="16">
        <v>5.4306367452028548E-2</v>
      </c>
      <c r="BK46" s="16">
        <v>3.0863718989017519E-2</v>
      </c>
      <c r="BL46" s="16">
        <v>6.8703351895104792E-2</v>
      </c>
      <c r="BM46" s="16">
        <v>5.4984333054190371E-2</v>
      </c>
    </row>
    <row r="47" spans="1:65" x14ac:dyDescent="0.2">
      <c r="A47" s="156" t="s">
        <v>139</v>
      </c>
      <c r="B47" s="156" t="s">
        <v>140</v>
      </c>
      <c r="D47" s="56">
        <f>VLOOKUP(A47,'2016-17'!$A$12:$AMX255,32,FALSE)</f>
        <v>434102</v>
      </c>
      <c r="E47" s="56">
        <v>1770.1594157640327</v>
      </c>
      <c r="F47" s="16">
        <f>VLOOKUP(A47,'2016-17'!$A$12:$AMX255,34,FALSE)</f>
        <v>3.739850287006008E-2</v>
      </c>
      <c r="G47" s="16">
        <f>VLOOKUP(A47,'2016-17'!$A$12:$AMX255,35,FALSE)</f>
        <v>3.145381391247537E-2</v>
      </c>
      <c r="H47" s="56"/>
      <c r="I47" s="56">
        <v>433931.31419171515</v>
      </c>
      <c r="J47" s="56">
        <v>1769.4634017150934</v>
      </c>
      <c r="K47" s="16">
        <f t="shared" si="6"/>
        <v>3.9334752460251643E-4</v>
      </c>
      <c r="L47" s="58">
        <f t="shared" si="6"/>
        <v>3.9334752460251643E-4</v>
      </c>
      <c r="M47" s="10"/>
      <c r="N47" s="56">
        <v>336879</v>
      </c>
      <c r="O47" s="56">
        <v>30922</v>
      </c>
      <c r="P47" s="56">
        <v>66301</v>
      </c>
      <c r="R47" s="56">
        <f t="shared" si="7"/>
        <v>66301</v>
      </c>
      <c r="S47" s="56">
        <f t="shared" si="8"/>
        <v>0</v>
      </c>
      <c r="U47" s="16">
        <v>-7.6341055807681579E-3</v>
      </c>
      <c r="V47" s="16">
        <v>-5.4159654796916867E-2</v>
      </c>
      <c r="W47" s="56">
        <f t="shared" si="9"/>
        <v>4</v>
      </c>
      <c r="X47" s="56">
        <f t="shared" si="10"/>
        <v>3394.7055405118863</v>
      </c>
      <c r="Y47" s="56">
        <f t="shared" si="10"/>
        <v>326.92621071646801</v>
      </c>
      <c r="AA47" s="56">
        <f t="shared" si="22"/>
        <v>0</v>
      </c>
      <c r="AB47" s="56">
        <v>0</v>
      </c>
      <c r="AC47" s="56">
        <f t="shared" si="11"/>
        <v>0</v>
      </c>
      <c r="AE47" s="56">
        <v>0</v>
      </c>
      <c r="AF47" s="56">
        <f t="shared" si="12"/>
        <v>0</v>
      </c>
      <c r="AG47" s="56">
        <f t="shared" si="13"/>
        <v>0</v>
      </c>
      <c r="AI47" s="56">
        <f t="shared" si="14"/>
        <v>0</v>
      </c>
      <c r="AJ47" s="56">
        <f t="shared" si="15"/>
        <v>0</v>
      </c>
      <c r="AK47" s="56">
        <f t="shared" si="16"/>
        <v>0</v>
      </c>
      <c r="AM47" s="56">
        <f t="shared" si="17"/>
        <v>336879</v>
      </c>
      <c r="AN47" s="56">
        <f t="shared" si="18"/>
        <v>30922</v>
      </c>
      <c r="AO47" s="56">
        <f t="shared" si="19"/>
        <v>66301</v>
      </c>
      <c r="AP47" s="56"/>
      <c r="AQ47" s="56">
        <f t="shared" si="20"/>
        <v>434102</v>
      </c>
      <c r="AS47" s="56">
        <v>1373.7083308143515</v>
      </c>
      <c r="AT47" s="56">
        <v>126.092184450326</v>
      </c>
      <c r="AU47" s="56">
        <v>270.35890049935529</v>
      </c>
      <c r="AV47" s="56"/>
      <c r="AW47" s="56">
        <v>1770.1594157640327</v>
      </c>
      <c r="AY47" s="16">
        <v>-7.6341055807681579E-3</v>
      </c>
      <c r="AZ47" s="16">
        <v>-5.4159654796916867E-2</v>
      </c>
      <c r="BA47" s="16">
        <v>7.338509787490155E-2</v>
      </c>
      <c r="BB47" s="16">
        <f t="shared" si="21"/>
        <v>3.9334752460251643E-4</v>
      </c>
      <c r="BC47" s="16"/>
      <c r="BE47" s="16">
        <v>3.0487106037782041E-2</v>
      </c>
      <c r="BF47" s="16">
        <v>3.5670027129316439E-2</v>
      </c>
      <c r="BG47" s="16">
        <v>7.4864644462064422E-2</v>
      </c>
      <c r="BH47" s="16">
        <f>AQ47/(VLOOKUP($A47,'2016-17'!$A$12:$D$220,4,FALSE))-1</f>
        <v>3.739850287006008E-2</v>
      </c>
      <c r="BJ47" s="16">
        <v>2.4582022019202787E-2</v>
      </c>
      <c r="BK47" s="16">
        <v>2.9735242996754119E-2</v>
      </c>
      <c r="BL47" s="16">
        <v>6.8705260228181242E-2</v>
      </c>
      <c r="BM47" s="16">
        <v>3.145381391247537E-2</v>
      </c>
    </row>
    <row r="48" spans="1:65" x14ac:dyDescent="0.2">
      <c r="A48" s="156" t="s">
        <v>141</v>
      </c>
      <c r="B48" s="156" t="s">
        <v>142</v>
      </c>
      <c r="D48" s="56">
        <f>VLOOKUP(A48,'2016-17'!$A$12:$AMX256,32,FALSE)</f>
        <v>389660</v>
      </c>
      <c r="E48" s="56">
        <v>1619.4415663281886</v>
      </c>
      <c r="F48" s="16">
        <f>VLOOKUP(A48,'2016-17'!$A$12:$AMX256,34,FALSE)</f>
        <v>3.8419738234593437E-2</v>
      </c>
      <c r="G48" s="16">
        <f>VLOOKUP(A48,'2016-17'!$A$12:$AMX256,35,FALSE)</f>
        <v>3.1127020274656081E-2</v>
      </c>
      <c r="H48" s="56"/>
      <c r="I48" s="56">
        <v>383225.99495285231</v>
      </c>
      <c r="J48" s="56">
        <v>1592.7016001748334</v>
      </c>
      <c r="K48" s="16">
        <f t="shared" si="6"/>
        <v>1.6789062151014278E-2</v>
      </c>
      <c r="L48" s="58">
        <f t="shared" si="6"/>
        <v>1.6789062151014278E-2</v>
      </c>
      <c r="M48" s="10"/>
      <c r="N48" s="56">
        <v>293510</v>
      </c>
      <c r="O48" s="56">
        <v>29646</v>
      </c>
      <c r="P48" s="56">
        <v>66504</v>
      </c>
      <c r="R48" s="56">
        <f t="shared" si="7"/>
        <v>66504</v>
      </c>
      <c r="S48" s="56">
        <f t="shared" si="8"/>
        <v>0</v>
      </c>
      <c r="U48" s="16">
        <v>-8.5497523783961693E-4</v>
      </c>
      <c r="V48" s="16">
        <v>1.3303527275636107E-2</v>
      </c>
      <c r="W48" s="56">
        <f t="shared" si="9"/>
        <v>1</v>
      </c>
      <c r="X48" s="56">
        <f t="shared" si="10"/>
        <v>2937.611585163706</v>
      </c>
      <c r="Y48" s="56">
        <f t="shared" si="10"/>
        <v>292.56781607882209</v>
      </c>
      <c r="AA48" s="56">
        <f t="shared" si="22"/>
        <v>0</v>
      </c>
      <c r="AB48" s="56">
        <v>0</v>
      </c>
      <c r="AC48" s="56">
        <f t="shared" si="11"/>
        <v>0</v>
      </c>
      <c r="AE48" s="56">
        <v>0</v>
      </c>
      <c r="AF48" s="56">
        <f t="shared" si="12"/>
        <v>0</v>
      </c>
      <c r="AG48" s="56">
        <f t="shared" si="13"/>
        <v>0</v>
      </c>
      <c r="AI48" s="56">
        <f t="shared" si="14"/>
        <v>0</v>
      </c>
      <c r="AJ48" s="56">
        <f t="shared" si="15"/>
        <v>0</v>
      </c>
      <c r="AK48" s="56">
        <f t="shared" si="16"/>
        <v>0</v>
      </c>
      <c r="AM48" s="56">
        <f t="shared" si="17"/>
        <v>293510</v>
      </c>
      <c r="AN48" s="56">
        <f t="shared" si="18"/>
        <v>29646</v>
      </c>
      <c r="AO48" s="56">
        <f t="shared" si="19"/>
        <v>66504</v>
      </c>
      <c r="AP48" s="56"/>
      <c r="AQ48" s="56">
        <f t="shared" si="20"/>
        <v>389660</v>
      </c>
      <c r="AS48" s="56">
        <v>1219.8385621644168</v>
      </c>
      <c r="AT48" s="56">
        <v>123.20988727445845</v>
      </c>
      <c r="AU48" s="56">
        <v>276.39311688931338</v>
      </c>
      <c r="AV48" s="56"/>
      <c r="AW48" s="56">
        <v>1619.4415663281886</v>
      </c>
      <c r="AY48" s="16">
        <v>-8.5497523783961693E-4</v>
      </c>
      <c r="AZ48" s="16">
        <v>1.3303527275636107E-2</v>
      </c>
      <c r="BA48" s="16">
        <v>0.10456981527345155</v>
      </c>
      <c r="BB48" s="16">
        <f t="shared" si="21"/>
        <v>1.6789062151014278E-2</v>
      </c>
      <c r="BC48" s="16"/>
      <c r="BE48" s="16">
        <v>3.0487053029619959E-2</v>
      </c>
      <c r="BF48" s="16">
        <v>3.5668122270742453E-2</v>
      </c>
      <c r="BG48" s="16">
        <v>7.62597890622978E-2</v>
      </c>
      <c r="BH48" s="16">
        <f>AQ48/(VLOOKUP($A48,'2016-17'!$A$12:$D$220,4,FALSE))-1</f>
        <v>3.8419738234593437E-2</v>
      </c>
      <c r="BJ48" s="16">
        <v>2.3250045524457974E-2</v>
      </c>
      <c r="BK48" s="16">
        <v>2.8394728634505206E-2</v>
      </c>
      <c r="BL48" s="16">
        <v>6.8701324210120873E-2</v>
      </c>
      <c r="BM48" s="16">
        <v>3.1127020274656081E-2</v>
      </c>
    </row>
    <row r="49" spans="1:66" x14ac:dyDescent="0.2">
      <c r="A49" s="156" t="s">
        <v>143</v>
      </c>
      <c r="B49" s="156" t="s">
        <v>144</v>
      </c>
      <c r="D49" s="56">
        <f>VLOOKUP(A49,'2016-17'!$A$12:$AMX257,32,FALSE)</f>
        <v>163995.25931928476</v>
      </c>
      <c r="E49" s="56">
        <v>1578.1085229696346</v>
      </c>
      <c r="F49" s="16">
        <f>VLOOKUP(A49,'2016-17'!$A$12:$AMX257,34,FALSE)</f>
        <v>3.7203467329560036E-2</v>
      </c>
      <c r="G49" s="16">
        <f>VLOOKUP(A49,'2016-17'!$A$12:$AMX257,35,FALSE)</f>
        <v>3.5378230041646308E-2</v>
      </c>
      <c r="H49" s="56"/>
      <c r="I49" s="56">
        <v>167230.24094738523</v>
      </c>
      <c r="J49" s="56">
        <v>1609.2383989193791</v>
      </c>
      <c r="K49" s="16">
        <f t="shared" si="6"/>
        <v>-1.9344477468750898E-2</v>
      </c>
      <c r="L49" s="58">
        <f t="shared" si="6"/>
        <v>-1.9344477468750787E-2</v>
      </c>
      <c r="M49" s="10"/>
      <c r="N49" s="56">
        <v>127794</v>
      </c>
      <c r="O49" s="56">
        <v>12495</v>
      </c>
      <c r="P49" s="56">
        <v>23590</v>
      </c>
      <c r="R49" s="56">
        <f t="shared" si="7"/>
        <v>23590</v>
      </c>
      <c r="S49" s="56">
        <f t="shared" si="8"/>
        <v>116.2593192847562</v>
      </c>
      <c r="U49" s="16">
        <v>-3.7319375214250994E-2</v>
      </c>
      <c r="V49" s="16">
        <v>-4.4056805819763234E-3</v>
      </c>
      <c r="W49" s="56">
        <f t="shared" si="9"/>
        <v>4</v>
      </c>
      <c r="X49" s="56">
        <f t="shared" si="10"/>
        <v>1327.4807522841897</v>
      </c>
      <c r="Y49" s="56">
        <f t="shared" si="10"/>
        <v>125.50292580319234</v>
      </c>
      <c r="AA49" s="56">
        <f t="shared" si="22"/>
        <v>0</v>
      </c>
      <c r="AB49" s="56">
        <v>0</v>
      </c>
      <c r="AC49" s="56">
        <f t="shared" si="11"/>
        <v>116.2593192847562</v>
      </c>
      <c r="AE49" s="56">
        <v>0</v>
      </c>
      <c r="AF49" s="56">
        <f t="shared" si="12"/>
        <v>0</v>
      </c>
      <c r="AG49" s="56">
        <f t="shared" si="13"/>
        <v>116.2593192847562</v>
      </c>
      <c r="AI49" s="56">
        <f t="shared" si="14"/>
        <v>106.21730371213054</v>
      </c>
      <c r="AJ49" s="56">
        <f t="shared" si="15"/>
        <v>10.042015572625665</v>
      </c>
      <c r="AK49" s="56">
        <f t="shared" si="16"/>
        <v>0</v>
      </c>
      <c r="AM49" s="56">
        <f t="shared" si="17"/>
        <v>127900</v>
      </c>
      <c r="AN49" s="56">
        <f t="shared" si="18"/>
        <v>12505</v>
      </c>
      <c r="AO49" s="56">
        <f t="shared" si="19"/>
        <v>23590</v>
      </c>
      <c r="AP49" s="56"/>
      <c r="AQ49" s="56">
        <f t="shared" si="20"/>
        <v>163995</v>
      </c>
      <c r="AS49" s="56">
        <v>1230.7677729564784</v>
      </c>
      <c r="AT49" s="56">
        <v>120.33425332932573</v>
      </c>
      <c r="AU49" s="56">
        <v>227.00400128259051</v>
      </c>
      <c r="AV49" s="56"/>
      <c r="AW49" s="56">
        <v>1578.1060275683947</v>
      </c>
      <c r="AY49" s="16">
        <v>-3.6520870227887858E-2</v>
      </c>
      <c r="AZ49" s="16">
        <v>-3.6088864087726602E-3</v>
      </c>
      <c r="BA49" s="16">
        <v>7.5603522365407017E-2</v>
      </c>
      <c r="BB49" s="16">
        <f t="shared" si="21"/>
        <v>-1.9346028140945659E-2</v>
      </c>
      <c r="BC49" s="16"/>
      <c r="BE49" s="16">
        <v>3.134253917085128E-2</v>
      </c>
      <c r="BF49" s="16">
        <v>3.6469125569830174E-2</v>
      </c>
      <c r="BG49" s="16">
        <v>7.0579426127786116E-2</v>
      </c>
      <c r="BH49" s="16">
        <f>AQ49/(VLOOKUP($A49,'2016-17'!$A$12:$D$220,4,FALSE))-1</f>
        <v>3.7201827240313401E-2</v>
      </c>
      <c r="BJ49" s="16">
        <v>2.9527615755725378E-2</v>
      </c>
      <c r="BK49" s="16">
        <v>3.464518055291621E-2</v>
      </c>
      <c r="BL49" s="16">
        <v>6.8695454901510855E-2</v>
      </c>
      <c r="BM49" s="16">
        <v>3.537659283857586E-2</v>
      </c>
    </row>
    <row r="50" spans="1:66" x14ac:dyDescent="0.2">
      <c r="A50" s="156" t="s">
        <v>145</v>
      </c>
      <c r="B50" s="156" t="s">
        <v>146</v>
      </c>
      <c r="D50" s="56">
        <f>VLOOKUP(A50,'2016-17'!$A$12:$AMX258,32,FALSE)</f>
        <v>344126.22420934122</v>
      </c>
      <c r="E50" s="56">
        <v>1592.4356345917506</v>
      </c>
      <c r="F50" s="16">
        <f>VLOOKUP(A50,'2016-17'!$A$12:$AMX258,34,FALSE)</f>
        <v>3.9926689453415154E-2</v>
      </c>
      <c r="G50" s="16">
        <f>VLOOKUP(A50,'2016-17'!$A$12:$AMX258,35,FALSE)</f>
        <v>3.2036765914122078E-2</v>
      </c>
      <c r="H50" s="56"/>
      <c r="I50" s="56">
        <v>350339.37240824214</v>
      </c>
      <c r="J50" s="56">
        <v>1621.186824994812</v>
      </c>
      <c r="K50" s="16">
        <f t="shared" si="6"/>
        <v>-1.7734655845820457E-2</v>
      </c>
      <c r="L50" s="58">
        <f t="shared" si="6"/>
        <v>-1.7734655845820457E-2</v>
      </c>
      <c r="M50" s="10"/>
      <c r="N50" s="56">
        <v>267018</v>
      </c>
      <c r="O50" s="56">
        <v>25923</v>
      </c>
      <c r="P50" s="56">
        <v>50359</v>
      </c>
      <c r="R50" s="56">
        <f t="shared" si="7"/>
        <v>50359</v>
      </c>
      <c r="S50" s="56">
        <f t="shared" si="8"/>
        <v>826.22420934122056</v>
      </c>
      <c r="U50" s="16">
        <v>-2.1487631200606261E-2</v>
      </c>
      <c r="V50" s="16">
        <v>-1.5399166691932309E-2</v>
      </c>
      <c r="W50" s="56">
        <f t="shared" si="9"/>
        <v>4</v>
      </c>
      <c r="X50" s="56">
        <f t="shared" si="10"/>
        <v>2728.8157872508377</v>
      </c>
      <c r="Y50" s="56">
        <f t="shared" si="10"/>
        <v>263.28435974306211</v>
      </c>
      <c r="AA50" s="56">
        <f t="shared" si="22"/>
        <v>0</v>
      </c>
      <c r="AB50" s="56">
        <v>0</v>
      </c>
      <c r="AC50" s="56">
        <f t="shared" si="11"/>
        <v>826.22420934122056</v>
      </c>
      <c r="AE50" s="56">
        <v>0</v>
      </c>
      <c r="AF50" s="56">
        <f t="shared" si="12"/>
        <v>0</v>
      </c>
      <c r="AG50" s="56">
        <f t="shared" si="13"/>
        <v>826.22420934122056</v>
      </c>
      <c r="AI50" s="56">
        <f t="shared" si="14"/>
        <v>753.52212676581917</v>
      </c>
      <c r="AJ50" s="56">
        <f t="shared" si="15"/>
        <v>72.702082575401349</v>
      </c>
      <c r="AK50" s="56">
        <f t="shared" si="16"/>
        <v>0</v>
      </c>
      <c r="AM50" s="56">
        <f t="shared" si="17"/>
        <v>267772</v>
      </c>
      <c r="AN50" s="56">
        <f t="shared" si="18"/>
        <v>25996</v>
      </c>
      <c r="AO50" s="56">
        <f t="shared" si="19"/>
        <v>50359</v>
      </c>
      <c r="AP50" s="56"/>
      <c r="AQ50" s="56">
        <f t="shared" si="20"/>
        <v>344127</v>
      </c>
      <c r="AS50" s="56">
        <v>1239.1083409165171</v>
      </c>
      <c r="AT50" s="56">
        <v>120.29585031469229</v>
      </c>
      <c r="AU50" s="56">
        <v>233.03503331272461</v>
      </c>
      <c r="AV50" s="56"/>
      <c r="AW50" s="56">
        <v>1592.4392245439342</v>
      </c>
      <c r="AY50" s="16">
        <v>-1.872452786646861E-2</v>
      </c>
      <c r="AZ50" s="16">
        <v>-1.2626499144523073E-2</v>
      </c>
      <c r="BA50" s="16">
        <v>-1.5066837202196592E-2</v>
      </c>
      <c r="BB50" s="16">
        <f t="shared" si="21"/>
        <v>-1.7732441448239489E-2</v>
      </c>
      <c r="BC50" s="16"/>
      <c r="BE50" s="16">
        <v>3.3396064872459608E-2</v>
      </c>
      <c r="BF50" s="16">
        <v>3.8552195277855361E-2</v>
      </c>
      <c r="BG50" s="16">
        <v>7.6864698024623701E-2</v>
      </c>
      <c r="BH50" s="16">
        <f>AQ50/(VLOOKUP($A50,'2016-17'!$A$12:$D$220,4,FALSE))-1</f>
        <v>3.9929033841475947E-2</v>
      </c>
      <c r="BJ50" s="16">
        <v>2.5555689180269514E-2</v>
      </c>
      <c r="BK50" s="16">
        <v>3.0672700025537347E-2</v>
      </c>
      <c r="BL50" s="16">
        <v>6.8694525823308483E-2</v>
      </c>
      <c r="BM50" s="16">
        <v>3.203909251531134E-2</v>
      </c>
    </row>
    <row r="51" spans="1:66" x14ac:dyDescent="0.2">
      <c r="A51" s="156" t="s">
        <v>147</v>
      </c>
      <c r="B51" s="156" t="s">
        <v>148</v>
      </c>
      <c r="D51" s="56">
        <f>VLOOKUP(A51,'2016-17'!$A$12:$AMX259,32,FALSE)</f>
        <v>422294</v>
      </c>
      <c r="E51" s="56">
        <v>1623.5823645649866</v>
      </c>
      <c r="F51" s="16">
        <f>VLOOKUP(A51,'2016-17'!$A$12:$AMX259,34,FALSE)</f>
        <v>3.6623850406566794E-2</v>
      </c>
      <c r="G51" s="16">
        <f>VLOOKUP(A51,'2016-17'!$A$12:$AMX259,35,FALSE)</f>
        <v>3.3634183394813277E-2</v>
      </c>
      <c r="H51" s="56"/>
      <c r="I51" s="56">
        <v>425916.32905966818</v>
      </c>
      <c r="J51" s="56">
        <v>1637.5090355097041</v>
      </c>
      <c r="K51" s="16">
        <f t="shared" si="6"/>
        <v>-8.5047902898334193E-3</v>
      </c>
      <c r="L51" s="58">
        <f t="shared" si="6"/>
        <v>-8.5047902898334193E-3</v>
      </c>
      <c r="M51" s="10"/>
      <c r="N51" s="56">
        <v>327677</v>
      </c>
      <c r="O51" s="56">
        <v>34166</v>
      </c>
      <c r="P51" s="56">
        <v>60451</v>
      </c>
      <c r="R51" s="56">
        <f t="shared" si="7"/>
        <v>60451</v>
      </c>
      <c r="S51" s="56">
        <f t="shared" si="8"/>
        <v>0</v>
      </c>
      <c r="U51" s="16">
        <v>-2.6995527129654029E-2</v>
      </c>
      <c r="V51" s="16">
        <v>4.6653866108102182E-2</v>
      </c>
      <c r="W51" s="56">
        <f t="shared" si="9"/>
        <v>1</v>
      </c>
      <c r="X51" s="56">
        <f t="shared" si="10"/>
        <v>3367.6823605276822</v>
      </c>
      <c r="Y51" s="56">
        <f t="shared" si="10"/>
        <v>326.43074378584691</v>
      </c>
      <c r="AA51" s="56">
        <f t="shared" si="22"/>
        <v>0</v>
      </c>
      <c r="AB51" s="56">
        <v>0</v>
      </c>
      <c r="AC51" s="56">
        <f t="shared" si="11"/>
        <v>0</v>
      </c>
      <c r="AE51" s="56">
        <v>0</v>
      </c>
      <c r="AF51" s="56">
        <f t="shared" si="12"/>
        <v>0</v>
      </c>
      <c r="AG51" s="56">
        <f t="shared" si="13"/>
        <v>0</v>
      </c>
      <c r="AI51" s="56">
        <f t="shared" si="14"/>
        <v>0</v>
      </c>
      <c r="AJ51" s="56">
        <f t="shared" si="15"/>
        <v>0</v>
      </c>
      <c r="AK51" s="56">
        <f t="shared" si="16"/>
        <v>0</v>
      </c>
      <c r="AM51" s="56">
        <f t="shared" si="17"/>
        <v>327677</v>
      </c>
      <c r="AN51" s="56">
        <f t="shared" si="18"/>
        <v>34166</v>
      </c>
      <c r="AO51" s="56">
        <f t="shared" si="19"/>
        <v>60451</v>
      </c>
      <c r="AP51" s="56"/>
      <c r="AQ51" s="56">
        <f t="shared" si="20"/>
        <v>422294</v>
      </c>
      <c r="AS51" s="56">
        <v>1259.8109337891638</v>
      </c>
      <c r="AT51" s="56">
        <v>131.35709971661291</v>
      </c>
      <c r="AU51" s="56">
        <v>232.41433105920996</v>
      </c>
      <c r="AV51" s="56"/>
      <c r="AW51" s="56">
        <v>1623.5823645649866</v>
      </c>
      <c r="AY51" s="16">
        <v>-2.6995527129654029E-2</v>
      </c>
      <c r="AZ51" s="16">
        <v>4.6653866108102182E-2</v>
      </c>
      <c r="BA51" s="16">
        <v>6.9834175219745553E-2</v>
      </c>
      <c r="BB51" s="16">
        <f t="shared" si="21"/>
        <v>-8.5047902898334193E-3</v>
      </c>
      <c r="BC51" s="16"/>
      <c r="BE51" s="16">
        <v>3.0487076738358931E-2</v>
      </c>
      <c r="BF51" s="16">
        <v>3.5647165807820569E-2</v>
      </c>
      <c r="BG51" s="16">
        <v>7.1793123821506155E-2</v>
      </c>
      <c r="BH51" s="16">
        <f>AQ51/(VLOOKUP($A51,'2016-17'!$A$12:$D$220,4,FALSE))-1</f>
        <v>3.6623850406566794E-2</v>
      </c>
      <c r="BJ51" s="16">
        <v>2.751510844131988E-2</v>
      </c>
      <c r="BK51" s="16">
        <v>3.2660315595743006E-2</v>
      </c>
      <c r="BL51" s="16">
        <v>6.8702027138310529E-2</v>
      </c>
      <c r="BM51" s="16">
        <v>3.3634183394813277E-2</v>
      </c>
    </row>
    <row r="52" spans="1:66" x14ac:dyDescent="0.2">
      <c r="A52" s="156" t="s">
        <v>149</v>
      </c>
      <c r="B52" s="156" t="s">
        <v>150</v>
      </c>
      <c r="D52" s="56">
        <f>VLOOKUP(A52,'2016-17'!$A$12:$AMX260,32,FALSE)</f>
        <v>185383</v>
      </c>
      <c r="E52" s="56">
        <v>1655.4075454194149</v>
      </c>
      <c r="F52" s="16">
        <f>VLOOKUP(A52,'2016-17'!$A$12:$AMX260,34,FALSE)</f>
        <v>3.6149216964453279E-2</v>
      </c>
      <c r="G52" s="16">
        <f>VLOOKUP(A52,'2016-17'!$A$12:$AMX260,35,FALSE)</f>
        <v>3.5332034523120726E-2</v>
      </c>
      <c r="H52" s="56"/>
      <c r="I52" s="56">
        <v>184596.46948655875</v>
      </c>
      <c r="J52" s="56">
        <v>1648.3840937185944</v>
      </c>
      <c r="K52" s="16">
        <f t="shared" si="6"/>
        <v>4.2608101640779772E-3</v>
      </c>
      <c r="L52" s="58">
        <f t="shared" si="6"/>
        <v>4.2608101640779772E-3</v>
      </c>
      <c r="M52" s="10"/>
      <c r="N52" s="56">
        <v>146593</v>
      </c>
      <c r="O52" s="56">
        <v>12784</v>
      </c>
      <c r="P52" s="56">
        <v>26006</v>
      </c>
      <c r="R52" s="56">
        <f t="shared" si="7"/>
        <v>26006</v>
      </c>
      <c r="S52" s="56">
        <f t="shared" si="8"/>
        <v>0</v>
      </c>
      <c r="U52" s="16">
        <v>1.5213216712622435E-2</v>
      </c>
      <c r="V52" s="16">
        <v>-8.8364430033514463E-2</v>
      </c>
      <c r="W52" s="56">
        <f t="shared" si="9"/>
        <v>3</v>
      </c>
      <c r="X52" s="56">
        <f t="shared" si="10"/>
        <v>1443.9626827818993</v>
      </c>
      <c r="Y52" s="56">
        <f t="shared" si="10"/>
        <v>140.23147429920903</v>
      </c>
      <c r="AA52" s="56">
        <f t="shared" si="22"/>
        <v>0</v>
      </c>
      <c r="AB52" s="56">
        <v>0</v>
      </c>
      <c r="AC52" s="56">
        <f t="shared" si="11"/>
        <v>0</v>
      </c>
      <c r="AE52" s="56">
        <v>0</v>
      </c>
      <c r="AF52" s="56">
        <f t="shared" si="12"/>
        <v>0</v>
      </c>
      <c r="AG52" s="56">
        <f t="shared" si="13"/>
        <v>0</v>
      </c>
      <c r="AI52" s="56">
        <f t="shared" si="14"/>
        <v>0</v>
      </c>
      <c r="AJ52" s="56">
        <f t="shared" si="15"/>
        <v>0</v>
      </c>
      <c r="AK52" s="56">
        <f t="shared" si="16"/>
        <v>0</v>
      </c>
      <c r="AM52" s="56">
        <f t="shared" si="17"/>
        <v>146593</v>
      </c>
      <c r="AN52" s="56">
        <f t="shared" si="18"/>
        <v>12784</v>
      </c>
      <c r="AO52" s="56">
        <f t="shared" si="19"/>
        <v>26006</v>
      </c>
      <c r="AP52" s="56"/>
      <c r="AQ52" s="56">
        <f t="shared" si="20"/>
        <v>185383</v>
      </c>
      <c r="AS52" s="56">
        <v>1309.0259533272647</v>
      </c>
      <c r="AT52" s="56">
        <v>114.15680003366975</v>
      </c>
      <c r="AU52" s="56">
        <v>232.22479205848057</v>
      </c>
      <c r="AV52" s="56"/>
      <c r="AW52" s="56">
        <v>1655.4075454194149</v>
      </c>
      <c r="AY52" s="16">
        <v>1.5213216712622435E-2</v>
      </c>
      <c r="AZ52" s="16">
        <v>-8.8364430033514463E-2</v>
      </c>
      <c r="BA52" s="16">
        <v>-6.534493144095932E-3</v>
      </c>
      <c r="BB52" s="16">
        <f t="shared" si="21"/>
        <v>4.2608101640779772E-3</v>
      </c>
      <c r="BC52" s="16"/>
      <c r="BE52" s="16">
        <v>3.0486048546820577E-2</v>
      </c>
      <c r="BF52" s="16">
        <v>3.5644847699286997E-2</v>
      </c>
      <c r="BG52" s="16">
        <v>6.9537685968703355E-2</v>
      </c>
      <c r="BH52" s="16">
        <f>AQ52/(VLOOKUP($A52,'2016-17'!$A$12:$D$220,4,FALSE))-1</f>
        <v>3.6149216964453279E-2</v>
      </c>
      <c r="BJ52" s="16">
        <v>2.9673332490944615E-2</v>
      </c>
      <c r="BK52" s="16">
        <v>3.4828063040147406E-2</v>
      </c>
      <c r="BL52" s="16">
        <v>6.869417095850272E-2</v>
      </c>
      <c r="BM52" s="16">
        <v>3.5332034523120726E-2</v>
      </c>
    </row>
    <row r="53" spans="1:66" x14ac:dyDescent="0.2">
      <c r="A53" s="156" t="s">
        <v>151</v>
      </c>
      <c r="B53" s="156" t="s">
        <v>152</v>
      </c>
      <c r="D53" s="56">
        <f>VLOOKUP(A53,'2016-17'!$A$12:$AMX261,32,FALSE)</f>
        <v>574883</v>
      </c>
      <c r="E53" s="56">
        <v>1767.2272701297388</v>
      </c>
      <c r="F53" s="16">
        <f>VLOOKUP(A53,'2016-17'!$A$12:$AMX261,34,FALSE)</f>
        <v>3.6941924642573287E-2</v>
      </c>
      <c r="G53" s="16">
        <f>VLOOKUP(A53,'2016-17'!$A$12:$AMX261,35,FALSE)</f>
        <v>3.1228914840575994E-2</v>
      </c>
      <c r="H53" s="56"/>
      <c r="I53" s="56">
        <v>572165.53142869601</v>
      </c>
      <c r="J53" s="56">
        <v>1758.8735971824974</v>
      </c>
      <c r="K53" s="16">
        <f t="shared" si="6"/>
        <v>4.749444735894004E-3</v>
      </c>
      <c r="L53" s="58">
        <f t="shared" si="6"/>
        <v>4.749444735894004E-3</v>
      </c>
      <c r="M53" s="10"/>
      <c r="N53" s="56">
        <v>443480</v>
      </c>
      <c r="O53" s="56">
        <v>45440</v>
      </c>
      <c r="P53" s="56">
        <v>85963</v>
      </c>
      <c r="R53" s="56">
        <f t="shared" si="7"/>
        <v>85963</v>
      </c>
      <c r="S53" s="56">
        <f t="shared" si="8"/>
        <v>0</v>
      </c>
      <c r="U53" s="16">
        <v>-4.6164886283216466E-3</v>
      </c>
      <c r="V53" s="16">
        <v>7.4488959152432033E-2</v>
      </c>
      <c r="W53" s="56">
        <f t="shared" si="9"/>
        <v>1</v>
      </c>
      <c r="X53" s="56">
        <f t="shared" si="10"/>
        <v>4455.3681564291419</v>
      </c>
      <c r="Y53" s="56">
        <f t="shared" si="10"/>
        <v>422.89871490018419</v>
      </c>
      <c r="AA53" s="56">
        <f t="shared" si="22"/>
        <v>0</v>
      </c>
      <c r="AB53" s="56">
        <v>0</v>
      </c>
      <c r="AC53" s="56">
        <f t="shared" si="11"/>
        <v>0</v>
      </c>
      <c r="AE53" s="56">
        <v>0</v>
      </c>
      <c r="AF53" s="56">
        <f t="shared" si="12"/>
        <v>0</v>
      </c>
      <c r="AG53" s="56">
        <f t="shared" si="13"/>
        <v>0</v>
      </c>
      <c r="AI53" s="56">
        <f t="shared" si="14"/>
        <v>0</v>
      </c>
      <c r="AJ53" s="56">
        <f t="shared" si="15"/>
        <v>0</v>
      </c>
      <c r="AK53" s="56">
        <f t="shared" si="16"/>
        <v>0</v>
      </c>
      <c r="AM53" s="56">
        <f t="shared" si="17"/>
        <v>443480</v>
      </c>
      <c r="AN53" s="56">
        <f t="shared" si="18"/>
        <v>45440</v>
      </c>
      <c r="AO53" s="56">
        <f t="shared" si="19"/>
        <v>85963</v>
      </c>
      <c r="AP53" s="56"/>
      <c r="AQ53" s="56">
        <f t="shared" si="20"/>
        <v>574883</v>
      </c>
      <c r="AS53" s="56">
        <v>1363.2860073391221</v>
      </c>
      <c r="AT53" s="56">
        <v>139.68547887952039</v>
      </c>
      <c r="AU53" s="56">
        <v>264.25578391109622</v>
      </c>
      <c r="AV53" s="56"/>
      <c r="AW53" s="56">
        <v>1767.2272701297388</v>
      </c>
      <c r="AY53" s="16">
        <v>-4.6164886283216466E-3</v>
      </c>
      <c r="AZ53" s="16">
        <v>7.4488959152432033E-2</v>
      </c>
      <c r="BA53" s="16">
        <v>1.92575048638437E-2</v>
      </c>
      <c r="BB53" s="16">
        <f t="shared" si="21"/>
        <v>4.749444735894004E-3</v>
      </c>
      <c r="BC53" s="16"/>
      <c r="BE53" s="16">
        <v>3.0486851733194875E-2</v>
      </c>
      <c r="BF53" s="16">
        <v>3.1578469431769118E-2</v>
      </c>
      <c r="BG53" s="16">
        <v>7.462315305599021E-2</v>
      </c>
      <c r="BH53" s="16">
        <f>AQ53/(VLOOKUP($A53,'2016-17'!$A$12:$D$220,4,FALSE))-1</f>
        <v>3.6941924642573287E-2</v>
      </c>
      <c r="BJ53" s="16">
        <v>2.4809406020108948E-2</v>
      </c>
      <c r="BK53" s="16">
        <v>2.5895009473850372E-2</v>
      </c>
      <c r="BL53" s="16">
        <v>6.8702539315757427E-2</v>
      </c>
      <c r="BM53" s="16">
        <v>3.1228914840575994E-2</v>
      </c>
    </row>
    <row r="54" spans="1:66" x14ac:dyDescent="0.2">
      <c r="A54" s="156" t="s">
        <v>153</v>
      </c>
      <c r="B54" s="156" t="s">
        <v>154</v>
      </c>
      <c r="D54" s="56">
        <f>VLOOKUP(A54,'2016-17'!$A$12:$AMX262,32,FALSE)</f>
        <v>618707</v>
      </c>
      <c r="E54" s="56">
        <v>1846.4413918802809</v>
      </c>
      <c r="F54" s="16">
        <f>VLOOKUP(A54,'2016-17'!$A$12:$AMX262,34,FALSE)</f>
        <v>3.6297677628714498E-2</v>
      </c>
      <c r="G54" s="16">
        <f>VLOOKUP(A54,'2016-17'!$A$12:$AMX262,35,FALSE)</f>
        <v>3.4467527843545565E-2</v>
      </c>
      <c r="H54" s="56"/>
      <c r="I54" s="56">
        <v>624272.76882347395</v>
      </c>
      <c r="J54" s="56">
        <v>1863.0516224632534</v>
      </c>
      <c r="K54" s="16">
        <f t="shared" si="6"/>
        <v>-8.9156040459099639E-3</v>
      </c>
      <c r="L54" s="58">
        <f t="shared" si="6"/>
        <v>-8.9156040459099639E-3</v>
      </c>
      <c r="M54" s="10"/>
      <c r="N54" s="56">
        <v>486512</v>
      </c>
      <c r="O54" s="56">
        <v>45657</v>
      </c>
      <c r="P54" s="56">
        <v>86538</v>
      </c>
      <c r="R54" s="56">
        <f t="shared" si="7"/>
        <v>86538</v>
      </c>
      <c r="S54" s="56">
        <f t="shared" si="8"/>
        <v>0</v>
      </c>
      <c r="U54" s="16">
        <v>-2.2953357193666979E-2</v>
      </c>
      <c r="V54" s="16">
        <v>2.8414229552589099E-3</v>
      </c>
      <c r="W54" s="56">
        <f t="shared" si="9"/>
        <v>1</v>
      </c>
      <c r="X54" s="56">
        <f t="shared" si="10"/>
        <v>4979.4142744568517</v>
      </c>
      <c r="Y54" s="56">
        <f t="shared" si="10"/>
        <v>455.27636727902643</v>
      </c>
      <c r="AA54" s="56">
        <f t="shared" si="22"/>
        <v>0</v>
      </c>
      <c r="AB54" s="56">
        <v>0</v>
      </c>
      <c r="AC54" s="56">
        <f t="shared" si="11"/>
        <v>0</v>
      </c>
      <c r="AE54" s="56">
        <v>0</v>
      </c>
      <c r="AF54" s="56">
        <f t="shared" si="12"/>
        <v>0</v>
      </c>
      <c r="AG54" s="56">
        <f t="shared" si="13"/>
        <v>0</v>
      </c>
      <c r="AI54" s="56">
        <f t="shared" si="14"/>
        <v>0</v>
      </c>
      <c r="AJ54" s="56">
        <f t="shared" si="15"/>
        <v>0</v>
      </c>
      <c r="AK54" s="56">
        <f t="shared" si="16"/>
        <v>0</v>
      </c>
      <c r="AM54" s="56">
        <f t="shared" si="17"/>
        <v>486512</v>
      </c>
      <c r="AN54" s="56">
        <f t="shared" si="18"/>
        <v>45657</v>
      </c>
      <c r="AO54" s="56">
        <f t="shared" si="19"/>
        <v>86538</v>
      </c>
      <c r="AP54" s="56"/>
      <c r="AQ54" s="56">
        <f t="shared" si="20"/>
        <v>618707</v>
      </c>
      <c r="AS54" s="56">
        <v>1451.9245692168656</v>
      </c>
      <c r="AT54" s="56">
        <v>136.25670087630814</v>
      </c>
      <c r="AU54" s="56">
        <v>258.26012178710721</v>
      </c>
      <c r="AV54" s="56"/>
      <c r="AW54" s="56">
        <v>1846.4413918802809</v>
      </c>
      <c r="AY54" s="16">
        <v>-2.2953357193666979E-2</v>
      </c>
      <c r="AZ54" s="16">
        <v>2.8414229552589099E-3</v>
      </c>
      <c r="BA54" s="16">
        <v>7.0965748104742543E-2</v>
      </c>
      <c r="BB54" s="16">
        <f t="shared" si="21"/>
        <v>-8.9156040459099639E-3</v>
      </c>
      <c r="BC54" s="16"/>
      <c r="BE54" s="16">
        <v>3.0486623708048555E-2</v>
      </c>
      <c r="BF54" s="16">
        <v>3.5658387206532804E-2</v>
      </c>
      <c r="BG54" s="16">
        <v>7.0587074451629706E-2</v>
      </c>
      <c r="BH54" s="16">
        <f>AQ54/(VLOOKUP($A54,'2016-17'!$A$12:$D$220,4,FALSE))-1</f>
        <v>3.6297677628714498E-2</v>
      </c>
      <c r="BJ54" s="16">
        <v>2.8666736513749402E-2</v>
      </c>
      <c r="BK54" s="16">
        <v>3.3829366437913899E-2</v>
      </c>
      <c r="BL54" s="16">
        <v>6.8696368000568553E-2</v>
      </c>
      <c r="BM54" s="16">
        <v>3.4467527843545565E-2</v>
      </c>
    </row>
    <row r="55" spans="1:66" x14ac:dyDescent="0.2">
      <c r="A55" s="156" t="s">
        <v>155</v>
      </c>
      <c r="B55" s="156" t="s">
        <v>156</v>
      </c>
      <c r="D55" s="56">
        <f>VLOOKUP(A55,'2016-17'!$A$12:$AMX263,32,FALSE)</f>
        <v>251689.03162933254</v>
      </c>
      <c r="E55" s="56">
        <v>1582.535182622307</v>
      </c>
      <c r="F55" s="16">
        <f>VLOOKUP(A55,'2016-17'!$A$12:$AMX263,34,FALSE)</f>
        <v>4.5358791437829282E-2</v>
      </c>
      <c r="G55" s="16">
        <f>VLOOKUP(A55,'2016-17'!$A$12:$AMX263,35,FALSE)</f>
        <v>3.9235081474894296E-2</v>
      </c>
      <c r="H55" s="56"/>
      <c r="I55" s="56">
        <v>257289.26465857809</v>
      </c>
      <c r="J55" s="56">
        <v>1617.7475466347232</v>
      </c>
      <c r="K55" s="16">
        <f t="shared" si="6"/>
        <v>-2.1766291091379286E-2</v>
      </c>
      <c r="L55" s="58">
        <f t="shared" si="6"/>
        <v>-2.1766291091379397E-2</v>
      </c>
      <c r="M55" s="10"/>
      <c r="N55" s="56">
        <v>200551</v>
      </c>
      <c r="O55" s="56">
        <v>17493</v>
      </c>
      <c r="P55" s="56">
        <v>32495</v>
      </c>
      <c r="R55" s="56">
        <f t="shared" si="7"/>
        <v>32495</v>
      </c>
      <c r="S55" s="56">
        <f t="shared" si="8"/>
        <v>1150.031629332545</v>
      </c>
      <c r="U55" s="16">
        <v>-1.858537906805513E-2</v>
      </c>
      <c r="V55" s="16">
        <v>-0.12021743942703245</v>
      </c>
      <c r="W55" s="56">
        <f t="shared" si="9"/>
        <v>4</v>
      </c>
      <c r="X55" s="56">
        <f t="shared" si="10"/>
        <v>2043.4890180213342</v>
      </c>
      <c r="Y55" s="56">
        <f t="shared" si="10"/>
        <v>198.83322066088127</v>
      </c>
      <c r="AA55" s="56">
        <f t="shared" si="22"/>
        <v>0</v>
      </c>
      <c r="AB55" s="56">
        <v>0</v>
      </c>
      <c r="AC55" s="56">
        <f t="shared" si="11"/>
        <v>1150.031629332545</v>
      </c>
      <c r="AE55" s="56">
        <v>0</v>
      </c>
      <c r="AF55" s="56">
        <f t="shared" si="12"/>
        <v>0</v>
      </c>
      <c r="AG55" s="56">
        <f t="shared" si="13"/>
        <v>1150.031629332545</v>
      </c>
      <c r="AI55" s="56">
        <f t="shared" si="14"/>
        <v>1048.0549870920195</v>
      </c>
      <c r="AJ55" s="56">
        <f t="shared" si="15"/>
        <v>101.97664224052559</v>
      </c>
      <c r="AK55" s="56">
        <f t="shared" si="16"/>
        <v>0</v>
      </c>
      <c r="AM55" s="56">
        <f t="shared" si="17"/>
        <v>201599</v>
      </c>
      <c r="AN55" s="56">
        <f t="shared" si="18"/>
        <v>17595</v>
      </c>
      <c r="AO55" s="56">
        <f t="shared" si="19"/>
        <v>32495</v>
      </c>
      <c r="AP55" s="56"/>
      <c r="AQ55" s="56">
        <f t="shared" si="20"/>
        <v>251689</v>
      </c>
      <c r="AS55" s="56">
        <v>1267.5860692703025</v>
      </c>
      <c r="AT55" s="56">
        <v>110.63138650891608</v>
      </c>
      <c r="AU55" s="56">
        <v>204.31752796858356</v>
      </c>
      <c r="AV55" s="56"/>
      <c r="AW55" s="56">
        <v>1582.5349837478022</v>
      </c>
      <c r="AY55" s="16">
        <v>-1.3456895426803395E-2</v>
      </c>
      <c r="AZ55" s="16">
        <v>-0.11508751196013467</v>
      </c>
      <c r="BA55" s="16">
        <v>-1.700215073457223E-2</v>
      </c>
      <c r="BB55" s="16">
        <f t="shared" si="21"/>
        <v>-2.1766414024345759E-2</v>
      </c>
      <c r="BC55" s="16"/>
      <c r="BE55" s="16">
        <v>3.587453842895294E-2</v>
      </c>
      <c r="BF55" s="16">
        <v>0.10500533819003954</v>
      </c>
      <c r="BG55" s="16">
        <v>7.5000797974546396E-2</v>
      </c>
      <c r="BH55" s="16">
        <f>AQ55/(VLOOKUP($A55,'2016-17'!$A$12:$D$220,4,FALSE))-1</f>
        <v>4.535866006936784E-2</v>
      </c>
      <c r="BJ55" s="16">
        <v>2.9806387203474394E-2</v>
      </c>
      <c r="BK55" s="16">
        <v>9.8532218861064003E-2</v>
      </c>
      <c r="BL55" s="16">
        <v>6.8703445189417511E-2</v>
      </c>
      <c r="BM55" s="16">
        <v>3.923495087598905E-2</v>
      </c>
    </row>
    <row r="56" spans="1:66" x14ac:dyDescent="0.2">
      <c r="A56" s="156" t="s">
        <v>157</v>
      </c>
      <c r="B56" s="156" t="s">
        <v>158</v>
      </c>
      <c r="D56" s="56">
        <f>VLOOKUP(A56,'2016-17'!$A$12:$AMX264,32,FALSE)</f>
        <v>464203</v>
      </c>
      <c r="E56" s="56">
        <v>1804.8353238390564</v>
      </c>
      <c r="F56" s="16">
        <f>VLOOKUP(A56,'2016-17'!$A$12:$AMX264,34,FALSE)</f>
        <v>2.9265379769180422E-2</v>
      </c>
      <c r="G56" s="16">
        <f>VLOOKUP(A56,'2016-17'!$A$12:$AMX264,35,FALSE)</f>
        <v>2.270383400468412E-2</v>
      </c>
      <c r="H56" s="56"/>
      <c r="I56" s="56">
        <v>439789.43458358716</v>
      </c>
      <c r="J56" s="56">
        <v>1709.9146420588925</v>
      </c>
      <c r="K56" s="16">
        <f t="shared" si="6"/>
        <v>5.5511941617080174E-2</v>
      </c>
      <c r="L56" s="58">
        <f t="shared" si="6"/>
        <v>5.5511941617080174E-2</v>
      </c>
      <c r="M56" s="10"/>
      <c r="N56" s="56">
        <v>367042</v>
      </c>
      <c r="O56" s="56">
        <v>34600</v>
      </c>
      <c r="P56" s="56">
        <v>62561</v>
      </c>
      <c r="R56" s="56">
        <f t="shared" si="7"/>
        <v>62561</v>
      </c>
      <c r="S56" s="56">
        <f t="shared" si="8"/>
        <v>0</v>
      </c>
      <c r="U56" s="16">
        <v>6.1035162735359139E-2</v>
      </c>
      <c r="V56" s="16">
        <v>2.1119733871119983E-2</v>
      </c>
      <c r="W56" s="56">
        <f t="shared" si="9"/>
        <v>2</v>
      </c>
      <c r="X56" s="56">
        <f t="shared" si="10"/>
        <v>3459.2821509681366</v>
      </c>
      <c r="Y56" s="56">
        <f t="shared" si="10"/>
        <v>338.84371099978193</v>
      </c>
      <c r="AA56" s="56">
        <f t="shared" si="22"/>
        <v>0</v>
      </c>
      <c r="AB56" s="56">
        <v>0</v>
      </c>
      <c r="AC56" s="56">
        <f t="shared" si="11"/>
        <v>0</v>
      </c>
      <c r="AE56" s="56">
        <v>0</v>
      </c>
      <c r="AF56" s="56">
        <f t="shared" si="12"/>
        <v>0</v>
      </c>
      <c r="AG56" s="56">
        <f t="shared" si="13"/>
        <v>0</v>
      </c>
      <c r="AI56" s="56">
        <f t="shared" si="14"/>
        <v>0</v>
      </c>
      <c r="AJ56" s="56">
        <f t="shared" si="15"/>
        <v>0</v>
      </c>
      <c r="AK56" s="56">
        <f t="shared" si="16"/>
        <v>0</v>
      </c>
      <c r="AM56" s="56">
        <f t="shared" si="17"/>
        <v>367042</v>
      </c>
      <c r="AN56" s="56">
        <f t="shared" si="18"/>
        <v>34600</v>
      </c>
      <c r="AO56" s="56">
        <f t="shared" si="19"/>
        <v>62561</v>
      </c>
      <c r="AP56" s="56"/>
      <c r="AQ56" s="56">
        <f t="shared" si="20"/>
        <v>464203</v>
      </c>
      <c r="AS56" s="56">
        <v>1427.0704130144247</v>
      </c>
      <c r="AT56" s="56">
        <v>134.52584796916727</v>
      </c>
      <c r="AU56" s="56">
        <v>243.23906285546454</v>
      </c>
      <c r="AV56" s="56"/>
      <c r="AW56" s="56">
        <v>1804.8353238390564</v>
      </c>
      <c r="AY56" s="16">
        <v>6.1035162735359139E-2</v>
      </c>
      <c r="AZ56" s="16">
        <v>2.1119733871119983E-2</v>
      </c>
      <c r="BA56" s="16">
        <v>4.308581865688077E-2</v>
      </c>
      <c r="BB56" s="16">
        <f t="shared" si="21"/>
        <v>5.5511941617080174E-2</v>
      </c>
      <c r="BC56" s="16"/>
      <c r="BE56" s="16">
        <v>2.1180805987487838E-2</v>
      </c>
      <c r="BF56" s="16">
        <v>3.5649076596126816E-2</v>
      </c>
      <c r="BG56" s="16">
        <v>7.5556146113353373E-2</v>
      </c>
      <c r="BH56" s="16">
        <f>AQ56/(VLOOKUP($A56,'2016-17'!$A$12:$D$220,4,FALSE))-1</f>
        <v>2.9265379769180422E-2</v>
      </c>
      <c r="BJ56" s="16">
        <v>1.4670799215653618E-2</v>
      </c>
      <c r="BK56" s="16">
        <v>2.9046834894800533E-2</v>
      </c>
      <c r="BL56" s="16">
        <v>6.8699497659297171E-2</v>
      </c>
      <c r="BM56" s="16">
        <v>2.270383400468412E-2</v>
      </c>
    </row>
    <row r="57" spans="1:66" x14ac:dyDescent="0.2">
      <c r="A57" s="156" t="s">
        <v>159</v>
      </c>
      <c r="B57" s="156" t="s">
        <v>160</v>
      </c>
      <c r="D57" s="56">
        <f>VLOOKUP(A57,'2016-17'!$A$12:$AMX265,32,FALSE)</f>
        <v>196134</v>
      </c>
      <c r="E57" s="56">
        <v>1710.2041543719829</v>
      </c>
      <c r="F57" s="16">
        <f>VLOOKUP(A57,'2016-17'!$A$12:$AMX265,34,FALSE)</f>
        <v>3.5937087036255422E-2</v>
      </c>
      <c r="G57" s="16">
        <f>VLOOKUP(A57,'2016-17'!$A$12:$AMX265,35,FALSE)</f>
        <v>3.1858236825823116E-2</v>
      </c>
      <c r="H57" s="56"/>
      <c r="I57" s="56">
        <v>192232.35990046716</v>
      </c>
      <c r="J57" s="56">
        <v>1676.1835301707461</v>
      </c>
      <c r="K57" s="16">
        <f t="shared" si="6"/>
        <v>2.0296479227290387E-2</v>
      </c>
      <c r="L57" s="58">
        <f t="shared" si="6"/>
        <v>2.0296479227290387E-2</v>
      </c>
      <c r="M57" s="10"/>
      <c r="N57" s="56">
        <v>153110</v>
      </c>
      <c r="O57" s="56">
        <v>16386</v>
      </c>
      <c r="P57" s="56">
        <v>26638</v>
      </c>
      <c r="R57" s="56">
        <f t="shared" si="7"/>
        <v>26638</v>
      </c>
      <c r="S57" s="56">
        <f t="shared" si="8"/>
        <v>0</v>
      </c>
      <c r="U57" s="16">
        <v>1.7339740187882535E-2</v>
      </c>
      <c r="V57" s="16">
        <v>0.12694154898021215</v>
      </c>
      <c r="W57" s="56">
        <f t="shared" si="9"/>
        <v>2</v>
      </c>
      <c r="X57" s="56">
        <f t="shared" si="10"/>
        <v>1505.0036281068074</v>
      </c>
      <c r="Y57" s="56">
        <f t="shared" si="10"/>
        <v>145.40239478105994</v>
      </c>
      <c r="AA57" s="56">
        <f t="shared" si="22"/>
        <v>0</v>
      </c>
      <c r="AB57" s="56">
        <v>0</v>
      </c>
      <c r="AC57" s="56">
        <f t="shared" si="11"/>
        <v>0</v>
      </c>
      <c r="AE57" s="56">
        <v>0</v>
      </c>
      <c r="AF57" s="56">
        <f t="shared" si="12"/>
        <v>0</v>
      </c>
      <c r="AG57" s="56">
        <f t="shared" si="13"/>
        <v>0</v>
      </c>
      <c r="AI57" s="56">
        <f t="shared" si="14"/>
        <v>0</v>
      </c>
      <c r="AJ57" s="56">
        <f t="shared" si="15"/>
        <v>0</v>
      </c>
      <c r="AK57" s="56">
        <f t="shared" si="16"/>
        <v>0</v>
      </c>
      <c r="AM57" s="56">
        <f t="shared" si="17"/>
        <v>153110</v>
      </c>
      <c r="AN57" s="56">
        <f t="shared" si="18"/>
        <v>16386</v>
      </c>
      <c r="AO57" s="56">
        <f t="shared" si="19"/>
        <v>26638</v>
      </c>
      <c r="AP57" s="56"/>
      <c r="AQ57" s="56">
        <f t="shared" si="20"/>
        <v>196134</v>
      </c>
      <c r="AS57" s="56">
        <v>1335.0533720614187</v>
      </c>
      <c r="AT57" s="56">
        <v>142.87887502186928</v>
      </c>
      <c r="AU57" s="56">
        <v>232.27190728869488</v>
      </c>
      <c r="AV57" s="56"/>
      <c r="AW57" s="56">
        <v>1710.2041543719829</v>
      </c>
      <c r="AY57" s="16">
        <v>1.7339740187882535E-2</v>
      </c>
      <c r="AZ57" s="16">
        <v>0.12694154898021215</v>
      </c>
      <c r="BA57" s="16">
        <v>-2.036490688055248E-2</v>
      </c>
      <c r="BB57" s="16">
        <f t="shared" si="21"/>
        <v>2.0296479227290387E-2</v>
      </c>
      <c r="BC57" s="16"/>
      <c r="BE57" s="16">
        <v>3.0489565379453021E-2</v>
      </c>
      <c r="BF57" s="16">
        <v>2.9077435156691589E-2</v>
      </c>
      <c r="BG57" s="16">
        <v>7.293761609272309E-2</v>
      </c>
      <c r="BH57" s="16">
        <f>AQ57/(VLOOKUP($A57,'2016-17'!$A$12:$D$220,4,FALSE))-1</f>
        <v>3.5937087036255422E-2</v>
      </c>
      <c r="BJ57" s="16">
        <v>2.6432163985878665E-2</v>
      </c>
      <c r="BK57" s="16">
        <v>2.5025593818576386E-2</v>
      </c>
      <c r="BL57" s="16">
        <v>6.8713081730601866E-2</v>
      </c>
      <c r="BM57" s="16">
        <v>3.1858236825823116E-2</v>
      </c>
    </row>
    <row r="58" spans="1:66" x14ac:dyDescent="0.2">
      <c r="A58" s="156" t="s">
        <v>161</v>
      </c>
      <c r="B58" s="156" t="s">
        <v>162</v>
      </c>
      <c r="D58" s="56">
        <f>VLOOKUP(A58,'2016-17'!$A$12:$AMX266,32,FALSE)</f>
        <v>174891</v>
      </c>
      <c r="E58" s="56">
        <v>1415.0375421161298</v>
      </c>
      <c r="F58" s="16">
        <f>VLOOKUP(A58,'2016-17'!$A$12:$AMX266,34,FALSE)</f>
        <v>7.2498133068354509E-2</v>
      </c>
      <c r="G58" s="16">
        <f>VLOOKUP(A58,'2016-17'!$A$12:$AMX266,35,FALSE)</f>
        <v>6.674838336483746E-2</v>
      </c>
      <c r="H58" s="56"/>
      <c r="I58" s="56">
        <v>181959.97334438111</v>
      </c>
      <c r="J58" s="56">
        <v>1472.2323815676596</v>
      </c>
      <c r="K58" s="16">
        <f t="shared" si="6"/>
        <v>-3.8849056825273509E-2</v>
      </c>
      <c r="L58" s="58">
        <f t="shared" si="6"/>
        <v>-3.8849056825273509E-2</v>
      </c>
      <c r="M58" s="10"/>
      <c r="N58" s="56">
        <v>130715</v>
      </c>
      <c r="O58" s="56">
        <v>17694</v>
      </c>
      <c r="P58" s="56">
        <v>26482</v>
      </c>
      <c r="R58" s="56">
        <f t="shared" si="7"/>
        <v>26482</v>
      </c>
      <c r="S58" s="56">
        <f t="shared" si="8"/>
        <v>0</v>
      </c>
      <c r="U58" s="16">
        <v>-4.8280546505042543E-2</v>
      </c>
      <c r="V58" s="16">
        <v>6.1289584076627213E-2</v>
      </c>
      <c r="W58" s="56">
        <f t="shared" si="9"/>
        <v>1</v>
      </c>
      <c r="X58" s="56">
        <f t="shared" si="10"/>
        <v>1373.4614703942539</v>
      </c>
      <c r="Y58" s="56">
        <f t="shared" si="10"/>
        <v>166.72169656121358</v>
      </c>
      <c r="AA58" s="56">
        <f t="shared" si="22"/>
        <v>0</v>
      </c>
      <c r="AB58" s="56">
        <v>0</v>
      </c>
      <c r="AC58" s="56">
        <f t="shared" si="11"/>
        <v>0</v>
      </c>
      <c r="AE58" s="56">
        <v>0</v>
      </c>
      <c r="AF58" s="56">
        <f t="shared" si="12"/>
        <v>0</v>
      </c>
      <c r="AG58" s="56">
        <f t="shared" si="13"/>
        <v>0</v>
      </c>
      <c r="AI58" s="56">
        <f t="shared" si="14"/>
        <v>0</v>
      </c>
      <c r="AJ58" s="56">
        <f t="shared" si="15"/>
        <v>0</v>
      </c>
      <c r="AK58" s="56">
        <f t="shared" si="16"/>
        <v>0</v>
      </c>
      <c r="AM58" s="56">
        <f t="shared" si="17"/>
        <v>130715</v>
      </c>
      <c r="AN58" s="56">
        <f t="shared" si="18"/>
        <v>17694</v>
      </c>
      <c r="AO58" s="56">
        <f t="shared" si="19"/>
        <v>26482</v>
      </c>
      <c r="AP58" s="56"/>
      <c r="AQ58" s="56">
        <f t="shared" si="20"/>
        <v>174891</v>
      </c>
      <c r="AS58" s="56">
        <v>1057.6109251917474</v>
      </c>
      <c r="AT58" s="56">
        <v>143.16159362232935</v>
      </c>
      <c r="AU58" s="56">
        <v>214.26502330205298</v>
      </c>
      <c r="AV58" s="56"/>
      <c r="AW58" s="56">
        <v>1415.0375421161298</v>
      </c>
      <c r="AY58" s="16">
        <v>-4.8280546505042543E-2</v>
      </c>
      <c r="AZ58" s="16">
        <v>6.1289584076627213E-2</v>
      </c>
      <c r="BA58" s="16">
        <v>-5.2239445469503654E-2</v>
      </c>
      <c r="BB58" s="16">
        <f t="shared" si="21"/>
        <v>-3.8849056825273509E-2</v>
      </c>
      <c r="BC58" s="16"/>
      <c r="BE58" s="16">
        <v>7.7586766607584678E-2</v>
      </c>
      <c r="BF58" s="16">
        <v>3.3588410537998659E-2</v>
      </c>
      <c r="BG58" s="16">
        <v>7.4479224946286671E-2</v>
      </c>
      <c r="BH58" s="16">
        <f>AQ58/(VLOOKUP($A58,'2016-17'!$A$12:$D$220,4,FALSE))-1</f>
        <v>7.2498133068354509E-2</v>
      </c>
      <c r="BJ58" s="16">
        <v>7.1809736325872286E-2</v>
      </c>
      <c r="BK58" s="16">
        <v>2.8047259020982152E-2</v>
      </c>
      <c r="BL58" s="16">
        <v>6.8718854448116096E-2</v>
      </c>
      <c r="BM58" s="16">
        <v>6.674838336483746E-2</v>
      </c>
      <c r="BN58" s="55"/>
    </row>
    <row r="59" spans="1:66" x14ac:dyDescent="0.2">
      <c r="A59" s="156" t="s">
        <v>163</v>
      </c>
      <c r="B59" s="156" t="s">
        <v>164</v>
      </c>
      <c r="D59" s="56">
        <f>VLOOKUP(A59,'2016-17'!$A$12:$AMX267,32,FALSE)</f>
        <v>551105</v>
      </c>
      <c r="E59" s="56">
        <v>1612.9248552482152</v>
      </c>
      <c r="F59" s="16">
        <f>VLOOKUP(A59,'2016-17'!$A$12:$AMX267,34,FALSE)</f>
        <v>3.5888928986639979E-2</v>
      </c>
      <c r="G59" s="16">
        <f>VLOOKUP(A59,'2016-17'!$A$12:$AMX267,35,FALSE)</f>
        <v>2.9172038721863913E-2</v>
      </c>
      <c r="H59" s="56"/>
      <c r="I59" s="56">
        <v>556649.60632670939</v>
      </c>
      <c r="J59" s="56">
        <v>1629.1523134583858</v>
      </c>
      <c r="K59" s="16">
        <f t="shared" si="6"/>
        <v>-9.9606759147784496E-3</v>
      </c>
      <c r="L59" s="58">
        <f t="shared" si="6"/>
        <v>-9.9606759147785606E-3</v>
      </c>
      <c r="M59" s="10"/>
      <c r="N59" s="56">
        <v>431625</v>
      </c>
      <c r="O59" s="56">
        <v>49463</v>
      </c>
      <c r="P59" s="56">
        <v>70017</v>
      </c>
      <c r="R59" s="56">
        <f t="shared" si="7"/>
        <v>70017</v>
      </c>
      <c r="S59" s="56">
        <f t="shared" si="8"/>
        <v>0</v>
      </c>
      <c r="U59" s="16">
        <v>-1.686532376348393E-2</v>
      </c>
      <c r="V59" s="16">
        <v>0.10322865589144437</v>
      </c>
      <c r="W59" s="56">
        <f t="shared" si="9"/>
        <v>1</v>
      </c>
      <c r="X59" s="56">
        <f t="shared" si="10"/>
        <v>4390.2937250904424</v>
      </c>
      <c r="Y59" s="56">
        <f t="shared" si="10"/>
        <v>448.34767240552048</v>
      </c>
      <c r="AA59" s="56">
        <f t="shared" si="22"/>
        <v>0</v>
      </c>
      <c r="AB59" s="56">
        <v>0</v>
      </c>
      <c r="AC59" s="56">
        <f t="shared" si="11"/>
        <v>0</v>
      </c>
      <c r="AE59" s="56">
        <v>0</v>
      </c>
      <c r="AF59" s="56">
        <f t="shared" si="12"/>
        <v>0</v>
      </c>
      <c r="AG59" s="56">
        <f t="shared" si="13"/>
        <v>0</v>
      </c>
      <c r="AI59" s="56">
        <f t="shared" si="14"/>
        <v>0</v>
      </c>
      <c r="AJ59" s="56">
        <f t="shared" si="15"/>
        <v>0</v>
      </c>
      <c r="AK59" s="56">
        <f t="shared" si="16"/>
        <v>0</v>
      </c>
      <c r="AM59" s="56">
        <f t="shared" si="17"/>
        <v>431625</v>
      </c>
      <c r="AN59" s="56">
        <f t="shared" si="18"/>
        <v>49463</v>
      </c>
      <c r="AO59" s="56">
        <f t="shared" si="19"/>
        <v>70017</v>
      </c>
      <c r="AP59" s="56"/>
      <c r="AQ59" s="56">
        <f t="shared" si="20"/>
        <v>551105</v>
      </c>
      <c r="AS59" s="56">
        <v>1263.2414705845727</v>
      </c>
      <c r="AT59" s="56">
        <v>144.76388730848473</v>
      </c>
      <c r="AU59" s="56">
        <v>204.91949735515789</v>
      </c>
      <c r="AV59" s="56"/>
      <c r="AW59" s="56">
        <v>1612.9248552482152</v>
      </c>
      <c r="AY59" s="16">
        <v>-1.686532376348393E-2</v>
      </c>
      <c r="AZ59" s="16">
        <v>0.10322865589144437</v>
      </c>
      <c r="BA59" s="16">
        <v>-3.8035980358523513E-2</v>
      </c>
      <c r="BB59" s="16">
        <f t="shared" si="21"/>
        <v>-9.9606759147784496E-3</v>
      </c>
      <c r="BC59" s="16"/>
      <c r="BE59" s="16">
        <v>3.0488224291982391E-2</v>
      </c>
      <c r="BF59" s="16">
        <v>2.9064203387009435E-2</v>
      </c>
      <c r="BG59" s="16">
        <v>7.568177520440611E-2</v>
      </c>
      <c r="BH59" s="16">
        <f>AQ59/(VLOOKUP($A59,'2016-17'!$A$12:$D$220,4,FALSE))-1</f>
        <v>3.5888928986639979E-2</v>
      </c>
      <c r="BJ59" s="16">
        <v>2.3806353168517091E-2</v>
      </c>
      <c r="BK59" s="16">
        <v>2.239156587140112E-2</v>
      </c>
      <c r="BL59" s="16">
        <v>6.8706860962455929E-2</v>
      </c>
      <c r="BM59" s="16">
        <v>2.9172038721863913E-2</v>
      </c>
    </row>
    <row r="60" spans="1:66" x14ac:dyDescent="0.2">
      <c r="A60" s="156" t="s">
        <v>165</v>
      </c>
      <c r="B60" s="156" t="s">
        <v>166</v>
      </c>
      <c r="D60" s="56">
        <f>VLOOKUP(A60,'2016-17'!$A$12:$AMX268,32,FALSE)</f>
        <v>346114</v>
      </c>
      <c r="E60" s="56">
        <v>1577.6860083771558</v>
      </c>
      <c r="F60" s="16">
        <f>VLOOKUP(A60,'2016-17'!$A$12:$AMX268,34,FALSE)</f>
        <v>2.4015341288750047E-2</v>
      </c>
      <c r="G60" s="16">
        <f>VLOOKUP(A60,'2016-17'!$A$12:$AMX268,35,FALSE)</f>
        <v>1.7518817832248956E-2</v>
      </c>
      <c r="H60" s="56"/>
      <c r="I60" s="56">
        <v>329344.17123033933</v>
      </c>
      <c r="J60" s="56">
        <v>1501.2443613684411</v>
      </c>
      <c r="K60" s="16">
        <f t="shared" si="6"/>
        <v>5.0918857033398268E-2</v>
      </c>
      <c r="L60" s="58">
        <f t="shared" si="6"/>
        <v>5.0918857033398046E-2</v>
      </c>
      <c r="M60" s="10"/>
      <c r="N60" s="56">
        <v>277214</v>
      </c>
      <c r="O60" s="56">
        <v>27758</v>
      </c>
      <c r="P60" s="56">
        <v>41142</v>
      </c>
      <c r="R60" s="56">
        <f t="shared" si="7"/>
        <v>41142</v>
      </c>
      <c r="S60" s="56">
        <f t="shared" si="8"/>
        <v>0</v>
      </c>
      <c r="U60" s="16">
        <v>7.1587692260296043E-2</v>
      </c>
      <c r="V60" s="16">
        <v>3.4489432512490037E-3</v>
      </c>
      <c r="W60" s="56">
        <f t="shared" si="9"/>
        <v>2</v>
      </c>
      <c r="X60" s="56">
        <f t="shared" si="10"/>
        <v>2586.9464720640226</v>
      </c>
      <c r="Y60" s="56">
        <f t="shared" si="10"/>
        <v>276.62593285575667</v>
      </c>
      <c r="AA60" s="56">
        <f t="shared" si="22"/>
        <v>0</v>
      </c>
      <c r="AB60" s="56">
        <v>0</v>
      </c>
      <c r="AC60" s="56">
        <f t="shared" si="11"/>
        <v>0</v>
      </c>
      <c r="AE60" s="56">
        <v>0</v>
      </c>
      <c r="AF60" s="56">
        <f t="shared" si="12"/>
        <v>0</v>
      </c>
      <c r="AG60" s="56">
        <f t="shared" si="13"/>
        <v>0</v>
      </c>
      <c r="AI60" s="56">
        <f t="shared" si="14"/>
        <v>0</v>
      </c>
      <c r="AJ60" s="56">
        <f t="shared" si="15"/>
        <v>0</v>
      </c>
      <c r="AK60" s="56">
        <f t="shared" si="16"/>
        <v>0</v>
      </c>
      <c r="AM60" s="56">
        <f t="shared" si="17"/>
        <v>277214</v>
      </c>
      <c r="AN60" s="56">
        <f t="shared" si="18"/>
        <v>27758</v>
      </c>
      <c r="AO60" s="56">
        <f t="shared" si="19"/>
        <v>41142</v>
      </c>
      <c r="AP60" s="56"/>
      <c r="AQ60" s="56">
        <f t="shared" si="20"/>
        <v>346114</v>
      </c>
      <c r="AS60" s="56">
        <v>1263.6202208701898</v>
      </c>
      <c r="AT60" s="56">
        <v>126.52885529199365</v>
      </c>
      <c r="AU60" s="56">
        <v>187.53693221497235</v>
      </c>
      <c r="AV60" s="56"/>
      <c r="AW60" s="56">
        <v>1577.6860083771558</v>
      </c>
      <c r="AY60" s="16">
        <v>7.1587692260296043E-2</v>
      </c>
      <c r="AZ60" s="16">
        <v>3.4489432512490037E-3</v>
      </c>
      <c r="BA60" s="16">
        <v>-4.2918410472022717E-2</v>
      </c>
      <c r="BB60" s="16">
        <f t="shared" si="21"/>
        <v>5.0918857033398268E-2</v>
      </c>
      <c r="BC60" s="16"/>
      <c r="BE60" s="16">
        <v>1.565355980648353E-2</v>
      </c>
      <c r="BF60" s="16">
        <v>3.5668979926871236E-2</v>
      </c>
      <c r="BG60" s="16">
        <v>7.5512372848509646E-2</v>
      </c>
      <c r="BH60" s="16">
        <f>AQ60/(VLOOKUP($A60,'2016-17'!$A$12:$D$220,4,FALSE))-1</f>
        <v>2.4015341288750047E-2</v>
      </c>
      <c r="BJ60" s="16">
        <v>9.2100848809444358E-3</v>
      </c>
      <c r="BK60" s="16">
        <v>2.9098523850697777E-2</v>
      </c>
      <c r="BL60" s="16">
        <v>6.8689143668003494E-2</v>
      </c>
      <c r="BM60" s="16">
        <v>1.7518817832248956E-2</v>
      </c>
    </row>
    <row r="61" spans="1:66" x14ac:dyDescent="0.2">
      <c r="A61" s="156" t="s">
        <v>167</v>
      </c>
      <c r="B61" s="156" t="s">
        <v>168</v>
      </c>
      <c r="D61" s="56">
        <f>VLOOKUP(A61,'2016-17'!$A$12:$AMX269,32,FALSE)</f>
        <v>559786</v>
      </c>
      <c r="E61" s="56">
        <v>1778.6745507696851</v>
      </c>
      <c r="F61" s="16">
        <f>VLOOKUP(A61,'2016-17'!$A$12:$AMX269,34,FALSE)</f>
        <v>3.1149339434858314E-2</v>
      </c>
      <c r="G61" s="16">
        <f>VLOOKUP(A61,'2016-17'!$A$12:$AMX269,35,FALSE)</f>
        <v>2.8816977155305068E-2</v>
      </c>
      <c r="H61" s="56"/>
      <c r="I61" s="56">
        <v>531807.89476370474</v>
      </c>
      <c r="J61" s="56">
        <v>1689.7763936836657</v>
      </c>
      <c r="K61" s="16">
        <f t="shared" si="6"/>
        <v>5.2609420641877902E-2</v>
      </c>
      <c r="L61" s="58">
        <f t="shared" si="6"/>
        <v>5.2609420641877902E-2</v>
      </c>
      <c r="M61" s="10"/>
      <c r="N61" s="56">
        <v>438087</v>
      </c>
      <c r="O61" s="56">
        <v>41766</v>
      </c>
      <c r="P61" s="56">
        <v>79933</v>
      </c>
      <c r="R61" s="56">
        <f t="shared" si="7"/>
        <v>79933</v>
      </c>
      <c r="S61" s="56">
        <f t="shared" si="8"/>
        <v>0</v>
      </c>
      <c r="U61" s="16">
        <v>5.6062648497858136E-2</v>
      </c>
      <c r="V61" s="16">
        <v>1.4968642102294094E-2</v>
      </c>
      <c r="W61" s="56">
        <f t="shared" si="9"/>
        <v>2</v>
      </c>
      <c r="X61" s="56">
        <f t="shared" si="10"/>
        <v>4148.3050330691485</v>
      </c>
      <c r="Y61" s="56">
        <f t="shared" si="10"/>
        <v>411.50039782007957</v>
      </c>
      <c r="AA61" s="56">
        <f t="shared" si="22"/>
        <v>0</v>
      </c>
      <c r="AB61" s="56">
        <v>0</v>
      </c>
      <c r="AC61" s="56">
        <f t="shared" si="11"/>
        <v>0</v>
      </c>
      <c r="AE61" s="56">
        <v>0</v>
      </c>
      <c r="AF61" s="56">
        <f t="shared" si="12"/>
        <v>0</v>
      </c>
      <c r="AG61" s="56">
        <f t="shared" si="13"/>
        <v>0</v>
      </c>
      <c r="AI61" s="56">
        <f t="shared" si="14"/>
        <v>0</v>
      </c>
      <c r="AJ61" s="56">
        <f t="shared" si="15"/>
        <v>0</v>
      </c>
      <c r="AK61" s="56">
        <f t="shared" si="16"/>
        <v>0</v>
      </c>
      <c r="AM61" s="56">
        <f t="shared" si="17"/>
        <v>438087</v>
      </c>
      <c r="AN61" s="56">
        <f t="shared" si="18"/>
        <v>41766</v>
      </c>
      <c r="AO61" s="56">
        <f t="shared" si="19"/>
        <v>79933</v>
      </c>
      <c r="AP61" s="56"/>
      <c r="AQ61" s="56">
        <f t="shared" si="20"/>
        <v>559786</v>
      </c>
      <c r="AS61" s="56">
        <v>1391.9858623170981</v>
      </c>
      <c r="AT61" s="56">
        <v>132.70807288400687</v>
      </c>
      <c r="AU61" s="56">
        <v>253.98061556858022</v>
      </c>
      <c r="AV61" s="56"/>
      <c r="AW61" s="56">
        <v>1778.6745507696851</v>
      </c>
      <c r="AY61" s="16">
        <v>5.6062648497858136E-2</v>
      </c>
      <c r="AZ61" s="16">
        <v>1.4968642102294094E-2</v>
      </c>
      <c r="BA61" s="16">
        <v>5.4144688355027171E-2</v>
      </c>
      <c r="BB61" s="16">
        <f t="shared" si="21"/>
        <v>5.2609420641877902E-2</v>
      </c>
      <c r="BC61" s="16"/>
      <c r="BE61" s="16">
        <v>2.3753654407741243E-2</v>
      </c>
      <c r="BF61" s="16">
        <v>3.5657607617536113E-2</v>
      </c>
      <c r="BG61" s="16">
        <v>7.1121857270182387E-2</v>
      </c>
      <c r="BH61" s="16">
        <f>AQ61/(VLOOKUP($A61,'2016-17'!$A$12:$D$220,4,FALSE))-1</f>
        <v>3.1149339434858314E-2</v>
      </c>
      <c r="BJ61" s="16">
        <v>2.1438020468234731E-2</v>
      </c>
      <c r="BK61" s="16">
        <v>3.3315048061746344E-2</v>
      </c>
      <c r="BL61" s="16">
        <v>6.8699080935892054E-2</v>
      </c>
      <c r="BM61" s="16">
        <v>2.8816977155305068E-2</v>
      </c>
    </row>
    <row r="62" spans="1:66" x14ac:dyDescent="0.2">
      <c r="A62" s="156" t="s">
        <v>169</v>
      </c>
      <c r="B62" s="156" t="s">
        <v>170</v>
      </c>
      <c r="D62" s="56">
        <f>VLOOKUP(A62,'2016-17'!$A$12:$AMX270,32,FALSE)</f>
        <v>479423</v>
      </c>
      <c r="E62" s="56">
        <v>1583.0086966994802</v>
      </c>
      <c r="F62" s="16">
        <f>VLOOKUP(A62,'2016-17'!$A$12:$AMX270,34,FALSE)</f>
        <v>3.6823934305042716E-2</v>
      </c>
      <c r="G62" s="16">
        <f>VLOOKUP(A62,'2016-17'!$A$12:$AMX270,35,FALSE)</f>
        <v>3.1940084330728702E-2</v>
      </c>
      <c r="H62" s="56"/>
      <c r="I62" s="56">
        <v>481183.40422671055</v>
      </c>
      <c r="J62" s="56">
        <v>1588.8213823666038</v>
      </c>
      <c r="K62" s="16">
        <f t="shared" si="6"/>
        <v>-3.6584890734949749E-3</v>
      </c>
      <c r="L62" s="58">
        <f t="shared" si="6"/>
        <v>-3.6584890734950859E-3</v>
      </c>
      <c r="M62" s="10"/>
      <c r="N62" s="56">
        <v>376501</v>
      </c>
      <c r="O62" s="56">
        <v>34493</v>
      </c>
      <c r="P62" s="56">
        <v>68429</v>
      </c>
      <c r="R62" s="56">
        <f t="shared" si="7"/>
        <v>68429</v>
      </c>
      <c r="S62" s="56">
        <f t="shared" si="8"/>
        <v>0</v>
      </c>
      <c r="U62" s="16">
        <v>1.9423597226613243E-3</v>
      </c>
      <c r="V62" s="16">
        <v>-8.7050482059157885E-2</v>
      </c>
      <c r="W62" s="56">
        <f t="shared" si="9"/>
        <v>3</v>
      </c>
      <c r="X62" s="56">
        <f t="shared" si="10"/>
        <v>3757.7111731678447</v>
      </c>
      <c r="Y62" s="56">
        <f t="shared" si="10"/>
        <v>377.81935717320897</v>
      </c>
      <c r="AA62" s="56">
        <f t="shared" si="22"/>
        <v>0</v>
      </c>
      <c r="AB62" s="56">
        <v>0</v>
      </c>
      <c r="AC62" s="56">
        <f t="shared" si="11"/>
        <v>0</v>
      </c>
      <c r="AE62" s="56">
        <v>0</v>
      </c>
      <c r="AF62" s="56">
        <f t="shared" si="12"/>
        <v>0</v>
      </c>
      <c r="AG62" s="56">
        <f t="shared" si="13"/>
        <v>0</v>
      </c>
      <c r="AI62" s="56">
        <f t="shared" si="14"/>
        <v>0</v>
      </c>
      <c r="AJ62" s="56">
        <f t="shared" si="15"/>
        <v>0</v>
      </c>
      <c r="AK62" s="56">
        <f t="shared" si="16"/>
        <v>0</v>
      </c>
      <c r="AM62" s="56">
        <f t="shared" si="17"/>
        <v>376501</v>
      </c>
      <c r="AN62" s="56">
        <f t="shared" si="18"/>
        <v>34493</v>
      </c>
      <c r="AO62" s="56">
        <f t="shared" si="19"/>
        <v>68429</v>
      </c>
      <c r="AP62" s="56"/>
      <c r="AQ62" s="56">
        <f t="shared" si="20"/>
        <v>479423</v>
      </c>
      <c r="AS62" s="56">
        <v>1243.1701385124431</v>
      </c>
      <c r="AT62" s="56">
        <v>113.89257289544967</v>
      </c>
      <c r="AU62" s="56">
        <v>225.94598529158745</v>
      </c>
      <c r="AV62" s="56"/>
      <c r="AW62" s="56">
        <v>1583.0086966994802</v>
      </c>
      <c r="AY62" s="16">
        <v>1.9423597226613243E-3</v>
      </c>
      <c r="AZ62" s="16">
        <v>-8.7050482059157885E-2</v>
      </c>
      <c r="BA62" s="16">
        <v>1.1809029427044315E-2</v>
      </c>
      <c r="BB62" s="16">
        <f t="shared" si="21"/>
        <v>-3.6584890734949749E-3</v>
      </c>
      <c r="BC62" s="16"/>
      <c r="BE62" s="16">
        <v>3.0487316919640239E-2</v>
      </c>
      <c r="BF62" s="16">
        <v>3.5670319771806014E-2</v>
      </c>
      <c r="BG62" s="16">
        <v>7.3755202340314296E-2</v>
      </c>
      <c r="BH62" s="16">
        <f>AQ62/(VLOOKUP($A62,'2016-17'!$A$12:$D$220,4,FALSE))-1</f>
        <v>3.6823934305042716E-2</v>
      </c>
      <c r="BJ62" s="16">
        <v>2.5633314914331518E-2</v>
      </c>
      <c r="BK62" s="16">
        <v>3.079190377728569E-2</v>
      </c>
      <c r="BL62" s="16">
        <v>6.8697391516450601E-2</v>
      </c>
      <c r="BM62" s="16">
        <v>3.1940084330728702E-2</v>
      </c>
    </row>
    <row r="63" spans="1:66" x14ac:dyDescent="0.2">
      <c r="A63" s="156" t="s">
        <v>171</v>
      </c>
      <c r="B63" s="156" t="s">
        <v>172</v>
      </c>
      <c r="D63" s="56">
        <f>VLOOKUP(A63,'2016-17'!$A$12:$AMX271,32,FALSE)</f>
        <v>367114</v>
      </c>
      <c r="E63" s="56">
        <v>1490.5869880377431</v>
      </c>
      <c r="F63" s="16">
        <f>VLOOKUP(A63,'2016-17'!$A$12:$AMX271,34,FALSE)</f>
        <v>3.6304098441446442E-2</v>
      </c>
      <c r="G63" s="16">
        <f>VLOOKUP(A63,'2016-17'!$A$12:$AMX271,35,FALSE)</f>
        <v>2.9486762440078085E-2</v>
      </c>
      <c r="H63" s="56"/>
      <c r="I63" s="56">
        <v>355655.72267173138</v>
      </c>
      <c r="J63" s="56">
        <v>1444.0631314404868</v>
      </c>
      <c r="K63" s="16">
        <f t="shared" si="6"/>
        <v>3.2217328719449823E-2</v>
      </c>
      <c r="L63" s="58">
        <f t="shared" si="6"/>
        <v>3.2217328719449823E-2</v>
      </c>
      <c r="M63" s="10"/>
      <c r="N63" s="56">
        <v>290258</v>
      </c>
      <c r="O63" s="56">
        <v>31665</v>
      </c>
      <c r="P63" s="56">
        <v>45191</v>
      </c>
      <c r="R63" s="56">
        <f t="shared" si="7"/>
        <v>45191</v>
      </c>
      <c r="S63" s="56">
        <f t="shared" si="8"/>
        <v>0</v>
      </c>
      <c r="U63" s="16">
        <v>3.8683073955600777E-2</v>
      </c>
      <c r="V63" s="16">
        <v>2.7554762454754966E-2</v>
      </c>
      <c r="W63" s="56">
        <f t="shared" si="9"/>
        <v>2</v>
      </c>
      <c r="X63" s="56">
        <f t="shared" si="10"/>
        <v>2794.4808890994527</v>
      </c>
      <c r="Y63" s="56">
        <f t="shared" si="10"/>
        <v>308.15875860819892</v>
      </c>
      <c r="AA63" s="56">
        <f t="shared" si="22"/>
        <v>0</v>
      </c>
      <c r="AB63" s="56">
        <v>0</v>
      </c>
      <c r="AC63" s="56">
        <f t="shared" si="11"/>
        <v>0</v>
      </c>
      <c r="AE63" s="56">
        <v>0</v>
      </c>
      <c r="AF63" s="56">
        <f t="shared" si="12"/>
        <v>0</v>
      </c>
      <c r="AG63" s="56">
        <f t="shared" si="13"/>
        <v>0</v>
      </c>
      <c r="AI63" s="56">
        <f t="shared" si="14"/>
        <v>0</v>
      </c>
      <c r="AJ63" s="56">
        <f t="shared" si="15"/>
        <v>0</v>
      </c>
      <c r="AK63" s="56">
        <f t="shared" si="16"/>
        <v>0</v>
      </c>
      <c r="AM63" s="56">
        <f t="shared" si="17"/>
        <v>290258</v>
      </c>
      <c r="AN63" s="56">
        <f t="shared" si="18"/>
        <v>31665</v>
      </c>
      <c r="AO63" s="56">
        <f t="shared" si="19"/>
        <v>45191</v>
      </c>
      <c r="AP63" s="56"/>
      <c r="AQ63" s="56">
        <f t="shared" si="20"/>
        <v>367114</v>
      </c>
      <c r="AS63" s="56">
        <v>1178.5298244519665</v>
      </c>
      <c r="AT63" s="56">
        <v>128.56888317039159</v>
      </c>
      <c r="AU63" s="56">
        <v>183.48828041538499</v>
      </c>
      <c r="AV63" s="56"/>
      <c r="AW63" s="56">
        <v>1490.5869880377431</v>
      </c>
      <c r="AY63" s="16">
        <v>3.8683073955600777E-2</v>
      </c>
      <c r="AZ63" s="16">
        <v>2.7554762454754966E-2</v>
      </c>
      <c r="BA63" s="16">
        <v>-4.4227831273728757E-3</v>
      </c>
      <c r="BB63" s="16">
        <f t="shared" si="21"/>
        <v>3.2217328719449823E-2</v>
      </c>
      <c r="BC63" s="16"/>
      <c r="BE63" s="16">
        <v>3.0487875570744061E-2</v>
      </c>
      <c r="BF63" s="16">
        <v>3.5650040883074441E-2</v>
      </c>
      <c r="BG63" s="16">
        <v>7.5779154407723759E-2</v>
      </c>
      <c r="BH63" s="16">
        <f>AQ63/(VLOOKUP($A63,'2016-17'!$A$12:$D$220,4,FALSE))-1</f>
        <v>3.6304098441446442E-2</v>
      </c>
      <c r="BJ63" s="16">
        <v>2.3708801644791722E-2</v>
      </c>
      <c r="BK63" s="16">
        <v>2.8837007605343246E-2</v>
      </c>
      <c r="BL63" s="16">
        <v>6.8702131389195564E-2</v>
      </c>
      <c r="BM63" s="16">
        <v>2.9486762440078085E-2</v>
      </c>
    </row>
    <row r="64" spans="1:66" x14ac:dyDescent="0.2">
      <c r="A64" s="156" t="s">
        <v>173</v>
      </c>
      <c r="B64" s="156" t="s">
        <v>174</v>
      </c>
      <c r="D64" s="56">
        <f>VLOOKUP(A64,'2016-17'!$A$12:$AMX272,32,FALSE)</f>
        <v>238935</v>
      </c>
      <c r="E64" s="56">
        <v>1661.9365625784187</v>
      </c>
      <c r="F64" s="16">
        <f>VLOOKUP(A64,'2016-17'!$A$12:$AMX272,34,FALSE)</f>
        <v>3.1571183763632993E-2</v>
      </c>
      <c r="G64" s="16">
        <f>VLOOKUP(A64,'2016-17'!$A$12:$AMX272,35,FALSE)</f>
        <v>2.9913530315868186E-2</v>
      </c>
      <c r="H64" s="56"/>
      <c r="I64" s="56">
        <v>224235.94945079708</v>
      </c>
      <c r="J64" s="56">
        <v>1559.6958295635457</v>
      </c>
      <c r="K64" s="16">
        <f t="shared" si="6"/>
        <v>6.5551712761509062E-2</v>
      </c>
      <c r="L64" s="58">
        <f t="shared" si="6"/>
        <v>6.5551712761509062E-2</v>
      </c>
      <c r="M64" s="10"/>
      <c r="N64" s="56">
        <v>184053</v>
      </c>
      <c r="O64" s="56">
        <v>20225</v>
      </c>
      <c r="P64" s="56">
        <v>34657</v>
      </c>
      <c r="R64" s="56">
        <f t="shared" si="7"/>
        <v>34657</v>
      </c>
      <c r="S64" s="56">
        <f t="shared" si="8"/>
        <v>0</v>
      </c>
      <c r="U64" s="16">
        <v>5.3941417045327622E-2</v>
      </c>
      <c r="V64" s="16">
        <v>0.14801133754061735</v>
      </c>
      <c r="W64" s="56">
        <f t="shared" si="9"/>
        <v>2</v>
      </c>
      <c r="X64" s="56">
        <f t="shared" si="10"/>
        <v>1746.3304603398492</v>
      </c>
      <c r="Y64" s="56">
        <f t="shared" si="10"/>
        <v>176.17421830805245</v>
      </c>
      <c r="AA64" s="56">
        <f t="shared" si="22"/>
        <v>0</v>
      </c>
      <c r="AB64" s="56">
        <v>0</v>
      </c>
      <c r="AC64" s="56">
        <f t="shared" si="11"/>
        <v>0</v>
      </c>
      <c r="AE64" s="56">
        <v>0</v>
      </c>
      <c r="AF64" s="56">
        <f t="shared" si="12"/>
        <v>0</v>
      </c>
      <c r="AG64" s="56">
        <f t="shared" si="13"/>
        <v>0</v>
      </c>
      <c r="AI64" s="56">
        <f t="shared" si="14"/>
        <v>0</v>
      </c>
      <c r="AJ64" s="56">
        <f t="shared" si="15"/>
        <v>0</v>
      </c>
      <c r="AK64" s="56">
        <f t="shared" si="16"/>
        <v>0</v>
      </c>
      <c r="AM64" s="56">
        <f t="shared" si="17"/>
        <v>184053</v>
      </c>
      <c r="AN64" s="56">
        <f t="shared" si="18"/>
        <v>20225</v>
      </c>
      <c r="AO64" s="56">
        <f t="shared" si="19"/>
        <v>34657</v>
      </c>
      <c r="AP64" s="56"/>
      <c r="AQ64" s="56">
        <f t="shared" si="20"/>
        <v>238935</v>
      </c>
      <c r="AS64" s="56">
        <v>1280.1992598499412</v>
      </c>
      <c r="AT64" s="56">
        <v>140.67703341138184</v>
      </c>
      <c r="AU64" s="56">
        <v>241.06026931709567</v>
      </c>
      <c r="AV64" s="56"/>
      <c r="AW64" s="56">
        <v>1661.9365625784187</v>
      </c>
      <c r="AY64" s="16">
        <v>5.3941417045327622E-2</v>
      </c>
      <c r="AZ64" s="16">
        <v>0.14801133754061735</v>
      </c>
      <c r="BA64" s="16">
        <v>8.3522844788488371E-2</v>
      </c>
      <c r="BB64" s="16">
        <f t="shared" si="21"/>
        <v>6.5551712761509062E-2</v>
      </c>
      <c r="BC64" s="16"/>
      <c r="BE64" s="16">
        <v>2.484443663704794E-2</v>
      </c>
      <c r="BF64" s="16">
        <v>2.9052610155693603E-2</v>
      </c>
      <c r="BG64" s="16">
        <v>7.0412173971821534E-2</v>
      </c>
      <c r="BH64" s="16">
        <f>AQ64/(VLOOKUP($A64,'2016-17'!$A$12:$D$220,4,FALSE))-1</f>
        <v>3.1571183763632993E-2</v>
      </c>
      <c r="BJ64" s="16">
        <v>2.3197592540825429E-2</v>
      </c>
      <c r="BK64" s="16">
        <v>2.7399003856870108E-2</v>
      </c>
      <c r="BL64" s="16">
        <v>6.8692106119363272E-2</v>
      </c>
      <c r="BM64" s="16">
        <v>2.9913530315868186E-2</v>
      </c>
    </row>
    <row r="65" spans="1:65" x14ac:dyDescent="0.2">
      <c r="A65" s="156" t="s">
        <v>175</v>
      </c>
      <c r="B65" s="156" t="s">
        <v>176</v>
      </c>
      <c r="D65" s="56">
        <f>VLOOKUP(A65,'2016-17'!$A$12:$AMX273,32,FALSE)</f>
        <v>243090</v>
      </c>
      <c r="E65" s="56">
        <v>1497.1696781444434</v>
      </c>
      <c r="F65" s="16">
        <f>VLOOKUP(A65,'2016-17'!$A$12:$AMX273,34,FALSE)</f>
        <v>3.6235728233199094E-2</v>
      </c>
      <c r="G65" s="16">
        <f>VLOOKUP(A65,'2016-17'!$A$12:$AMX273,35,FALSE)</f>
        <v>3.3463567774699943E-2</v>
      </c>
      <c r="H65" s="56"/>
      <c r="I65" s="56">
        <v>238589.68721158797</v>
      </c>
      <c r="J65" s="56">
        <v>1469.4526521500538</v>
      </c>
      <c r="K65" s="16">
        <f t="shared" si="6"/>
        <v>1.886214295767541E-2</v>
      </c>
      <c r="L65" s="58">
        <f t="shared" si="6"/>
        <v>1.886214295767541E-2</v>
      </c>
      <c r="M65" s="10"/>
      <c r="N65" s="56">
        <v>189853</v>
      </c>
      <c r="O65" s="56">
        <v>19894</v>
      </c>
      <c r="P65" s="56">
        <v>33343</v>
      </c>
      <c r="R65" s="56">
        <f t="shared" si="7"/>
        <v>33343</v>
      </c>
      <c r="S65" s="56">
        <f t="shared" si="8"/>
        <v>0</v>
      </c>
      <c r="U65" s="16">
        <v>2.3037709026577424E-2</v>
      </c>
      <c r="V65" s="16">
        <v>5.7727609195091567E-2</v>
      </c>
      <c r="W65" s="56">
        <f t="shared" si="9"/>
        <v>2</v>
      </c>
      <c r="X65" s="56">
        <f t="shared" si="10"/>
        <v>1855.7771460902015</v>
      </c>
      <c r="Y65" s="56">
        <f t="shared" si="10"/>
        <v>188.08244983922577</v>
      </c>
      <c r="AA65" s="56">
        <f t="shared" si="22"/>
        <v>0</v>
      </c>
      <c r="AB65" s="56">
        <v>0</v>
      </c>
      <c r="AC65" s="56">
        <f t="shared" si="11"/>
        <v>0</v>
      </c>
      <c r="AE65" s="56">
        <v>0</v>
      </c>
      <c r="AF65" s="56">
        <f t="shared" si="12"/>
        <v>0</v>
      </c>
      <c r="AG65" s="56">
        <f t="shared" si="13"/>
        <v>0</v>
      </c>
      <c r="AI65" s="56">
        <f t="shared" si="14"/>
        <v>0</v>
      </c>
      <c r="AJ65" s="56">
        <f t="shared" si="15"/>
        <v>0</v>
      </c>
      <c r="AK65" s="56">
        <f t="shared" si="16"/>
        <v>0</v>
      </c>
      <c r="AM65" s="56">
        <f t="shared" si="17"/>
        <v>189853</v>
      </c>
      <c r="AN65" s="56">
        <f t="shared" si="18"/>
        <v>19894</v>
      </c>
      <c r="AO65" s="56">
        <f t="shared" si="19"/>
        <v>33343</v>
      </c>
      <c r="AP65" s="56"/>
      <c r="AQ65" s="56">
        <f t="shared" si="20"/>
        <v>243090</v>
      </c>
      <c r="AS65" s="56">
        <v>1169.2877325466166</v>
      </c>
      <c r="AT65" s="56">
        <v>122.52537569215335</v>
      </c>
      <c r="AU65" s="56">
        <v>205.35656990567352</v>
      </c>
      <c r="AV65" s="56"/>
      <c r="AW65" s="56">
        <v>1497.1696781444434</v>
      </c>
      <c r="AY65" s="16">
        <v>2.3037709026577424E-2</v>
      </c>
      <c r="AZ65" s="16">
        <v>5.7727609195091567E-2</v>
      </c>
      <c r="BA65" s="16">
        <v>-2.516473140711184E-2</v>
      </c>
      <c r="BB65" s="16">
        <f t="shared" si="21"/>
        <v>1.886214295767541E-2</v>
      </c>
      <c r="BC65" s="16"/>
      <c r="BE65" s="16">
        <v>3.048703820347054E-2</v>
      </c>
      <c r="BF65" s="16">
        <v>3.4152934449238392E-2</v>
      </c>
      <c r="BG65" s="16">
        <v>7.1560737893013426E-2</v>
      </c>
      <c r="BH65" s="16">
        <f>AQ65/(VLOOKUP($A65,'2016-17'!$A$12:$D$220,4,FALSE))-1</f>
        <v>3.6235728233199094E-2</v>
      </c>
      <c r="BJ65" s="16">
        <v>2.7730256766128614E-2</v>
      </c>
      <c r="BK65" s="16">
        <v>3.1386345926172288E-2</v>
      </c>
      <c r="BL65" s="16">
        <v>6.8694075196937376E-2</v>
      </c>
      <c r="BM65" s="16">
        <v>3.3463567774699943E-2</v>
      </c>
    </row>
    <row r="66" spans="1:65" x14ac:dyDescent="0.2">
      <c r="A66" s="156" t="s">
        <v>177</v>
      </c>
      <c r="B66" s="156" t="s">
        <v>178</v>
      </c>
      <c r="D66" s="56">
        <f>VLOOKUP(A66,'2016-17'!$A$12:$AMX274,32,FALSE)</f>
        <v>496739</v>
      </c>
      <c r="E66" s="56">
        <v>1700.2535749308884</v>
      </c>
      <c r="F66" s="16">
        <f>VLOOKUP(A66,'2016-17'!$A$12:$AMX274,34,FALSE)</f>
        <v>3.6858211766983118E-2</v>
      </c>
      <c r="G66" s="16">
        <f>VLOOKUP(A66,'2016-17'!$A$12:$AMX274,35,FALSE)</f>
        <v>3.3941533386824041E-2</v>
      </c>
      <c r="H66" s="56"/>
      <c r="I66" s="56">
        <v>489921.85646415583</v>
      </c>
      <c r="J66" s="56">
        <v>1676.9196457092328</v>
      </c>
      <c r="K66" s="16">
        <f t="shared" si="6"/>
        <v>1.3914756906427073E-2</v>
      </c>
      <c r="L66" s="58">
        <f t="shared" si="6"/>
        <v>1.3914756906426851E-2</v>
      </c>
      <c r="M66" s="10"/>
      <c r="N66" s="56">
        <v>381963</v>
      </c>
      <c r="O66" s="56">
        <v>40707</v>
      </c>
      <c r="P66" s="56">
        <v>74069</v>
      </c>
      <c r="R66" s="56">
        <f t="shared" si="7"/>
        <v>74069</v>
      </c>
      <c r="S66" s="56">
        <f t="shared" si="8"/>
        <v>0</v>
      </c>
      <c r="U66" s="16">
        <v>1.940824781561945E-2</v>
      </c>
      <c r="V66" s="16">
        <v>1.5188790909377525E-2</v>
      </c>
      <c r="W66" s="56">
        <f t="shared" si="9"/>
        <v>2</v>
      </c>
      <c r="X66" s="56">
        <f t="shared" si="10"/>
        <v>3746.909060412916</v>
      </c>
      <c r="Y66" s="56">
        <f t="shared" si="10"/>
        <v>400.97960462640469</v>
      </c>
      <c r="AA66" s="56">
        <f t="shared" si="22"/>
        <v>0</v>
      </c>
      <c r="AB66" s="56">
        <v>0</v>
      </c>
      <c r="AC66" s="56">
        <f t="shared" si="11"/>
        <v>0</v>
      </c>
      <c r="AE66" s="56">
        <v>0</v>
      </c>
      <c r="AF66" s="56">
        <f t="shared" si="12"/>
        <v>0</v>
      </c>
      <c r="AG66" s="56">
        <f t="shared" si="13"/>
        <v>0</v>
      </c>
      <c r="AI66" s="56">
        <f t="shared" si="14"/>
        <v>0</v>
      </c>
      <c r="AJ66" s="56">
        <f t="shared" si="15"/>
        <v>0</v>
      </c>
      <c r="AK66" s="56">
        <f t="shared" si="16"/>
        <v>0</v>
      </c>
      <c r="AM66" s="56">
        <f t="shared" si="17"/>
        <v>381963</v>
      </c>
      <c r="AN66" s="56">
        <f t="shared" si="18"/>
        <v>40707</v>
      </c>
      <c r="AO66" s="56">
        <f t="shared" si="19"/>
        <v>74069</v>
      </c>
      <c r="AP66" s="56"/>
      <c r="AQ66" s="56">
        <f t="shared" si="20"/>
        <v>496739</v>
      </c>
      <c r="AS66" s="56">
        <v>1307.3947409833472</v>
      </c>
      <c r="AT66" s="56">
        <v>139.33317552016587</v>
      </c>
      <c r="AU66" s="56">
        <v>253.52565842737528</v>
      </c>
      <c r="AV66" s="56"/>
      <c r="AW66" s="56">
        <v>1700.2535749308884</v>
      </c>
      <c r="AY66" s="16">
        <v>1.940824781561945E-2</v>
      </c>
      <c r="AZ66" s="16">
        <v>1.5188790909377525E-2</v>
      </c>
      <c r="BA66" s="16">
        <v>-1.4161421777398431E-2</v>
      </c>
      <c r="BB66" s="16">
        <f t="shared" si="21"/>
        <v>1.3914756906427073E-2</v>
      </c>
      <c r="BC66" s="16"/>
      <c r="BE66" s="16">
        <v>3.0487798001761934E-2</v>
      </c>
      <c r="BF66" s="16">
        <v>3.5643413219355713E-2</v>
      </c>
      <c r="BG66" s="16">
        <v>7.1714675410329054E-2</v>
      </c>
      <c r="BH66" s="16">
        <f>AQ66/(VLOOKUP($A66,'2016-17'!$A$12:$D$220,4,FALSE))-1</f>
        <v>3.6858211766983118E-2</v>
      </c>
      <c r="BJ66" s="16">
        <v>2.758903957236436E-2</v>
      </c>
      <c r="BK66" s="16">
        <v>3.2730152063094931E-2</v>
      </c>
      <c r="BL66" s="16">
        <v>6.8699945924663552E-2</v>
      </c>
      <c r="BM66" s="16">
        <v>3.3941533386824041E-2</v>
      </c>
    </row>
    <row r="67" spans="1:65" x14ac:dyDescent="0.2">
      <c r="A67" s="156" t="s">
        <v>179</v>
      </c>
      <c r="B67" s="156" t="s">
        <v>180</v>
      </c>
      <c r="D67" s="56">
        <f>VLOOKUP(A67,'2016-17'!$A$12:$AMX275,32,FALSE)</f>
        <v>332507</v>
      </c>
      <c r="E67" s="56">
        <v>1557.9242609389321</v>
      </c>
      <c r="F67" s="16">
        <f>VLOOKUP(A67,'2016-17'!$A$12:$AMX275,34,FALSE)</f>
        <v>3.8387624370166185E-2</v>
      </c>
      <c r="G67" s="16">
        <f>VLOOKUP(A67,'2016-17'!$A$12:$AMX275,35,FALSE)</f>
        <v>3.0406171430187312E-2</v>
      </c>
      <c r="H67" s="56"/>
      <c r="I67" s="56">
        <v>321436.16262648924</v>
      </c>
      <c r="J67" s="56">
        <v>1506.0530939165778</v>
      </c>
      <c r="K67" s="16">
        <f t="shared" si="6"/>
        <v>3.4441791748164752E-2</v>
      </c>
      <c r="L67" s="58">
        <f t="shared" si="6"/>
        <v>3.4441791748164974E-2</v>
      </c>
      <c r="M67" s="10"/>
      <c r="N67" s="56">
        <v>250872</v>
      </c>
      <c r="O67" s="56">
        <v>26036</v>
      </c>
      <c r="P67" s="56">
        <v>55599</v>
      </c>
      <c r="R67" s="56">
        <f t="shared" si="7"/>
        <v>55599</v>
      </c>
      <c r="S67" s="56">
        <f t="shared" si="8"/>
        <v>0</v>
      </c>
      <c r="U67" s="16">
        <v>2.1272219620024124E-2</v>
      </c>
      <c r="V67" s="16">
        <v>-2.8949391443577888E-2</v>
      </c>
      <c r="W67" s="56">
        <f t="shared" si="9"/>
        <v>3</v>
      </c>
      <c r="X67" s="56">
        <f t="shared" si="10"/>
        <v>2456.4655258452026</v>
      </c>
      <c r="Y67" s="56">
        <f t="shared" si="10"/>
        <v>268.12196780047844</v>
      </c>
      <c r="AA67" s="56">
        <f t="shared" si="22"/>
        <v>0</v>
      </c>
      <c r="AB67" s="56">
        <v>0</v>
      </c>
      <c r="AC67" s="56">
        <f t="shared" si="11"/>
        <v>0</v>
      </c>
      <c r="AE67" s="56">
        <v>0</v>
      </c>
      <c r="AF67" s="56">
        <f t="shared" si="12"/>
        <v>0</v>
      </c>
      <c r="AG67" s="56">
        <f t="shared" si="13"/>
        <v>0</v>
      </c>
      <c r="AI67" s="56">
        <f t="shared" si="14"/>
        <v>0</v>
      </c>
      <c r="AJ67" s="56">
        <f t="shared" si="15"/>
        <v>0</v>
      </c>
      <c r="AK67" s="56">
        <f t="shared" si="16"/>
        <v>0</v>
      </c>
      <c r="AM67" s="56">
        <f t="shared" si="17"/>
        <v>250872</v>
      </c>
      <c r="AN67" s="56">
        <f t="shared" si="18"/>
        <v>26036</v>
      </c>
      <c r="AO67" s="56">
        <f t="shared" si="19"/>
        <v>55599</v>
      </c>
      <c r="AP67" s="56"/>
      <c r="AQ67" s="56">
        <f t="shared" si="20"/>
        <v>332507</v>
      </c>
      <c r="AS67" s="56">
        <v>1175.4326230433396</v>
      </c>
      <c r="AT67" s="56">
        <v>121.98875830525684</v>
      </c>
      <c r="AU67" s="56">
        <v>260.50287959033551</v>
      </c>
      <c r="AV67" s="56"/>
      <c r="AW67" s="56">
        <v>1557.9242609389321</v>
      </c>
      <c r="AY67" s="16">
        <v>2.1272219620024124E-2</v>
      </c>
      <c r="AZ67" s="16">
        <v>-2.8949391443577888E-2</v>
      </c>
      <c r="BA67" s="16">
        <v>0.13519674268357185</v>
      </c>
      <c r="BB67" s="16">
        <f t="shared" si="21"/>
        <v>3.4441791748164752E-2</v>
      </c>
      <c r="BC67" s="16"/>
      <c r="BE67" s="16">
        <v>3.0488516042456615E-2</v>
      </c>
      <c r="BF67" s="16">
        <v>3.5640413683373007E-2</v>
      </c>
      <c r="BG67" s="16">
        <v>7.6975407986112243E-2</v>
      </c>
      <c r="BH67" s="16">
        <f>AQ67/(VLOOKUP($A67,'2016-17'!$A$12:$D$220,4,FALSE))-1</f>
        <v>3.8387624370166185E-2</v>
      </c>
      <c r="BJ67" s="16">
        <v>2.2567778734969401E-2</v>
      </c>
      <c r="BK67" s="16">
        <v>2.7680076877965032E-2</v>
      </c>
      <c r="BL67" s="16">
        <v>6.8697354266462618E-2</v>
      </c>
      <c r="BM67" s="16">
        <v>3.0406171430187312E-2</v>
      </c>
    </row>
    <row r="68" spans="1:65" x14ac:dyDescent="0.2">
      <c r="A68" s="156" t="s">
        <v>181</v>
      </c>
      <c r="B68" s="156" t="s">
        <v>182</v>
      </c>
      <c r="D68" s="56">
        <f>VLOOKUP(A68,'2016-17'!$A$12:$AMX276,32,FALSE)</f>
        <v>486851</v>
      </c>
      <c r="E68" s="56">
        <v>1771.3839134162779</v>
      </c>
      <c r="F68" s="16">
        <f>VLOOKUP(A68,'2016-17'!$A$12:$AMX276,34,FALSE)</f>
        <v>3.8693328801676641E-2</v>
      </c>
      <c r="G68" s="16">
        <f>VLOOKUP(A68,'2016-17'!$A$12:$AMX276,35,FALSE)</f>
        <v>3.100193894631964E-2</v>
      </c>
      <c r="H68" s="56"/>
      <c r="I68" s="56">
        <v>482189.20698482374</v>
      </c>
      <c r="J68" s="56">
        <v>1754.4222040744885</v>
      </c>
      <c r="K68" s="16">
        <f t="shared" si="6"/>
        <v>9.6679746200187822E-3</v>
      </c>
      <c r="L68" s="58">
        <f t="shared" si="6"/>
        <v>9.6679746200187822E-3</v>
      </c>
      <c r="M68" s="10"/>
      <c r="N68" s="56">
        <v>364573</v>
      </c>
      <c r="O68" s="56">
        <v>36900</v>
      </c>
      <c r="P68" s="56">
        <v>85378</v>
      </c>
      <c r="R68" s="56">
        <f t="shared" si="7"/>
        <v>85378</v>
      </c>
      <c r="S68" s="56">
        <f t="shared" si="8"/>
        <v>0</v>
      </c>
      <c r="U68" s="16">
        <v>-1.4063094501287066E-2</v>
      </c>
      <c r="V68" s="16">
        <v>-4.7039270358435581E-2</v>
      </c>
      <c r="W68" s="56">
        <f t="shared" si="9"/>
        <v>4</v>
      </c>
      <c r="X68" s="56">
        <f t="shared" si="10"/>
        <v>3697.7315482027661</v>
      </c>
      <c r="Y68" s="56">
        <f t="shared" si="10"/>
        <v>387.21427706553169</v>
      </c>
      <c r="AA68" s="56">
        <f t="shared" si="22"/>
        <v>0</v>
      </c>
      <c r="AB68" s="56">
        <v>0</v>
      </c>
      <c r="AC68" s="56">
        <f t="shared" si="11"/>
        <v>0</v>
      </c>
      <c r="AE68" s="56">
        <v>0</v>
      </c>
      <c r="AF68" s="56">
        <f t="shared" si="12"/>
        <v>0</v>
      </c>
      <c r="AG68" s="56">
        <f t="shared" si="13"/>
        <v>0</v>
      </c>
      <c r="AI68" s="56">
        <f t="shared" si="14"/>
        <v>0</v>
      </c>
      <c r="AJ68" s="56">
        <f t="shared" si="15"/>
        <v>0</v>
      </c>
      <c r="AK68" s="56">
        <f t="shared" si="16"/>
        <v>0</v>
      </c>
      <c r="AM68" s="56">
        <f t="shared" si="17"/>
        <v>364573</v>
      </c>
      <c r="AN68" s="56">
        <f t="shared" si="18"/>
        <v>36900</v>
      </c>
      <c r="AO68" s="56">
        <f t="shared" si="19"/>
        <v>85378</v>
      </c>
      <c r="AP68" s="56"/>
      <c r="AQ68" s="56">
        <f t="shared" si="20"/>
        <v>486851</v>
      </c>
      <c r="AS68" s="56">
        <v>1326.4813001635259</v>
      </c>
      <c r="AT68" s="56">
        <v>134.25887264288389</v>
      </c>
      <c r="AU68" s="56">
        <v>310.6437406098683</v>
      </c>
      <c r="AV68" s="56"/>
      <c r="AW68" s="56">
        <v>1771.3839134162779</v>
      </c>
      <c r="AY68" s="16">
        <v>-1.4063094501287066E-2</v>
      </c>
      <c r="AZ68" s="16">
        <v>-4.7039270358435581E-2</v>
      </c>
      <c r="BA68" s="16">
        <v>0.15853769020378961</v>
      </c>
      <c r="BB68" s="16">
        <f t="shared" si="21"/>
        <v>9.6679746200187822E-3</v>
      </c>
      <c r="BC68" s="16"/>
      <c r="BE68" s="16">
        <v>3.0488253909818797E-2</v>
      </c>
      <c r="BF68" s="16">
        <v>3.5644120123491385E-2</v>
      </c>
      <c r="BG68" s="16">
        <v>7.6670097395294956E-2</v>
      </c>
      <c r="BH68" s="16">
        <f>AQ68/(VLOOKUP($A68,'2016-17'!$A$12:$D$220,4,FALSE))-1</f>
        <v>3.8693328801676641E-2</v>
      </c>
      <c r="BJ68" s="16">
        <v>2.2857621573583176E-2</v>
      </c>
      <c r="BK68" s="16">
        <v>2.7975309264306025E-2</v>
      </c>
      <c r="BL68" s="16">
        <v>6.8697494476755105E-2</v>
      </c>
      <c r="BM68" s="16">
        <v>3.100193894631964E-2</v>
      </c>
    </row>
    <row r="69" spans="1:65" x14ac:dyDescent="0.2">
      <c r="A69" s="156" t="s">
        <v>183</v>
      </c>
      <c r="B69" s="156" t="s">
        <v>184</v>
      </c>
      <c r="D69" s="56">
        <f>VLOOKUP(A69,'2016-17'!$A$12:$AMX277,32,FALSE)</f>
        <v>534487</v>
      </c>
      <c r="E69" s="56">
        <v>1447.6740472537283</v>
      </c>
      <c r="F69" s="16">
        <f>VLOOKUP(A69,'2016-17'!$A$12:$AMX277,34,FALSE)</f>
        <v>3.7634295907320592E-2</v>
      </c>
      <c r="G69" s="16">
        <f>VLOOKUP(A69,'2016-17'!$A$12:$AMX277,35,FALSE)</f>
        <v>3.0779670281334992E-2</v>
      </c>
      <c r="H69" s="56"/>
      <c r="I69" s="56">
        <v>521273.69527767145</v>
      </c>
      <c r="J69" s="56">
        <v>1411.8854156780862</v>
      </c>
      <c r="K69" s="16">
        <f t="shared" si="6"/>
        <v>2.5348113365455838E-2</v>
      </c>
      <c r="L69" s="58">
        <f t="shared" si="6"/>
        <v>2.534811336545606E-2</v>
      </c>
      <c r="M69" s="10"/>
      <c r="N69" s="56">
        <v>409259</v>
      </c>
      <c r="O69" s="56">
        <v>42907</v>
      </c>
      <c r="P69" s="56">
        <v>82321</v>
      </c>
      <c r="R69" s="56">
        <f t="shared" si="7"/>
        <v>82321</v>
      </c>
      <c r="S69" s="56">
        <f t="shared" si="8"/>
        <v>0</v>
      </c>
      <c r="U69" s="16">
        <v>9.3101430956212816E-3</v>
      </c>
      <c r="V69" s="16">
        <v>-5.8627199452617185E-2</v>
      </c>
      <c r="W69" s="56">
        <f t="shared" si="9"/>
        <v>3</v>
      </c>
      <c r="X69" s="56">
        <f t="shared" si="10"/>
        <v>4054.8388698916219</v>
      </c>
      <c r="Y69" s="56">
        <f t="shared" si="10"/>
        <v>455.79179656615042</v>
      </c>
      <c r="AA69" s="56">
        <f t="shared" si="22"/>
        <v>0</v>
      </c>
      <c r="AB69" s="56">
        <v>0</v>
      </c>
      <c r="AC69" s="56">
        <f t="shared" si="11"/>
        <v>0</v>
      </c>
      <c r="AE69" s="56">
        <v>0</v>
      </c>
      <c r="AF69" s="56">
        <f t="shared" si="12"/>
        <v>0</v>
      </c>
      <c r="AG69" s="56">
        <f t="shared" si="13"/>
        <v>0</v>
      </c>
      <c r="AI69" s="56">
        <f t="shared" si="14"/>
        <v>0</v>
      </c>
      <c r="AJ69" s="56">
        <f t="shared" si="15"/>
        <v>0</v>
      </c>
      <c r="AK69" s="56">
        <f t="shared" si="16"/>
        <v>0</v>
      </c>
      <c r="AM69" s="56">
        <f t="shared" si="17"/>
        <v>409259</v>
      </c>
      <c r="AN69" s="56">
        <f t="shared" si="18"/>
        <v>42907</v>
      </c>
      <c r="AO69" s="56">
        <f t="shared" si="19"/>
        <v>82321</v>
      </c>
      <c r="AP69" s="56"/>
      <c r="AQ69" s="56">
        <f t="shared" si="20"/>
        <v>534487</v>
      </c>
      <c r="AS69" s="56">
        <v>1108.4902587060369</v>
      </c>
      <c r="AT69" s="56">
        <v>116.21489455405973</v>
      </c>
      <c r="AU69" s="56">
        <v>222.96889399363158</v>
      </c>
      <c r="AV69" s="56"/>
      <c r="AW69" s="56">
        <v>1447.6740472537283</v>
      </c>
      <c r="AY69" s="16">
        <v>9.3101430956212816E-3</v>
      </c>
      <c r="AZ69" s="16">
        <v>-5.8627199452617185E-2</v>
      </c>
      <c r="BA69" s="16">
        <v>0.17248629736103038</v>
      </c>
      <c r="BB69" s="16">
        <f t="shared" si="21"/>
        <v>2.5348113365455838E-2</v>
      </c>
      <c r="BC69" s="16"/>
      <c r="BE69" s="16">
        <v>3.0487325993983072E-2</v>
      </c>
      <c r="BF69" s="16">
        <v>3.5650494810523847E-2</v>
      </c>
      <c r="BG69" s="16">
        <v>7.5801993570802972E-2</v>
      </c>
      <c r="BH69" s="16">
        <f>AQ69/(VLOOKUP($A69,'2016-17'!$A$12:$D$220,4,FALSE))-1</f>
        <v>3.7634295907320592E-2</v>
      </c>
      <c r="BJ69" s="16">
        <v>2.3679913344003989E-2</v>
      </c>
      <c r="BK69" s="16">
        <v>2.8808974200331017E-2</v>
      </c>
      <c r="BL69" s="16">
        <v>6.869523163868263E-2</v>
      </c>
      <c r="BM69" s="16">
        <v>3.0779670281334992E-2</v>
      </c>
    </row>
    <row r="70" spans="1:65" x14ac:dyDescent="0.2">
      <c r="A70" s="156" t="s">
        <v>185</v>
      </c>
      <c r="B70" s="156" t="s">
        <v>186</v>
      </c>
      <c r="D70" s="56">
        <f>VLOOKUP(A70,'2016-17'!$A$12:$AMX278,32,FALSE)</f>
        <v>288388</v>
      </c>
      <c r="E70" s="56">
        <v>1704.8163205660017</v>
      </c>
      <c r="F70" s="16">
        <f>VLOOKUP(A70,'2016-17'!$A$12:$AMX278,34,FALSE)</f>
        <v>3.5670457706402425E-2</v>
      </c>
      <c r="G70" s="16">
        <f>VLOOKUP(A70,'2016-17'!$A$12:$AMX278,35,FALSE)</f>
        <v>3.4423044425305749E-2</v>
      </c>
      <c r="H70" s="56"/>
      <c r="I70" s="56">
        <v>281250.10389927909</v>
      </c>
      <c r="J70" s="56">
        <v>1662.6203839562486</v>
      </c>
      <c r="K70" s="16">
        <f t="shared" si="6"/>
        <v>2.5379176760329747E-2</v>
      </c>
      <c r="L70" s="58">
        <f t="shared" si="6"/>
        <v>2.5379176760329747E-2</v>
      </c>
      <c r="M70" s="10"/>
      <c r="N70" s="56">
        <v>221217</v>
      </c>
      <c r="O70" s="56">
        <v>27059</v>
      </c>
      <c r="P70" s="56">
        <v>40112</v>
      </c>
      <c r="R70" s="56">
        <f t="shared" si="7"/>
        <v>40112</v>
      </c>
      <c r="S70" s="56">
        <f t="shared" si="8"/>
        <v>0</v>
      </c>
      <c r="U70" s="16">
        <v>1.8246440531882957E-2</v>
      </c>
      <c r="V70" s="16">
        <v>0.21388835851283172</v>
      </c>
      <c r="W70" s="56">
        <f t="shared" si="9"/>
        <v>2</v>
      </c>
      <c r="X70" s="56">
        <f t="shared" si="10"/>
        <v>2172.5290773856955</v>
      </c>
      <c r="Y70" s="56">
        <f t="shared" si="10"/>
        <v>222.91176787584263</v>
      </c>
      <c r="AA70" s="56">
        <f t="shared" si="22"/>
        <v>0</v>
      </c>
      <c r="AB70" s="56">
        <v>0</v>
      </c>
      <c r="AC70" s="56">
        <f t="shared" si="11"/>
        <v>0</v>
      </c>
      <c r="AE70" s="56">
        <v>0</v>
      </c>
      <c r="AF70" s="56">
        <f t="shared" si="12"/>
        <v>0</v>
      </c>
      <c r="AG70" s="56">
        <f t="shared" si="13"/>
        <v>0</v>
      </c>
      <c r="AI70" s="56">
        <f t="shared" si="14"/>
        <v>0</v>
      </c>
      <c r="AJ70" s="56">
        <f t="shared" si="15"/>
        <v>0</v>
      </c>
      <c r="AK70" s="56">
        <f t="shared" si="16"/>
        <v>0</v>
      </c>
      <c r="AM70" s="56">
        <f t="shared" si="17"/>
        <v>221217</v>
      </c>
      <c r="AN70" s="56">
        <f t="shared" si="18"/>
        <v>27059</v>
      </c>
      <c r="AO70" s="56">
        <f t="shared" si="19"/>
        <v>40112</v>
      </c>
      <c r="AP70" s="56"/>
      <c r="AQ70" s="56">
        <f t="shared" si="20"/>
        <v>288388</v>
      </c>
      <c r="AS70" s="56">
        <v>1307.7324714851145</v>
      </c>
      <c r="AT70" s="56">
        <v>159.9602785767627</v>
      </c>
      <c r="AU70" s="56">
        <v>237.1235705041245</v>
      </c>
      <c r="AV70" s="56"/>
      <c r="AW70" s="56">
        <v>1704.8163205660017</v>
      </c>
      <c r="AY70" s="16">
        <v>1.8246440531882957E-2</v>
      </c>
      <c r="AZ70" s="16">
        <v>0.21388835851283172</v>
      </c>
      <c r="BA70" s="16">
        <v>-3.8220367157659196E-2</v>
      </c>
      <c r="BB70" s="16">
        <f t="shared" si="21"/>
        <v>2.5379176760329747E-2</v>
      </c>
      <c r="BC70" s="16"/>
      <c r="BE70" s="16">
        <v>3.0485156773798927E-2</v>
      </c>
      <c r="BF70" s="16">
        <v>2.906696461663949E-2</v>
      </c>
      <c r="BG70" s="16">
        <v>6.9995548382610018E-2</v>
      </c>
      <c r="BH70" s="16">
        <f>AQ70/(VLOOKUP($A70,'2016-17'!$A$12:$D$220,4,FALSE))-1</f>
        <v>3.5670457706402425E-2</v>
      </c>
      <c r="BJ70" s="16">
        <v>2.9243988928401965E-2</v>
      </c>
      <c r="BK70" s="16">
        <v>2.7827504912784073E-2</v>
      </c>
      <c r="BL70" s="16">
        <v>6.8706792246104209E-2</v>
      </c>
      <c r="BM70" s="16">
        <v>3.4423044425305749E-2</v>
      </c>
    </row>
    <row r="71" spans="1:65" x14ac:dyDescent="0.2">
      <c r="A71" s="156" t="s">
        <v>187</v>
      </c>
      <c r="B71" s="156" t="s">
        <v>188</v>
      </c>
      <c r="D71" s="56">
        <f>VLOOKUP(A71,'2016-17'!$A$12:$AMX279,32,FALSE)</f>
        <v>306081</v>
      </c>
      <c r="E71" s="56">
        <v>1599.3027820588304</v>
      </c>
      <c r="F71" s="16">
        <f>VLOOKUP(A71,'2016-17'!$A$12:$AMX279,34,FALSE)</f>
        <v>3.2934139640106164E-2</v>
      </c>
      <c r="G71" s="16">
        <f>VLOOKUP(A71,'2016-17'!$A$12:$AMX279,35,FALSE)</f>
        <v>2.5717986443864582E-2</v>
      </c>
      <c r="H71" s="56"/>
      <c r="I71" s="56">
        <v>292137.04117384396</v>
      </c>
      <c r="J71" s="56">
        <v>1526.4442506779701</v>
      </c>
      <c r="K71" s="16">
        <f t="shared" si="6"/>
        <v>4.7730882636886518E-2</v>
      </c>
      <c r="L71" s="58">
        <f t="shared" si="6"/>
        <v>4.7730882636886518E-2</v>
      </c>
      <c r="M71" s="10"/>
      <c r="N71" s="56">
        <v>237139</v>
      </c>
      <c r="O71" s="56">
        <v>24354</v>
      </c>
      <c r="P71" s="56">
        <v>44588</v>
      </c>
      <c r="R71" s="56">
        <f t="shared" si="7"/>
        <v>44588</v>
      </c>
      <c r="S71" s="56">
        <f t="shared" si="8"/>
        <v>0</v>
      </c>
      <c r="U71" s="16">
        <v>5.3816370616036169E-2</v>
      </c>
      <c r="V71" s="16">
        <v>2.3108603612824741E-2</v>
      </c>
      <c r="W71" s="56">
        <f t="shared" si="9"/>
        <v>2</v>
      </c>
      <c r="X71" s="56">
        <f t="shared" si="10"/>
        <v>2250.2876840048912</v>
      </c>
      <c r="Y71" s="56">
        <f t="shared" si="10"/>
        <v>238.03924543299306</v>
      </c>
      <c r="AA71" s="56">
        <f t="shared" si="22"/>
        <v>0</v>
      </c>
      <c r="AB71" s="56">
        <v>0</v>
      </c>
      <c r="AC71" s="56">
        <f t="shared" si="11"/>
        <v>0</v>
      </c>
      <c r="AE71" s="56">
        <v>0</v>
      </c>
      <c r="AF71" s="56">
        <f t="shared" si="12"/>
        <v>0</v>
      </c>
      <c r="AG71" s="56">
        <f t="shared" si="13"/>
        <v>0</v>
      </c>
      <c r="AI71" s="56">
        <f t="shared" si="14"/>
        <v>0</v>
      </c>
      <c r="AJ71" s="56">
        <f t="shared" si="15"/>
        <v>0</v>
      </c>
      <c r="AK71" s="56">
        <f t="shared" si="16"/>
        <v>0</v>
      </c>
      <c r="AM71" s="56">
        <f t="shared" si="17"/>
        <v>237139</v>
      </c>
      <c r="AN71" s="56">
        <f t="shared" si="18"/>
        <v>24354</v>
      </c>
      <c r="AO71" s="56">
        <f t="shared" si="19"/>
        <v>44588</v>
      </c>
      <c r="AP71" s="56"/>
      <c r="AQ71" s="56">
        <f t="shared" si="20"/>
        <v>306081</v>
      </c>
      <c r="AS71" s="56">
        <v>1239.0741745964269</v>
      </c>
      <c r="AT71" s="56">
        <v>127.252001771625</v>
      </c>
      <c r="AU71" s="56">
        <v>232.97660569077834</v>
      </c>
      <c r="AV71" s="56"/>
      <c r="AW71" s="56">
        <v>1599.3027820588304</v>
      </c>
      <c r="AY71" s="16">
        <v>5.3816370616036169E-2</v>
      </c>
      <c r="AZ71" s="16">
        <v>2.3108603612824741E-2</v>
      </c>
      <c r="BA71" s="16">
        <v>2.96425606760089E-2</v>
      </c>
      <c r="BB71" s="16">
        <f t="shared" si="21"/>
        <v>4.7730882636886518E-2</v>
      </c>
      <c r="BC71" s="16"/>
      <c r="BE71" s="16">
        <v>2.4907553637198099E-2</v>
      </c>
      <c r="BF71" s="16">
        <v>3.5635312127912933E-2</v>
      </c>
      <c r="BG71" s="16">
        <v>7.6227470541774256E-2</v>
      </c>
      <c r="BH71" s="16">
        <f>AQ71/(VLOOKUP($A71,'2016-17'!$A$12:$D$220,4,FALSE))-1</f>
        <v>3.2934139640106164E-2</v>
      </c>
      <c r="BJ71" s="16">
        <v>1.7747474755878123E-2</v>
      </c>
      <c r="BK71" s="16">
        <v>2.8400288343766622E-2</v>
      </c>
      <c r="BL71" s="16">
        <v>6.8708866979944938E-2</v>
      </c>
      <c r="BM71" s="16">
        <v>2.5717986443864582E-2</v>
      </c>
    </row>
    <row r="72" spans="1:65" x14ac:dyDescent="0.2">
      <c r="A72" s="156" t="s">
        <v>189</v>
      </c>
      <c r="B72" s="156" t="s">
        <v>190</v>
      </c>
      <c r="D72" s="56">
        <f>VLOOKUP(A72,'2016-17'!$A$12:$AMX280,32,FALSE)</f>
        <v>274054</v>
      </c>
      <c r="E72" s="56">
        <v>1588.9825507968872</v>
      </c>
      <c r="F72" s="16">
        <f>VLOOKUP(A72,'2016-17'!$A$12:$AMX280,34,FALSE)</f>
        <v>3.6360807332388223E-2</v>
      </c>
      <c r="G72" s="16">
        <f>VLOOKUP(A72,'2016-17'!$A$12:$AMX280,35,FALSE)</f>
        <v>3.1275056829780601E-2</v>
      </c>
      <c r="H72" s="56"/>
      <c r="I72" s="56">
        <v>275942.91352148575</v>
      </c>
      <c r="J72" s="56">
        <v>1599.9345917289852</v>
      </c>
      <c r="K72" s="16">
        <f t="shared" si="6"/>
        <v>-6.8453054198062135E-3</v>
      </c>
      <c r="L72" s="58">
        <f t="shared" si="6"/>
        <v>-6.8453054198063246E-3</v>
      </c>
      <c r="M72" s="10"/>
      <c r="N72" s="56">
        <v>217072</v>
      </c>
      <c r="O72" s="56">
        <v>21257</v>
      </c>
      <c r="P72" s="56">
        <v>35725</v>
      </c>
      <c r="R72" s="56">
        <f t="shared" si="7"/>
        <v>35725</v>
      </c>
      <c r="S72" s="56">
        <f t="shared" si="8"/>
        <v>0</v>
      </c>
      <c r="U72" s="16">
        <v>9.2741234020492502E-3</v>
      </c>
      <c r="V72" s="16">
        <v>-4.8553696806060809E-2</v>
      </c>
      <c r="W72" s="56">
        <f t="shared" si="9"/>
        <v>3</v>
      </c>
      <c r="X72" s="56">
        <f t="shared" si="10"/>
        <v>2150.7734615081213</v>
      </c>
      <c r="Y72" s="56">
        <f t="shared" si="10"/>
        <v>223.41775808725859</v>
      </c>
      <c r="AA72" s="56">
        <f t="shared" si="22"/>
        <v>0</v>
      </c>
      <c r="AB72" s="56">
        <v>0</v>
      </c>
      <c r="AC72" s="56">
        <f t="shared" si="11"/>
        <v>0</v>
      </c>
      <c r="AE72" s="56">
        <v>0</v>
      </c>
      <c r="AF72" s="56">
        <f t="shared" si="12"/>
        <v>0</v>
      </c>
      <c r="AG72" s="56">
        <f t="shared" si="13"/>
        <v>0</v>
      </c>
      <c r="AI72" s="56">
        <f t="shared" si="14"/>
        <v>0</v>
      </c>
      <c r="AJ72" s="56">
        <f t="shared" si="15"/>
        <v>0</v>
      </c>
      <c r="AK72" s="56">
        <f t="shared" si="16"/>
        <v>0</v>
      </c>
      <c r="AM72" s="56">
        <f t="shared" si="17"/>
        <v>217072</v>
      </c>
      <c r="AN72" s="56">
        <f t="shared" si="18"/>
        <v>21257</v>
      </c>
      <c r="AO72" s="56">
        <f t="shared" si="19"/>
        <v>35725</v>
      </c>
      <c r="AP72" s="56"/>
      <c r="AQ72" s="56">
        <f t="shared" si="20"/>
        <v>274054</v>
      </c>
      <c r="AS72" s="56">
        <v>1258.5972847197338</v>
      </c>
      <c r="AT72" s="56">
        <v>123.24944019167548</v>
      </c>
      <c r="AU72" s="56">
        <v>207.13582588547803</v>
      </c>
      <c r="AV72" s="56"/>
      <c r="AW72" s="56">
        <v>1588.9825507968872</v>
      </c>
      <c r="AY72" s="16">
        <v>9.2741234020492502E-3</v>
      </c>
      <c r="AZ72" s="16">
        <v>-4.8553696806060809E-2</v>
      </c>
      <c r="BA72" s="16">
        <v>-7.265098912829504E-2</v>
      </c>
      <c r="BB72" s="16">
        <f t="shared" si="21"/>
        <v>-6.8453054198062135E-3</v>
      </c>
      <c r="BC72" s="16"/>
      <c r="BE72" s="16">
        <v>3.0488810073200812E-2</v>
      </c>
      <c r="BF72" s="16">
        <v>3.5677561483578035E-2</v>
      </c>
      <c r="BG72" s="16">
        <v>7.3967153581219636E-2</v>
      </c>
      <c r="BH72" s="16">
        <f>AQ72/(VLOOKUP($A72,'2016-17'!$A$12:$D$220,4,FALSE))-1</f>
        <v>3.6360807332388223E-2</v>
      </c>
      <c r="BJ72" s="16">
        <v>2.5431875319704256E-2</v>
      </c>
      <c r="BK72" s="16">
        <v>3.059516388460648E-2</v>
      </c>
      <c r="BL72" s="16">
        <v>6.8696856834695064E-2</v>
      </c>
      <c r="BM72" s="16">
        <v>3.1275056829780601E-2</v>
      </c>
    </row>
    <row r="73" spans="1:65" x14ac:dyDescent="0.2">
      <c r="A73" s="156" t="s">
        <v>191</v>
      </c>
      <c r="B73" s="156" t="s">
        <v>192</v>
      </c>
      <c r="D73" s="56">
        <f>VLOOKUP(A73,'2016-17'!$A$12:$AMX281,32,FALSE)</f>
        <v>449554</v>
      </c>
      <c r="E73" s="56">
        <v>1727.7841127493334</v>
      </c>
      <c r="F73" s="16">
        <f>VLOOKUP(A73,'2016-17'!$A$12:$AMX281,34,FALSE)</f>
        <v>2.9549327639420975E-2</v>
      </c>
      <c r="G73" s="16">
        <f>VLOOKUP(A73,'2016-17'!$A$12:$AMX281,35,FALSE)</f>
        <v>2.578207769318297E-2</v>
      </c>
      <c r="H73" s="56"/>
      <c r="I73" s="56">
        <v>427839.2385824474</v>
      </c>
      <c r="J73" s="56">
        <v>1644.3271314091839</v>
      </c>
      <c r="K73" s="16">
        <f t="shared" si="6"/>
        <v>5.075448780598002E-2</v>
      </c>
      <c r="L73" s="58">
        <f t="shared" si="6"/>
        <v>5.075448780598002E-2</v>
      </c>
      <c r="M73" s="10"/>
      <c r="N73" s="56">
        <v>353184</v>
      </c>
      <c r="O73" s="56">
        <v>35869</v>
      </c>
      <c r="P73" s="56">
        <v>60501</v>
      </c>
      <c r="R73" s="56">
        <f t="shared" si="7"/>
        <v>60501</v>
      </c>
      <c r="S73" s="56">
        <f t="shared" si="8"/>
        <v>0</v>
      </c>
      <c r="U73" s="16">
        <v>5.9269795460952235E-2</v>
      </c>
      <c r="V73" s="16">
        <v>6.0415893320810543E-2</v>
      </c>
      <c r="W73" s="56">
        <f t="shared" si="9"/>
        <v>2</v>
      </c>
      <c r="X73" s="56">
        <f t="shared" si="10"/>
        <v>3334.2213807418943</v>
      </c>
      <c r="Y73" s="56">
        <f t="shared" si="10"/>
        <v>338.25407772484652</v>
      </c>
      <c r="AA73" s="56">
        <f t="shared" si="22"/>
        <v>0</v>
      </c>
      <c r="AB73" s="56">
        <v>0</v>
      </c>
      <c r="AC73" s="56">
        <f t="shared" si="11"/>
        <v>0</v>
      </c>
      <c r="AE73" s="56">
        <v>0</v>
      </c>
      <c r="AF73" s="56">
        <f t="shared" si="12"/>
        <v>0</v>
      </c>
      <c r="AG73" s="56">
        <f t="shared" si="13"/>
        <v>0</v>
      </c>
      <c r="AI73" s="56">
        <f t="shared" si="14"/>
        <v>0</v>
      </c>
      <c r="AJ73" s="56">
        <f t="shared" si="15"/>
        <v>0</v>
      </c>
      <c r="AK73" s="56">
        <f t="shared" si="16"/>
        <v>0</v>
      </c>
      <c r="AM73" s="56">
        <f t="shared" si="17"/>
        <v>353184</v>
      </c>
      <c r="AN73" s="56">
        <f t="shared" si="18"/>
        <v>35869</v>
      </c>
      <c r="AO73" s="56">
        <f t="shared" si="19"/>
        <v>60501</v>
      </c>
      <c r="AP73" s="56"/>
      <c r="AQ73" s="56">
        <f t="shared" si="20"/>
        <v>449554</v>
      </c>
      <c r="AS73" s="56">
        <v>1357.4024568289028</v>
      </c>
      <c r="AT73" s="56">
        <v>137.85638285991413</v>
      </c>
      <c r="AU73" s="56">
        <v>232.52527306051647</v>
      </c>
      <c r="AV73" s="56"/>
      <c r="AW73" s="56">
        <v>1727.7841127493334</v>
      </c>
      <c r="AY73" s="16">
        <v>5.9269795460952235E-2</v>
      </c>
      <c r="AZ73" s="16">
        <v>6.0415893320810543E-2</v>
      </c>
      <c r="BA73" s="16">
        <v>-1.49678498286554E-3</v>
      </c>
      <c r="BB73" s="16">
        <f t="shared" si="21"/>
        <v>5.075448780598002E-2</v>
      </c>
      <c r="BC73" s="16"/>
      <c r="BE73" s="16">
        <v>2.2095573223053444E-2</v>
      </c>
      <c r="BF73" s="16">
        <v>3.3748342843967993E-2</v>
      </c>
      <c r="BG73" s="16">
        <v>7.2630033204310607E-2</v>
      </c>
      <c r="BH73" s="16">
        <f>AQ73/(VLOOKUP($A73,'2016-17'!$A$12:$D$220,4,FALSE))-1</f>
        <v>2.9549327639420975E-2</v>
      </c>
      <c r="BJ73" s="16">
        <v>1.835559749784621E-2</v>
      </c>
      <c r="BK73" s="16">
        <v>2.9965728175147754E-2</v>
      </c>
      <c r="BL73" s="16">
        <v>6.8705145560328251E-2</v>
      </c>
      <c r="BM73" s="16">
        <v>2.578207769318297E-2</v>
      </c>
    </row>
    <row r="74" spans="1:65" x14ac:dyDescent="0.2">
      <c r="A74" s="156" t="s">
        <v>193</v>
      </c>
      <c r="B74" s="156" t="s">
        <v>194</v>
      </c>
      <c r="D74" s="56">
        <f>VLOOKUP(A74,'2016-17'!$A$12:$AMX282,32,FALSE)</f>
        <v>197523</v>
      </c>
      <c r="E74" s="56">
        <v>1658.7240509034805</v>
      </c>
      <c r="F74" s="16">
        <f>VLOOKUP(A74,'2016-17'!$A$12:$AMX282,34,FALSE)</f>
        <v>3.5397428482948579E-2</v>
      </c>
      <c r="G74" s="16">
        <f>VLOOKUP(A74,'2016-17'!$A$12:$AMX282,35,FALSE)</f>
        <v>3.468192549074689E-2</v>
      </c>
      <c r="H74" s="56"/>
      <c r="I74" s="56">
        <v>195170.49311441643</v>
      </c>
      <c r="J74" s="56">
        <v>1638.9685806492139</v>
      </c>
      <c r="K74" s="16">
        <f t="shared" si="6"/>
        <v>1.2053599127837655E-2</v>
      </c>
      <c r="L74" s="58">
        <f t="shared" si="6"/>
        <v>1.2053599127837655E-2</v>
      </c>
      <c r="M74" s="10"/>
      <c r="N74" s="56">
        <v>158111</v>
      </c>
      <c r="O74" s="56">
        <v>15868</v>
      </c>
      <c r="P74" s="56">
        <v>23544</v>
      </c>
      <c r="R74" s="56">
        <f t="shared" si="7"/>
        <v>23544</v>
      </c>
      <c r="S74" s="56">
        <f t="shared" si="8"/>
        <v>0</v>
      </c>
      <c r="U74" s="16">
        <v>1.2458514694881684E-2</v>
      </c>
      <c r="V74" s="16">
        <v>1.078380768537035E-2</v>
      </c>
      <c r="W74" s="56">
        <f t="shared" si="9"/>
        <v>2</v>
      </c>
      <c r="X74" s="56">
        <f t="shared" si="10"/>
        <v>1561.6541093305825</v>
      </c>
      <c r="Y74" s="56">
        <f t="shared" si="10"/>
        <v>156.9870815039736</v>
      </c>
      <c r="AA74" s="56">
        <f t="shared" si="22"/>
        <v>0</v>
      </c>
      <c r="AB74" s="56">
        <v>0</v>
      </c>
      <c r="AC74" s="56">
        <f t="shared" si="11"/>
        <v>0</v>
      </c>
      <c r="AE74" s="56">
        <v>0</v>
      </c>
      <c r="AF74" s="56">
        <f t="shared" si="12"/>
        <v>0</v>
      </c>
      <c r="AG74" s="56">
        <f t="shared" si="13"/>
        <v>0</v>
      </c>
      <c r="AI74" s="56">
        <f t="shared" si="14"/>
        <v>0</v>
      </c>
      <c r="AJ74" s="56">
        <f t="shared" si="15"/>
        <v>0</v>
      </c>
      <c r="AK74" s="56">
        <f t="shared" si="16"/>
        <v>0</v>
      </c>
      <c r="AM74" s="56">
        <f t="shared" si="17"/>
        <v>158111</v>
      </c>
      <c r="AN74" s="56">
        <f t="shared" si="18"/>
        <v>15868</v>
      </c>
      <c r="AO74" s="56">
        <f t="shared" si="19"/>
        <v>23544</v>
      </c>
      <c r="AP74" s="56"/>
      <c r="AQ74" s="56">
        <f t="shared" si="20"/>
        <v>197523</v>
      </c>
      <c r="AS74" s="56">
        <v>1327.7568607827959</v>
      </c>
      <c r="AT74" s="56">
        <v>133.25351093156965</v>
      </c>
      <c r="AU74" s="56">
        <v>197.71367918911491</v>
      </c>
      <c r="AV74" s="56"/>
      <c r="AW74" s="56">
        <v>1658.7240509034805</v>
      </c>
      <c r="AY74" s="16">
        <v>1.2458514694881684E-2</v>
      </c>
      <c r="AZ74" s="16">
        <v>1.078380768537035E-2</v>
      </c>
      <c r="BA74" s="16">
        <v>1.019575025799746E-2</v>
      </c>
      <c r="BB74" s="16">
        <f t="shared" si="21"/>
        <v>1.2053599127837655E-2</v>
      </c>
      <c r="BC74" s="16"/>
      <c r="BE74" s="16">
        <v>3.0489799804300999E-2</v>
      </c>
      <c r="BF74" s="16">
        <v>3.5635034590784542E-2</v>
      </c>
      <c r="BG74" s="16">
        <v>6.943506640606123E-2</v>
      </c>
      <c r="BH74" s="16">
        <f>AQ74/(VLOOKUP($A74,'2016-17'!$A$12:$D$220,4,FALSE))-1</f>
        <v>3.5397428482948579E-2</v>
      </c>
      <c r="BJ74" s="16">
        <v>2.9777688189079665E-2</v>
      </c>
      <c r="BK74" s="16">
        <v>3.4919367402810098E-2</v>
      </c>
      <c r="BL74" s="16">
        <v>6.8696041980339073E-2</v>
      </c>
      <c r="BM74" s="16">
        <v>3.468192549074689E-2</v>
      </c>
    </row>
    <row r="75" spans="1:65" x14ac:dyDescent="0.2">
      <c r="A75" s="156" t="s">
        <v>195</v>
      </c>
      <c r="B75" s="156" t="s">
        <v>196</v>
      </c>
      <c r="D75" s="56">
        <f>VLOOKUP(A75,'2016-17'!$A$12:$AMX283,32,FALSE)</f>
        <v>990854</v>
      </c>
      <c r="E75" s="56">
        <v>1684.0405441885694</v>
      </c>
      <c r="F75" s="16">
        <f>VLOOKUP(A75,'2016-17'!$A$12:$AMX283,34,FALSE)</f>
        <v>3.2404344583841782E-2</v>
      </c>
      <c r="G75" s="16">
        <f>VLOOKUP(A75,'2016-17'!$A$12:$AMX283,35,FALSE)</f>
        <v>2.6326301387915807E-2</v>
      </c>
      <c r="H75" s="56"/>
      <c r="I75" s="56">
        <v>929630.89232061943</v>
      </c>
      <c r="J75" s="56">
        <v>1579.9866718993123</v>
      </c>
      <c r="K75" s="16">
        <f t="shared" si="6"/>
        <v>6.5857436736585395E-2</v>
      </c>
      <c r="L75" s="58">
        <f t="shared" si="6"/>
        <v>6.5857436736585395E-2</v>
      </c>
      <c r="M75" s="10"/>
      <c r="N75" s="56">
        <v>737037</v>
      </c>
      <c r="O75" s="56">
        <v>74747</v>
      </c>
      <c r="P75" s="56">
        <v>179070</v>
      </c>
      <c r="R75" s="56">
        <f t="shared" si="7"/>
        <v>179070</v>
      </c>
      <c r="S75" s="56">
        <f t="shared" si="8"/>
        <v>0</v>
      </c>
      <c r="U75" s="16">
        <v>5.9009127265245542E-2</v>
      </c>
      <c r="V75" s="16">
        <v>2.388982362239167E-3</v>
      </c>
      <c r="W75" s="56">
        <f t="shared" si="9"/>
        <v>2</v>
      </c>
      <c r="X75" s="56">
        <f t="shared" si="10"/>
        <v>6959.6850586482005</v>
      </c>
      <c r="Y75" s="56">
        <f t="shared" si="10"/>
        <v>745.68856317485188</v>
      </c>
      <c r="AA75" s="56">
        <f t="shared" si="22"/>
        <v>0</v>
      </c>
      <c r="AB75" s="56">
        <v>0</v>
      </c>
      <c r="AC75" s="56">
        <f t="shared" si="11"/>
        <v>0</v>
      </c>
      <c r="AE75" s="56">
        <v>0</v>
      </c>
      <c r="AF75" s="56">
        <f t="shared" si="12"/>
        <v>0</v>
      </c>
      <c r="AG75" s="56">
        <f t="shared" si="13"/>
        <v>0</v>
      </c>
      <c r="AI75" s="56">
        <f t="shared" si="14"/>
        <v>0</v>
      </c>
      <c r="AJ75" s="56">
        <f t="shared" si="15"/>
        <v>0</v>
      </c>
      <c r="AK75" s="56">
        <f t="shared" si="16"/>
        <v>0</v>
      </c>
      <c r="AM75" s="56">
        <f t="shared" si="17"/>
        <v>737037</v>
      </c>
      <c r="AN75" s="56">
        <f t="shared" si="18"/>
        <v>74747</v>
      </c>
      <c r="AO75" s="56">
        <f t="shared" si="19"/>
        <v>179070</v>
      </c>
      <c r="AP75" s="56"/>
      <c r="AQ75" s="56">
        <f t="shared" si="20"/>
        <v>990854</v>
      </c>
      <c r="AS75" s="56">
        <v>1252.6569914105514</v>
      </c>
      <c r="AT75" s="56">
        <v>127.03887611743303</v>
      </c>
      <c r="AU75" s="56">
        <v>304.34467666058481</v>
      </c>
      <c r="AV75" s="56"/>
      <c r="AW75" s="56">
        <v>1684.0405441885694</v>
      </c>
      <c r="AY75" s="16">
        <v>5.9009127265245542E-2</v>
      </c>
      <c r="AZ75" s="16">
        <v>2.388982362239167E-3</v>
      </c>
      <c r="BA75" s="16">
        <v>0.12556431329620144</v>
      </c>
      <c r="BB75" s="16">
        <f t="shared" si="21"/>
        <v>6.5857436736585395E-2</v>
      </c>
      <c r="BC75" s="16"/>
      <c r="BE75" s="16">
        <v>2.2232618051080566E-2</v>
      </c>
      <c r="BF75" s="16">
        <v>3.5649957048244474E-2</v>
      </c>
      <c r="BG75" s="16">
        <v>7.5026209915157072E-2</v>
      </c>
      <c r="BH75" s="16">
        <f>AQ75/(VLOOKUP($A75,'2016-17'!$A$12:$D$220,4,FALSE))-1</f>
        <v>3.2404344583841782E-2</v>
      </c>
      <c r="BJ75" s="16">
        <v>1.6214458556310651E-2</v>
      </c>
      <c r="BK75" s="16">
        <v>2.9552806055204606E-2</v>
      </c>
      <c r="BL75" s="16">
        <v>6.8697240287224348E-2</v>
      </c>
      <c r="BM75" s="16">
        <v>2.6326301387915807E-2</v>
      </c>
    </row>
    <row r="76" spans="1:65" x14ac:dyDescent="0.2">
      <c r="A76" s="156" t="s">
        <v>197</v>
      </c>
      <c r="B76" s="156" t="s">
        <v>198</v>
      </c>
      <c r="D76" s="56">
        <f>VLOOKUP(A76,'2016-17'!$A$12:$AMX284,32,FALSE)</f>
        <v>505161</v>
      </c>
      <c r="E76" s="56">
        <v>1425.0023179581965</v>
      </c>
      <c r="F76" s="16">
        <f>VLOOKUP(A76,'2016-17'!$A$12:$AMX284,34,FALSE)</f>
        <v>3.7019124865068198E-2</v>
      </c>
      <c r="G76" s="16">
        <f>VLOOKUP(A76,'2016-17'!$A$12:$AMX284,35,FALSE)</f>
        <v>3.0351249261349578E-2</v>
      </c>
      <c r="H76" s="56"/>
      <c r="I76" s="56">
        <v>495611.45151490974</v>
      </c>
      <c r="J76" s="56">
        <v>1398.0641166190039</v>
      </c>
      <c r="K76" s="16">
        <f t="shared" si="6"/>
        <v>1.9268215970193348E-2</v>
      </c>
      <c r="L76" s="58">
        <f t="shared" si="6"/>
        <v>1.9268215970193348E-2</v>
      </c>
      <c r="M76" s="10"/>
      <c r="N76" s="56">
        <v>394029</v>
      </c>
      <c r="O76" s="56">
        <v>40061</v>
      </c>
      <c r="P76" s="56">
        <v>71071</v>
      </c>
      <c r="R76" s="56">
        <f t="shared" si="7"/>
        <v>71071</v>
      </c>
      <c r="S76" s="56">
        <f t="shared" si="8"/>
        <v>0</v>
      </c>
      <c r="U76" s="16">
        <v>2.1007843824160322E-2</v>
      </c>
      <c r="V76" s="16">
        <v>-3.6522555881110974E-2</v>
      </c>
      <c r="W76" s="56">
        <f t="shared" si="9"/>
        <v>3</v>
      </c>
      <c r="X76" s="56">
        <f t="shared" si="10"/>
        <v>3859.2161890174502</v>
      </c>
      <c r="Y76" s="56">
        <f t="shared" si="10"/>
        <v>415.7959300919207</v>
      </c>
      <c r="AA76" s="56">
        <f t="shared" si="22"/>
        <v>0</v>
      </c>
      <c r="AB76" s="56">
        <v>0</v>
      </c>
      <c r="AC76" s="56">
        <f t="shared" si="11"/>
        <v>0</v>
      </c>
      <c r="AE76" s="56">
        <v>0</v>
      </c>
      <c r="AF76" s="56">
        <f t="shared" si="12"/>
        <v>0</v>
      </c>
      <c r="AG76" s="56">
        <f t="shared" si="13"/>
        <v>0</v>
      </c>
      <c r="AI76" s="56">
        <f t="shared" si="14"/>
        <v>0</v>
      </c>
      <c r="AJ76" s="56">
        <f t="shared" si="15"/>
        <v>0</v>
      </c>
      <c r="AK76" s="56">
        <f t="shared" si="16"/>
        <v>0</v>
      </c>
      <c r="AM76" s="56">
        <f t="shared" si="17"/>
        <v>394029</v>
      </c>
      <c r="AN76" s="56">
        <f t="shared" si="18"/>
        <v>40061</v>
      </c>
      <c r="AO76" s="56">
        <f t="shared" si="19"/>
        <v>71071</v>
      </c>
      <c r="AP76" s="56"/>
      <c r="AQ76" s="56">
        <f t="shared" si="20"/>
        <v>505161</v>
      </c>
      <c r="AS76" s="56">
        <v>1111.5114554424238</v>
      </c>
      <c r="AT76" s="56">
        <v>113.007571565745</v>
      </c>
      <c r="AU76" s="56">
        <v>200.48329095002777</v>
      </c>
      <c r="AV76" s="56"/>
      <c r="AW76" s="56">
        <v>1425.0023179581965</v>
      </c>
      <c r="AY76" s="16">
        <v>2.1007843824160322E-2</v>
      </c>
      <c r="AZ76" s="16">
        <v>-3.6522555881110974E-2</v>
      </c>
      <c r="BA76" s="16">
        <v>4.3470121574123555E-2</v>
      </c>
      <c r="BB76" s="16">
        <f t="shared" si="21"/>
        <v>1.9268215970193348E-2</v>
      </c>
      <c r="BC76" s="16"/>
      <c r="BE76" s="16">
        <v>3.0487808208137457E-2</v>
      </c>
      <c r="BF76" s="16">
        <v>3.5649656170828825E-2</v>
      </c>
      <c r="BG76" s="16">
        <v>7.5617338711904569E-2</v>
      </c>
      <c r="BH76" s="16">
        <f>AQ76/(VLOOKUP($A76,'2016-17'!$A$12:$D$220,4,FALSE))-1</f>
        <v>3.7019124865068198E-2</v>
      </c>
      <c r="BJ76" s="16">
        <v>2.3861927979385911E-2</v>
      </c>
      <c r="BK76" s="16">
        <v>2.8990586042995092E-2</v>
      </c>
      <c r="BL76" s="16">
        <v>6.870128245048579E-2</v>
      </c>
      <c r="BM76" s="16">
        <v>3.0351249261349578E-2</v>
      </c>
    </row>
    <row r="77" spans="1:65" x14ac:dyDescent="0.2">
      <c r="A77" s="156" t="s">
        <v>199</v>
      </c>
      <c r="B77" s="156" t="s">
        <v>200</v>
      </c>
      <c r="D77" s="56">
        <f>VLOOKUP(A77,'2016-17'!$A$12:$AMX285,32,FALSE)</f>
        <v>624512</v>
      </c>
      <c r="E77" s="56">
        <v>1710.2214414642988</v>
      </c>
      <c r="F77" s="16">
        <f>VLOOKUP(A77,'2016-17'!$A$12:$AMX285,34,FALSE)</f>
        <v>3.575780043222343E-2</v>
      </c>
      <c r="G77" s="16">
        <f>VLOOKUP(A77,'2016-17'!$A$12:$AMX285,35,FALSE)</f>
        <v>3.0410001284959076E-2</v>
      </c>
      <c r="H77" s="56"/>
      <c r="I77" s="56">
        <v>601845.94962979341</v>
      </c>
      <c r="J77" s="56">
        <v>1648.1506320379995</v>
      </c>
      <c r="K77" s="16">
        <f t="shared" ref="K77:L140" si="23">D77/I77-1</f>
        <v>3.7660883792852484E-2</v>
      </c>
      <c r="L77" s="58">
        <f t="shared" si="23"/>
        <v>3.7660883792852484E-2</v>
      </c>
      <c r="M77" s="10"/>
      <c r="N77" s="56">
        <v>488812</v>
      </c>
      <c r="O77" s="56">
        <v>55762</v>
      </c>
      <c r="P77" s="56">
        <v>79938</v>
      </c>
      <c r="R77" s="56">
        <f t="shared" ref="R77:R140" si="24">ROUND(P77,0)</f>
        <v>79938</v>
      </c>
      <c r="S77" s="56">
        <f t="shared" ref="S77:S140" si="25">D77-SUM(N77:P77)</f>
        <v>0</v>
      </c>
      <c r="U77" s="16">
        <v>2.5082861034558146E-2</v>
      </c>
      <c r="V77" s="16">
        <v>0.18534791355407165</v>
      </c>
      <c r="W77" s="56">
        <f t="shared" ref="W77:W140" si="26">IF(AND(U77&lt;0,V77&gt;0),1,IF(AND(U77&gt;0,V77&gt;0),2,IF(AND(U77&gt;0,V77&lt;0),3,IF(AND(U77&lt;0,V77&lt;0),4,5))))</f>
        <v>2</v>
      </c>
      <c r="X77" s="56">
        <f t="shared" ref="X77:Y140" si="27">N77/(1+U77)/100</f>
        <v>4768.5120742987519</v>
      </c>
      <c r="Y77" s="56">
        <f t="shared" si="27"/>
        <v>470.42728436418952</v>
      </c>
      <c r="AA77" s="56">
        <f t="shared" ref="AA77:AA140" si="28">IF(W77=1,MIN(S77,-1*U77*N77),0)</f>
        <v>0</v>
      </c>
      <c r="AB77" s="56">
        <v>0</v>
      </c>
      <c r="AC77" s="56">
        <f t="shared" ref="AC77:AC140" si="29">S77-AA77-AB77</f>
        <v>0</v>
      </c>
      <c r="AE77" s="56">
        <v>0</v>
      </c>
      <c r="AF77" s="56">
        <f t="shared" ref="AF77:AF140" si="30">IF(W77=3,MIN(S77,-1*V77*O77),0)</f>
        <v>0</v>
      </c>
      <c r="AG77" s="56">
        <f t="shared" ref="AG77:AG140" si="31">AC77-AE77-AF77</f>
        <v>0</v>
      </c>
      <c r="AI77" s="56">
        <f t="shared" ref="AI77:AI140" si="32">AG77*X77/(X77+Y77)</f>
        <v>0</v>
      </c>
      <c r="AJ77" s="56">
        <f t="shared" ref="AJ77:AJ140" si="33">AG77*Y77/(X77+Y77)</f>
        <v>0</v>
      </c>
      <c r="AK77" s="56">
        <f t="shared" ref="AK77:AK140" si="34">S77-SUM(AA77:AB77)-SUM(AE77:AF77)-SUM(AI77:AJ77)</f>
        <v>0</v>
      </c>
      <c r="AM77" s="56">
        <f t="shared" ref="AM77:AM140" si="35">ROUND(N77+AA77+AE77+AI77,0)</f>
        <v>488812</v>
      </c>
      <c r="AN77" s="56">
        <f t="shared" ref="AN77:AN140" si="36">ROUND(O77+AB77+AF77+AJ77,0)</f>
        <v>55762</v>
      </c>
      <c r="AO77" s="56">
        <f t="shared" ref="AO77:AO140" si="37">R77</f>
        <v>79938</v>
      </c>
      <c r="AP77" s="56"/>
      <c r="AQ77" s="56">
        <f t="shared" ref="AQ77:AQ140" si="38">SUM(AM77:AP77)</f>
        <v>624512</v>
      </c>
      <c r="AS77" s="56">
        <v>1338.6080063234124</v>
      </c>
      <c r="AT77" s="56">
        <v>152.70381997292642</v>
      </c>
      <c r="AU77" s="56">
        <v>218.90961516796014</v>
      </c>
      <c r="AV77" s="56"/>
      <c r="AW77" s="56">
        <v>1710.2214414642988</v>
      </c>
      <c r="AY77" s="16">
        <v>2.5082861034558146E-2</v>
      </c>
      <c r="AZ77" s="16">
        <v>0.18534791355407165</v>
      </c>
      <c r="BA77" s="16">
        <v>2.5477035686674476E-2</v>
      </c>
      <c r="BB77" s="16">
        <f t="shared" ref="BB77:BB140" si="39">SUM(AM77:AO77)/I77-1</f>
        <v>3.7660883792852484E-2</v>
      </c>
      <c r="BC77" s="16"/>
      <c r="BE77" s="16">
        <v>3.0487284602929376E-2</v>
      </c>
      <c r="BF77" s="16">
        <v>2.9047021480770541E-2</v>
      </c>
      <c r="BG77" s="16">
        <v>7.424164525826904E-2</v>
      </c>
      <c r="BH77" s="16">
        <f>AQ77/(VLOOKUP($A77,'2016-17'!$A$12:$D$220,4,FALSE))-1</f>
        <v>3.575780043222343E-2</v>
      </c>
      <c r="BJ77" s="16">
        <v>2.5166698053094461E-2</v>
      </c>
      <c r="BK77" s="16">
        <v>2.3733871261990336E-2</v>
      </c>
      <c r="BL77" s="16">
        <v>6.8695147271895518E-2</v>
      </c>
      <c r="BM77" s="16">
        <v>3.0410001284959076E-2</v>
      </c>
    </row>
    <row r="78" spans="1:65" x14ac:dyDescent="0.2">
      <c r="A78" s="156" t="s">
        <v>201</v>
      </c>
      <c r="B78" s="156" t="s">
        <v>202</v>
      </c>
      <c r="D78" s="56">
        <f>VLOOKUP(A78,'2016-17'!$A$12:$AMX286,32,FALSE)</f>
        <v>1221376</v>
      </c>
      <c r="E78" s="56">
        <v>1689.7481284651585</v>
      </c>
      <c r="F78" s="16">
        <f>VLOOKUP(A78,'2016-17'!$A$12:$AMX286,34,FALSE)</f>
        <v>3.9560581152487284E-2</v>
      </c>
      <c r="G78" s="16">
        <f>VLOOKUP(A78,'2016-17'!$A$12:$AMX286,35,FALSE)</f>
        <v>3.156353052100469E-2</v>
      </c>
      <c r="H78" s="56"/>
      <c r="I78" s="56">
        <v>1224538.9050558079</v>
      </c>
      <c r="J78" s="56">
        <v>1694.1239413995575</v>
      </c>
      <c r="K78" s="16">
        <f t="shared" si="23"/>
        <v>-2.582935538225084E-3</v>
      </c>
      <c r="L78" s="58">
        <f t="shared" si="23"/>
        <v>-2.582935538225084E-3</v>
      </c>
      <c r="M78" s="10"/>
      <c r="N78" s="56">
        <v>896349</v>
      </c>
      <c r="O78" s="56">
        <v>88326</v>
      </c>
      <c r="P78" s="56">
        <v>236701</v>
      </c>
      <c r="R78" s="56">
        <f t="shared" si="24"/>
        <v>236701</v>
      </c>
      <c r="S78" s="56">
        <f t="shared" si="25"/>
        <v>0</v>
      </c>
      <c r="U78" s="16">
        <v>-8.4072973505210369E-3</v>
      </c>
      <c r="V78" s="16">
        <v>-9.5519568196056448E-2</v>
      </c>
      <c r="W78" s="56">
        <f t="shared" si="26"/>
        <v>4</v>
      </c>
      <c r="X78" s="56">
        <f t="shared" si="27"/>
        <v>9039.4876606595299</v>
      </c>
      <c r="Y78" s="56">
        <f t="shared" si="27"/>
        <v>976.53853963250435</v>
      </c>
      <c r="AA78" s="56">
        <f t="shared" si="28"/>
        <v>0</v>
      </c>
      <c r="AB78" s="56">
        <v>0</v>
      </c>
      <c r="AC78" s="56">
        <f t="shared" si="29"/>
        <v>0</v>
      </c>
      <c r="AE78" s="56">
        <v>0</v>
      </c>
      <c r="AF78" s="56">
        <f t="shared" si="30"/>
        <v>0</v>
      </c>
      <c r="AG78" s="56">
        <f t="shared" si="31"/>
        <v>0</v>
      </c>
      <c r="AI78" s="56">
        <f t="shared" si="32"/>
        <v>0</v>
      </c>
      <c r="AJ78" s="56">
        <f t="shared" si="33"/>
        <v>0</v>
      </c>
      <c r="AK78" s="56">
        <f t="shared" si="34"/>
        <v>0</v>
      </c>
      <c r="AM78" s="56">
        <f t="shared" si="35"/>
        <v>896349</v>
      </c>
      <c r="AN78" s="56">
        <f t="shared" si="36"/>
        <v>88326</v>
      </c>
      <c r="AO78" s="56">
        <f t="shared" si="37"/>
        <v>236701</v>
      </c>
      <c r="AP78" s="56"/>
      <c r="AQ78" s="56">
        <f t="shared" si="38"/>
        <v>1221376</v>
      </c>
      <c r="AS78" s="56">
        <v>1240.0800778806988</v>
      </c>
      <c r="AT78" s="56">
        <v>122.19717203777837</v>
      </c>
      <c r="AU78" s="56">
        <v>327.47087854668138</v>
      </c>
      <c r="AV78" s="56"/>
      <c r="AW78" s="56">
        <v>1689.7481284651585</v>
      </c>
      <c r="AY78" s="16">
        <v>-8.4072973505210369E-3</v>
      </c>
      <c r="AZ78" s="16">
        <v>-9.5519568196056448E-2</v>
      </c>
      <c r="BA78" s="16">
        <v>6.1742820249081065E-2</v>
      </c>
      <c r="BB78" s="16">
        <f t="shared" si="39"/>
        <v>-2.582935538225084E-3</v>
      </c>
      <c r="BC78" s="16"/>
      <c r="BE78" s="16">
        <v>3.0487533831597524E-2</v>
      </c>
      <c r="BF78" s="16">
        <v>3.5656915049539828E-2</v>
      </c>
      <c r="BG78" s="16">
        <v>7.6983828232995322E-2</v>
      </c>
      <c r="BH78" s="16">
        <f>AQ78/(VLOOKUP($A78,'2016-17'!$A$12:$D$220,4,FALSE))-1</f>
        <v>3.9560581152487284E-2</v>
      </c>
      <c r="BJ78" s="16">
        <v>2.2560279631532731E-2</v>
      </c>
      <c r="BK78" s="16">
        <v>2.7689894236462731E-2</v>
      </c>
      <c r="BL78" s="16">
        <v>6.8698890962558323E-2</v>
      </c>
      <c r="BM78" s="16">
        <v>3.156353052100469E-2</v>
      </c>
    </row>
    <row r="79" spans="1:65" x14ac:dyDescent="0.2">
      <c r="A79" s="156" t="s">
        <v>203</v>
      </c>
      <c r="B79" s="156" t="s">
        <v>204</v>
      </c>
      <c r="D79" s="56">
        <f>VLOOKUP(A79,'2016-17'!$A$12:$AMX287,32,FALSE)</f>
        <v>470741.2866084628</v>
      </c>
      <c r="E79" s="56">
        <v>1593.9530166332397</v>
      </c>
      <c r="F79" s="16">
        <f>VLOOKUP(A79,'2016-17'!$A$12:$AMX287,34,FALSE)</f>
        <v>4.0698976026962042E-2</v>
      </c>
      <c r="G79" s="16">
        <f>VLOOKUP(A79,'2016-17'!$A$12:$AMX287,35,FALSE)</f>
        <v>3.3032958216536068E-2</v>
      </c>
      <c r="H79" s="56"/>
      <c r="I79" s="56">
        <v>480175.06995287997</v>
      </c>
      <c r="J79" s="56">
        <v>1625.8962683680406</v>
      </c>
      <c r="K79" s="16">
        <f t="shared" si="23"/>
        <v>-1.9646549633122179E-2</v>
      </c>
      <c r="L79" s="58">
        <f t="shared" si="23"/>
        <v>-1.9646549633122179E-2</v>
      </c>
      <c r="M79" s="10"/>
      <c r="N79" s="56">
        <v>340491</v>
      </c>
      <c r="O79" s="56">
        <v>39392</v>
      </c>
      <c r="P79" s="56">
        <v>90306</v>
      </c>
      <c r="R79" s="56">
        <f t="shared" si="24"/>
        <v>90306</v>
      </c>
      <c r="S79" s="56">
        <f t="shared" si="25"/>
        <v>552.286608462804</v>
      </c>
      <c r="U79" s="16">
        <v>-3.7963306291421639E-2</v>
      </c>
      <c r="V79" s="16">
        <v>5.2175220451273763E-3</v>
      </c>
      <c r="W79" s="56">
        <f t="shared" si="26"/>
        <v>1</v>
      </c>
      <c r="X79" s="56">
        <f t="shared" si="27"/>
        <v>3539.2724854125163</v>
      </c>
      <c r="Y79" s="56">
        <f t="shared" si="27"/>
        <v>391.87538155777952</v>
      </c>
      <c r="AA79" s="56">
        <f t="shared" si="28"/>
        <v>552.286608462804</v>
      </c>
      <c r="AB79" s="56">
        <v>0</v>
      </c>
      <c r="AC79" s="56">
        <f t="shared" si="29"/>
        <v>0</v>
      </c>
      <c r="AE79" s="56">
        <v>0</v>
      </c>
      <c r="AF79" s="56">
        <f t="shared" si="30"/>
        <v>0</v>
      </c>
      <c r="AG79" s="56">
        <f t="shared" si="31"/>
        <v>0</v>
      </c>
      <c r="AI79" s="56">
        <f t="shared" si="32"/>
        <v>0</v>
      </c>
      <c r="AJ79" s="56">
        <f t="shared" si="33"/>
        <v>0</v>
      </c>
      <c r="AK79" s="56">
        <f t="shared" si="34"/>
        <v>0</v>
      </c>
      <c r="AM79" s="56">
        <f t="shared" si="35"/>
        <v>341043</v>
      </c>
      <c r="AN79" s="56">
        <f t="shared" si="36"/>
        <v>39392</v>
      </c>
      <c r="AO79" s="56">
        <f t="shared" si="37"/>
        <v>90306</v>
      </c>
      <c r="AP79" s="56"/>
      <c r="AQ79" s="56">
        <f t="shared" si="38"/>
        <v>470741</v>
      </c>
      <c r="AS79" s="56">
        <v>1154.7882756750685</v>
      </c>
      <c r="AT79" s="56">
        <v>133.38323834646158</v>
      </c>
      <c r="AU79" s="56">
        <v>305.78053214143887</v>
      </c>
      <c r="AV79" s="56"/>
      <c r="AW79" s="56">
        <v>1593.9520461629691</v>
      </c>
      <c r="AY79" s="16">
        <v>-3.6403663731332969E-2</v>
      </c>
      <c r="AZ79" s="16">
        <v>5.2175220451273763E-3</v>
      </c>
      <c r="BA79" s="16">
        <v>3.7281256421038522E-2</v>
      </c>
      <c r="BB79" s="16">
        <f t="shared" si="39"/>
        <v>-1.9647146516385661E-2</v>
      </c>
      <c r="BC79" s="16"/>
      <c r="BE79" s="16">
        <v>3.2157987102200414E-2</v>
      </c>
      <c r="BF79" s="16">
        <v>3.5650436428646515E-2</v>
      </c>
      <c r="BG79" s="16">
        <v>7.6629933395191863E-2</v>
      </c>
      <c r="BH79" s="16">
        <f>AQ79/(VLOOKUP($A79,'2016-17'!$A$12:$D$220,4,FALSE))-1</f>
        <v>4.069834240262904E-2</v>
      </c>
      <c r="BJ79" s="16">
        <v>2.4554884096846807E-2</v>
      </c>
      <c r="BK79" s="16">
        <v>2.8021607272546989E-2</v>
      </c>
      <c r="BL79" s="16">
        <v>6.8699240241102411E-2</v>
      </c>
      <c r="BM79" s="16">
        <v>3.3032329259619519E-2</v>
      </c>
    </row>
    <row r="80" spans="1:65" x14ac:dyDescent="0.2">
      <c r="A80" s="156" t="s">
        <v>205</v>
      </c>
      <c r="B80" s="156" t="s">
        <v>206</v>
      </c>
      <c r="D80" s="56">
        <f>VLOOKUP(A80,'2016-17'!$A$12:$AMX288,32,FALSE)</f>
        <v>210068</v>
      </c>
      <c r="E80" s="56">
        <v>1588.9937369279883</v>
      </c>
      <c r="F80" s="16">
        <f>VLOOKUP(A80,'2016-17'!$A$12:$AMX288,34,FALSE)</f>
        <v>3.5890877373516483E-2</v>
      </c>
      <c r="G80" s="16">
        <f>VLOOKUP(A80,'2016-17'!$A$12:$AMX288,35,FALSE)</f>
        <v>3.307861056264616E-2</v>
      </c>
      <c r="H80" s="56"/>
      <c r="I80" s="56">
        <v>211863.98279409806</v>
      </c>
      <c r="J80" s="56">
        <v>1602.5788875051931</v>
      </c>
      <c r="K80" s="16">
        <f t="shared" si="23"/>
        <v>-8.4770557525273293E-3</v>
      </c>
      <c r="L80" s="58">
        <f t="shared" si="23"/>
        <v>-8.4770557525273293E-3</v>
      </c>
      <c r="M80" s="10"/>
      <c r="N80" s="56">
        <v>164232</v>
      </c>
      <c r="O80" s="56">
        <v>17406</v>
      </c>
      <c r="P80" s="56">
        <v>28430</v>
      </c>
      <c r="R80" s="56">
        <f t="shared" si="24"/>
        <v>28430</v>
      </c>
      <c r="S80" s="56">
        <f t="shared" si="25"/>
        <v>0</v>
      </c>
      <c r="U80" s="16">
        <v>-1.4416996330070986E-2</v>
      </c>
      <c r="V80" s="16">
        <v>8.0111809173857074E-2</v>
      </c>
      <c r="W80" s="56">
        <f t="shared" si="26"/>
        <v>1</v>
      </c>
      <c r="X80" s="56">
        <f t="shared" si="27"/>
        <v>1666.3436705834383</v>
      </c>
      <c r="Y80" s="56">
        <f t="shared" si="27"/>
        <v>161.14998329027893</v>
      </c>
      <c r="AA80" s="56">
        <f t="shared" si="28"/>
        <v>0</v>
      </c>
      <c r="AB80" s="56">
        <v>0</v>
      </c>
      <c r="AC80" s="56">
        <f t="shared" si="29"/>
        <v>0</v>
      </c>
      <c r="AE80" s="56">
        <v>0</v>
      </c>
      <c r="AF80" s="56">
        <f t="shared" si="30"/>
        <v>0</v>
      </c>
      <c r="AG80" s="56">
        <f t="shared" si="31"/>
        <v>0</v>
      </c>
      <c r="AI80" s="56">
        <f t="shared" si="32"/>
        <v>0</v>
      </c>
      <c r="AJ80" s="56">
        <f t="shared" si="33"/>
        <v>0</v>
      </c>
      <c r="AK80" s="56">
        <f t="shared" si="34"/>
        <v>0</v>
      </c>
      <c r="AM80" s="56">
        <f t="shared" si="35"/>
        <v>164232</v>
      </c>
      <c r="AN80" s="56">
        <f t="shared" si="36"/>
        <v>17406</v>
      </c>
      <c r="AO80" s="56">
        <f t="shared" si="37"/>
        <v>28430</v>
      </c>
      <c r="AP80" s="56"/>
      <c r="AQ80" s="56">
        <f t="shared" si="38"/>
        <v>210068</v>
      </c>
      <c r="AS80" s="56">
        <v>1242.28163929374</v>
      </c>
      <c r="AT80" s="56">
        <v>131.66224739117126</v>
      </c>
      <c r="AU80" s="56">
        <v>215.04985024307706</v>
      </c>
      <c r="AV80" s="56"/>
      <c r="AW80" s="56">
        <v>1588.9937369279883</v>
      </c>
      <c r="AY80" s="16">
        <v>-1.4416996330070986E-2</v>
      </c>
      <c r="AZ80" s="16">
        <v>8.0111809173857074E-2</v>
      </c>
      <c r="BA80" s="16">
        <v>-2.3514559616646835E-2</v>
      </c>
      <c r="BB80" s="16">
        <f t="shared" si="39"/>
        <v>-8.4770557525273293E-3</v>
      </c>
      <c r="BC80" s="16"/>
      <c r="BE80" s="16">
        <v>3.0486998123236964E-2</v>
      </c>
      <c r="BF80" s="16">
        <v>3.0754841790824772E-2</v>
      </c>
      <c r="BG80" s="16">
        <v>7.1622843600353425E-2</v>
      </c>
      <c r="BH80" s="16">
        <f>AQ80/(VLOOKUP($A80,'2016-17'!$A$12:$D$220,4,FALSE))-1</f>
        <v>3.5890877373516483E-2</v>
      </c>
      <c r="BJ80" s="16">
        <v>2.7689401921595191E-2</v>
      </c>
      <c r="BK80" s="16">
        <v>2.7956518439370859E-2</v>
      </c>
      <c r="BL80" s="16">
        <v>6.8713570603887719E-2</v>
      </c>
      <c r="BM80" s="16">
        <v>3.307861056264616E-2</v>
      </c>
    </row>
    <row r="81" spans="1:65" x14ac:dyDescent="0.2">
      <c r="A81" s="156" t="s">
        <v>207</v>
      </c>
      <c r="B81" s="156" t="s">
        <v>208</v>
      </c>
      <c r="D81" s="56">
        <f>VLOOKUP(A81,'2016-17'!$A$12:$AMX289,32,FALSE)</f>
        <v>765911</v>
      </c>
      <c r="E81" s="56">
        <v>1553.9123883320115</v>
      </c>
      <c r="F81" s="16">
        <f>VLOOKUP(A81,'2016-17'!$A$12:$AMX289,34,FALSE)</f>
        <v>3.9126990336990852E-2</v>
      </c>
      <c r="G81" s="16">
        <f>VLOOKUP(A81,'2016-17'!$A$12:$AMX289,35,FALSE)</f>
        <v>2.6545086294619491E-2</v>
      </c>
      <c r="H81" s="56"/>
      <c r="I81" s="56">
        <v>776547.90540302615</v>
      </c>
      <c r="J81" s="56">
        <v>1575.4929885313531</v>
      </c>
      <c r="K81" s="16">
        <f t="shared" si="23"/>
        <v>-1.3697680888734909E-2</v>
      </c>
      <c r="L81" s="58">
        <f t="shared" si="23"/>
        <v>-1.3697680888734909E-2</v>
      </c>
      <c r="M81" s="10"/>
      <c r="N81" s="56">
        <v>578866</v>
      </c>
      <c r="O81" s="56">
        <v>59010</v>
      </c>
      <c r="P81" s="56">
        <v>128035</v>
      </c>
      <c r="R81" s="56">
        <f t="shared" si="24"/>
        <v>128035</v>
      </c>
      <c r="S81" s="56">
        <f t="shared" si="25"/>
        <v>0</v>
      </c>
      <c r="U81" s="16">
        <v>-2.0504711947911036E-2</v>
      </c>
      <c r="V81" s="16">
        <v>-9.6139280404600846E-2</v>
      </c>
      <c r="W81" s="56">
        <f t="shared" si="26"/>
        <v>4</v>
      </c>
      <c r="X81" s="56">
        <f t="shared" si="27"/>
        <v>5909.8395577908714</v>
      </c>
      <c r="Y81" s="56">
        <f t="shared" si="27"/>
        <v>652.86607461396284</v>
      </c>
      <c r="AA81" s="56">
        <f t="shared" si="28"/>
        <v>0</v>
      </c>
      <c r="AB81" s="56">
        <v>0</v>
      </c>
      <c r="AC81" s="56">
        <f t="shared" si="29"/>
        <v>0</v>
      </c>
      <c r="AE81" s="56">
        <v>0</v>
      </c>
      <c r="AF81" s="56">
        <f t="shared" si="30"/>
        <v>0</v>
      </c>
      <c r="AG81" s="56">
        <f t="shared" si="31"/>
        <v>0</v>
      </c>
      <c r="AI81" s="56">
        <f t="shared" si="32"/>
        <v>0</v>
      </c>
      <c r="AJ81" s="56">
        <f t="shared" si="33"/>
        <v>0</v>
      </c>
      <c r="AK81" s="56">
        <f t="shared" si="34"/>
        <v>0</v>
      </c>
      <c r="AM81" s="56">
        <f t="shared" si="35"/>
        <v>578866</v>
      </c>
      <c r="AN81" s="56">
        <f t="shared" si="36"/>
        <v>59010</v>
      </c>
      <c r="AO81" s="56">
        <f t="shared" si="37"/>
        <v>128035</v>
      </c>
      <c r="AP81" s="56"/>
      <c r="AQ81" s="56">
        <f t="shared" si="38"/>
        <v>765911</v>
      </c>
      <c r="AS81" s="56">
        <v>1174.4276405276828</v>
      </c>
      <c r="AT81" s="56">
        <v>119.72196513102958</v>
      </c>
      <c r="AU81" s="56">
        <v>259.76278267329894</v>
      </c>
      <c r="AV81" s="56"/>
      <c r="AW81" s="56">
        <v>1553.9123883320115</v>
      </c>
      <c r="AY81" s="16">
        <v>-2.0504711947911036E-2</v>
      </c>
      <c r="AZ81" s="16">
        <v>-9.6139280404600846E-2</v>
      </c>
      <c r="BA81" s="16">
        <v>6.4498081666732876E-2</v>
      </c>
      <c r="BB81" s="16">
        <f t="shared" si="39"/>
        <v>-1.3697680888734909E-2</v>
      </c>
      <c r="BC81" s="16"/>
      <c r="BE81" s="16">
        <v>3.0487486234394678E-2</v>
      </c>
      <c r="BF81" s="16">
        <v>3.5662887430236268E-2</v>
      </c>
      <c r="BG81" s="16">
        <v>8.1800220388588585E-2</v>
      </c>
      <c r="BH81" s="16">
        <f>AQ81/(VLOOKUP($A81,'2016-17'!$A$12:$D$220,4,FALSE))-1</f>
        <v>3.9126990336990852E-2</v>
      </c>
      <c r="BJ81" s="16">
        <v>1.8010190591769559E-2</v>
      </c>
      <c r="BK81" s="16">
        <v>2.3122927260722514E-2</v>
      </c>
      <c r="BL81" s="16">
        <v>6.8701622534315332E-2</v>
      </c>
      <c r="BM81" s="16">
        <v>2.6545086294619491E-2</v>
      </c>
    </row>
    <row r="82" spans="1:65" x14ac:dyDescent="0.2">
      <c r="A82" s="156" t="s">
        <v>209</v>
      </c>
      <c r="B82" s="156" t="s">
        <v>210</v>
      </c>
      <c r="D82" s="56">
        <f>VLOOKUP(A82,'2016-17'!$A$12:$AMX290,32,FALSE)</f>
        <v>524222.6889946002</v>
      </c>
      <c r="E82" s="56">
        <v>1657.0282539536379</v>
      </c>
      <c r="F82" s="16">
        <f>VLOOKUP(A82,'2016-17'!$A$12:$AMX290,34,FALSE)</f>
        <v>4.2777375092031278E-2</v>
      </c>
      <c r="G82" s="16">
        <f>VLOOKUP(A82,'2016-17'!$A$12:$AMX290,35,FALSE)</f>
        <v>3.992240135079328E-2</v>
      </c>
      <c r="H82" s="56"/>
      <c r="I82" s="56">
        <v>536453.36421828996</v>
      </c>
      <c r="J82" s="56">
        <v>1695.6884928865497</v>
      </c>
      <c r="K82" s="16">
        <f t="shared" si="23"/>
        <v>-2.2799139756560338E-2</v>
      </c>
      <c r="L82" s="58">
        <f t="shared" si="23"/>
        <v>-2.2799139756560449E-2</v>
      </c>
      <c r="M82" s="10"/>
      <c r="N82" s="56">
        <v>402288</v>
      </c>
      <c r="O82" s="56">
        <v>39604</v>
      </c>
      <c r="P82" s="56">
        <v>79398</v>
      </c>
      <c r="R82" s="56">
        <f t="shared" si="24"/>
        <v>79398</v>
      </c>
      <c r="S82" s="56">
        <f t="shared" si="25"/>
        <v>2932.6889946002048</v>
      </c>
      <c r="U82" s="16">
        <v>-3.8289888663731286E-2</v>
      </c>
      <c r="V82" s="16">
        <v>-2.3737407821112222E-2</v>
      </c>
      <c r="W82" s="56">
        <f t="shared" si="26"/>
        <v>4</v>
      </c>
      <c r="X82" s="56">
        <f t="shared" si="27"/>
        <v>4183.0484598007642</v>
      </c>
      <c r="Y82" s="56">
        <f t="shared" si="27"/>
        <v>405.6695433921027</v>
      </c>
      <c r="AA82" s="56">
        <f t="shared" si="28"/>
        <v>0</v>
      </c>
      <c r="AB82" s="56">
        <v>0</v>
      </c>
      <c r="AC82" s="56">
        <f t="shared" si="29"/>
        <v>2932.6889946002048</v>
      </c>
      <c r="AE82" s="56">
        <v>0</v>
      </c>
      <c r="AF82" s="56">
        <f t="shared" si="30"/>
        <v>0</v>
      </c>
      <c r="AG82" s="56">
        <f t="shared" si="31"/>
        <v>2932.6889946002048</v>
      </c>
      <c r="AI82" s="56">
        <f t="shared" si="32"/>
        <v>2673.4221134097056</v>
      </c>
      <c r="AJ82" s="56">
        <f t="shared" si="33"/>
        <v>259.26688119049919</v>
      </c>
      <c r="AK82" s="56">
        <f t="shared" si="34"/>
        <v>0</v>
      </c>
      <c r="AM82" s="56">
        <f t="shared" si="35"/>
        <v>404961</v>
      </c>
      <c r="AN82" s="56">
        <f t="shared" si="36"/>
        <v>39863</v>
      </c>
      <c r="AO82" s="56">
        <f t="shared" si="37"/>
        <v>79398</v>
      </c>
      <c r="AP82" s="56"/>
      <c r="AQ82" s="56">
        <f t="shared" si="38"/>
        <v>524222</v>
      </c>
      <c r="AS82" s="56">
        <v>1280.0510791249465</v>
      </c>
      <c r="AT82" s="56">
        <v>126.00392671678938</v>
      </c>
      <c r="AU82" s="56">
        <v>250.97107025210454</v>
      </c>
      <c r="AV82" s="56"/>
      <c r="AW82" s="56">
        <v>1657.0260760938404</v>
      </c>
      <c r="AY82" s="16">
        <v>-3.1899812082769818E-2</v>
      </c>
      <c r="AZ82" s="16">
        <v>-1.7352900918417236E-2</v>
      </c>
      <c r="BA82" s="16">
        <v>2.3413244200147343E-2</v>
      </c>
      <c r="BB82" s="16">
        <f t="shared" si="39"/>
        <v>-2.2800424107905948E-2</v>
      </c>
      <c r="BC82" s="16"/>
      <c r="BE82" s="16">
        <v>3.73337083258789E-2</v>
      </c>
      <c r="BF82" s="16">
        <v>4.2415208807301097E-2</v>
      </c>
      <c r="BG82" s="16">
        <v>7.1638018769839995E-2</v>
      </c>
      <c r="BH82" s="16">
        <f>AQ82/(VLOOKUP($A82,'2016-17'!$A$12:$D$220,4,FALSE))-1</f>
        <v>4.2776004552381286E-2</v>
      </c>
      <c r="BJ82" s="16">
        <v>3.449363855747789E-2</v>
      </c>
      <c r="BK82" s="16">
        <v>3.9561226625007162E-2</v>
      </c>
      <c r="BL82" s="16">
        <v>6.8704028757417657E-2</v>
      </c>
      <c r="BM82" s="16">
        <v>3.9921034563482838E-2</v>
      </c>
    </row>
    <row r="83" spans="1:65" x14ac:dyDescent="0.2">
      <c r="A83" s="156" t="s">
        <v>211</v>
      </c>
      <c r="B83" s="156" t="s">
        <v>212</v>
      </c>
      <c r="D83" s="56">
        <f>VLOOKUP(A83,'2016-17'!$A$12:$AMX291,32,FALSE)</f>
        <v>200425.20566937764</v>
      </c>
      <c r="E83" s="56">
        <v>1440.8062936442575</v>
      </c>
      <c r="F83" s="16">
        <f>VLOOKUP(A83,'2016-17'!$A$12:$AMX291,34,FALSE)</f>
        <v>5.3054087582699916E-2</v>
      </c>
      <c r="G83" s="16">
        <f>VLOOKUP(A83,'2016-17'!$A$12:$AMX291,35,FALSE)</f>
        <v>4.6147989553902979E-2</v>
      </c>
      <c r="H83" s="56"/>
      <c r="I83" s="56">
        <v>205914.86325102381</v>
      </c>
      <c r="J83" s="56">
        <v>1480.2700585293755</v>
      </c>
      <c r="K83" s="16">
        <f t="shared" si="23"/>
        <v>-2.6659841329442657E-2</v>
      </c>
      <c r="L83" s="58">
        <f t="shared" si="23"/>
        <v>-2.6659841329442768E-2</v>
      </c>
      <c r="M83" s="10"/>
      <c r="N83" s="56">
        <v>153880</v>
      </c>
      <c r="O83" s="56">
        <v>17639</v>
      </c>
      <c r="P83" s="56">
        <v>27139</v>
      </c>
      <c r="R83" s="56">
        <f t="shared" si="24"/>
        <v>27139</v>
      </c>
      <c r="S83" s="56">
        <f t="shared" si="25"/>
        <v>1767.2056693776394</v>
      </c>
      <c r="U83" s="16">
        <v>-4.406191610507626E-2</v>
      </c>
      <c r="V83" s="16">
        <v>4.0368527565878276E-2</v>
      </c>
      <c r="W83" s="56">
        <f t="shared" si="26"/>
        <v>1</v>
      </c>
      <c r="X83" s="56">
        <f t="shared" si="27"/>
        <v>1609.7276862641913</v>
      </c>
      <c r="Y83" s="56">
        <f t="shared" si="27"/>
        <v>169.54569013414394</v>
      </c>
      <c r="AA83" s="56">
        <f t="shared" si="28"/>
        <v>1767.2056693776394</v>
      </c>
      <c r="AB83" s="56">
        <v>0</v>
      </c>
      <c r="AC83" s="56">
        <f t="shared" si="29"/>
        <v>0</v>
      </c>
      <c r="AE83" s="56">
        <v>0</v>
      </c>
      <c r="AF83" s="56">
        <f t="shared" si="30"/>
        <v>0</v>
      </c>
      <c r="AG83" s="56">
        <f t="shared" si="31"/>
        <v>0</v>
      </c>
      <c r="AI83" s="56">
        <f t="shared" si="32"/>
        <v>0</v>
      </c>
      <c r="AJ83" s="56">
        <f t="shared" si="33"/>
        <v>0</v>
      </c>
      <c r="AK83" s="56">
        <f t="shared" si="34"/>
        <v>0</v>
      </c>
      <c r="AM83" s="56">
        <f t="shared" si="35"/>
        <v>155647</v>
      </c>
      <c r="AN83" s="56">
        <f t="shared" si="36"/>
        <v>17639</v>
      </c>
      <c r="AO83" s="56">
        <f t="shared" si="37"/>
        <v>27139</v>
      </c>
      <c r="AP83" s="56"/>
      <c r="AQ83" s="56">
        <f t="shared" si="38"/>
        <v>200425</v>
      </c>
      <c r="AS83" s="56">
        <v>1118.9070578117978</v>
      </c>
      <c r="AT83" s="56">
        <v>126.8023257290041</v>
      </c>
      <c r="AU83" s="56">
        <v>195.09543159813154</v>
      </c>
      <c r="AV83" s="56"/>
      <c r="AW83" s="56">
        <v>1440.8048151389335</v>
      </c>
      <c r="AY83" s="16">
        <v>-3.3084904185123443E-2</v>
      </c>
      <c r="AZ83" s="16">
        <v>4.0368527565878276E-2</v>
      </c>
      <c r="BA83" s="16">
        <v>-3.0317993200907445E-2</v>
      </c>
      <c r="BB83" s="16">
        <f t="shared" si="39"/>
        <v>-2.6660840137272213E-2</v>
      </c>
      <c r="BC83" s="16"/>
      <c r="BE83" s="16">
        <v>5.1189783981486769E-2</v>
      </c>
      <c r="BF83" s="16">
        <v>3.5639513766763775E-2</v>
      </c>
      <c r="BG83" s="16">
        <v>7.5744728179858223E-2</v>
      </c>
      <c r="BH83" s="16">
        <f>AQ83/(VLOOKUP($A83,'2016-17'!$A$12:$D$220,4,FALSE))-1</f>
        <v>5.3053006975207984E-2</v>
      </c>
      <c r="BJ83" s="16">
        <v>4.4295912355472034E-2</v>
      </c>
      <c r="BK83" s="16">
        <v>2.8847623313172033E-2</v>
      </c>
      <c r="BL83" s="16">
        <v>6.8689821281557206E-2</v>
      </c>
      <c r="BM83" s="16">
        <v>4.6146916033209084E-2</v>
      </c>
    </row>
    <row r="84" spans="1:65" x14ac:dyDescent="0.2">
      <c r="A84" s="156" t="s">
        <v>213</v>
      </c>
      <c r="B84" s="156" t="s">
        <v>214</v>
      </c>
      <c r="D84" s="56">
        <f>VLOOKUP(A84,'2016-17'!$A$12:$AMX292,32,FALSE)</f>
        <v>293616</v>
      </c>
      <c r="E84" s="56">
        <v>1583.7271284502165</v>
      </c>
      <c r="F84" s="16">
        <f>VLOOKUP(A84,'2016-17'!$A$12:$AMX292,34,FALSE)</f>
        <v>3.7145588738727531E-2</v>
      </c>
      <c r="G84" s="16">
        <f>VLOOKUP(A84,'2016-17'!$A$12:$AMX292,35,FALSE)</f>
        <v>3.1335566447296737E-2</v>
      </c>
      <c r="H84" s="56"/>
      <c r="I84" s="56">
        <v>292815.34134576377</v>
      </c>
      <c r="J84" s="56">
        <v>1579.4084781336724</v>
      </c>
      <c r="K84" s="16">
        <f t="shared" si="23"/>
        <v>2.734346672399246E-3</v>
      </c>
      <c r="L84" s="58">
        <f t="shared" si="23"/>
        <v>2.734346672399246E-3</v>
      </c>
      <c r="M84" s="10"/>
      <c r="N84" s="56">
        <v>225205</v>
      </c>
      <c r="O84" s="56">
        <v>24876</v>
      </c>
      <c r="P84" s="56">
        <v>43535</v>
      </c>
      <c r="R84" s="56">
        <f t="shared" si="24"/>
        <v>43535</v>
      </c>
      <c r="S84" s="56">
        <f t="shared" si="25"/>
        <v>0</v>
      </c>
      <c r="U84" s="16">
        <v>1.3988897314736182E-3</v>
      </c>
      <c r="V84" s="16">
        <v>5.6519524924431908E-2</v>
      </c>
      <c r="W84" s="56">
        <f t="shared" si="26"/>
        <v>2</v>
      </c>
      <c r="X84" s="56">
        <f t="shared" si="27"/>
        <v>2248.9040312436236</v>
      </c>
      <c r="Y84" s="56">
        <f t="shared" si="27"/>
        <v>235.45234530123111</v>
      </c>
      <c r="AA84" s="56">
        <f t="shared" si="28"/>
        <v>0</v>
      </c>
      <c r="AB84" s="56">
        <v>0</v>
      </c>
      <c r="AC84" s="56">
        <f t="shared" si="29"/>
        <v>0</v>
      </c>
      <c r="AE84" s="56">
        <v>0</v>
      </c>
      <c r="AF84" s="56">
        <f t="shared" si="30"/>
        <v>0</v>
      </c>
      <c r="AG84" s="56">
        <f t="shared" si="31"/>
        <v>0</v>
      </c>
      <c r="AI84" s="56">
        <f t="shared" si="32"/>
        <v>0</v>
      </c>
      <c r="AJ84" s="56">
        <f t="shared" si="33"/>
        <v>0</v>
      </c>
      <c r="AK84" s="56">
        <f t="shared" si="34"/>
        <v>0</v>
      </c>
      <c r="AM84" s="56">
        <f t="shared" si="35"/>
        <v>225205</v>
      </c>
      <c r="AN84" s="56">
        <f t="shared" si="36"/>
        <v>24876</v>
      </c>
      <c r="AO84" s="56">
        <f t="shared" si="37"/>
        <v>43535</v>
      </c>
      <c r="AP84" s="56"/>
      <c r="AQ84" s="56">
        <f t="shared" si="38"/>
        <v>293616</v>
      </c>
      <c r="AS84" s="56">
        <v>1214.7269493577699</v>
      </c>
      <c r="AT84" s="56">
        <v>134.17796049032609</v>
      </c>
      <c r="AU84" s="56">
        <v>234.82221860212036</v>
      </c>
      <c r="AV84" s="56"/>
      <c r="AW84" s="56">
        <v>1583.7271284502165</v>
      </c>
      <c r="AY84" s="16">
        <v>1.3988897314736182E-3</v>
      </c>
      <c r="AZ84" s="16">
        <v>5.6519524924431908E-2</v>
      </c>
      <c r="BA84" s="16">
        <v>-1.9033558609457657E-2</v>
      </c>
      <c r="BB84" s="16">
        <f t="shared" si="39"/>
        <v>2.734346672399246E-3</v>
      </c>
      <c r="BC84" s="16"/>
      <c r="BE84" s="16">
        <v>3.0487730270572166E-2</v>
      </c>
      <c r="BF84" s="16">
        <v>3.4345114345114336E-2</v>
      </c>
      <c r="BG84" s="16">
        <v>7.4727709207474957E-2</v>
      </c>
      <c r="BH84" s="16">
        <f>AQ84/(VLOOKUP($A84,'2016-17'!$A$12:$D$220,4,FALSE))-1</f>
        <v>3.7145588738727531E-2</v>
      </c>
      <c r="BJ84" s="16">
        <v>2.4715004870275115E-2</v>
      </c>
      <c r="BK84" s="16">
        <v>2.8550780129523723E-2</v>
      </c>
      <c r="BL84" s="16">
        <v>6.8707154315748253E-2</v>
      </c>
      <c r="BM84" s="16">
        <v>3.1335566447296737E-2</v>
      </c>
    </row>
    <row r="85" spans="1:65" x14ac:dyDescent="0.2">
      <c r="A85" s="156" t="s">
        <v>215</v>
      </c>
      <c r="B85" s="156" t="s">
        <v>216</v>
      </c>
      <c r="D85" s="56">
        <f>VLOOKUP(A85,'2016-17'!$A$12:$AMX293,32,FALSE)</f>
        <v>360313</v>
      </c>
      <c r="E85" s="56">
        <v>1661.9777438639135</v>
      </c>
      <c r="F85" s="16">
        <f>VLOOKUP(A85,'2016-17'!$A$12:$AMX293,34,FALSE)</f>
        <v>3.7229450654910234E-2</v>
      </c>
      <c r="G85" s="16">
        <f>VLOOKUP(A85,'2016-17'!$A$12:$AMX293,35,FALSE)</f>
        <v>3.5006040451953435E-2</v>
      </c>
      <c r="H85" s="56"/>
      <c r="I85" s="56">
        <v>354237.41415699269</v>
      </c>
      <c r="J85" s="56">
        <v>1633.9535303273137</v>
      </c>
      <c r="K85" s="16">
        <f t="shared" si="23"/>
        <v>1.715116924468818E-2</v>
      </c>
      <c r="L85" s="58">
        <f t="shared" si="23"/>
        <v>1.7151169244688402E-2</v>
      </c>
      <c r="M85" s="10"/>
      <c r="N85" s="56">
        <v>275390</v>
      </c>
      <c r="O85" s="56">
        <v>26527</v>
      </c>
      <c r="P85" s="56">
        <v>58396</v>
      </c>
      <c r="R85" s="56">
        <f t="shared" si="24"/>
        <v>58396</v>
      </c>
      <c r="S85" s="56">
        <f t="shared" si="25"/>
        <v>0</v>
      </c>
      <c r="U85" s="16">
        <v>7.9462922403030767E-3</v>
      </c>
      <c r="V85" s="16">
        <v>1.0178222319061625E-3</v>
      </c>
      <c r="W85" s="56">
        <f t="shared" si="26"/>
        <v>2</v>
      </c>
      <c r="X85" s="56">
        <f t="shared" si="27"/>
        <v>2732.1892259547562</v>
      </c>
      <c r="Y85" s="56">
        <f t="shared" si="27"/>
        <v>265.00027682678444</v>
      </c>
      <c r="AA85" s="56">
        <f t="shared" si="28"/>
        <v>0</v>
      </c>
      <c r="AB85" s="56">
        <v>0</v>
      </c>
      <c r="AC85" s="56">
        <f t="shared" si="29"/>
        <v>0</v>
      </c>
      <c r="AE85" s="56">
        <v>0</v>
      </c>
      <c r="AF85" s="56">
        <f t="shared" si="30"/>
        <v>0</v>
      </c>
      <c r="AG85" s="56">
        <f t="shared" si="31"/>
        <v>0</v>
      </c>
      <c r="AI85" s="56">
        <f t="shared" si="32"/>
        <v>0</v>
      </c>
      <c r="AJ85" s="56">
        <f t="shared" si="33"/>
        <v>0</v>
      </c>
      <c r="AK85" s="56">
        <f t="shared" si="34"/>
        <v>0</v>
      </c>
      <c r="AM85" s="56">
        <f t="shared" si="35"/>
        <v>275390</v>
      </c>
      <c r="AN85" s="56">
        <f t="shared" si="36"/>
        <v>26527</v>
      </c>
      <c r="AO85" s="56">
        <f t="shared" si="37"/>
        <v>58396</v>
      </c>
      <c r="AP85" s="56"/>
      <c r="AQ85" s="56">
        <f t="shared" si="38"/>
        <v>360313</v>
      </c>
      <c r="AS85" s="56">
        <v>1270.2623854334513</v>
      </c>
      <c r="AT85" s="56">
        <v>122.35829296050387</v>
      </c>
      <c r="AU85" s="56">
        <v>269.35706546995829</v>
      </c>
      <c r="AV85" s="56"/>
      <c r="AW85" s="56">
        <v>1661.9777438639135</v>
      </c>
      <c r="AY85" s="16">
        <v>7.9462922403030767E-3</v>
      </c>
      <c r="AZ85" s="16">
        <v>1.0178222319061625E-3</v>
      </c>
      <c r="BA85" s="16">
        <v>7.1123356112505087E-2</v>
      </c>
      <c r="BB85" s="16">
        <f t="shared" si="39"/>
        <v>1.715116924468818E-2</v>
      </c>
      <c r="BC85" s="16"/>
      <c r="BE85" s="16">
        <v>3.0489245785316754E-2</v>
      </c>
      <c r="BF85" s="16">
        <v>3.5666474301242923E-2</v>
      </c>
      <c r="BG85" s="16">
        <v>7.0999403123099158E-2</v>
      </c>
      <c r="BH85" s="16">
        <f>AQ85/(VLOOKUP($A85,'2016-17'!$A$12:$D$220,4,FALSE))-1</f>
        <v>3.7229450654910234E-2</v>
      </c>
      <c r="BJ85" s="16">
        <v>2.8280283919001281E-2</v>
      </c>
      <c r="BK85" s="16">
        <v>3.3446414502162236E-2</v>
      </c>
      <c r="BL85" s="16">
        <v>6.8703603482276332E-2</v>
      </c>
      <c r="BM85" s="16">
        <v>3.5006040451953435E-2</v>
      </c>
    </row>
    <row r="86" spans="1:65" x14ac:dyDescent="0.2">
      <c r="A86" s="156" t="s">
        <v>217</v>
      </c>
      <c r="B86" s="156" t="s">
        <v>218</v>
      </c>
      <c r="D86" s="56">
        <f>VLOOKUP(A86,'2016-17'!$A$12:$AMX294,32,FALSE)</f>
        <v>258720</v>
      </c>
      <c r="E86" s="56">
        <v>1478.1821299005996</v>
      </c>
      <c r="F86" s="16">
        <f>VLOOKUP(A86,'2016-17'!$A$12:$AMX294,34,FALSE)</f>
        <v>3.7186203174036869E-2</v>
      </c>
      <c r="G86" s="16">
        <f>VLOOKUP(A86,'2016-17'!$A$12:$AMX294,35,FALSE)</f>
        <v>3.2926702159162158E-2</v>
      </c>
      <c r="H86" s="56"/>
      <c r="I86" s="56">
        <v>261832.43474306114</v>
      </c>
      <c r="J86" s="56">
        <v>1495.9648502843145</v>
      </c>
      <c r="K86" s="16">
        <f t="shared" si="23"/>
        <v>-1.1887124473770383E-2</v>
      </c>
      <c r="L86" s="58">
        <f t="shared" si="23"/>
        <v>-1.1887124473770272E-2</v>
      </c>
      <c r="M86" s="10"/>
      <c r="N86" s="56">
        <v>197525</v>
      </c>
      <c r="O86" s="56">
        <v>21868</v>
      </c>
      <c r="P86" s="56">
        <v>39327</v>
      </c>
      <c r="R86" s="56">
        <f t="shared" si="24"/>
        <v>39327</v>
      </c>
      <c r="S86" s="56">
        <f t="shared" si="25"/>
        <v>0</v>
      </c>
      <c r="U86" s="16">
        <v>-1.627286284263163E-2</v>
      </c>
      <c r="V86" s="16">
        <v>3.718240254919003E-2</v>
      </c>
      <c r="W86" s="56">
        <f t="shared" si="26"/>
        <v>1</v>
      </c>
      <c r="X86" s="56">
        <f t="shared" si="27"/>
        <v>2007.9246829642111</v>
      </c>
      <c r="Y86" s="56">
        <f t="shared" si="27"/>
        <v>210.84044567525217</v>
      </c>
      <c r="AA86" s="56">
        <f t="shared" si="28"/>
        <v>0</v>
      </c>
      <c r="AB86" s="56">
        <v>0</v>
      </c>
      <c r="AC86" s="56">
        <f t="shared" si="29"/>
        <v>0</v>
      </c>
      <c r="AE86" s="56">
        <v>0</v>
      </c>
      <c r="AF86" s="56">
        <f t="shared" si="30"/>
        <v>0</v>
      </c>
      <c r="AG86" s="56">
        <f t="shared" si="31"/>
        <v>0</v>
      </c>
      <c r="AI86" s="56">
        <f t="shared" si="32"/>
        <v>0</v>
      </c>
      <c r="AJ86" s="56">
        <f t="shared" si="33"/>
        <v>0</v>
      </c>
      <c r="AK86" s="56">
        <f t="shared" si="34"/>
        <v>0</v>
      </c>
      <c r="AM86" s="56">
        <f t="shared" si="35"/>
        <v>197525</v>
      </c>
      <c r="AN86" s="56">
        <f t="shared" si="36"/>
        <v>21868</v>
      </c>
      <c r="AO86" s="56">
        <f t="shared" si="37"/>
        <v>39327</v>
      </c>
      <c r="AP86" s="56"/>
      <c r="AQ86" s="56">
        <f t="shared" si="38"/>
        <v>258720</v>
      </c>
      <c r="AS86" s="56">
        <v>1128.5479483944648</v>
      </c>
      <c r="AT86" s="56">
        <v>124.94158478921734</v>
      </c>
      <c r="AU86" s="56">
        <v>224.69259671691745</v>
      </c>
      <c r="AV86" s="56"/>
      <c r="AW86" s="56">
        <v>1478.1821299005996</v>
      </c>
      <c r="AY86" s="16">
        <v>-1.627286284263163E-2</v>
      </c>
      <c r="AZ86" s="16">
        <v>3.718240254919003E-2</v>
      </c>
      <c r="BA86" s="16">
        <v>-1.5740392150570437E-2</v>
      </c>
      <c r="BB86" s="16">
        <f t="shared" si="39"/>
        <v>-1.1887124473770383E-2</v>
      </c>
      <c r="BC86" s="16"/>
      <c r="BE86" s="16">
        <v>3.0488374626503889E-2</v>
      </c>
      <c r="BF86" s="16">
        <v>3.5661851764148711E-2</v>
      </c>
      <c r="BG86" s="16">
        <v>7.3096132582360696E-2</v>
      </c>
      <c r="BH86" s="16">
        <f>AQ86/(VLOOKUP($A86,'2016-17'!$A$12:$D$220,4,FALSE))-1</f>
        <v>3.7186203174036869E-2</v>
      </c>
      <c r="BJ86" s="16">
        <v>2.6256380155206482E-2</v>
      </c>
      <c r="BK86" s="16">
        <v>3.1408610933180592E-2</v>
      </c>
      <c r="BL86" s="16">
        <v>6.8689157198572381E-2</v>
      </c>
      <c r="BM86" s="16">
        <v>3.2926702159162158E-2</v>
      </c>
    </row>
    <row r="87" spans="1:65" x14ac:dyDescent="0.2">
      <c r="A87" s="156" t="s">
        <v>219</v>
      </c>
      <c r="B87" s="156" t="s">
        <v>220</v>
      </c>
      <c r="D87" s="56">
        <f>VLOOKUP(A87,'2016-17'!$A$12:$AMX295,32,FALSE)</f>
        <v>906836.30185707787</v>
      </c>
      <c r="E87" s="56">
        <v>1597.7082419406267</v>
      </c>
      <c r="F87" s="16">
        <f>VLOOKUP(A87,'2016-17'!$A$12:$AMX295,34,FALSE)</f>
        <v>4.3909911412395752E-2</v>
      </c>
      <c r="G87" s="16">
        <f>VLOOKUP(A87,'2016-17'!$A$12:$AMX295,35,FALSE)</f>
        <v>3.4861600599057185E-2</v>
      </c>
      <c r="H87" s="56"/>
      <c r="I87" s="56">
        <v>925775.0094763831</v>
      </c>
      <c r="J87" s="56">
        <v>1631.0753768833968</v>
      </c>
      <c r="K87" s="16">
        <f t="shared" si="23"/>
        <v>-2.045713853306208E-2</v>
      </c>
      <c r="L87" s="58">
        <f t="shared" si="23"/>
        <v>-2.045713853306208E-2</v>
      </c>
      <c r="M87" s="10"/>
      <c r="N87" s="56">
        <v>661960</v>
      </c>
      <c r="O87" s="56">
        <v>76841</v>
      </c>
      <c r="P87" s="56">
        <v>163993</v>
      </c>
      <c r="R87" s="56">
        <f t="shared" si="24"/>
        <v>163993</v>
      </c>
      <c r="S87" s="56">
        <f t="shared" si="25"/>
        <v>4042.3018570778659</v>
      </c>
      <c r="U87" s="16">
        <v>-4.0420390517033389E-2</v>
      </c>
      <c r="V87" s="16">
        <v>-6.9902336390174069E-3</v>
      </c>
      <c r="W87" s="56">
        <f t="shared" si="26"/>
        <v>4</v>
      </c>
      <c r="X87" s="56">
        <f t="shared" si="27"/>
        <v>6898.4375392956954</v>
      </c>
      <c r="Y87" s="56">
        <f t="shared" si="27"/>
        <v>773.81917684046698</v>
      </c>
      <c r="AA87" s="56">
        <f t="shared" si="28"/>
        <v>0</v>
      </c>
      <c r="AB87" s="56">
        <v>0</v>
      </c>
      <c r="AC87" s="56">
        <f t="shared" si="29"/>
        <v>4042.3018570778659</v>
      </c>
      <c r="AE87" s="56">
        <v>0</v>
      </c>
      <c r="AF87" s="56">
        <f t="shared" si="30"/>
        <v>0</v>
      </c>
      <c r="AG87" s="56">
        <f t="shared" si="31"/>
        <v>4042.3018570778659</v>
      </c>
      <c r="AI87" s="56">
        <f t="shared" si="32"/>
        <v>3634.5977341167686</v>
      </c>
      <c r="AJ87" s="56">
        <f t="shared" si="33"/>
        <v>407.70412296109765</v>
      </c>
      <c r="AK87" s="56">
        <f t="shared" si="34"/>
        <v>0</v>
      </c>
      <c r="AM87" s="56">
        <f t="shared" si="35"/>
        <v>665595</v>
      </c>
      <c r="AN87" s="56">
        <f t="shared" si="36"/>
        <v>77249</v>
      </c>
      <c r="AO87" s="56">
        <f t="shared" si="37"/>
        <v>163993</v>
      </c>
      <c r="AP87" s="56"/>
      <c r="AQ87" s="56">
        <f t="shared" si="38"/>
        <v>906837</v>
      </c>
      <c r="AS87" s="56">
        <v>1172.6775991617428</v>
      </c>
      <c r="AT87" s="56">
        <v>136.10104020860354</v>
      </c>
      <c r="AU87" s="56">
        <v>288.93083259238978</v>
      </c>
      <c r="AV87" s="56"/>
      <c r="AW87" s="56">
        <v>1597.709471962736</v>
      </c>
      <c r="AY87" s="16">
        <v>-3.5151081373776094E-2</v>
      </c>
      <c r="AZ87" s="16">
        <v>-1.7176840278035899E-3</v>
      </c>
      <c r="BA87" s="16">
        <v>3.4334183987225764E-2</v>
      </c>
      <c r="BB87" s="16">
        <f t="shared" si="39"/>
        <v>-2.0456384415792783E-2</v>
      </c>
      <c r="BC87" s="16"/>
      <c r="BE87" s="16">
        <v>3.6146751965459023E-2</v>
      </c>
      <c r="BF87" s="16">
        <v>4.1147770769313752E-2</v>
      </c>
      <c r="BG87" s="16">
        <v>7.8043943468439902E-2</v>
      </c>
      <c r="BH87" s="16">
        <f>AQ87/(VLOOKUP($A87,'2016-17'!$A$12:$D$220,4,FALSE))-1</f>
        <v>4.3910715083702812E-2</v>
      </c>
      <c r="BJ87" s="16">
        <v>2.7165729984999221E-2</v>
      </c>
      <c r="BK87" s="16">
        <v>3.2123401396491946E-2</v>
      </c>
      <c r="BL87" s="16">
        <v>6.8699768684485907E-2</v>
      </c>
      <c r="BM87" s="16">
        <v>3.4862397304372461E-2</v>
      </c>
    </row>
    <row r="88" spans="1:65" x14ac:dyDescent="0.2">
      <c r="A88" s="156" t="s">
        <v>221</v>
      </c>
      <c r="B88" s="156" t="s">
        <v>222</v>
      </c>
      <c r="D88" s="56">
        <f>VLOOKUP(A88,'2016-17'!$A$12:$AMX296,32,FALSE)</f>
        <v>494625</v>
      </c>
      <c r="E88" s="56">
        <v>1621.2802295284725</v>
      </c>
      <c r="F88" s="16">
        <f>VLOOKUP(A88,'2016-17'!$A$12:$AMX296,34,FALSE)</f>
        <v>3.6633049590184763E-2</v>
      </c>
      <c r="G88" s="16">
        <f>VLOOKUP(A88,'2016-17'!$A$12:$AMX296,35,FALSE)</f>
        <v>3.2358602032281469E-2</v>
      </c>
      <c r="H88" s="56"/>
      <c r="I88" s="56">
        <v>501739.82331552438</v>
      </c>
      <c r="J88" s="56">
        <v>1644.6011744423931</v>
      </c>
      <c r="K88" s="16">
        <f t="shared" si="23"/>
        <v>-1.4180304183369796E-2</v>
      </c>
      <c r="L88" s="58">
        <f t="shared" si="23"/>
        <v>-1.4180304183369907E-2</v>
      </c>
      <c r="M88" s="10"/>
      <c r="N88" s="56">
        <v>376852</v>
      </c>
      <c r="O88" s="56">
        <v>42494</v>
      </c>
      <c r="P88" s="56">
        <v>75279</v>
      </c>
      <c r="R88" s="56">
        <f t="shared" si="24"/>
        <v>75279</v>
      </c>
      <c r="S88" s="56">
        <f t="shared" si="25"/>
        <v>0</v>
      </c>
      <c r="U88" s="16">
        <v>-2.2569771606982814E-2</v>
      </c>
      <c r="V88" s="16">
        <v>0.12515732858057693</v>
      </c>
      <c r="W88" s="56">
        <f t="shared" si="26"/>
        <v>1</v>
      </c>
      <c r="X88" s="56">
        <f t="shared" si="27"/>
        <v>3855.5386262155862</v>
      </c>
      <c r="Y88" s="56">
        <f t="shared" si="27"/>
        <v>377.67162796342075</v>
      </c>
      <c r="AA88" s="56">
        <f t="shared" si="28"/>
        <v>0</v>
      </c>
      <c r="AB88" s="56">
        <v>0</v>
      </c>
      <c r="AC88" s="56">
        <f t="shared" si="29"/>
        <v>0</v>
      </c>
      <c r="AE88" s="56">
        <v>0</v>
      </c>
      <c r="AF88" s="56">
        <f t="shared" si="30"/>
        <v>0</v>
      </c>
      <c r="AG88" s="56">
        <f t="shared" si="31"/>
        <v>0</v>
      </c>
      <c r="AI88" s="56">
        <f t="shared" si="32"/>
        <v>0</v>
      </c>
      <c r="AJ88" s="56">
        <f t="shared" si="33"/>
        <v>0</v>
      </c>
      <c r="AK88" s="56">
        <f t="shared" si="34"/>
        <v>0</v>
      </c>
      <c r="AM88" s="56">
        <f t="shared" si="35"/>
        <v>376852</v>
      </c>
      <c r="AN88" s="56">
        <f t="shared" si="36"/>
        <v>42494</v>
      </c>
      <c r="AO88" s="56">
        <f t="shared" si="37"/>
        <v>75279</v>
      </c>
      <c r="AP88" s="56"/>
      <c r="AQ88" s="56">
        <f t="shared" si="38"/>
        <v>494625</v>
      </c>
      <c r="AS88" s="56">
        <v>1235.2442700192346</v>
      </c>
      <c r="AT88" s="56">
        <v>139.28669613056945</v>
      </c>
      <c r="AU88" s="56">
        <v>246.74926337866847</v>
      </c>
      <c r="AV88" s="56"/>
      <c r="AW88" s="56">
        <v>1621.2802295284725</v>
      </c>
      <c r="AY88" s="16">
        <v>-2.2569771606982814E-2</v>
      </c>
      <c r="AZ88" s="16">
        <v>0.12515732858057693</v>
      </c>
      <c r="BA88" s="16">
        <v>-4.0038842494407589E-2</v>
      </c>
      <c r="BB88" s="16">
        <f t="shared" si="39"/>
        <v>-1.4180304183369796E-2</v>
      </c>
      <c r="BC88" s="16"/>
      <c r="BE88" s="16">
        <v>3.048829953261678E-2</v>
      </c>
      <c r="BF88" s="16">
        <v>2.9059911851600617E-2</v>
      </c>
      <c r="BG88" s="16">
        <v>7.3124835444440262E-2</v>
      </c>
      <c r="BH88" s="16">
        <f>AQ88/(VLOOKUP($A88,'2016-17'!$A$12:$D$220,4,FALSE))-1</f>
        <v>3.6633049590184763E-2</v>
      </c>
      <c r="BJ88" s="16">
        <v>2.6239189206521685E-2</v>
      </c>
      <c r="BK88" s="16">
        <v>2.4816691332161023E-2</v>
      </c>
      <c r="BL88" s="16">
        <v>6.8699917838346058E-2</v>
      </c>
      <c r="BM88" s="16">
        <v>3.2358602032281469E-2</v>
      </c>
    </row>
    <row r="89" spans="1:65" x14ac:dyDescent="0.2">
      <c r="A89" s="156" t="s">
        <v>223</v>
      </c>
      <c r="B89" s="156" t="s">
        <v>224</v>
      </c>
      <c r="D89" s="56">
        <f>VLOOKUP(A89,'2016-17'!$A$12:$AMX297,32,FALSE)</f>
        <v>380987.63558354811</v>
      </c>
      <c r="E89" s="56">
        <v>1558.8399545072057</v>
      </c>
      <c r="F89" s="16">
        <f>VLOOKUP(A89,'2016-17'!$A$12:$AMX297,34,FALSE)</f>
        <v>5.0341275770569238E-2</v>
      </c>
      <c r="G89" s="16">
        <f>VLOOKUP(A89,'2016-17'!$A$12:$AMX297,35,FALSE)</f>
        <v>4.4794910966733603E-2</v>
      </c>
      <c r="H89" s="56"/>
      <c r="I89" s="56">
        <v>391233.43848069065</v>
      </c>
      <c r="J89" s="56">
        <v>1600.7614381207309</v>
      </c>
      <c r="K89" s="16">
        <f t="shared" si="23"/>
        <v>-2.6188464199100481E-2</v>
      </c>
      <c r="L89" s="58">
        <f t="shared" si="23"/>
        <v>-2.618846419910037E-2</v>
      </c>
      <c r="M89" s="10"/>
      <c r="N89" s="56">
        <v>288727</v>
      </c>
      <c r="O89" s="56">
        <v>28910</v>
      </c>
      <c r="P89" s="56">
        <v>60220</v>
      </c>
      <c r="R89" s="56">
        <f t="shared" si="24"/>
        <v>60220</v>
      </c>
      <c r="S89" s="56">
        <f t="shared" si="25"/>
        <v>3130.6355835481081</v>
      </c>
      <c r="U89" s="16">
        <v>-4.3915896451757974E-2</v>
      </c>
      <c r="V89" s="16">
        <v>-7.3247833897567616E-2</v>
      </c>
      <c r="W89" s="56">
        <f t="shared" si="26"/>
        <v>4</v>
      </c>
      <c r="X89" s="56">
        <f t="shared" si="27"/>
        <v>3019.8912305776189</v>
      </c>
      <c r="Y89" s="56">
        <f t="shared" si="27"/>
        <v>311.94963505275069</v>
      </c>
      <c r="AA89" s="56">
        <f t="shared" si="28"/>
        <v>0</v>
      </c>
      <c r="AB89" s="56">
        <v>0</v>
      </c>
      <c r="AC89" s="56">
        <f t="shared" si="29"/>
        <v>3130.6355835481081</v>
      </c>
      <c r="AE89" s="56">
        <v>0</v>
      </c>
      <c r="AF89" s="56">
        <f t="shared" si="30"/>
        <v>0</v>
      </c>
      <c r="AG89" s="56">
        <f t="shared" si="31"/>
        <v>3130.6355835481081</v>
      </c>
      <c r="AI89" s="56">
        <f t="shared" si="32"/>
        <v>2837.5241574157503</v>
      </c>
      <c r="AJ89" s="56">
        <f t="shared" si="33"/>
        <v>293.11142613235791</v>
      </c>
      <c r="AK89" s="56">
        <f t="shared" si="34"/>
        <v>0</v>
      </c>
      <c r="AM89" s="56">
        <f t="shared" si="35"/>
        <v>291565</v>
      </c>
      <c r="AN89" s="56">
        <f t="shared" si="36"/>
        <v>29203</v>
      </c>
      <c r="AO89" s="56">
        <f t="shared" si="37"/>
        <v>60220</v>
      </c>
      <c r="AP89" s="56"/>
      <c r="AQ89" s="56">
        <f t="shared" si="38"/>
        <v>380988</v>
      </c>
      <c r="AS89" s="56">
        <v>1192.9604241348768</v>
      </c>
      <c r="AT89" s="56">
        <v>119.48630070828393</v>
      </c>
      <c r="AU89" s="56">
        <v>246.39472070173812</v>
      </c>
      <c r="AV89" s="56"/>
      <c r="AW89" s="56">
        <v>1558.8414455448988</v>
      </c>
      <c r="AY89" s="16">
        <v>-3.4518206987766309E-2</v>
      </c>
      <c r="AZ89" s="16">
        <v>-6.3855292055021273E-2</v>
      </c>
      <c r="BA89" s="16">
        <v>3.7393149288307281E-2</v>
      </c>
      <c r="BB89" s="16">
        <f t="shared" si="39"/>
        <v>-2.6187532743820685E-2</v>
      </c>
      <c r="BC89" s="16"/>
      <c r="BE89" s="16">
        <v>4.5931324457385347E-2</v>
      </c>
      <c r="BF89" s="16">
        <v>4.6140068063764916E-2</v>
      </c>
      <c r="BG89" s="16">
        <v>7.4372175876129765E-2</v>
      </c>
      <c r="BH89" s="16">
        <f>AQ89/(VLOOKUP($A89,'2016-17'!$A$12:$D$220,4,FALSE))-1</f>
        <v>5.0342280426902475E-2</v>
      </c>
      <c r="BJ89" s="16">
        <v>4.0408246559733518E-2</v>
      </c>
      <c r="BK89" s="16">
        <v>4.0615887888007851E-2</v>
      </c>
      <c r="BL89" s="16">
        <v>6.8698915041808695E-2</v>
      </c>
      <c r="BM89" s="16">
        <v>4.4795910317942944E-2</v>
      </c>
    </row>
    <row r="90" spans="1:65" x14ac:dyDescent="0.2">
      <c r="A90" s="156" t="s">
        <v>225</v>
      </c>
      <c r="B90" s="156" t="s">
        <v>226</v>
      </c>
      <c r="D90" s="56">
        <f>VLOOKUP(A90,'2016-17'!$A$12:$AMX298,32,FALSE)</f>
        <v>323573.50118724199</v>
      </c>
      <c r="E90" s="56">
        <v>1487.5050962065288</v>
      </c>
      <c r="F90" s="16">
        <f>VLOOKUP(A90,'2016-17'!$A$12:$AMX298,34,FALSE)</f>
        <v>5.7434841605692455E-2</v>
      </c>
      <c r="G90" s="16">
        <f>VLOOKUP(A90,'2016-17'!$A$12:$AMX298,35,FALSE)</f>
        <v>5.2964240609194135E-2</v>
      </c>
      <c r="H90" s="56"/>
      <c r="I90" s="56">
        <v>334288.55430659314</v>
      </c>
      <c r="J90" s="56">
        <v>1536.7634441944726</v>
      </c>
      <c r="K90" s="16">
        <f t="shared" si="23"/>
        <v>-3.2053305389342812E-2</v>
      </c>
      <c r="L90" s="58">
        <f t="shared" si="23"/>
        <v>-3.2053305389342923E-2</v>
      </c>
      <c r="M90" s="10"/>
      <c r="N90" s="56">
        <v>245037</v>
      </c>
      <c r="O90" s="56">
        <v>25475</v>
      </c>
      <c r="P90" s="56">
        <v>50859</v>
      </c>
      <c r="R90" s="56">
        <f t="shared" si="24"/>
        <v>50859</v>
      </c>
      <c r="S90" s="56">
        <f t="shared" si="25"/>
        <v>2202.5011872419855</v>
      </c>
      <c r="U90" s="16">
        <v>-4.4871682426524284E-2</v>
      </c>
      <c r="V90" s="16">
        <v>-1.3896553157398905E-2</v>
      </c>
      <c r="W90" s="56">
        <f t="shared" si="26"/>
        <v>4</v>
      </c>
      <c r="X90" s="56">
        <f t="shared" si="27"/>
        <v>2565.4877516617016</v>
      </c>
      <c r="Y90" s="56">
        <f t="shared" si="27"/>
        <v>258.34003604356371</v>
      </c>
      <c r="AA90" s="56">
        <f t="shared" si="28"/>
        <v>0</v>
      </c>
      <c r="AB90" s="56">
        <v>0</v>
      </c>
      <c r="AC90" s="56">
        <f t="shared" si="29"/>
        <v>2202.5011872419855</v>
      </c>
      <c r="AE90" s="56">
        <v>0</v>
      </c>
      <c r="AF90" s="56">
        <f t="shared" si="30"/>
        <v>0</v>
      </c>
      <c r="AG90" s="56">
        <f t="shared" si="31"/>
        <v>2202.5011872419855</v>
      </c>
      <c r="AI90" s="56">
        <f t="shared" si="32"/>
        <v>2001.0036885009347</v>
      </c>
      <c r="AJ90" s="56">
        <f t="shared" si="33"/>
        <v>201.49749874105095</v>
      </c>
      <c r="AK90" s="56">
        <f t="shared" si="34"/>
        <v>0</v>
      </c>
      <c r="AM90" s="56">
        <f t="shared" si="35"/>
        <v>247038</v>
      </c>
      <c r="AN90" s="56">
        <f t="shared" si="36"/>
        <v>25676</v>
      </c>
      <c r="AO90" s="56">
        <f t="shared" si="37"/>
        <v>50859</v>
      </c>
      <c r="AP90" s="56"/>
      <c r="AQ90" s="56">
        <f t="shared" si="38"/>
        <v>323573</v>
      </c>
      <c r="AS90" s="56">
        <v>1135.6624773300728</v>
      </c>
      <c r="AT90" s="56">
        <v>118.03556443918325</v>
      </c>
      <c r="AU90" s="56">
        <v>233.80475042111001</v>
      </c>
      <c r="AV90" s="56"/>
      <c r="AW90" s="56">
        <v>1487.5027921903661</v>
      </c>
      <c r="AY90" s="16">
        <v>-3.7071995997680851E-2</v>
      </c>
      <c r="AZ90" s="16">
        <v>-6.1161098672963821E-3</v>
      </c>
      <c r="BA90" s="16">
        <v>-2.016684126681223E-2</v>
      </c>
      <c r="BB90" s="16">
        <f t="shared" si="39"/>
        <v>-3.2054804654679692E-2</v>
      </c>
      <c r="BC90" s="16"/>
      <c r="BE90" s="16">
        <v>5.5663911101247576E-2</v>
      </c>
      <c r="BF90" s="16">
        <v>4.3814383345962993E-2</v>
      </c>
      <c r="BG90" s="16">
        <v>7.3239524543932566E-2</v>
      </c>
      <c r="BH90" s="16">
        <f>AQ90/(VLOOKUP($A90,'2016-17'!$A$12:$D$220,4,FALSE))-1</f>
        <v>5.7433203730990368E-2</v>
      </c>
      <c r="BJ90" s="16">
        <v>5.120079720784676E-2</v>
      </c>
      <c r="BK90" s="16">
        <v>3.9401366639175039E-2</v>
      </c>
      <c r="BL90" s="16">
        <v>6.8702104838126887E-2</v>
      </c>
      <c r="BM90" s="16">
        <v>5.2962609659064741E-2</v>
      </c>
    </row>
    <row r="91" spans="1:65" x14ac:dyDescent="0.2">
      <c r="A91" s="156" t="s">
        <v>227</v>
      </c>
      <c r="B91" s="156" t="s">
        <v>228</v>
      </c>
      <c r="D91" s="56">
        <f>VLOOKUP(A91,'2016-17'!$A$12:$AMX299,32,FALSE)</f>
        <v>420231</v>
      </c>
      <c r="E91" s="56">
        <v>1507.6321091373434</v>
      </c>
      <c r="F91" s="16">
        <f>VLOOKUP(A91,'2016-17'!$A$12:$AMX299,34,FALSE)</f>
        <v>3.7281978001868055E-2</v>
      </c>
      <c r="G91" s="16">
        <f>VLOOKUP(A91,'2016-17'!$A$12:$AMX299,35,FALSE)</f>
        <v>3.1283960054952598E-2</v>
      </c>
      <c r="H91" s="56"/>
      <c r="I91" s="56">
        <v>420899.22211543453</v>
      </c>
      <c r="J91" s="56">
        <v>1510.0294408840846</v>
      </c>
      <c r="K91" s="16">
        <f t="shared" si="23"/>
        <v>-1.5876059643827878E-3</v>
      </c>
      <c r="L91" s="58">
        <f t="shared" si="23"/>
        <v>-1.5876059643827878E-3</v>
      </c>
      <c r="M91" s="10"/>
      <c r="N91" s="56">
        <v>320006</v>
      </c>
      <c r="O91" s="56">
        <v>35329</v>
      </c>
      <c r="P91" s="56">
        <v>64896</v>
      </c>
      <c r="R91" s="56">
        <f t="shared" si="24"/>
        <v>64896</v>
      </c>
      <c r="S91" s="56">
        <f t="shared" si="25"/>
        <v>0</v>
      </c>
      <c r="U91" s="16">
        <v>-2.6636852202585382E-2</v>
      </c>
      <c r="V91" s="16">
        <v>6.8110528120795433E-2</v>
      </c>
      <c r="W91" s="56">
        <f t="shared" si="26"/>
        <v>1</v>
      </c>
      <c r="X91" s="56">
        <f t="shared" si="27"/>
        <v>3287.6321722691996</v>
      </c>
      <c r="Y91" s="56">
        <f t="shared" si="27"/>
        <v>330.76164937871067</v>
      </c>
      <c r="AA91" s="56">
        <f t="shared" si="28"/>
        <v>0</v>
      </c>
      <c r="AB91" s="56">
        <v>0</v>
      </c>
      <c r="AC91" s="56">
        <f t="shared" si="29"/>
        <v>0</v>
      </c>
      <c r="AE91" s="56">
        <v>0</v>
      </c>
      <c r="AF91" s="56">
        <f t="shared" si="30"/>
        <v>0</v>
      </c>
      <c r="AG91" s="56">
        <f t="shared" si="31"/>
        <v>0</v>
      </c>
      <c r="AI91" s="56">
        <f t="shared" si="32"/>
        <v>0</v>
      </c>
      <c r="AJ91" s="56">
        <f t="shared" si="33"/>
        <v>0</v>
      </c>
      <c r="AK91" s="56">
        <f t="shared" si="34"/>
        <v>0</v>
      </c>
      <c r="AM91" s="56">
        <f t="shared" si="35"/>
        <v>320006</v>
      </c>
      <c r="AN91" s="56">
        <f t="shared" si="36"/>
        <v>35329</v>
      </c>
      <c r="AO91" s="56">
        <f t="shared" si="37"/>
        <v>64896</v>
      </c>
      <c r="AP91" s="56"/>
      <c r="AQ91" s="56">
        <f t="shared" si="38"/>
        <v>420231</v>
      </c>
      <c r="AS91" s="56">
        <v>1148.0621865512176</v>
      </c>
      <c r="AT91" s="56">
        <v>126.74727657815156</v>
      </c>
      <c r="AU91" s="56">
        <v>232.82264600797427</v>
      </c>
      <c r="AV91" s="56"/>
      <c r="AW91" s="56">
        <v>1507.6321091373434</v>
      </c>
      <c r="AY91" s="16">
        <v>-2.6636852202585382E-2</v>
      </c>
      <c r="AZ91" s="16">
        <v>6.8110528120795433E-2</v>
      </c>
      <c r="BA91" s="16">
        <v>9.881774238185792E-2</v>
      </c>
      <c r="BB91" s="16">
        <f t="shared" si="39"/>
        <v>-1.5876059643827878E-3</v>
      </c>
      <c r="BC91" s="16"/>
      <c r="BE91" s="16">
        <v>3.0486710210100521E-2</v>
      </c>
      <c r="BF91" s="16">
        <v>3.2558819231331304E-2</v>
      </c>
      <c r="BG91" s="16">
        <v>7.4911096065729543E-2</v>
      </c>
      <c r="BH91" s="16">
        <f>AQ91/(VLOOKUP($A91,'2016-17'!$A$12:$D$220,4,FALSE))-1</f>
        <v>3.7281978001868055E-2</v>
      </c>
      <c r="BJ91" s="16">
        <v>2.4527985472778457E-2</v>
      </c>
      <c r="BK91" s="16">
        <v>2.658811265362182E-2</v>
      </c>
      <c r="BL91" s="16">
        <v>6.8695490104889068E-2</v>
      </c>
      <c r="BM91" s="16">
        <v>3.1283960054952598E-2</v>
      </c>
    </row>
    <row r="92" spans="1:65" x14ac:dyDescent="0.2">
      <c r="A92" s="156" t="s">
        <v>229</v>
      </c>
      <c r="B92" s="156" t="s">
        <v>230</v>
      </c>
      <c r="D92" s="56">
        <f>VLOOKUP(A92,'2016-17'!$A$12:$AMX300,32,FALSE)</f>
        <v>448298.17386210902</v>
      </c>
      <c r="E92" s="56">
        <v>1482.7754118249211</v>
      </c>
      <c r="F92" s="16">
        <f>VLOOKUP(A92,'2016-17'!$A$12:$AMX300,34,FALSE)</f>
        <v>3.8514323893178437E-2</v>
      </c>
      <c r="G92" s="16">
        <f>VLOOKUP(A92,'2016-17'!$A$12:$AMX300,35,FALSE)</f>
        <v>3.4051614292505583E-2</v>
      </c>
      <c r="H92" s="56"/>
      <c r="I92" s="56">
        <v>457177.41553161008</v>
      </c>
      <c r="J92" s="56">
        <v>1512.1440820333282</v>
      </c>
      <c r="K92" s="16">
        <f t="shared" si="23"/>
        <v>-1.9421872926894679E-2</v>
      </c>
      <c r="L92" s="58">
        <f t="shared" si="23"/>
        <v>-1.9421872926894679E-2</v>
      </c>
      <c r="M92" s="10"/>
      <c r="N92" s="56">
        <v>335711</v>
      </c>
      <c r="O92" s="56">
        <v>44819</v>
      </c>
      <c r="P92" s="56">
        <v>66910</v>
      </c>
      <c r="R92" s="56">
        <f t="shared" si="24"/>
        <v>66910</v>
      </c>
      <c r="S92" s="56">
        <f t="shared" si="25"/>
        <v>858.17386210901896</v>
      </c>
      <c r="U92" s="16">
        <v>-3.6494825483196824E-2</v>
      </c>
      <c r="V92" s="16">
        <v>0.21218172470106844</v>
      </c>
      <c r="W92" s="56">
        <f t="shared" si="26"/>
        <v>1</v>
      </c>
      <c r="X92" s="56">
        <f t="shared" si="27"/>
        <v>3484.267743225756</v>
      </c>
      <c r="Y92" s="56">
        <f t="shared" si="27"/>
        <v>369.73829160023547</v>
      </c>
      <c r="AA92" s="56">
        <f t="shared" si="28"/>
        <v>858.17386210901896</v>
      </c>
      <c r="AB92" s="56">
        <v>0</v>
      </c>
      <c r="AC92" s="56">
        <f t="shared" si="29"/>
        <v>0</v>
      </c>
      <c r="AE92" s="56">
        <v>0</v>
      </c>
      <c r="AF92" s="56">
        <f t="shared" si="30"/>
        <v>0</v>
      </c>
      <c r="AG92" s="56">
        <f t="shared" si="31"/>
        <v>0</v>
      </c>
      <c r="AI92" s="56">
        <f t="shared" si="32"/>
        <v>0</v>
      </c>
      <c r="AJ92" s="56">
        <f t="shared" si="33"/>
        <v>0</v>
      </c>
      <c r="AK92" s="56">
        <f t="shared" si="34"/>
        <v>0</v>
      </c>
      <c r="AM92" s="56">
        <f t="shared" si="35"/>
        <v>336569</v>
      </c>
      <c r="AN92" s="56">
        <f t="shared" si="36"/>
        <v>44819</v>
      </c>
      <c r="AO92" s="56">
        <f t="shared" si="37"/>
        <v>66910</v>
      </c>
      <c r="AP92" s="56"/>
      <c r="AQ92" s="56">
        <f t="shared" si="38"/>
        <v>448298</v>
      </c>
      <c r="AS92" s="56">
        <v>1113.2238913290898</v>
      </c>
      <c r="AT92" s="56">
        <v>148.24176197296387</v>
      </c>
      <c r="AU92" s="56">
        <v>221.30918346261657</v>
      </c>
      <c r="AV92" s="56"/>
      <c r="AW92" s="56">
        <v>1482.7748367646702</v>
      </c>
      <c r="AY92" s="16">
        <v>-3.4032328157415415E-2</v>
      </c>
      <c r="AZ92" s="16">
        <v>0.21218172470106844</v>
      </c>
      <c r="BA92" s="16">
        <v>-6.7804795310326016E-2</v>
      </c>
      <c r="BB92" s="16">
        <f t="shared" si="39"/>
        <v>-1.9422253221509256E-2</v>
      </c>
      <c r="BC92" s="16"/>
      <c r="BE92" s="16">
        <v>3.3121022330261818E-2</v>
      </c>
      <c r="BF92" s="16">
        <v>2.9044404647104782E-2</v>
      </c>
      <c r="BG92" s="16">
        <v>7.331240321251431E-2</v>
      </c>
      <c r="BH92" s="16">
        <f>AQ92/(VLOOKUP($A92,'2016-17'!$A$12:$D$220,4,FALSE))-1</f>
        <v>3.8513921129345929E-2</v>
      </c>
      <c r="BJ92" s="16">
        <v>2.8681488855435866E-2</v>
      </c>
      <c r="BK92" s="16">
        <v>2.4622389236742759E-2</v>
      </c>
      <c r="BL92" s="16">
        <v>6.870015910943672E-2</v>
      </c>
      <c r="BM92" s="16">
        <v>3.4051213259432167E-2</v>
      </c>
    </row>
    <row r="93" spans="1:65" x14ac:dyDescent="0.2">
      <c r="A93" s="156" t="s">
        <v>231</v>
      </c>
      <c r="B93" s="156" t="s">
        <v>232</v>
      </c>
      <c r="D93" s="56">
        <f>VLOOKUP(A93,'2016-17'!$A$12:$AMX301,32,FALSE)</f>
        <v>224036</v>
      </c>
      <c r="E93" s="56">
        <v>1522.5460959853151</v>
      </c>
      <c r="F93" s="16">
        <f>VLOOKUP(A93,'2016-17'!$A$12:$AMX301,34,FALSE)</f>
        <v>3.724050288578229E-2</v>
      </c>
      <c r="G93" s="16">
        <f>VLOOKUP(A93,'2016-17'!$A$12:$AMX301,35,FALSE)</f>
        <v>3.3225159342266775E-2</v>
      </c>
      <c r="H93" s="56"/>
      <c r="I93" s="56">
        <v>225653.7839156524</v>
      </c>
      <c r="J93" s="56">
        <v>1533.5405369899947</v>
      </c>
      <c r="K93" s="16">
        <f t="shared" si="23"/>
        <v>-7.1693188014835263E-3</v>
      </c>
      <c r="L93" s="58">
        <f t="shared" si="23"/>
        <v>-7.1693188014836373E-3</v>
      </c>
      <c r="M93" s="10"/>
      <c r="N93" s="56">
        <v>168275</v>
      </c>
      <c r="O93" s="56">
        <v>18620</v>
      </c>
      <c r="P93" s="56">
        <v>37141</v>
      </c>
      <c r="R93" s="56">
        <f t="shared" si="24"/>
        <v>37141</v>
      </c>
      <c r="S93" s="56">
        <f t="shared" si="25"/>
        <v>0</v>
      </c>
      <c r="U93" s="16">
        <v>-2.9827361111683048E-2</v>
      </c>
      <c r="V93" s="16">
        <v>8.4262942007487629E-2</v>
      </c>
      <c r="W93" s="56">
        <f t="shared" si="26"/>
        <v>1</v>
      </c>
      <c r="X93" s="56">
        <f t="shared" si="27"/>
        <v>1734.4851138331398</v>
      </c>
      <c r="Y93" s="56">
        <f t="shared" si="27"/>
        <v>171.72956188584206</v>
      </c>
      <c r="AA93" s="56">
        <f t="shared" si="28"/>
        <v>0</v>
      </c>
      <c r="AB93" s="56">
        <v>0</v>
      </c>
      <c r="AC93" s="56">
        <f t="shared" si="29"/>
        <v>0</v>
      </c>
      <c r="AE93" s="56">
        <v>0</v>
      </c>
      <c r="AF93" s="56">
        <f t="shared" si="30"/>
        <v>0</v>
      </c>
      <c r="AG93" s="56">
        <f t="shared" si="31"/>
        <v>0</v>
      </c>
      <c r="AI93" s="56">
        <f t="shared" si="32"/>
        <v>0</v>
      </c>
      <c r="AJ93" s="56">
        <f t="shared" si="33"/>
        <v>0</v>
      </c>
      <c r="AK93" s="56">
        <f t="shared" si="34"/>
        <v>0</v>
      </c>
      <c r="AM93" s="56">
        <f t="shared" si="35"/>
        <v>168275</v>
      </c>
      <c r="AN93" s="56">
        <f t="shared" si="36"/>
        <v>18620</v>
      </c>
      <c r="AO93" s="56">
        <f t="shared" si="37"/>
        <v>37141</v>
      </c>
      <c r="AP93" s="56"/>
      <c r="AQ93" s="56">
        <f t="shared" si="38"/>
        <v>224036</v>
      </c>
      <c r="AS93" s="56">
        <v>1143.5949771551398</v>
      </c>
      <c r="AT93" s="56">
        <v>126.54130723297402</v>
      </c>
      <c r="AU93" s="56">
        <v>252.4098115972013</v>
      </c>
      <c r="AV93" s="56"/>
      <c r="AW93" s="56">
        <v>1522.5460959853151</v>
      </c>
      <c r="AY93" s="16">
        <v>-2.9827361111683048E-2</v>
      </c>
      <c r="AZ93" s="16">
        <v>8.4262942007487629E-2</v>
      </c>
      <c r="BA93" s="16">
        <v>6.0192527252675987E-2</v>
      </c>
      <c r="BB93" s="16">
        <f t="shared" si="39"/>
        <v>-7.1693188014835263E-3</v>
      </c>
      <c r="BC93" s="16"/>
      <c r="BE93" s="16">
        <v>3.0486528045696959E-2</v>
      </c>
      <c r="BF93" s="16">
        <v>3.0061741840535117E-2</v>
      </c>
      <c r="BG93" s="16">
        <v>7.284711976228686E-2</v>
      </c>
      <c r="BH93" s="16">
        <f>AQ93/(VLOOKUP($A93,'2016-17'!$A$12:$D$220,4,FALSE))-1</f>
        <v>3.724050288578229E-2</v>
      </c>
      <c r="BJ93" s="16">
        <v>2.649733034703794E-2</v>
      </c>
      <c r="BK93" s="16">
        <v>2.6074188565268441E-2</v>
      </c>
      <c r="BL93" s="16">
        <v>6.869393663500678E-2</v>
      </c>
      <c r="BM93" s="16">
        <v>3.3225159342266775E-2</v>
      </c>
    </row>
    <row r="94" spans="1:65" x14ac:dyDescent="0.2">
      <c r="A94" s="156" t="s">
        <v>233</v>
      </c>
      <c r="B94" s="156" t="s">
        <v>234</v>
      </c>
      <c r="D94" s="56">
        <f>VLOOKUP(A94,'2016-17'!$A$12:$AMX302,32,FALSE)</f>
        <v>497826</v>
      </c>
      <c r="E94" s="56">
        <v>1741.3883352654298</v>
      </c>
      <c r="F94" s="16">
        <f>VLOOKUP(A94,'2016-17'!$A$12:$AMX302,34,FALSE)</f>
        <v>3.7457858313727277E-2</v>
      </c>
      <c r="G94" s="16">
        <f>VLOOKUP(A94,'2016-17'!$A$12:$AMX302,35,FALSE)</f>
        <v>3.4040069774043502E-2</v>
      </c>
      <c r="H94" s="56"/>
      <c r="I94" s="56">
        <v>493926.47020400967</v>
      </c>
      <c r="J94" s="56">
        <v>1727.747834970633</v>
      </c>
      <c r="K94" s="16">
        <f t="shared" si="23"/>
        <v>7.8949601433178085E-3</v>
      </c>
      <c r="L94" s="58">
        <f t="shared" si="23"/>
        <v>7.8949601433178085E-3</v>
      </c>
      <c r="M94" s="10"/>
      <c r="N94" s="56">
        <v>379130</v>
      </c>
      <c r="O94" s="56">
        <v>37607</v>
      </c>
      <c r="P94" s="56">
        <v>81089</v>
      </c>
      <c r="R94" s="56">
        <f t="shared" si="24"/>
        <v>81089</v>
      </c>
      <c r="S94" s="56">
        <f t="shared" si="25"/>
        <v>0</v>
      </c>
      <c r="U94" s="16">
        <v>-5.8858203837401923E-3</v>
      </c>
      <c r="V94" s="16">
        <v>-1.3836412818476695E-2</v>
      </c>
      <c r="W94" s="56">
        <f t="shared" si="26"/>
        <v>4</v>
      </c>
      <c r="X94" s="56">
        <f t="shared" si="27"/>
        <v>3813.7470300076475</v>
      </c>
      <c r="Y94" s="56">
        <f t="shared" si="27"/>
        <v>381.34646714630389</v>
      </c>
      <c r="AA94" s="56">
        <f t="shared" si="28"/>
        <v>0</v>
      </c>
      <c r="AB94" s="56">
        <v>0</v>
      </c>
      <c r="AC94" s="56">
        <f t="shared" si="29"/>
        <v>0</v>
      </c>
      <c r="AE94" s="56">
        <v>0</v>
      </c>
      <c r="AF94" s="56">
        <f t="shared" si="30"/>
        <v>0</v>
      </c>
      <c r="AG94" s="56">
        <f t="shared" si="31"/>
        <v>0</v>
      </c>
      <c r="AI94" s="56">
        <f t="shared" si="32"/>
        <v>0</v>
      </c>
      <c r="AJ94" s="56">
        <f t="shared" si="33"/>
        <v>0</v>
      </c>
      <c r="AK94" s="56">
        <f t="shared" si="34"/>
        <v>0</v>
      </c>
      <c r="AM94" s="56">
        <f t="shared" si="35"/>
        <v>379130</v>
      </c>
      <c r="AN94" s="56">
        <f t="shared" si="36"/>
        <v>37607</v>
      </c>
      <c r="AO94" s="56">
        <f t="shared" si="37"/>
        <v>81089</v>
      </c>
      <c r="AP94" s="56"/>
      <c r="AQ94" s="56">
        <f t="shared" si="38"/>
        <v>497826</v>
      </c>
      <c r="AS94" s="56">
        <v>1326.1913993025323</v>
      </c>
      <c r="AT94" s="56">
        <v>131.548756240789</v>
      </c>
      <c r="AU94" s="56">
        <v>283.64817972210864</v>
      </c>
      <c r="AV94" s="56"/>
      <c r="AW94" s="56">
        <v>1741.3883352654298</v>
      </c>
      <c r="AY94" s="16">
        <v>-5.8858203837401923E-3</v>
      </c>
      <c r="AZ94" s="16">
        <v>-1.3836412818476695E-2</v>
      </c>
      <c r="BA94" s="16">
        <v>8.9655168966209287E-2</v>
      </c>
      <c r="BB94" s="16">
        <f t="shared" si="39"/>
        <v>7.8949601433178085E-3</v>
      </c>
      <c r="BC94" s="16"/>
      <c r="BE94" s="16">
        <v>3.0487477188735568E-2</v>
      </c>
      <c r="BF94" s="16">
        <v>3.5661382028775446E-2</v>
      </c>
      <c r="BG94" s="16">
        <v>7.2230465293699586E-2</v>
      </c>
      <c r="BH94" s="16">
        <f>AQ94/(VLOOKUP($A94,'2016-17'!$A$12:$D$220,4,FALSE))-1</f>
        <v>3.7457858313727277E-2</v>
      </c>
      <c r="BJ94" s="16">
        <v>2.7092651787781197E-2</v>
      </c>
      <c r="BK94" s="16">
        <v>3.2249511778696949E-2</v>
      </c>
      <c r="BL94" s="16">
        <v>6.8698122300860254E-2</v>
      </c>
      <c r="BM94" s="16">
        <v>3.4040069774043502E-2</v>
      </c>
    </row>
    <row r="95" spans="1:65" x14ac:dyDescent="0.2">
      <c r="A95" s="156" t="s">
        <v>235</v>
      </c>
      <c r="B95" s="156" t="s">
        <v>236</v>
      </c>
      <c r="D95" s="56">
        <f>VLOOKUP(A95,'2016-17'!$A$12:$AMX303,32,FALSE)</f>
        <v>270475.62722284457</v>
      </c>
      <c r="E95" s="56">
        <v>1505.9381526414368</v>
      </c>
      <c r="F95" s="16">
        <f>VLOOKUP(A95,'2016-17'!$A$12:$AMX303,34,FALSE)</f>
        <v>4.6777169457777212E-2</v>
      </c>
      <c r="G95" s="16">
        <f>VLOOKUP(A95,'2016-17'!$A$12:$AMX303,35,FALSE)</f>
        <v>4.2481413363405274E-2</v>
      </c>
      <c r="H95" s="56"/>
      <c r="I95" s="56">
        <v>277362.6971577878</v>
      </c>
      <c r="J95" s="56">
        <v>1544.2835720843341</v>
      </c>
      <c r="K95" s="16">
        <f t="shared" si="23"/>
        <v>-2.4830555822815903E-2</v>
      </c>
      <c r="L95" s="58">
        <f t="shared" si="23"/>
        <v>-2.4830555822815681E-2</v>
      </c>
      <c r="M95" s="10"/>
      <c r="N95" s="56">
        <v>203374</v>
      </c>
      <c r="O95" s="56">
        <v>22576</v>
      </c>
      <c r="P95" s="56">
        <v>42531</v>
      </c>
      <c r="R95" s="56">
        <f t="shared" si="24"/>
        <v>42531</v>
      </c>
      <c r="S95" s="56">
        <f t="shared" si="25"/>
        <v>1994.6272228445741</v>
      </c>
      <c r="U95" s="16">
        <v>-4.3792156268661397E-2</v>
      </c>
      <c r="V95" s="16">
        <v>2.6066815043406466E-2</v>
      </c>
      <c r="W95" s="56">
        <f t="shared" si="26"/>
        <v>1</v>
      </c>
      <c r="X95" s="56">
        <f t="shared" si="27"/>
        <v>2126.8806916118656</v>
      </c>
      <c r="Y95" s="56">
        <f t="shared" si="27"/>
        <v>220.02465793657845</v>
      </c>
      <c r="AA95" s="56">
        <f t="shared" si="28"/>
        <v>1994.6272228445741</v>
      </c>
      <c r="AB95" s="56">
        <v>0</v>
      </c>
      <c r="AC95" s="56">
        <f t="shared" si="29"/>
        <v>0</v>
      </c>
      <c r="AE95" s="56">
        <v>0</v>
      </c>
      <c r="AF95" s="56">
        <f t="shared" si="30"/>
        <v>0</v>
      </c>
      <c r="AG95" s="56">
        <f t="shared" si="31"/>
        <v>0</v>
      </c>
      <c r="AI95" s="56">
        <f t="shared" si="32"/>
        <v>0</v>
      </c>
      <c r="AJ95" s="56">
        <f t="shared" si="33"/>
        <v>0</v>
      </c>
      <c r="AK95" s="56">
        <f t="shared" si="34"/>
        <v>0</v>
      </c>
      <c r="AM95" s="56">
        <f t="shared" si="35"/>
        <v>205369</v>
      </c>
      <c r="AN95" s="56">
        <f t="shared" si="36"/>
        <v>22576</v>
      </c>
      <c r="AO95" s="56">
        <f t="shared" si="37"/>
        <v>42531</v>
      </c>
      <c r="AP95" s="56"/>
      <c r="AQ95" s="56">
        <f t="shared" si="38"/>
        <v>270476</v>
      </c>
      <c r="AS95" s="56">
        <v>1143.4413357141768</v>
      </c>
      <c r="AT95" s="56">
        <v>125.69731359203803</v>
      </c>
      <c r="AU95" s="56">
        <v>236.80157886175448</v>
      </c>
      <c r="AV95" s="56"/>
      <c r="AW95" s="56">
        <v>1505.9402281679695</v>
      </c>
      <c r="AY95" s="16">
        <v>-3.4412222509950796E-2</v>
      </c>
      <c r="AZ95" s="16">
        <v>2.6066815043406466E-2</v>
      </c>
      <c r="BA95" s="16">
        <v>-3.3080630475683659E-3</v>
      </c>
      <c r="BB95" s="16">
        <f t="shared" si="39"/>
        <v>-2.4829211816721153E-2</v>
      </c>
      <c r="BC95" s="16"/>
      <c r="BE95" s="16">
        <v>4.2716013608574022E-2</v>
      </c>
      <c r="BF95" s="16">
        <v>3.5643836873251011E-2</v>
      </c>
      <c r="BG95" s="16">
        <v>7.3091298333311627E-2</v>
      </c>
      <c r="BH95" s="16">
        <f>AQ95/(VLOOKUP($A95,'2016-17'!$A$12:$D$220,4,FALSE))-1</f>
        <v>4.6778612155663257E-2</v>
      </c>
      <c r="BJ95" s="16">
        <v>3.8436923654330268E-2</v>
      </c>
      <c r="BK95" s="16">
        <v>3.1393769663482285E-2</v>
      </c>
      <c r="BL95" s="16">
        <v>6.8687554519314631E-2</v>
      </c>
      <c r="BM95" s="16">
        <v>4.248285014075881E-2</v>
      </c>
    </row>
    <row r="96" spans="1:65" x14ac:dyDescent="0.2">
      <c r="A96" s="156" t="s">
        <v>237</v>
      </c>
      <c r="B96" s="156" t="s">
        <v>238</v>
      </c>
      <c r="D96" s="56">
        <f>VLOOKUP(A96,'2016-17'!$A$12:$AMX304,32,FALSE)</f>
        <v>483511</v>
      </c>
      <c r="E96" s="56">
        <v>1729.1200128469989</v>
      </c>
      <c r="F96" s="16">
        <f>VLOOKUP(A96,'2016-17'!$A$12:$AMX304,34,FALSE)</f>
        <v>2.9053338806305673E-2</v>
      </c>
      <c r="G96" s="16">
        <f>VLOOKUP(A96,'2016-17'!$A$12:$AMX304,35,FALSE)</f>
        <v>2.3719571395977246E-2</v>
      </c>
      <c r="H96" s="56"/>
      <c r="I96" s="56">
        <v>460726.25854142883</v>
      </c>
      <c r="J96" s="56">
        <v>1647.6377871198486</v>
      </c>
      <c r="K96" s="16">
        <f t="shared" si="23"/>
        <v>4.9453967591739367E-2</v>
      </c>
      <c r="L96" s="58">
        <f t="shared" si="23"/>
        <v>4.9453967591739367E-2</v>
      </c>
      <c r="M96" s="10"/>
      <c r="N96" s="56">
        <v>372632</v>
      </c>
      <c r="O96" s="56">
        <v>37510</v>
      </c>
      <c r="P96" s="56">
        <v>73369</v>
      </c>
      <c r="R96" s="56">
        <f t="shared" si="24"/>
        <v>73369</v>
      </c>
      <c r="S96" s="56">
        <f t="shared" si="25"/>
        <v>0</v>
      </c>
      <c r="U96" s="16">
        <v>6.3406957765213434E-2</v>
      </c>
      <c r="V96" s="16">
        <v>6.268528598969203E-3</v>
      </c>
      <c r="W96" s="56">
        <f t="shared" si="26"/>
        <v>2</v>
      </c>
      <c r="X96" s="56">
        <f t="shared" si="27"/>
        <v>3504.1335518727383</v>
      </c>
      <c r="Y96" s="56">
        <f t="shared" si="27"/>
        <v>372.76332245255935</v>
      </c>
      <c r="AA96" s="56">
        <f t="shared" si="28"/>
        <v>0</v>
      </c>
      <c r="AB96" s="56">
        <v>0</v>
      </c>
      <c r="AC96" s="56">
        <f t="shared" si="29"/>
        <v>0</v>
      </c>
      <c r="AE96" s="56">
        <v>0</v>
      </c>
      <c r="AF96" s="56">
        <f t="shared" si="30"/>
        <v>0</v>
      </c>
      <c r="AG96" s="56">
        <f t="shared" si="31"/>
        <v>0</v>
      </c>
      <c r="AI96" s="56">
        <f t="shared" si="32"/>
        <v>0</v>
      </c>
      <c r="AJ96" s="56">
        <f t="shared" si="33"/>
        <v>0</v>
      </c>
      <c r="AK96" s="56">
        <f t="shared" si="34"/>
        <v>0</v>
      </c>
      <c r="AM96" s="56">
        <f t="shared" si="35"/>
        <v>372632</v>
      </c>
      <c r="AN96" s="56">
        <f t="shared" si="36"/>
        <v>37510</v>
      </c>
      <c r="AO96" s="56">
        <f t="shared" si="37"/>
        <v>73369</v>
      </c>
      <c r="AP96" s="56"/>
      <c r="AQ96" s="56">
        <f t="shared" si="38"/>
        <v>483511</v>
      </c>
      <c r="AS96" s="56">
        <v>1332.5972907073528</v>
      </c>
      <c r="AT96" s="56">
        <v>134.14232909259755</v>
      </c>
      <c r="AU96" s="56">
        <v>262.38039304704847</v>
      </c>
      <c r="AV96" s="56"/>
      <c r="AW96" s="56">
        <v>1729.1200128469989</v>
      </c>
      <c r="AY96" s="16">
        <v>6.3406957765213434E-2</v>
      </c>
      <c r="AZ96" s="16">
        <v>6.268528598969203E-3</v>
      </c>
      <c r="BA96" s="16">
        <v>4.5515402222986445E-3</v>
      </c>
      <c r="BB96" s="16">
        <f t="shared" si="39"/>
        <v>4.9453967591739367E-2</v>
      </c>
      <c r="BC96" s="16"/>
      <c r="BE96" s="16">
        <v>1.9946843052501606E-2</v>
      </c>
      <c r="BF96" s="16">
        <v>3.5644275104226963E-2</v>
      </c>
      <c r="BG96" s="16">
        <v>7.4272240562006431E-2</v>
      </c>
      <c r="BH96" s="16">
        <f>AQ96/(VLOOKUP($A96,'2016-17'!$A$12:$D$220,4,FALSE))-1</f>
        <v>2.9053338806305673E-2</v>
      </c>
      <c r="BJ96" s="16">
        <v>1.4660276237557612E-2</v>
      </c>
      <c r="BK96" s="16">
        <v>3.0276345692859863E-2</v>
      </c>
      <c r="BL96" s="16">
        <v>6.8704095500471851E-2</v>
      </c>
      <c r="BM96" s="16">
        <v>2.3719571395977246E-2</v>
      </c>
    </row>
    <row r="97" spans="1:65" x14ac:dyDescent="0.2">
      <c r="A97" s="156" t="s">
        <v>239</v>
      </c>
      <c r="B97" s="156" t="s">
        <v>240</v>
      </c>
      <c r="D97" s="56">
        <f>VLOOKUP(A97,'2016-17'!$A$12:$AMX305,32,FALSE)</f>
        <v>293681.69624773029</v>
      </c>
      <c r="E97" s="56">
        <v>1568.4100328090831</v>
      </c>
      <c r="F97" s="16">
        <f>VLOOKUP(A97,'2016-17'!$A$12:$AMX305,34,FALSE)</f>
        <v>4.7157746991302707E-2</v>
      </c>
      <c r="G97" s="16">
        <f>VLOOKUP(A97,'2016-17'!$A$12:$AMX305,35,FALSE)</f>
        <v>4.2146801592107597E-2</v>
      </c>
      <c r="H97" s="56"/>
      <c r="I97" s="56">
        <v>300966.31358037156</v>
      </c>
      <c r="J97" s="56">
        <v>1607.313604450306</v>
      </c>
      <c r="K97" s="16">
        <f t="shared" si="23"/>
        <v>-2.4204095288876681E-2</v>
      </c>
      <c r="L97" s="58">
        <f t="shared" si="23"/>
        <v>-2.420409528887657E-2</v>
      </c>
      <c r="M97" s="10"/>
      <c r="N97" s="56">
        <v>226562</v>
      </c>
      <c r="O97" s="56">
        <v>21576</v>
      </c>
      <c r="P97" s="56">
        <v>42700</v>
      </c>
      <c r="R97" s="56">
        <f t="shared" si="24"/>
        <v>42700</v>
      </c>
      <c r="S97" s="56">
        <f t="shared" si="25"/>
        <v>2843.6962477302877</v>
      </c>
      <c r="U97" s="16">
        <v>-3.4274634931908854E-2</v>
      </c>
      <c r="V97" s="16">
        <v>-7.9586521364319096E-2</v>
      </c>
      <c r="W97" s="56">
        <f t="shared" si="26"/>
        <v>4</v>
      </c>
      <c r="X97" s="56">
        <f t="shared" si="27"/>
        <v>2346.0292977188769</v>
      </c>
      <c r="Y97" s="56">
        <f t="shared" si="27"/>
        <v>234.41638460121069</v>
      </c>
      <c r="AA97" s="56">
        <f t="shared" si="28"/>
        <v>0</v>
      </c>
      <c r="AB97" s="56">
        <v>0</v>
      </c>
      <c r="AC97" s="56">
        <f t="shared" si="29"/>
        <v>2843.6962477302877</v>
      </c>
      <c r="AE97" s="56">
        <v>0</v>
      </c>
      <c r="AF97" s="56">
        <f t="shared" si="30"/>
        <v>0</v>
      </c>
      <c r="AG97" s="56">
        <f t="shared" si="31"/>
        <v>2843.6962477302877</v>
      </c>
      <c r="AI97" s="56">
        <f t="shared" si="32"/>
        <v>2585.3652943355964</v>
      </c>
      <c r="AJ97" s="56">
        <f t="shared" si="33"/>
        <v>258.33095339469128</v>
      </c>
      <c r="AK97" s="56">
        <f t="shared" si="34"/>
        <v>0</v>
      </c>
      <c r="AM97" s="56">
        <f t="shared" si="35"/>
        <v>229147</v>
      </c>
      <c r="AN97" s="56">
        <f t="shared" si="36"/>
        <v>21834</v>
      </c>
      <c r="AO97" s="56">
        <f t="shared" si="37"/>
        <v>42700</v>
      </c>
      <c r="AP97" s="56"/>
      <c r="AQ97" s="56">
        <f t="shared" si="38"/>
        <v>293681</v>
      </c>
      <c r="AS97" s="56">
        <v>1223.7618427705486</v>
      </c>
      <c r="AT97" s="56">
        <v>116.60469513042788</v>
      </c>
      <c r="AU97" s="56">
        <v>228.03977659014706</v>
      </c>
      <c r="AV97" s="56"/>
      <c r="AW97" s="56">
        <v>1568.4063144911236</v>
      </c>
      <c r="AY97" s="16">
        <v>-2.3256017208278967E-2</v>
      </c>
      <c r="AZ97" s="16">
        <v>-6.8580464751044845E-2</v>
      </c>
      <c r="BA97" s="16">
        <v>-5.1662705363695327E-3</v>
      </c>
      <c r="BB97" s="16">
        <f t="shared" si="39"/>
        <v>-2.4206408663161039E-2</v>
      </c>
      <c r="BC97" s="16"/>
      <c r="BE97" s="16">
        <v>4.2244216288601422E-2</v>
      </c>
      <c r="BF97" s="16">
        <v>4.8048768780300399E-2</v>
      </c>
      <c r="BG97" s="16">
        <v>7.3840962710975511E-2</v>
      </c>
      <c r="BH97" s="16">
        <f>AQ97/(VLOOKUP($A97,'2016-17'!$A$12:$D$220,4,FALSE))-1</f>
        <v>4.715526443548157E-2</v>
      </c>
      <c r="BJ97" s="16">
        <v>3.7256783520754455E-2</v>
      </c>
      <c r="BK97" s="16">
        <v>4.3033559590337278E-2</v>
      </c>
      <c r="BL97" s="16">
        <v>6.8702330592725236E-2</v>
      </c>
      <c r="BM97" s="16">
        <v>4.2144330916016548E-2</v>
      </c>
    </row>
    <row r="98" spans="1:65" x14ac:dyDescent="0.2">
      <c r="A98" s="156" t="s">
        <v>241</v>
      </c>
      <c r="B98" s="156" t="s">
        <v>242</v>
      </c>
      <c r="D98" s="56">
        <f>VLOOKUP(A98,'2016-17'!$A$12:$AMX306,32,FALSE)</f>
        <v>445273.23483314965</v>
      </c>
      <c r="E98" s="56">
        <v>1655.9333081627312</v>
      </c>
      <c r="F98" s="16">
        <f>VLOOKUP(A98,'2016-17'!$A$12:$AMX306,34,FALSE)</f>
        <v>4.2235792826389673E-2</v>
      </c>
      <c r="G98" s="16">
        <f>VLOOKUP(A98,'2016-17'!$A$12:$AMX306,35,FALSE)</f>
        <v>3.8605416771387624E-2</v>
      </c>
      <c r="H98" s="56"/>
      <c r="I98" s="56">
        <v>455545.53488930326</v>
      </c>
      <c r="J98" s="56">
        <v>1694.1351188347799</v>
      </c>
      <c r="K98" s="16">
        <f t="shared" si="23"/>
        <v>-2.2549447353599428E-2</v>
      </c>
      <c r="L98" s="58">
        <f t="shared" si="23"/>
        <v>-2.2549447353599317E-2</v>
      </c>
      <c r="M98" s="10"/>
      <c r="N98" s="56">
        <v>335681</v>
      </c>
      <c r="O98" s="56">
        <v>33885</v>
      </c>
      <c r="P98" s="56">
        <v>73742</v>
      </c>
      <c r="R98" s="56">
        <f t="shared" si="24"/>
        <v>73742</v>
      </c>
      <c r="S98" s="56">
        <f t="shared" si="25"/>
        <v>1965.2348331496469</v>
      </c>
      <c r="U98" s="16">
        <v>-2.7933076569538362E-2</v>
      </c>
      <c r="V98" s="16">
        <v>-7.2132696984749445E-2</v>
      </c>
      <c r="W98" s="56">
        <f t="shared" si="26"/>
        <v>4</v>
      </c>
      <c r="X98" s="56">
        <f t="shared" si="27"/>
        <v>3453.2704684094056</v>
      </c>
      <c r="Y98" s="56">
        <f t="shared" si="27"/>
        <v>365.192305945962</v>
      </c>
      <c r="AA98" s="56">
        <f t="shared" si="28"/>
        <v>0</v>
      </c>
      <c r="AB98" s="56">
        <v>0</v>
      </c>
      <c r="AC98" s="56">
        <f t="shared" si="29"/>
        <v>1965.2348331496469</v>
      </c>
      <c r="AE98" s="56">
        <v>0</v>
      </c>
      <c r="AF98" s="56">
        <f t="shared" si="30"/>
        <v>0</v>
      </c>
      <c r="AG98" s="56">
        <f t="shared" si="31"/>
        <v>1965.2348331496469</v>
      </c>
      <c r="AI98" s="56">
        <f t="shared" si="32"/>
        <v>1777.2825908852433</v>
      </c>
      <c r="AJ98" s="56">
        <f t="shared" si="33"/>
        <v>187.95224226440376</v>
      </c>
      <c r="AK98" s="56">
        <f t="shared" si="34"/>
        <v>0</v>
      </c>
      <c r="AM98" s="56">
        <f t="shared" si="35"/>
        <v>337458</v>
      </c>
      <c r="AN98" s="56">
        <f t="shared" si="36"/>
        <v>34073</v>
      </c>
      <c r="AO98" s="56">
        <f t="shared" si="37"/>
        <v>73742</v>
      </c>
      <c r="AP98" s="56"/>
      <c r="AQ98" s="56">
        <f t="shared" si="38"/>
        <v>445273</v>
      </c>
      <c r="AS98" s="56">
        <v>1254.9776150712771</v>
      </c>
      <c r="AT98" s="56">
        <v>126.71459049222015</v>
      </c>
      <c r="AU98" s="56">
        <v>274.24022927471304</v>
      </c>
      <c r="AV98" s="56"/>
      <c r="AW98" s="56">
        <v>1655.9324348382104</v>
      </c>
      <c r="AY98" s="16">
        <v>-2.2787229998132985E-2</v>
      </c>
      <c r="AZ98" s="16">
        <v>-6.6984724342964985E-2</v>
      </c>
      <c r="BA98" s="16">
        <v>5.7995898073048835E-4</v>
      </c>
      <c r="BB98" s="16">
        <f t="shared" si="39"/>
        <v>-2.2549962852340233E-2</v>
      </c>
      <c r="BC98" s="16"/>
      <c r="BE98" s="16">
        <v>3.5942137367773075E-2</v>
      </c>
      <c r="BF98" s="16">
        <v>4.1414511889479755E-2</v>
      </c>
      <c r="BG98" s="16">
        <v>7.2438847922362104E-2</v>
      </c>
      <c r="BH98" s="16">
        <f>AQ98/(VLOOKUP($A98,'2016-17'!$A$12:$D$220,4,FALSE))-1</f>
        <v>4.2235243160488434E-2</v>
      </c>
      <c r="BJ98" s="16">
        <v>3.2333683737842511E-2</v>
      </c>
      <c r="BK98" s="16">
        <v>3.7786996567785947E-2</v>
      </c>
      <c r="BL98" s="16">
        <v>6.8703266837208954E-2</v>
      </c>
      <c r="BM98" s="16">
        <v>3.8604869020114396E-2</v>
      </c>
    </row>
    <row r="99" spans="1:65" x14ac:dyDescent="0.2">
      <c r="A99" s="156" t="s">
        <v>243</v>
      </c>
      <c r="B99" s="156" t="s">
        <v>244</v>
      </c>
      <c r="D99" s="56">
        <f>VLOOKUP(A99,'2016-17'!$A$12:$AMX307,32,FALSE)</f>
        <v>176300.69388760219</v>
      </c>
      <c r="E99" s="56">
        <v>1541.3482523042519</v>
      </c>
      <c r="F99" s="16">
        <f>VLOOKUP(A99,'2016-17'!$A$12:$AMX307,34,FALSE)</f>
        <v>4.3116737977488828E-2</v>
      </c>
      <c r="G99" s="16">
        <f>VLOOKUP(A99,'2016-17'!$A$12:$AMX307,35,FALSE)</f>
        <v>4.134906143184236E-2</v>
      </c>
      <c r="H99" s="56"/>
      <c r="I99" s="56">
        <v>180601.54227886017</v>
      </c>
      <c r="J99" s="56">
        <v>1578.9493814042733</v>
      </c>
      <c r="K99" s="16">
        <f t="shared" si="23"/>
        <v>-2.38140180697749E-2</v>
      </c>
      <c r="L99" s="58">
        <f t="shared" si="23"/>
        <v>-2.3814018069775011E-2</v>
      </c>
      <c r="M99" s="10"/>
      <c r="N99" s="56">
        <v>134998</v>
      </c>
      <c r="O99" s="56">
        <v>15375</v>
      </c>
      <c r="P99" s="56">
        <v>24748</v>
      </c>
      <c r="R99" s="56">
        <f t="shared" si="24"/>
        <v>24748</v>
      </c>
      <c r="S99" s="56">
        <f t="shared" si="25"/>
        <v>1179.6938876021886</v>
      </c>
      <c r="U99" s="16">
        <v>-3.4042795110316937E-2</v>
      </c>
      <c r="V99" s="16">
        <v>6.9236705881125182E-2</v>
      </c>
      <c r="W99" s="56">
        <f t="shared" si="26"/>
        <v>1</v>
      </c>
      <c r="X99" s="56">
        <f t="shared" si="27"/>
        <v>1397.5567376757381</v>
      </c>
      <c r="Y99" s="56">
        <f t="shared" si="27"/>
        <v>143.79416564576255</v>
      </c>
      <c r="AA99" s="56">
        <f t="shared" si="28"/>
        <v>1179.6938876021886</v>
      </c>
      <c r="AB99" s="56">
        <v>0</v>
      </c>
      <c r="AC99" s="56">
        <f t="shared" si="29"/>
        <v>0</v>
      </c>
      <c r="AE99" s="56">
        <v>0</v>
      </c>
      <c r="AF99" s="56">
        <f t="shared" si="30"/>
        <v>0</v>
      </c>
      <c r="AG99" s="56">
        <f t="shared" si="31"/>
        <v>0</v>
      </c>
      <c r="AI99" s="56">
        <f t="shared" si="32"/>
        <v>0</v>
      </c>
      <c r="AJ99" s="56">
        <f t="shared" si="33"/>
        <v>0</v>
      </c>
      <c r="AK99" s="56">
        <f t="shared" si="34"/>
        <v>0</v>
      </c>
      <c r="AM99" s="56">
        <f t="shared" si="35"/>
        <v>136178</v>
      </c>
      <c r="AN99" s="56">
        <f t="shared" si="36"/>
        <v>15375</v>
      </c>
      <c r="AO99" s="56">
        <f t="shared" si="37"/>
        <v>24748</v>
      </c>
      <c r="AP99" s="56"/>
      <c r="AQ99" s="56">
        <f t="shared" si="38"/>
        <v>176301</v>
      </c>
      <c r="AS99" s="56">
        <v>1190.5666261081508</v>
      </c>
      <c r="AT99" s="56">
        <v>134.41937667180321</v>
      </c>
      <c r="AU99" s="56">
        <v>216.36492578040884</v>
      </c>
      <c r="AV99" s="56"/>
      <c r="AW99" s="56">
        <v>1541.3509285603627</v>
      </c>
      <c r="AY99" s="16">
        <v>-2.5599488529702175E-2</v>
      </c>
      <c r="AZ99" s="16">
        <v>6.9236705881125182E-2</v>
      </c>
      <c r="BA99" s="16">
        <v>-6.4929441625579565E-2</v>
      </c>
      <c r="BB99" s="16">
        <f t="shared" si="39"/>
        <v>-2.3812323109732136E-2</v>
      </c>
      <c r="BC99" s="16"/>
      <c r="BE99" s="16">
        <v>3.9497340704924389E-2</v>
      </c>
      <c r="BF99" s="16">
        <v>3.2433521353746997E-2</v>
      </c>
      <c r="BG99" s="16">
        <v>7.0522379811235769E-2</v>
      </c>
      <c r="BH99" s="16">
        <f>AQ99/(VLOOKUP($A99,'2016-17'!$A$12:$D$220,4,FALSE))-1</f>
        <v>4.3118549149973928E-2</v>
      </c>
      <c r="BJ99" s="16">
        <v>3.7735797627791001E-2</v>
      </c>
      <c r="BK99" s="16">
        <v>3.068394869884461E-2</v>
      </c>
      <c r="BL99" s="16">
        <v>6.870826137799968E-2</v>
      </c>
      <c r="BM99" s="16">
        <v>4.135086953509548E-2</v>
      </c>
    </row>
    <row r="100" spans="1:65" x14ac:dyDescent="0.2">
      <c r="A100" s="156" t="s">
        <v>245</v>
      </c>
      <c r="B100" s="156" t="s">
        <v>246</v>
      </c>
      <c r="D100" s="56">
        <f>VLOOKUP(A100,'2016-17'!$A$12:$AMX308,32,FALSE)</f>
        <v>114683.43398306753</v>
      </c>
      <c r="E100" s="56">
        <v>1513.5579989263144</v>
      </c>
      <c r="F100" s="16">
        <f>VLOOKUP(A100,'2016-17'!$A$12:$AMX308,34,FALSE)</f>
        <v>9.3956537098392801E-2</v>
      </c>
      <c r="G100" s="16">
        <f>VLOOKUP(A100,'2016-17'!$A$12:$AMX308,35,FALSE)</f>
        <v>7.7399999999999913E-2</v>
      </c>
      <c r="H100" s="56"/>
      <c r="I100" s="56">
        <v>120539.81337383774</v>
      </c>
      <c r="J100" s="56">
        <v>1590.848759795545</v>
      </c>
      <c r="K100" s="16">
        <f t="shared" si="23"/>
        <v>-4.8584606420514764E-2</v>
      </c>
      <c r="L100" s="58">
        <f t="shared" si="23"/>
        <v>-4.8584606420514764E-2</v>
      </c>
      <c r="M100" s="10"/>
      <c r="N100" s="56">
        <v>92502</v>
      </c>
      <c r="O100" s="56">
        <v>8845</v>
      </c>
      <c r="P100" s="56">
        <v>12527</v>
      </c>
      <c r="R100" s="56">
        <f t="shared" si="24"/>
        <v>12527</v>
      </c>
      <c r="S100" s="56">
        <f t="shared" si="25"/>
        <v>809.43398306753079</v>
      </c>
      <c r="U100" s="16">
        <v>-4.7872242508018248E-2</v>
      </c>
      <c r="V100" s="16">
        <v>-0.11744624902984979</v>
      </c>
      <c r="W100" s="56">
        <f t="shared" si="26"/>
        <v>4</v>
      </c>
      <c r="X100" s="56">
        <f t="shared" si="27"/>
        <v>971.52928556206916</v>
      </c>
      <c r="Y100" s="56">
        <f t="shared" si="27"/>
        <v>100.22052470206039</v>
      </c>
      <c r="AA100" s="56">
        <f t="shared" si="28"/>
        <v>0</v>
      </c>
      <c r="AB100" s="56">
        <v>0</v>
      </c>
      <c r="AC100" s="56">
        <f t="shared" si="29"/>
        <v>809.43398306753079</v>
      </c>
      <c r="AE100" s="56">
        <v>0</v>
      </c>
      <c r="AF100" s="56">
        <f t="shared" si="30"/>
        <v>0</v>
      </c>
      <c r="AG100" s="56">
        <f t="shared" si="31"/>
        <v>809.43398306753079</v>
      </c>
      <c r="AI100" s="56">
        <f t="shared" si="32"/>
        <v>733.74290505864883</v>
      </c>
      <c r="AJ100" s="56">
        <f t="shared" si="33"/>
        <v>75.691078008881902</v>
      </c>
      <c r="AK100" s="56">
        <f t="shared" si="34"/>
        <v>0</v>
      </c>
      <c r="AM100" s="56">
        <f t="shared" si="35"/>
        <v>93236</v>
      </c>
      <c r="AN100" s="56">
        <f t="shared" si="36"/>
        <v>8921</v>
      </c>
      <c r="AO100" s="56">
        <f t="shared" si="37"/>
        <v>12527</v>
      </c>
      <c r="AP100" s="56"/>
      <c r="AQ100" s="56">
        <f t="shared" si="38"/>
        <v>114684</v>
      </c>
      <c r="AS100" s="56">
        <v>1230.5011167413184</v>
      </c>
      <c r="AT100" s="56">
        <v>117.73671610160561</v>
      </c>
      <c r="AU100" s="56">
        <v>165.32763620724285</v>
      </c>
      <c r="AV100" s="56"/>
      <c r="AW100" s="56">
        <v>1513.5654690501667</v>
      </c>
      <c r="AY100" s="16">
        <v>-4.0317143439899561E-2</v>
      </c>
      <c r="AZ100" s="16">
        <v>-0.10986297202886264</v>
      </c>
      <c r="BA100" s="16">
        <v>-6.2689327156896568E-2</v>
      </c>
      <c r="BB100" s="16">
        <f t="shared" si="39"/>
        <v>-4.8579910736021525E-2</v>
      </c>
      <c r="BC100" s="16"/>
      <c r="BE100" s="16">
        <v>9.4011995047512675E-2</v>
      </c>
      <c r="BF100" s="16">
        <v>0.10611283362060209</v>
      </c>
      <c r="BG100" s="16">
        <v>8.5103587186325047E-2</v>
      </c>
      <c r="BH100" s="16">
        <f>AQ100/(VLOOKUP($A100,'2016-17'!$A$12:$D$220,4,FALSE))-1</f>
        <v>9.3961936290777315E-2</v>
      </c>
      <c r="BJ100" s="16">
        <v>7.745461861815861E-2</v>
      </c>
      <c r="BK100" s="16">
        <v>8.9372316475906155E-2</v>
      </c>
      <c r="BL100" s="16">
        <v>6.8681035478282526E-2</v>
      </c>
      <c r="BM100" s="16">
        <v>7.7405317478051128E-2</v>
      </c>
    </row>
    <row r="101" spans="1:65" x14ac:dyDescent="0.2">
      <c r="A101" s="156" t="s">
        <v>247</v>
      </c>
      <c r="B101" s="156" t="s">
        <v>248</v>
      </c>
      <c r="D101" s="56">
        <f>VLOOKUP(A101,'2016-17'!$A$12:$AMX309,32,FALSE)</f>
        <v>467261</v>
      </c>
      <c r="E101" s="56">
        <v>1433.7762170022986</v>
      </c>
      <c r="F101" s="16">
        <f>VLOOKUP(A101,'2016-17'!$A$12:$AMX309,34,FALSE)</f>
        <v>3.653120746431382E-2</v>
      </c>
      <c r="G101" s="16">
        <f>VLOOKUP(A101,'2016-17'!$A$12:$AMX309,35,FALSE)</f>
        <v>3.1291708951332708E-2</v>
      </c>
      <c r="H101" s="56"/>
      <c r="I101" s="56">
        <v>473978.49669642886</v>
      </c>
      <c r="J101" s="56">
        <v>1454.3886520249757</v>
      </c>
      <c r="K101" s="16">
        <f t="shared" si="23"/>
        <v>-1.4172576906439804E-2</v>
      </c>
      <c r="L101" s="58">
        <f t="shared" si="23"/>
        <v>-1.4172576906439693E-2</v>
      </c>
      <c r="M101" s="10"/>
      <c r="N101" s="56">
        <v>357473</v>
      </c>
      <c r="O101" s="56">
        <v>41307</v>
      </c>
      <c r="P101" s="56">
        <v>68481</v>
      </c>
      <c r="R101" s="56">
        <f t="shared" si="24"/>
        <v>68481</v>
      </c>
      <c r="S101" s="56">
        <f t="shared" si="25"/>
        <v>0</v>
      </c>
      <c r="U101" s="16">
        <v>-1.9956601974864929E-2</v>
      </c>
      <c r="V101" s="16">
        <v>9.9107398142118441E-2</v>
      </c>
      <c r="W101" s="56">
        <f t="shared" si="26"/>
        <v>1</v>
      </c>
      <c r="X101" s="56">
        <f t="shared" si="27"/>
        <v>3647.5221476960751</v>
      </c>
      <c r="Y101" s="56">
        <f t="shared" si="27"/>
        <v>375.82314585293017</v>
      </c>
      <c r="AA101" s="56">
        <f t="shared" si="28"/>
        <v>0</v>
      </c>
      <c r="AB101" s="56">
        <v>0</v>
      </c>
      <c r="AC101" s="56">
        <f t="shared" si="29"/>
        <v>0</v>
      </c>
      <c r="AE101" s="56">
        <v>0</v>
      </c>
      <c r="AF101" s="56">
        <f t="shared" si="30"/>
        <v>0</v>
      </c>
      <c r="AG101" s="56">
        <f t="shared" si="31"/>
        <v>0</v>
      </c>
      <c r="AI101" s="56">
        <f t="shared" si="32"/>
        <v>0</v>
      </c>
      <c r="AJ101" s="56">
        <f t="shared" si="33"/>
        <v>0</v>
      </c>
      <c r="AK101" s="56">
        <f t="shared" si="34"/>
        <v>0</v>
      </c>
      <c r="AM101" s="56">
        <f t="shared" si="35"/>
        <v>357473</v>
      </c>
      <c r="AN101" s="56">
        <f t="shared" si="36"/>
        <v>41307</v>
      </c>
      <c r="AO101" s="56">
        <f t="shared" si="37"/>
        <v>68481</v>
      </c>
      <c r="AP101" s="56"/>
      <c r="AQ101" s="56">
        <f t="shared" si="38"/>
        <v>467261</v>
      </c>
      <c r="AS101" s="56">
        <v>1096.8950663985711</v>
      </c>
      <c r="AT101" s="56">
        <v>126.7492775894285</v>
      </c>
      <c r="AU101" s="56">
        <v>210.13187301429909</v>
      </c>
      <c r="AV101" s="56"/>
      <c r="AW101" s="56">
        <v>1433.7762170022986</v>
      </c>
      <c r="AY101" s="16">
        <v>-1.9956601974864929E-2</v>
      </c>
      <c r="AZ101" s="16">
        <v>9.9107398142118441E-2</v>
      </c>
      <c r="BA101" s="16">
        <v>-4.4148411358215012E-2</v>
      </c>
      <c r="BB101" s="16">
        <f t="shared" si="39"/>
        <v>-1.4172576906439804E-2</v>
      </c>
      <c r="BC101" s="16"/>
      <c r="BE101" s="16">
        <v>3.0486356319949115E-2</v>
      </c>
      <c r="BF101" s="16">
        <v>2.9047607184673918E-2</v>
      </c>
      <c r="BG101" s="16">
        <v>7.4133846377853363E-2</v>
      </c>
      <c r="BH101" s="16">
        <f>AQ101/(VLOOKUP($A101,'2016-17'!$A$12:$D$220,4,FALSE))-1</f>
        <v>3.653120746431382E-2</v>
      </c>
      <c r="BJ101" s="16">
        <v>2.5277413557102779E-2</v>
      </c>
      <c r="BK101" s="16">
        <v>2.3845937067263234E-2</v>
      </c>
      <c r="BL101" s="16">
        <v>6.870427257408207E-2</v>
      </c>
      <c r="BM101" s="16">
        <v>3.1291708951332708E-2</v>
      </c>
    </row>
    <row r="102" spans="1:65" x14ac:dyDescent="0.2">
      <c r="A102" s="156" t="s">
        <v>249</v>
      </c>
      <c r="B102" s="156" t="s">
        <v>250</v>
      </c>
      <c r="D102" s="56">
        <f>VLOOKUP(A102,'2016-17'!$A$12:$AMX310,32,FALSE)</f>
        <v>158118</v>
      </c>
      <c r="E102" s="56">
        <v>1615.3488591256366</v>
      </c>
      <c r="F102" s="16">
        <f>VLOOKUP(A102,'2016-17'!$A$12:$AMX310,34,FALSE)</f>
        <v>3.6202297446640719E-2</v>
      </c>
      <c r="G102" s="16">
        <f>VLOOKUP(A102,'2016-17'!$A$12:$AMX310,35,FALSE)</f>
        <v>3.0732137268378645E-2</v>
      </c>
      <c r="H102" s="56"/>
      <c r="I102" s="56">
        <v>157431.30253030942</v>
      </c>
      <c r="J102" s="56">
        <v>1608.3334910193544</v>
      </c>
      <c r="K102" s="16">
        <f t="shared" si="23"/>
        <v>4.3618864778074418E-3</v>
      </c>
      <c r="L102" s="58">
        <f t="shared" si="23"/>
        <v>4.3618864778074418E-3</v>
      </c>
      <c r="M102" s="10"/>
      <c r="N102" s="56">
        <v>125700</v>
      </c>
      <c r="O102" s="56">
        <v>12458</v>
      </c>
      <c r="P102" s="56">
        <v>19960</v>
      </c>
      <c r="R102" s="56">
        <f t="shared" si="24"/>
        <v>19960</v>
      </c>
      <c r="S102" s="56">
        <f t="shared" si="25"/>
        <v>0</v>
      </c>
      <c r="U102" s="16">
        <v>1.3706006638711798E-2</v>
      </c>
      <c r="V102" s="16">
        <v>5.0658594911257016E-2</v>
      </c>
      <c r="W102" s="56">
        <f t="shared" si="26"/>
        <v>2</v>
      </c>
      <c r="X102" s="56">
        <f t="shared" si="27"/>
        <v>1240.0044902249444</v>
      </c>
      <c r="Y102" s="56">
        <f t="shared" si="27"/>
        <v>118.57324596532953</v>
      </c>
      <c r="AA102" s="56">
        <f t="shared" si="28"/>
        <v>0</v>
      </c>
      <c r="AB102" s="56">
        <v>0</v>
      </c>
      <c r="AC102" s="56">
        <f t="shared" si="29"/>
        <v>0</v>
      </c>
      <c r="AE102" s="56">
        <v>0</v>
      </c>
      <c r="AF102" s="56">
        <f t="shared" si="30"/>
        <v>0</v>
      </c>
      <c r="AG102" s="56">
        <f t="shared" si="31"/>
        <v>0</v>
      </c>
      <c r="AI102" s="56">
        <f t="shared" si="32"/>
        <v>0</v>
      </c>
      <c r="AJ102" s="56">
        <f t="shared" si="33"/>
        <v>0</v>
      </c>
      <c r="AK102" s="56">
        <f t="shared" si="34"/>
        <v>0</v>
      </c>
      <c r="AM102" s="56">
        <f t="shared" si="35"/>
        <v>125700</v>
      </c>
      <c r="AN102" s="56">
        <f t="shared" si="36"/>
        <v>12458</v>
      </c>
      <c r="AO102" s="56">
        <f t="shared" si="37"/>
        <v>19960</v>
      </c>
      <c r="AP102" s="56"/>
      <c r="AQ102" s="56">
        <f t="shared" si="38"/>
        <v>158118</v>
      </c>
      <c r="AS102" s="56">
        <v>1284.1634196744997</v>
      </c>
      <c r="AT102" s="56">
        <v>127.2721390795936</v>
      </c>
      <c r="AU102" s="56">
        <v>203.91330037154344</v>
      </c>
      <c r="AV102" s="56"/>
      <c r="AW102" s="56">
        <v>1615.3488591256366</v>
      </c>
      <c r="AY102" s="16">
        <v>1.3706006638711798E-2</v>
      </c>
      <c r="AZ102" s="16">
        <v>5.0658594911257016E-2</v>
      </c>
      <c r="BA102" s="16">
        <v>-7.4792071242374192E-2</v>
      </c>
      <c r="BB102" s="16">
        <f t="shared" si="39"/>
        <v>4.3618864778074418E-3</v>
      </c>
      <c r="BC102" s="16"/>
      <c r="BE102" s="16">
        <v>3.0485766617572407E-2</v>
      </c>
      <c r="BF102" s="16">
        <v>3.523350506897116E-2</v>
      </c>
      <c r="BG102" s="16">
        <v>7.43630901771275E-2</v>
      </c>
      <c r="BH102" s="16">
        <f>AQ102/(VLOOKUP($A102,'2016-17'!$A$12:$D$220,4,FALSE))-1</f>
        <v>3.6202297446640719E-2</v>
      </c>
      <c r="BJ102" s="16">
        <v>2.5045784271743088E-2</v>
      </c>
      <c r="BK102" s="16">
        <v>2.9768459190782082E-2</v>
      </c>
      <c r="BL102" s="16">
        <v>6.8691477397110345E-2</v>
      </c>
      <c r="BM102" s="16">
        <v>3.0732137268378645E-2</v>
      </c>
    </row>
    <row r="103" spans="1:65" x14ac:dyDescent="0.2">
      <c r="A103" s="156" t="s">
        <v>251</v>
      </c>
      <c r="B103" s="156" t="s">
        <v>252</v>
      </c>
      <c r="D103" s="56">
        <f>VLOOKUP(A103,'2016-17'!$A$12:$AMX311,32,FALSE)</f>
        <v>176898</v>
      </c>
      <c r="E103" s="56">
        <v>1718.857156757173</v>
      </c>
      <c r="F103" s="16">
        <f>VLOOKUP(A103,'2016-17'!$A$12:$AMX311,34,FALSE)</f>
        <v>3.5579415923019386E-2</v>
      </c>
      <c r="G103" s="16">
        <f>VLOOKUP(A103,'2016-17'!$A$12:$AMX311,35,FALSE)</f>
        <v>3.1563963377943205E-2</v>
      </c>
      <c r="H103" s="56"/>
      <c r="I103" s="56">
        <v>175345.11089392725</v>
      </c>
      <c r="J103" s="56">
        <v>1703.7682662461248</v>
      </c>
      <c r="K103" s="16">
        <f t="shared" si="23"/>
        <v>8.8561870824681588E-3</v>
      </c>
      <c r="L103" s="58">
        <f t="shared" si="23"/>
        <v>8.8561870824681588E-3</v>
      </c>
      <c r="M103" s="10"/>
      <c r="N103" s="56">
        <v>143412</v>
      </c>
      <c r="O103" s="56">
        <v>13104</v>
      </c>
      <c r="P103" s="56">
        <v>20382</v>
      </c>
      <c r="R103" s="56">
        <f t="shared" si="24"/>
        <v>20382</v>
      </c>
      <c r="S103" s="56">
        <f t="shared" si="25"/>
        <v>0</v>
      </c>
      <c r="U103" s="16">
        <v>1.9827095273954098E-2</v>
      </c>
      <c r="V103" s="16">
        <v>-1.42451756436901E-4</v>
      </c>
      <c r="W103" s="56">
        <f t="shared" si="26"/>
        <v>3</v>
      </c>
      <c r="X103" s="56">
        <f t="shared" si="27"/>
        <v>1406.2383777073067</v>
      </c>
      <c r="Y103" s="56">
        <f t="shared" si="27"/>
        <v>131.05866953767193</v>
      </c>
      <c r="AA103" s="56">
        <f t="shared" si="28"/>
        <v>0</v>
      </c>
      <c r="AB103" s="56">
        <v>0</v>
      </c>
      <c r="AC103" s="56">
        <f t="shared" si="29"/>
        <v>0</v>
      </c>
      <c r="AE103" s="56">
        <v>0</v>
      </c>
      <c r="AF103" s="56">
        <f t="shared" si="30"/>
        <v>0</v>
      </c>
      <c r="AG103" s="56">
        <f t="shared" si="31"/>
        <v>0</v>
      </c>
      <c r="AI103" s="56">
        <f t="shared" si="32"/>
        <v>0</v>
      </c>
      <c r="AJ103" s="56">
        <f t="shared" si="33"/>
        <v>0</v>
      </c>
      <c r="AK103" s="56">
        <f t="shared" si="34"/>
        <v>0</v>
      </c>
      <c r="AM103" s="56">
        <f t="shared" si="35"/>
        <v>143412</v>
      </c>
      <c r="AN103" s="56">
        <f t="shared" si="36"/>
        <v>13104</v>
      </c>
      <c r="AO103" s="56">
        <f t="shared" si="37"/>
        <v>20382</v>
      </c>
      <c r="AP103" s="56"/>
      <c r="AQ103" s="56">
        <f t="shared" si="38"/>
        <v>176898</v>
      </c>
      <c r="AS103" s="56">
        <v>1393.4851867452412</v>
      </c>
      <c r="AT103" s="56">
        <v>127.32707086652192</v>
      </c>
      <c r="AU103" s="56">
        <v>198.0448991454098</v>
      </c>
      <c r="AV103" s="56"/>
      <c r="AW103" s="56">
        <v>1718.857156757173</v>
      </c>
      <c r="AY103" s="16">
        <v>1.9827095273954098E-2</v>
      </c>
      <c r="AZ103" s="16">
        <v>-1.42451756436901E-4</v>
      </c>
      <c r="BA103" s="16">
        <v>-5.706143848334444E-2</v>
      </c>
      <c r="BB103" s="16">
        <f t="shared" si="39"/>
        <v>8.8561870824681588E-3</v>
      </c>
      <c r="BC103" s="16"/>
      <c r="BE103" s="16">
        <v>3.0486744671648802E-2</v>
      </c>
      <c r="BF103" s="16">
        <v>3.5643720856713745E-2</v>
      </c>
      <c r="BG103" s="16">
        <v>7.284252095605237E-2</v>
      </c>
      <c r="BH103" s="16">
        <f>AQ103/(VLOOKUP($A103,'2016-17'!$A$12:$D$220,4,FALSE))-1</f>
        <v>3.5579415923019386E-2</v>
      </c>
      <c r="BJ103" s="16">
        <v>2.6491038926695243E-2</v>
      </c>
      <c r="BK103" s="16">
        <v>3.1628018969669602E-2</v>
      </c>
      <c r="BL103" s="16">
        <v>6.868258096014257E-2</v>
      </c>
      <c r="BM103" s="16">
        <v>3.1563963377943205E-2</v>
      </c>
    </row>
    <row r="104" spans="1:65" x14ac:dyDescent="0.2">
      <c r="A104" s="156" t="s">
        <v>253</v>
      </c>
      <c r="B104" s="156" t="s">
        <v>254</v>
      </c>
      <c r="D104" s="56">
        <f>VLOOKUP(A104,'2016-17'!$A$12:$AMX312,32,FALSE)</f>
        <v>567926.34984978207</v>
      </c>
      <c r="E104" s="56">
        <v>1462.2968066226138</v>
      </c>
      <c r="F104" s="16">
        <f>VLOOKUP(A104,'2016-17'!$A$12:$AMX312,34,FALSE)</f>
        <v>4.2866954125020396E-2</v>
      </c>
      <c r="G104" s="16">
        <f>VLOOKUP(A104,'2016-17'!$A$12:$AMX312,35,FALSE)</f>
        <v>3.6138796892861258E-2</v>
      </c>
      <c r="H104" s="56"/>
      <c r="I104" s="56">
        <v>580153.32054554764</v>
      </c>
      <c r="J104" s="56">
        <v>1493.7788116533986</v>
      </c>
      <c r="K104" s="16">
        <f t="shared" si="23"/>
        <v>-2.1075412762040058E-2</v>
      </c>
      <c r="L104" s="58">
        <f t="shared" si="23"/>
        <v>-2.1075412762039947E-2</v>
      </c>
      <c r="M104" s="10"/>
      <c r="N104" s="56">
        <v>425074</v>
      </c>
      <c r="O104" s="56">
        <v>48850</v>
      </c>
      <c r="P104" s="56">
        <v>91339</v>
      </c>
      <c r="R104" s="56">
        <f t="shared" si="24"/>
        <v>91339</v>
      </c>
      <c r="S104" s="56">
        <f t="shared" si="25"/>
        <v>2663.3498497820692</v>
      </c>
      <c r="U104" s="16">
        <v>-1.8491297017557806E-2</v>
      </c>
      <c r="V104" s="16">
        <v>-4.3219183165315922E-2</v>
      </c>
      <c r="W104" s="56">
        <f t="shared" si="26"/>
        <v>4</v>
      </c>
      <c r="X104" s="56">
        <f t="shared" si="27"/>
        <v>4330.8225256521637</v>
      </c>
      <c r="Y104" s="56">
        <f t="shared" si="27"/>
        <v>510.56625656030968</v>
      </c>
      <c r="AA104" s="56">
        <f t="shared" si="28"/>
        <v>0</v>
      </c>
      <c r="AB104" s="56">
        <v>0</v>
      </c>
      <c r="AC104" s="56">
        <f t="shared" si="29"/>
        <v>2663.3498497820692</v>
      </c>
      <c r="AE104" s="56">
        <v>0</v>
      </c>
      <c r="AF104" s="56">
        <f t="shared" si="30"/>
        <v>0</v>
      </c>
      <c r="AG104" s="56">
        <f t="shared" si="31"/>
        <v>2663.3498497820692</v>
      </c>
      <c r="AI104" s="56">
        <f t="shared" si="32"/>
        <v>2382.4766078499742</v>
      </c>
      <c r="AJ104" s="56">
        <f t="shared" si="33"/>
        <v>280.87324193209491</v>
      </c>
      <c r="AK104" s="56">
        <f t="shared" si="34"/>
        <v>0</v>
      </c>
      <c r="AM104" s="56">
        <f t="shared" si="35"/>
        <v>427456</v>
      </c>
      <c r="AN104" s="56">
        <f t="shared" si="36"/>
        <v>49131</v>
      </c>
      <c r="AO104" s="56">
        <f t="shared" si="37"/>
        <v>91339</v>
      </c>
      <c r="AP104" s="56"/>
      <c r="AQ104" s="56">
        <f t="shared" si="38"/>
        <v>567926</v>
      </c>
      <c r="AS104" s="56">
        <v>1100.6137396812242</v>
      </c>
      <c r="AT104" s="56">
        <v>126.50250234943066</v>
      </c>
      <c r="AU104" s="56">
        <v>235.17966379871459</v>
      </c>
      <c r="AV104" s="56"/>
      <c r="AW104" s="56">
        <v>1462.2959058293695</v>
      </c>
      <c r="AY104" s="16">
        <v>-1.2991187082571964E-2</v>
      </c>
      <c r="AZ104" s="16">
        <v>-3.7715490032653731E-2</v>
      </c>
      <c r="BA104" s="16">
        <v>-4.8695198463044265E-2</v>
      </c>
      <c r="BB104" s="16">
        <f t="shared" si="39"/>
        <v>-2.1076015791911096E-2</v>
      </c>
      <c r="BC104" s="16"/>
      <c r="BE104" s="16">
        <v>3.6262074386751886E-2</v>
      </c>
      <c r="BF104" s="16">
        <v>4.1617198100406982E-2</v>
      </c>
      <c r="BG104" s="16">
        <v>7.56417437281931E-2</v>
      </c>
      <c r="BH104" s="16">
        <f>AQ104/(VLOOKUP($A104,'2016-17'!$A$12:$D$220,4,FALSE))-1</f>
        <v>4.2866311705846316E-2</v>
      </c>
      <c r="BJ104" s="16">
        <v>2.9576529176387867E-2</v>
      </c>
      <c r="BK104" s="16">
        <v>3.4897103790370698E-2</v>
      </c>
      <c r="BL104" s="16">
        <v>6.8702136764283717E-2</v>
      </c>
      <c r="BM104" s="16">
        <v>3.6138158618316707E-2</v>
      </c>
    </row>
    <row r="105" spans="1:65" x14ac:dyDescent="0.2">
      <c r="A105" s="156" t="s">
        <v>255</v>
      </c>
      <c r="B105" s="156" t="s">
        <v>256</v>
      </c>
      <c r="D105" s="56">
        <f>VLOOKUP(A105,'2016-17'!$A$12:$AMX313,32,FALSE)</f>
        <v>426677.5249158782</v>
      </c>
      <c r="E105" s="56">
        <v>1724.4966875127782</v>
      </c>
      <c r="F105" s="16">
        <f>VLOOKUP(A105,'2016-17'!$A$12:$AMX313,34,FALSE)</f>
        <v>4.2024049078977388E-2</v>
      </c>
      <c r="G105" s="16">
        <f>VLOOKUP(A105,'2016-17'!$A$12:$AMX313,35,FALSE)</f>
        <v>3.4778183126333406E-2</v>
      </c>
      <c r="H105" s="56"/>
      <c r="I105" s="56">
        <v>435243.89932153205</v>
      </c>
      <c r="J105" s="56">
        <v>1759.1192851981305</v>
      </c>
      <c r="K105" s="16">
        <f t="shared" si="23"/>
        <v>-1.9681779386241383E-2</v>
      </c>
      <c r="L105" s="58">
        <f t="shared" si="23"/>
        <v>-1.9681779386241383E-2</v>
      </c>
      <c r="M105" s="10"/>
      <c r="N105" s="56">
        <v>331147</v>
      </c>
      <c r="O105" s="56">
        <v>36425</v>
      </c>
      <c r="P105" s="56">
        <v>56740</v>
      </c>
      <c r="R105" s="56">
        <f t="shared" si="24"/>
        <v>56740</v>
      </c>
      <c r="S105" s="56">
        <f t="shared" si="25"/>
        <v>2365.5249158781953</v>
      </c>
      <c r="U105" s="16">
        <v>-1.5542235282009487E-2</v>
      </c>
      <c r="V105" s="16">
        <v>0.10263866988411374</v>
      </c>
      <c r="W105" s="56">
        <f t="shared" si="26"/>
        <v>1</v>
      </c>
      <c r="X105" s="56">
        <f t="shared" si="27"/>
        <v>3363.7501969915484</v>
      </c>
      <c r="Y105" s="56">
        <f t="shared" si="27"/>
        <v>330.34393763668959</v>
      </c>
      <c r="AA105" s="56">
        <f t="shared" si="28"/>
        <v>2365.5249158781953</v>
      </c>
      <c r="AB105" s="56">
        <v>0</v>
      </c>
      <c r="AC105" s="56">
        <f t="shared" si="29"/>
        <v>0</v>
      </c>
      <c r="AE105" s="56">
        <v>0</v>
      </c>
      <c r="AF105" s="56">
        <f t="shared" si="30"/>
        <v>0</v>
      </c>
      <c r="AG105" s="56">
        <f t="shared" si="31"/>
        <v>0</v>
      </c>
      <c r="AI105" s="56">
        <f t="shared" si="32"/>
        <v>0</v>
      </c>
      <c r="AJ105" s="56">
        <f t="shared" si="33"/>
        <v>0</v>
      </c>
      <c r="AK105" s="56">
        <f t="shared" si="34"/>
        <v>0</v>
      </c>
      <c r="AM105" s="56">
        <f t="shared" si="35"/>
        <v>333513</v>
      </c>
      <c r="AN105" s="56">
        <f t="shared" si="36"/>
        <v>36425</v>
      </c>
      <c r="AO105" s="56">
        <f t="shared" si="37"/>
        <v>56740</v>
      </c>
      <c r="AP105" s="56"/>
      <c r="AQ105" s="56">
        <f t="shared" si="38"/>
        <v>426678</v>
      </c>
      <c r="AS105" s="56">
        <v>1347.954907762816</v>
      </c>
      <c r="AT105" s="56">
        <v>147.21842181642265</v>
      </c>
      <c r="AU105" s="56">
        <v>229.32527807450438</v>
      </c>
      <c r="AV105" s="56"/>
      <c r="AW105" s="56">
        <v>1724.498607653743</v>
      </c>
      <c r="AY105" s="16">
        <v>-8.5084192688106297E-3</v>
      </c>
      <c r="AZ105" s="16">
        <v>0.10263866988411374</v>
      </c>
      <c r="BA105" s="16">
        <v>-0.13814167058624161</v>
      </c>
      <c r="BB105" s="16">
        <f t="shared" si="39"/>
        <v>-1.9680687850845868E-2</v>
      </c>
      <c r="BC105" s="16"/>
      <c r="BE105" s="16">
        <v>3.7850671280284187E-2</v>
      </c>
      <c r="BF105" s="16">
        <v>2.904200920982003E-2</v>
      </c>
      <c r="BG105" s="16">
        <v>7.6185720141672464E-2</v>
      </c>
      <c r="BH105" s="16">
        <f>AQ105/(VLOOKUP($A105,'2016-17'!$A$12:$D$220,4,FALSE))-1</f>
        <v>4.2025209320732282E-2</v>
      </c>
      <c r="BJ105" s="16">
        <v>3.0633825517841773E-2</v>
      </c>
      <c r="BK105" s="16">
        <v>2.1886415761698919E-2</v>
      </c>
      <c r="BL105" s="16">
        <v>6.8702306035070215E-2</v>
      </c>
      <c r="BM105" s="16">
        <v>3.4779335300178182E-2</v>
      </c>
    </row>
    <row r="106" spans="1:65" x14ac:dyDescent="0.2">
      <c r="A106" s="156" t="s">
        <v>257</v>
      </c>
      <c r="B106" s="156" t="s">
        <v>258</v>
      </c>
      <c r="D106" s="56">
        <f>VLOOKUP(A106,'2016-17'!$A$12:$AMX314,32,FALSE)</f>
        <v>364396</v>
      </c>
      <c r="E106" s="56">
        <v>1547.3635351749053</v>
      </c>
      <c r="F106" s="16">
        <f>VLOOKUP(A106,'2016-17'!$A$12:$AMX314,34,FALSE)</f>
        <v>3.7433437130908187E-2</v>
      </c>
      <c r="G106" s="16">
        <f>VLOOKUP(A106,'2016-17'!$A$12:$AMX314,35,FALSE)</f>
        <v>3.1593031788620829E-2</v>
      </c>
      <c r="H106" s="56"/>
      <c r="I106" s="56">
        <v>366739.16688668152</v>
      </c>
      <c r="J106" s="56">
        <v>1557.3135099201832</v>
      </c>
      <c r="K106" s="16">
        <f t="shared" si="23"/>
        <v>-6.3891918241869572E-3</v>
      </c>
      <c r="L106" s="58">
        <f t="shared" si="23"/>
        <v>-6.3891918241868462E-3</v>
      </c>
      <c r="M106" s="10"/>
      <c r="N106" s="56">
        <v>279084</v>
      </c>
      <c r="O106" s="56">
        <v>29672</v>
      </c>
      <c r="P106" s="56">
        <v>55640</v>
      </c>
      <c r="R106" s="56">
        <f t="shared" si="24"/>
        <v>55640</v>
      </c>
      <c r="S106" s="56">
        <f t="shared" si="25"/>
        <v>0</v>
      </c>
      <c r="U106" s="16">
        <v>1.0316813958251014E-2</v>
      </c>
      <c r="V106" s="16">
        <v>1.5751735945912726E-2</v>
      </c>
      <c r="W106" s="56">
        <f t="shared" si="26"/>
        <v>2</v>
      </c>
      <c r="X106" s="56">
        <f t="shared" si="27"/>
        <v>2762.341437302186</v>
      </c>
      <c r="Y106" s="56">
        <f t="shared" si="27"/>
        <v>292.11862456103142</v>
      </c>
      <c r="AA106" s="56">
        <f t="shared" si="28"/>
        <v>0</v>
      </c>
      <c r="AB106" s="56">
        <v>0</v>
      </c>
      <c r="AC106" s="56">
        <f t="shared" si="29"/>
        <v>0</v>
      </c>
      <c r="AE106" s="56">
        <v>0</v>
      </c>
      <c r="AF106" s="56">
        <f t="shared" si="30"/>
        <v>0</v>
      </c>
      <c r="AG106" s="56">
        <f t="shared" si="31"/>
        <v>0</v>
      </c>
      <c r="AI106" s="56">
        <f t="shared" si="32"/>
        <v>0</v>
      </c>
      <c r="AJ106" s="56">
        <f t="shared" si="33"/>
        <v>0</v>
      </c>
      <c r="AK106" s="56">
        <f t="shared" si="34"/>
        <v>0</v>
      </c>
      <c r="AM106" s="56">
        <f t="shared" si="35"/>
        <v>279084</v>
      </c>
      <c r="AN106" s="56">
        <f t="shared" si="36"/>
        <v>29672</v>
      </c>
      <c r="AO106" s="56">
        <f t="shared" si="37"/>
        <v>55640</v>
      </c>
      <c r="AP106" s="56"/>
      <c r="AQ106" s="56">
        <f t="shared" si="38"/>
        <v>364396</v>
      </c>
      <c r="AS106" s="56">
        <v>1185.0964468620766</v>
      </c>
      <c r="AT106" s="56">
        <v>125.99855875396489</v>
      </c>
      <c r="AU106" s="56">
        <v>236.26852955886378</v>
      </c>
      <c r="AV106" s="56"/>
      <c r="AW106" s="56">
        <v>1547.3635351749053</v>
      </c>
      <c r="AY106" s="16">
        <v>1.0316813958251014E-2</v>
      </c>
      <c r="AZ106" s="16">
        <v>1.5751735945912726E-2</v>
      </c>
      <c r="BA106" s="16">
        <v>-9.2231508960617492E-2</v>
      </c>
      <c r="BB106" s="16">
        <f t="shared" si="39"/>
        <v>-6.3891918241869572E-3</v>
      </c>
      <c r="BC106" s="16"/>
      <c r="BE106" s="16">
        <v>3.0487265286075482E-2</v>
      </c>
      <c r="BF106" s="16">
        <v>3.5671902268760824E-2</v>
      </c>
      <c r="BG106" s="16">
        <v>7.4745902411767817E-2</v>
      </c>
      <c r="BH106" s="16">
        <f>AQ106/(VLOOKUP($A106,'2016-17'!$A$12:$D$220,4,FALSE))-1</f>
        <v>3.7433437130908187E-2</v>
      </c>
      <c r="BJ106" s="16">
        <v>2.4685964581925957E-2</v>
      </c>
      <c r="BK106" s="16">
        <v>2.9841413782101256E-2</v>
      </c>
      <c r="BL106" s="16">
        <v>6.8695440294982202E-2</v>
      </c>
      <c r="BM106" s="16">
        <v>3.1593031788620829E-2</v>
      </c>
    </row>
    <row r="107" spans="1:65" x14ac:dyDescent="0.2">
      <c r="A107" s="156" t="s">
        <v>259</v>
      </c>
      <c r="B107" s="156" t="s">
        <v>260</v>
      </c>
      <c r="D107" s="56">
        <f>VLOOKUP(A107,'2016-17'!$A$12:$AMX315,32,FALSE)</f>
        <v>323824.85729861923</v>
      </c>
      <c r="E107" s="56">
        <v>1701.5009601452321</v>
      </c>
      <c r="F107" s="16">
        <f>VLOOKUP(A107,'2016-17'!$A$12:$AMX315,34,FALSE)</f>
        <v>4.0280969924173293E-2</v>
      </c>
      <c r="G107" s="16">
        <f>VLOOKUP(A107,'2016-17'!$A$12:$AMX315,35,FALSE)</f>
        <v>3.5311380373101109E-2</v>
      </c>
      <c r="H107" s="56"/>
      <c r="I107" s="56">
        <v>330428.05789002078</v>
      </c>
      <c r="J107" s="56">
        <v>1736.1967282219257</v>
      </c>
      <c r="K107" s="16">
        <f t="shared" si="23"/>
        <v>-1.9983776903108375E-2</v>
      </c>
      <c r="L107" s="58">
        <f t="shared" si="23"/>
        <v>-1.9983776903108375E-2</v>
      </c>
      <c r="M107" s="10"/>
      <c r="N107" s="56">
        <v>251305</v>
      </c>
      <c r="O107" s="56">
        <v>25754</v>
      </c>
      <c r="P107" s="56">
        <v>45691</v>
      </c>
      <c r="R107" s="56">
        <f t="shared" si="24"/>
        <v>45691</v>
      </c>
      <c r="S107" s="56">
        <f t="shared" si="25"/>
        <v>1074.8572986192303</v>
      </c>
      <c r="U107" s="16">
        <v>-1.9153954376238347E-2</v>
      </c>
      <c r="V107" s="16">
        <v>4.6068639997153715E-2</v>
      </c>
      <c r="W107" s="56">
        <f t="shared" si="26"/>
        <v>1</v>
      </c>
      <c r="X107" s="56">
        <f t="shared" si="27"/>
        <v>2562.1248219457771</v>
      </c>
      <c r="Y107" s="56">
        <f t="shared" si="27"/>
        <v>246.19799327958131</v>
      </c>
      <c r="AA107" s="56">
        <f t="shared" si="28"/>
        <v>1074.8572986192303</v>
      </c>
      <c r="AB107" s="56">
        <v>0</v>
      </c>
      <c r="AC107" s="56">
        <f t="shared" si="29"/>
        <v>0</v>
      </c>
      <c r="AE107" s="56">
        <v>0</v>
      </c>
      <c r="AF107" s="56">
        <f t="shared" si="30"/>
        <v>0</v>
      </c>
      <c r="AG107" s="56">
        <f t="shared" si="31"/>
        <v>0</v>
      </c>
      <c r="AI107" s="56">
        <f t="shared" si="32"/>
        <v>0</v>
      </c>
      <c r="AJ107" s="56">
        <f t="shared" si="33"/>
        <v>0</v>
      </c>
      <c r="AK107" s="56">
        <f t="shared" si="34"/>
        <v>0</v>
      </c>
      <c r="AM107" s="56">
        <f t="shared" si="35"/>
        <v>252380</v>
      </c>
      <c r="AN107" s="56">
        <f t="shared" si="36"/>
        <v>25754</v>
      </c>
      <c r="AO107" s="56">
        <f t="shared" si="37"/>
        <v>45691</v>
      </c>
      <c r="AP107" s="56"/>
      <c r="AQ107" s="56">
        <f t="shared" si="38"/>
        <v>323825</v>
      </c>
      <c r="AS107" s="56">
        <v>1326.1020661099344</v>
      </c>
      <c r="AT107" s="56">
        <v>135.32147004752855</v>
      </c>
      <c r="AU107" s="56">
        <v>240.07817379597836</v>
      </c>
      <c r="AV107" s="56"/>
      <c r="AW107" s="56">
        <v>1701.5017099534414</v>
      </c>
      <c r="AY107" s="16">
        <v>-1.4958218123296563E-2</v>
      </c>
      <c r="AZ107" s="16">
        <v>4.6068639997153715E-2</v>
      </c>
      <c r="BA107" s="16">
        <v>-7.8732034327926081E-2</v>
      </c>
      <c r="BB107" s="16">
        <f t="shared" si="39"/>
        <v>-1.9983345034877531E-2</v>
      </c>
      <c r="BC107" s="16"/>
      <c r="BE107" s="16">
        <v>3.4896816890694904E-2</v>
      </c>
      <c r="BF107" s="16">
        <v>3.5669763139904331E-2</v>
      </c>
      <c r="BG107" s="16">
        <v>7.3838365714100629E-2</v>
      </c>
      <c r="BH107" s="16">
        <f>AQ107/(VLOOKUP($A107,'2016-17'!$A$12:$D$220,4,FALSE))-1</f>
        <v>4.0281428349545623E-2</v>
      </c>
      <c r="BJ107" s="16">
        <v>2.99529483048524E-2</v>
      </c>
      <c r="BK107" s="16">
        <v>3.0722202065480042E-2</v>
      </c>
      <c r="BL107" s="16">
        <v>6.8708467084711788E-2</v>
      </c>
      <c r="BM107" s="16">
        <v>3.5311836608501679E-2</v>
      </c>
    </row>
    <row r="108" spans="1:65" x14ac:dyDescent="0.2">
      <c r="A108" s="156" t="s">
        <v>261</v>
      </c>
      <c r="B108" s="156" t="s">
        <v>262</v>
      </c>
      <c r="D108" s="56">
        <f>VLOOKUP(A108,'2016-17'!$A$12:$AMX316,32,FALSE)</f>
        <v>400829.55631557677</v>
      </c>
      <c r="E108" s="56">
        <v>1398.5246532552217</v>
      </c>
      <c r="F108" s="16">
        <f>VLOOKUP(A108,'2016-17'!$A$12:$AMX316,34,FALSE)</f>
        <v>6.3613724904503677E-2</v>
      </c>
      <c r="G108" s="16">
        <f>VLOOKUP(A108,'2016-17'!$A$12:$AMX316,35,FALSE)</f>
        <v>4.9085567435125377E-2</v>
      </c>
      <c r="H108" s="56"/>
      <c r="I108" s="56">
        <v>413253.36736438732</v>
      </c>
      <c r="J108" s="56">
        <v>1441.8722701297283</v>
      </c>
      <c r="K108" s="16">
        <f t="shared" si="23"/>
        <v>-3.0063423628090669E-2</v>
      </c>
      <c r="L108" s="58">
        <f t="shared" si="23"/>
        <v>-3.0063423628090558E-2</v>
      </c>
      <c r="M108" s="10"/>
      <c r="N108" s="56">
        <v>294004</v>
      </c>
      <c r="O108" s="56">
        <v>29608</v>
      </c>
      <c r="P108" s="56">
        <v>75407</v>
      </c>
      <c r="R108" s="56">
        <f t="shared" si="24"/>
        <v>75407</v>
      </c>
      <c r="S108" s="56">
        <f t="shared" si="25"/>
        <v>1810.5563155767741</v>
      </c>
      <c r="U108" s="16">
        <v>-4.4621853647882403E-2</v>
      </c>
      <c r="V108" s="16">
        <v>-0.10851157394650424</v>
      </c>
      <c r="W108" s="56">
        <f t="shared" si="26"/>
        <v>4</v>
      </c>
      <c r="X108" s="56">
        <f t="shared" si="27"/>
        <v>3077.357391129196</v>
      </c>
      <c r="Y108" s="56">
        <f t="shared" si="27"/>
        <v>332.1187256582881</v>
      </c>
      <c r="AA108" s="56">
        <f t="shared" si="28"/>
        <v>0</v>
      </c>
      <c r="AB108" s="56">
        <v>0</v>
      </c>
      <c r="AC108" s="56">
        <f t="shared" si="29"/>
        <v>1810.5563155767741</v>
      </c>
      <c r="AE108" s="56">
        <v>0</v>
      </c>
      <c r="AF108" s="56">
        <f t="shared" si="30"/>
        <v>0</v>
      </c>
      <c r="AG108" s="56">
        <f t="shared" si="31"/>
        <v>1810.5563155767741</v>
      </c>
      <c r="AI108" s="56">
        <f t="shared" si="32"/>
        <v>1634.1891448841384</v>
      </c>
      <c r="AJ108" s="56">
        <f t="shared" si="33"/>
        <v>176.36717069263588</v>
      </c>
      <c r="AK108" s="56">
        <f t="shared" si="34"/>
        <v>0</v>
      </c>
      <c r="AM108" s="56">
        <f t="shared" si="35"/>
        <v>295638</v>
      </c>
      <c r="AN108" s="56">
        <f t="shared" si="36"/>
        <v>29784</v>
      </c>
      <c r="AO108" s="56">
        <f t="shared" si="37"/>
        <v>75407</v>
      </c>
      <c r="AP108" s="56"/>
      <c r="AQ108" s="56">
        <f t="shared" si="38"/>
        <v>400829</v>
      </c>
      <c r="AS108" s="56">
        <v>1031.5033532945076</v>
      </c>
      <c r="AT108" s="56">
        <v>103.91862979225816</v>
      </c>
      <c r="AU108" s="56">
        <v>263.10072914131115</v>
      </c>
      <c r="AV108" s="56"/>
      <c r="AW108" s="56">
        <v>1398.5227122280771</v>
      </c>
      <c r="AY108" s="16">
        <v>-3.931210313040856E-2</v>
      </c>
      <c r="AZ108" s="16">
        <v>-0.10321226419963125</v>
      </c>
      <c r="BA108" s="16">
        <v>4.2890697772999253E-2</v>
      </c>
      <c r="BB108" s="16">
        <f t="shared" si="39"/>
        <v>-3.0064769813314296E-2</v>
      </c>
      <c r="BC108" s="16"/>
      <c r="BE108" s="16">
        <v>6.0082467171036935E-2</v>
      </c>
      <c r="BF108" s="16">
        <v>4.9541867483970048E-2</v>
      </c>
      <c r="BG108" s="16">
        <v>8.349385788122099E-2</v>
      </c>
      <c r="BH108" s="16">
        <f>AQ108/(VLOOKUP($A108,'2016-17'!$A$12:$D$220,4,FALSE))-1</f>
        <v>6.3612248703775798E-2</v>
      </c>
      <c r="BJ108" s="16">
        <v>4.5602544006289047E-2</v>
      </c>
      <c r="BK108" s="16">
        <v>3.5205920923218503E-2</v>
      </c>
      <c r="BL108" s="16">
        <v>6.8694152860663715E-2</v>
      </c>
      <c r="BM108" s="16">
        <v>4.9084111398180585E-2</v>
      </c>
    </row>
    <row r="109" spans="1:65" x14ac:dyDescent="0.2">
      <c r="A109" s="156" t="s">
        <v>263</v>
      </c>
      <c r="B109" s="156" t="s">
        <v>264</v>
      </c>
      <c r="D109" s="56">
        <f>VLOOKUP(A109,'2016-17'!$A$12:$AMX317,32,FALSE)</f>
        <v>988409.77380763332</v>
      </c>
      <c r="E109" s="56">
        <v>1484.8217456557072</v>
      </c>
      <c r="F109" s="16">
        <f>VLOOKUP(A109,'2016-17'!$A$12:$AMX317,34,FALSE)</f>
        <v>5.5661969767994757E-2</v>
      </c>
      <c r="G109" s="16">
        <f>VLOOKUP(A109,'2016-17'!$A$12:$AMX317,35,FALSE)</f>
        <v>4.722253051927594E-2</v>
      </c>
      <c r="H109" s="56"/>
      <c r="I109" s="56">
        <v>1016830.4613682152</v>
      </c>
      <c r="J109" s="56">
        <v>1527.5162394119495</v>
      </c>
      <c r="K109" s="16">
        <f t="shared" si="23"/>
        <v>-2.7950271594283094E-2</v>
      </c>
      <c r="L109" s="58">
        <f t="shared" si="23"/>
        <v>-2.7950271594283316E-2</v>
      </c>
      <c r="M109" s="10"/>
      <c r="N109" s="56">
        <v>747276</v>
      </c>
      <c r="O109" s="56">
        <v>79618</v>
      </c>
      <c r="P109" s="56">
        <v>149811</v>
      </c>
      <c r="R109" s="56">
        <f t="shared" si="24"/>
        <v>149811</v>
      </c>
      <c r="S109" s="56">
        <f t="shared" si="25"/>
        <v>11704.773807633319</v>
      </c>
      <c r="U109" s="16">
        <v>-4.3837836993322665E-2</v>
      </c>
      <c r="V109" s="16">
        <v>-1.9450136070785384E-2</v>
      </c>
      <c r="W109" s="56">
        <f t="shared" si="26"/>
        <v>4</v>
      </c>
      <c r="X109" s="56">
        <f t="shared" si="27"/>
        <v>7815.3688664082965</v>
      </c>
      <c r="Y109" s="56">
        <f t="shared" si="27"/>
        <v>811.97298504492562</v>
      </c>
      <c r="AA109" s="56">
        <f t="shared" si="28"/>
        <v>0</v>
      </c>
      <c r="AB109" s="56">
        <v>0</v>
      </c>
      <c r="AC109" s="56">
        <f t="shared" si="29"/>
        <v>11704.773807633319</v>
      </c>
      <c r="AE109" s="56">
        <v>0</v>
      </c>
      <c r="AF109" s="56">
        <f t="shared" si="30"/>
        <v>0</v>
      </c>
      <c r="AG109" s="56">
        <f t="shared" si="31"/>
        <v>11704.773807633319</v>
      </c>
      <c r="AI109" s="56">
        <f t="shared" si="32"/>
        <v>10603.164494880886</v>
      </c>
      <c r="AJ109" s="56">
        <f t="shared" si="33"/>
        <v>1101.6093127524327</v>
      </c>
      <c r="AK109" s="56">
        <f t="shared" si="34"/>
        <v>0</v>
      </c>
      <c r="AM109" s="56">
        <f t="shared" si="35"/>
        <v>757879</v>
      </c>
      <c r="AN109" s="56">
        <f t="shared" si="36"/>
        <v>80720</v>
      </c>
      <c r="AO109" s="56">
        <f t="shared" si="37"/>
        <v>149811</v>
      </c>
      <c r="AP109" s="56"/>
      <c r="AQ109" s="56">
        <f t="shared" si="38"/>
        <v>988410</v>
      </c>
      <c r="AS109" s="56">
        <v>1138.5108176751128</v>
      </c>
      <c r="AT109" s="56">
        <v>121.26024497675104</v>
      </c>
      <c r="AU109" s="56">
        <v>225.05102279747337</v>
      </c>
      <c r="AV109" s="56"/>
      <c r="AW109" s="56">
        <v>1484.8220854493372</v>
      </c>
      <c r="AY109" s="16">
        <v>-3.0270978945747484E-2</v>
      </c>
      <c r="AZ109" s="16">
        <v>-5.8782559676681112E-3</v>
      </c>
      <c r="BA109" s="16">
        <v>-2.7809083567304826E-2</v>
      </c>
      <c r="BB109" s="16">
        <f t="shared" si="39"/>
        <v>-2.795004914582655E-2</v>
      </c>
      <c r="BC109" s="16"/>
      <c r="BE109" s="16">
        <v>5.2088226216155276E-2</v>
      </c>
      <c r="BF109" s="16">
        <v>4.9994570809163585E-2</v>
      </c>
      <c r="BG109" s="16">
        <v>7.7309315537229528E-2</v>
      </c>
      <c r="BH109" s="16">
        <f>AQ109/(VLOOKUP($A109,'2016-17'!$A$12:$D$220,4,FALSE))-1</f>
        <v>5.5662211350671953E-2</v>
      </c>
      <c r="BJ109" s="16">
        <v>4.3677357089748403E-2</v>
      </c>
      <c r="BK109" s="16">
        <v>4.160043931101387E-2</v>
      </c>
      <c r="BL109" s="16">
        <v>6.8696817615614414E-2</v>
      </c>
      <c r="BM109" s="16">
        <v>4.7222770170632256E-2</v>
      </c>
    </row>
    <row r="110" spans="1:65" x14ac:dyDescent="0.2">
      <c r="A110" s="156" t="s">
        <v>265</v>
      </c>
      <c r="B110" s="156" t="s">
        <v>266</v>
      </c>
      <c r="D110" s="56">
        <f>VLOOKUP(A110,'2016-17'!$A$12:$AMX318,32,FALSE)</f>
        <v>207284.99480028928</v>
      </c>
      <c r="E110" s="56">
        <v>1571.5917549013452</v>
      </c>
      <c r="F110" s="16">
        <f>VLOOKUP(A110,'2016-17'!$A$12:$AMX318,34,FALSE)</f>
        <v>4.3977775437307409E-2</v>
      </c>
      <c r="G110" s="16">
        <f>VLOOKUP(A110,'2016-17'!$A$12:$AMX318,35,FALSE)</f>
        <v>3.7772743156991195E-2</v>
      </c>
      <c r="H110" s="56"/>
      <c r="I110" s="56">
        <v>211764.81571788396</v>
      </c>
      <c r="J110" s="56">
        <v>1605.5568261517249</v>
      </c>
      <c r="K110" s="16">
        <f t="shared" si="23"/>
        <v>-2.1154698916380776E-2</v>
      </c>
      <c r="L110" s="58">
        <f t="shared" si="23"/>
        <v>-2.1154698916380776E-2</v>
      </c>
      <c r="M110" s="10"/>
      <c r="N110" s="56">
        <v>162411</v>
      </c>
      <c r="O110" s="56">
        <v>16852</v>
      </c>
      <c r="P110" s="56">
        <v>26528</v>
      </c>
      <c r="R110" s="56">
        <f t="shared" si="24"/>
        <v>26528</v>
      </c>
      <c r="S110" s="56">
        <f t="shared" si="25"/>
        <v>1493.9948002892779</v>
      </c>
      <c r="U110" s="16">
        <v>-2.3785541012888434E-2</v>
      </c>
      <c r="V110" s="16">
        <v>4.4314194841161392E-2</v>
      </c>
      <c r="W110" s="56">
        <f t="shared" si="26"/>
        <v>1</v>
      </c>
      <c r="X110" s="56">
        <f t="shared" si="27"/>
        <v>1663.681566123415</v>
      </c>
      <c r="Y110" s="56">
        <f t="shared" si="27"/>
        <v>161.36906003238963</v>
      </c>
      <c r="AA110" s="56">
        <f t="shared" si="28"/>
        <v>1493.9948002892779</v>
      </c>
      <c r="AB110" s="56">
        <v>0</v>
      </c>
      <c r="AC110" s="56">
        <f t="shared" si="29"/>
        <v>0</v>
      </c>
      <c r="AE110" s="56">
        <v>0</v>
      </c>
      <c r="AF110" s="56">
        <f t="shared" si="30"/>
        <v>0</v>
      </c>
      <c r="AG110" s="56">
        <f t="shared" si="31"/>
        <v>0</v>
      </c>
      <c r="AI110" s="56">
        <f t="shared" si="32"/>
        <v>0</v>
      </c>
      <c r="AJ110" s="56">
        <f t="shared" si="33"/>
        <v>0</v>
      </c>
      <c r="AK110" s="56">
        <f t="shared" si="34"/>
        <v>0</v>
      </c>
      <c r="AM110" s="56">
        <f t="shared" si="35"/>
        <v>163905</v>
      </c>
      <c r="AN110" s="56">
        <f t="shared" si="36"/>
        <v>16852</v>
      </c>
      <c r="AO110" s="56">
        <f t="shared" si="37"/>
        <v>26528</v>
      </c>
      <c r="AP110" s="56"/>
      <c r="AQ110" s="56">
        <f t="shared" si="38"/>
        <v>207285</v>
      </c>
      <c r="AS110" s="56">
        <v>1242.6936490761632</v>
      </c>
      <c r="AT110" s="56">
        <v>127.76836200379184</v>
      </c>
      <c r="AU110" s="56">
        <v>201.12978324451637</v>
      </c>
      <c r="AV110" s="56"/>
      <c r="AW110" s="56">
        <v>1571.5917943244713</v>
      </c>
      <c r="AY110" s="16">
        <v>-1.4805457140941725E-2</v>
      </c>
      <c r="AZ110" s="16">
        <v>4.4314194841161392E-2</v>
      </c>
      <c r="BA110" s="16">
        <v>-9.3362137840064752E-2</v>
      </c>
      <c r="BB110" s="16">
        <f t="shared" si="39"/>
        <v>-2.1154674362203973E-2</v>
      </c>
      <c r="BC110" s="16"/>
      <c r="BE110" s="16">
        <v>3.996417157622556E-2</v>
      </c>
      <c r="BF110" s="16">
        <v>3.5644051130776733E-2</v>
      </c>
      <c r="BG110" s="16">
        <v>7.5110140412605775E-2</v>
      </c>
      <c r="BH110" s="16">
        <f>AQ110/(VLOOKUP($A110,'2016-17'!$A$12:$D$220,4,FALSE))-1</f>
        <v>4.3977801625321833E-2</v>
      </c>
      <c r="BJ110" s="16">
        <v>3.3782994728567495E-2</v>
      </c>
      <c r="BK110" s="16">
        <v>2.9488551541245744E-2</v>
      </c>
      <c r="BL110" s="16">
        <v>6.8720068436829207E-2</v>
      </c>
      <c r="BM110" s="16">
        <v>3.7772769189353461E-2</v>
      </c>
    </row>
    <row r="111" spans="1:65" x14ac:dyDescent="0.2">
      <c r="A111" s="156" t="s">
        <v>267</v>
      </c>
      <c r="B111" s="156" t="s">
        <v>268</v>
      </c>
      <c r="D111" s="56">
        <f>VLOOKUP(A111,'2016-17'!$A$12:$AMX319,32,FALSE)</f>
        <v>498492</v>
      </c>
      <c r="E111" s="56">
        <v>1705.7182346118182</v>
      </c>
      <c r="F111" s="16">
        <f>VLOOKUP(A111,'2016-17'!$A$12:$AMX319,34,FALSE)</f>
        <v>2.6292768408629819E-2</v>
      </c>
      <c r="G111" s="16">
        <f>VLOOKUP(A111,'2016-17'!$A$12:$AMX319,35,FALSE)</f>
        <v>2.2761503047787457E-2</v>
      </c>
      <c r="H111" s="56"/>
      <c r="I111" s="56">
        <v>467063.91748171404</v>
      </c>
      <c r="J111" s="56">
        <v>1598.1789893875714</v>
      </c>
      <c r="K111" s="16">
        <f t="shared" si="23"/>
        <v>6.7288611562498657E-2</v>
      </c>
      <c r="L111" s="58">
        <f t="shared" si="23"/>
        <v>6.7288611562498435E-2</v>
      </c>
      <c r="M111" s="10"/>
      <c r="N111" s="56">
        <v>390444</v>
      </c>
      <c r="O111" s="56">
        <v>38378</v>
      </c>
      <c r="P111" s="56">
        <v>69670</v>
      </c>
      <c r="R111" s="56">
        <f t="shared" si="24"/>
        <v>69670</v>
      </c>
      <c r="S111" s="56">
        <f t="shared" si="25"/>
        <v>0</v>
      </c>
      <c r="U111" s="16">
        <v>6.70748058704429E-2</v>
      </c>
      <c r="V111" s="16">
        <v>7.8494502403047672E-2</v>
      </c>
      <c r="W111" s="56">
        <f t="shared" si="26"/>
        <v>2</v>
      </c>
      <c r="X111" s="56">
        <f t="shared" si="27"/>
        <v>3659.0124502237113</v>
      </c>
      <c r="Y111" s="56">
        <f t="shared" si="27"/>
        <v>355.84789643793317</v>
      </c>
      <c r="AA111" s="56">
        <f t="shared" si="28"/>
        <v>0</v>
      </c>
      <c r="AB111" s="56">
        <v>0</v>
      </c>
      <c r="AC111" s="56">
        <f t="shared" si="29"/>
        <v>0</v>
      </c>
      <c r="AE111" s="56">
        <v>0</v>
      </c>
      <c r="AF111" s="56">
        <f t="shared" si="30"/>
        <v>0</v>
      </c>
      <c r="AG111" s="56">
        <f t="shared" si="31"/>
        <v>0</v>
      </c>
      <c r="AI111" s="56">
        <f t="shared" si="32"/>
        <v>0</v>
      </c>
      <c r="AJ111" s="56">
        <f t="shared" si="33"/>
        <v>0</v>
      </c>
      <c r="AK111" s="56">
        <f t="shared" si="34"/>
        <v>0</v>
      </c>
      <c r="AM111" s="56">
        <f t="shared" si="35"/>
        <v>390444</v>
      </c>
      <c r="AN111" s="56">
        <f t="shared" si="36"/>
        <v>38378</v>
      </c>
      <c r="AO111" s="56">
        <f t="shared" si="37"/>
        <v>69670</v>
      </c>
      <c r="AP111" s="56"/>
      <c r="AQ111" s="56">
        <f t="shared" si="38"/>
        <v>498492</v>
      </c>
      <c r="AS111" s="56">
        <v>1336.0042897273713</v>
      </c>
      <c r="AT111" s="56">
        <v>131.32017044994174</v>
      </c>
      <c r="AU111" s="56">
        <v>238.39377443450522</v>
      </c>
      <c r="AV111" s="56"/>
      <c r="AW111" s="56">
        <v>1705.7182346118182</v>
      </c>
      <c r="AY111" s="16">
        <v>6.70748058704429E-2</v>
      </c>
      <c r="AZ111" s="16">
        <v>7.8494502403047672E-2</v>
      </c>
      <c r="BA111" s="16">
        <v>6.2400873720797057E-2</v>
      </c>
      <c r="BB111" s="16">
        <f t="shared" si="39"/>
        <v>6.7288611562498657E-2</v>
      </c>
      <c r="BC111" s="16"/>
      <c r="BE111" s="16">
        <v>1.8028702321068346E-2</v>
      </c>
      <c r="BF111" s="16">
        <v>3.097380792478166E-2</v>
      </c>
      <c r="BG111" s="16">
        <v>7.2397408322531387E-2</v>
      </c>
      <c r="BH111" s="16">
        <f>AQ111/(VLOOKUP($A111,'2016-17'!$A$12:$D$220,4,FALSE))-1</f>
        <v>2.6292768408629819E-2</v>
      </c>
      <c r="BJ111" s="16">
        <v>1.4525871936300394E-2</v>
      </c>
      <c r="BK111" s="16">
        <v>2.7426436055928427E-2</v>
      </c>
      <c r="BL111" s="16">
        <v>6.8707506242310812E-2</v>
      </c>
      <c r="BM111" s="16">
        <v>2.2761503047787457E-2</v>
      </c>
    </row>
    <row r="112" spans="1:65" x14ac:dyDescent="0.2">
      <c r="A112" s="156" t="s">
        <v>269</v>
      </c>
      <c r="B112" s="156" t="s">
        <v>270</v>
      </c>
      <c r="D112" s="56">
        <f>VLOOKUP(A112,'2016-17'!$A$12:$AMX320,32,FALSE)</f>
        <v>572406</v>
      </c>
      <c r="E112" s="56">
        <v>1601.2093535517499</v>
      </c>
      <c r="F112" s="16">
        <f>VLOOKUP(A112,'2016-17'!$A$12:$AMX320,34,FALSE)</f>
        <v>3.8844165556480403E-2</v>
      </c>
      <c r="G112" s="16">
        <f>VLOOKUP(A112,'2016-17'!$A$12:$AMX320,35,FALSE)</f>
        <v>3.3082899285356682E-2</v>
      </c>
      <c r="H112" s="56"/>
      <c r="I112" s="56">
        <v>575173.8525204584</v>
      </c>
      <c r="J112" s="56">
        <v>1608.9519546862766</v>
      </c>
      <c r="K112" s="16">
        <f t="shared" si="23"/>
        <v>-4.8122015775394766E-3</v>
      </c>
      <c r="L112" s="58">
        <f t="shared" si="23"/>
        <v>-4.8122015775395877E-3</v>
      </c>
      <c r="M112" s="10"/>
      <c r="N112" s="56">
        <v>420223</v>
      </c>
      <c r="O112" s="56">
        <v>45711</v>
      </c>
      <c r="P112" s="56">
        <v>106472</v>
      </c>
      <c r="R112" s="56">
        <f t="shared" si="24"/>
        <v>106472</v>
      </c>
      <c r="S112" s="56">
        <f t="shared" si="25"/>
        <v>0</v>
      </c>
      <c r="U112" s="16">
        <v>-4.4916117527249444E-4</v>
      </c>
      <c r="V112" s="16">
        <v>-5.0281084305815571E-2</v>
      </c>
      <c r="W112" s="56">
        <f t="shared" si="26"/>
        <v>4</v>
      </c>
      <c r="X112" s="56">
        <f t="shared" si="27"/>
        <v>4204.1183267286178</v>
      </c>
      <c r="Y112" s="56">
        <f t="shared" si="27"/>
        <v>481.31083044279637</v>
      </c>
      <c r="AA112" s="56">
        <f t="shared" si="28"/>
        <v>0</v>
      </c>
      <c r="AB112" s="56">
        <v>0</v>
      </c>
      <c r="AC112" s="56">
        <f t="shared" si="29"/>
        <v>0</v>
      </c>
      <c r="AE112" s="56">
        <v>0</v>
      </c>
      <c r="AF112" s="56">
        <f t="shared" si="30"/>
        <v>0</v>
      </c>
      <c r="AG112" s="56">
        <f t="shared" si="31"/>
        <v>0</v>
      </c>
      <c r="AI112" s="56">
        <f t="shared" si="32"/>
        <v>0</v>
      </c>
      <c r="AJ112" s="56">
        <f t="shared" si="33"/>
        <v>0</v>
      </c>
      <c r="AK112" s="56">
        <f t="shared" si="34"/>
        <v>0</v>
      </c>
      <c r="AM112" s="56">
        <f t="shared" si="35"/>
        <v>420223</v>
      </c>
      <c r="AN112" s="56">
        <f t="shared" si="36"/>
        <v>45711</v>
      </c>
      <c r="AO112" s="56">
        <f t="shared" si="37"/>
        <v>106472</v>
      </c>
      <c r="AP112" s="56"/>
      <c r="AQ112" s="56">
        <f t="shared" si="38"/>
        <v>572406</v>
      </c>
      <c r="AS112" s="56">
        <v>1175.5030488457091</v>
      </c>
      <c r="AT112" s="56">
        <v>127.86882171082071</v>
      </c>
      <c r="AU112" s="56">
        <v>297.83748299522006</v>
      </c>
      <c r="AV112" s="56"/>
      <c r="AW112" s="56">
        <v>1601.2093535517499</v>
      </c>
      <c r="AY112" s="16">
        <v>-4.4916117527249444E-4</v>
      </c>
      <c r="AZ112" s="16">
        <v>-5.0281084305815571E-2</v>
      </c>
      <c r="BA112" s="16">
        <v>-1.4905318107636401E-3</v>
      </c>
      <c r="BB112" s="16">
        <f t="shared" si="39"/>
        <v>-4.8122015775394766E-3</v>
      </c>
      <c r="BC112" s="16"/>
      <c r="BE112" s="16">
        <v>3.0487989005447025E-2</v>
      </c>
      <c r="BF112" s="16">
        <v>3.5661689738767821E-2</v>
      </c>
      <c r="BG112" s="16">
        <v>7.4655581386191328E-2</v>
      </c>
      <c r="BH112" s="16">
        <f>AQ112/(VLOOKUP($A112,'2016-17'!$A$12:$D$220,4,FALSE))-1</f>
        <v>3.8844165556480403E-2</v>
      </c>
      <c r="BJ112" s="16">
        <v>2.4773064774558984E-2</v>
      </c>
      <c r="BK112" s="16">
        <v>2.9918072977739296E-2</v>
      </c>
      <c r="BL112" s="16">
        <v>6.8695710638109642E-2</v>
      </c>
      <c r="BM112" s="16">
        <v>3.3082899285356682E-2</v>
      </c>
    </row>
    <row r="113" spans="1:65" x14ac:dyDescent="0.2">
      <c r="A113" s="156" t="s">
        <v>271</v>
      </c>
      <c r="B113" s="156" t="s">
        <v>272</v>
      </c>
      <c r="D113" s="56">
        <f>VLOOKUP(A113,'2016-17'!$A$12:$AMX321,32,FALSE)</f>
        <v>234801.06380703961</v>
      </c>
      <c r="E113" s="56">
        <v>1554.5641493349247</v>
      </c>
      <c r="F113" s="16">
        <f>VLOOKUP(A113,'2016-17'!$A$12:$AMX321,34,FALSE)</f>
        <v>4.8135763898143669E-2</v>
      </c>
      <c r="G113" s="16">
        <f>VLOOKUP(A113,'2016-17'!$A$12:$AMX321,35,FALSE)</f>
        <v>4.1891606288994687E-2</v>
      </c>
      <c r="H113" s="56"/>
      <c r="I113" s="56">
        <v>240642.64876047359</v>
      </c>
      <c r="J113" s="56">
        <v>1593.2399474623371</v>
      </c>
      <c r="K113" s="16">
        <f t="shared" si="23"/>
        <v>-2.4274936232307143E-2</v>
      </c>
      <c r="L113" s="58">
        <f t="shared" si="23"/>
        <v>-2.4274936232307032E-2</v>
      </c>
      <c r="M113" s="10"/>
      <c r="N113" s="56">
        <v>179671</v>
      </c>
      <c r="O113" s="56">
        <v>18834</v>
      </c>
      <c r="P113" s="56">
        <v>33840</v>
      </c>
      <c r="R113" s="56">
        <f t="shared" si="24"/>
        <v>33840</v>
      </c>
      <c r="S113" s="56">
        <f t="shared" si="25"/>
        <v>2456.0638070396089</v>
      </c>
      <c r="U113" s="16">
        <v>-3.6246149227501356E-2</v>
      </c>
      <c r="V113" s="16">
        <v>3.0478673103190745E-2</v>
      </c>
      <c r="W113" s="56">
        <f t="shared" si="26"/>
        <v>1</v>
      </c>
      <c r="X113" s="56">
        <f t="shared" si="27"/>
        <v>1864.2830828222827</v>
      </c>
      <c r="Y113" s="56">
        <f t="shared" si="27"/>
        <v>182.7694302812028</v>
      </c>
      <c r="AA113" s="56">
        <f t="shared" si="28"/>
        <v>2456.0638070396089</v>
      </c>
      <c r="AB113" s="56">
        <v>0</v>
      </c>
      <c r="AC113" s="56">
        <f t="shared" si="29"/>
        <v>0</v>
      </c>
      <c r="AE113" s="56">
        <v>0</v>
      </c>
      <c r="AF113" s="56">
        <f t="shared" si="30"/>
        <v>0</v>
      </c>
      <c r="AG113" s="56">
        <f t="shared" si="31"/>
        <v>0</v>
      </c>
      <c r="AI113" s="56">
        <f t="shared" si="32"/>
        <v>0</v>
      </c>
      <c r="AJ113" s="56">
        <f t="shared" si="33"/>
        <v>0</v>
      </c>
      <c r="AK113" s="56">
        <f t="shared" si="34"/>
        <v>0</v>
      </c>
      <c r="AM113" s="56">
        <f t="shared" si="35"/>
        <v>182127</v>
      </c>
      <c r="AN113" s="56">
        <f t="shared" si="36"/>
        <v>18834</v>
      </c>
      <c r="AO113" s="56">
        <f t="shared" si="37"/>
        <v>33840</v>
      </c>
      <c r="AP113" s="56"/>
      <c r="AQ113" s="56">
        <f t="shared" si="38"/>
        <v>234801</v>
      </c>
      <c r="AS113" s="56">
        <v>1205.8212183339917</v>
      </c>
      <c r="AT113" s="56">
        <v>124.6956070549803</v>
      </c>
      <c r="AU113" s="56">
        <v>224.04690149413474</v>
      </c>
      <c r="AV113" s="56"/>
      <c r="AW113" s="56">
        <v>1554.5637268831067</v>
      </c>
      <c r="AY113" s="16">
        <v>-2.3072184272125984E-2</v>
      </c>
      <c r="AZ113" s="16">
        <v>3.0478673103190745E-2</v>
      </c>
      <c r="BA113" s="16">
        <v>-5.836253037064898E-2</v>
      </c>
      <c r="BB113" s="16">
        <f t="shared" si="39"/>
        <v>-2.4275201384972078E-2</v>
      </c>
      <c r="BC113" s="16"/>
      <c r="BE113" s="16">
        <v>4.4572384693575717E-2</v>
      </c>
      <c r="BF113" s="16">
        <v>3.5631804684922441E-2</v>
      </c>
      <c r="BG113" s="16">
        <v>7.5096677512955345E-2</v>
      </c>
      <c r="BH113" s="16">
        <f>AQ113/(VLOOKUP($A113,'2016-17'!$A$12:$D$220,4,FALSE))-1</f>
        <v>4.8135479067917153E-2</v>
      </c>
      <c r="BJ113" s="16">
        <v>3.8349455537973087E-2</v>
      </c>
      <c r="BK113" s="16">
        <v>2.9462138086151057E-2</v>
      </c>
      <c r="BL113" s="16">
        <v>6.8691903121423703E-2</v>
      </c>
      <c r="BM113" s="16">
        <v>4.1891323155613946E-2</v>
      </c>
    </row>
    <row r="114" spans="1:65" x14ac:dyDescent="0.2">
      <c r="A114" s="156" t="s">
        <v>273</v>
      </c>
      <c r="B114" s="156" t="s">
        <v>274</v>
      </c>
      <c r="D114" s="56">
        <f>VLOOKUP(A114,'2016-17'!$A$12:$AMX322,32,FALSE)</f>
        <v>150446</v>
      </c>
      <c r="E114" s="56">
        <v>1578.3894438847001</v>
      </c>
      <c r="F114" s="16">
        <f>VLOOKUP(A114,'2016-17'!$A$12:$AMX322,34,FALSE)</f>
        <v>3.695725149830098E-2</v>
      </c>
      <c r="G114" s="16">
        <f>VLOOKUP(A114,'2016-17'!$A$12:$AMX322,35,FALSE)</f>
        <v>2.9710149967459243E-2</v>
      </c>
      <c r="H114" s="56"/>
      <c r="I114" s="56">
        <v>149953.6101249161</v>
      </c>
      <c r="J114" s="56">
        <v>1573.2235838345284</v>
      </c>
      <c r="K114" s="16">
        <f t="shared" si="23"/>
        <v>3.2836146770571784E-3</v>
      </c>
      <c r="L114" s="58">
        <f t="shared" si="23"/>
        <v>3.2836146770571784E-3</v>
      </c>
      <c r="M114" s="10"/>
      <c r="N114" s="56">
        <v>117187</v>
      </c>
      <c r="O114" s="56">
        <v>12204</v>
      </c>
      <c r="P114" s="56">
        <v>21055</v>
      </c>
      <c r="R114" s="56">
        <f t="shared" si="24"/>
        <v>21055</v>
      </c>
      <c r="S114" s="56">
        <f t="shared" si="25"/>
        <v>0</v>
      </c>
      <c r="U114" s="16">
        <v>9.2515736318476982E-3</v>
      </c>
      <c r="V114" s="16">
        <v>5.7005771740093358E-2</v>
      </c>
      <c r="W114" s="56">
        <f t="shared" si="26"/>
        <v>2</v>
      </c>
      <c r="X114" s="56">
        <f t="shared" si="27"/>
        <v>1161.1277412062493</v>
      </c>
      <c r="Y114" s="56">
        <f t="shared" si="27"/>
        <v>115.45821533130507</v>
      </c>
      <c r="AA114" s="56">
        <f t="shared" si="28"/>
        <v>0</v>
      </c>
      <c r="AB114" s="56">
        <v>0</v>
      </c>
      <c r="AC114" s="56">
        <f t="shared" si="29"/>
        <v>0</v>
      </c>
      <c r="AE114" s="56">
        <v>0</v>
      </c>
      <c r="AF114" s="56">
        <f t="shared" si="30"/>
        <v>0</v>
      </c>
      <c r="AG114" s="56">
        <f t="shared" si="31"/>
        <v>0</v>
      </c>
      <c r="AI114" s="56">
        <f t="shared" si="32"/>
        <v>0</v>
      </c>
      <c r="AJ114" s="56">
        <f t="shared" si="33"/>
        <v>0</v>
      </c>
      <c r="AK114" s="56">
        <f t="shared" si="34"/>
        <v>0</v>
      </c>
      <c r="AM114" s="56">
        <f t="shared" si="35"/>
        <v>117187</v>
      </c>
      <c r="AN114" s="56">
        <f t="shared" si="36"/>
        <v>12204</v>
      </c>
      <c r="AO114" s="56">
        <f t="shared" si="37"/>
        <v>21055</v>
      </c>
      <c r="AP114" s="56"/>
      <c r="AQ114" s="56">
        <f t="shared" si="38"/>
        <v>150446</v>
      </c>
      <c r="AS114" s="56">
        <v>1229.455909499198</v>
      </c>
      <c r="AT114" s="56">
        <v>128.03706827146536</v>
      </c>
      <c r="AU114" s="56">
        <v>220.89646611403666</v>
      </c>
      <c r="AV114" s="56"/>
      <c r="AW114" s="56">
        <v>1578.3894438847001</v>
      </c>
      <c r="AY114" s="16">
        <v>9.2515736318476982E-3</v>
      </c>
      <c r="AZ114" s="16">
        <v>5.7005771740093358E-2</v>
      </c>
      <c r="BA114" s="16">
        <v>-5.561846451208341E-2</v>
      </c>
      <c r="BB114" s="16">
        <f t="shared" si="39"/>
        <v>3.2836146770571784E-3</v>
      </c>
      <c r="BC114" s="16"/>
      <c r="BE114" s="16">
        <v>3.0483617074338554E-2</v>
      </c>
      <c r="BF114" s="16">
        <v>3.4237288135593236E-2</v>
      </c>
      <c r="BG114" s="16">
        <v>7.6227932461955694E-2</v>
      </c>
      <c r="BH114" s="16">
        <f>AQ114/(VLOOKUP($A114,'2016-17'!$A$12:$D$220,4,FALSE))-1</f>
        <v>3.695725149830098E-2</v>
      </c>
      <c r="BJ114" s="16">
        <v>2.3281758571477074E-2</v>
      </c>
      <c r="BK114" s="16">
        <v>2.7009195923237028E-2</v>
      </c>
      <c r="BL114" s="16">
        <v>6.8706375439609557E-2</v>
      </c>
      <c r="BM114" s="16">
        <v>2.9710149967459243E-2</v>
      </c>
    </row>
    <row r="115" spans="1:65" x14ac:dyDescent="0.2">
      <c r="A115" s="156" t="s">
        <v>275</v>
      </c>
      <c r="B115" s="156" t="s">
        <v>276</v>
      </c>
      <c r="D115" s="56">
        <f>VLOOKUP(A115,'2016-17'!$A$12:$AMX323,32,FALSE)</f>
        <v>176600.73051196642</v>
      </c>
      <c r="E115" s="56">
        <v>1413.173439780049</v>
      </c>
      <c r="F115" s="16">
        <f>VLOOKUP(A115,'2016-17'!$A$12:$AMX323,34,FALSE)</f>
        <v>3.9927720038948289E-2</v>
      </c>
      <c r="G115" s="16">
        <f>VLOOKUP(A115,'2016-17'!$A$12:$AMX323,35,FALSE)</f>
        <v>3.2517472936572478E-2</v>
      </c>
      <c r="H115" s="56"/>
      <c r="I115" s="56">
        <v>179827.76641164644</v>
      </c>
      <c r="J115" s="56">
        <v>1438.9964440758069</v>
      </c>
      <c r="K115" s="16">
        <f t="shared" si="23"/>
        <v>-1.7945148094054453E-2</v>
      </c>
      <c r="L115" s="58">
        <f t="shared" si="23"/>
        <v>-1.7945148094054342E-2</v>
      </c>
      <c r="M115" s="10"/>
      <c r="N115" s="56">
        <v>136006</v>
      </c>
      <c r="O115" s="56">
        <v>15579</v>
      </c>
      <c r="P115" s="56">
        <v>24433</v>
      </c>
      <c r="R115" s="56">
        <f t="shared" si="24"/>
        <v>24433</v>
      </c>
      <c r="S115" s="56">
        <f t="shared" si="25"/>
        <v>582.73051196642336</v>
      </c>
      <c r="U115" s="16">
        <v>-2.7541351103840706E-2</v>
      </c>
      <c r="V115" s="16">
        <v>9.6802603129476861E-2</v>
      </c>
      <c r="W115" s="56">
        <f t="shared" si="26"/>
        <v>1</v>
      </c>
      <c r="X115" s="56">
        <f t="shared" si="27"/>
        <v>1398.5787483548099</v>
      </c>
      <c r="Y115" s="56">
        <f t="shared" si="27"/>
        <v>142.04014428438504</v>
      </c>
      <c r="AA115" s="56">
        <f t="shared" si="28"/>
        <v>582.73051196642336</v>
      </c>
      <c r="AB115" s="56">
        <v>0</v>
      </c>
      <c r="AC115" s="56">
        <f t="shared" si="29"/>
        <v>0</v>
      </c>
      <c r="AE115" s="56">
        <v>0</v>
      </c>
      <c r="AF115" s="56">
        <f t="shared" si="30"/>
        <v>0</v>
      </c>
      <c r="AG115" s="56">
        <f t="shared" si="31"/>
        <v>0</v>
      </c>
      <c r="AI115" s="56">
        <f t="shared" si="32"/>
        <v>0</v>
      </c>
      <c r="AJ115" s="56">
        <f t="shared" si="33"/>
        <v>0</v>
      </c>
      <c r="AK115" s="56">
        <f t="shared" si="34"/>
        <v>0</v>
      </c>
      <c r="AM115" s="56">
        <f t="shared" si="35"/>
        <v>136589</v>
      </c>
      <c r="AN115" s="56">
        <f t="shared" si="36"/>
        <v>15579</v>
      </c>
      <c r="AO115" s="56">
        <f t="shared" si="37"/>
        <v>24433</v>
      </c>
      <c r="AP115" s="56"/>
      <c r="AQ115" s="56">
        <f t="shared" si="38"/>
        <v>176601</v>
      </c>
      <c r="AS115" s="56">
        <v>1092.9963109809325</v>
      </c>
      <c r="AT115" s="56">
        <v>124.6644277999835</v>
      </c>
      <c r="AU115" s="56">
        <v>195.51485746434284</v>
      </c>
      <c r="AV115" s="56"/>
      <c r="AW115" s="56">
        <v>1413.1755962452587</v>
      </c>
      <c r="AY115" s="16">
        <v>-2.3372833595006859E-2</v>
      </c>
      <c r="AZ115" s="16">
        <v>9.6802603129476861E-2</v>
      </c>
      <c r="BA115" s="16">
        <v>-5.1730323019278379E-2</v>
      </c>
      <c r="BB115" s="16">
        <f t="shared" si="39"/>
        <v>-1.7943649504381876E-2</v>
      </c>
      <c r="BC115" s="16"/>
      <c r="BE115" s="16">
        <v>3.4907755254016015E-2</v>
      </c>
      <c r="BF115" s="16">
        <v>2.9064006869674364E-2</v>
      </c>
      <c r="BG115" s="16">
        <v>7.6372727269715668E-2</v>
      </c>
      <c r="BH115" s="16">
        <f>AQ115/(VLOOKUP($A115,'2016-17'!$A$12:$D$220,4,FALSE))-1</f>
        <v>3.9929306941083542E-2</v>
      </c>
      <c r="BJ115" s="16">
        <v>2.7533279079546613E-2</v>
      </c>
      <c r="BK115" s="16">
        <v>2.1731171684956196E-2</v>
      </c>
      <c r="BL115" s="16">
        <v>6.8702782782585459E-2</v>
      </c>
      <c r="BM115" s="16">
        <v>3.2519048530867067E-2</v>
      </c>
    </row>
    <row r="116" spans="1:65" x14ac:dyDescent="0.2">
      <c r="A116" s="156" t="s">
        <v>277</v>
      </c>
      <c r="B116" s="156" t="s">
        <v>278</v>
      </c>
      <c r="D116" s="56">
        <f>VLOOKUP(A116,'2016-17'!$A$12:$AMX324,32,FALSE)</f>
        <v>247971.95492916062</v>
      </c>
      <c r="E116" s="56">
        <v>1506.3207959413842</v>
      </c>
      <c r="F116" s="16">
        <f>VLOOKUP(A116,'2016-17'!$A$12:$AMX324,34,FALSE)</f>
        <v>4.2616475636944706E-2</v>
      </c>
      <c r="G116" s="16">
        <f>VLOOKUP(A116,'2016-17'!$A$12:$AMX324,35,FALSE)</f>
        <v>3.3579000129454695E-2</v>
      </c>
      <c r="H116" s="56"/>
      <c r="I116" s="56">
        <v>252586.30724510973</v>
      </c>
      <c r="J116" s="56">
        <v>1534.3509611078446</v>
      </c>
      <c r="K116" s="16">
        <f t="shared" si="23"/>
        <v>-1.8268418293440281E-2</v>
      </c>
      <c r="L116" s="58">
        <f t="shared" si="23"/>
        <v>-1.8268418293440392E-2</v>
      </c>
      <c r="M116" s="10"/>
      <c r="N116" s="56">
        <v>197190</v>
      </c>
      <c r="O116" s="56">
        <v>22775</v>
      </c>
      <c r="P116" s="56">
        <v>26248</v>
      </c>
      <c r="R116" s="56">
        <f t="shared" si="24"/>
        <v>26248</v>
      </c>
      <c r="S116" s="56">
        <f t="shared" si="25"/>
        <v>1758.9549291606236</v>
      </c>
      <c r="U116" s="16">
        <v>-8.8566977048939455E-3</v>
      </c>
      <c r="V116" s="16">
        <v>0.14262131803955413</v>
      </c>
      <c r="W116" s="56">
        <f t="shared" si="26"/>
        <v>1</v>
      </c>
      <c r="X116" s="56">
        <f t="shared" si="27"/>
        <v>1989.5205823757669</v>
      </c>
      <c r="Y116" s="56">
        <f t="shared" si="27"/>
        <v>199.32237951831735</v>
      </c>
      <c r="AA116" s="56">
        <f t="shared" si="28"/>
        <v>1746.4522204280372</v>
      </c>
      <c r="AB116" s="56">
        <v>0</v>
      </c>
      <c r="AC116" s="56">
        <f t="shared" si="29"/>
        <v>12.50270873258637</v>
      </c>
      <c r="AE116" s="56">
        <v>0</v>
      </c>
      <c r="AF116" s="56">
        <f t="shared" si="30"/>
        <v>0</v>
      </c>
      <c r="AG116" s="56">
        <f t="shared" si="31"/>
        <v>12.50270873258637</v>
      </c>
      <c r="AI116" s="56">
        <f t="shared" si="32"/>
        <v>11.364175864587889</v>
      </c>
      <c r="AJ116" s="56">
        <f t="shared" si="33"/>
        <v>1.1385328679984805</v>
      </c>
      <c r="AK116" s="56">
        <f t="shared" si="34"/>
        <v>0</v>
      </c>
      <c r="AM116" s="56">
        <f t="shared" si="35"/>
        <v>198948</v>
      </c>
      <c r="AN116" s="56">
        <f t="shared" si="36"/>
        <v>22776</v>
      </c>
      <c r="AO116" s="56">
        <f t="shared" si="37"/>
        <v>26248</v>
      </c>
      <c r="AP116" s="56"/>
      <c r="AQ116" s="56">
        <f t="shared" si="38"/>
        <v>247972</v>
      </c>
      <c r="AS116" s="56">
        <v>1208.5217854436703</v>
      </c>
      <c r="AT116" s="56">
        <v>138.35420403957332</v>
      </c>
      <c r="AU116" s="56">
        <v>159.44508024370919</v>
      </c>
      <c r="AV116" s="56"/>
      <c r="AW116" s="56">
        <v>1506.3210697269526</v>
      </c>
      <c r="AY116" s="16">
        <v>-2.0398067819060728E-5</v>
      </c>
      <c r="AZ116" s="16">
        <v>0.14267148802058771</v>
      </c>
      <c r="BA116" s="16">
        <v>-0.22117407306589554</v>
      </c>
      <c r="BB116" s="16">
        <f t="shared" si="39"/>
        <v>-1.826823985605841E-2</v>
      </c>
      <c r="BC116" s="16"/>
      <c r="BE116" s="16">
        <v>3.9673180866697688E-2</v>
      </c>
      <c r="BF116" s="16">
        <v>2.9098138442074761E-2</v>
      </c>
      <c r="BG116" s="16">
        <v>7.8038419099638823E-2</v>
      </c>
      <c r="BH116" s="16">
        <f>AQ116/(VLOOKUP($A116,'2016-17'!$A$12:$D$220,4,FALSE))-1</f>
        <v>4.2616665140631671E-2</v>
      </c>
      <c r="BJ116" s="16">
        <v>3.0661218052531636E-2</v>
      </c>
      <c r="BK116" s="16">
        <v>2.0177840865449381E-2</v>
      </c>
      <c r="BL116" s="16">
        <v>6.8693903607694118E-2</v>
      </c>
      <c r="BM116" s="16">
        <v>3.3579187990509851E-2</v>
      </c>
    </row>
    <row r="117" spans="1:65" x14ac:dyDescent="0.2">
      <c r="A117" s="156" t="s">
        <v>279</v>
      </c>
      <c r="B117" s="156" t="s">
        <v>280</v>
      </c>
      <c r="D117" s="56">
        <f>VLOOKUP(A117,'2016-17'!$A$12:$AMX325,32,FALSE)</f>
        <v>202632</v>
      </c>
      <c r="E117" s="56">
        <v>1521.209688124221</v>
      </c>
      <c r="F117" s="16">
        <f>VLOOKUP(A117,'2016-17'!$A$12:$AMX325,34,FALSE)</f>
        <v>3.6306358876339928E-2</v>
      </c>
      <c r="G117" s="16">
        <f>VLOOKUP(A117,'2016-17'!$A$12:$AMX325,35,FALSE)</f>
        <v>2.8094641942117304E-2</v>
      </c>
      <c r="H117" s="56"/>
      <c r="I117" s="56">
        <v>201335.16564089034</v>
      </c>
      <c r="J117" s="56">
        <v>1511.4740245026312</v>
      </c>
      <c r="K117" s="16">
        <f t="shared" si="23"/>
        <v>6.4411716402426045E-3</v>
      </c>
      <c r="L117" s="58">
        <f t="shared" si="23"/>
        <v>6.4411716402426045E-3</v>
      </c>
      <c r="M117" s="10"/>
      <c r="N117" s="56">
        <v>157312</v>
      </c>
      <c r="O117" s="56">
        <v>18510</v>
      </c>
      <c r="P117" s="56">
        <v>26810</v>
      </c>
      <c r="R117" s="56">
        <f t="shared" si="24"/>
        <v>26810</v>
      </c>
      <c r="S117" s="56">
        <f t="shared" si="25"/>
        <v>0</v>
      </c>
      <c r="U117" s="16">
        <v>1.6147541173911595E-2</v>
      </c>
      <c r="V117" s="16">
        <v>0.15287649663701752</v>
      </c>
      <c r="W117" s="56">
        <f t="shared" si="26"/>
        <v>2</v>
      </c>
      <c r="X117" s="56">
        <f t="shared" si="27"/>
        <v>1548.1216420428889</v>
      </c>
      <c r="Y117" s="56">
        <f t="shared" si="27"/>
        <v>160.55492547548971</v>
      </c>
      <c r="AA117" s="56">
        <f t="shared" si="28"/>
        <v>0</v>
      </c>
      <c r="AB117" s="56">
        <v>0</v>
      </c>
      <c r="AC117" s="56">
        <f t="shared" si="29"/>
        <v>0</v>
      </c>
      <c r="AE117" s="56">
        <v>0</v>
      </c>
      <c r="AF117" s="56">
        <f t="shared" si="30"/>
        <v>0</v>
      </c>
      <c r="AG117" s="56">
        <f t="shared" si="31"/>
        <v>0</v>
      </c>
      <c r="AI117" s="56">
        <f t="shared" si="32"/>
        <v>0</v>
      </c>
      <c r="AJ117" s="56">
        <f t="shared" si="33"/>
        <v>0</v>
      </c>
      <c r="AK117" s="56">
        <f t="shared" si="34"/>
        <v>0</v>
      </c>
      <c r="AM117" s="56">
        <f t="shared" si="35"/>
        <v>157312</v>
      </c>
      <c r="AN117" s="56">
        <f t="shared" si="36"/>
        <v>18510</v>
      </c>
      <c r="AO117" s="56">
        <f t="shared" si="37"/>
        <v>26810</v>
      </c>
      <c r="AP117" s="56"/>
      <c r="AQ117" s="56">
        <f t="shared" si="38"/>
        <v>202632</v>
      </c>
      <c r="AS117" s="56">
        <v>1180.9809825604912</v>
      </c>
      <c r="AT117" s="56">
        <v>138.95925286815176</v>
      </c>
      <c r="AU117" s="56">
        <v>201.26945269557802</v>
      </c>
      <c r="AV117" s="56"/>
      <c r="AW117" s="56">
        <v>1521.209688124221</v>
      </c>
      <c r="AY117" s="16">
        <v>1.6147541173911595E-2</v>
      </c>
      <c r="AZ117" s="16">
        <v>0.15287649663701752</v>
      </c>
      <c r="BA117" s="16">
        <v>-0.12004620733422355</v>
      </c>
      <c r="BB117" s="16">
        <f t="shared" si="39"/>
        <v>6.4411716402426045E-3</v>
      </c>
      <c r="BC117" s="16"/>
      <c r="BE117" s="16">
        <v>3.048487632703778E-2</v>
      </c>
      <c r="BF117" s="16">
        <v>2.9076555289931694E-2</v>
      </c>
      <c r="BG117" s="16">
        <v>7.7239854662184193E-2</v>
      </c>
      <c r="BH117" s="16">
        <f>AQ117/(VLOOKUP($A117,'2016-17'!$A$12:$D$220,4,FALSE))-1</f>
        <v>3.6306358876339928E-2</v>
      </c>
      <c r="BJ117" s="16">
        <v>2.2319288962920458E-2</v>
      </c>
      <c r="BK117" s="16">
        <v>2.0922127496157739E-2</v>
      </c>
      <c r="BL117" s="16">
        <v>6.8703779706183132E-2</v>
      </c>
      <c r="BM117" s="16">
        <v>2.8094641942117304E-2</v>
      </c>
    </row>
    <row r="118" spans="1:65" x14ac:dyDescent="0.2">
      <c r="A118" s="156" t="s">
        <v>281</v>
      </c>
      <c r="B118" s="156" t="s">
        <v>282</v>
      </c>
      <c r="D118" s="56">
        <f>VLOOKUP(A118,'2016-17'!$A$12:$AMX326,32,FALSE)</f>
        <v>841908</v>
      </c>
      <c r="E118" s="56">
        <v>1537.1371599886816</v>
      </c>
      <c r="F118" s="16">
        <f>VLOOKUP(A118,'2016-17'!$A$12:$AMX326,34,FALSE)</f>
        <v>3.66705793064388E-2</v>
      </c>
      <c r="G118" s="16">
        <f>VLOOKUP(A118,'2016-17'!$A$12:$AMX326,35,FALSE)</f>
        <v>2.9228939828658929E-2</v>
      </c>
      <c r="H118" s="56"/>
      <c r="I118" s="56">
        <v>848729.19505517173</v>
      </c>
      <c r="J118" s="56">
        <v>1549.5911483043117</v>
      </c>
      <c r="K118" s="16">
        <f t="shared" si="23"/>
        <v>-8.0369511204669841E-3</v>
      </c>
      <c r="L118" s="58">
        <f t="shared" si="23"/>
        <v>-8.0369511204669841E-3</v>
      </c>
      <c r="M118" s="10"/>
      <c r="N118" s="56">
        <v>664254</v>
      </c>
      <c r="O118" s="56">
        <v>67940</v>
      </c>
      <c r="P118" s="56">
        <v>109714</v>
      </c>
      <c r="R118" s="56">
        <f t="shared" si="24"/>
        <v>109714</v>
      </c>
      <c r="S118" s="56">
        <f t="shared" si="25"/>
        <v>0</v>
      </c>
      <c r="U118" s="16">
        <v>-3.0544681955815278E-3</v>
      </c>
      <c r="V118" s="16">
        <v>1.5251140279981756E-2</v>
      </c>
      <c r="W118" s="56">
        <f t="shared" si="26"/>
        <v>1</v>
      </c>
      <c r="X118" s="56">
        <f t="shared" si="27"/>
        <v>6662.891590453648</v>
      </c>
      <c r="Y118" s="56">
        <f t="shared" si="27"/>
        <v>669.19402800437922</v>
      </c>
      <c r="AA118" s="56">
        <f t="shared" si="28"/>
        <v>0</v>
      </c>
      <c r="AB118" s="56">
        <v>0</v>
      </c>
      <c r="AC118" s="56">
        <f t="shared" si="29"/>
        <v>0</v>
      </c>
      <c r="AE118" s="56">
        <v>0</v>
      </c>
      <c r="AF118" s="56">
        <f t="shared" si="30"/>
        <v>0</v>
      </c>
      <c r="AG118" s="56">
        <f t="shared" si="31"/>
        <v>0</v>
      </c>
      <c r="AI118" s="56">
        <f t="shared" si="32"/>
        <v>0</v>
      </c>
      <c r="AJ118" s="56">
        <f t="shared" si="33"/>
        <v>0</v>
      </c>
      <c r="AK118" s="56">
        <f t="shared" si="34"/>
        <v>0</v>
      </c>
      <c r="AM118" s="56">
        <f t="shared" si="35"/>
        <v>664254</v>
      </c>
      <c r="AN118" s="56">
        <f t="shared" si="36"/>
        <v>67940</v>
      </c>
      <c r="AO118" s="56">
        <f t="shared" si="37"/>
        <v>109714</v>
      </c>
      <c r="AP118" s="56"/>
      <c r="AQ118" s="56">
        <f t="shared" si="38"/>
        <v>841908</v>
      </c>
      <c r="AS118" s="56">
        <v>1212.7803834517806</v>
      </c>
      <c r="AT118" s="56">
        <v>124.0433618039394</v>
      </c>
      <c r="AU118" s="56">
        <v>200.31341473296155</v>
      </c>
      <c r="AV118" s="56"/>
      <c r="AW118" s="56">
        <v>1537.1371599886816</v>
      </c>
      <c r="AY118" s="16">
        <v>-3.0544681955815278E-3</v>
      </c>
      <c r="AZ118" s="16">
        <v>1.5251140279981756E-2</v>
      </c>
      <c r="BA118" s="16">
        <v>-5.0264901152724306E-2</v>
      </c>
      <c r="BB118" s="16">
        <f t="shared" si="39"/>
        <v>-8.0369511204669841E-3</v>
      </c>
      <c r="BC118" s="16"/>
      <c r="BE118" s="16">
        <v>3.0487957782310948E-2</v>
      </c>
      <c r="BF118" s="16">
        <v>3.565494428438587E-2</v>
      </c>
      <c r="BG118" s="16">
        <v>7.6425069080173769E-2</v>
      </c>
      <c r="BH118" s="16">
        <f>AQ118/(VLOOKUP($A118,'2016-17'!$A$12:$D$220,4,FALSE))-1</f>
        <v>3.66705793064388E-2</v>
      </c>
      <c r="BJ118" s="16">
        <v>2.309069965510524E-2</v>
      </c>
      <c r="BK118" s="16">
        <v>2.8220595444370833E-2</v>
      </c>
      <c r="BL118" s="16">
        <v>6.8698055842952188E-2</v>
      </c>
      <c r="BM118" s="16">
        <v>2.9228939828658929E-2</v>
      </c>
    </row>
    <row r="119" spans="1:65" x14ac:dyDescent="0.2">
      <c r="A119" s="156" t="s">
        <v>283</v>
      </c>
      <c r="B119" s="156" t="s">
        <v>284</v>
      </c>
      <c r="D119" s="56">
        <f>VLOOKUP(A119,'2016-17'!$A$12:$AMX327,32,FALSE)</f>
        <v>532095</v>
      </c>
      <c r="E119" s="56">
        <v>1396.0179234498705</v>
      </c>
      <c r="F119" s="16">
        <f>VLOOKUP(A119,'2016-17'!$A$12:$AMX327,34,FALSE)</f>
        <v>3.7140851642715189E-2</v>
      </c>
      <c r="G119" s="16">
        <f>VLOOKUP(A119,'2016-17'!$A$12:$AMX327,35,FALSE)</f>
        <v>2.9426666902448106E-2</v>
      </c>
      <c r="H119" s="56"/>
      <c r="I119" s="56">
        <v>540622.10880562779</v>
      </c>
      <c r="J119" s="56">
        <v>1418.3898621598069</v>
      </c>
      <c r="K119" s="16">
        <f t="shared" si="23"/>
        <v>-1.5772771158890198E-2</v>
      </c>
      <c r="L119" s="58">
        <f t="shared" si="23"/>
        <v>-1.5772771158890087E-2</v>
      </c>
      <c r="M119" s="10"/>
      <c r="N119" s="56">
        <v>412525</v>
      </c>
      <c r="O119" s="56">
        <v>45320</v>
      </c>
      <c r="P119" s="56">
        <v>74250</v>
      </c>
      <c r="R119" s="56">
        <f t="shared" si="24"/>
        <v>74250</v>
      </c>
      <c r="S119" s="56">
        <f t="shared" si="25"/>
        <v>0</v>
      </c>
      <c r="U119" s="16">
        <v>-1.3133223913765701E-2</v>
      </c>
      <c r="V119" s="16">
        <v>2.0824199888919592E-2</v>
      </c>
      <c r="W119" s="56">
        <f t="shared" si="26"/>
        <v>1</v>
      </c>
      <c r="X119" s="56">
        <f t="shared" si="27"/>
        <v>4180.148830584938</v>
      </c>
      <c r="Y119" s="56">
        <f t="shared" si="27"/>
        <v>443.95499249460846</v>
      </c>
      <c r="AA119" s="56">
        <f t="shared" si="28"/>
        <v>0</v>
      </c>
      <c r="AB119" s="56">
        <v>0</v>
      </c>
      <c r="AC119" s="56">
        <f t="shared" si="29"/>
        <v>0</v>
      </c>
      <c r="AE119" s="56">
        <v>0</v>
      </c>
      <c r="AF119" s="56">
        <f t="shared" si="30"/>
        <v>0</v>
      </c>
      <c r="AG119" s="56">
        <f t="shared" si="31"/>
        <v>0</v>
      </c>
      <c r="AI119" s="56">
        <f t="shared" si="32"/>
        <v>0</v>
      </c>
      <c r="AJ119" s="56">
        <f t="shared" si="33"/>
        <v>0</v>
      </c>
      <c r="AK119" s="56">
        <f t="shared" si="34"/>
        <v>0</v>
      </c>
      <c r="AM119" s="56">
        <f t="shared" si="35"/>
        <v>412525</v>
      </c>
      <c r="AN119" s="56">
        <f t="shared" si="36"/>
        <v>45320</v>
      </c>
      <c r="AO119" s="56">
        <f t="shared" si="37"/>
        <v>74250</v>
      </c>
      <c r="AP119" s="56"/>
      <c r="AQ119" s="56">
        <f t="shared" si="38"/>
        <v>532095</v>
      </c>
      <c r="AS119" s="56">
        <v>1082.3110419589693</v>
      </c>
      <c r="AT119" s="56">
        <v>118.90270025230105</v>
      </c>
      <c r="AU119" s="56">
        <v>194.80418123860002</v>
      </c>
      <c r="AV119" s="56"/>
      <c r="AW119" s="56">
        <v>1396.0179234498705</v>
      </c>
      <c r="AY119" s="16">
        <v>-1.3133223913765701E-2</v>
      </c>
      <c r="AZ119" s="16">
        <v>2.0824199888919592E-2</v>
      </c>
      <c r="BA119" s="16">
        <v>-5.0653868352990017E-2</v>
      </c>
      <c r="BB119" s="16">
        <f t="shared" si="39"/>
        <v>-1.5772771158890198E-2</v>
      </c>
      <c r="BC119" s="16"/>
      <c r="BE119" s="16">
        <v>3.0488141364382493E-2</v>
      </c>
      <c r="BF119" s="16">
        <v>3.5648994515539378E-2</v>
      </c>
      <c r="BG119" s="16">
        <v>7.6707067596582412E-2</v>
      </c>
      <c r="BH119" s="16">
        <f>AQ119/(VLOOKUP($A119,'2016-17'!$A$12:$D$220,4,FALSE))-1</f>
        <v>3.7140851642715189E-2</v>
      </c>
      <c r="BJ119" s="16">
        <v>2.2823439041117055E-2</v>
      </c>
      <c r="BK119" s="16">
        <v>2.7945906109455576E-2</v>
      </c>
      <c r="BL119" s="16">
        <v>6.8698591971082079E-2</v>
      </c>
      <c r="BM119" s="16">
        <v>2.9426666902448106E-2</v>
      </c>
    </row>
    <row r="120" spans="1:65" x14ac:dyDescent="0.2">
      <c r="A120" s="156" t="s">
        <v>285</v>
      </c>
      <c r="B120" s="156" t="s">
        <v>286</v>
      </c>
      <c r="D120" s="56">
        <f>VLOOKUP(A120,'2016-17'!$A$12:$AMX328,32,FALSE)</f>
        <v>423156.76135544188</v>
      </c>
      <c r="E120" s="56">
        <v>1537.672758073194</v>
      </c>
      <c r="F120" s="16">
        <f>VLOOKUP(A120,'2016-17'!$A$12:$AMX328,34,FALSE)</f>
        <v>5.5183595278862629E-2</v>
      </c>
      <c r="G120" s="16">
        <f>VLOOKUP(A120,'2016-17'!$A$12:$AMX328,35,FALSE)</f>
        <v>4.8155294087505629E-2</v>
      </c>
      <c r="H120" s="56"/>
      <c r="I120" s="56">
        <v>435691.60260149377</v>
      </c>
      <c r="J120" s="56">
        <v>1583.2220335924765</v>
      </c>
      <c r="K120" s="16">
        <f t="shared" si="23"/>
        <v>-2.8769985859738778E-2</v>
      </c>
      <c r="L120" s="58">
        <f t="shared" si="23"/>
        <v>-2.8769985859738778E-2</v>
      </c>
      <c r="M120" s="10"/>
      <c r="N120" s="56">
        <v>326132</v>
      </c>
      <c r="O120" s="56">
        <v>30379</v>
      </c>
      <c r="P120" s="56">
        <v>59399</v>
      </c>
      <c r="R120" s="56">
        <f t="shared" si="24"/>
        <v>59399</v>
      </c>
      <c r="S120" s="56">
        <f t="shared" si="25"/>
        <v>7246.7613554418785</v>
      </c>
      <c r="U120" s="16">
        <v>-2.3060039995332793E-2</v>
      </c>
      <c r="V120" s="16">
        <v>-9.6284694689555028E-2</v>
      </c>
      <c r="W120" s="56">
        <f t="shared" si="26"/>
        <v>4</v>
      </c>
      <c r="X120" s="56">
        <f t="shared" si="27"/>
        <v>3338.3013629460092</v>
      </c>
      <c r="Y120" s="56">
        <f t="shared" si="27"/>
        <v>336.15675004601349</v>
      </c>
      <c r="AA120" s="56">
        <f t="shared" si="28"/>
        <v>0</v>
      </c>
      <c r="AB120" s="56">
        <v>0</v>
      </c>
      <c r="AC120" s="56">
        <f t="shared" si="29"/>
        <v>7246.7613554418785</v>
      </c>
      <c r="AE120" s="56">
        <v>0</v>
      </c>
      <c r="AF120" s="56">
        <f t="shared" si="30"/>
        <v>0</v>
      </c>
      <c r="AG120" s="56">
        <f t="shared" si="31"/>
        <v>7246.7613554418785</v>
      </c>
      <c r="AI120" s="56">
        <f t="shared" si="32"/>
        <v>6583.7934644782854</v>
      </c>
      <c r="AJ120" s="56">
        <f t="shared" si="33"/>
        <v>662.96789096359316</v>
      </c>
      <c r="AK120" s="56">
        <f t="shared" si="34"/>
        <v>0</v>
      </c>
      <c r="AM120" s="56">
        <f t="shared" si="35"/>
        <v>332716</v>
      </c>
      <c r="AN120" s="56">
        <f t="shared" si="36"/>
        <v>31042</v>
      </c>
      <c r="AO120" s="56">
        <f t="shared" si="37"/>
        <v>59399</v>
      </c>
      <c r="AP120" s="56"/>
      <c r="AQ120" s="56">
        <f t="shared" si="38"/>
        <v>423157</v>
      </c>
      <c r="AS120" s="56">
        <v>1209.0278972178392</v>
      </c>
      <c r="AT120" s="56">
        <v>112.80083911034083</v>
      </c>
      <c r="AU120" s="56">
        <v>215.84488893483459</v>
      </c>
      <c r="AV120" s="56"/>
      <c r="AW120" s="56">
        <v>1537.6736252630144</v>
      </c>
      <c r="AY120" s="16">
        <v>-3.337434741415013E-3</v>
      </c>
      <c r="AZ120" s="16">
        <v>-7.6561752939634853E-2</v>
      </c>
      <c r="BA120" s="16">
        <v>-0.12963130961592995</v>
      </c>
      <c r="BB120" s="16">
        <f t="shared" si="39"/>
        <v>-2.8769438122401847E-2</v>
      </c>
      <c r="BC120" s="16"/>
      <c r="BE120" s="16">
        <v>5.128948380295717E-2</v>
      </c>
      <c r="BF120" s="16">
        <v>5.8262025704837628E-2</v>
      </c>
      <c r="BG120" s="16">
        <v>7.5874826061204326E-2</v>
      </c>
      <c r="BH120" s="16">
        <f>AQ120/(VLOOKUP($A120,'2016-17'!$A$12:$D$220,4,FALSE))-1</f>
        <v>5.5184190362873586E-2</v>
      </c>
      <c r="BJ120" s="16">
        <v>4.4287120266855551E-2</v>
      </c>
      <c r="BK120" s="16">
        <v>5.1213219895775097E-2</v>
      </c>
      <c r="BL120" s="16">
        <v>6.8708706008173692E-2</v>
      </c>
      <c r="BM120" s="16">
        <v>4.8155885207818105E-2</v>
      </c>
    </row>
    <row r="121" spans="1:65" x14ac:dyDescent="0.2">
      <c r="A121" s="156" t="s">
        <v>287</v>
      </c>
      <c r="B121" s="156" t="s">
        <v>288</v>
      </c>
      <c r="D121" s="56">
        <f>VLOOKUP(A121,'2016-17'!$A$12:$AMX329,32,FALSE)</f>
        <v>682821.34122889873</v>
      </c>
      <c r="E121" s="56">
        <v>1457.2194221493066</v>
      </c>
      <c r="F121" s="16">
        <f>VLOOKUP(A121,'2016-17'!$A$12:$AMX329,34,FALSE)</f>
        <v>8.9079647502578796E-2</v>
      </c>
      <c r="G121" s="16">
        <f>VLOOKUP(A121,'2016-17'!$A$12:$AMX329,35,FALSE)</f>
        <v>7.62702588029609E-2</v>
      </c>
      <c r="H121" s="56"/>
      <c r="I121" s="56">
        <v>718237.24730483012</v>
      </c>
      <c r="J121" s="56">
        <v>1532.8010466105172</v>
      </c>
      <c r="K121" s="16">
        <f t="shared" si="23"/>
        <v>-4.9309481245687015E-2</v>
      </c>
      <c r="L121" s="58">
        <f t="shared" si="23"/>
        <v>-4.9309481245686904E-2</v>
      </c>
      <c r="M121" s="10"/>
      <c r="N121" s="56">
        <v>522353</v>
      </c>
      <c r="O121" s="56">
        <v>56260</v>
      </c>
      <c r="P121" s="56">
        <v>96507</v>
      </c>
      <c r="R121" s="56">
        <f t="shared" si="24"/>
        <v>96507</v>
      </c>
      <c r="S121" s="56">
        <f t="shared" si="25"/>
        <v>7701.3412288987311</v>
      </c>
      <c r="U121" s="16">
        <v>-4.7717904932122801E-2</v>
      </c>
      <c r="V121" s="16">
        <v>2.1851900101790278E-3</v>
      </c>
      <c r="W121" s="56">
        <f t="shared" si="26"/>
        <v>1</v>
      </c>
      <c r="X121" s="56">
        <f t="shared" si="27"/>
        <v>5485.2758726159554</v>
      </c>
      <c r="Y121" s="56">
        <f t="shared" si="27"/>
        <v>561.37329268883502</v>
      </c>
      <c r="AA121" s="56">
        <f t="shared" si="28"/>
        <v>7701.3412288987311</v>
      </c>
      <c r="AB121" s="56">
        <v>0</v>
      </c>
      <c r="AC121" s="56">
        <f t="shared" si="29"/>
        <v>0</v>
      </c>
      <c r="AE121" s="56">
        <v>0</v>
      </c>
      <c r="AF121" s="56">
        <f t="shared" si="30"/>
        <v>0</v>
      </c>
      <c r="AG121" s="56">
        <f t="shared" si="31"/>
        <v>0</v>
      </c>
      <c r="AI121" s="56">
        <f t="shared" si="32"/>
        <v>0</v>
      </c>
      <c r="AJ121" s="56">
        <f t="shared" si="33"/>
        <v>0</v>
      </c>
      <c r="AK121" s="56">
        <f t="shared" si="34"/>
        <v>0</v>
      </c>
      <c r="AM121" s="56">
        <f t="shared" si="35"/>
        <v>530054</v>
      </c>
      <c r="AN121" s="56">
        <f t="shared" si="36"/>
        <v>56260</v>
      </c>
      <c r="AO121" s="56">
        <f t="shared" si="37"/>
        <v>96507</v>
      </c>
      <c r="AP121" s="56"/>
      <c r="AQ121" s="56">
        <f t="shared" si="38"/>
        <v>682821</v>
      </c>
      <c r="AS121" s="56">
        <v>1131.1963129298256</v>
      </c>
      <c r="AT121" s="56">
        <v>120.06532271321787</v>
      </c>
      <c r="AU121" s="56">
        <v>205.95705828447419</v>
      </c>
      <c r="AV121" s="56"/>
      <c r="AW121" s="56">
        <v>1457.2186939275175</v>
      </c>
      <c r="AY121" s="16">
        <v>-3.3678501666289717E-2</v>
      </c>
      <c r="AZ121" s="16">
        <v>2.1851900101790278E-3</v>
      </c>
      <c r="BA121" s="16">
        <v>-0.15025958046292998</v>
      </c>
      <c r="BB121" s="16">
        <f t="shared" si="39"/>
        <v>-4.9309956337865835E-2</v>
      </c>
      <c r="BC121" s="16"/>
      <c r="BE121" s="16">
        <v>9.64953562939459E-2</v>
      </c>
      <c r="BF121" s="16">
        <v>3.5658426820738498E-2</v>
      </c>
      <c r="BG121" s="16">
        <v>8.1424471485842087E-2</v>
      </c>
      <c r="BH121" s="16">
        <f>AQ121/(VLOOKUP($A121,'2016-17'!$A$12:$D$220,4,FALSE))-1</f>
        <v>8.9079103252675651E-2</v>
      </c>
      <c r="BJ121" s="16">
        <v>8.3598746520451961E-2</v>
      </c>
      <c r="BK121" s="16">
        <v>2.3477360560246963E-2</v>
      </c>
      <c r="BL121" s="16">
        <v>6.8705120393103503E-2</v>
      </c>
      <c r="BM121" s="16">
        <v>7.6269720954342146E-2</v>
      </c>
    </row>
    <row r="122" spans="1:65" x14ac:dyDescent="0.2">
      <c r="A122" s="156" t="s">
        <v>289</v>
      </c>
      <c r="B122" s="156" t="s">
        <v>290</v>
      </c>
      <c r="D122" s="56">
        <f>VLOOKUP(A122,'2016-17'!$A$12:$AMX330,32,FALSE)</f>
        <v>1291365.8175599896</v>
      </c>
      <c r="E122" s="56">
        <v>1385.9051776204312</v>
      </c>
      <c r="F122" s="16">
        <f>VLOOKUP(A122,'2016-17'!$A$12:$AMX330,34,FALSE)</f>
        <v>4.9732148484920469E-2</v>
      </c>
      <c r="G122" s="16">
        <f>VLOOKUP(A122,'2016-17'!$A$12:$AMX330,35,FALSE)</f>
        <v>3.9673894839015178E-2</v>
      </c>
      <c r="H122" s="56"/>
      <c r="I122" s="56">
        <v>1321844.8495015635</v>
      </c>
      <c r="J122" s="56">
        <v>1418.615543345071</v>
      </c>
      <c r="K122" s="16">
        <f t="shared" si="23"/>
        <v>-2.305794961720864E-2</v>
      </c>
      <c r="L122" s="58">
        <f t="shared" si="23"/>
        <v>-2.3057949617208751E-2</v>
      </c>
      <c r="M122" s="10"/>
      <c r="N122" s="56">
        <v>970390</v>
      </c>
      <c r="O122" s="56">
        <v>122211</v>
      </c>
      <c r="P122" s="56">
        <v>183162</v>
      </c>
      <c r="R122" s="56">
        <f t="shared" si="24"/>
        <v>183162</v>
      </c>
      <c r="S122" s="56">
        <f t="shared" si="25"/>
        <v>15602.817559989635</v>
      </c>
      <c r="U122" s="16">
        <v>-3.2882712619080601E-2</v>
      </c>
      <c r="V122" s="16">
        <v>9.3411349378056618E-2</v>
      </c>
      <c r="W122" s="56">
        <f t="shared" si="26"/>
        <v>1</v>
      </c>
      <c r="X122" s="56">
        <f t="shared" si="27"/>
        <v>10033.839873010062</v>
      </c>
      <c r="Y122" s="56">
        <f t="shared" si="27"/>
        <v>1117.7037815595643</v>
      </c>
      <c r="AA122" s="56">
        <f t="shared" si="28"/>
        <v>15602.817559989635</v>
      </c>
      <c r="AB122" s="56">
        <v>0</v>
      </c>
      <c r="AC122" s="56">
        <f t="shared" si="29"/>
        <v>0</v>
      </c>
      <c r="AE122" s="56">
        <v>0</v>
      </c>
      <c r="AF122" s="56">
        <f t="shared" si="30"/>
        <v>0</v>
      </c>
      <c r="AG122" s="56">
        <f t="shared" si="31"/>
        <v>0</v>
      </c>
      <c r="AI122" s="56">
        <f t="shared" si="32"/>
        <v>0</v>
      </c>
      <c r="AJ122" s="56">
        <f t="shared" si="33"/>
        <v>0</v>
      </c>
      <c r="AK122" s="56">
        <f t="shared" si="34"/>
        <v>0</v>
      </c>
      <c r="AM122" s="56">
        <f t="shared" si="35"/>
        <v>985993</v>
      </c>
      <c r="AN122" s="56">
        <f t="shared" si="36"/>
        <v>122211</v>
      </c>
      <c r="AO122" s="56">
        <f t="shared" si="37"/>
        <v>183162</v>
      </c>
      <c r="AP122" s="56"/>
      <c r="AQ122" s="56">
        <f t="shared" si="38"/>
        <v>1291366</v>
      </c>
      <c r="AS122" s="56">
        <v>1058.176378231432</v>
      </c>
      <c r="AT122" s="56">
        <v>131.1579223788014</v>
      </c>
      <c r="AU122" s="56">
        <v>196.57107280642512</v>
      </c>
      <c r="AV122" s="56"/>
      <c r="AW122" s="56">
        <v>1385.9053734166584</v>
      </c>
      <c r="AY122" s="16">
        <v>-1.7332334899808455E-2</v>
      </c>
      <c r="AZ122" s="16">
        <v>9.3411349378056618E-2</v>
      </c>
      <c r="BA122" s="16">
        <v>-0.11383438455504136</v>
      </c>
      <c r="BB122" s="16">
        <f t="shared" si="39"/>
        <v>-2.3057811597977151E-2</v>
      </c>
      <c r="BC122" s="16"/>
      <c r="BE122" s="16">
        <v>4.7057135543406403E-2</v>
      </c>
      <c r="BF122" s="16">
        <v>2.9058605591108178E-2</v>
      </c>
      <c r="BG122" s="16">
        <v>7.9037022334753182E-2</v>
      </c>
      <c r="BH122" s="16">
        <f>AQ122/(VLOOKUP($A122,'2016-17'!$A$12:$D$220,4,FALSE))-1</f>
        <v>4.9732296787702968E-2</v>
      </c>
      <c r="BJ122" s="16">
        <v>3.7024513158495198E-2</v>
      </c>
      <c r="BK122" s="16">
        <v>1.9198440322781618E-2</v>
      </c>
      <c r="BL122" s="16">
        <v>6.8697977198687088E-2</v>
      </c>
      <c r="BM122" s="16">
        <v>3.9674041720799913E-2</v>
      </c>
    </row>
    <row r="123" spans="1:65" x14ac:dyDescent="0.2">
      <c r="A123" s="156" t="s">
        <v>291</v>
      </c>
      <c r="B123" s="156" t="s">
        <v>292</v>
      </c>
      <c r="D123" s="56">
        <f>VLOOKUP(A123,'2016-17'!$A$12:$AMX331,32,FALSE)</f>
        <v>282890.19492685096</v>
      </c>
      <c r="E123" s="56">
        <v>1538.5613683679987</v>
      </c>
      <c r="F123" s="16">
        <f>VLOOKUP(A123,'2016-17'!$A$12:$AMX331,34,FALSE)</f>
        <v>5.6159012140392095E-2</v>
      </c>
      <c r="G123" s="16">
        <f>VLOOKUP(A123,'2016-17'!$A$12:$AMX331,35,FALSE)</f>
        <v>5.1680318309484496E-2</v>
      </c>
      <c r="H123" s="56"/>
      <c r="I123" s="56">
        <v>291958.97488635761</v>
      </c>
      <c r="J123" s="56">
        <v>1587.8839491931658</v>
      </c>
      <c r="K123" s="16">
        <f t="shared" si="23"/>
        <v>-3.106182970753546E-2</v>
      </c>
      <c r="L123" s="58">
        <f t="shared" si="23"/>
        <v>-3.106182970753546E-2</v>
      </c>
      <c r="M123" s="10"/>
      <c r="N123" s="56">
        <v>222513</v>
      </c>
      <c r="O123" s="56">
        <v>21454</v>
      </c>
      <c r="P123" s="56">
        <v>33489</v>
      </c>
      <c r="R123" s="56">
        <f t="shared" si="24"/>
        <v>33489</v>
      </c>
      <c r="S123" s="56">
        <f t="shared" si="25"/>
        <v>5434.1949268509634</v>
      </c>
      <c r="U123" s="16">
        <v>-1.1938416468350255E-2</v>
      </c>
      <c r="V123" s="16">
        <v>-3.3648769162163417E-2</v>
      </c>
      <c r="W123" s="56">
        <f t="shared" si="26"/>
        <v>4</v>
      </c>
      <c r="X123" s="56">
        <f t="shared" si="27"/>
        <v>2252.0154989192779</v>
      </c>
      <c r="Y123" s="56">
        <f t="shared" si="27"/>
        <v>222.01037588992523</v>
      </c>
      <c r="AA123" s="56">
        <f t="shared" si="28"/>
        <v>0</v>
      </c>
      <c r="AB123" s="56">
        <v>0</v>
      </c>
      <c r="AC123" s="56">
        <f t="shared" si="29"/>
        <v>5434.1949268509634</v>
      </c>
      <c r="AE123" s="56">
        <v>0</v>
      </c>
      <c r="AF123" s="56">
        <f t="shared" si="30"/>
        <v>0</v>
      </c>
      <c r="AG123" s="56">
        <f t="shared" si="31"/>
        <v>5434.1949268509634</v>
      </c>
      <c r="AI123" s="56">
        <f t="shared" si="32"/>
        <v>4946.5493970877187</v>
      </c>
      <c r="AJ123" s="56">
        <f t="shared" si="33"/>
        <v>487.64552976324404</v>
      </c>
      <c r="AK123" s="56">
        <f t="shared" si="34"/>
        <v>0</v>
      </c>
      <c r="AM123" s="56">
        <f t="shared" si="35"/>
        <v>227460</v>
      </c>
      <c r="AN123" s="56">
        <f t="shared" si="36"/>
        <v>21942</v>
      </c>
      <c r="AO123" s="56">
        <f t="shared" si="37"/>
        <v>33489</v>
      </c>
      <c r="AP123" s="56"/>
      <c r="AQ123" s="56">
        <f t="shared" si="38"/>
        <v>282891</v>
      </c>
      <c r="AS123" s="56">
        <v>1237.0919004084856</v>
      </c>
      <c r="AT123" s="56">
        <v>119.3364568660995</v>
      </c>
      <c r="AU123" s="56">
        <v>182.13738966314858</v>
      </c>
      <c r="AV123" s="56"/>
      <c r="AW123" s="56">
        <v>1538.5657469377338</v>
      </c>
      <c r="AY123" s="16">
        <v>1.0028572668154379E-2</v>
      </c>
      <c r="AZ123" s="16">
        <v>-1.1667814531378329E-2</v>
      </c>
      <c r="BA123" s="16">
        <v>-0.2483905911116735</v>
      </c>
      <c r="BB123" s="16">
        <f t="shared" si="39"/>
        <v>-3.1059072220291362E-2</v>
      </c>
      <c r="BC123" s="16"/>
      <c r="BE123" s="16">
        <v>5.3399420121031493E-2</v>
      </c>
      <c r="BF123" s="16">
        <v>5.9232440260680752E-2</v>
      </c>
      <c r="BG123" s="16">
        <v>7.3240886641286362E-2</v>
      </c>
      <c r="BH123" s="16">
        <f>AQ123/(VLOOKUP($A123,'2016-17'!$A$12:$D$220,4,FALSE))-1</f>
        <v>5.6162017848179202E-2</v>
      </c>
      <c r="BJ123" s="16">
        <v>4.8932428474748324E-2</v>
      </c>
      <c r="BK123" s="16">
        <v>5.4740713407847474E-2</v>
      </c>
      <c r="BL123" s="16">
        <v>6.868975628797247E-2</v>
      </c>
      <c r="BM123" s="16">
        <v>5.1683311271421228E-2</v>
      </c>
    </row>
    <row r="124" spans="1:65" x14ac:dyDescent="0.2">
      <c r="A124" s="156" t="s">
        <v>293</v>
      </c>
      <c r="B124" s="156" t="s">
        <v>294</v>
      </c>
      <c r="D124" s="56">
        <f>VLOOKUP(A124,'2016-17'!$A$12:$AMX332,32,FALSE)</f>
        <v>884954.68458056496</v>
      </c>
      <c r="E124" s="56">
        <v>1495.4634466983071</v>
      </c>
      <c r="F124" s="16">
        <f>VLOOKUP(A124,'2016-17'!$A$12:$AMX332,34,FALSE)</f>
        <v>6.7824539985116949E-2</v>
      </c>
      <c r="G124" s="16">
        <f>VLOOKUP(A124,'2016-17'!$A$12:$AMX332,35,FALSE)</f>
        <v>5.7575955012386881E-2</v>
      </c>
      <c r="H124" s="56"/>
      <c r="I124" s="56">
        <v>917181.25014445547</v>
      </c>
      <c r="J124" s="56">
        <v>1549.9223378179879</v>
      </c>
      <c r="K124" s="16">
        <f t="shared" si="23"/>
        <v>-3.5136528967218639E-2</v>
      </c>
      <c r="L124" s="58">
        <f t="shared" si="23"/>
        <v>-3.5136528967218528E-2</v>
      </c>
      <c r="M124" s="10"/>
      <c r="N124" s="56">
        <v>678342</v>
      </c>
      <c r="O124" s="56">
        <v>64220</v>
      </c>
      <c r="P124" s="56">
        <v>123564</v>
      </c>
      <c r="R124" s="56">
        <f t="shared" si="24"/>
        <v>123564</v>
      </c>
      <c r="S124" s="56">
        <f t="shared" si="25"/>
        <v>18828.684580564965</v>
      </c>
      <c r="U124" s="16">
        <v>-4.390114070173623E-2</v>
      </c>
      <c r="V124" s="16">
        <v>-8.1326912753407643E-2</v>
      </c>
      <c r="W124" s="56">
        <f t="shared" si="26"/>
        <v>4</v>
      </c>
      <c r="X124" s="56">
        <f t="shared" si="27"/>
        <v>7094.8939369917707</v>
      </c>
      <c r="Y124" s="56">
        <f t="shared" si="27"/>
        <v>699.05171808697958</v>
      </c>
      <c r="AA124" s="56">
        <f t="shared" si="28"/>
        <v>0</v>
      </c>
      <c r="AB124" s="56">
        <v>0</v>
      </c>
      <c r="AC124" s="56">
        <f t="shared" si="29"/>
        <v>18828.684580564965</v>
      </c>
      <c r="AE124" s="56">
        <v>0</v>
      </c>
      <c r="AF124" s="56">
        <f t="shared" si="30"/>
        <v>0</v>
      </c>
      <c r="AG124" s="56">
        <f t="shared" si="31"/>
        <v>18828.684580564965</v>
      </c>
      <c r="AI124" s="56">
        <f t="shared" si="32"/>
        <v>17139.909101769459</v>
      </c>
      <c r="AJ124" s="56">
        <f t="shared" si="33"/>
        <v>1688.7754787955046</v>
      </c>
      <c r="AK124" s="56">
        <f t="shared" si="34"/>
        <v>0</v>
      </c>
      <c r="AM124" s="56">
        <f t="shared" si="35"/>
        <v>695482</v>
      </c>
      <c r="AN124" s="56">
        <f t="shared" si="36"/>
        <v>65909</v>
      </c>
      <c r="AO124" s="56">
        <f t="shared" si="37"/>
        <v>123564</v>
      </c>
      <c r="AP124" s="56"/>
      <c r="AQ124" s="56">
        <f t="shared" si="38"/>
        <v>884955</v>
      </c>
      <c r="AS124" s="56">
        <v>1175.2781548691216</v>
      </c>
      <c r="AT124" s="56">
        <v>111.37801971764753</v>
      </c>
      <c r="AU124" s="56">
        <v>208.80780513118694</v>
      </c>
      <c r="AV124" s="56"/>
      <c r="AW124" s="56">
        <v>1495.4639797179561</v>
      </c>
      <c r="AY124" s="16">
        <v>-1.9742921914793543E-2</v>
      </c>
      <c r="AZ124" s="16">
        <v>-5.7165610287517099E-2</v>
      </c>
      <c r="BA124" s="16">
        <v>-0.10322248970641457</v>
      </c>
      <c r="BB124" s="16">
        <f t="shared" si="39"/>
        <v>-3.5136185066343084E-2</v>
      </c>
      <c r="BC124" s="16"/>
      <c r="BE124" s="16">
        <v>6.6322601259399372E-2</v>
      </c>
      <c r="BF124" s="16">
        <v>6.2890360285061009E-2</v>
      </c>
      <c r="BG124" s="16">
        <v>7.9053826271567207E-2</v>
      </c>
      <c r="BH124" s="16">
        <f>AQ124/(VLOOKUP($A124,'2016-17'!$A$12:$D$220,4,FALSE))-1</f>
        <v>6.7824920583828829E-2</v>
      </c>
      <c r="BJ124" s="16">
        <v>5.6088431339028411E-2</v>
      </c>
      <c r="BK124" s="16">
        <v>5.2689131744060314E-2</v>
      </c>
      <c r="BL124" s="16">
        <v>6.8697466762496884E-2</v>
      </c>
      <c r="BM124" s="16">
        <v>5.757633195825318E-2</v>
      </c>
    </row>
    <row r="125" spans="1:65" x14ac:dyDescent="0.2">
      <c r="A125" s="156" t="s">
        <v>295</v>
      </c>
      <c r="B125" s="156" t="s">
        <v>296</v>
      </c>
      <c r="D125" s="56">
        <f>VLOOKUP(A125,'2016-17'!$A$12:$AMX333,32,FALSE)</f>
        <v>398319.60833064991</v>
      </c>
      <c r="E125" s="56">
        <v>1678.2342288281986</v>
      </c>
      <c r="F125" s="16">
        <f>VLOOKUP(A125,'2016-17'!$A$12:$AMX333,34,FALSE)</f>
        <v>4.075567764814636E-2</v>
      </c>
      <c r="G125" s="16">
        <f>VLOOKUP(A125,'2016-17'!$A$12:$AMX333,35,FALSE)</f>
        <v>3.7057074729721418E-2</v>
      </c>
      <c r="H125" s="56"/>
      <c r="I125" s="56">
        <v>406785.19691847451</v>
      </c>
      <c r="J125" s="56">
        <v>1713.9021704462548</v>
      </c>
      <c r="K125" s="16">
        <f t="shared" si="23"/>
        <v>-2.0810955393544495E-2</v>
      </c>
      <c r="L125" s="58">
        <f t="shared" si="23"/>
        <v>-2.0810955393544495E-2</v>
      </c>
      <c r="M125" s="10"/>
      <c r="N125" s="56">
        <v>317577</v>
      </c>
      <c r="O125" s="56">
        <v>32358</v>
      </c>
      <c r="P125" s="56">
        <v>46436</v>
      </c>
      <c r="R125" s="56">
        <f t="shared" si="24"/>
        <v>46436</v>
      </c>
      <c r="S125" s="56">
        <f t="shared" si="25"/>
        <v>1948.6083306499058</v>
      </c>
      <c r="U125" s="16">
        <v>1.6726649562845974E-3</v>
      </c>
      <c r="V125" s="16">
        <v>6.7875815643418935E-3</v>
      </c>
      <c r="W125" s="56">
        <f t="shared" si="26"/>
        <v>2</v>
      </c>
      <c r="X125" s="56">
        <f t="shared" si="27"/>
        <v>3170.4668711695335</v>
      </c>
      <c r="Y125" s="56">
        <f t="shared" si="27"/>
        <v>321.39848159154178</v>
      </c>
      <c r="AA125" s="56">
        <f t="shared" si="28"/>
        <v>0</v>
      </c>
      <c r="AB125" s="56">
        <v>0</v>
      </c>
      <c r="AC125" s="56">
        <f t="shared" si="29"/>
        <v>1948.6083306499058</v>
      </c>
      <c r="AE125" s="56">
        <v>0</v>
      </c>
      <c r="AF125" s="56">
        <f t="shared" si="30"/>
        <v>0</v>
      </c>
      <c r="AG125" s="56">
        <f t="shared" si="31"/>
        <v>1948.6083306499058</v>
      </c>
      <c r="AI125" s="56">
        <f t="shared" si="32"/>
        <v>1769.2544050489946</v>
      </c>
      <c r="AJ125" s="56">
        <f t="shared" si="33"/>
        <v>179.353925600911</v>
      </c>
      <c r="AK125" s="56">
        <f t="shared" si="34"/>
        <v>0</v>
      </c>
      <c r="AM125" s="56">
        <f t="shared" si="35"/>
        <v>319346</v>
      </c>
      <c r="AN125" s="56">
        <f t="shared" si="36"/>
        <v>32537</v>
      </c>
      <c r="AO125" s="56">
        <f t="shared" si="37"/>
        <v>46436</v>
      </c>
      <c r="AP125" s="56"/>
      <c r="AQ125" s="56">
        <f t="shared" si="38"/>
        <v>398319</v>
      </c>
      <c r="AS125" s="56">
        <v>1345.4958702271113</v>
      </c>
      <c r="AT125" s="56">
        <v>137.08767020591935</v>
      </c>
      <c r="AU125" s="56">
        <v>195.64812532446356</v>
      </c>
      <c r="AV125" s="56"/>
      <c r="AW125" s="56">
        <v>1678.2316657574943</v>
      </c>
      <c r="AY125" s="16">
        <v>7.2522848415650376E-3</v>
      </c>
      <c r="AZ125" s="16">
        <v>1.2356991821465879E-2</v>
      </c>
      <c r="BA125" s="16">
        <v>-0.19380071210120353</v>
      </c>
      <c r="BB125" s="16">
        <f t="shared" si="39"/>
        <v>-2.0812450852706998E-2</v>
      </c>
      <c r="BC125" s="16"/>
      <c r="BE125" s="16">
        <v>3.6228914553208647E-2</v>
      </c>
      <c r="BF125" s="16">
        <v>4.1383945717577753E-2</v>
      </c>
      <c r="BG125" s="16">
        <v>7.2509310954233408E-2</v>
      </c>
      <c r="BH125" s="16">
        <f>AQ125/(VLOOKUP($A125,'2016-17'!$A$12:$D$220,4,FALSE))-1</f>
        <v>4.0754088161802926E-2</v>
      </c>
      <c r="BJ125" s="16">
        <v>3.2546398694939471E-2</v>
      </c>
      <c r="BK125" s="16">
        <v>3.7683110080979798E-2</v>
      </c>
      <c r="BL125" s="16">
        <v>6.8697863029685724E-2</v>
      </c>
      <c r="BM125" s="16">
        <v>3.7055490892041743E-2</v>
      </c>
    </row>
    <row r="126" spans="1:65" x14ac:dyDescent="0.2">
      <c r="A126" s="156" t="s">
        <v>297</v>
      </c>
      <c r="B126" s="156" t="s">
        <v>298</v>
      </c>
      <c r="D126" s="56">
        <f>VLOOKUP(A126,'2016-17'!$A$12:$AMX334,32,FALSE)</f>
        <v>949464.44745162106</v>
      </c>
      <c r="E126" s="56">
        <v>1487.5151381069802</v>
      </c>
      <c r="F126" s="16">
        <f>VLOOKUP(A126,'2016-17'!$A$12:$AMX334,34,FALSE)</f>
        <v>6.7546033060504662E-2</v>
      </c>
      <c r="G126" s="16">
        <f>VLOOKUP(A126,'2016-17'!$A$12:$AMX334,35,FALSE)</f>
        <v>5.6107837318783327E-2</v>
      </c>
      <c r="H126" s="56"/>
      <c r="I126" s="56">
        <v>983224.11939615558</v>
      </c>
      <c r="J126" s="56">
        <v>1540.4060317152735</v>
      </c>
      <c r="K126" s="16">
        <f t="shared" si="23"/>
        <v>-3.4335683267481154E-2</v>
      </c>
      <c r="L126" s="58">
        <f t="shared" si="23"/>
        <v>-3.4335683267481265E-2</v>
      </c>
      <c r="M126" s="10"/>
      <c r="N126" s="56">
        <v>720095</v>
      </c>
      <c r="O126" s="56">
        <v>69383</v>
      </c>
      <c r="P126" s="56">
        <v>145161</v>
      </c>
      <c r="R126" s="56">
        <f t="shared" si="24"/>
        <v>145161</v>
      </c>
      <c r="S126" s="56">
        <f t="shared" si="25"/>
        <v>14825.447451621061</v>
      </c>
      <c r="U126" s="16">
        <v>-4.4273161972286257E-2</v>
      </c>
      <c r="V126" s="16">
        <v>-7.8343487392907196E-2</v>
      </c>
      <c r="W126" s="56">
        <f t="shared" si="26"/>
        <v>4</v>
      </c>
      <c r="X126" s="56">
        <f t="shared" si="27"/>
        <v>7534.5273497396438</v>
      </c>
      <c r="Y126" s="56">
        <f t="shared" si="27"/>
        <v>752.80757040099547</v>
      </c>
      <c r="AA126" s="56">
        <f t="shared" si="28"/>
        <v>0</v>
      </c>
      <c r="AB126" s="56">
        <v>0</v>
      </c>
      <c r="AC126" s="56">
        <f t="shared" si="29"/>
        <v>14825.447451621061</v>
      </c>
      <c r="AE126" s="56">
        <v>0</v>
      </c>
      <c r="AF126" s="56">
        <f t="shared" si="30"/>
        <v>0</v>
      </c>
      <c r="AG126" s="56">
        <f t="shared" si="31"/>
        <v>14825.447451621061</v>
      </c>
      <c r="AI126" s="56">
        <f t="shared" si="32"/>
        <v>13478.728731584935</v>
      </c>
      <c r="AJ126" s="56">
        <f t="shared" si="33"/>
        <v>1346.7187200361245</v>
      </c>
      <c r="AK126" s="56">
        <f t="shared" si="34"/>
        <v>0</v>
      </c>
      <c r="AM126" s="56">
        <f t="shared" si="35"/>
        <v>733574</v>
      </c>
      <c r="AN126" s="56">
        <f t="shared" si="36"/>
        <v>70730</v>
      </c>
      <c r="AO126" s="56">
        <f t="shared" si="37"/>
        <v>145161</v>
      </c>
      <c r="AP126" s="56"/>
      <c r="AQ126" s="56">
        <f t="shared" si="38"/>
        <v>949465</v>
      </c>
      <c r="AS126" s="56">
        <v>1149.2820324662982</v>
      </c>
      <c r="AT126" s="56">
        <v>110.81188558528693</v>
      </c>
      <c r="AU126" s="56">
        <v>227.42208572664833</v>
      </c>
      <c r="AV126" s="56"/>
      <c r="AW126" s="56">
        <v>1487.5160037782334</v>
      </c>
      <c r="AY126" s="16">
        <v>-2.6383519564304625E-2</v>
      </c>
      <c r="AZ126" s="16">
        <v>-6.0450468606147334E-2</v>
      </c>
      <c r="BA126" s="16">
        <v>-6.0389601234625112E-2</v>
      </c>
      <c r="BB126" s="16">
        <f t="shared" si="39"/>
        <v>-3.4335121291459658E-2</v>
      </c>
      <c r="BC126" s="16"/>
      <c r="BE126" s="16">
        <v>6.6207878549267241E-2</v>
      </c>
      <c r="BF126" s="16">
        <v>5.5760176544241036E-2</v>
      </c>
      <c r="BG126" s="16">
        <v>8.0277817660797224E-2</v>
      </c>
      <c r="BH126" s="16">
        <f>AQ126/(VLOOKUP($A126,'2016-17'!$A$12:$D$220,4,FALSE))-1</f>
        <v>6.754665432740059E-2</v>
      </c>
      <c r="BJ126" s="16">
        <v>5.4784020431178249E-2</v>
      </c>
      <c r="BK126" s="16">
        <v>4.4448260072585732E-2</v>
      </c>
      <c r="BL126" s="16">
        <v>6.8703207525794729E-2</v>
      </c>
      <c r="BM126" s="16">
        <v>5.6108451929130165E-2</v>
      </c>
    </row>
    <row r="127" spans="1:65" x14ac:dyDescent="0.2">
      <c r="A127" s="156" t="s">
        <v>299</v>
      </c>
      <c r="B127" s="156" t="s">
        <v>300</v>
      </c>
      <c r="D127" s="56">
        <f>VLOOKUP(A127,'2016-17'!$A$12:$AMX335,32,FALSE)</f>
        <v>592587.78988776659</v>
      </c>
      <c r="E127" s="56">
        <v>1475.3273783371642</v>
      </c>
      <c r="F127" s="16">
        <f>VLOOKUP(A127,'2016-17'!$A$12:$AMX335,34,FALSE)</f>
        <v>5.6525150593023321E-2</v>
      </c>
      <c r="G127" s="16">
        <f>VLOOKUP(A127,'2016-17'!$A$12:$AMX335,35,FALSE)</f>
        <v>5.1079554899380764E-2</v>
      </c>
      <c r="H127" s="56"/>
      <c r="I127" s="56">
        <v>611149.1395259432</v>
      </c>
      <c r="J127" s="56">
        <v>1521.5383664259955</v>
      </c>
      <c r="K127" s="16">
        <f t="shared" si="23"/>
        <v>-3.0371227639417575E-2</v>
      </c>
      <c r="L127" s="58">
        <f t="shared" si="23"/>
        <v>-3.0371227639417464E-2</v>
      </c>
      <c r="M127" s="10"/>
      <c r="N127" s="56">
        <v>452637</v>
      </c>
      <c r="O127" s="56">
        <v>53813</v>
      </c>
      <c r="P127" s="56">
        <v>80764</v>
      </c>
      <c r="R127" s="56">
        <f t="shared" si="24"/>
        <v>80764</v>
      </c>
      <c r="S127" s="56">
        <f t="shared" si="25"/>
        <v>5373.7898877665866</v>
      </c>
      <c r="U127" s="16">
        <v>-4.455445230736399E-2</v>
      </c>
      <c r="V127" s="16">
        <v>0.10224878076526922</v>
      </c>
      <c r="W127" s="56">
        <f t="shared" si="26"/>
        <v>1</v>
      </c>
      <c r="X127" s="56">
        <f t="shared" si="27"/>
        <v>4737.4442331444307</v>
      </c>
      <c r="Y127" s="56">
        <f t="shared" si="27"/>
        <v>488.2110185927238</v>
      </c>
      <c r="AA127" s="56">
        <f t="shared" si="28"/>
        <v>5373.7898877665866</v>
      </c>
      <c r="AB127" s="56">
        <v>0</v>
      </c>
      <c r="AC127" s="56">
        <f t="shared" si="29"/>
        <v>0</v>
      </c>
      <c r="AE127" s="56">
        <v>0</v>
      </c>
      <c r="AF127" s="56">
        <f t="shared" si="30"/>
        <v>0</v>
      </c>
      <c r="AG127" s="56">
        <f t="shared" si="31"/>
        <v>0</v>
      </c>
      <c r="AI127" s="56">
        <f t="shared" si="32"/>
        <v>0</v>
      </c>
      <c r="AJ127" s="56">
        <f t="shared" si="33"/>
        <v>0</v>
      </c>
      <c r="AK127" s="56">
        <f t="shared" si="34"/>
        <v>0</v>
      </c>
      <c r="AM127" s="56">
        <f t="shared" si="35"/>
        <v>458011</v>
      </c>
      <c r="AN127" s="56">
        <f t="shared" si="36"/>
        <v>53813</v>
      </c>
      <c r="AO127" s="56">
        <f t="shared" si="37"/>
        <v>80764</v>
      </c>
      <c r="AP127" s="56"/>
      <c r="AQ127" s="56">
        <f t="shared" si="38"/>
        <v>592588</v>
      </c>
      <c r="AS127" s="56">
        <v>1140.2802747717101</v>
      </c>
      <c r="AT127" s="56">
        <v>133.97473516201583</v>
      </c>
      <c r="AU127" s="56">
        <v>201.07289150623541</v>
      </c>
      <c r="AV127" s="56"/>
      <c r="AW127" s="56">
        <v>1475.3279014399614</v>
      </c>
      <c r="AY127" s="16">
        <v>-3.3210783156808033E-2</v>
      </c>
      <c r="AZ127" s="16">
        <v>0.10224878076526922</v>
      </c>
      <c r="BA127" s="16">
        <v>-8.8273823656995209E-2</v>
      </c>
      <c r="BB127" s="16">
        <f t="shared" si="39"/>
        <v>-3.0370883840793339E-2</v>
      </c>
      <c r="BC127" s="16"/>
      <c r="BE127" s="16">
        <v>5.676827983708721E-2</v>
      </c>
      <c r="BF127" s="16">
        <v>2.9047309442765901E-2</v>
      </c>
      <c r="BG127" s="16">
        <v>7.4238870846597749E-2</v>
      </c>
      <c r="BH127" s="16">
        <f>AQ127/(VLOOKUP($A127,'2016-17'!$A$12:$D$220,4,FALSE))-1</f>
        <v>5.6525525202259175E-2</v>
      </c>
      <c r="BJ127" s="16">
        <v>5.132143099432307E-2</v>
      </c>
      <c r="BK127" s="16">
        <v>2.3743341436220478E-2</v>
      </c>
      <c r="BL127" s="16">
        <v>6.8701974194641968E-2</v>
      </c>
      <c r="BM127" s="16">
        <v>5.1079927577786455E-2</v>
      </c>
    </row>
    <row r="128" spans="1:65" x14ac:dyDescent="0.2">
      <c r="A128" s="156" t="s">
        <v>301</v>
      </c>
      <c r="B128" s="156" t="s">
        <v>302</v>
      </c>
      <c r="D128" s="56">
        <f>VLOOKUP(A128,'2016-17'!$A$12:$AMX336,32,FALSE)</f>
        <v>348099.9909452229</v>
      </c>
      <c r="E128" s="56">
        <v>1514.7315329082271</v>
      </c>
      <c r="F128" s="16">
        <f>VLOOKUP(A128,'2016-17'!$A$12:$AMX336,34,FALSE)</f>
        <v>7.4102852538332487E-2</v>
      </c>
      <c r="G128" s="16">
        <f>VLOOKUP(A128,'2016-17'!$A$12:$AMX336,35,FALSE)</f>
        <v>6.0587420125678415E-2</v>
      </c>
      <c r="H128" s="56"/>
      <c r="I128" s="56">
        <v>361788.35795508954</v>
      </c>
      <c r="J128" s="56">
        <v>1574.2954561578786</v>
      </c>
      <c r="K128" s="16">
        <f t="shared" si="23"/>
        <v>-3.7835288805964984E-2</v>
      </c>
      <c r="L128" s="58">
        <f t="shared" si="23"/>
        <v>-3.7835288805964762E-2</v>
      </c>
      <c r="M128" s="10"/>
      <c r="N128" s="56">
        <v>260456</v>
      </c>
      <c r="O128" s="56">
        <v>26687</v>
      </c>
      <c r="P128" s="56">
        <v>58788</v>
      </c>
      <c r="R128" s="56">
        <f t="shared" si="24"/>
        <v>58788</v>
      </c>
      <c r="S128" s="56">
        <f t="shared" si="25"/>
        <v>2168.990945222904</v>
      </c>
      <c r="U128" s="16">
        <v>-4.5999196853803714E-2</v>
      </c>
      <c r="V128" s="16">
        <v>-7.9124380513637904E-2</v>
      </c>
      <c r="W128" s="56">
        <f t="shared" si="26"/>
        <v>4</v>
      </c>
      <c r="X128" s="56">
        <f t="shared" si="27"/>
        <v>2730.1444520910568</v>
      </c>
      <c r="Y128" s="56">
        <f t="shared" si="27"/>
        <v>289.80026656461206</v>
      </c>
      <c r="AA128" s="56">
        <f t="shared" si="28"/>
        <v>0</v>
      </c>
      <c r="AB128" s="56">
        <v>0</v>
      </c>
      <c r="AC128" s="56">
        <f t="shared" si="29"/>
        <v>2168.990945222904</v>
      </c>
      <c r="AE128" s="56">
        <v>0</v>
      </c>
      <c r="AF128" s="56">
        <f t="shared" si="30"/>
        <v>0</v>
      </c>
      <c r="AG128" s="56">
        <f t="shared" si="31"/>
        <v>2168.990945222904</v>
      </c>
      <c r="AI128" s="56">
        <f t="shared" si="32"/>
        <v>1960.8499980662161</v>
      </c>
      <c r="AJ128" s="56">
        <f t="shared" si="33"/>
        <v>208.14094715668762</v>
      </c>
      <c r="AK128" s="56">
        <f t="shared" si="34"/>
        <v>0</v>
      </c>
      <c r="AM128" s="56">
        <f t="shared" si="35"/>
        <v>262417</v>
      </c>
      <c r="AN128" s="56">
        <f t="shared" si="36"/>
        <v>26895</v>
      </c>
      <c r="AO128" s="56">
        <f t="shared" si="37"/>
        <v>58788</v>
      </c>
      <c r="AP128" s="56"/>
      <c r="AQ128" s="56">
        <f t="shared" si="38"/>
        <v>348100</v>
      </c>
      <c r="AS128" s="56">
        <v>1141.8882936245968</v>
      </c>
      <c r="AT128" s="56">
        <v>117.03161630928459</v>
      </c>
      <c r="AU128" s="56">
        <v>255.81166237554274</v>
      </c>
      <c r="AV128" s="56"/>
      <c r="AW128" s="56">
        <v>1514.7315723094241</v>
      </c>
      <c r="AY128" s="16">
        <v>-3.8816426731519416E-2</v>
      </c>
      <c r="AZ128" s="16">
        <v>-7.1947023416430889E-2</v>
      </c>
      <c r="BA128" s="16">
        <v>-1.6822557544038164E-2</v>
      </c>
      <c r="BB128" s="16">
        <f t="shared" si="39"/>
        <v>-3.7835263778136063E-2</v>
      </c>
      <c r="BC128" s="16"/>
      <c r="BE128" s="16">
        <v>7.548286687682193E-2</v>
      </c>
      <c r="BF128" s="16">
        <v>4.3708828501294317E-2</v>
      </c>
      <c r="BG128" s="16">
        <v>8.2323201487033648E-2</v>
      </c>
      <c r="BH128" s="16">
        <f>AQ128/(VLOOKUP($A128,'2016-17'!$A$12:$D$220,4,FALSE))-1</f>
        <v>7.410288047789626E-2</v>
      </c>
      <c r="BJ128" s="16">
        <v>6.1950069748604175E-2</v>
      </c>
      <c r="BK128" s="16">
        <v>3.0575843986111462E-2</v>
      </c>
      <c r="BL128" s="16">
        <v>6.8704332452493411E-2</v>
      </c>
      <c r="BM128" s="16">
        <v>6.0587447713678744E-2</v>
      </c>
    </row>
    <row r="129" spans="1:65" x14ac:dyDescent="0.2">
      <c r="A129" s="156" t="s">
        <v>303</v>
      </c>
      <c r="B129" s="156" t="s">
        <v>304</v>
      </c>
      <c r="D129" s="56">
        <f>VLOOKUP(A129,'2016-17'!$A$12:$AMX337,32,FALSE)</f>
        <v>561219.76950469345</v>
      </c>
      <c r="E129" s="56">
        <v>1455.1909058356305</v>
      </c>
      <c r="F129" s="16">
        <f>VLOOKUP(A129,'2016-17'!$A$12:$AMX337,34,FALSE)</f>
        <v>5.153444052333267E-2</v>
      </c>
      <c r="G129" s="16">
        <f>VLOOKUP(A129,'2016-17'!$A$12:$AMX337,35,FALSE)</f>
        <v>4.4250641343988706E-2</v>
      </c>
      <c r="H129" s="56"/>
      <c r="I129" s="56">
        <v>576030.81705980503</v>
      </c>
      <c r="J129" s="56">
        <v>1493.5945809718769</v>
      </c>
      <c r="K129" s="16">
        <f t="shared" si="23"/>
        <v>-2.5712248575016527E-2</v>
      </c>
      <c r="L129" s="58">
        <f t="shared" si="23"/>
        <v>-2.5712248575016416E-2</v>
      </c>
      <c r="M129" s="10"/>
      <c r="N129" s="56">
        <v>432751</v>
      </c>
      <c r="O129" s="56">
        <v>46693</v>
      </c>
      <c r="P129" s="56">
        <v>73890</v>
      </c>
      <c r="R129" s="56">
        <f t="shared" si="24"/>
        <v>73890</v>
      </c>
      <c r="S129" s="56">
        <f t="shared" si="25"/>
        <v>7885.7695046934532</v>
      </c>
      <c r="U129" s="16">
        <v>-3.3794666232662141E-2</v>
      </c>
      <c r="V129" s="16">
        <v>5.1033077893662515E-2</v>
      </c>
      <c r="W129" s="56">
        <f t="shared" si="26"/>
        <v>1</v>
      </c>
      <c r="X129" s="56">
        <f t="shared" si="27"/>
        <v>4478.8719837910394</v>
      </c>
      <c r="Y129" s="56">
        <f t="shared" si="27"/>
        <v>444.25813974928133</v>
      </c>
      <c r="AA129" s="56">
        <f t="shared" si="28"/>
        <v>7885.7695046934532</v>
      </c>
      <c r="AB129" s="56">
        <v>0</v>
      </c>
      <c r="AC129" s="56">
        <f t="shared" si="29"/>
        <v>0</v>
      </c>
      <c r="AE129" s="56">
        <v>0</v>
      </c>
      <c r="AF129" s="56">
        <f t="shared" si="30"/>
        <v>0</v>
      </c>
      <c r="AG129" s="56">
        <f t="shared" si="31"/>
        <v>0</v>
      </c>
      <c r="AI129" s="56">
        <f t="shared" si="32"/>
        <v>0</v>
      </c>
      <c r="AJ129" s="56">
        <f t="shared" si="33"/>
        <v>0</v>
      </c>
      <c r="AK129" s="56">
        <f t="shared" si="34"/>
        <v>0</v>
      </c>
      <c r="AM129" s="56">
        <f t="shared" si="35"/>
        <v>440637</v>
      </c>
      <c r="AN129" s="56">
        <f t="shared" si="36"/>
        <v>46693</v>
      </c>
      <c r="AO129" s="56">
        <f t="shared" si="37"/>
        <v>73890</v>
      </c>
      <c r="AP129" s="56"/>
      <c r="AQ129" s="56">
        <f t="shared" si="38"/>
        <v>561220</v>
      </c>
      <c r="AS129" s="56">
        <v>1142.5309477971484</v>
      </c>
      <c r="AT129" s="56">
        <v>121.07062626491251</v>
      </c>
      <c r="AU129" s="56">
        <v>191.58992942656042</v>
      </c>
      <c r="AV129" s="56"/>
      <c r="AW129" s="56">
        <v>1455.1915034886213</v>
      </c>
      <c r="AY129" s="16">
        <v>-1.6187554378294999E-2</v>
      </c>
      <c r="AZ129" s="16">
        <v>5.1033077893662515E-2</v>
      </c>
      <c r="BA129" s="16">
        <v>-0.11739204987891017</v>
      </c>
      <c r="BB129" s="16">
        <f t="shared" si="39"/>
        <v>-2.5711848430962192E-2</v>
      </c>
      <c r="BC129" s="16"/>
      <c r="BE129" s="16">
        <v>4.9266696398445387E-2</v>
      </c>
      <c r="BF129" s="16">
        <v>3.5183789296324264E-2</v>
      </c>
      <c r="BG129" s="16">
        <v>7.6149061621897607E-2</v>
      </c>
      <c r="BH129" s="16">
        <f>AQ129/(VLOOKUP($A129,'2016-17'!$A$12:$D$220,4,FALSE))-1</f>
        <v>5.1534872392925202E-2</v>
      </c>
      <c r="BJ129" s="16">
        <v>4.1998605494702579E-2</v>
      </c>
      <c r="BK129" s="16">
        <v>2.8013248280859049E-2</v>
      </c>
      <c r="BL129" s="16">
        <v>6.8694761173124785E-2</v>
      </c>
      <c r="BM129" s="16">
        <v>4.4251070222094402E-2</v>
      </c>
    </row>
    <row r="130" spans="1:65" x14ac:dyDescent="0.2">
      <c r="A130" s="156" t="s">
        <v>305</v>
      </c>
      <c r="B130" s="156" t="s">
        <v>306</v>
      </c>
      <c r="D130" s="56">
        <f>VLOOKUP(A130,'2016-17'!$A$12:$AMX338,32,FALSE)</f>
        <v>560923.54138040764</v>
      </c>
      <c r="E130" s="56">
        <v>1641.6335603276759</v>
      </c>
      <c r="F130" s="16">
        <f>VLOOKUP(A130,'2016-17'!$A$12:$AMX338,34,FALSE)</f>
        <v>5.5324076988167992E-2</v>
      </c>
      <c r="G130" s="16">
        <f>VLOOKUP(A130,'2016-17'!$A$12:$AMX338,35,FALSE)</f>
        <v>4.6113307605494036E-2</v>
      </c>
      <c r="H130" s="56"/>
      <c r="I130" s="56">
        <v>576279.765050321</v>
      </c>
      <c r="J130" s="56">
        <v>1686.5760351512301</v>
      </c>
      <c r="K130" s="16">
        <f t="shared" si="23"/>
        <v>-2.6647167922983495E-2</v>
      </c>
      <c r="L130" s="58">
        <f t="shared" si="23"/>
        <v>-2.6647167922983273E-2</v>
      </c>
      <c r="M130" s="10"/>
      <c r="N130" s="56">
        <v>434073</v>
      </c>
      <c r="O130" s="56">
        <v>45632</v>
      </c>
      <c r="P130" s="56">
        <v>71399</v>
      </c>
      <c r="R130" s="56">
        <f t="shared" si="24"/>
        <v>71399</v>
      </c>
      <c r="S130" s="56">
        <f t="shared" si="25"/>
        <v>9819.5413804076379</v>
      </c>
      <c r="U130" s="16">
        <v>-4.2007296518133286E-2</v>
      </c>
      <c r="V130" s="16">
        <v>2.1707920902316102E-2</v>
      </c>
      <c r="W130" s="56">
        <f t="shared" si="26"/>
        <v>1</v>
      </c>
      <c r="X130" s="56">
        <f t="shared" si="27"/>
        <v>4531.0679133812037</v>
      </c>
      <c r="Y130" s="56">
        <f t="shared" si="27"/>
        <v>446.62470620468849</v>
      </c>
      <c r="AA130" s="56">
        <f t="shared" si="28"/>
        <v>9819.5413804076379</v>
      </c>
      <c r="AB130" s="56">
        <v>0</v>
      </c>
      <c r="AC130" s="56">
        <f t="shared" si="29"/>
        <v>0</v>
      </c>
      <c r="AE130" s="56">
        <v>0</v>
      </c>
      <c r="AF130" s="56">
        <f t="shared" si="30"/>
        <v>0</v>
      </c>
      <c r="AG130" s="56">
        <f t="shared" si="31"/>
        <v>0</v>
      </c>
      <c r="AI130" s="56">
        <f t="shared" si="32"/>
        <v>0</v>
      </c>
      <c r="AJ130" s="56">
        <f t="shared" si="33"/>
        <v>0</v>
      </c>
      <c r="AK130" s="56">
        <f t="shared" si="34"/>
        <v>0</v>
      </c>
      <c r="AM130" s="56">
        <f t="shared" si="35"/>
        <v>443893</v>
      </c>
      <c r="AN130" s="56">
        <f t="shared" si="36"/>
        <v>45632</v>
      </c>
      <c r="AO130" s="56">
        <f t="shared" si="37"/>
        <v>71399</v>
      </c>
      <c r="AP130" s="56"/>
      <c r="AQ130" s="56">
        <f t="shared" si="38"/>
        <v>560924</v>
      </c>
      <c r="AS130" s="56">
        <v>1299.1247331164088</v>
      </c>
      <c r="AT130" s="56">
        <v>133.54943606132102</v>
      </c>
      <c r="AU130" s="56">
        <v>208.9607333744359</v>
      </c>
      <c r="AV130" s="56"/>
      <c r="AW130" s="56">
        <v>1641.6349025521656</v>
      </c>
      <c r="AY130" s="16">
        <v>-2.0334701474921779E-2</v>
      </c>
      <c r="AZ130" s="16">
        <v>2.1707920902316102E-2</v>
      </c>
      <c r="BA130" s="16">
        <v>-9.0580276672316384E-2</v>
      </c>
      <c r="BB130" s="16">
        <f t="shared" si="39"/>
        <v>-2.6646372094949577E-2</v>
      </c>
      <c r="BC130" s="16"/>
      <c r="BE130" s="16">
        <v>5.3799387738854287E-2</v>
      </c>
      <c r="BF130" s="16">
        <v>3.5655114500351859E-2</v>
      </c>
      <c r="BG130" s="16">
        <v>7.8114887189517201E-2</v>
      </c>
      <c r="BH130" s="16">
        <f>AQ130/(VLOOKUP($A130,'2016-17'!$A$12:$D$220,4,FALSE))-1</f>
        <v>5.532493983713449E-2</v>
      </c>
      <c r="BJ130" s="16">
        <v>4.460192570068422E-2</v>
      </c>
      <c r="BK130" s="16">
        <v>2.661601397411939E-2</v>
      </c>
      <c r="BL130" s="16">
        <v>6.8705201756895651E-2</v>
      </c>
      <c r="BM130" s="16">
        <v>4.6114162923595714E-2</v>
      </c>
    </row>
    <row r="131" spans="1:65" x14ac:dyDescent="0.2">
      <c r="A131" s="156" t="s">
        <v>307</v>
      </c>
      <c r="B131" s="156" t="s">
        <v>308</v>
      </c>
      <c r="D131" s="56">
        <f>VLOOKUP(A131,'2016-17'!$A$12:$AMX339,32,FALSE)</f>
        <v>295227</v>
      </c>
      <c r="E131" s="56">
        <v>1715.9061295803945</v>
      </c>
      <c r="F131" s="16">
        <f>VLOOKUP(A131,'2016-17'!$A$12:$AMX339,34,FALSE)</f>
        <v>3.6123153457977342E-2</v>
      </c>
      <c r="G131" s="16">
        <f>VLOOKUP(A131,'2016-17'!$A$12:$AMX339,35,FALSE)</f>
        <v>3.1437238946487867E-2</v>
      </c>
      <c r="H131" s="56"/>
      <c r="I131" s="56">
        <v>291017.46391081274</v>
      </c>
      <c r="J131" s="56">
        <v>1691.4396384460256</v>
      </c>
      <c r="K131" s="16">
        <f t="shared" si="23"/>
        <v>1.4464891668760194E-2</v>
      </c>
      <c r="L131" s="58">
        <f t="shared" si="23"/>
        <v>1.4464891668760416E-2</v>
      </c>
      <c r="M131" s="10"/>
      <c r="N131" s="56">
        <v>226799</v>
      </c>
      <c r="O131" s="56">
        <v>27447</v>
      </c>
      <c r="P131" s="56">
        <v>40981</v>
      </c>
      <c r="R131" s="56">
        <f t="shared" si="24"/>
        <v>40981</v>
      </c>
      <c r="S131" s="56">
        <f t="shared" si="25"/>
        <v>0</v>
      </c>
      <c r="U131" s="16">
        <v>2.4110043456566643E-2</v>
      </c>
      <c r="V131" s="16">
        <v>0.24611405982624635</v>
      </c>
      <c r="W131" s="56">
        <f t="shared" si="26"/>
        <v>2</v>
      </c>
      <c r="X131" s="56">
        <f t="shared" si="27"/>
        <v>2214.5959943377775</v>
      </c>
      <c r="Y131" s="56">
        <f t="shared" si="27"/>
        <v>220.26073603428492</v>
      </c>
      <c r="AA131" s="56">
        <f t="shared" si="28"/>
        <v>0</v>
      </c>
      <c r="AB131" s="56">
        <v>0</v>
      </c>
      <c r="AC131" s="56">
        <f t="shared" si="29"/>
        <v>0</v>
      </c>
      <c r="AE131" s="56">
        <v>0</v>
      </c>
      <c r="AF131" s="56">
        <f t="shared" si="30"/>
        <v>0</v>
      </c>
      <c r="AG131" s="56">
        <f t="shared" si="31"/>
        <v>0</v>
      </c>
      <c r="AI131" s="56">
        <f t="shared" si="32"/>
        <v>0</v>
      </c>
      <c r="AJ131" s="56">
        <f t="shared" si="33"/>
        <v>0</v>
      </c>
      <c r="AK131" s="56">
        <f t="shared" si="34"/>
        <v>0</v>
      </c>
      <c r="AM131" s="56">
        <f t="shared" si="35"/>
        <v>226799</v>
      </c>
      <c r="AN131" s="56">
        <f t="shared" si="36"/>
        <v>27447</v>
      </c>
      <c r="AO131" s="56">
        <f t="shared" si="37"/>
        <v>40981</v>
      </c>
      <c r="AP131" s="56"/>
      <c r="AQ131" s="56">
        <f t="shared" si="38"/>
        <v>295227</v>
      </c>
      <c r="AS131" s="56">
        <v>1318.1917449376374</v>
      </c>
      <c r="AT131" s="56">
        <v>159.52631547450974</v>
      </c>
      <c r="AU131" s="56">
        <v>238.1880691682473</v>
      </c>
      <c r="AV131" s="56"/>
      <c r="AW131" s="56">
        <v>1715.9061295803945</v>
      </c>
      <c r="AY131" s="16">
        <v>2.4110043456566643E-2</v>
      </c>
      <c r="AZ131" s="16">
        <v>0.24611405982624635</v>
      </c>
      <c r="BA131" s="16">
        <v>-0.13781914700049769</v>
      </c>
      <c r="BB131" s="16">
        <f t="shared" si="39"/>
        <v>1.4464891668760194E-2</v>
      </c>
      <c r="BC131" s="16"/>
      <c r="BE131" s="16">
        <v>3.0487219739787852E-2</v>
      </c>
      <c r="BF131" s="16">
        <v>2.9056688662267627E-2</v>
      </c>
      <c r="BG131" s="16">
        <v>7.3554782172837507E-2</v>
      </c>
      <c r="BH131" s="16">
        <f>AQ131/(VLOOKUP($A131,'2016-17'!$A$12:$D$220,4,FALSE))-1</f>
        <v>3.6123153457977342E-2</v>
      </c>
      <c r="BJ131" s="16">
        <v>2.5826793997184128E-2</v>
      </c>
      <c r="BK131" s="16">
        <v>2.4402732562112117E-2</v>
      </c>
      <c r="BL131" s="16">
        <v>6.8699581402664744E-2</v>
      </c>
      <c r="BM131" s="16">
        <v>3.1437238946487867E-2</v>
      </c>
    </row>
    <row r="132" spans="1:65" x14ac:dyDescent="0.2">
      <c r="A132" s="156" t="s">
        <v>309</v>
      </c>
      <c r="B132" s="156" t="s">
        <v>310</v>
      </c>
      <c r="D132" s="56">
        <f>VLOOKUP(A132,'2016-17'!$A$12:$AMX340,32,FALSE)</f>
        <v>312397.06092576776</v>
      </c>
      <c r="E132" s="56">
        <v>1436.6910824684294</v>
      </c>
      <c r="F132" s="16">
        <f>VLOOKUP(A132,'2016-17'!$A$12:$AMX340,34,FALSE)</f>
        <v>3.6782978807418765E-2</v>
      </c>
      <c r="G132" s="16">
        <f>VLOOKUP(A132,'2016-17'!$A$12:$AMX340,35,FALSE)</f>
        <v>2.8891531436114892E-2</v>
      </c>
      <c r="H132" s="56"/>
      <c r="I132" s="56">
        <v>317580.69749298575</v>
      </c>
      <c r="J132" s="56">
        <v>1460.5302453875995</v>
      </c>
      <c r="K132" s="16">
        <f t="shared" si="23"/>
        <v>-1.6322265830820748E-2</v>
      </c>
      <c r="L132" s="58">
        <f t="shared" si="23"/>
        <v>-1.6322265830820637E-2</v>
      </c>
      <c r="M132" s="10"/>
      <c r="N132" s="56">
        <v>237850</v>
      </c>
      <c r="O132" s="56">
        <v>30045</v>
      </c>
      <c r="P132" s="56">
        <v>44480</v>
      </c>
      <c r="R132" s="56">
        <f t="shared" si="24"/>
        <v>44480</v>
      </c>
      <c r="S132" s="56">
        <f t="shared" si="25"/>
        <v>22.060925767756999</v>
      </c>
      <c r="U132" s="16">
        <v>-8.0659320841608428E-3</v>
      </c>
      <c r="V132" s="16">
        <v>0.13704696132322458</v>
      </c>
      <c r="W132" s="56">
        <f t="shared" si="26"/>
        <v>1</v>
      </c>
      <c r="X132" s="56">
        <f t="shared" si="27"/>
        <v>2397.8408212125287</v>
      </c>
      <c r="Y132" s="56">
        <f t="shared" si="27"/>
        <v>264.23710736657262</v>
      </c>
      <c r="AA132" s="56">
        <f t="shared" si="28"/>
        <v>22.060925767756999</v>
      </c>
      <c r="AB132" s="56">
        <v>0</v>
      </c>
      <c r="AC132" s="56">
        <f t="shared" si="29"/>
        <v>0</v>
      </c>
      <c r="AE132" s="56">
        <v>0</v>
      </c>
      <c r="AF132" s="56">
        <f t="shared" si="30"/>
        <v>0</v>
      </c>
      <c r="AG132" s="56">
        <f t="shared" si="31"/>
        <v>0</v>
      </c>
      <c r="AI132" s="56">
        <f t="shared" si="32"/>
        <v>0</v>
      </c>
      <c r="AJ132" s="56">
        <f t="shared" si="33"/>
        <v>0</v>
      </c>
      <c r="AK132" s="56">
        <f t="shared" si="34"/>
        <v>0</v>
      </c>
      <c r="AM132" s="56">
        <f t="shared" si="35"/>
        <v>237872</v>
      </c>
      <c r="AN132" s="56">
        <f t="shared" si="36"/>
        <v>30045</v>
      </c>
      <c r="AO132" s="56">
        <f t="shared" si="37"/>
        <v>44480</v>
      </c>
      <c r="AP132" s="56"/>
      <c r="AQ132" s="56">
        <f t="shared" si="38"/>
        <v>312397</v>
      </c>
      <c r="AS132" s="56">
        <v>1093.9558142966557</v>
      </c>
      <c r="AT132" s="56">
        <v>138.1747428892136</v>
      </c>
      <c r="AU132" s="56">
        <v>204.56024508943989</v>
      </c>
      <c r="AV132" s="56"/>
      <c r="AW132" s="56">
        <v>1436.6908022753091</v>
      </c>
      <c r="AY132" s="16">
        <v>-7.9741828745995003E-3</v>
      </c>
      <c r="AZ132" s="16">
        <v>0.13704696132322458</v>
      </c>
      <c r="BA132" s="16">
        <v>-0.13417393242681153</v>
      </c>
      <c r="BB132" s="16">
        <f t="shared" si="39"/>
        <v>-1.6322457674242785E-2</v>
      </c>
      <c r="BC132" s="16"/>
      <c r="BE132" s="16">
        <v>3.0582838965427683E-2</v>
      </c>
      <c r="BF132" s="16">
        <v>2.9044079871219708E-2</v>
      </c>
      <c r="BG132" s="16">
        <v>7.68995468943654E-2</v>
      </c>
      <c r="BH132" s="16">
        <f>AQ132/(VLOOKUP($A132,'2016-17'!$A$12:$D$220,4,FALSE))-1</f>
        <v>3.6782776607056089E-2</v>
      </c>
      <c r="BJ132" s="16">
        <v>2.2738583801420686E-2</v>
      </c>
      <c r="BK132" s="16">
        <v>2.1211536933066322E-2</v>
      </c>
      <c r="BL132" s="16">
        <v>6.8702753281614015E-2</v>
      </c>
      <c r="BM132" s="16">
        <v>2.889133077479511E-2</v>
      </c>
    </row>
    <row r="133" spans="1:65" x14ac:dyDescent="0.2">
      <c r="A133" s="156" t="s">
        <v>311</v>
      </c>
      <c r="B133" s="156" t="s">
        <v>312</v>
      </c>
      <c r="D133" s="56">
        <f>VLOOKUP(A133,'2016-17'!$A$12:$AMX341,32,FALSE)</f>
        <v>346648.84439082921</v>
      </c>
      <c r="E133" s="56">
        <v>1469.9272631901224</v>
      </c>
      <c r="F133" s="16">
        <f>VLOOKUP(A133,'2016-17'!$A$12:$AMX341,34,FALSE)</f>
        <v>4.0416392051826566E-2</v>
      </c>
      <c r="G133" s="16">
        <f>VLOOKUP(A133,'2016-17'!$A$12:$AMX341,35,FALSE)</f>
        <v>3.0493388429965407E-2</v>
      </c>
      <c r="H133" s="56"/>
      <c r="I133" s="56">
        <v>352775.10556063056</v>
      </c>
      <c r="J133" s="56">
        <v>1495.905016933219</v>
      </c>
      <c r="K133" s="16">
        <f t="shared" si="23"/>
        <v>-1.7365911237034348E-2</v>
      </c>
      <c r="L133" s="58">
        <f t="shared" si="23"/>
        <v>-1.7365911237034348E-2</v>
      </c>
      <c r="M133" s="10"/>
      <c r="N133" s="56">
        <v>263876</v>
      </c>
      <c r="O133" s="56">
        <v>33455</v>
      </c>
      <c r="P133" s="56">
        <v>48127</v>
      </c>
      <c r="R133" s="56">
        <f t="shared" si="24"/>
        <v>48127</v>
      </c>
      <c r="S133" s="56">
        <f t="shared" si="25"/>
        <v>1190.8443908292102</v>
      </c>
      <c r="U133" s="16">
        <v>-1.2550307435496899E-2</v>
      </c>
      <c r="V133" s="16">
        <v>0.1898755861396384</v>
      </c>
      <c r="W133" s="56">
        <f t="shared" si="26"/>
        <v>1</v>
      </c>
      <c r="X133" s="56">
        <f t="shared" si="27"/>
        <v>2672.2981635113815</v>
      </c>
      <c r="Y133" s="56">
        <f t="shared" si="27"/>
        <v>281.16384931082933</v>
      </c>
      <c r="AA133" s="56">
        <f t="shared" si="28"/>
        <v>1190.8443908292102</v>
      </c>
      <c r="AB133" s="56">
        <v>0</v>
      </c>
      <c r="AC133" s="56">
        <f t="shared" si="29"/>
        <v>0</v>
      </c>
      <c r="AE133" s="56">
        <v>0</v>
      </c>
      <c r="AF133" s="56">
        <f t="shared" si="30"/>
        <v>0</v>
      </c>
      <c r="AG133" s="56">
        <f t="shared" si="31"/>
        <v>0</v>
      </c>
      <c r="AI133" s="56">
        <f t="shared" si="32"/>
        <v>0</v>
      </c>
      <c r="AJ133" s="56">
        <f t="shared" si="33"/>
        <v>0</v>
      </c>
      <c r="AK133" s="56">
        <f t="shared" si="34"/>
        <v>0</v>
      </c>
      <c r="AM133" s="56">
        <f t="shared" si="35"/>
        <v>265067</v>
      </c>
      <c r="AN133" s="56">
        <f t="shared" si="36"/>
        <v>33455</v>
      </c>
      <c r="AO133" s="56">
        <f t="shared" si="37"/>
        <v>48127</v>
      </c>
      <c r="AP133" s="56"/>
      <c r="AQ133" s="56">
        <f t="shared" si="38"/>
        <v>346649</v>
      </c>
      <c r="AS133" s="56">
        <v>1123.9881977876398</v>
      </c>
      <c r="AT133" s="56">
        <v>141.86234105711196</v>
      </c>
      <c r="AU133" s="56">
        <v>204.07738418937757</v>
      </c>
      <c r="AV133" s="56"/>
      <c r="AW133" s="56">
        <v>1469.9279230341294</v>
      </c>
      <c r="AY133" s="16">
        <v>-8.0934694364204196E-3</v>
      </c>
      <c r="AZ133" s="16">
        <v>0.1898755861396384</v>
      </c>
      <c r="BA133" s="16">
        <v>-0.16197251880890384</v>
      </c>
      <c r="BB133" s="16">
        <f t="shared" si="39"/>
        <v>-1.7365470136831096E-2</v>
      </c>
      <c r="BC133" s="16"/>
      <c r="BE133" s="16">
        <v>3.5137118029978653E-2</v>
      </c>
      <c r="BF133" s="16">
        <v>2.9067979083359008E-2</v>
      </c>
      <c r="BG133" s="16">
        <v>7.8999900078740692E-2</v>
      </c>
      <c r="BH133" s="16">
        <f>AQ133/(VLOOKUP($A133,'2016-17'!$A$12:$D$220,4,FALSE))-1</f>
        <v>4.0416859090256718E-2</v>
      </c>
      <c r="BJ133" s="16">
        <v>2.5264465647909295E-2</v>
      </c>
      <c r="BK133" s="16">
        <v>1.9253211302309836E-2</v>
      </c>
      <c r="BL133" s="16">
        <v>6.870890505188032E-2</v>
      </c>
      <c r="BM133" s="16">
        <v>3.0493851014001816E-2</v>
      </c>
    </row>
    <row r="134" spans="1:65" x14ac:dyDescent="0.2">
      <c r="A134" s="156" t="s">
        <v>313</v>
      </c>
      <c r="B134" s="156" t="s">
        <v>314</v>
      </c>
      <c r="D134" s="56">
        <f>VLOOKUP(A134,'2016-17'!$A$12:$AMX342,32,FALSE)</f>
        <v>301771.49833675649</v>
      </c>
      <c r="E134" s="56">
        <v>1616.6727464112166</v>
      </c>
      <c r="F134" s="16">
        <f>VLOOKUP(A134,'2016-17'!$A$12:$AMX342,34,FALSE)</f>
        <v>4.5066315885075703E-2</v>
      </c>
      <c r="G134" s="16">
        <f>VLOOKUP(A134,'2016-17'!$A$12:$AMX342,35,FALSE)</f>
        <v>3.7451623515874832E-2</v>
      </c>
      <c r="H134" s="56"/>
      <c r="I134" s="56">
        <v>308300.92897306912</v>
      </c>
      <c r="J134" s="56">
        <v>1651.6526985189846</v>
      </c>
      <c r="K134" s="16">
        <f t="shared" si="23"/>
        <v>-2.1178757579686014E-2</v>
      </c>
      <c r="L134" s="58">
        <f t="shared" si="23"/>
        <v>-2.1178757579686125E-2</v>
      </c>
      <c r="M134" s="10"/>
      <c r="N134" s="56">
        <v>235857</v>
      </c>
      <c r="O134" s="56">
        <v>23458</v>
      </c>
      <c r="P134" s="56">
        <v>40079</v>
      </c>
      <c r="R134" s="56">
        <f t="shared" si="24"/>
        <v>40079</v>
      </c>
      <c r="S134" s="56">
        <f t="shared" si="25"/>
        <v>2377.4983367564855</v>
      </c>
      <c r="U134" s="16">
        <v>-1.6946116972163638E-2</v>
      </c>
      <c r="V134" s="16">
        <v>-1.3381416931000811E-2</v>
      </c>
      <c r="W134" s="56">
        <f t="shared" si="26"/>
        <v>4</v>
      </c>
      <c r="X134" s="56">
        <f t="shared" si="27"/>
        <v>2399.2275914068223</v>
      </c>
      <c r="Y134" s="56">
        <f t="shared" si="27"/>
        <v>237.76158692481738</v>
      </c>
      <c r="AA134" s="56">
        <f t="shared" si="28"/>
        <v>0</v>
      </c>
      <c r="AB134" s="56">
        <v>0</v>
      </c>
      <c r="AC134" s="56">
        <f t="shared" si="29"/>
        <v>2377.4983367564855</v>
      </c>
      <c r="AE134" s="56">
        <v>0</v>
      </c>
      <c r="AF134" s="56">
        <f t="shared" si="30"/>
        <v>0</v>
      </c>
      <c r="AG134" s="56">
        <f t="shared" si="31"/>
        <v>2377.4983367564855</v>
      </c>
      <c r="AI134" s="56">
        <f t="shared" si="32"/>
        <v>2163.1334913853816</v>
      </c>
      <c r="AJ134" s="56">
        <f t="shared" si="33"/>
        <v>214.36484537110374</v>
      </c>
      <c r="AK134" s="56">
        <f t="shared" si="34"/>
        <v>0</v>
      </c>
      <c r="AM134" s="56">
        <f t="shared" si="35"/>
        <v>238020</v>
      </c>
      <c r="AN134" s="56">
        <f t="shared" si="36"/>
        <v>23672</v>
      </c>
      <c r="AO134" s="56">
        <f t="shared" si="37"/>
        <v>40079</v>
      </c>
      <c r="AP134" s="56"/>
      <c r="AQ134" s="56">
        <f t="shared" si="38"/>
        <v>301771</v>
      </c>
      <c r="AS134" s="56">
        <v>1275.1384713986031</v>
      </c>
      <c r="AT134" s="56">
        <v>126.8174014576411</v>
      </c>
      <c r="AU134" s="56">
        <v>214.71420382818511</v>
      </c>
      <c r="AV134" s="56"/>
      <c r="AW134" s="56">
        <v>1616.6700766844294</v>
      </c>
      <c r="AY134" s="16">
        <v>-7.9307154831714799E-3</v>
      </c>
      <c r="AZ134" s="16">
        <v>-4.3808040579185192E-3</v>
      </c>
      <c r="BA134" s="16">
        <v>-0.10140823304396718</v>
      </c>
      <c r="BB134" s="16">
        <f t="shared" si="39"/>
        <v>-2.1180373976879996E-2</v>
      </c>
      <c r="BC134" s="16"/>
      <c r="BE134" s="16">
        <v>3.9939641731923992E-2</v>
      </c>
      <c r="BF134" s="16">
        <v>4.5121412803531991E-2</v>
      </c>
      <c r="BG134" s="16">
        <v>7.6537008657484806E-2</v>
      </c>
      <c r="BH134" s="16">
        <f>AQ134/(VLOOKUP($A134,'2016-17'!$A$12:$D$220,4,FALSE))-1</f>
        <v>4.5064590092676271E-2</v>
      </c>
      <c r="BJ134" s="16">
        <v>3.2362303974540652E-2</v>
      </c>
      <c r="BK134" s="16">
        <v>3.7506318980300657E-2</v>
      </c>
      <c r="BL134" s="16">
        <v>6.8693010606467375E-2</v>
      </c>
      <c r="BM134" s="16">
        <v>3.7449910298159139E-2</v>
      </c>
    </row>
    <row r="135" spans="1:65" x14ac:dyDescent="0.2">
      <c r="A135" s="156" t="s">
        <v>315</v>
      </c>
      <c r="B135" s="156" t="s">
        <v>316</v>
      </c>
      <c r="D135" s="56">
        <f>VLOOKUP(A135,'2016-17'!$A$12:$AMX343,32,FALSE)</f>
        <v>256884.21383193589</v>
      </c>
      <c r="E135" s="56">
        <v>1490.7044282932807</v>
      </c>
      <c r="F135" s="16">
        <f>VLOOKUP(A135,'2016-17'!$A$12:$AMX343,34,FALSE)</f>
        <v>4.7935043719014248E-2</v>
      </c>
      <c r="G135" s="16">
        <f>VLOOKUP(A135,'2016-17'!$A$12:$AMX343,35,FALSE)</f>
        <v>3.7140672756892368E-2</v>
      </c>
      <c r="H135" s="56"/>
      <c r="I135" s="56">
        <v>262473.58677039034</v>
      </c>
      <c r="J135" s="56">
        <v>1523.1396755451335</v>
      </c>
      <c r="K135" s="16">
        <f t="shared" si="23"/>
        <v>-2.1294992030356119E-2</v>
      </c>
      <c r="L135" s="58">
        <f t="shared" si="23"/>
        <v>-2.1294992030356119E-2</v>
      </c>
      <c r="M135" s="10"/>
      <c r="N135" s="56">
        <v>198056</v>
      </c>
      <c r="O135" s="56">
        <v>20130</v>
      </c>
      <c r="P135" s="56">
        <v>36174</v>
      </c>
      <c r="R135" s="56">
        <f t="shared" si="24"/>
        <v>36174</v>
      </c>
      <c r="S135" s="56">
        <f t="shared" si="25"/>
        <v>2524.2138319358928</v>
      </c>
      <c r="U135" s="16">
        <v>-1.6487810820268622E-2</v>
      </c>
      <c r="V135" s="16">
        <v>-3.2172540743418576E-2</v>
      </c>
      <c r="W135" s="56">
        <f t="shared" si="26"/>
        <v>4</v>
      </c>
      <c r="X135" s="56">
        <f t="shared" si="27"/>
        <v>2013.7625357259947</v>
      </c>
      <c r="Y135" s="56">
        <f t="shared" si="27"/>
        <v>207.99161883113425</v>
      </c>
      <c r="AA135" s="56">
        <f t="shared" si="28"/>
        <v>0</v>
      </c>
      <c r="AB135" s="56">
        <v>0</v>
      </c>
      <c r="AC135" s="56">
        <f t="shared" si="29"/>
        <v>2524.2138319358928</v>
      </c>
      <c r="AE135" s="56">
        <v>0</v>
      </c>
      <c r="AF135" s="56">
        <f t="shared" si="30"/>
        <v>0</v>
      </c>
      <c r="AG135" s="56">
        <f t="shared" si="31"/>
        <v>2524.2138319358928</v>
      </c>
      <c r="AI135" s="56">
        <f t="shared" si="32"/>
        <v>2287.9071640251309</v>
      </c>
      <c r="AJ135" s="56">
        <f t="shared" si="33"/>
        <v>236.30666791076186</v>
      </c>
      <c r="AK135" s="56">
        <f t="shared" si="34"/>
        <v>0</v>
      </c>
      <c r="AM135" s="56">
        <f t="shared" si="35"/>
        <v>200344</v>
      </c>
      <c r="AN135" s="56">
        <f t="shared" si="36"/>
        <v>20366</v>
      </c>
      <c r="AO135" s="56">
        <f t="shared" si="37"/>
        <v>36174</v>
      </c>
      <c r="AP135" s="56"/>
      <c r="AQ135" s="56">
        <f t="shared" si="38"/>
        <v>256884</v>
      </c>
      <c r="AS135" s="56">
        <v>1162.6003930992056</v>
      </c>
      <c r="AT135" s="56">
        <v>118.18432099717695</v>
      </c>
      <c r="AU135" s="56">
        <v>209.91847332573303</v>
      </c>
      <c r="AV135" s="56"/>
      <c r="AW135" s="56">
        <v>1490.7031874221154</v>
      </c>
      <c r="AY135" s="16">
        <v>-5.125994521629762E-3</v>
      </c>
      <c r="AZ135" s="16">
        <v>-2.0825929695999168E-2</v>
      </c>
      <c r="BA135" s="16">
        <v>-0.10234140111403345</v>
      </c>
      <c r="BB135" s="16">
        <f t="shared" si="39"/>
        <v>-2.1295806710181719E-2</v>
      </c>
      <c r="BC135" s="16"/>
      <c r="BE135" s="16">
        <v>4.2391857880236694E-2</v>
      </c>
      <c r="BF135" s="16">
        <v>4.7795441683387452E-2</v>
      </c>
      <c r="BG135" s="16">
        <v>7.9811795225399385E-2</v>
      </c>
      <c r="BH135" s="16">
        <f>AQ135/(VLOOKUP($A135,'2016-17'!$A$12:$D$220,4,FALSE))-1</f>
        <v>4.7934171411698312E-2</v>
      </c>
      <c r="BJ135" s="16">
        <v>3.1654585117678158E-2</v>
      </c>
      <c r="BK135" s="16">
        <v>3.7002508707492554E-2</v>
      </c>
      <c r="BL135" s="16">
        <v>6.8689074254477234E-2</v>
      </c>
      <c r="BM135" s="16">
        <v>3.7139809434874493E-2</v>
      </c>
    </row>
    <row r="136" spans="1:65" x14ac:dyDescent="0.2">
      <c r="A136" s="156" t="s">
        <v>317</v>
      </c>
      <c r="B136" s="156" t="s">
        <v>318</v>
      </c>
      <c r="D136" s="56">
        <f>VLOOKUP(A136,'2016-17'!$A$12:$AMX344,32,FALSE)</f>
        <v>475448.87765781034</v>
      </c>
      <c r="E136" s="56">
        <v>1552.4332091637382</v>
      </c>
      <c r="F136" s="16">
        <f>VLOOKUP(A136,'2016-17'!$A$12:$AMX344,34,FALSE)</f>
        <v>6.5872327645279505E-2</v>
      </c>
      <c r="G136" s="16">
        <f>VLOOKUP(A136,'2016-17'!$A$12:$AMX344,35,FALSE)</f>
        <v>5.4772180979787422E-2</v>
      </c>
      <c r="H136" s="56"/>
      <c r="I136" s="56">
        <v>491916.77170078445</v>
      </c>
      <c r="J136" s="56">
        <v>1606.2040913735025</v>
      </c>
      <c r="K136" s="16">
        <f t="shared" si="23"/>
        <v>-3.3476992431132113E-2</v>
      </c>
      <c r="L136" s="58">
        <f t="shared" si="23"/>
        <v>-3.3476992431132224E-2</v>
      </c>
      <c r="M136" s="10"/>
      <c r="N136" s="56">
        <v>360195</v>
      </c>
      <c r="O136" s="56">
        <v>37080</v>
      </c>
      <c r="P136" s="56">
        <v>65579</v>
      </c>
      <c r="R136" s="56">
        <f t="shared" si="24"/>
        <v>65579</v>
      </c>
      <c r="S136" s="56">
        <f t="shared" si="25"/>
        <v>12594.877657810342</v>
      </c>
      <c r="U136" s="16">
        <v>-4.1180909085073103E-2</v>
      </c>
      <c r="V136" s="16">
        <v>-1.795146473430298E-2</v>
      </c>
      <c r="W136" s="56">
        <f t="shared" si="26"/>
        <v>4</v>
      </c>
      <c r="X136" s="56">
        <f t="shared" si="27"/>
        <v>3756.6523592713802</v>
      </c>
      <c r="Y136" s="56">
        <f t="shared" si="27"/>
        <v>377.57807958002667</v>
      </c>
      <c r="AA136" s="56">
        <f t="shared" si="28"/>
        <v>0</v>
      </c>
      <c r="AB136" s="56">
        <v>0</v>
      </c>
      <c r="AC136" s="56">
        <f t="shared" si="29"/>
        <v>12594.877657810342</v>
      </c>
      <c r="AE136" s="56">
        <v>0</v>
      </c>
      <c r="AF136" s="56">
        <f t="shared" si="30"/>
        <v>0</v>
      </c>
      <c r="AG136" s="56">
        <f t="shared" si="31"/>
        <v>12594.877657810342</v>
      </c>
      <c r="AI136" s="56">
        <f t="shared" si="32"/>
        <v>11444.591095675063</v>
      </c>
      <c r="AJ136" s="56">
        <f t="shared" si="33"/>
        <v>1150.2865621352796</v>
      </c>
      <c r="AK136" s="56">
        <f t="shared" si="34"/>
        <v>0</v>
      </c>
      <c r="AM136" s="56">
        <f t="shared" si="35"/>
        <v>371640</v>
      </c>
      <c r="AN136" s="56">
        <f t="shared" si="36"/>
        <v>38230</v>
      </c>
      <c r="AO136" s="56">
        <f t="shared" si="37"/>
        <v>65579</v>
      </c>
      <c r="AP136" s="56"/>
      <c r="AQ136" s="56">
        <f t="shared" si="38"/>
        <v>475449</v>
      </c>
      <c r="AS136" s="56">
        <v>1213.4770002945531</v>
      </c>
      <c r="AT136" s="56">
        <v>124.82839770008816</v>
      </c>
      <c r="AU136" s="56">
        <v>214.12821064018001</v>
      </c>
      <c r="AV136" s="56"/>
      <c r="AW136" s="56">
        <v>1552.4336086348212</v>
      </c>
      <c r="AY136" s="16">
        <v>-1.0714954545111843E-2</v>
      </c>
      <c r="AZ136" s="16">
        <v>1.25058118448651E-2</v>
      </c>
      <c r="BA136" s="16">
        <v>-0.1645319718535504</v>
      </c>
      <c r="BB136" s="16">
        <f t="shared" si="39"/>
        <v>-3.3476743726073233E-2</v>
      </c>
      <c r="BC136" s="16"/>
      <c r="BE136" s="16">
        <v>6.3231393529427971E-2</v>
      </c>
      <c r="BF136" s="16">
        <v>6.778761556294155E-2</v>
      </c>
      <c r="BG136" s="16">
        <v>7.9946706079189189E-2</v>
      </c>
      <c r="BH136" s="16">
        <f>AQ136/(VLOOKUP($A136,'2016-17'!$A$12:$D$220,4,FALSE))-1</f>
        <v>6.5872601914839457E-2</v>
      </c>
      <c r="BJ136" s="16">
        <v>5.2158749929039905E-2</v>
      </c>
      <c r="BK136" s="16">
        <v>5.6667522815502025E-2</v>
      </c>
      <c r="BL136" s="16">
        <v>6.8699986826352255E-2</v>
      </c>
      <c r="BM136" s="16">
        <v>5.477245239306483E-2</v>
      </c>
    </row>
    <row r="137" spans="1:65" x14ac:dyDescent="0.2">
      <c r="A137" s="156" t="s">
        <v>319</v>
      </c>
      <c r="B137" s="156" t="s">
        <v>320</v>
      </c>
      <c r="D137" s="56">
        <f>VLOOKUP(A137,'2016-17'!$A$12:$AMX345,32,FALSE)</f>
        <v>295925.04002506775</v>
      </c>
      <c r="E137" s="56">
        <v>1711.2080181354838</v>
      </c>
      <c r="F137" s="16">
        <f>VLOOKUP(A137,'2016-17'!$A$12:$AMX345,34,FALSE)</f>
        <v>4.7811804573680394E-2</v>
      </c>
      <c r="G137" s="16">
        <f>VLOOKUP(A137,'2016-17'!$A$12:$AMX345,35,FALSE)</f>
        <v>4.1223127515640945E-2</v>
      </c>
      <c r="H137" s="56"/>
      <c r="I137" s="56">
        <v>303108.68000220065</v>
      </c>
      <c r="J137" s="56">
        <v>1752.7479375935573</v>
      </c>
      <c r="K137" s="16">
        <f t="shared" si="23"/>
        <v>-2.3699882092062641E-2</v>
      </c>
      <c r="L137" s="58">
        <f t="shared" si="23"/>
        <v>-2.3699882092062752E-2</v>
      </c>
      <c r="M137" s="10"/>
      <c r="N137" s="56">
        <v>230867</v>
      </c>
      <c r="O137" s="56">
        <v>27811</v>
      </c>
      <c r="P137" s="56">
        <v>33725</v>
      </c>
      <c r="R137" s="56">
        <f t="shared" si="24"/>
        <v>33725</v>
      </c>
      <c r="S137" s="56">
        <f t="shared" si="25"/>
        <v>3522.0400250677485</v>
      </c>
      <c r="U137" s="16">
        <v>-2.2430510053239927E-2</v>
      </c>
      <c r="V137" s="16">
        <v>0.22094576926492926</v>
      </c>
      <c r="W137" s="56">
        <f t="shared" si="26"/>
        <v>1</v>
      </c>
      <c r="X137" s="56">
        <f t="shared" si="27"/>
        <v>2361.6428537737338</v>
      </c>
      <c r="Y137" s="56">
        <f t="shared" si="27"/>
        <v>227.78243473290073</v>
      </c>
      <c r="AA137" s="56">
        <f t="shared" si="28"/>
        <v>3522.0400250677485</v>
      </c>
      <c r="AB137" s="56">
        <v>0</v>
      </c>
      <c r="AC137" s="56">
        <f t="shared" si="29"/>
        <v>0</v>
      </c>
      <c r="AE137" s="56">
        <v>0</v>
      </c>
      <c r="AF137" s="56">
        <f t="shared" si="30"/>
        <v>0</v>
      </c>
      <c r="AG137" s="56">
        <f t="shared" si="31"/>
        <v>0</v>
      </c>
      <c r="AI137" s="56">
        <f t="shared" si="32"/>
        <v>0</v>
      </c>
      <c r="AJ137" s="56">
        <f t="shared" si="33"/>
        <v>0</v>
      </c>
      <c r="AK137" s="56">
        <f t="shared" si="34"/>
        <v>0</v>
      </c>
      <c r="AM137" s="56">
        <f t="shared" si="35"/>
        <v>234389</v>
      </c>
      <c r="AN137" s="56">
        <f t="shared" si="36"/>
        <v>27811</v>
      </c>
      <c r="AO137" s="56">
        <f t="shared" si="37"/>
        <v>33725</v>
      </c>
      <c r="AP137" s="56"/>
      <c r="AQ137" s="56">
        <f t="shared" si="38"/>
        <v>295925</v>
      </c>
      <c r="AS137" s="56">
        <v>1355.3714012466867</v>
      </c>
      <c r="AT137" s="56">
        <v>160.81912564186717</v>
      </c>
      <c r="AU137" s="56">
        <v>195.01725979907124</v>
      </c>
      <c r="AV137" s="56"/>
      <c r="AW137" s="56">
        <v>1711.2077866876252</v>
      </c>
      <c r="AY137" s="16">
        <v>-7.5171627857980594E-3</v>
      </c>
      <c r="AZ137" s="16">
        <v>0.22094576926492926</v>
      </c>
      <c r="BA137" s="16">
        <v>-0.23640618164152172</v>
      </c>
      <c r="BB137" s="16">
        <f t="shared" si="39"/>
        <v>-2.3700014140632608E-2</v>
      </c>
      <c r="BC137" s="16"/>
      <c r="BE137" s="16">
        <v>4.62061851014679E-2</v>
      </c>
      <c r="BF137" s="16">
        <v>2.9046103751942498E-2</v>
      </c>
      <c r="BG137" s="16">
        <v>7.5454415449693002E-2</v>
      </c>
      <c r="BH137" s="16">
        <f>AQ137/(VLOOKUP($A137,'2016-17'!$A$12:$D$220,4,FALSE))-1</f>
        <v>4.7811662852863313E-2</v>
      </c>
      <c r="BJ137" s="16">
        <v>3.962760423449474E-2</v>
      </c>
      <c r="BK137" s="16">
        <v>2.2575426073126126E-2</v>
      </c>
      <c r="BL137" s="16">
        <v>6.8691920693372044E-2</v>
      </c>
      <c r="BM137" s="16">
        <v>4.1222986685969465E-2</v>
      </c>
    </row>
    <row r="138" spans="1:65" x14ac:dyDescent="0.2">
      <c r="A138" s="156" t="s">
        <v>321</v>
      </c>
      <c r="B138" s="156" t="s">
        <v>322</v>
      </c>
      <c r="D138" s="56">
        <f>VLOOKUP(A138,'2016-17'!$A$12:$AMX346,32,FALSE)</f>
        <v>388510.92185620603</v>
      </c>
      <c r="E138" s="56">
        <v>1571.6438993708903</v>
      </c>
      <c r="F138" s="16">
        <f>VLOOKUP(A138,'2016-17'!$A$12:$AMX346,34,FALSE)</f>
        <v>5.2041111244436333E-2</v>
      </c>
      <c r="G138" s="16">
        <f>VLOOKUP(A138,'2016-17'!$A$12:$AMX346,35,FALSE)</f>
        <v>4.4259976345954133E-2</v>
      </c>
      <c r="H138" s="56"/>
      <c r="I138" s="56">
        <v>399243.59587616567</v>
      </c>
      <c r="J138" s="56">
        <v>1615.0608040149486</v>
      </c>
      <c r="K138" s="16">
        <f t="shared" si="23"/>
        <v>-2.6882520172693325E-2</v>
      </c>
      <c r="L138" s="58">
        <f t="shared" si="23"/>
        <v>-2.6882520172693436E-2</v>
      </c>
      <c r="M138" s="10"/>
      <c r="N138" s="56">
        <v>287561</v>
      </c>
      <c r="O138" s="56">
        <v>33511</v>
      </c>
      <c r="P138" s="56">
        <v>62141</v>
      </c>
      <c r="R138" s="56">
        <f t="shared" si="24"/>
        <v>62141</v>
      </c>
      <c r="S138" s="56">
        <f t="shared" si="25"/>
        <v>5297.9218562060269</v>
      </c>
      <c r="U138" s="16">
        <v>-3.2685838289368663E-2</v>
      </c>
      <c r="V138" s="16">
        <v>8.2259674722310772E-2</v>
      </c>
      <c r="W138" s="56">
        <f t="shared" si="26"/>
        <v>1</v>
      </c>
      <c r="X138" s="56">
        <f t="shared" si="27"/>
        <v>2972.7777322257675</v>
      </c>
      <c r="Y138" s="56">
        <f t="shared" si="27"/>
        <v>309.63918163723827</v>
      </c>
      <c r="AA138" s="56">
        <f t="shared" si="28"/>
        <v>5297.9218562060269</v>
      </c>
      <c r="AB138" s="56">
        <v>0</v>
      </c>
      <c r="AC138" s="56">
        <f t="shared" si="29"/>
        <v>0</v>
      </c>
      <c r="AE138" s="56">
        <v>0</v>
      </c>
      <c r="AF138" s="56">
        <f t="shared" si="30"/>
        <v>0</v>
      </c>
      <c r="AG138" s="56">
        <f t="shared" si="31"/>
        <v>0</v>
      </c>
      <c r="AI138" s="56">
        <f t="shared" si="32"/>
        <v>0</v>
      </c>
      <c r="AJ138" s="56">
        <f t="shared" si="33"/>
        <v>0</v>
      </c>
      <c r="AK138" s="56">
        <f t="shared" si="34"/>
        <v>0</v>
      </c>
      <c r="AM138" s="56">
        <f t="shared" si="35"/>
        <v>292859</v>
      </c>
      <c r="AN138" s="56">
        <f t="shared" si="36"/>
        <v>33511</v>
      </c>
      <c r="AO138" s="56">
        <f t="shared" si="37"/>
        <v>62141</v>
      </c>
      <c r="AP138" s="56"/>
      <c r="AQ138" s="56">
        <f t="shared" si="38"/>
        <v>388511</v>
      </c>
      <c r="AS138" s="56">
        <v>1184.7030156238766</v>
      </c>
      <c r="AT138" s="56">
        <v>135.56210584811029</v>
      </c>
      <c r="AU138" s="56">
        <v>251.37909401412733</v>
      </c>
      <c r="AV138" s="56"/>
      <c r="AW138" s="56">
        <v>1571.6442154861143</v>
      </c>
      <c r="AY138" s="16">
        <v>-1.4864122449102068E-2</v>
      </c>
      <c r="AZ138" s="16">
        <v>8.2259674722310772E-2</v>
      </c>
      <c r="BA138" s="16">
        <v>-0.12479812412820412</v>
      </c>
      <c r="BB138" s="16">
        <f t="shared" si="39"/>
        <v>-2.6882324443081695E-2</v>
      </c>
      <c r="BC138" s="16"/>
      <c r="BE138" s="16">
        <v>4.9472729473322374E-2</v>
      </c>
      <c r="BF138" s="16">
        <v>3.0378501368262478E-2</v>
      </c>
      <c r="BG138" s="16">
        <v>7.6667305668991936E-2</v>
      </c>
      <c r="BH138" s="16">
        <f>AQ138/(VLOOKUP($A138,'2016-17'!$A$12:$D$220,4,FALSE))-1</f>
        <v>5.2041322848484395E-2</v>
      </c>
      <c r="BJ138" s="16">
        <v>4.1710590909506351E-2</v>
      </c>
      <c r="BK138" s="16">
        <v>2.2757588050380306E-2</v>
      </c>
      <c r="BL138" s="16">
        <v>6.8704029845781944E-2</v>
      </c>
      <c r="BM138" s="16">
        <v>4.4260186384930789E-2</v>
      </c>
    </row>
    <row r="139" spans="1:65" x14ac:dyDescent="0.2">
      <c r="A139" s="156" t="s">
        <v>323</v>
      </c>
      <c r="B139" s="156" t="s">
        <v>324</v>
      </c>
      <c r="D139" s="56">
        <f>VLOOKUP(A139,'2016-17'!$A$12:$AMX347,32,FALSE)</f>
        <v>342290</v>
      </c>
      <c r="E139" s="56">
        <v>1568.4699951330435</v>
      </c>
      <c r="F139" s="16">
        <f>VLOOKUP(A139,'2016-17'!$A$12:$AMX347,34,FALSE)</f>
        <v>3.9407582912242667E-2</v>
      </c>
      <c r="G139" s="16">
        <f>VLOOKUP(A139,'2016-17'!$A$12:$AMX347,35,FALSE)</f>
        <v>1.9075974898607795E-2</v>
      </c>
      <c r="H139" s="56"/>
      <c r="I139" s="56">
        <v>344771.4224388735</v>
      </c>
      <c r="J139" s="56">
        <v>1579.8405775065366</v>
      </c>
      <c r="K139" s="16">
        <f t="shared" si="23"/>
        <v>-7.1972973320125755E-3</v>
      </c>
      <c r="L139" s="58">
        <f t="shared" si="23"/>
        <v>-7.1972973320126865E-3</v>
      </c>
      <c r="M139" s="10"/>
      <c r="N139" s="56">
        <v>262332</v>
      </c>
      <c r="O139" s="56">
        <v>28805</v>
      </c>
      <c r="P139" s="56">
        <v>51153</v>
      </c>
      <c r="R139" s="56">
        <f t="shared" si="24"/>
        <v>51153</v>
      </c>
      <c r="S139" s="56">
        <f t="shared" si="25"/>
        <v>0</v>
      </c>
      <c r="U139" s="16">
        <v>1.7694964101276245E-2</v>
      </c>
      <c r="V139" s="16">
        <v>-9.90453832345084E-3</v>
      </c>
      <c r="W139" s="56">
        <f t="shared" si="26"/>
        <v>3</v>
      </c>
      <c r="X139" s="56">
        <f t="shared" si="27"/>
        <v>2577.7075573098145</v>
      </c>
      <c r="Y139" s="56">
        <f t="shared" si="27"/>
        <v>290.93154261331421</v>
      </c>
      <c r="AA139" s="56">
        <f t="shared" si="28"/>
        <v>0</v>
      </c>
      <c r="AB139" s="56">
        <v>0</v>
      </c>
      <c r="AC139" s="56">
        <f t="shared" si="29"/>
        <v>0</v>
      </c>
      <c r="AE139" s="56">
        <v>0</v>
      </c>
      <c r="AF139" s="56">
        <f t="shared" si="30"/>
        <v>0</v>
      </c>
      <c r="AG139" s="56">
        <f t="shared" si="31"/>
        <v>0</v>
      </c>
      <c r="AI139" s="56">
        <f t="shared" si="32"/>
        <v>0</v>
      </c>
      <c r="AJ139" s="56">
        <f t="shared" si="33"/>
        <v>0</v>
      </c>
      <c r="AK139" s="56">
        <f t="shared" si="34"/>
        <v>0</v>
      </c>
      <c r="AM139" s="56">
        <f t="shared" si="35"/>
        <v>262332</v>
      </c>
      <c r="AN139" s="56">
        <f t="shared" si="36"/>
        <v>28805</v>
      </c>
      <c r="AO139" s="56">
        <f t="shared" si="37"/>
        <v>51153</v>
      </c>
      <c r="AP139" s="56"/>
      <c r="AQ139" s="56">
        <f t="shared" si="38"/>
        <v>342290</v>
      </c>
      <c r="AS139" s="56">
        <v>1202.0797299460737</v>
      </c>
      <c r="AT139" s="56">
        <v>131.99269102166969</v>
      </c>
      <c r="AU139" s="56">
        <v>234.39757416530011</v>
      </c>
      <c r="AV139" s="56"/>
      <c r="AW139" s="56">
        <v>1568.4699951330435</v>
      </c>
      <c r="AY139" s="16">
        <v>1.7694964101276245E-2</v>
      </c>
      <c r="AZ139" s="16">
        <v>-9.90453832345084E-3</v>
      </c>
      <c r="BA139" s="16">
        <v>-0.11664311176885667</v>
      </c>
      <c r="BB139" s="16">
        <f t="shared" si="39"/>
        <v>-7.1972973320125755E-3</v>
      </c>
      <c r="BC139" s="16"/>
      <c r="BE139" s="16">
        <v>3.0487129782113875E-2</v>
      </c>
      <c r="BF139" s="16">
        <v>3.5652624743918171E-2</v>
      </c>
      <c r="BG139" s="16">
        <v>9.0023595548307522E-2</v>
      </c>
      <c r="BH139" s="16">
        <f>AQ139/(VLOOKUP($A139,'2016-17'!$A$12:$D$220,4,FALSE))-1</f>
        <v>3.9407582912242667E-2</v>
      </c>
      <c r="BJ139" s="16">
        <v>1.0330012660528798E-2</v>
      </c>
      <c r="BK139" s="16">
        <v>1.5394466586567734E-2</v>
      </c>
      <c r="BL139" s="16">
        <v>6.8701899579718395E-2</v>
      </c>
      <c r="BM139" s="16">
        <v>1.9075974898607795E-2</v>
      </c>
    </row>
    <row r="140" spans="1:65" x14ac:dyDescent="0.2">
      <c r="A140" s="156" t="s">
        <v>325</v>
      </c>
      <c r="B140" s="156" t="s">
        <v>326</v>
      </c>
      <c r="D140" s="56">
        <f>VLOOKUP(A140,'2016-17'!$A$12:$AMX348,32,FALSE)</f>
        <v>622032.22272105806</v>
      </c>
      <c r="E140" s="56">
        <v>1526.1163998451932</v>
      </c>
      <c r="F140" s="16">
        <f>VLOOKUP(A140,'2016-17'!$A$12:$AMX348,34,FALSE)</f>
        <v>4.8190592319420578E-2</v>
      </c>
      <c r="G140" s="16">
        <f>VLOOKUP(A140,'2016-17'!$A$12:$AMX348,35,FALSE)</f>
        <v>3.1280331204425416E-2</v>
      </c>
      <c r="H140" s="56"/>
      <c r="I140" s="56">
        <v>634103.63199533254</v>
      </c>
      <c r="J140" s="56">
        <v>1555.7328328687524</v>
      </c>
      <c r="K140" s="16">
        <f t="shared" si="23"/>
        <v>-1.9036965986599652E-2</v>
      </c>
      <c r="L140" s="58">
        <f t="shared" si="23"/>
        <v>-1.9036965986599985E-2</v>
      </c>
      <c r="M140" s="10"/>
      <c r="N140" s="56">
        <v>453811</v>
      </c>
      <c r="O140" s="56">
        <v>46227</v>
      </c>
      <c r="P140" s="56">
        <v>117763</v>
      </c>
      <c r="R140" s="56">
        <f t="shared" si="24"/>
        <v>117763</v>
      </c>
      <c r="S140" s="56">
        <f t="shared" si="25"/>
        <v>4231.2227210580604</v>
      </c>
      <c r="U140" s="16">
        <v>-1.4566084788789735E-2</v>
      </c>
      <c r="V140" s="16">
        <v>-7.0868110624377256E-2</v>
      </c>
      <c r="W140" s="56">
        <f t="shared" si="26"/>
        <v>4</v>
      </c>
      <c r="X140" s="56">
        <f t="shared" si="27"/>
        <v>4605.1895819186784</v>
      </c>
      <c r="Y140" s="56">
        <f t="shared" si="27"/>
        <v>497.52893565050891</v>
      </c>
      <c r="AA140" s="56">
        <f t="shared" si="28"/>
        <v>0</v>
      </c>
      <c r="AB140" s="56">
        <v>0</v>
      </c>
      <c r="AC140" s="56">
        <f t="shared" si="29"/>
        <v>4231.2227210580604</v>
      </c>
      <c r="AE140" s="56">
        <v>0</v>
      </c>
      <c r="AF140" s="56">
        <f t="shared" si="30"/>
        <v>0</v>
      </c>
      <c r="AG140" s="56">
        <f t="shared" si="31"/>
        <v>4231.2227210580604</v>
      </c>
      <c r="AI140" s="56">
        <f t="shared" si="32"/>
        <v>3818.6669961714142</v>
      </c>
      <c r="AJ140" s="56">
        <f t="shared" si="33"/>
        <v>412.55572488664581</v>
      </c>
      <c r="AK140" s="56">
        <f t="shared" si="34"/>
        <v>0</v>
      </c>
      <c r="AM140" s="56">
        <f t="shared" si="35"/>
        <v>457630</v>
      </c>
      <c r="AN140" s="56">
        <f t="shared" si="36"/>
        <v>46640</v>
      </c>
      <c r="AO140" s="56">
        <f t="shared" si="37"/>
        <v>117763</v>
      </c>
      <c r="AP140" s="56"/>
      <c r="AQ140" s="56">
        <f t="shared" si="38"/>
        <v>622033</v>
      </c>
      <c r="AS140" s="56">
        <v>1122.7660281103192</v>
      </c>
      <c r="AT140" s="56">
        <v>114.42826639657648</v>
      </c>
      <c r="AU140" s="56">
        <v>288.92401234262513</v>
      </c>
      <c r="AV140" s="56"/>
      <c r="AW140" s="56">
        <v>1526.1183068495209</v>
      </c>
      <c r="AY140" s="16">
        <v>-6.273266584313375E-3</v>
      </c>
      <c r="AZ140" s="16">
        <v>-6.2567085891815477E-2</v>
      </c>
      <c r="BA140" s="16">
        <v>-4.9008261261604735E-2</v>
      </c>
      <c r="BB140" s="16">
        <f t="shared" si="39"/>
        <v>-1.9035740194942474E-2</v>
      </c>
      <c r="BC140" s="16"/>
      <c r="BE140" s="16">
        <v>3.9160512897820521E-2</v>
      </c>
      <c r="BF140" s="16">
        <v>4.4918565429885815E-2</v>
      </c>
      <c r="BG140" s="16">
        <v>8.6225309877275835E-2</v>
      </c>
      <c r="BH140" s="16">
        <f>AQ140/(VLOOKUP($A140,'2016-17'!$A$12:$D$220,4,FALSE))-1</f>
        <v>4.8191902117281193E-2</v>
      </c>
      <c r="BJ140" s="16">
        <v>2.2395932350870451E-2</v>
      </c>
      <c r="BK140" s="16">
        <v>2.8061091307526098E-2</v>
      </c>
      <c r="BL140" s="16">
        <v>6.8701441838071586E-2</v>
      </c>
      <c r="BM140" s="16">
        <v>3.1281619871564192E-2</v>
      </c>
    </row>
    <row r="141" spans="1:65" x14ac:dyDescent="0.2">
      <c r="A141" s="156" t="s">
        <v>327</v>
      </c>
      <c r="B141" s="156" t="s">
        <v>328</v>
      </c>
      <c r="D141" s="56">
        <f>VLOOKUP(A141,'2016-17'!$A$12:$AMX349,32,FALSE)</f>
        <v>387634.97465885576</v>
      </c>
      <c r="E141" s="56">
        <v>1638.0038851680079</v>
      </c>
      <c r="F141" s="16">
        <f>VLOOKUP(A141,'2016-17'!$A$12:$AMX349,34,FALSE)</f>
        <v>5.7518584636058856E-2</v>
      </c>
      <c r="G141" s="16">
        <f>VLOOKUP(A141,'2016-17'!$A$12:$AMX349,35,FALSE)</f>
        <v>4.7259249661572023E-2</v>
      </c>
      <c r="H141" s="56"/>
      <c r="I141" s="56">
        <v>399068.35787015327</v>
      </c>
      <c r="J141" s="56">
        <v>1686.317188520477</v>
      </c>
      <c r="K141" s="16">
        <f t="shared" ref="K141:L163" si="40">D141/I141-1</f>
        <v>-2.8650187332110222E-2</v>
      </c>
      <c r="L141" s="58">
        <f t="shared" si="40"/>
        <v>-2.8650187332110222E-2</v>
      </c>
      <c r="M141" s="10"/>
      <c r="N141" s="56">
        <v>289333</v>
      </c>
      <c r="O141" s="56">
        <v>27437</v>
      </c>
      <c r="P141" s="56">
        <v>66569</v>
      </c>
      <c r="R141" s="56">
        <f t="shared" ref="R141:R204" si="41">ROUND(P141,0)</f>
        <v>66569</v>
      </c>
      <c r="S141" s="56">
        <f t="shared" ref="S141:S204" si="42">D141-SUM(N141:P141)</f>
        <v>4295.9746588557609</v>
      </c>
      <c r="U141" s="16">
        <v>-4.3849364671659785E-2</v>
      </c>
      <c r="V141" s="16">
        <v>-3.5358273107228833E-2</v>
      </c>
      <c r="W141" s="56">
        <f t="shared" ref="W141:W204" si="43">IF(AND(U141&lt;0,V141&gt;0),1,IF(AND(U141&gt;0,V141&gt;0),2,IF(AND(U141&gt;0,V141&lt;0),3,IF(AND(U141&lt;0,V141&lt;0),4,5))))</f>
        <v>4</v>
      </c>
      <c r="X141" s="56">
        <f t="shared" ref="X141:Y204" si="44">N141/(1+U141)/100</f>
        <v>3026.0190111220668</v>
      </c>
      <c r="Y141" s="56">
        <f t="shared" si="44"/>
        <v>284.42684195694011</v>
      </c>
      <c r="AA141" s="56">
        <f t="shared" ref="AA141:AA204" si="45">IF(W141=1,MIN(S141,-1*U141*N141),0)</f>
        <v>0</v>
      </c>
      <c r="AB141" s="56">
        <v>0</v>
      </c>
      <c r="AC141" s="56">
        <f t="shared" ref="AC141:AC204" si="46">S141-AA141-AB141</f>
        <v>4295.9746588557609</v>
      </c>
      <c r="AE141" s="56">
        <v>0</v>
      </c>
      <c r="AF141" s="56">
        <f t="shared" ref="AF141:AF204" si="47">IF(W141=3,MIN(S141,-1*V141*O141),0)</f>
        <v>0</v>
      </c>
      <c r="AG141" s="56">
        <f t="shared" ref="AG141:AG204" si="48">AC141-AE141-AF141</f>
        <v>4295.9746588557609</v>
      </c>
      <c r="AI141" s="56">
        <f t="shared" ref="AI141:AI204" si="49">AG141*X141/(X141+Y141)</f>
        <v>3926.8731663154372</v>
      </c>
      <c r="AJ141" s="56">
        <f t="shared" ref="AJ141:AJ204" si="50">AG141*Y141/(X141+Y141)</f>
        <v>369.10149254032387</v>
      </c>
      <c r="AK141" s="56">
        <f t="shared" ref="AK141:AK204" si="51">S141-SUM(AA141:AB141)-SUM(AE141:AF141)-SUM(AI141:AJ141)</f>
        <v>0</v>
      </c>
      <c r="AM141" s="56">
        <f t="shared" ref="AM141:AM204" si="52">ROUND(N141+AA141+AE141+AI141,0)</f>
        <v>293260</v>
      </c>
      <c r="AN141" s="56">
        <f t="shared" ref="AN141:AN204" si="53">ROUND(O141+AB141+AF141+AJ141,0)</f>
        <v>27806</v>
      </c>
      <c r="AO141" s="56">
        <f t="shared" ref="AO141:AO204" si="54">R141</f>
        <v>66569</v>
      </c>
      <c r="AP141" s="56"/>
      <c r="AQ141" s="56">
        <f t="shared" ref="AQ141:AQ204" si="55">SUM(AM141:AP141)</f>
        <v>387635</v>
      </c>
      <c r="AS141" s="56">
        <v>1239.2096966666109</v>
      </c>
      <c r="AT141" s="56">
        <v>117.49800458811902</v>
      </c>
      <c r="AU141" s="56">
        <v>281.29629099570218</v>
      </c>
      <c r="AV141" s="56"/>
      <c r="AW141" s="56">
        <v>1638.003992250432</v>
      </c>
      <c r="AY141" s="16">
        <v>-3.0871918113768437E-2</v>
      </c>
      <c r="AZ141" s="16">
        <v>-2.2384814010992682E-2</v>
      </c>
      <c r="BA141" s="16">
        <v>-2.1386237596881519E-2</v>
      </c>
      <c r="BB141" s="16">
        <f t="shared" ref="BB141:BB204" si="56">SUM(AM141:AO141)/I141-1</f>
        <v>-2.8650123831349683E-2</v>
      </c>
      <c r="BC141" s="16"/>
      <c r="BE141" s="16">
        <v>5.3478416822318131E-2</v>
      </c>
      <c r="BF141" s="16">
        <v>4.9571227562431597E-2</v>
      </c>
      <c r="BG141" s="16">
        <v>7.9164553278832317E-2</v>
      </c>
      <c r="BH141" s="16">
        <f>AQ141/(VLOOKUP($A141,'2016-17'!$A$12:$D$220,4,FALSE))-1</f>
        <v>5.7518653769993433E-2</v>
      </c>
      <c r="BJ141" s="16">
        <v>4.3258276842185639E-2</v>
      </c>
      <c r="BK141" s="16">
        <v>3.9388992508045284E-2</v>
      </c>
      <c r="BL141" s="16">
        <v>6.8695223656138227E-2</v>
      </c>
      <c r="BM141" s="16">
        <v>4.7259318124815763E-2</v>
      </c>
    </row>
    <row r="142" spans="1:65" x14ac:dyDescent="0.2">
      <c r="A142" s="156" t="s">
        <v>329</v>
      </c>
      <c r="B142" s="156" t="s">
        <v>330</v>
      </c>
      <c r="D142" s="56">
        <f>VLOOKUP(A142,'2016-17'!$A$12:$AMX350,32,FALSE)</f>
        <v>550531</v>
      </c>
      <c r="E142" s="56">
        <v>1475.1443102752196</v>
      </c>
      <c r="F142" s="16">
        <f>VLOOKUP(A142,'2016-17'!$A$12:$AMX350,34,FALSE)</f>
        <v>3.9729021564266276E-2</v>
      </c>
      <c r="G142" s="16">
        <f>VLOOKUP(A142,'2016-17'!$A$12:$AMX350,35,FALSE)</f>
        <v>3.0087296726366786E-2</v>
      </c>
      <c r="H142" s="56"/>
      <c r="I142" s="56">
        <v>553868.58496954234</v>
      </c>
      <c r="J142" s="56">
        <v>1484.0873479568043</v>
      </c>
      <c r="K142" s="16">
        <f t="shared" si="40"/>
        <v>-6.0259510290259222E-3</v>
      </c>
      <c r="L142" s="58">
        <f t="shared" si="40"/>
        <v>-6.0259510290259222E-3</v>
      </c>
      <c r="M142" s="10"/>
      <c r="N142" s="56">
        <v>406569</v>
      </c>
      <c r="O142" s="56">
        <v>42618</v>
      </c>
      <c r="P142" s="56">
        <v>101344</v>
      </c>
      <c r="R142" s="56">
        <f t="shared" si="41"/>
        <v>101344</v>
      </c>
      <c r="S142" s="56">
        <f t="shared" si="42"/>
        <v>0</v>
      </c>
      <c r="U142" s="16">
        <v>1.8762801534591533E-2</v>
      </c>
      <c r="V142" s="16">
        <v>-0.10858368609354185</v>
      </c>
      <c r="W142" s="56">
        <f t="shared" si="43"/>
        <v>3</v>
      </c>
      <c r="X142" s="56">
        <f t="shared" si="44"/>
        <v>3990.8112014648896</v>
      </c>
      <c r="Y142" s="56">
        <f t="shared" si="44"/>
        <v>478.09311244523815</v>
      </c>
      <c r="AA142" s="56">
        <f t="shared" si="45"/>
        <v>0</v>
      </c>
      <c r="AB142" s="56">
        <v>0</v>
      </c>
      <c r="AC142" s="56">
        <f t="shared" si="46"/>
        <v>0</v>
      </c>
      <c r="AE142" s="56">
        <v>0</v>
      </c>
      <c r="AF142" s="56">
        <f t="shared" si="47"/>
        <v>0</v>
      </c>
      <c r="AG142" s="56">
        <f t="shared" si="48"/>
        <v>0</v>
      </c>
      <c r="AI142" s="56">
        <f t="shared" si="49"/>
        <v>0</v>
      </c>
      <c r="AJ142" s="56">
        <f t="shared" si="50"/>
        <v>0</v>
      </c>
      <c r="AK142" s="56">
        <f t="shared" si="51"/>
        <v>0</v>
      </c>
      <c r="AM142" s="56">
        <f t="shared" si="52"/>
        <v>406569</v>
      </c>
      <c r="AN142" s="56">
        <f t="shared" si="53"/>
        <v>42618</v>
      </c>
      <c r="AO142" s="56">
        <f t="shared" si="54"/>
        <v>101344</v>
      </c>
      <c r="AP142" s="56"/>
      <c r="AQ142" s="56">
        <f t="shared" si="55"/>
        <v>550531</v>
      </c>
      <c r="AS142" s="56">
        <v>1089.3990476181827</v>
      </c>
      <c r="AT142" s="56">
        <v>114.19465972907848</v>
      </c>
      <c r="AU142" s="56">
        <v>271.55060292795838</v>
      </c>
      <c r="AV142" s="56"/>
      <c r="AW142" s="56">
        <v>1475.1443102752196</v>
      </c>
      <c r="AY142" s="16">
        <v>1.8762801534591533E-2</v>
      </c>
      <c r="AZ142" s="16">
        <v>-0.10858368609354185</v>
      </c>
      <c r="BA142" s="16">
        <v>-5.2666393932418232E-2</v>
      </c>
      <c r="BB142" s="16">
        <f t="shared" si="56"/>
        <v>-6.0259510290259222E-3</v>
      </c>
      <c r="BC142" s="16"/>
      <c r="BE142" s="16">
        <v>3.0487142406401491E-2</v>
      </c>
      <c r="BF142" s="16">
        <v>3.9351940779616568E-2</v>
      </c>
      <c r="BG142" s="16">
        <v>7.8704749334910007E-2</v>
      </c>
      <c r="BH142" s="16">
        <f>AQ142/(VLOOKUP($A142,'2016-17'!$A$12:$D$220,4,FALSE))-1</f>
        <v>3.9729021564266276E-2</v>
      </c>
      <c r="BJ142" s="16">
        <v>2.0931120337182474E-2</v>
      </c>
      <c r="BK142" s="16">
        <v>2.9713712727025277E-2</v>
      </c>
      <c r="BL142" s="16">
        <v>6.8701590666918833E-2</v>
      </c>
      <c r="BM142" s="16">
        <v>3.0087296726366786E-2</v>
      </c>
    </row>
    <row r="143" spans="1:65" x14ac:dyDescent="0.2">
      <c r="A143" s="156" t="s">
        <v>331</v>
      </c>
      <c r="B143" s="156" t="s">
        <v>332</v>
      </c>
      <c r="D143" s="56">
        <f>VLOOKUP(A143,'2016-17'!$A$12:$AMX351,32,FALSE)</f>
        <v>554246.31598512991</v>
      </c>
      <c r="E143" s="56">
        <v>1611.8308916787021</v>
      </c>
      <c r="F143" s="16">
        <f>VLOOKUP(A143,'2016-17'!$A$12:$AMX351,34,FALSE)</f>
        <v>4.956263140096473E-2</v>
      </c>
      <c r="G143" s="16">
        <f>VLOOKUP(A143,'2016-17'!$A$12:$AMX351,35,FALSE)</f>
        <v>3.8054507880999733E-2</v>
      </c>
      <c r="H143" s="56"/>
      <c r="I143" s="56">
        <v>566955.15927723702</v>
      </c>
      <c r="J143" s="56">
        <v>1648.7901020963884</v>
      </c>
      <c r="K143" s="16">
        <f t="shared" si="40"/>
        <v>-2.2415958447769557E-2</v>
      </c>
      <c r="L143" s="58">
        <f t="shared" si="40"/>
        <v>-2.2415958447769557E-2</v>
      </c>
      <c r="M143" s="10"/>
      <c r="N143" s="56">
        <v>416450</v>
      </c>
      <c r="O143" s="56">
        <v>38671</v>
      </c>
      <c r="P143" s="56">
        <v>93581</v>
      </c>
      <c r="R143" s="56">
        <f t="shared" si="41"/>
        <v>93581</v>
      </c>
      <c r="S143" s="56">
        <f t="shared" si="42"/>
        <v>5544.3159851299133</v>
      </c>
      <c r="U143" s="16">
        <v>-2.863248966100207E-2</v>
      </c>
      <c r="V143" s="16">
        <v>-9.8858073191370299E-2</v>
      </c>
      <c r="W143" s="56">
        <f t="shared" si="43"/>
        <v>4</v>
      </c>
      <c r="X143" s="56">
        <f t="shared" si="44"/>
        <v>4287.2547781082667</v>
      </c>
      <c r="Y143" s="56">
        <f t="shared" si="44"/>
        <v>429.13329021270073</v>
      </c>
      <c r="AA143" s="56">
        <f t="shared" si="45"/>
        <v>0</v>
      </c>
      <c r="AB143" s="56">
        <v>0</v>
      </c>
      <c r="AC143" s="56">
        <f t="shared" si="46"/>
        <v>5544.3159851299133</v>
      </c>
      <c r="AE143" s="56">
        <v>0</v>
      </c>
      <c r="AF143" s="56">
        <f t="shared" si="47"/>
        <v>0</v>
      </c>
      <c r="AG143" s="56">
        <f t="shared" si="48"/>
        <v>5544.3159851299133</v>
      </c>
      <c r="AI143" s="56">
        <f t="shared" si="49"/>
        <v>5039.8514401831953</v>
      </c>
      <c r="AJ143" s="56">
        <f t="shared" si="50"/>
        <v>504.46454494671883</v>
      </c>
      <c r="AK143" s="56">
        <f t="shared" si="51"/>
        <v>0</v>
      </c>
      <c r="AM143" s="56">
        <f t="shared" si="52"/>
        <v>421490</v>
      </c>
      <c r="AN143" s="56">
        <f t="shared" si="53"/>
        <v>39175</v>
      </c>
      <c r="AO143" s="56">
        <f t="shared" si="54"/>
        <v>93581</v>
      </c>
      <c r="AP143" s="56"/>
      <c r="AQ143" s="56">
        <f t="shared" si="55"/>
        <v>554246</v>
      </c>
      <c r="AS143" s="56">
        <v>1225.7557388110508</v>
      </c>
      <c r="AT143" s="56">
        <v>113.92673863655821</v>
      </c>
      <c r="AU143" s="56">
        <v>272.14749529924069</v>
      </c>
      <c r="AV143" s="56"/>
      <c r="AW143" s="56">
        <v>1611.8299727468498</v>
      </c>
      <c r="AY143" s="16">
        <v>-1.6876715253249519E-2</v>
      </c>
      <c r="AZ143" s="16">
        <v>-8.7113470488788369E-2</v>
      </c>
      <c r="BA143" s="16">
        <v>-1.8206240593806045E-2</v>
      </c>
      <c r="BB143" s="16">
        <f t="shared" si="56"/>
        <v>-2.241651578484416E-2</v>
      </c>
      <c r="BC143" s="16"/>
      <c r="BE143" s="16">
        <v>4.2958402221875192E-2</v>
      </c>
      <c r="BF143" s="16">
        <v>4.9158136710617972E-2</v>
      </c>
      <c r="BG143" s="16">
        <v>8.0551066499399804E-2</v>
      </c>
      <c r="BH143" s="16">
        <f>AQ143/(VLOOKUP($A143,'2016-17'!$A$12:$D$220,4,FALSE))-1</f>
        <v>4.956203302768758E-2</v>
      </c>
      <c r="BJ143" s="16">
        <v>3.152269199376434E-2</v>
      </c>
      <c r="BK143" s="16">
        <v>3.7654448347470115E-2</v>
      </c>
      <c r="BL143" s="16">
        <v>6.8703164553513441E-2</v>
      </c>
      <c r="BM143" s="16">
        <v>3.8053916068696791E-2</v>
      </c>
    </row>
    <row r="144" spans="1:65" x14ac:dyDescent="0.2">
      <c r="A144" s="156" t="s">
        <v>333</v>
      </c>
      <c r="B144" s="156" t="s">
        <v>334</v>
      </c>
      <c r="D144" s="56">
        <f>VLOOKUP(A144,'2016-17'!$A$12:$AMX352,32,FALSE)</f>
        <v>487099</v>
      </c>
      <c r="E144" s="56">
        <v>1845.4830146422571</v>
      </c>
      <c r="F144" s="16">
        <f>VLOOKUP(A144,'2016-17'!$A$12:$AMX352,34,FALSE)</f>
        <v>2.8717081966563196E-2</v>
      </c>
      <c r="G144" s="16">
        <f>VLOOKUP(A144,'2016-17'!$A$12:$AMX352,35,FALSE)</f>
        <v>1.3936895645794145E-2</v>
      </c>
      <c r="H144" s="56"/>
      <c r="I144" s="56">
        <v>432198.51581749949</v>
      </c>
      <c r="J144" s="56">
        <v>1637.4803066620711</v>
      </c>
      <c r="K144" s="16">
        <f t="shared" si="40"/>
        <v>0.12702608216656364</v>
      </c>
      <c r="L144" s="58">
        <f t="shared" si="40"/>
        <v>0.12702608216656364</v>
      </c>
      <c r="M144" s="10"/>
      <c r="N144" s="56">
        <v>354671</v>
      </c>
      <c r="O144" s="56">
        <v>35897</v>
      </c>
      <c r="P144" s="56">
        <v>96531</v>
      </c>
      <c r="R144" s="56">
        <f t="shared" si="41"/>
        <v>96531</v>
      </c>
      <c r="S144" s="56">
        <f t="shared" si="42"/>
        <v>0</v>
      </c>
      <c r="U144" s="16">
        <v>0.19508287191031282</v>
      </c>
      <c r="V144" s="16">
        <v>-2.0909607997820268E-2</v>
      </c>
      <c r="W144" s="56">
        <f t="shared" si="43"/>
        <v>3</v>
      </c>
      <c r="X144" s="56">
        <f t="shared" si="44"/>
        <v>2967.7523486975133</v>
      </c>
      <c r="Y144" s="56">
        <f t="shared" si="44"/>
        <v>366.63621963027174</v>
      </c>
      <c r="AA144" s="56">
        <f t="shared" si="45"/>
        <v>0</v>
      </c>
      <c r="AB144" s="56">
        <v>0</v>
      </c>
      <c r="AC144" s="56">
        <f t="shared" si="46"/>
        <v>0</v>
      </c>
      <c r="AE144" s="56">
        <v>0</v>
      </c>
      <c r="AF144" s="56">
        <f t="shared" si="47"/>
        <v>0</v>
      </c>
      <c r="AG144" s="56">
        <f t="shared" si="48"/>
        <v>0</v>
      </c>
      <c r="AI144" s="56">
        <f t="shared" si="49"/>
        <v>0</v>
      </c>
      <c r="AJ144" s="56">
        <f t="shared" si="50"/>
        <v>0</v>
      </c>
      <c r="AK144" s="56">
        <f t="shared" si="51"/>
        <v>0</v>
      </c>
      <c r="AM144" s="56">
        <f t="shared" si="52"/>
        <v>354671</v>
      </c>
      <c r="AN144" s="56">
        <f t="shared" si="53"/>
        <v>35897</v>
      </c>
      <c r="AO144" s="56">
        <f t="shared" si="54"/>
        <v>96531</v>
      </c>
      <c r="AP144" s="56"/>
      <c r="AQ144" s="56">
        <f t="shared" si="55"/>
        <v>487099</v>
      </c>
      <c r="AS144" s="56">
        <v>1343.7500513985535</v>
      </c>
      <c r="AT144" s="56">
        <v>136.00377700757568</v>
      </c>
      <c r="AU144" s="56">
        <v>365.72918623612804</v>
      </c>
      <c r="AV144" s="56"/>
      <c r="AW144" s="56">
        <v>1845.4830146422571</v>
      </c>
      <c r="AY144" s="16">
        <v>0.19508287191031282</v>
      </c>
      <c r="AZ144" s="16">
        <v>-2.0909607997820268E-2</v>
      </c>
      <c r="BA144" s="16">
        <v>-2.2566491294444435E-2</v>
      </c>
      <c r="BB144" s="16">
        <f t="shared" si="56"/>
        <v>0.12702608216656364</v>
      </c>
      <c r="BC144" s="16"/>
      <c r="BE144" s="16">
        <v>1.389009795076368E-2</v>
      </c>
      <c r="BF144" s="16">
        <v>3.5656318765347805E-2</v>
      </c>
      <c r="BG144" s="16">
        <v>8.4274024424721761E-2</v>
      </c>
      <c r="BH144" s="16">
        <f>AQ144/(VLOOKUP($A144,'2016-17'!$A$12:$D$220,4,FALSE))-1</f>
        <v>2.8717081966563196E-2</v>
      </c>
      <c r="BJ144" s="16">
        <v>-6.7706032743619637E-4</v>
      </c>
      <c r="BK144" s="16">
        <v>2.0776432328183381E-2</v>
      </c>
      <c r="BL144" s="16">
        <v>6.8695618675756132E-2</v>
      </c>
      <c r="BM144" s="16">
        <v>1.3936895645794145E-2</v>
      </c>
    </row>
    <row r="145" spans="1:65" x14ac:dyDescent="0.2">
      <c r="A145" s="156" t="s">
        <v>335</v>
      </c>
      <c r="B145" s="156" t="s">
        <v>336</v>
      </c>
      <c r="D145" s="56">
        <f>VLOOKUP(A145,'2016-17'!$A$12:$AMX353,32,FALSE)</f>
        <v>355570</v>
      </c>
      <c r="E145" s="56">
        <v>1665.5304701790301</v>
      </c>
      <c r="F145" s="16">
        <f>VLOOKUP(A145,'2016-17'!$A$12:$AMX353,34,FALSE)</f>
        <v>2.6863452607944316E-2</v>
      </c>
      <c r="G145" s="16">
        <f>VLOOKUP(A145,'2016-17'!$A$12:$AMX353,35,FALSE)</f>
        <v>1.2839872013269416E-2</v>
      </c>
      <c r="H145" s="56"/>
      <c r="I145" s="56">
        <v>310512.19255652995</v>
      </c>
      <c r="J145" s="56">
        <v>1454.4745565289502</v>
      </c>
      <c r="K145" s="16">
        <f t="shared" si="40"/>
        <v>0.14510801354528802</v>
      </c>
      <c r="L145" s="58">
        <f t="shared" si="40"/>
        <v>0.14510801354528824</v>
      </c>
      <c r="M145" s="10"/>
      <c r="N145" s="56">
        <v>267044</v>
      </c>
      <c r="O145" s="56">
        <v>27629</v>
      </c>
      <c r="P145" s="56">
        <v>60897</v>
      </c>
      <c r="R145" s="56">
        <f t="shared" si="41"/>
        <v>60897</v>
      </c>
      <c r="S145" s="56">
        <f t="shared" si="42"/>
        <v>0</v>
      </c>
      <c r="U145" s="16">
        <v>0.20708304221136742</v>
      </c>
      <c r="V145" s="16">
        <v>-4.0735271282611007E-2</v>
      </c>
      <c r="W145" s="56">
        <f t="shared" si="43"/>
        <v>3</v>
      </c>
      <c r="X145" s="56">
        <f t="shared" si="44"/>
        <v>2212.3084382891943</v>
      </c>
      <c r="Y145" s="56">
        <f t="shared" si="44"/>
        <v>288.0226820905018</v>
      </c>
      <c r="AA145" s="56">
        <f t="shared" si="45"/>
        <v>0</v>
      </c>
      <c r="AB145" s="56">
        <v>0</v>
      </c>
      <c r="AC145" s="56">
        <f t="shared" si="46"/>
        <v>0</v>
      </c>
      <c r="AE145" s="56">
        <v>0</v>
      </c>
      <c r="AF145" s="56">
        <f t="shared" si="47"/>
        <v>0</v>
      </c>
      <c r="AG145" s="56">
        <f t="shared" si="48"/>
        <v>0</v>
      </c>
      <c r="AI145" s="56">
        <f t="shared" si="49"/>
        <v>0</v>
      </c>
      <c r="AJ145" s="56">
        <f t="shared" si="50"/>
        <v>0</v>
      </c>
      <c r="AK145" s="56">
        <f t="shared" si="51"/>
        <v>0</v>
      </c>
      <c r="AM145" s="56">
        <f t="shared" si="52"/>
        <v>267044</v>
      </c>
      <c r="AN145" s="56">
        <f t="shared" si="53"/>
        <v>27629</v>
      </c>
      <c r="AO145" s="56">
        <f t="shared" si="54"/>
        <v>60897</v>
      </c>
      <c r="AP145" s="56"/>
      <c r="AQ145" s="56">
        <f t="shared" si="55"/>
        <v>355570</v>
      </c>
      <c r="AS145" s="56">
        <v>1250.8645804721684</v>
      </c>
      <c r="AT145" s="56">
        <v>129.41738999515263</v>
      </c>
      <c r="AU145" s="56">
        <v>285.24849971170909</v>
      </c>
      <c r="AV145" s="56"/>
      <c r="AW145" s="56">
        <v>1665.5304701790301</v>
      </c>
      <c r="AY145" s="16">
        <v>0.20708304221136742</v>
      </c>
      <c r="AZ145" s="16">
        <v>-4.0735271282611007E-2</v>
      </c>
      <c r="BA145" s="16">
        <v>6.9101493914316414E-3</v>
      </c>
      <c r="BB145" s="16">
        <f t="shared" si="56"/>
        <v>0.14510801354528802</v>
      </c>
      <c r="BC145" s="16"/>
      <c r="BE145" s="16">
        <v>1.3889894549476756E-2</v>
      </c>
      <c r="BF145" s="16">
        <v>3.5651846172884305E-2</v>
      </c>
      <c r="BG145" s="16">
        <v>8.3488621739475466E-2</v>
      </c>
      <c r="BH145" s="16">
        <f>AQ145/(VLOOKUP($A145,'2016-17'!$A$12:$D$220,4,FALSE))-1</f>
        <v>2.6863452607944316E-2</v>
      </c>
      <c r="BJ145" s="16">
        <v>4.3490128099898939E-5</v>
      </c>
      <c r="BK145" s="16">
        <v>2.1508244999871806E-2</v>
      </c>
      <c r="BL145" s="16">
        <v>6.8691727398960012E-2</v>
      </c>
      <c r="BM145" s="16">
        <v>1.2839872013269416E-2</v>
      </c>
    </row>
    <row r="146" spans="1:65" x14ac:dyDescent="0.2">
      <c r="A146" s="156" t="s">
        <v>337</v>
      </c>
      <c r="B146" s="156" t="s">
        <v>338</v>
      </c>
      <c r="D146" s="56">
        <f>VLOOKUP(A146,'2016-17'!$A$12:$AMX354,32,FALSE)</f>
        <v>508346</v>
      </c>
      <c r="E146" s="56">
        <v>1682.88513487877</v>
      </c>
      <c r="F146" s="16">
        <f>VLOOKUP(A146,'2016-17'!$A$12:$AMX354,34,FALSE)</f>
        <v>3.5959532118150284E-2</v>
      </c>
      <c r="G146" s="16">
        <f>VLOOKUP(A146,'2016-17'!$A$12:$AMX354,35,FALSE)</f>
        <v>2.1482861968371125E-2</v>
      </c>
      <c r="H146" s="56"/>
      <c r="I146" s="56">
        <v>494284.61157409364</v>
      </c>
      <c r="J146" s="56">
        <v>1636.3347507748051</v>
      </c>
      <c r="K146" s="16">
        <f t="shared" si="40"/>
        <v>2.8447959124453748E-2</v>
      </c>
      <c r="L146" s="58">
        <f t="shared" si="40"/>
        <v>2.8447959124453748E-2</v>
      </c>
      <c r="M146" s="10"/>
      <c r="N146" s="56">
        <v>369643</v>
      </c>
      <c r="O146" s="56">
        <v>41550</v>
      </c>
      <c r="P146" s="56">
        <v>97153</v>
      </c>
      <c r="R146" s="56">
        <f t="shared" si="41"/>
        <v>97153</v>
      </c>
      <c r="S146" s="56">
        <f t="shared" si="42"/>
        <v>0</v>
      </c>
      <c r="U146" s="16">
        <v>5.5389904765599463E-2</v>
      </c>
      <c r="V146" s="16">
        <v>-6.6790507309356428E-2</v>
      </c>
      <c r="W146" s="56">
        <f t="shared" si="43"/>
        <v>3</v>
      </c>
      <c r="X146" s="56">
        <f t="shared" si="44"/>
        <v>3502.4306972321965</v>
      </c>
      <c r="Y146" s="56">
        <f t="shared" si="44"/>
        <v>445.23764841056663</v>
      </c>
      <c r="AA146" s="56">
        <f t="shared" si="45"/>
        <v>0</v>
      </c>
      <c r="AB146" s="56">
        <v>0</v>
      </c>
      <c r="AC146" s="56">
        <f t="shared" si="46"/>
        <v>0</v>
      </c>
      <c r="AE146" s="56">
        <v>0</v>
      </c>
      <c r="AF146" s="56">
        <f t="shared" si="47"/>
        <v>0</v>
      </c>
      <c r="AG146" s="56">
        <f t="shared" si="48"/>
        <v>0</v>
      </c>
      <c r="AI146" s="56">
        <f t="shared" si="49"/>
        <v>0</v>
      </c>
      <c r="AJ146" s="56">
        <f t="shared" si="50"/>
        <v>0</v>
      </c>
      <c r="AK146" s="56">
        <f t="shared" si="51"/>
        <v>0</v>
      </c>
      <c r="AM146" s="56">
        <f t="shared" si="52"/>
        <v>369643</v>
      </c>
      <c r="AN146" s="56">
        <f t="shared" si="53"/>
        <v>41550</v>
      </c>
      <c r="AO146" s="56">
        <f t="shared" si="54"/>
        <v>97153</v>
      </c>
      <c r="AP146" s="56"/>
      <c r="AQ146" s="56">
        <f t="shared" si="55"/>
        <v>508346</v>
      </c>
      <c r="AS146" s="56">
        <v>1223.7072976122429</v>
      </c>
      <c r="AT146" s="56">
        <v>137.5517410468714</v>
      </c>
      <c r="AU146" s="56">
        <v>321.62609621965578</v>
      </c>
      <c r="AV146" s="56"/>
      <c r="AW146" s="56">
        <v>1682.88513487877</v>
      </c>
      <c r="AY146" s="16">
        <v>5.5389904765599463E-2</v>
      </c>
      <c r="AZ146" s="16">
        <v>-6.6790507309356428E-2</v>
      </c>
      <c r="BA146" s="16">
        <v>-2.3762357649769639E-2</v>
      </c>
      <c r="BB146" s="16">
        <f t="shared" si="56"/>
        <v>2.8447959124453748E-2</v>
      </c>
      <c r="BC146" s="16"/>
      <c r="BE146" s="16">
        <v>2.4102898931843697E-2</v>
      </c>
      <c r="BF146" s="16">
        <v>3.5651655699679319E-2</v>
      </c>
      <c r="BG146" s="16">
        <v>8.3840291142966317E-2</v>
      </c>
      <c r="BH146" s="16">
        <f>AQ146/(VLOOKUP($A146,'2016-17'!$A$12:$D$220,4,FALSE))-1</f>
        <v>3.5959532118150284E-2</v>
      </c>
      <c r="BJ146" s="16">
        <v>9.7919153387335811E-3</v>
      </c>
      <c r="BK146" s="16">
        <v>2.1179287865983998E-2</v>
      </c>
      <c r="BL146" s="16">
        <v>6.8694527333219568E-2</v>
      </c>
      <c r="BM146" s="16">
        <v>2.1482861968371125E-2</v>
      </c>
    </row>
    <row r="147" spans="1:65" x14ac:dyDescent="0.2">
      <c r="A147" s="156" t="s">
        <v>339</v>
      </c>
      <c r="B147" s="156" t="s">
        <v>340</v>
      </c>
      <c r="D147" s="56">
        <f>VLOOKUP(A147,'2016-17'!$A$12:$AMX355,32,FALSE)</f>
        <v>633371.63238963764</v>
      </c>
      <c r="E147" s="56">
        <v>1565.6245736350513</v>
      </c>
      <c r="F147" s="16">
        <f>VLOOKUP(A147,'2016-17'!$A$12:$AMX355,34,FALSE)</f>
        <v>6.1550025734888658E-2</v>
      </c>
      <c r="G147" s="16">
        <f>VLOOKUP(A147,'2016-17'!$A$12:$AMX355,35,FALSE)</f>
        <v>4.9524451301968142E-2</v>
      </c>
      <c r="H147" s="56"/>
      <c r="I147" s="56">
        <v>653318.21758483991</v>
      </c>
      <c r="J147" s="56">
        <v>1614.9303245476569</v>
      </c>
      <c r="K147" s="16">
        <f t="shared" si="40"/>
        <v>-3.0531193924057343E-2</v>
      </c>
      <c r="L147" s="58">
        <f t="shared" si="40"/>
        <v>-3.0531193924057454E-2</v>
      </c>
      <c r="M147" s="10"/>
      <c r="N147" s="56">
        <v>463440</v>
      </c>
      <c r="O147" s="56">
        <v>47462</v>
      </c>
      <c r="P147" s="56">
        <v>118502</v>
      </c>
      <c r="R147" s="56">
        <f t="shared" si="41"/>
        <v>118502</v>
      </c>
      <c r="S147" s="56">
        <f t="shared" si="42"/>
        <v>3967.6323896376416</v>
      </c>
      <c r="U147" s="16">
        <v>-4.4517305507864702E-2</v>
      </c>
      <c r="V147" s="16">
        <v>-6.827298800350623E-2</v>
      </c>
      <c r="W147" s="56">
        <f t="shared" si="43"/>
        <v>4</v>
      </c>
      <c r="X147" s="56">
        <f t="shared" si="44"/>
        <v>4850.3233252835707</v>
      </c>
      <c r="Y147" s="56">
        <f t="shared" si="44"/>
        <v>509.39813259571582</v>
      </c>
      <c r="AA147" s="56">
        <f t="shared" si="45"/>
        <v>0</v>
      </c>
      <c r="AB147" s="56">
        <v>0</v>
      </c>
      <c r="AC147" s="56">
        <f t="shared" si="46"/>
        <v>3967.6323896376416</v>
      </c>
      <c r="AE147" s="56">
        <v>0</v>
      </c>
      <c r="AF147" s="56">
        <f t="shared" si="47"/>
        <v>0</v>
      </c>
      <c r="AG147" s="56">
        <f t="shared" si="48"/>
        <v>3967.6323896376416</v>
      </c>
      <c r="AI147" s="56">
        <f t="shared" si="49"/>
        <v>3590.5410527107047</v>
      </c>
      <c r="AJ147" s="56">
        <f t="shared" si="50"/>
        <v>377.091336926937</v>
      </c>
      <c r="AK147" s="56">
        <f t="shared" si="51"/>
        <v>0</v>
      </c>
      <c r="AM147" s="56">
        <f t="shared" si="52"/>
        <v>467031</v>
      </c>
      <c r="AN147" s="56">
        <f t="shared" si="53"/>
        <v>47839</v>
      </c>
      <c r="AO147" s="56">
        <f t="shared" si="54"/>
        <v>118502</v>
      </c>
      <c r="AP147" s="56"/>
      <c r="AQ147" s="56">
        <f t="shared" si="55"/>
        <v>633372</v>
      </c>
      <c r="AS147" s="56">
        <v>1154.4489409647808</v>
      </c>
      <c r="AT147" s="56">
        <v>118.25271317495873</v>
      </c>
      <c r="AU147" s="56">
        <v>292.92382818744034</v>
      </c>
      <c r="AV147" s="56"/>
      <c r="AW147" s="56">
        <v>1565.62548232718</v>
      </c>
      <c r="AY147" s="16">
        <v>-3.7113675359579545E-2</v>
      </c>
      <c r="AZ147" s="16">
        <v>-6.0872097111367762E-2</v>
      </c>
      <c r="BA147" s="16">
        <v>9.8505913780337906E-3</v>
      </c>
      <c r="BB147" s="16">
        <f t="shared" si="56"/>
        <v>-3.0530631242116968E-2</v>
      </c>
      <c r="BC147" s="16"/>
      <c r="BE147" s="16">
        <v>5.8566806334945376E-2</v>
      </c>
      <c r="BF147" s="16">
        <v>4.388021430833966E-2</v>
      </c>
      <c r="BG147" s="16">
        <v>8.0945720009291566E-2</v>
      </c>
      <c r="BH147" s="16">
        <f>AQ147/(VLOOKUP($A147,'2016-17'!$A$12:$D$220,4,FALSE))-1</f>
        <v>6.1550641860982136E-2</v>
      </c>
      <c r="BJ147" s="16">
        <v>4.6575026754904325E-2</v>
      </c>
      <c r="BK147" s="16">
        <v>3.2054809087773029E-2</v>
      </c>
      <c r="BL147" s="16">
        <v>6.8700425017263589E-2</v>
      </c>
      <c r="BM147" s="16">
        <v>4.9525060448390557E-2</v>
      </c>
    </row>
    <row r="148" spans="1:65" x14ac:dyDescent="0.2">
      <c r="A148" s="156" t="s">
        <v>341</v>
      </c>
      <c r="B148" s="156" t="s">
        <v>342</v>
      </c>
      <c r="D148" s="56">
        <f>VLOOKUP(A148,'2016-17'!$A$12:$AMX356,32,FALSE)</f>
        <v>642576.07124020159</v>
      </c>
      <c r="E148" s="56">
        <v>1491.5301629797116</v>
      </c>
      <c r="F148" s="16">
        <f>VLOOKUP(A148,'2016-17'!$A$12:$AMX356,34,FALSE)</f>
        <v>4.2676536083992245E-2</v>
      </c>
      <c r="G148" s="16">
        <f>VLOOKUP(A148,'2016-17'!$A$12:$AMX356,35,FALSE)</f>
        <v>3.136756674497243E-2</v>
      </c>
      <c r="H148" s="56"/>
      <c r="I148" s="56">
        <v>654612.18068079615</v>
      </c>
      <c r="J148" s="56">
        <v>1519.4680540389336</v>
      </c>
      <c r="K148" s="16">
        <f t="shared" si="40"/>
        <v>-1.838662615180342E-2</v>
      </c>
      <c r="L148" s="58">
        <f t="shared" si="40"/>
        <v>-1.8386626151803309E-2</v>
      </c>
      <c r="M148" s="10"/>
      <c r="N148" s="56">
        <v>475127</v>
      </c>
      <c r="O148" s="56">
        <v>48149</v>
      </c>
      <c r="P148" s="56">
        <v>118876</v>
      </c>
      <c r="R148" s="56">
        <f t="shared" si="41"/>
        <v>118876</v>
      </c>
      <c r="S148" s="56">
        <f t="shared" si="42"/>
        <v>424.07124020159245</v>
      </c>
      <c r="U148" s="16">
        <v>-2.1030740535335379E-2</v>
      </c>
      <c r="V148" s="16">
        <v>-0.11225467715950621</v>
      </c>
      <c r="W148" s="56">
        <f t="shared" si="43"/>
        <v>4</v>
      </c>
      <c r="X148" s="56">
        <f t="shared" si="44"/>
        <v>4853.3393199681923</v>
      </c>
      <c r="Y148" s="56">
        <f t="shared" si="44"/>
        <v>542.37402057990005</v>
      </c>
      <c r="AA148" s="56">
        <f t="shared" si="45"/>
        <v>0</v>
      </c>
      <c r="AB148" s="56">
        <v>0</v>
      </c>
      <c r="AC148" s="56">
        <f t="shared" si="46"/>
        <v>424.07124020159245</v>
      </c>
      <c r="AE148" s="56">
        <v>0</v>
      </c>
      <c r="AF148" s="56">
        <f t="shared" si="47"/>
        <v>0</v>
      </c>
      <c r="AG148" s="56">
        <f t="shared" si="48"/>
        <v>424.07124020159245</v>
      </c>
      <c r="AI148" s="56">
        <f t="shared" si="49"/>
        <v>381.44384155311673</v>
      </c>
      <c r="AJ148" s="56">
        <f t="shared" si="50"/>
        <v>42.627398648475733</v>
      </c>
      <c r="AK148" s="56">
        <f t="shared" si="51"/>
        <v>0</v>
      </c>
      <c r="AM148" s="56">
        <f t="shared" si="52"/>
        <v>475508</v>
      </c>
      <c r="AN148" s="56">
        <f t="shared" si="53"/>
        <v>48192</v>
      </c>
      <c r="AO148" s="56">
        <f t="shared" si="54"/>
        <v>118876</v>
      </c>
      <c r="AP148" s="56"/>
      <c r="AQ148" s="56">
        <f t="shared" si="55"/>
        <v>642576</v>
      </c>
      <c r="AS148" s="56">
        <v>1103.7362835022805</v>
      </c>
      <c r="AT148" s="56">
        <v>111.86196441393604</v>
      </c>
      <c r="AU148" s="56">
        <v>275.93174970266972</v>
      </c>
      <c r="AV148" s="56"/>
      <c r="AW148" s="56">
        <v>1491.5299976188862</v>
      </c>
      <c r="AY148" s="16">
        <v>-2.0245714031145945E-2</v>
      </c>
      <c r="AZ148" s="16">
        <v>-0.11146186632476107</v>
      </c>
      <c r="BA148" s="16">
        <v>3.3337318756715861E-2</v>
      </c>
      <c r="BB148" s="16">
        <f t="shared" si="56"/>
        <v>-1.8386734979906061E-2</v>
      </c>
      <c r="BC148" s="16"/>
      <c r="BE148" s="16">
        <v>3.1313694410201709E-2</v>
      </c>
      <c r="BF148" s="16">
        <v>6.6728425366900046E-2</v>
      </c>
      <c r="BG148" s="16">
        <v>8.0415976871685002E-2</v>
      </c>
      <c r="BH148" s="16">
        <f>AQ148/(VLOOKUP($A148,'2016-17'!$A$12:$D$220,4,FALSE))-1</f>
        <v>4.2676420486026378E-2</v>
      </c>
      <c r="BJ148" s="16">
        <v>2.0127967537705516E-2</v>
      </c>
      <c r="BK148" s="16">
        <v>5.5158586938539145E-2</v>
      </c>
      <c r="BL148" s="16">
        <v>6.8697681951845446E-2</v>
      </c>
      <c r="BM148" s="16">
        <v>3.1367452400793416E-2</v>
      </c>
    </row>
    <row r="149" spans="1:65" x14ac:dyDescent="0.2">
      <c r="A149" s="156" t="s">
        <v>343</v>
      </c>
      <c r="B149" s="156" t="s">
        <v>344</v>
      </c>
      <c r="D149" s="56">
        <f>VLOOKUP(A149,'2016-17'!$A$12:$AMX357,32,FALSE)</f>
        <v>529120.73419598397</v>
      </c>
      <c r="E149" s="56">
        <v>1608.1099283382275</v>
      </c>
      <c r="F149" s="16">
        <f>VLOOKUP(A149,'2016-17'!$A$12:$AMX357,34,FALSE)</f>
        <v>5.7895378269272824E-2</v>
      </c>
      <c r="G149" s="16">
        <f>VLOOKUP(A149,'2016-17'!$A$12:$AMX357,35,FALSE)</f>
        <v>4.25150138659105E-2</v>
      </c>
      <c r="H149" s="56"/>
      <c r="I149" s="56">
        <v>543489.14578021306</v>
      </c>
      <c r="J149" s="56">
        <v>1651.7785729967272</v>
      </c>
      <c r="K149" s="16">
        <f t="shared" si="40"/>
        <v>-2.6437347821550938E-2</v>
      </c>
      <c r="L149" s="58">
        <f t="shared" si="40"/>
        <v>-2.6437347821551049E-2</v>
      </c>
      <c r="M149" s="10"/>
      <c r="N149" s="56">
        <v>378325</v>
      </c>
      <c r="O149" s="56">
        <v>38336</v>
      </c>
      <c r="P149" s="56">
        <v>104126</v>
      </c>
      <c r="R149" s="56">
        <f t="shared" si="41"/>
        <v>104126</v>
      </c>
      <c r="S149" s="56">
        <f t="shared" si="42"/>
        <v>8333.7341959839687</v>
      </c>
      <c r="U149" s="16">
        <v>-4.1130847573340623E-2</v>
      </c>
      <c r="V149" s="16">
        <v>-7.168927892725363E-2</v>
      </c>
      <c r="W149" s="56">
        <f t="shared" si="43"/>
        <v>4</v>
      </c>
      <c r="X149" s="56">
        <f t="shared" si="44"/>
        <v>3945.5331214123794</v>
      </c>
      <c r="Y149" s="56">
        <f t="shared" si="44"/>
        <v>412.96517566552836</v>
      </c>
      <c r="AA149" s="56">
        <f t="shared" si="45"/>
        <v>0</v>
      </c>
      <c r="AB149" s="56">
        <v>0</v>
      </c>
      <c r="AC149" s="56">
        <f t="shared" si="46"/>
        <v>8333.7341959839687</v>
      </c>
      <c r="AE149" s="56">
        <v>0</v>
      </c>
      <c r="AF149" s="56">
        <f t="shared" si="47"/>
        <v>0</v>
      </c>
      <c r="AG149" s="56">
        <f t="shared" si="48"/>
        <v>8333.7341959839687</v>
      </c>
      <c r="AI149" s="56">
        <f t="shared" si="49"/>
        <v>7544.117733703446</v>
      </c>
      <c r="AJ149" s="56">
        <f t="shared" si="50"/>
        <v>789.6164622805228</v>
      </c>
      <c r="AK149" s="56">
        <f t="shared" si="51"/>
        <v>0</v>
      </c>
      <c r="AM149" s="56">
        <f t="shared" si="52"/>
        <v>385869</v>
      </c>
      <c r="AN149" s="56">
        <f t="shared" si="53"/>
        <v>39126</v>
      </c>
      <c r="AO149" s="56">
        <f t="shared" si="54"/>
        <v>104126</v>
      </c>
      <c r="AP149" s="56"/>
      <c r="AQ149" s="56">
        <f t="shared" si="55"/>
        <v>529121</v>
      </c>
      <c r="AS149" s="56">
        <v>1172.7375811133982</v>
      </c>
      <c r="AT149" s="56">
        <v>118.91219714110959</v>
      </c>
      <c r="AU149" s="56">
        <v>316.46095791839639</v>
      </c>
      <c r="AV149" s="56"/>
      <c r="AW149" s="56">
        <v>1608.1107361729041</v>
      </c>
      <c r="AY149" s="16">
        <v>-2.2010491038861768E-2</v>
      </c>
      <c r="AZ149" s="16">
        <v>-5.2559336584613092E-2</v>
      </c>
      <c r="BA149" s="16">
        <v>-3.2639710104237385E-2</v>
      </c>
      <c r="BB149" s="16">
        <f t="shared" si="56"/>
        <v>-2.6436858751956671E-2</v>
      </c>
      <c r="BC149" s="16"/>
      <c r="BE149" s="16">
        <v>5.1035913426677126E-2</v>
      </c>
      <c r="BF149" s="16">
        <v>5.7010278370810408E-2</v>
      </c>
      <c r="BG149" s="16">
        <v>8.4467658410013247E-2</v>
      </c>
      <c r="BH149" s="16">
        <f>AQ149/(VLOOKUP($A149,'2016-17'!$A$12:$D$220,4,FALSE))-1</f>
        <v>5.789590970344638E-2</v>
      </c>
      <c r="BJ149" s="16">
        <v>3.5755276341401521E-2</v>
      </c>
      <c r="BK149" s="16">
        <v>4.1642782119867716E-2</v>
      </c>
      <c r="BL149" s="16">
        <v>6.8700969082666763E-2</v>
      </c>
      <c r="BM149" s="16">
        <v>4.2515537573751816E-2</v>
      </c>
    </row>
    <row r="150" spans="1:65" x14ac:dyDescent="0.2">
      <c r="A150" s="156" t="s">
        <v>345</v>
      </c>
      <c r="B150" s="156" t="s">
        <v>346</v>
      </c>
      <c r="D150" s="56">
        <f>VLOOKUP(A150,'2016-17'!$A$12:$AMX358,32,FALSE)</f>
        <v>489651.05013261689</v>
      </c>
      <c r="E150" s="56">
        <v>1693.0176271130731</v>
      </c>
      <c r="F150" s="16">
        <f>VLOOKUP(A150,'2016-17'!$A$12:$AMX358,34,FALSE)</f>
        <v>4.8008305755816716E-2</v>
      </c>
      <c r="G150" s="16">
        <f>VLOOKUP(A150,'2016-17'!$A$12:$AMX358,35,FALSE)</f>
        <v>3.5586887032891923E-2</v>
      </c>
      <c r="H150" s="56"/>
      <c r="I150" s="56">
        <v>500499.33973733254</v>
      </c>
      <c r="J150" s="56">
        <v>1730.5266767104072</v>
      </c>
      <c r="K150" s="16">
        <f t="shared" si="40"/>
        <v>-2.167493289883049E-2</v>
      </c>
      <c r="L150" s="58">
        <f t="shared" si="40"/>
        <v>-2.1674932898830379E-2</v>
      </c>
      <c r="M150" s="10"/>
      <c r="N150" s="56">
        <v>356146</v>
      </c>
      <c r="O150" s="56">
        <v>35304</v>
      </c>
      <c r="P150" s="56">
        <v>94657</v>
      </c>
      <c r="R150" s="56">
        <f t="shared" si="41"/>
        <v>94657</v>
      </c>
      <c r="S150" s="56">
        <f t="shared" si="42"/>
        <v>3544.0501326168887</v>
      </c>
      <c r="U150" s="16">
        <v>-2.7519259121123407E-2</v>
      </c>
      <c r="V150" s="16">
        <v>-7.4115086978085332E-2</v>
      </c>
      <c r="W150" s="56">
        <f t="shared" si="43"/>
        <v>4</v>
      </c>
      <c r="X150" s="56">
        <f t="shared" si="44"/>
        <v>3662.2421918415998</v>
      </c>
      <c r="Y150" s="56">
        <f t="shared" si="44"/>
        <v>381.30008928187812</v>
      </c>
      <c r="AA150" s="56">
        <f t="shared" si="45"/>
        <v>0</v>
      </c>
      <c r="AB150" s="56">
        <v>0</v>
      </c>
      <c r="AC150" s="56">
        <f t="shared" si="46"/>
        <v>3544.0501326168887</v>
      </c>
      <c r="AE150" s="56">
        <v>0</v>
      </c>
      <c r="AF150" s="56">
        <f t="shared" si="47"/>
        <v>0</v>
      </c>
      <c r="AG150" s="56">
        <f t="shared" si="48"/>
        <v>3544.0501326168887</v>
      </c>
      <c r="AI150" s="56">
        <f t="shared" si="49"/>
        <v>3209.8514182137328</v>
      </c>
      <c r="AJ150" s="56">
        <f t="shared" si="50"/>
        <v>334.19871440315609</v>
      </c>
      <c r="AK150" s="56">
        <f t="shared" si="51"/>
        <v>0</v>
      </c>
      <c r="AM150" s="56">
        <f t="shared" si="52"/>
        <v>359356</v>
      </c>
      <c r="AN150" s="56">
        <f t="shared" si="53"/>
        <v>35638</v>
      </c>
      <c r="AO150" s="56">
        <f t="shared" si="54"/>
        <v>94657</v>
      </c>
      <c r="AP150" s="56"/>
      <c r="AQ150" s="56">
        <f t="shared" si="55"/>
        <v>489651</v>
      </c>
      <c r="AS150" s="56">
        <v>1242.5094202168416</v>
      </c>
      <c r="AT150" s="56">
        <v>123.22196016676445</v>
      </c>
      <c r="AU150" s="56">
        <v>327.28607339091479</v>
      </c>
      <c r="AV150" s="56"/>
      <c r="AW150" s="56">
        <v>1693.0174537745211</v>
      </c>
      <c r="AY150" s="16">
        <v>-1.8754137013276662E-2</v>
      </c>
      <c r="AZ150" s="16">
        <v>-6.5355582079226315E-2</v>
      </c>
      <c r="BA150" s="16">
        <v>-1.5477766886257127E-2</v>
      </c>
      <c r="BB150" s="16">
        <f t="shared" si="56"/>
        <v>-2.1675033064031402E-2</v>
      </c>
      <c r="BC150" s="16"/>
      <c r="BE150" s="16">
        <v>3.9775859374721723E-2</v>
      </c>
      <c r="BF150" s="16">
        <v>4.5441220672578053E-2</v>
      </c>
      <c r="BG150" s="16">
        <v>8.1515880314914524E-2</v>
      </c>
      <c r="BH150" s="16">
        <f>AQ150/(VLOOKUP($A150,'2016-17'!$A$12:$D$220,4,FALSE))-1</f>
        <v>4.8008198456141127E-2</v>
      </c>
      <c r="BJ150" s="16">
        <v>2.7452014939187475E-2</v>
      </c>
      <c r="BK150" s="16">
        <v>3.305022808133673E-2</v>
      </c>
      <c r="BL150" s="16">
        <v>6.8697316252871232E-2</v>
      </c>
      <c r="BM150" s="16">
        <v>3.5586781004975476E-2</v>
      </c>
    </row>
    <row r="151" spans="1:65" x14ac:dyDescent="0.2">
      <c r="A151" s="156" t="s">
        <v>347</v>
      </c>
      <c r="B151" s="156" t="s">
        <v>348</v>
      </c>
      <c r="D151" s="56">
        <f>VLOOKUP(A151,'2016-17'!$A$12:$AMX359,32,FALSE)</f>
        <v>344046</v>
      </c>
      <c r="E151" s="56">
        <v>1634.0665819298458</v>
      </c>
      <c r="F151" s="16">
        <f>VLOOKUP(A151,'2016-17'!$A$12:$AMX359,34,FALSE)</f>
        <v>2.7525825371057078E-2</v>
      </c>
      <c r="G151" s="16">
        <f>VLOOKUP(A151,'2016-17'!$A$12:$AMX359,35,FALSE)</f>
        <v>2.4124805715581843E-2</v>
      </c>
      <c r="H151" s="56"/>
      <c r="I151" s="56">
        <v>327593.30504789733</v>
      </c>
      <c r="J151" s="56">
        <v>1555.9235458128242</v>
      </c>
      <c r="K151" s="16">
        <f t="shared" si="40"/>
        <v>5.0222927937117356E-2</v>
      </c>
      <c r="L151" s="58">
        <f t="shared" si="40"/>
        <v>5.0222927937117356E-2</v>
      </c>
      <c r="M151" s="10"/>
      <c r="N151" s="56">
        <v>259170</v>
      </c>
      <c r="O151" s="56">
        <v>24869</v>
      </c>
      <c r="P151" s="56">
        <v>60007</v>
      </c>
      <c r="R151" s="56">
        <f t="shared" si="41"/>
        <v>60007</v>
      </c>
      <c r="S151" s="56">
        <f t="shared" si="42"/>
        <v>0</v>
      </c>
      <c r="U151" s="16">
        <v>8.1878814230889274E-2</v>
      </c>
      <c r="V151" s="16">
        <v>-0.11447650386778674</v>
      </c>
      <c r="W151" s="56">
        <f t="shared" si="43"/>
        <v>3</v>
      </c>
      <c r="X151" s="56">
        <f t="shared" si="44"/>
        <v>2395.5548125253258</v>
      </c>
      <c r="Y151" s="56">
        <f t="shared" si="44"/>
        <v>280.83952722454842</v>
      </c>
      <c r="AA151" s="56">
        <f t="shared" si="45"/>
        <v>0</v>
      </c>
      <c r="AB151" s="56">
        <v>0</v>
      </c>
      <c r="AC151" s="56">
        <f t="shared" si="46"/>
        <v>0</v>
      </c>
      <c r="AE151" s="56">
        <v>0</v>
      </c>
      <c r="AF151" s="56">
        <f t="shared" si="47"/>
        <v>0</v>
      </c>
      <c r="AG151" s="56">
        <f t="shared" si="48"/>
        <v>0</v>
      </c>
      <c r="AI151" s="56">
        <f t="shared" si="49"/>
        <v>0</v>
      </c>
      <c r="AJ151" s="56">
        <f t="shared" si="50"/>
        <v>0</v>
      </c>
      <c r="AK151" s="56">
        <f t="shared" si="51"/>
        <v>0</v>
      </c>
      <c r="AM151" s="56">
        <f t="shared" si="52"/>
        <v>259170</v>
      </c>
      <c r="AN151" s="56">
        <f t="shared" si="53"/>
        <v>24869</v>
      </c>
      <c r="AO151" s="56">
        <f t="shared" si="54"/>
        <v>60007</v>
      </c>
      <c r="AP151" s="56"/>
      <c r="AQ151" s="56">
        <f t="shared" si="55"/>
        <v>344046</v>
      </c>
      <c r="AS151" s="56">
        <v>1230.9430600523131</v>
      </c>
      <c r="AT151" s="56">
        <v>118.11676876351805</v>
      </c>
      <c r="AU151" s="56">
        <v>285.00675311401454</v>
      </c>
      <c r="AV151" s="56"/>
      <c r="AW151" s="56">
        <v>1634.0665819298458</v>
      </c>
      <c r="AY151" s="16">
        <v>8.1878814230889274E-2</v>
      </c>
      <c r="AZ151" s="16">
        <v>-0.11447650386778674</v>
      </c>
      <c r="BA151" s="16">
        <v>8.8616341429337275E-4</v>
      </c>
      <c r="BB151" s="16">
        <f t="shared" si="56"/>
        <v>5.0222927937117356E-2</v>
      </c>
      <c r="BC151" s="16"/>
      <c r="BE151" s="16">
        <v>1.3890788904483475E-2</v>
      </c>
      <c r="BF151" s="16">
        <v>6.9769406120943955E-2</v>
      </c>
      <c r="BG151" s="16">
        <v>7.2257670812900576E-2</v>
      </c>
      <c r="BH151" s="16">
        <f>AQ151/(VLOOKUP($A151,'2016-17'!$A$12:$D$220,4,FALSE))-1</f>
        <v>2.7525825371057078E-2</v>
      </c>
      <c r="BJ151" s="16">
        <v>1.0534900014464998E-2</v>
      </c>
      <c r="BK151" s="16">
        <v>6.6228563947240193E-2</v>
      </c>
      <c r="BL151" s="16">
        <v>6.8708592703012661E-2</v>
      </c>
      <c r="BM151" s="16">
        <v>2.4124805715581843E-2</v>
      </c>
    </row>
    <row r="152" spans="1:65" x14ac:dyDescent="0.2">
      <c r="A152" s="156" t="s">
        <v>349</v>
      </c>
      <c r="B152" s="156" t="s">
        <v>350</v>
      </c>
      <c r="D152" s="56">
        <f>VLOOKUP(A152,'2016-17'!$A$12:$AMX360,32,FALSE)</f>
        <v>482418.72329322557</v>
      </c>
      <c r="E152" s="56">
        <v>1576.9920120414488</v>
      </c>
      <c r="F152" s="16">
        <f>VLOOKUP(A152,'2016-17'!$A$12:$AMX360,34,FALSE)</f>
        <v>5.0704140277220144E-2</v>
      </c>
      <c r="G152" s="16">
        <f>VLOOKUP(A152,'2016-17'!$A$12:$AMX360,35,FALSE)</f>
        <v>3.6379152120872504E-2</v>
      </c>
      <c r="H152" s="56"/>
      <c r="I152" s="56">
        <v>493656.72842653119</v>
      </c>
      <c r="J152" s="56">
        <v>1613.7282402821834</v>
      </c>
      <c r="K152" s="16">
        <f t="shared" si="40"/>
        <v>-2.2764817100995205E-2</v>
      </c>
      <c r="L152" s="58">
        <f t="shared" si="40"/>
        <v>-2.2764817100995094E-2</v>
      </c>
      <c r="M152" s="10"/>
      <c r="N152" s="56">
        <v>341302</v>
      </c>
      <c r="O152" s="56">
        <v>37233</v>
      </c>
      <c r="P152" s="56">
        <v>100755</v>
      </c>
      <c r="R152" s="56">
        <f t="shared" si="41"/>
        <v>100755</v>
      </c>
      <c r="S152" s="56">
        <f t="shared" si="42"/>
        <v>3128.723293225572</v>
      </c>
      <c r="U152" s="16">
        <v>-2.20803612681989E-2</v>
      </c>
      <c r="V152" s="16">
        <v>-0.11171918168182615</v>
      </c>
      <c r="W152" s="56">
        <f t="shared" si="43"/>
        <v>4</v>
      </c>
      <c r="X152" s="56">
        <f t="shared" si="44"/>
        <v>3490.0822775439078</v>
      </c>
      <c r="Y152" s="56">
        <f t="shared" si="44"/>
        <v>419.15798734115509</v>
      </c>
      <c r="AA152" s="56">
        <f t="shared" si="45"/>
        <v>0</v>
      </c>
      <c r="AB152" s="56">
        <v>0</v>
      </c>
      <c r="AC152" s="56">
        <f t="shared" si="46"/>
        <v>3128.723293225572</v>
      </c>
      <c r="AE152" s="56">
        <v>0</v>
      </c>
      <c r="AF152" s="56">
        <f t="shared" si="47"/>
        <v>0</v>
      </c>
      <c r="AG152" s="56">
        <f t="shared" si="48"/>
        <v>3128.723293225572</v>
      </c>
      <c r="AI152" s="56">
        <f t="shared" si="49"/>
        <v>2793.254181665508</v>
      </c>
      <c r="AJ152" s="56">
        <f t="shared" si="50"/>
        <v>335.46911156006399</v>
      </c>
      <c r="AK152" s="56">
        <f t="shared" si="51"/>
        <v>0</v>
      </c>
      <c r="AM152" s="56">
        <f t="shared" si="52"/>
        <v>344095</v>
      </c>
      <c r="AN152" s="56">
        <f t="shared" si="53"/>
        <v>37568</v>
      </c>
      <c r="AO152" s="56">
        <f t="shared" si="54"/>
        <v>100755</v>
      </c>
      <c r="AP152" s="56"/>
      <c r="AQ152" s="56">
        <f t="shared" si="55"/>
        <v>482418</v>
      </c>
      <c r="AS152" s="56">
        <v>1124.8217371811579</v>
      </c>
      <c r="AT152" s="56">
        <v>122.8070824116065</v>
      </c>
      <c r="AU152" s="56">
        <v>329.36082805529742</v>
      </c>
      <c r="AV152" s="56"/>
      <c r="AW152" s="56">
        <v>1576.9896476480617</v>
      </c>
      <c r="AY152" s="16">
        <v>-1.4077684603608809E-2</v>
      </c>
      <c r="AZ152" s="16">
        <v>-0.10372696848018814</v>
      </c>
      <c r="BA152" s="16">
        <v>-1.9250948341823726E-2</v>
      </c>
      <c r="BB152" s="16">
        <f t="shared" si="56"/>
        <v>-2.2766282275445193E-2</v>
      </c>
      <c r="BC152" s="16"/>
      <c r="BE152" s="16">
        <v>3.8919768123747867E-2</v>
      </c>
      <c r="BF152" s="16">
        <v>7.5187129332346059E-2</v>
      </c>
      <c r="BG152" s="16">
        <v>8.3468509365826282E-2</v>
      </c>
      <c r="BH152" s="16">
        <f>AQ152/(VLOOKUP($A152,'2016-17'!$A$12:$D$220,4,FALSE))-1</f>
        <v>5.0702564950330764E-2</v>
      </c>
      <c r="BJ152" s="16">
        <v>2.4755444597011289E-2</v>
      </c>
      <c r="BK152" s="16">
        <v>6.0528347375438774E-2</v>
      </c>
      <c r="BL152" s="16">
        <v>6.869682153337342E-2</v>
      </c>
      <c r="BM152" s="16">
        <v>3.6377598271521983E-2</v>
      </c>
    </row>
    <row r="153" spans="1:65" x14ac:dyDescent="0.2">
      <c r="A153" s="156" t="s">
        <v>351</v>
      </c>
      <c r="B153" s="156" t="s">
        <v>352</v>
      </c>
      <c r="D153" s="56">
        <f>VLOOKUP(A153,'2016-17'!$A$12:$AMX361,32,FALSE)</f>
        <v>382095.88030925638</v>
      </c>
      <c r="E153" s="56">
        <v>1455.8151928670204</v>
      </c>
      <c r="F153" s="16">
        <f>VLOOKUP(A153,'2016-17'!$A$12:$AMX361,34,FALSE)</f>
        <v>6.3572916987323813E-2</v>
      </c>
      <c r="G153" s="16">
        <f>VLOOKUP(A153,'2016-17'!$A$12:$AMX361,35,FALSE)</f>
        <v>5.0877872016249492E-2</v>
      </c>
      <c r="H153" s="56"/>
      <c r="I153" s="56">
        <v>394660.70464982057</v>
      </c>
      <c r="J153" s="56">
        <v>1503.6881564694902</v>
      </c>
      <c r="K153" s="16">
        <f t="shared" si="40"/>
        <v>-3.1837029105071024E-2</v>
      </c>
      <c r="L153" s="58">
        <f t="shared" si="40"/>
        <v>-3.1837029105071024E-2</v>
      </c>
      <c r="M153" s="10"/>
      <c r="N153" s="56">
        <v>275981</v>
      </c>
      <c r="O153" s="56">
        <v>29328</v>
      </c>
      <c r="P153" s="56">
        <v>71508</v>
      </c>
      <c r="R153" s="56">
        <f t="shared" si="41"/>
        <v>71508</v>
      </c>
      <c r="S153" s="56">
        <f t="shared" si="42"/>
        <v>5278.8803092563758</v>
      </c>
      <c r="U153" s="16">
        <v>-4.38773605021191E-2</v>
      </c>
      <c r="V153" s="16">
        <v>-5.4752183249593411E-2</v>
      </c>
      <c r="W153" s="56">
        <f t="shared" si="43"/>
        <v>4</v>
      </c>
      <c r="X153" s="56">
        <f t="shared" si="44"/>
        <v>2886.4602572838844</v>
      </c>
      <c r="Y153" s="56">
        <f t="shared" si="44"/>
        <v>310.26784172667476</v>
      </c>
      <c r="AA153" s="56">
        <f t="shared" si="45"/>
        <v>0</v>
      </c>
      <c r="AB153" s="56">
        <v>0</v>
      </c>
      <c r="AC153" s="56">
        <f t="shared" si="46"/>
        <v>5278.8803092563758</v>
      </c>
      <c r="AE153" s="56">
        <v>0</v>
      </c>
      <c r="AF153" s="56">
        <f t="shared" si="47"/>
        <v>0</v>
      </c>
      <c r="AG153" s="56">
        <f t="shared" si="48"/>
        <v>5278.8803092563758</v>
      </c>
      <c r="AI153" s="56">
        <f t="shared" si="49"/>
        <v>4766.5230647370927</v>
      </c>
      <c r="AJ153" s="56">
        <f t="shared" si="50"/>
        <v>512.35724451928343</v>
      </c>
      <c r="AK153" s="56">
        <f t="shared" si="51"/>
        <v>0</v>
      </c>
      <c r="AM153" s="56">
        <f t="shared" si="52"/>
        <v>280748</v>
      </c>
      <c r="AN153" s="56">
        <f t="shared" si="53"/>
        <v>29840</v>
      </c>
      <c r="AO153" s="56">
        <f t="shared" si="54"/>
        <v>71508</v>
      </c>
      <c r="AP153" s="56"/>
      <c r="AQ153" s="56">
        <f t="shared" si="55"/>
        <v>382096</v>
      </c>
      <c r="AS153" s="56">
        <v>1069.6718410997455</v>
      </c>
      <c r="AT153" s="56">
        <v>113.69273419015062</v>
      </c>
      <c r="AU153" s="56">
        <v>272.45107360822021</v>
      </c>
      <c r="AV153" s="56"/>
      <c r="AW153" s="56">
        <v>1455.8156488981163</v>
      </c>
      <c r="AY153" s="16">
        <v>-2.7362322791239069E-2</v>
      </c>
      <c r="AZ153" s="16">
        <v>-3.8250311926072977E-2</v>
      </c>
      <c r="BA153" s="16">
        <v>-4.6406086748048025E-2</v>
      </c>
      <c r="BB153" s="16">
        <f t="shared" si="56"/>
        <v>-3.1836725830024393E-2</v>
      </c>
      <c r="BC153" s="16"/>
      <c r="BE153" s="16">
        <v>6.0122307380134687E-2</v>
      </c>
      <c r="BF153" s="16">
        <v>5.3729983751889199E-2</v>
      </c>
      <c r="BG153" s="16">
        <v>8.1612922237154217E-2</v>
      </c>
      <c r="BH153" s="16">
        <f>AQ153/(VLOOKUP($A153,'2016-17'!$A$12:$D$220,4,FALSE))-1</f>
        <v>6.3573250149338678E-2</v>
      </c>
      <c r="BJ153" s="16">
        <v>4.746844965954522E-2</v>
      </c>
      <c r="BK153" s="16">
        <v>4.115242624037263E-2</v>
      </c>
      <c r="BL153" s="16">
        <v>6.8702547715781215E-2</v>
      </c>
      <c r="BM153" s="16">
        <v>5.087820120156783E-2</v>
      </c>
    </row>
    <row r="154" spans="1:65" x14ac:dyDescent="0.2">
      <c r="A154" s="156" t="s">
        <v>353</v>
      </c>
      <c r="B154" s="156" t="s">
        <v>354</v>
      </c>
      <c r="D154" s="56">
        <f>VLOOKUP(A154,'2016-17'!$A$12:$AMX362,32,FALSE)</f>
        <v>442881.18584977463</v>
      </c>
      <c r="E154" s="56">
        <v>1643.2754724735341</v>
      </c>
      <c r="F154" s="16">
        <f>VLOOKUP(A154,'2016-17'!$A$12:$AMX362,34,FALSE)</f>
        <v>6.9214556823886442E-2</v>
      </c>
      <c r="G154" s="16">
        <f>VLOOKUP(A154,'2016-17'!$A$12:$AMX362,35,FALSE)</f>
        <v>5.7609499136531683E-2</v>
      </c>
      <c r="H154" s="56"/>
      <c r="I154" s="56">
        <v>459290.35338213592</v>
      </c>
      <c r="J154" s="56">
        <v>1704.1603856086451</v>
      </c>
      <c r="K154" s="16">
        <f t="shared" si="40"/>
        <v>-3.5727220072285348E-2</v>
      </c>
      <c r="L154" s="58">
        <f t="shared" si="40"/>
        <v>-3.5727220072285459E-2</v>
      </c>
      <c r="M154" s="10"/>
      <c r="N154" s="56">
        <v>334047</v>
      </c>
      <c r="O154" s="56">
        <v>31921</v>
      </c>
      <c r="P154" s="56">
        <v>68146</v>
      </c>
      <c r="R154" s="56">
        <f t="shared" si="41"/>
        <v>68146</v>
      </c>
      <c r="S154" s="56">
        <f t="shared" si="42"/>
        <v>8767.1858497746289</v>
      </c>
      <c r="U154" s="16">
        <v>-4.3998805574262612E-2</v>
      </c>
      <c r="V154" s="16">
        <v>-4.7918147175696646E-2</v>
      </c>
      <c r="W154" s="56">
        <f t="shared" si="43"/>
        <v>4</v>
      </c>
      <c r="X154" s="56">
        <f t="shared" si="44"/>
        <v>3494.2111155066023</v>
      </c>
      <c r="Y154" s="56">
        <f t="shared" si="44"/>
        <v>335.27579488368508</v>
      </c>
      <c r="AA154" s="56">
        <f t="shared" si="45"/>
        <v>0</v>
      </c>
      <c r="AB154" s="56">
        <v>0</v>
      </c>
      <c r="AC154" s="56">
        <f t="shared" si="46"/>
        <v>8767.1858497746289</v>
      </c>
      <c r="AE154" s="56">
        <v>0</v>
      </c>
      <c r="AF154" s="56">
        <f t="shared" si="47"/>
        <v>0</v>
      </c>
      <c r="AG154" s="56">
        <f t="shared" si="48"/>
        <v>8767.1858497746289</v>
      </c>
      <c r="AI154" s="56">
        <f t="shared" si="49"/>
        <v>7999.6090768391105</v>
      </c>
      <c r="AJ154" s="56">
        <f t="shared" si="50"/>
        <v>767.57677293551819</v>
      </c>
      <c r="AK154" s="56">
        <f t="shared" si="51"/>
        <v>0</v>
      </c>
      <c r="AM154" s="56">
        <f t="shared" si="52"/>
        <v>342047</v>
      </c>
      <c r="AN154" s="56">
        <f t="shared" si="53"/>
        <v>32689</v>
      </c>
      <c r="AO154" s="56">
        <f t="shared" si="54"/>
        <v>68146</v>
      </c>
      <c r="AP154" s="56"/>
      <c r="AQ154" s="56">
        <f t="shared" si="55"/>
        <v>442882</v>
      </c>
      <c r="AS154" s="56">
        <v>1269.1382327625263</v>
      </c>
      <c r="AT154" s="56">
        <v>121.28993878260655</v>
      </c>
      <c r="AU154" s="56">
        <v>252.85032176816381</v>
      </c>
      <c r="AV154" s="56"/>
      <c r="AW154" s="56">
        <v>1643.2784933132966</v>
      </c>
      <c r="AY154" s="16">
        <v>-2.1103795125415825E-2</v>
      </c>
      <c r="AZ154" s="16">
        <v>-2.5011632249188454E-2</v>
      </c>
      <c r="BA154" s="16">
        <v>-0.1073550416844854</v>
      </c>
      <c r="BB154" s="16">
        <f t="shared" si="56"/>
        <v>-3.5725447445842495E-2</v>
      </c>
      <c r="BC154" s="16"/>
      <c r="BE154" s="16">
        <v>6.7841110505054036E-2</v>
      </c>
      <c r="BF154" s="16">
        <v>6.0567766643295995E-2</v>
      </c>
      <c r="BG154" s="16">
        <v>8.0427954021209391E-2</v>
      </c>
      <c r="BH154" s="16">
        <f>AQ154/(VLOOKUP($A154,'2016-17'!$A$12:$D$220,4,FALSE))-1</f>
        <v>6.9216522365210587E-2</v>
      </c>
      <c r="BJ154" s="16">
        <v>5.6250959950845614E-2</v>
      </c>
      <c r="BK154" s="16">
        <v>4.9056559622503881E-2</v>
      </c>
      <c r="BL154" s="16">
        <v>6.8701188187893392E-2</v>
      </c>
      <c r="BM154" s="16">
        <v>5.7611443344232516E-2</v>
      </c>
    </row>
    <row r="155" spans="1:65" x14ac:dyDescent="0.2">
      <c r="A155" s="156" t="s">
        <v>355</v>
      </c>
      <c r="B155" s="156" t="s">
        <v>356</v>
      </c>
      <c r="D155" s="56">
        <f>VLOOKUP(A155,'2016-17'!$A$12:$AMX363,32,FALSE)</f>
        <v>461157.38779058144</v>
      </c>
      <c r="E155" s="56">
        <v>1490.6625885389017</v>
      </c>
      <c r="F155" s="16">
        <f>VLOOKUP(A155,'2016-17'!$A$12:$AMX363,34,FALSE)</f>
        <v>6.364882460351251E-2</v>
      </c>
      <c r="G155" s="16">
        <f>VLOOKUP(A155,'2016-17'!$A$12:$AMX363,35,FALSE)</f>
        <v>4.7038875454087137E-2</v>
      </c>
      <c r="H155" s="56"/>
      <c r="I155" s="56">
        <v>474688.59778160276</v>
      </c>
      <c r="J155" s="56">
        <v>1534.401383677621</v>
      </c>
      <c r="K155" s="16">
        <f t="shared" si="40"/>
        <v>-2.8505445578970501E-2</v>
      </c>
      <c r="L155" s="58">
        <f t="shared" si="40"/>
        <v>-2.850544557897039E-2</v>
      </c>
      <c r="M155" s="10"/>
      <c r="N155" s="56">
        <v>339108</v>
      </c>
      <c r="O155" s="56">
        <v>34801</v>
      </c>
      <c r="P155" s="56">
        <v>82485</v>
      </c>
      <c r="R155" s="56">
        <f t="shared" si="41"/>
        <v>82485</v>
      </c>
      <c r="S155" s="56">
        <f t="shared" si="42"/>
        <v>4763.3877905814443</v>
      </c>
      <c r="U155" s="16">
        <v>-4.3821698211555793E-2</v>
      </c>
      <c r="V155" s="16">
        <v>-0.10919401564167508</v>
      </c>
      <c r="W155" s="56">
        <f t="shared" si="43"/>
        <v>4</v>
      </c>
      <c r="X155" s="56">
        <f t="shared" si="44"/>
        <v>3546.4933618105479</v>
      </c>
      <c r="Y155" s="56">
        <f t="shared" si="44"/>
        <v>390.66868219422923</v>
      </c>
      <c r="AA155" s="56">
        <f t="shared" si="45"/>
        <v>0</v>
      </c>
      <c r="AB155" s="56">
        <v>0</v>
      </c>
      <c r="AC155" s="56">
        <f t="shared" si="46"/>
        <v>4763.3877905814443</v>
      </c>
      <c r="AE155" s="56">
        <v>0</v>
      </c>
      <c r="AF155" s="56">
        <f t="shared" si="47"/>
        <v>0</v>
      </c>
      <c r="AG155" s="56">
        <f t="shared" si="48"/>
        <v>4763.3877905814443</v>
      </c>
      <c r="AI155" s="56">
        <f t="shared" si="49"/>
        <v>4290.7360657787558</v>
      </c>
      <c r="AJ155" s="56">
        <f t="shared" si="50"/>
        <v>472.65172480268791</v>
      </c>
      <c r="AK155" s="56">
        <f t="shared" si="51"/>
        <v>0</v>
      </c>
      <c r="AM155" s="56">
        <f t="shared" si="52"/>
        <v>343399</v>
      </c>
      <c r="AN155" s="56">
        <f t="shared" si="53"/>
        <v>35274</v>
      </c>
      <c r="AO155" s="56">
        <f t="shared" si="54"/>
        <v>82485</v>
      </c>
      <c r="AP155" s="56"/>
      <c r="AQ155" s="56">
        <f t="shared" si="55"/>
        <v>461158</v>
      </c>
      <c r="AS155" s="56">
        <v>1110.0159203654093</v>
      </c>
      <c r="AT155" s="56">
        <v>114.02101221893322</v>
      </c>
      <c r="AU155" s="56">
        <v>266.62763488344694</v>
      </c>
      <c r="AV155" s="56"/>
      <c r="AW155" s="56">
        <v>1490.6645674677895</v>
      </c>
      <c r="AY155" s="16">
        <v>-3.1722422780205872E-2</v>
      </c>
      <c r="AZ155" s="16">
        <v>-9.7086569573990644E-2</v>
      </c>
      <c r="BA155" s="16">
        <v>1.8680522530133858E-2</v>
      </c>
      <c r="BB155" s="16">
        <f t="shared" si="56"/>
        <v>-2.850415587152566E-2</v>
      </c>
      <c r="BC155" s="16"/>
      <c r="BE155" s="16">
        <v>5.8365145995039391E-2</v>
      </c>
      <c r="BF155" s="16">
        <v>6.4962791066053294E-2</v>
      </c>
      <c r="BG155" s="16">
        <v>8.5647949385545541E-2</v>
      </c>
      <c r="BH155" s="16">
        <f>AQ155/(VLOOKUP($A155,'2016-17'!$A$12:$D$220,4,FALSE))-1</f>
        <v>6.3650236650344416E-2</v>
      </c>
      <c r="BJ155" s="16">
        <v>4.1837706815990305E-2</v>
      </c>
      <c r="BK155" s="16">
        <v>4.8332323005101818E-2</v>
      </c>
      <c r="BL155" s="16">
        <v>6.869446171522009E-2</v>
      </c>
      <c r="BM155" s="16">
        <v>4.7040265450383645E-2</v>
      </c>
    </row>
    <row r="156" spans="1:65" x14ac:dyDescent="0.2">
      <c r="A156" s="156" t="s">
        <v>357</v>
      </c>
      <c r="B156" s="156" t="s">
        <v>358</v>
      </c>
      <c r="D156" s="56">
        <f>VLOOKUP(A156,'2016-17'!$A$12:$AMX364,32,FALSE)</f>
        <v>441426.12489828205</v>
      </c>
      <c r="E156" s="56">
        <v>1421.0598599062807</v>
      </c>
      <c r="F156" s="16">
        <f>VLOOKUP(A156,'2016-17'!$A$12:$AMX364,34,FALSE)</f>
        <v>5.8792529401974658E-2</v>
      </c>
      <c r="G156" s="16">
        <f>VLOOKUP(A156,'2016-17'!$A$12:$AMX364,35,FALSE)</f>
        <v>4.1921679040485715E-2</v>
      </c>
      <c r="H156" s="56"/>
      <c r="I156" s="56">
        <v>452666.56397695118</v>
      </c>
      <c r="J156" s="56">
        <v>1457.2456130401699</v>
      </c>
      <c r="K156" s="16">
        <f t="shared" si="40"/>
        <v>-2.4831608899749558E-2</v>
      </c>
      <c r="L156" s="58">
        <f t="shared" si="40"/>
        <v>-2.4831608899749447E-2</v>
      </c>
      <c r="M156" s="10"/>
      <c r="N156" s="56">
        <v>325209</v>
      </c>
      <c r="O156" s="56">
        <v>34699</v>
      </c>
      <c r="P156" s="56">
        <v>76078</v>
      </c>
      <c r="R156" s="56">
        <f t="shared" si="41"/>
        <v>76078</v>
      </c>
      <c r="S156" s="56">
        <f t="shared" si="42"/>
        <v>5440.1248982820543</v>
      </c>
      <c r="U156" s="16">
        <v>-4.340831248119148E-2</v>
      </c>
      <c r="V156" s="16">
        <v>-9.4912421319026663E-2</v>
      </c>
      <c r="W156" s="56">
        <f t="shared" si="43"/>
        <v>4</v>
      </c>
      <c r="X156" s="56">
        <f t="shared" si="44"/>
        <v>3399.6636625969609</v>
      </c>
      <c r="Y156" s="56">
        <f t="shared" si="44"/>
        <v>383.37726444736415</v>
      </c>
      <c r="AA156" s="56">
        <f t="shared" si="45"/>
        <v>0</v>
      </c>
      <c r="AB156" s="56">
        <v>0</v>
      </c>
      <c r="AC156" s="56">
        <f t="shared" si="46"/>
        <v>5440.1248982820543</v>
      </c>
      <c r="AE156" s="56">
        <v>0</v>
      </c>
      <c r="AF156" s="56">
        <f t="shared" si="47"/>
        <v>0</v>
      </c>
      <c r="AG156" s="56">
        <f t="shared" si="48"/>
        <v>5440.1248982820543</v>
      </c>
      <c r="AI156" s="56">
        <f t="shared" si="49"/>
        <v>4888.8170372315381</v>
      </c>
      <c r="AJ156" s="56">
        <f t="shared" si="50"/>
        <v>551.30786105051629</v>
      </c>
      <c r="AK156" s="56">
        <f t="shared" si="51"/>
        <v>0</v>
      </c>
      <c r="AM156" s="56">
        <f t="shared" si="52"/>
        <v>330098</v>
      </c>
      <c r="AN156" s="56">
        <f t="shared" si="53"/>
        <v>35250</v>
      </c>
      <c r="AO156" s="56">
        <f t="shared" si="54"/>
        <v>76078</v>
      </c>
      <c r="AP156" s="56"/>
      <c r="AQ156" s="56">
        <f t="shared" si="55"/>
        <v>441426</v>
      </c>
      <c r="AS156" s="56">
        <v>1062.6670946207269</v>
      </c>
      <c r="AT156" s="56">
        <v>113.47846725936121</v>
      </c>
      <c r="AU156" s="56">
        <v>244.91389594773568</v>
      </c>
      <c r="AV156" s="56"/>
      <c r="AW156" s="56">
        <v>1421.0594578278237</v>
      </c>
      <c r="AY156" s="16">
        <v>-2.9027478124579398E-2</v>
      </c>
      <c r="AZ156" s="16">
        <v>-8.0540155378993394E-2</v>
      </c>
      <c r="BA156" s="16">
        <v>2.3069818661544783E-2</v>
      </c>
      <c r="BB156" s="16">
        <f t="shared" si="56"/>
        <v>-2.4831884816488237E-2</v>
      </c>
      <c r="BC156" s="16"/>
      <c r="BE156" s="16">
        <v>5.3423625826562793E-2</v>
      </c>
      <c r="BF156" s="16">
        <v>5.2106722340903522E-2</v>
      </c>
      <c r="BG156" s="16">
        <v>8.6004201574324979E-2</v>
      </c>
      <c r="BH156" s="16">
        <f>AQ156/(VLOOKUP($A156,'2016-17'!$A$12:$D$220,4,FALSE))-1</f>
        <v>5.8792229824399689E-2</v>
      </c>
      <c r="BJ156" s="16">
        <v>3.6638323829187636E-2</v>
      </c>
      <c r="BK156" s="16">
        <v>3.5342403946103884E-2</v>
      </c>
      <c r="BL156" s="16">
        <v>6.8699759138320049E-2</v>
      </c>
      <c r="BM156" s="16">
        <v>4.1921384236394132E-2</v>
      </c>
    </row>
    <row r="157" spans="1:65" x14ac:dyDescent="0.2">
      <c r="A157" s="156" t="s">
        <v>359</v>
      </c>
      <c r="B157" s="156" t="s">
        <v>360</v>
      </c>
      <c r="D157" s="56">
        <f>VLOOKUP(A157,'2016-17'!$A$12:$AMX365,32,FALSE)</f>
        <v>447201</v>
      </c>
      <c r="E157" s="56">
        <v>1874.5997996140516</v>
      </c>
      <c r="F157" s="16">
        <f>VLOOKUP(A157,'2016-17'!$A$12:$AMX365,34,FALSE)</f>
        <v>4.0736621685533825E-2</v>
      </c>
      <c r="G157" s="16">
        <f>VLOOKUP(A157,'2016-17'!$A$12:$AMX365,35,FALSE)</f>
        <v>2.2225542619424221E-2</v>
      </c>
      <c r="H157" s="56"/>
      <c r="I157" s="56">
        <v>432769.26412821782</v>
      </c>
      <c r="J157" s="56">
        <v>1814.1041183134153</v>
      </c>
      <c r="K157" s="16">
        <f t="shared" si="40"/>
        <v>3.3347414125755481E-2</v>
      </c>
      <c r="L157" s="58">
        <f t="shared" si="40"/>
        <v>3.3347414125755703E-2</v>
      </c>
      <c r="M157" s="10"/>
      <c r="N157" s="56">
        <v>326996</v>
      </c>
      <c r="O157" s="56">
        <v>31687</v>
      </c>
      <c r="P157" s="56">
        <v>88518</v>
      </c>
      <c r="R157" s="56">
        <f t="shared" si="41"/>
        <v>88518</v>
      </c>
      <c r="S157" s="56">
        <f t="shared" si="42"/>
        <v>0</v>
      </c>
      <c r="U157" s="16">
        <v>6.002693708026241E-2</v>
      </c>
      <c r="V157" s="16">
        <v>-0.12280110480860984</v>
      </c>
      <c r="W157" s="56">
        <f t="shared" si="43"/>
        <v>3</v>
      </c>
      <c r="X157" s="56">
        <f t="shared" si="44"/>
        <v>3084.7895328082664</v>
      </c>
      <c r="Y157" s="56">
        <f t="shared" si="44"/>
        <v>361.22936512689552</v>
      </c>
      <c r="AA157" s="56">
        <f t="shared" si="45"/>
        <v>0</v>
      </c>
      <c r="AB157" s="56">
        <v>0</v>
      </c>
      <c r="AC157" s="56">
        <f t="shared" si="46"/>
        <v>0</v>
      </c>
      <c r="AE157" s="56">
        <v>0</v>
      </c>
      <c r="AF157" s="56">
        <f t="shared" si="47"/>
        <v>0</v>
      </c>
      <c r="AG157" s="56">
        <f t="shared" si="48"/>
        <v>0</v>
      </c>
      <c r="AI157" s="56">
        <f t="shared" si="49"/>
        <v>0</v>
      </c>
      <c r="AJ157" s="56">
        <f t="shared" si="50"/>
        <v>0</v>
      </c>
      <c r="AK157" s="56">
        <f t="shared" si="51"/>
        <v>0</v>
      </c>
      <c r="AM157" s="56">
        <f t="shared" si="52"/>
        <v>326996</v>
      </c>
      <c r="AN157" s="56">
        <f t="shared" si="53"/>
        <v>31687</v>
      </c>
      <c r="AO157" s="56">
        <f t="shared" si="54"/>
        <v>88518</v>
      </c>
      <c r="AP157" s="56"/>
      <c r="AQ157" s="56">
        <f t="shared" si="55"/>
        <v>447201</v>
      </c>
      <c r="AS157" s="56">
        <v>1370.718393014766</v>
      </c>
      <c r="AT157" s="56">
        <v>132.82717133989067</v>
      </c>
      <c r="AU157" s="56">
        <v>371.05423525939477</v>
      </c>
      <c r="AV157" s="56"/>
      <c r="AW157" s="56">
        <v>1874.5997996140516</v>
      </c>
      <c r="AY157" s="16">
        <v>6.002693708026241E-2</v>
      </c>
      <c r="AZ157" s="16">
        <v>-0.12280110480860984</v>
      </c>
      <c r="BA157" s="16">
        <v>3.9768187262481103E-3</v>
      </c>
      <c r="BB157" s="16">
        <f t="shared" si="56"/>
        <v>3.3347414125755481E-2</v>
      </c>
      <c r="BC157" s="16"/>
      <c r="BE157" s="16">
        <v>2.1707143043230737E-2</v>
      </c>
      <c r="BF157" s="16">
        <v>0.119926189191081</v>
      </c>
      <c r="BG157" s="16">
        <v>8.8057922695661928E-2</v>
      </c>
      <c r="BH157" s="16">
        <f>AQ157/(VLOOKUP($A157,'2016-17'!$A$12:$D$220,4,FALSE))-1</f>
        <v>4.0736621685533825E-2</v>
      </c>
      <c r="BJ157" s="16">
        <v>3.534532112473121E-3</v>
      </c>
      <c r="BK157" s="16">
        <v>0.10000660357801028</v>
      </c>
      <c r="BL157" s="16">
        <v>6.8705162529591579E-2</v>
      </c>
      <c r="BM157" s="16">
        <v>2.2225542619424221E-2</v>
      </c>
    </row>
    <row r="158" spans="1:65" x14ac:dyDescent="0.2">
      <c r="A158" s="156" t="s">
        <v>361</v>
      </c>
      <c r="B158" s="156" t="s">
        <v>362</v>
      </c>
      <c r="D158" s="56">
        <f>VLOOKUP(A158,'2016-17'!$A$12:$AMX366,32,FALSE)</f>
        <v>291169</v>
      </c>
      <c r="E158" s="56">
        <v>1413.590845940322</v>
      </c>
      <c r="F158" s="16">
        <f>VLOOKUP(A158,'2016-17'!$A$12:$AMX366,34,FALSE)</f>
        <v>4.002295523706767E-2</v>
      </c>
      <c r="G158" s="16">
        <f>VLOOKUP(A158,'2016-17'!$A$12:$AMX366,35,FALSE)</f>
        <v>2.2824047751669463E-2</v>
      </c>
      <c r="H158" s="56"/>
      <c r="I158" s="56">
        <v>291885.76228760579</v>
      </c>
      <c r="J158" s="56">
        <v>1417.0706415520622</v>
      </c>
      <c r="K158" s="16">
        <f t="shared" si="40"/>
        <v>-2.455626070926753E-3</v>
      </c>
      <c r="L158" s="58">
        <f t="shared" si="40"/>
        <v>-2.455626070926753E-3</v>
      </c>
      <c r="M158" s="10"/>
      <c r="N158" s="56">
        <v>217326</v>
      </c>
      <c r="O158" s="56">
        <v>24576</v>
      </c>
      <c r="P158" s="56">
        <v>49267</v>
      </c>
      <c r="R158" s="56">
        <f t="shared" si="41"/>
        <v>49267</v>
      </c>
      <c r="S158" s="56">
        <f t="shared" si="42"/>
        <v>0</v>
      </c>
      <c r="U158" s="16">
        <v>-3.3274837811635427E-3</v>
      </c>
      <c r="V158" s="16">
        <v>3.4774318790794512E-2</v>
      </c>
      <c r="W158" s="56">
        <f t="shared" si="43"/>
        <v>1</v>
      </c>
      <c r="X158" s="56">
        <f t="shared" si="44"/>
        <v>2180.5156303947119</v>
      </c>
      <c r="Y158" s="56">
        <f t="shared" si="44"/>
        <v>237.50106234486725</v>
      </c>
      <c r="AA158" s="56">
        <f t="shared" si="45"/>
        <v>0</v>
      </c>
      <c r="AB158" s="56">
        <v>0</v>
      </c>
      <c r="AC158" s="56">
        <f t="shared" si="46"/>
        <v>0</v>
      </c>
      <c r="AE158" s="56">
        <v>0</v>
      </c>
      <c r="AF158" s="56">
        <f t="shared" si="47"/>
        <v>0</v>
      </c>
      <c r="AG158" s="56">
        <f t="shared" si="48"/>
        <v>0</v>
      </c>
      <c r="AI158" s="56">
        <f t="shared" si="49"/>
        <v>0</v>
      </c>
      <c r="AJ158" s="56">
        <f t="shared" si="50"/>
        <v>0</v>
      </c>
      <c r="AK158" s="56">
        <f t="shared" si="51"/>
        <v>0</v>
      </c>
      <c r="AM158" s="56">
        <f t="shared" si="52"/>
        <v>217326</v>
      </c>
      <c r="AN158" s="56">
        <f t="shared" si="53"/>
        <v>24576</v>
      </c>
      <c r="AO158" s="56">
        <f t="shared" si="54"/>
        <v>49267</v>
      </c>
      <c r="AP158" s="56"/>
      <c r="AQ158" s="56">
        <f t="shared" si="55"/>
        <v>291169</v>
      </c>
      <c r="AS158" s="56">
        <v>1055.0918682443064</v>
      </c>
      <c r="AT158" s="56">
        <v>119.31355546033181</v>
      </c>
      <c r="AU158" s="56">
        <v>239.18542223568389</v>
      </c>
      <c r="AV158" s="56"/>
      <c r="AW158" s="56">
        <v>1413.590845940322</v>
      </c>
      <c r="AY158" s="16">
        <v>-3.3274837811635427E-3</v>
      </c>
      <c r="AZ158" s="16">
        <v>3.4774318790794512E-2</v>
      </c>
      <c r="BA158" s="16">
        <v>-1.631442169523234E-2</v>
      </c>
      <c r="BB158" s="16">
        <f t="shared" si="56"/>
        <v>-2.455626070926753E-3</v>
      </c>
      <c r="BC158" s="16"/>
      <c r="BE158" s="16">
        <v>3.0488619346960677E-2</v>
      </c>
      <c r="BF158" s="16">
        <v>3.5652286996229687E-2</v>
      </c>
      <c r="BG158" s="16">
        <v>8.6660900783188888E-2</v>
      </c>
      <c r="BH158" s="16">
        <f>AQ158/(VLOOKUP($A158,'2016-17'!$A$12:$D$220,4,FALSE))-1</f>
        <v>4.002295523706767E-2</v>
      </c>
      <c r="BJ158" s="16">
        <v>1.3447381613064691E-2</v>
      </c>
      <c r="BK158" s="16">
        <v>1.8525657452722388E-2</v>
      </c>
      <c r="BL158" s="16">
        <v>6.8690739445443016E-2</v>
      </c>
      <c r="BM158" s="16">
        <v>2.2824047751669463E-2</v>
      </c>
    </row>
    <row r="159" spans="1:65" x14ac:dyDescent="0.2">
      <c r="A159" s="156" t="s">
        <v>363</v>
      </c>
      <c r="B159" s="156" t="s">
        <v>364</v>
      </c>
      <c r="D159" s="56">
        <f>VLOOKUP(A159,'2016-17'!$A$12:$AMX367,32,FALSE)</f>
        <v>659772</v>
      </c>
      <c r="E159" s="56">
        <v>1698.4599708988089</v>
      </c>
      <c r="F159" s="16">
        <f>VLOOKUP(A159,'2016-17'!$A$12:$AMX367,34,FALSE)</f>
        <v>4.2437206278264528E-2</v>
      </c>
      <c r="G159" s="16">
        <f>VLOOKUP(A159,'2016-17'!$A$12:$AMX367,35,FALSE)</f>
        <v>3.0323411925892385E-2</v>
      </c>
      <c r="H159" s="56"/>
      <c r="I159" s="56">
        <v>663081.6091155631</v>
      </c>
      <c r="J159" s="56">
        <v>1706.9799423466816</v>
      </c>
      <c r="K159" s="16">
        <f t="shared" si="40"/>
        <v>-4.9912545757038185E-3</v>
      </c>
      <c r="L159" s="58">
        <f t="shared" si="40"/>
        <v>-4.9912545757039295E-3</v>
      </c>
      <c r="M159" s="10"/>
      <c r="N159" s="56">
        <v>451428</v>
      </c>
      <c r="O159" s="56">
        <v>52921</v>
      </c>
      <c r="P159" s="56">
        <v>155423</v>
      </c>
      <c r="R159" s="56">
        <f t="shared" si="41"/>
        <v>155423</v>
      </c>
      <c r="S159" s="56">
        <f t="shared" si="42"/>
        <v>0</v>
      </c>
      <c r="U159" s="16">
        <v>-1.4665437898557454E-2</v>
      </c>
      <c r="V159" s="16">
        <v>-1.4412271958388345E-2</v>
      </c>
      <c r="W159" s="56">
        <f t="shared" si="43"/>
        <v>4</v>
      </c>
      <c r="X159" s="56">
        <f t="shared" si="44"/>
        <v>4581.4692528112537</v>
      </c>
      <c r="Y159" s="56">
        <f t="shared" si="44"/>
        <v>536.94864997107254</v>
      </c>
      <c r="AA159" s="56">
        <f t="shared" si="45"/>
        <v>0</v>
      </c>
      <c r="AB159" s="56">
        <v>0</v>
      </c>
      <c r="AC159" s="56">
        <f t="shared" si="46"/>
        <v>0</v>
      </c>
      <c r="AE159" s="56">
        <v>0</v>
      </c>
      <c r="AF159" s="56">
        <f t="shared" si="47"/>
        <v>0</v>
      </c>
      <c r="AG159" s="56">
        <f t="shared" si="48"/>
        <v>0</v>
      </c>
      <c r="AI159" s="56">
        <f t="shared" si="49"/>
        <v>0</v>
      </c>
      <c r="AJ159" s="56">
        <f t="shared" si="50"/>
        <v>0</v>
      </c>
      <c r="AK159" s="56">
        <f t="shared" si="51"/>
        <v>0</v>
      </c>
      <c r="AM159" s="56">
        <f t="shared" si="52"/>
        <v>451428</v>
      </c>
      <c r="AN159" s="56">
        <f t="shared" si="53"/>
        <v>52921</v>
      </c>
      <c r="AO159" s="56">
        <f t="shared" si="54"/>
        <v>155423</v>
      </c>
      <c r="AP159" s="56"/>
      <c r="AQ159" s="56">
        <f t="shared" si="55"/>
        <v>659772</v>
      </c>
      <c r="AS159" s="56">
        <v>1162.1171976726923</v>
      </c>
      <c r="AT159" s="56">
        <v>136.23524508456842</v>
      </c>
      <c r="AU159" s="56">
        <v>400.10752814154824</v>
      </c>
      <c r="AV159" s="56"/>
      <c r="AW159" s="56">
        <v>1698.4599708988089</v>
      </c>
      <c r="AY159" s="16">
        <v>-1.4665437898557454E-2</v>
      </c>
      <c r="AZ159" s="16">
        <v>-1.4412271958388345E-2</v>
      </c>
      <c r="BA159" s="16">
        <v>2.7659257957515226E-2</v>
      </c>
      <c r="BB159" s="16">
        <f t="shared" si="56"/>
        <v>-4.9912545757038185E-3</v>
      </c>
      <c r="BC159" s="16"/>
      <c r="BE159" s="16">
        <v>3.0488454147840738E-2</v>
      </c>
      <c r="BF159" s="16">
        <v>3.5647950003875994E-2</v>
      </c>
      <c r="BG159" s="16">
        <v>8.1266164420106923E-2</v>
      </c>
      <c r="BH159" s="16">
        <f>AQ159/(VLOOKUP($A159,'2016-17'!$A$12:$D$220,4,FALSE))-1</f>
        <v>4.2437206278264528E-2</v>
      </c>
      <c r="BJ159" s="16">
        <v>1.8513512021006706E-2</v>
      </c>
      <c r="BK159" s="16">
        <v>2.3613051199185886E-2</v>
      </c>
      <c r="BL159" s="16">
        <v>6.8701152468233939E-2</v>
      </c>
      <c r="BM159" s="16">
        <v>3.0323411925892385E-2</v>
      </c>
    </row>
    <row r="160" spans="1:65" x14ac:dyDescent="0.2">
      <c r="A160" s="156" t="s">
        <v>365</v>
      </c>
      <c r="B160" s="156" t="s">
        <v>366</v>
      </c>
      <c r="D160" s="56">
        <f>VLOOKUP(A160,'2016-17'!$A$12:$AMX368,32,FALSE)</f>
        <v>554889</v>
      </c>
      <c r="E160" s="56">
        <v>1748.3690585356007</v>
      </c>
      <c r="F160" s="16">
        <f>VLOOKUP(A160,'2016-17'!$A$12:$AMX368,34,FALSE)</f>
        <v>4.1034737914394714E-2</v>
      </c>
      <c r="G160" s="16">
        <f>VLOOKUP(A160,'2016-17'!$A$12:$AMX368,35,FALSE)</f>
        <v>2.6030688907629385E-2</v>
      </c>
      <c r="H160" s="56"/>
      <c r="I160" s="56">
        <v>548279.17393591243</v>
      </c>
      <c r="J160" s="56">
        <v>1727.5425231875352</v>
      </c>
      <c r="K160" s="16">
        <f t="shared" si="40"/>
        <v>1.2055584779260942E-2</v>
      </c>
      <c r="L160" s="58">
        <f t="shared" si="40"/>
        <v>1.2055584779260942E-2</v>
      </c>
      <c r="M160" s="10"/>
      <c r="N160" s="56">
        <v>405174</v>
      </c>
      <c r="O160" s="56">
        <v>40576</v>
      </c>
      <c r="P160" s="56">
        <v>109139</v>
      </c>
      <c r="R160" s="56">
        <f t="shared" si="41"/>
        <v>109139</v>
      </c>
      <c r="S160" s="56">
        <f t="shared" si="42"/>
        <v>0</v>
      </c>
      <c r="U160" s="16">
        <v>2.5202533708710728E-2</v>
      </c>
      <c r="V160" s="16">
        <v>-7.0759813191472398E-2</v>
      </c>
      <c r="W160" s="56">
        <f t="shared" si="43"/>
        <v>3</v>
      </c>
      <c r="X160" s="56">
        <f t="shared" si="44"/>
        <v>3952.1361553240317</v>
      </c>
      <c r="Y160" s="56">
        <f t="shared" si="44"/>
        <v>436.65782621130643</v>
      </c>
      <c r="AA160" s="56">
        <f t="shared" si="45"/>
        <v>0</v>
      </c>
      <c r="AB160" s="56">
        <v>0</v>
      </c>
      <c r="AC160" s="56">
        <f t="shared" si="46"/>
        <v>0</v>
      </c>
      <c r="AE160" s="56">
        <v>0</v>
      </c>
      <c r="AF160" s="56">
        <f t="shared" si="47"/>
        <v>0</v>
      </c>
      <c r="AG160" s="56">
        <f t="shared" si="48"/>
        <v>0</v>
      </c>
      <c r="AI160" s="56">
        <f t="shared" si="49"/>
        <v>0</v>
      </c>
      <c r="AJ160" s="56">
        <f t="shared" si="50"/>
        <v>0</v>
      </c>
      <c r="AK160" s="56">
        <f t="shared" si="51"/>
        <v>0</v>
      </c>
      <c r="AM160" s="56">
        <f t="shared" si="52"/>
        <v>405174</v>
      </c>
      <c r="AN160" s="56">
        <f t="shared" si="53"/>
        <v>40576</v>
      </c>
      <c r="AO160" s="56">
        <f t="shared" si="54"/>
        <v>109139</v>
      </c>
      <c r="AP160" s="56"/>
      <c r="AQ160" s="56">
        <f t="shared" si="55"/>
        <v>554889</v>
      </c>
      <c r="AS160" s="56">
        <v>1276.6403459486555</v>
      </c>
      <c r="AT160" s="56">
        <v>127.84867409363051</v>
      </c>
      <c r="AU160" s="56">
        <v>343.88003849331477</v>
      </c>
      <c r="AV160" s="56"/>
      <c r="AW160" s="56">
        <v>1748.3690585356007</v>
      </c>
      <c r="AY160" s="16">
        <v>2.5202533708710728E-2</v>
      </c>
      <c r="AZ160" s="16">
        <v>-7.0759813191472398E-2</v>
      </c>
      <c r="BA160" s="16">
        <v>-2.3836957664096214E-3</v>
      </c>
      <c r="BB160" s="16">
        <f t="shared" si="56"/>
        <v>1.2055584779260942E-2</v>
      </c>
      <c r="BC160" s="16"/>
      <c r="BE160" s="16">
        <v>3.0488183724556972E-2</v>
      </c>
      <c r="BF160" s="16">
        <v>3.5664308781966136E-2</v>
      </c>
      <c r="BG160" s="16">
        <v>8.4324343140586677E-2</v>
      </c>
      <c r="BH160" s="16">
        <f>AQ160/(VLOOKUP($A160,'2016-17'!$A$12:$D$220,4,FALSE))-1</f>
        <v>4.1034737914394714E-2</v>
      </c>
      <c r="BJ160" s="16">
        <v>1.5636138306292402E-2</v>
      </c>
      <c r="BK160" s="16">
        <v>2.0737661785869221E-2</v>
      </c>
      <c r="BL160" s="16">
        <v>6.8696377049557222E-2</v>
      </c>
      <c r="BM160" s="16">
        <v>2.6030688907629385E-2</v>
      </c>
    </row>
    <row r="161" spans="1:65" x14ac:dyDescent="0.2">
      <c r="A161" s="156" t="s">
        <v>367</v>
      </c>
      <c r="B161" s="156" t="s">
        <v>368</v>
      </c>
      <c r="D161" s="56">
        <f>VLOOKUP(A161,'2016-17'!$A$12:$AMX369,32,FALSE)</f>
        <v>321937</v>
      </c>
      <c r="E161" s="56">
        <v>1439.3486170714043</v>
      </c>
      <c r="F161" s="16">
        <f>VLOOKUP(A161,'2016-17'!$A$12:$AMX369,34,FALSE)</f>
        <v>3.9355596627703271E-2</v>
      </c>
      <c r="G161" s="16">
        <f>VLOOKUP(A161,'2016-17'!$A$12:$AMX369,35,FALSE)</f>
        <v>2.5389295592876726E-2</v>
      </c>
      <c r="H161" s="56"/>
      <c r="I161" s="56">
        <v>321002.48257139541</v>
      </c>
      <c r="J161" s="56">
        <v>1435.1704816955664</v>
      </c>
      <c r="K161" s="16">
        <f t="shared" si="40"/>
        <v>2.9112467327936375E-3</v>
      </c>
      <c r="L161" s="58">
        <f t="shared" si="40"/>
        <v>2.9112467327934155E-3</v>
      </c>
      <c r="M161" s="10"/>
      <c r="N161" s="56">
        <v>237592</v>
      </c>
      <c r="O161" s="56">
        <v>28107</v>
      </c>
      <c r="P161" s="56">
        <v>56238</v>
      </c>
      <c r="R161" s="56">
        <f t="shared" si="41"/>
        <v>56238</v>
      </c>
      <c r="S161" s="56">
        <f t="shared" si="42"/>
        <v>0</v>
      </c>
      <c r="U161" s="16">
        <v>2.3118896844209758E-4</v>
      </c>
      <c r="V161" s="16">
        <v>7.9802113941669806E-2</v>
      </c>
      <c r="W161" s="56">
        <f t="shared" si="43"/>
        <v>2</v>
      </c>
      <c r="X161" s="56">
        <f t="shared" si="44"/>
        <v>2375.3708404657255</v>
      </c>
      <c r="Y161" s="56">
        <f t="shared" si="44"/>
        <v>260.29769378205089</v>
      </c>
      <c r="AA161" s="56">
        <f t="shared" si="45"/>
        <v>0</v>
      </c>
      <c r="AB161" s="56">
        <v>0</v>
      </c>
      <c r="AC161" s="56">
        <f t="shared" si="46"/>
        <v>0</v>
      </c>
      <c r="AE161" s="56">
        <v>0</v>
      </c>
      <c r="AF161" s="56">
        <f t="shared" si="47"/>
        <v>0</v>
      </c>
      <c r="AG161" s="56">
        <f t="shared" si="48"/>
        <v>0</v>
      </c>
      <c r="AI161" s="56">
        <f t="shared" si="49"/>
        <v>0</v>
      </c>
      <c r="AJ161" s="56">
        <f t="shared" si="50"/>
        <v>0</v>
      </c>
      <c r="AK161" s="56">
        <f t="shared" si="51"/>
        <v>0</v>
      </c>
      <c r="AM161" s="56">
        <f t="shared" si="52"/>
        <v>237592</v>
      </c>
      <c r="AN161" s="56">
        <f t="shared" si="53"/>
        <v>28107</v>
      </c>
      <c r="AO161" s="56">
        <f t="shared" si="54"/>
        <v>56238</v>
      </c>
      <c r="AP161" s="56"/>
      <c r="AQ161" s="56">
        <f t="shared" si="55"/>
        <v>321937</v>
      </c>
      <c r="AS161" s="56">
        <v>1062.2504298270442</v>
      </c>
      <c r="AT161" s="56">
        <v>125.66362853609856</v>
      </c>
      <c r="AU161" s="56">
        <v>251.43455870826168</v>
      </c>
      <c r="AV161" s="56"/>
      <c r="AW161" s="56">
        <v>1439.3486170714043</v>
      </c>
      <c r="AY161" s="16">
        <v>2.3118896844209758E-4</v>
      </c>
      <c r="AZ161" s="16">
        <v>7.9802113941669806E-2</v>
      </c>
      <c r="BA161" s="16">
        <v>-2.0851676292437782E-2</v>
      </c>
      <c r="BB161" s="16">
        <f t="shared" si="56"/>
        <v>2.9112467327936375E-3</v>
      </c>
      <c r="BC161" s="16"/>
      <c r="BE161" s="16">
        <v>3.0486602095427973E-2</v>
      </c>
      <c r="BF161" s="16">
        <v>3.0763956471274723E-2</v>
      </c>
      <c r="BG161" s="16">
        <v>8.3256376560777445E-2</v>
      </c>
      <c r="BH161" s="16">
        <f>AQ161/(VLOOKUP($A161,'2016-17'!$A$12:$D$220,4,FALSE))-1</f>
        <v>3.9355596627703271E-2</v>
      </c>
      <c r="BJ161" s="16">
        <v>1.6639477835052707E-2</v>
      </c>
      <c r="BK161" s="16">
        <v>1.6913105272093221E-2</v>
      </c>
      <c r="BL161" s="16">
        <v>6.870016047647387E-2</v>
      </c>
      <c r="BM161" s="16">
        <v>2.5389295592876726E-2</v>
      </c>
    </row>
    <row r="162" spans="1:65" x14ac:dyDescent="0.2">
      <c r="A162" s="156" t="s">
        <v>369</v>
      </c>
      <c r="B162" s="156" t="s">
        <v>370</v>
      </c>
      <c r="D162" s="56">
        <f>VLOOKUP(A162,'2016-17'!$A$12:$AMX370,32,FALSE)</f>
        <v>562436</v>
      </c>
      <c r="E162" s="56">
        <v>1489.1003799020571</v>
      </c>
      <c r="F162" s="16">
        <f>VLOOKUP(A162,'2016-17'!$A$12:$AMX370,34,FALSE)</f>
        <v>3.9100783938921913E-2</v>
      </c>
      <c r="G162" s="16">
        <f>VLOOKUP(A162,'2016-17'!$A$12:$AMX370,35,FALSE)</f>
        <v>2.169759296422602E-2</v>
      </c>
      <c r="H162" s="56"/>
      <c r="I162" s="56">
        <v>546551.21544482303</v>
      </c>
      <c r="J162" s="56">
        <v>1447.0439704336441</v>
      </c>
      <c r="K162" s="16">
        <f t="shared" si="40"/>
        <v>2.9063670716108048E-2</v>
      </c>
      <c r="L162" s="58">
        <f t="shared" si="40"/>
        <v>2.9063670716108048E-2</v>
      </c>
      <c r="M162" s="10"/>
      <c r="N162" s="56">
        <v>418341</v>
      </c>
      <c r="O162" s="56">
        <v>50255</v>
      </c>
      <c r="P162" s="56">
        <v>93840</v>
      </c>
      <c r="R162" s="56">
        <f t="shared" si="41"/>
        <v>93840</v>
      </c>
      <c r="S162" s="56">
        <f t="shared" si="42"/>
        <v>0</v>
      </c>
      <c r="U162" s="16">
        <v>4.5101313138904642E-2</v>
      </c>
      <c r="V162" s="16">
        <v>-1.5383080160998652E-2</v>
      </c>
      <c r="W162" s="56">
        <f t="shared" si="43"/>
        <v>3</v>
      </c>
      <c r="X162" s="56">
        <f t="shared" si="44"/>
        <v>4002.8750776662569</v>
      </c>
      <c r="Y162" s="56">
        <f t="shared" si="44"/>
        <v>510.40154792604415</v>
      </c>
      <c r="AA162" s="56">
        <f t="shared" si="45"/>
        <v>0</v>
      </c>
      <c r="AB162" s="56">
        <v>0</v>
      </c>
      <c r="AC162" s="56">
        <f t="shared" si="46"/>
        <v>0</v>
      </c>
      <c r="AE162" s="56">
        <v>0</v>
      </c>
      <c r="AF162" s="56">
        <f t="shared" si="47"/>
        <v>0</v>
      </c>
      <c r="AG162" s="56">
        <f t="shared" si="48"/>
        <v>0</v>
      </c>
      <c r="AI162" s="56">
        <f t="shared" si="49"/>
        <v>0</v>
      </c>
      <c r="AJ162" s="56">
        <f t="shared" si="50"/>
        <v>0</v>
      </c>
      <c r="AK162" s="56">
        <f t="shared" si="51"/>
        <v>0</v>
      </c>
      <c r="AM162" s="56">
        <f t="shared" si="52"/>
        <v>418341</v>
      </c>
      <c r="AN162" s="56">
        <f t="shared" si="53"/>
        <v>50255</v>
      </c>
      <c r="AO162" s="56">
        <f t="shared" si="54"/>
        <v>93840</v>
      </c>
      <c r="AP162" s="56"/>
      <c r="AQ162" s="56">
        <f t="shared" si="55"/>
        <v>562436</v>
      </c>
      <c r="AS162" s="56">
        <v>1107.5957833933219</v>
      </c>
      <c r="AT162" s="56">
        <v>133.05467571773121</v>
      </c>
      <c r="AU162" s="56">
        <v>248.44992079100385</v>
      </c>
      <c r="AV162" s="56"/>
      <c r="AW162" s="56">
        <v>1489.1003799020571</v>
      </c>
      <c r="AY162" s="16">
        <v>4.5101313138904642E-2</v>
      </c>
      <c r="AZ162" s="16">
        <v>-1.5383080160998652E-2</v>
      </c>
      <c r="BA162" s="16">
        <v>-1.4529523880033479E-2</v>
      </c>
      <c r="BB162" s="16">
        <f t="shared" si="56"/>
        <v>2.9063670716108048E-2</v>
      </c>
      <c r="BC162" s="16"/>
      <c r="BE162" s="16">
        <v>2.9356480808629959E-2</v>
      </c>
      <c r="BF162" s="16">
        <v>3.5663677932192384E-2</v>
      </c>
      <c r="BG162" s="16">
        <v>8.6901372963412271E-2</v>
      </c>
      <c r="BH162" s="16">
        <f>AQ162/(VLOOKUP($A162,'2016-17'!$A$12:$D$220,4,FALSE))-1</f>
        <v>3.9100783938921913E-2</v>
      </c>
      <c r="BJ162" s="16">
        <v>1.2116490527180668E-2</v>
      </c>
      <c r="BK162" s="16">
        <v>1.8318052703918841E-2</v>
      </c>
      <c r="BL162" s="16">
        <v>6.8697602495028987E-2</v>
      </c>
      <c r="BM162" s="16">
        <v>2.169759296422602E-2</v>
      </c>
    </row>
    <row r="163" spans="1:65" x14ac:dyDescent="0.2">
      <c r="A163" s="156" t="s">
        <v>371</v>
      </c>
      <c r="B163" s="156" t="s">
        <v>372</v>
      </c>
      <c r="D163" s="56">
        <f>VLOOKUP(A163,'2016-17'!$A$12:$AMX371,32,FALSE)</f>
        <v>442153.53159849381</v>
      </c>
      <c r="E163" s="56">
        <v>1443.1363895256759</v>
      </c>
      <c r="F163" s="16">
        <f>VLOOKUP(A163,'2016-17'!$A$12:$AMX371,34,FALSE)</f>
        <v>6.0412416438869077E-2</v>
      </c>
      <c r="G163" s="16">
        <f>VLOOKUP(A163,'2016-17'!$A$12:$AMX371,35,FALSE)</f>
        <v>4.1329016043040623E-2</v>
      </c>
      <c r="H163" s="56"/>
      <c r="I163" s="56">
        <v>453307.72183287266</v>
      </c>
      <c r="J163" s="56">
        <v>1479.542336040972</v>
      </c>
      <c r="K163" s="16">
        <f t="shared" si="40"/>
        <v>-2.4606221551397356E-2</v>
      </c>
      <c r="L163" s="58">
        <f t="shared" si="40"/>
        <v>-2.4606221551397356E-2</v>
      </c>
      <c r="M163" s="10"/>
      <c r="N163" s="56">
        <v>329265</v>
      </c>
      <c r="O163" s="56">
        <v>32852</v>
      </c>
      <c r="P163" s="56">
        <v>72913</v>
      </c>
      <c r="R163" s="56">
        <f t="shared" si="41"/>
        <v>72913</v>
      </c>
      <c r="S163" s="56">
        <f t="shared" si="42"/>
        <v>7123.5315984938061</v>
      </c>
      <c r="U163" s="16">
        <v>-3.0590518668613731E-2</v>
      </c>
      <c r="V163" s="16">
        <v>-0.11324926608867947</v>
      </c>
      <c r="W163" s="56">
        <f t="shared" si="43"/>
        <v>4</v>
      </c>
      <c r="X163" s="56">
        <f t="shared" si="44"/>
        <v>3396.5522964329552</v>
      </c>
      <c r="Y163" s="56">
        <f t="shared" si="44"/>
        <v>370.47615235788874</v>
      </c>
      <c r="AA163" s="56">
        <f t="shared" si="45"/>
        <v>0</v>
      </c>
      <c r="AB163" s="56">
        <v>0</v>
      </c>
      <c r="AC163" s="56">
        <f t="shared" si="46"/>
        <v>7123.5315984938061</v>
      </c>
      <c r="AE163" s="56">
        <v>0</v>
      </c>
      <c r="AF163" s="56">
        <f t="shared" si="47"/>
        <v>0</v>
      </c>
      <c r="AG163" s="56">
        <f t="shared" si="48"/>
        <v>7123.5315984938061</v>
      </c>
      <c r="AI163" s="56">
        <f t="shared" si="49"/>
        <v>6422.9532477630246</v>
      </c>
      <c r="AJ163" s="56">
        <f t="shared" si="50"/>
        <v>700.57835073078218</v>
      </c>
      <c r="AK163" s="56">
        <f t="shared" si="51"/>
        <v>0</v>
      </c>
      <c r="AM163" s="56">
        <f t="shared" si="52"/>
        <v>335688</v>
      </c>
      <c r="AN163" s="56">
        <f t="shared" si="53"/>
        <v>33553</v>
      </c>
      <c r="AO163" s="56">
        <f t="shared" si="54"/>
        <v>72913</v>
      </c>
      <c r="AP163" s="56"/>
      <c r="AQ163" s="56">
        <f t="shared" si="55"/>
        <v>442154</v>
      </c>
      <c r="AS163" s="56">
        <v>1095.6455930041143</v>
      </c>
      <c r="AT163" s="56">
        <v>109.51298998494747</v>
      </c>
      <c r="AU163" s="56">
        <v>237.97933534326214</v>
      </c>
      <c r="AV163" s="56"/>
      <c r="AW163" s="56">
        <v>1443.1379183323238</v>
      </c>
      <c r="AY163" s="16">
        <v>-1.1680166524925539E-2</v>
      </c>
      <c r="AZ163" s="16">
        <v>-9.4327670311502021E-2</v>
      </c>
      <c r="BA163" s="16">
        <v>-4.8193758682171017E-2</v>
      </c>
      <c r="BB163" s="16">
        <f t="shared" si="56"/>
        <v>-2.4605188254403609E-2</v>
      </c>
      <c r="BC163" s="16"/>
      <c r="BE163" s="16">
        <v>5.0588107666728499E-2</v>
      </c>
      <c r="BF163" s="16">
        <v>0.10221606102216052</v>
      </c>
      <c r="BG163" s="16">
        <v>8.8278855292604375E-2</v>
      </c>
      <c r="BH163" s="16">
        <f>AQ163/(VLOOKUP($A163,'2016-17'!$A$12:$D$220,4,FALSE))-1</f>
        <v>6.041353980154196E-2</v>
      </c>
      <c r="BJ163" s="16">
        <v>3.1681507556340804E-2</v>
      </c>
      <c r="BK163" s="16">
        <v>8.2380353622735658E-2</v>
      </c>
      <c r="BL163" s="16">
        <v>6.8693964719928058E-2</v>
      </c>
      <c r="BM163" s="16">
        <v>4.133011918944729E-2</v>
      </c>
    </row>
    <row r="164" spans="1:65" x14ac:dyDescent="0.2">
      <c r="A164" s="156" t="s">
        <v>373</v>
      </c>
      <c r="B164" s="156" t="s">
        <v>374</v>
      </c>
      <c r="D164" s="56">
        <f>VLOOKUP(A164,'2016-17'!$A$12:$AMX372,32,FALSE)</f>
        <v>298854</v>
      </c>
      <c r="E164" s="56">
        <v>1405.8447033187867</v>
      </c>
      <c r="F164" s="16">
        <f>VLOOKUP(A164,'2016-17'!$A$12:$AMX372,34,FALSE)</f>
        <v>3.920677944032902E-2</v>
      </c>
      <c r="G164" s="16">
        <f>VLOOKUP(A164,'2016-17'!$A$12:$AMX372,35,FALSE)</f>
        <v>2.5549788910192328E-2</v>
      </c>
      <c r="H164" s="56"/>
      <c r="I164" s="56">
        <v>292576.58288166847</v>
      </c>
      <c r="J164" s="56">
        <v>1376.3149877843482</v>
      </c>
      <c r="K164" s="16">
        <f t="shared" ref="K164:L220" si="57">D164/I164-1</f>
        <v>2.145563755138391E-2</v>
      </c>
      <c r="L164" s="58">
        <f t="shared" si="57"/>
        <v>2.1455637551384132E-2</v>
      </c>
      <c r="M164" s="10"/>
      <c r="N164" s="56">
        <v>225963</v>
      </c>
      <c r="O164" s="56">
        <v>23536</v>
      </c>
      <c r="P164" s="56">
        <v>49355</v>
      </c>
      <c r="R164" s="56">
        <f t="shared" si="41"/>
        <v>49355</v>
      </c>
      <c r="S164" s="56">
        <f t="shared" si="42"/>
        <v>0</v>
      </c>
      <c r="U164" s="16">
        <v>3.1113375275781063E-2</v>
      </c>
      <c r="V164" s="16">
        <v>-5.5860932000883934E-2</v>
      </c>
      <c r="W164" s="56">
        <f t="shared" si="43"/>
        <v>3</v>
      </c>
      <c r="X164" s="56">
        <f t="shared" si="44"/>
        <v>2191.4466965338711</v>
      </c>
      <c r="Y164" s="56">
        <f t="shared" si="44"/>
        <v>249.28530973598092</v>
      </c>
      <c r="AA164" s="56">
        <f t="shared" si="45"/>
        <v>0</v>
      </c>
      <c r="AB164" s="56">
        <v>0</v>
      </c>
      <c r="AC164" s="56">
        <f t="shared" si="46"/>
        <v>0</v>
      </c>
      <c r="AE164" s="56">
        <v>0</v>
      </c>
      <c r="AF164" s="56">
        <f t="shared" si="47"/>
        <v>0</v>
      </c>
      <c r="AG164" s="56">
        <f t="shared" si="48"/>
        <v>0</v>
      </c>
      <c r="AI164" s="56">
        <f t="shared" si="49"/>
        <v>0</v>
      </c>
      <c r="AJ164" s="56">
        <f t="shared" si="50"/>
        <v>0</v>
      </c>
      <c r="AK164" s="56">
        <f t="shared" si="51"/>
        <v>0</v>
      </c>
      <c r="AM164" s="56">
        <f t="shared" si="52"/>
        <v>225963</v>
      </c>
      <c r="AN164" s="56">
        <f t="shared" si="53"/>
        <v>23536</v>
      </c>
      <c r="AO164" s="56">
        <f t="shared" si="54"/>
        <v>49355</v>
      </c>
      <c r="AP164" s="56"/>
      <c r="AQ164" s="56">
        <f t="shared" si="55"/>
        <v>298854</v>
      </c>
      <c r="AS164" s="56">
        <v>1062.9567839012461</v>
      </c>
      <c r="AT164" s="56">
        <v>110.71613877448843</v>
      </c>
      <c r="AU164" s="56">
        <v>232.17178064305219</v>
      </c>
      <c r="AV164" s="56"/>
      <c r="AW164" s="56">
        <v>1405.8447033187867</v>
      </c>
      <c r="AY164" s="16">
        <v>3.1113375275781063E-2</v>
      </c>
      <c r="AZ164" s="16">
        <v>-5.5860932000883934E-2</v>
      </c>
      <c r="BA164" s="16">
        <v>1.7557904330157026E-2</v>
      </c>
      <c r="BB164" s="16">
        <f t="shared" si="56"/>
        <v>2.145563755138391E-2</v>
      </c>
      <c r="BC164" s="16"/>
      <c r="BE164" s="16">
        <v>3.0487077128931617E-2</v>
      </c>
      <c r="BF164" s="16">
        <v>3.5672793158360028E-2</v>
      </c>
      <c r="BG164" s="16">
        <v>8.2921861937782948E-2</v>
      </c>
      <c r="BH164" s="16">
        <f>AQ164/(VLOOKUP($A164,'2016-17'!$A$12:$D$220,4,FALSE))-1</f>
        <v>3.920677944032902E-2</v>
      </c>
      <c r="BJ164" s="16">
        <v>1.6944678703319616E-2</v>
      </c>
      <c r="BK164" s="16">
        <v>2.2062245374884881E-2</v>
      </c>
      <c r="BL164" s="16">
        <v>6.8690378939445296E-2</v>
      </c>
      <c r="BM164" s="16">
        <v>2.5549788910192328E-2</v>
      </c>
    </row>
    <row r="165" spans="1:65" x14ac:dyDescent="0.2">
      <c r="A165" s="156" t="s">
        <v>375</v>
      </c>
      <c r="B165" s="156" t="s">
        <v>376</v>
      </c>
      <c r="D165" s="56">
        <f>VLOOKUP(A165,'2016-17'!$A$12:$AMX373,32,FALSE)</f>
        <v>550520</v>
      </c>
      <c r="E165" s="56">
        <v>1737.9002282799329</v>
      </c>
      <c r="F165" s="16">
        <f>VLOOKUP(A165,'2016-17'!$A$12:$AMX373,34,FALSE)</f>
        <v>4.1639157172078667E-2</v>
      </c>
      <c r="G165" s="16">
        <f>VLOOKUP(A165,'2016-17'!$A$12:$AMX373,35,FALSE)</f>
        <v>2.6739704228082806E-2</v>
      </c>
      <c r="H165" s="56"/>
      <c r="I165" s="56">
        <v>540276.86060065147</v>
      </c>
      <c r="J165" s="56">
        <v>1705.5643380299312</v>
      </c>
      <c r="K165" s="16">
        <f t="shared" si="57"/>
        <v>1.8959056266005359E-2</v>
      </c>
      <c r="L165" s="58">
        <f t="shared" si="57"/>
        <v>1.8959056266005359E-2</v>
      </c>
      <c r="M165" s="10"/>
      <c r="N165" s="56">
        <v>393667</v>
      </c>
      <c r="O165" s="56">
        <v>42173</v>
      </c>
      <c r="P165" s="56">
        <v>114680</v>
      </c>
      <c r="R165" s="56">
        <f t="shared" si="41"/>
        <v>114680</v>
      </c>
      <c r="S165" s="56">
        <f t="shared" si="42"/>
        <v>0</v>
      </c>
      <c r="U165" s="16">
        <v>2.7624450192508254E-2</v>
      </c>
      <c r="V165" s="16">
        <v>-3.3438552775743702E-2</v>
      </c>
      <c r="W165" s="56">
        <f t="shared" si="43"/>
        <v>3</v>
      </c>
      <c r="X165" s="56">
        <f t="shared" si="44"/>
        <v>3830.8450127500673</v>
      </c>
      <c r="Y165" s="56">
        <f t="shared" si="44"/>
        <v>436.31990621094212</v>
      </c>
      <c r="AA165" s="56">
        <f t="shared" si="45"/>
        <v>0</v>
      </c>
      <c r="AB165" s="56">
        <v>0</v>
      </c>
      <c r="AC165" s="56">
        <f t="shared" si="46"/>
        <v>0</v>
      </c>
      <c r="AE165" s="56">
        <v>0</v>
      </c>
      <c r="AF165" s="56">
        <f t="shared" si="47"/>
        <v>0</v>
      </c>
      <c r="AG165" s="56">
        <f t="shared" si="48"/>
        <v>0</v>
      </c>
      <c r="AI165" s="56">
        <f t="shared" si="49"/>
        <v>0</v>
      </c>
      <c r="AJ165" s="56">
        <f t="shared" si="50"/>
        <v>0</v>
      </c>
      <c r="AK165" s="56">
        <f t="shared" si="51"/>
        <v>0</v>
      </c>
      <c r="AM165" s="56">
        <f t="shared" si="52"/>
        <v>393667</v>
      </c>
      <c r="AN165" s="56">
        <f t="shared" si="53"/>
        <v>42173</v>
      </c>
      <c r="AO165" s="56">
        <f t="shared" si="54"/>
        <v>114680</v>
      </c>
      <c r="AP165" s="56"/>
      <c r="AQ165" s="56">
        <f t="shared" si="55"/>
        <v>550520</v>
      </c>
      <c r="AS165" s="56">
        <v>1242.7413521148665</v>
      </c>
      <c r="AT165" s="56">
        <v>133.13315833620868</v>
      </c>
      <c r="AU165" s="56">
        <v>362.02571782885764</v>
      </c>
      <c r="AV165" s="56"/>
      <c r="AW165" s="56">
        <v>1737.9002282799329</v>
      </c>
      <c r="AY165" s="16">
        <v>2.7624450192508254E-2</v>
      </c>
      <c r="AZ165" s="16">
        <v>-3.3438552775743702E-2</v>
      </c>
      <c r="BA165" s="16">
        <v>9.8593488927671835E-3</v>
      </c>
      <c r="BB165" s="16">
        <f t="shared" si="56"/>
        <v>1.8959056266005359E-2</v>
      </c>
      <c r="BC165" s="16"/>
      <c r="BE165" s="16">
        <v>3.0488469366015902E-2</v>
      </c>
      <c r="BF165" s="16">
        <v>3.5662743407091968E-2</v>
      </c>
      <c r="BG165" s="16">
        <v>8.4213028020035274E-2</v>
      </c>
      <c r="BH165" s="16">
        <f>AQ165/(VLOOKUP($A165,'2016-17'!$A$12:$D$220,4,FALSE))-1</f>
        <v>4.1639157172078667E-2</v>
      </c>
      <c r="BJ165" s="16">
        <v>1.5748514216544773E-2</v>
      </c>
      <c r="BK165" s="16">
        <v>2.0848776204537289E-2</v>
      </c>
      <c r="BL165" s="16">
        <v>6.8704604703741845E-2</v>
      </c>
      <c r="BM165" s="16">
        <v>2.6739704228082806E-2</v>
      </c>
    </row>
    <row r="166" spans="1:65" x14ac:dyDescent="0.2">
      <c r="A166" s="156" t="s">
        <v>377</v>
      </c>
      <c r="B166" s="156" t="s">
        <v>378</v>
      </c>
      <c r="D166" s="56">
        <f>VLOOKUP(A166,'2016-17'!$A$12:$AMX374,32,FALSE)</f>
        <v>311575</v>
      </c>
      <c r="E166" s="56">
        <v>1613.7006095019967</v>
      </c>
      <c r="F166" s="16">
        <f>VLOOKUP(A166,'2016-17'!$A$12:$AMX374,34,FALSE)</f>
        <v>3.9393702020341426E-2</v>
      </c>
      <c r="G166" s="16">
        <f>VLOOKUP(A166,'2016-17'!$A$12:$AMX374,35,FALSE)</f>
        <v>2.5171047830788273E-2</v>
      </c>
      <c r="H166" s="56"/>
      <c r="I166" s="56">
        <v>313406.33392552327</v>
      </c>
      <c r="J166" s="56">
        <v>1623.1854034418782</v>
      </c>
      <c r="K166" s="16">
        <f t="shared" si="57"/>
        <v>-5.8433213604370815E-3</v>
      </c>
      <c r="L166" s="58">
        <f t="shared" si="57"/>
        <v>-5.8433213604369705E-3</v>
      </c>
      <c r="M166" s="10"/>
      <c r="N166" s="56">
        <v>233743</v>
      </c>
      <c r="O166" s="56">
        <v>24973</v>
      </c>
      <c r="P166" s="56">
        <v>52859</v>
      </c>
      <c r="R166" s="56">
        <f t="shared" si="41"/>
        <v>52859</v>
      </c>
      <c r="S166" s="56">
        <f t="shared" si="42"/>
        <v>0</v>
      </c>
      <c r="U166" s="16">
        <v>-1.8807790447444517E-2</v>
      </c>
      <c r="V166" s="16">
        <v>5.9430809340139223E-2</v>
      </c>
      <c r="W166" s="56">
        <f t="shared" si="43"/>
        <v>1</v>
      </c>
      <c r="X166" s="56">
        <f t="shared" si="44"/>
        <v>2382.2345685621758</v>
      </c>
      <c r="Y166" s="56">
        <f t="shared" si="44"/>
        <v>235.72091522951177</v>
      </c>
      <c r="AA166" s="56">
        <f t="shared" si="45"/>
        <v>0</v>
      </c>
      <c r="AB166" s="56">
        <v>0</v>
      </c>
      <c r="AC166" s="56">
        <f t="shared" si="46"/>
        <v>0</v>
      </c>
      <c r="AE166" s="56">
        <v>0</v>
      </c>
      <c r="AF166" s="56">
        <f t="shared" si="47"/>
        <v>0</v>
      </c>
      <c r="AG166" s="56">
        <f t="shared" si="48"/>
        <v>0</v>
      </c>
      <c r="AI166" s="56">
        <f t="shared" si="49"/>
        <v>0</v>
      </c>
      <c r="AJ166" s="56">
        <f t="shared" si="50"/>
        <v>0</v>
      </c>
      <c r="AK166" s="56">
        <f t="shared" si="51"/>
        <v>0</v>
      </c>
      <c r="AM166" s="56">
        <f t="shared" si="52"/>
        <v>233743</v>
      </c>
      <c r="AN166" s="56">
        <f t="shared" si="53"/>
        <v>24973</v>
      </c>
      <c r="AO166" s="56">
        <f t="shared" si="54"/>
        <v>52859</v>
      </c>
      <c r="AP166" s="56"/>
      <c r="AQ166" s="56">
        <f t="shared" si="55"/>
        <v>311575</v>
      </c>
      <c r="AS166" s="56">
        <v>1210.5952710160482</v>
      </c>
      <c r="AT166" s="56">
        <v>129.33946985827927</v>
      </c>
      <c r="AU166" s="56">
        <v>273.76586862766925</v>
      </c>
      <c r="AV166" s="56"/>
      <c r="AW166" s="56">
        <v>1613.7006095019967</v>
      </c>
      <c r="AY166" s="16">
        <v>-1.8807790447444517E-2</v>
      </c>
      <c r="AZ166" s="16">
        <v>5.9430809340139223E-2</v>
      </c>
      <c r="BA166" s="16">
        <v>2.4185147356929892E-2</v>
      </c>
      <c r="BB166" s="16">
        <f t="shared" si="56"/>
        <v>-5.8433213604370815E-3</v>
      </c>
      <c r="BC166" s="16"/>
      <c r="BE166" s="16">
        <v>3.0489238788903528E-2</v>
      </c>
      <c r="BF166" s="16">
        <v>3.3887896623574498E-2</v>
      </c>
      <c r="BG166" s="16">
        <v>8.3521798301309458E-2</v>
      </c>
      <c r="BH166" s="16">
        <f>AQ166/(VLOOKUP($A166,'2016-17'!$A$12:$D$220,4,FALSE))-1</f>
        <v>3.9393702020341426E-2</v>
      </c>
      <c r="BJ166" s="16">
        <v>1.6388429768354529E-2</v>
      </c>
      <c r="BK166" s="16">
        <v>1.9740581707331506E-2</v>
      </c>
      <c r="BL166" s="16">
        <v>6.8695312616311011E-2</v>
      </c>
      <c r="BM166" s="16">
        <v>2.5171047830788273E-2</v>
      </c>
    </row>
    <row r="167" spans="1:65" x14ac:dyDescent="0.2">
      <c r="A167" s="156" t="s">
        <v>379</v>
      </c>
      <c r="B167" s="156" t="s">
        <v>380</v>
      </c>
      <c r="D167" s="56">
        <f>VLOOKUP(A167,'2016-17'!$A$12:$AMX375,32,FALSE)</f>
        <v>518419</v>
      </c>
      <c r="E167" s="56">
        <v>1719.4948753510462</v>
      </c>
      <c r="F167" s="16">
        <f>VLOOKUP(A167,'2016-17'!$A$12:$AMX375,34,FALSE)</f>
        <v>4.4298678078018572E-2</v>
      </c>
      <c r="G167" s="16">
        <f>VLOOKUP(A167,'2016-17'!$A$12:$AMX375,35,FALSE)</f>
        <v>2.0960245608487638E-2</v>
      </c>
      <c r="H167" s="56"/>
      <c r="I167" s="56">
        <v>479611.72025253711</v>
      </c>
      <c r="J167" s="56">
        <v>1590.7786850646623</v>
      </c>
      <c r="K167" s="16">
        <f t="shared" si="57"/>
        <v>8.0913952075710505E-2</v>
      </c>
      <c r="L167" s="58">
        <f t="shared" si="57"/>
        <v>8.0913952075710505E-2</v>
      </c>
      <c r="M167" s="10"/>
      <c r="N167" s="56">
        <v>353213</v>
      </c>
      <c r="O167" s="56">
        <v>42590</v>
      </c>
      <c r="P167" s="56">
        <v>122616</v>
      </c>
      <c r="R167" s="56">
        <f t="shared" si="41"/>
        <v>122616</v>
      </c>
      <c r="S167" s="56">
        <f t="shared" si="42"/>
        <v>0</v>
      </c>
      <c r="U167" s="16">
        <v>4.9212486825714663E-2</v>
      </c>
      <c r="V167" s="16">
        <v>-1.7410012039151601E-2</v>
      </c>
      <c r="W167" s="56">
        <f t="shared" si="43"/>
        <v>3</v>
      </c>
      <c r="X167" s="56">
        <f t="shared" si="44"/>
        <v>3366.4582192365046</v>
      </c>
      <c r="Y167" s="56">
        <f t="shared" si="44"/>
        <v>433.44630539525724</v>
      </c>
      <c r="AA167" s="56">
        <f t="shared" si="45"/>
        <v>0</v>
      </c>
      <c r="AB167" s="56">
        <v>0</v>
      </c>
      <c r="AC167" s="56">
        <f t="shared" si="46"/>
        <v>0</v>
      </c>
      <c r="AE167" s="56">
        <v>0</v>
      </c>
      <c r="AF167" s="56">
        <f t="shared" si="47"/>
        <v>0</v>
      </c>
      <c r="AG167" s="56">
        <f t="shared" si="48"/>
        <v>0</v>
      </c>
      <c r="AI167" s="56">
        <f t="shared" si="49"/>
        <v>0</v>
      </c>
      <c r="AJ167" s="56">
        <f t="shared" si="50"/>
        <v>0</v>
      </c>
      <c r="AK167" s="56">
        <f t="shared" si="51"/>
        <v>0</v>
      </c>
      <c r="AM167" s="56">
        <f t="shared" si="52"/>
        <v>353213</v>
      </c>
      <c r="AN167" s="56">
        <f t="shared" si="53"/>
        <v>42590</v>
      </c>
      <c r="AO167" s="56">
        <f t="shared" si="54"/>
        <v>122616</v>
      </c>
      <c r="AP167" s="56"/>
      <c r="AQ167" s="56">
        <f t="shared" si="55"/>
        <v>518419</v>
      </c>
      <c r="AS167" s="56">
        <v>1171.538742614312</v>
      </c>
      <c r="AT167" s="56">
        <v>141.26273678472637</v>
      </c>
      <c r="AU167" s="56">
        <v>406.69339595200768</v>
      </c>
      <c r="AV167" s="56"/>
      <c r="AW167" s="56">
        <v>1719.4948753510462</v>
      </c>
      <c r="AY167" s="16">
        <v>4.9212486825714663E-2</v>
      </c>
      <c r="AZ167" s="16">
        <v>-1.7410012039151601E-2</v>
      </c>
      <c r="BA167" s="16">
        <v>0.23082151754240932</v>
      </c>
      <c r="BB167" s="16">
        <f t="shared" si="56"/>
        <v>8.0913952075710505E-2</v>
      </c>
      <c r="BC167" s="16"/>
      <c r="BE167" s="16">
        <v>2.9372101378311033E-2</v>
      </c>
      <c r="BF167" s="16">
        <v>3.5644002055239099E-2</v>
      </c>
      <c r="BG167" s="16">
        <v>9.3133235923470226E-2</v>
      </c>
      <c r="BH167" s="16">
        <f>AQ167/(VLOOKUP($A167,'2016-17'!$A$12:$D$220,4,FALSE))-1</f>
        <v>4.4298678078018572E-2</v>
      </c>
      <c r="BJ167" s="16">
        <v>6.3672544141726295E-3</v>
      </c>
      <c r="BK167" s="16">
        <v>1.2498987978495135E-2</v>
      </c>
      <c r="BL167" s="16">
        <v>6.8703427917054638E-2</v>
      </c>
      <c r="BM167" s="16">
        <v>2.0960245608487638E-2</v>
      </c>
    </row>
    <row r="168" spans="1:65" x14ac:dyDescent="0.2">
      <c r="A168" s="156" t="s">
        <v>381</v>
      </c>
      <c r="B168" s="156" t="s">
        <v>382</v>
      </c>
      <c r="D168" s="56">
        <f>VLOOKUP(A168,'2016-17'!$A$12:$AMX376,32,FALSE)</f>
        <v>465659.78968194791</v>
      </c>
      <c r="E168" s="56">
        <v>1544.0953461432316</v>
      </c>
      <c r="F168" s="16">
        <f>VLOOKUP(A168,'2016-17'!$A$12:$AMX376,34,FALSE)</f>
        <v>4.6373690697522507E-2</v>
      </c>
      <c r="G168" s="16">
        <f>VLOOKUP(A168,'2016-17'!$A$12:$AMX376,35,FALSE)</f>
        <v>3.3044812773951548E-2</v>
      </c>
      <c r="H168" s="56"/>
      <c r="I168" s="56">
        <v>475141.55781773408</v>
      </c>
      <c r="J168" s="56">
        <v>1575.5362271814599</v>
      </c>
      <c r="K168" s="16">
        <f t="shared" si="57"/>
        <v>-1.9955670009869753E-2</v>
      </c>
      <c r="L168" s="58">
        <f t="shared" si="57"/>
        <v>-1.9955670009869753E-2</v>
      </c>
      <c r="M168" s="10"/>
      <c r="N168" s="56">
        <v>336431</v>
      </c>
      <c r="O168" s="56">
        <v>36418</v>
      </c>
      <c r="P168" s="56">
        <v>90258</v>
      </c>
      <c r="R168" s="56">
        <f t="shared" si="41"/>
        <v>90258</v>
      </c>
      <c r="S168" s="56">
        <f t="shared" si="42"/>
        <v>2552.7896819479065</v>
      </c>
      <c r="U168" s="16">
        <v>-2.6988001524819283E-2</v>
      </c>
      <c r="V168" s="16">
        <v>-7.2423972209306076E-2</v>
      </c>
      <c r="W168" s="56">
        <f t="shared" si="43"/>
        <v>4</v>
      </c>
      <c r="X168" s="56">
        <f t="shared" si="44"/>
        <v>3457.6243718189007</v>
      </c>
      <c r="Y168" s="56">
        <f t="shared" si="44"/>
        <v>392.61471738053223</v>
      </c>
      <c r="AA168" s="56">
        <f t="shared" si="45"/>
        <v>0</v>
      </c>
      <c r="AB168" s="56">
        <v>0</v>
      </c>
      <c r="AC168" s="56">
        <f t="shared" si="46"/>
        <v>2552.7896819479065</v>
      </c>
      <c r="AE168" s="56">
        <v>0</v>
      </c>
      <c r="AF168" s="56">
        <f t="shared" si="47"/>
        <v>0</v>
      </c>
      <c r="AG168" s="56">
        <f t="shared" si="48"/>
        <v>2552.7896819479065</v>
      </c>
      <c r="AI168" s="56">
        <f t="shared" si="49"/>
        <v>2292.4778477240443</v>
      </c>
      <c r="AJ168" s="56">
        <f t="shared" si="50"/>
        <v>260.31183422386198</v>
      </c>
      <c r="AK168" s="56">
        <f t="shared" si="51"/>
        <v>0</v>
      </c>
      <c r="AM168" s="56">
        <f t="shared" si="52"/>
        <v>338723</v>
      </c>
      <c r="AN168" s="56">
        <f t="shared" si="53"/>
        <v>36678</v>
      </c>
      <c r="AO168" s="56">
        <f t="shared" si="54"/>
        <v>90258</v>
      </c>
      <c r="AP168" s="56"/>
      <c r="AQ168" s="56">
        <f t="shared" si="55"/>
        <v>465659</v>
      </c>
      <c r="AS168" s="56">
        <v>1123.1818153955362</v>
      </c>
      <c r="AT168" s="56">
        <v>121.6216868210233</v>
      </c>
      <c r="AU168" s="56">
        <v>299.28922539647533</v>
      </c>
      <c r="AV168" s="56"/>
      <c r="AW168" s="56">
        <v>1544.0927276130349</v>
      </c>
      <c r="AY168" s="16">
        <v>-2.0359172729300656E-2</v>
      </c>
      <c r="AZ168" s="16">
        <v>-6.5801703901722464E-2</v>
      </c>
      <c r="BA168" s="16">
        <v>1.5574208151873936E-3</v>
      </c>
      <c r="BB168" s="16">
        <f t="shared" si="56"/>
        <v>-1.9957332002879857E-2</v>
      </c>
      <c r="BC168" s="16"/>
      <c r="BE168" s="16">
        <v>3.7506870527610037E-2</v>
      </c>
      <c r="BF168" s="16">
        <v>4.3050651572509979E-2</v>
      </c>
      <c r="BG168" s="16">
        <v>8.2483860278592669E-2</v>
      </c>
      <c r="BH168" s="16">
        <f>AQ168/(VLOOKUP($A168,'2016-17'!$A$12:$D$220,4,FALSE))-1</f>
        <v>4.6371916220892428E-2</v>
      </c>
      <c r="BJ168" s="16">
        <v>2.4290939598660133E-2</v>
      </c>
      <c r="BK168" s="16">
        <v>2.9764103060722302E-2</v>
      </c>
      <c r="BL168" s="16">
        <v>6.869500515335436E-2</v>
      </c>
      <c r="BM168" s="16">
        <v>3.3043060900892929E-2</v>
      </c>
    </row>
    <row r="169" spans="1:65" x14ac:dyDescent="0.2">
      <c r="A169" s="156" t="s">
        <v>383</v>
      </c>
      <c r="B169" s="156" t="s">
        <v>384</v>
      </c>
      <c r="D169" s="56">
        <f>VLOOKUP(A169,'2016-17'!$A$12:$AMX377,32,FALSE)</f>
        <v>561052</v>
      </c>
      <c r="E169" s="56">
        <v>1449.5681902604358</v>
      </c>
      <c r="F169" s="16">
        <f>VLOOKUP(A169,'2016-17'!$A$12:$AMX377,34,FALSE)</f>
        <v>3.6562509001241805E-2</v>
      </c>
      <c r="G169" s="16">
        <f>VLOOKUP(A169,'2016-17'!$A$12:$AMX377,35,FALSE)</f>
        <v>2.5899076934144283E-2</v>
      </c>
      <c r="H169" s="56"/>
      <c r="I169" s="56">
        <v>542127.43277846533</v>
      </c>
      <c r="J169" s="56">
        <v>1400.6735233511617</v>
      </c>
      <c r="K169" s="16">
        <f t="shared" si="57"/>
        <v>3.4907968269644707E-2</v>
      </c>
      <c r="L169" s="58">
        <f t="shared" si="57"/>
        <v>3.4907968269644929E-2</v>
      </c>
      <c r="M169" s="10"/>
      <c r="N169" s="56">
        <v>409092</v>
      </c>
      <c r="O169" s="56">
        <v>46817</v>
      </c>
      <c r="P169" s="56">
        <v>105143</v>
      </c>
      <c r="R169" s="56">
        <f t="shared" si="41"/>
        <v>105143</v>
      </c>
      <c r="S169" s="56">
        <f t="shared" si="42"/>
        <v>0</v>
      </c>
      <c r="U169" s="16">
        <v>5.1485832041378909E-2</v>
      </c>
      <c r="V169" s="16">
        <v>-2.4482156827589363E-2</v>
      </c>
      <c r="W169" s="56">
        <f t="shared" si="43"/>
        <v>3</v>
      </c>
      <c r="X169" s="56">
        <f t="shared" si="44"/>
        <v>3890.6087703129515</v>
      </c>
      <c r="Y169" s="56">
        <f t="shared" si="44"/>
        <v>479.91946357177682</v>
      </c>
      <c r="AA169" s="56">
        <f t="shared" si="45"/>
        <v>0</v>
      </c>
      <c r="AB169" s="56">
        <v>0</v>
      </c>
      <c r="AC169" s="56">
        <f t="shared" si="46"/>
        <v>0</v>
      </c>
      <c r="AE169" s="56">
        <v>0</v>
      </c>
      <c r="AF169" s="56">
        <f t="shared" si="47"/>
        <v>0</v>
      </c>
      <c r="AG169" s="56">
        <f t="shared" si="48"/>
        <v>0</v>
      </c>
      <c r="AI169" s="56">
        <f t="shared" si="49"/>
        <v>0</v>
      </c>
      <c r="AJ169" s="56">
        <f t="shared" si="50"/>
        <v>0</v>
      </c>
      <c r="AK169" s="56">
        <f t="shared" si="51"/>
        <v>0</v>
      </c>
      <c r="AM169" s="56">
        <f t="shared" si="52"/>
        <v>409092</v>
      </c>
      <c r="AN169" s="56">
        <f t="shared" si="53"/>
        <v>46817</v>
      </c>
      <c r="AO169" s="56">
        <f t="shared" si="54"/>
        <v>105143</v>
      </c>
      <c r="AP169" s="56"/>
      <c r="AQ169" s="56">
        <f t="shared" si="55"/>
        <v>561052</v>
      </c>
      <c r="AS169" s="56">
        <v>1056.9550595845344</v>
      </c>
      <c r="AT169" s="56">
        <v>120.95925861314606</v>
      </c>
      <c r="AU169" s="56">
        <v>271.65387206275534</v>
      </c>
      <c r="AV169" s="56"/>
      <c r="AW169" s="56">
        <v>1449.5681902604358</v>
      </c>
      <c r="AY169" s="16">
        <v>5.1485832041378909E-2</v>
      </c>
      <c r="AZ169" s="16">
        <v>-2.4482156827589363E-2</v>
      </c>
      <c r="BA169" s="16">
        <v>6.5087665235696868E-4</v>
      </c>
      <c r="BB169" s="16">
        <f t="shared" si="56"/>
        <v>3.4907968269644707E-2</v>
      </c>
      <c r="BC169" s="16"/>
      <c r="BE169" s="16">
        <v>2.6104156253832222E-2</v>
      </c>
      <c r="BF169" s="16">
        <v>3.5652801281321755E-2</v>
      </c>
      <c r="BG169" s="16">
        <v>7.980598011253015E-2</v>
      </c>
      <c r="BH169" s="16">
        <f>AQ169/(VLOOKUP($A169,'2016-17'!$A$12:$D$220,4,FALSE))-1</f>
        <v>3.6562509001241805E-2</v>
      </c>
      <c r="BJ169" s="16">
        <v>1.5548312424865207E-2</v>
      </c>
      <c r="BK169" s="16">
        <v>2.4998727652705277E-2</v>
      </c>
      <c r="BL169" s="16">
        <v>6.8697689377926974E-2</v>
      </c>
      <c r="BM169" s="16">
        <v>2.5899076934144283E-2</v>
      </c>
    </row>
    <row r="170" spans="1:65" x14ac:dyDescent="0.2">
      <c r="A170" s="156" t="s">
        <v>385</v>
      </c>
      <c r="B170" s="156" t="s">
        <v>386</v>
      </c>
      <c r="D170" s="56">
        <f>VLOOKUP(A170,'2016-17'!$A$12:$AMX378,32,FALSE)</f>
        <v>465104</v>
      </c>
      <c r="E170" s="56">
        <v>1894.8463260852002</v>
      </c>
      <c r="F170" s="16">
        <f>VLOOKUP(A170,'2016-17'!$A$12:$AMX378,34,FALSE)</f>
        <v>2.4376658871182011E-2</v>
      </c>
      <c r="G170" s="16">
        <f>VLOOKUP(A170,'2016-17'!$A$12:$AMX378,35,FALSE)</f>
        <v>1.9229379231139765E-2</v>
      </c>
      <c r="H170" s="56"/>
      <c r="I170" s="56">
        <v>377967.70066478028</v>
      </c>
      <c r="J170" s="56">
        <v>1539.8506763724447</v>
      </c>
      <c r="K170" s="16">
        <f t="shared" si="57"/>
        <v>0.23053900950256323</v>
      </c>
      <c r="L170" s="58">
        <f t="shared" si="57"/>
        <v>0.23053900950256323</v>
      </c>
      <c r="M170" s="10"/>
      <c r="N170" s="56">
        <v>353521</v>
      </c>
      <c r="O170" s="56">
        <v>36301</v>
      </c>
      <c r="P170" s="56">
        <v>75282</v>
      </c>
      <c r="R170" s="56">
        <f t="shared" si="41"/>
        <v>75282</v>
      </c>
      <c r="S170" s="56">
        <f t="shared" si="42"/>
        <v>0</v>
      </c>
      <c r="U170" s="16">
        <v>0.30509896457134933</v>
      </c>
      <c r="V170" s="16">
        <v>8.9462977219586959E-2</v>
      </c>
      <c r="W170" s="56">
        <f t="shared" si="43"/>
        <v>2</v>
      </c>
      <c r="X170" s="56">
        <f t="shared" si="44"/>
        <v>2708.7677608886274</v>
      </c>
      <c r="Y170" s="56">
        <f t="shared" si="44"/>
        <v>333.20085913009729</v>
      </c>
      <c r="AA170" s="56">
        <f t="shared" si="45"/>
        <v>0</v>
      </c>
      <c r="AB170" s="56">
        <v>0</v>
      </c>
      <c r="AC170" s="56">
        <f t="shared" si="46"/>
        <v>0</v>
      </c>
      <c r="AE170" s="56">
        <v>0</v>
      </c>
      <c r="AF170" s="56">
        <f t="shared" si="47"/>
        <v>0</v>
      </c>
      <c r="AG170" s="56">
        <f t="shared" si="48"/>
        <v>0</v>
      </c>
      <c r="AI170" s="56">
        <f t="shared" si="49"/>
        <v>0</v>
      </c>
      <c r="AJ170" s="56">
        <f t="shared" si="50"/>
        <v>0</v>
      </c>
      <c r="AK170" s="56">
        <f t="shared" si="51"/>
        <v>0</v>
      </c>
      <c r="AM170" s="56">
        <f t="shared" si="52"/>
        <v>353521</v>
      </c>
      <c r="AN170" s="56">
        <f t="shared" si="53"/>
        <v>36301</v>
      </c>
      <c r="AO170" s="56">
        <f t="shared" si="54"/>
        <v>75282</v>
      </c>
      <c r="AP170" s="56"/>
      <c r="AQ170" s="56">
        <f t="shared" si="55"/>
        <v>465104</v>
      </c>
      <c r="AS170" s="56">
        <v>1440.2541540041927</v>
      </c>
      <c r="AT170" s="56">
        <v>147.8912597681784</v>
      </c>
      <c r="AU170" s="56">
        <v>306.70091231282902</v>
      </c>
      <c r="AV170" s="56"/>
      <c r="AW170" s="56">
        <v>1894.8463260852002</v>
      </c>
      <c r="AY170" s="16">
        <v>0.30509896457134933</v>
      </c>
      <c r="AZ170" s="16">
        <v>8.9462977219586959E-2</v>
      </c>
      <c r="BA170" s="16">
        <v>2.0484535142637261E-2</v>
      </c>
      <c r="BB170" s="16">
        <f t="shared" si="56"/>
        <v>0.23053900950256323</v>
      </c>
      <c r="BC170" s="16"/>
      <c r="BE170" s="16">
        <v>1.3887462149348551E-2</v>
      </c>
      <c r="BF170" s="16">
        <v>2.9281094308897915E-2</v>
      </c>
      <c r="BG170" s="16">
        <v>7.4090381009355388E-2</v>
      </c>
      <c r="BH170" s="16">
        <f>AQ170/(VLOOKUP($A170,'2016-17'!$A$12:$D$220,4,FALSE))-1</f>
        <v>2.4376658871182011E-2</v>
      </c>
      <c r="BJ170" s="16">
        <v>8.7928885410759605E-3</v>
      </c>
      <c r="BK170" s="16">
        <v>2.4109170900905585E-2</v>
      </c>
      <c r="BL170" s="16">
        <v>6.8693300256044365E-2</v>
      </c>
      <c r="BM170" s="16">
        <v>1.9229379231139765E-2</v>
      </c>
    </row>
    <row r="171" spans="1:65" x14ac:dyDescent="0.2">
      <c r="A171" s="156" t="s">
        <v>387</v>
      </c>
      <c r="B171" s="156" t="s">
        <v>388</v>
      </c>
      <c r="D171" s="56">
        <f>VLOOKUP(A171,'2016-17'!$A$12:$AMX379,32,FALSE)</f>
        <v>188668</v>
      </c>
      <c r="E171" s="56">
        <v>1461.0247088235167</v>
      </c>
      <c r="F171" s="16">
        <f>VLOOKUP(A171,'2016-17'!$A$12:$AMX379,34,FALSE)</f>
        <v>3.8293485100180824E-2</v>
      </c>
      <c r="G171" s="16">
        <f>VLOOKUP(A171,'2016-17'!$A$12:$AMX379,35,FALSE)</f>
        <v>2.7253776425122389E-2</v>
      </c>
      <c r="H171" s="56"/>
      <c r="I171" s="56">
        <v>186831.81097278744</v>
      </c>
      <c r="J171" s="56">
        <v>1446.8054584004024</v>
      </c>
      <c r="K171" s="16">
        <f t="shared" si="57"/>
        <v>9.8280320554191558E-3</v>
      </c>
      <c r="L171" s="58">
        <f t="shared" si="57"/>
        <v>9.8280320554189338E-3</v>
      </c>
      <c r="M171" s="10"/>
      <c r="N171" s="56">
        <v>142635</v>
      </c>
      <c r="O171" s="56">
        <v>16107</v>
      </c>
      <c r="P171" s="56">
        <v>29926</v>
      </c>
      <c r="R171" s="56">
        <f t="shared" si="41"/>
        <v>29926</v>
      </c>
      <c r="S171" s="56">
        <f t="shared" si="42"/>
        <v>0</v>
      </c>
      <c r="U171" s="16">
        <v>2.4662482104085059E-2</v>
      </c>
      <c r="V171" s="16">
        <v>6.4115617321863105E-2</v>
      </c>
      <c r="W171" s="56">
        <f t="shared" si="43"/>
        <v>2</v>
      </c>
      <c r="X171" s="56">
        <f t="shared" si="44"/>
        <v>1392.0193477476339</v>
      </c>
      <c r="Y171" s="56">
        <f t="shared" si="44"/>
        <v>151.3651311737878</v>
      </c>
      <c r="AA171" s="56">
        <f t="shared" si="45"/>
        <v>0</v>
      </c>
      <c r="AB171" s="56">
        <v>0</v>
      </c>
      <c r="AC171" s="56">
        <f t="shared" si="46"/>
        <v>0</v>
      </c>
      <c r="AE171" s="56">
        <v>0</v>
      </c>
      <c r="AF171" s="56">
        <f t="shared" si="47"/>
        <v>0</v>
      </c>
      <c r="AG171" s="56">
        <f t="shared" si="48"/>
        <v>0</v>
      </c>
      <c r="AI171" s="56">
        <f t="shared" si="49"/>
        <v>0</v>
      </c>
      <c r="AJ171" s="56">
        <f t="shared" si="50"/>
        <v>0</v>
      </c>
      <c r="AK171" s="56">
        <f t="shared" si="51"/>
        <v>0</v>
      </c>
      <c r="AM171" s="56">
        <f t="shared" si="52"/>
        <v>142635</v>
      </c>
      <c r="AN171" s="56">
        <f t="shared" si="53"/>
        <v>16107</v>
      </c>
      <c r="AO171" s="56">
        <f t="shared" si="54"/>
        <v>29926</v>
      </c>
      <c r="AP171" s="56"/>
      <c r="AQ171" s="56">
        <f t="shared" si="55"/>
        <v>188668</v>
      </c>
      <c r="AS171" s="56">
        <v>1104.5501057044241</v>
      </c>
      <c r="AT171" s="56">
        <v>124.73087638084034</v>
      </c>
      <c r="AU171" s="56">
        <v>231.74372673825218</v>
      </c>
      <c r="AV171" s="56"/>
      <c r="AW171" s="56">
        <v>1461.0247088235167</v>
      </c>
      <c r="AY171" s="16">
        <v>2.4662482104085059E-2</v>
      </c>
      <c r="AZ171" s="16">
        <v>6.4115617321863105E-2</v>
      </c>
      <c r="BA171" s="16">
        <v>-7.9011922350830099E-2</v>
      </c>
      <c r="BB171" s="16">
        <f t="shared" si="56"/>
        <v>9.8280320554191558E-3</v>
      </c>
      <c r="BC171" s="16"/>
      <c r="BE171" s="16">
        <v>3.0486380610372565E-2</v>
      </c>
      <c r="BF171" s="16">
        <v>3.3162283515073776E-2</v>
      </c>
      <c r="BG171" s="16">
        <v>8.0186257295106644E-2</v>
      </c>
      <c r="BH171" s="16">
        <f>AQ171/(VLOOKUP($A171,'2016-17'!$A$12:$D$220,4,FALSE))-1</f>
        <v>3.8293485100180824E-2</v>
      </c>
      <c r="BJ171" s="16">
        <v>1.9529681373782193E-2</v>
      </c>
      <c r="BK171" s="16">
        <v>2.2177132603755201E-2</v>
      </c>
      <c r="BL171" s="16">
        <v>6.8701121573399693E-2</v>
      </c>
      <c r="BM171" s="16">
        <v>2.7253776425122389E-2</v>
      </c>
    </row>
    <row r="172" spans="1:65" x14ac:dyDescent="0.2">
      <c r="A172" s="156" t="s">
        <v>389</v>
      </c>
      <c r="B172" s="156" t="s">
        <v>390</v>
      </c>
      <c r="D172" s="56">
        <f>VLOOKUP(A172,'2016-17'!$A$12:$AMX380,32,FALSE)</f>
        <v>302334</v>
      </c>
      <c r="E172" s="56">
        <v>1441.972991700113</v>
      </c>
      <c r="F172" s="16">
        <f>VLOOKUP(A172,'2016-17'!$A$12:$AMX380,34,FALSE)</f>
        <v>4.8599437551962055E-2</v>
      </c>
      <c r="G172" s="16">
        <f>VLOOKUP(A172,'2016-17'!$A$12:$AMX380,35,FALSE)</f>
        <v>3.7452145291683614E-2</v>
      </c>
      <c r="H172" s="56"/>
      <c r="I172" s="56">
        <v>306075.24219419167</v>
      </c>
      <c r="J172" s="56">
        <v>1459.8167347109331</v>
      </c>
      <c r="K172" s="16">
        <f t="shared" si="57"/>
        <v>-1.2223276104827874E-2</v>
      </c>
      <c r="L172" s="58">
        <f t="shared" si="57"/>
        <v>-1.2223276104827985E-2</v>
      </c>
      <c r="M172" s="10"/>
      <c r="N172" s="56">
        <v>225169</v>
      </c>
      <c r="O172" s="56">
        <v>25893</v>
      </c>
      <c r="P172" s="56">
        <v>51272</v>
      </c>
      <c r="R172" s="56">
        <f t="shared" si="41"/>
        <v>51272</v>
      </c>
      <c r="S172" s="56">
        <f t="shared" si="42"/>
        <v>0</v>
      </c>
      <c r="U172" s="16">
        <v>-4.4034222746753171E-2</v>
      </c>
      <c r="V172" s="16">
        <v>2.8371902639577229E-2</v>
      </c>
      <c r="W172" s="56">
        <f t="shared" si="43"/>
        <v>1</v>
      </c>
      <c r="X172" s="56">
        <f t="shared" si="44"/>
        <v>2355.4085863509945</v>
      </c>
      <c r="Y172" s="56">
        <f t="shared" si="44"/>
        <v>251.78634240724634</v>
      </c>
      <c r="AA172" s="56">
        <f t="shared" si="45"/>
        <v>0</v>
      </c>
      <c r="AB172" s="56">
        <v>0</v>
      </c>
      <c r="AC172" s="56">
        <f t="shared" si="46"/>
        <v>0</v>
      </c>
      <c r="AE172" s="56">
        <v>0</v>
      </c>
      <c r="AF172" s="56">
        <f t="shared" si="47"/>
        <v>0</v>
      </c>
      <c r="AG172" s="56">
        <f t="shared" si="48"/>
        <v>0</v>
      </c>
      <c r="AI172" s="56">
        <f t="shared" si="49"/>
        <v>0</v>
      </c>
      <c r="AJ172" s="56">
        <f t="shared" si="50"/>
        <v>0</v>
      </c>
      <c r="AK172" s="56">
        <f t="shared" si="51"/>
        <v>0</v>
      </c>
      <c r="AM172" s="56">
        <f t="shared" si="52"/>
        <v>225169</v>
      </c>
      <c r="AN172" s="56">
        <f t="shared" si="53"/>
        <v>25893</v>
      </c>
      <c r="AO172" s="56">
        <f t="shared" si="54"/>
        <v>51272</v>
      </c>
      <c r="AP172" s="56"/>
      <c r="AQ172" s="56">
        <f t="shared" si="55"/>
        <v>302334</v>
      </c>
      <c r="AS172" s="56">
        <v>1073.9368267152313</v>
      </c>
      <c r="AT172" s="56">
        <v>123.49589088257035</v>
      </c>
      <c r="AU172" s="56">
        <v>244.54027410231132</v>
      </c>
      <c r="AV172" s="56"/>
      <c r="AW172" s="56">
        <v>1441.972991700113</v>
      </c>
      <c r="AY172" s="16">
        <v>-4.4034222746753171E-2</v>
      </c>
      <c r="AZ172" s="16">
        <v>2.8371902639577229E-2</v>
      </c>
      <c r="BA172" s="16">
        <v>0.13044103053185663</v>
      </c>
      <c r="BB172" s="16">
        <f t="shared" si="56"/>
        <v>-1.2223276104827874E-2</v>
      </c>
      <c r="BC172" s="16"/>
      <c r="BE172" s="16">
        <v>4.3156042700369879E-2</v>
      </c>
      <c r="BF172" s="16">
        <v>3.5637149028077797E-2</v>
      </c>
      <c r="BG172" s="16">
        <v>8.0181116646225625E-2</v>
      </c>
      <c r="BH172" s="16">
        <f>AQ172/(VLOOKUP($A172,'2016-17'!$A$12:$D$220,4,FALSE))-1</f>
        <v>4.8599437551962055E-2</v>
      </c>
      <c r="BJ172" s="16">
        <v>3.2066617258559305E-2</v>
      </c>
      <c r="BK172" s="16">
        <v>2.462765430360081E-2</v>
      </c>
      <c r="BL172" s="16">
        <v>6.8698090649758736E-2</v>
      </c>
      <c r="BM172" s="16">
        <v>3.7452145291683614E-2</v>
      </c>
    </row>
    <row r="173" spans="1:65" x14ac:dyDescent="0.2">
      <c r="A173" s="156" t="s">
        <v>391</v>
      </c>
      <c r="B173" s="156" t="s">
        <v>392</v>
      </c>
      <c r="D173" s="56">
        <f>VLOOKUP(A173,'2016-17'!$A$12:$AMX381,32,FALSE)</f>
        <v>198548.48783254862</v>
      </c>
      <c r="E173" s="56">
        <v>1404.1237382287491</v>
      </c>
      <c r="F173" s="16">
        <f>VLOOKUP(A173,'2016-17'!$A$12:$AMX381,34,FALSE)</f>
        <v>5.0314561494581689E-2</v>
      </c>
      <c r="G173" s="16">
        <f>VLOOKUP(A173,'2016-17'!$A$12:$AMX381,35,FALSE)</f>
        <v>4.0020870062555058E-2</v>
      </c>
      <c r="H173" s="56"/>
      <c r="I173" s="56">
        <v>203245.92072030538</v>
      </c>
      <c r="J173" s="56">
        <v>1437.3437193952559</v>
      </c>
      <c r="K173" s="16">
        <f t="shared" si="57"/>
        <v>-2.3112064788847975E-2</v>
      </c>
      <c r="L173" s="58">
        <f t="shared" si="57"/>
        <v>-2.3112064788847975E-2</v>
      </c>
      <c r="M173" s="10"/>
      <c r="N173" s="56">
        <v>151296</v>
      </c>
      <c r="O173" s="56">
        <v>15742</v>
      </c>
      <c r="P173" s="56">
        <v>29159</v>
      </c>
      <c r="R173" s="56">
        <f t="shared" si="41"/>
        <v>29159</v>
      </c>
      <c r="S173" s="56">
        <f t="shared" si="42"/>
        <v>2351.4878325486206</v>
      </c>
      <c r="U173" s="16">
        <v>-2.9060059791344073E-2</v>
      </c>
      <c r="V173" s="16">
        <v>-5.3345919230602945E-2</v>
      </c>
      <c r="W173" s="56">
        <f t="shared" si="43"/>
        <v>4</v>
      </c>
      <c r="X173" s="56">
        <f t="shared" si="44"/>
        <v>1558.2426238175592</v>
      </c>
      <c r="Y173" s="56">
        <f t="shared" si="44"/>
        <v>166.29094322612144</v>
      </c>
      <c r="AA173" s="56">
        <f t="shared" si="45"/>
        <v>0</v>
      </c>
      <c r="AB173" s="56">
        <v>0</v>
      </c>
      <c r="AC173" s="56">
        <f t="shared" si="46"/>
        <v>2351.4878325486206</v>
      </c>
      <c r="AE173" s="56">
        <v>0</v>
      </c>
      <c r="AF173" s="56">
        <f t="shared" si="47"/>
        <v>0</v>
      </c>
      <c r="AG173" s="56">
        <f t="shared" si="48"/>
        <v>2351.4878325486206</v>
      </c>
      <c r="AI173" s="56">
        <f t="shared" si="49"/>
        <v>2124.7418085036425</v>
      </c>
      <c r="AJ173" s="56">
        <f t="shared" si="50"/>
        <v>226.74602404497799</v>
      </c>
      <c r="AK173" s="56">
        <f t="shared" si="51"/>
        <v>0</v>
      </c>
      <c r="AM173" s="56">
        <f t="shared" si="52"/>
        <v>153421</v>
      </c>
      <c r="AN173" s="56">
        <f t="shared" si="53"/>
        <v>15969</v>
      </c>
      <c r="AO173" s="56">
        <f t="shared" si="54"/>
        <v>29159</v>
      </c>
      <c r="AP173" s="56"/>
      <c r="AQ173" s="56">
        <f t="shared" si="55"/>
        <v>198549</v>
      </c>
      <c r="AS173" s="56">
        <v>1084.9846825551001</v>
      </c>
      <c r="AT173" s="56">
        <v>112.9318697943723</v>
      </c>
      <c r="AU173" s="56">
        <v>206.21080789868506</v>
      </c>
      <c r="AV173" s="56"/>
      <c r="AW173" s="56">
        <v>1404.1273602481574</v>
      </c>
      <c r="AY173" s="16">
        <v>-1.5422902345387901E-2</v>
      </c>
      <c r="AZ173" s="16">
        <v>-3.969514573710442E-2</v>
      </c>
      <c r="BA173" s="16">
        <v>-5.3050600628509526E-2</v>
      </c>
      <c r="BB173" s="16">
        <f t="shared" si="56"/>
        <v>-2.310954484921246E-2</v>
      </c>
      <c r="BC173" s="16"/>
      <c r="BE173" s="16">
        <v>4.4961376865621183E-2</v>
      </c>
      <c r="BF173" s="16">
        <v>5.0592105263157938E-2</v>
      </c>
      <c r="BG173" s="16">
        <v>7.9268025651620277E-2</v>
      </c>
      <c r="BH173" s="16">
        <f>AQ173/(VLOOKUP($A173,'2016-17'!$A$12:$D$220,4,FALSE))-1</f>
        <v>5.0317270842499706E-2</v>
      </c>
      <c r="BJ173" s="16">
        <v>3.4720149745496531E-2</v>
      </c>
      <c r="BK173" s="16">
        <v>4.0295693741343674E-2</v>
      </c>
      <c r="BL173" s="16">
        <v>6.8690573490334694E-2</v>
      </c>
      <c r="BM173" s="16">
        <v>4.0023552857293199E-2</v>
      </c>
    </row>
    <row r="174" spans="1:65" x14ac:dyDescent="0.2">
      <c r="A174" s="156" t="s">
        <v>393</v>
      </c>
      <c r="B174" s="156" t="s">
        <v>394</v>
      </c>
      <c r="D174" s="56">
        <f>VLOOKUP(A174,'2016-17'!$A$12:$AMX382,32,FALSE)</f>
        <v>486790</v>
      </c>
      <c r="E174" s="56">
        <v>1556.5321380256196</v>
      </c>
      <c r="F174" s="16">
        <f>VLOOKUP(A174,'2016-17'!$A$12:$AMX382,34,FALSE)</f>
        <v>3.7394363891936511E-2</v>
      </c>
      <c r="G174" s="16">
        <f>VLOOKUP(A174,'2016-17'!$A$12:$AMX382,35,FALSE)</f>
        <v>2.9665192951645158E-2</v>
      </c>
      <c r="H174" s="56"/>
      <c r="I174" s="56">
        <v>474398.94899700704</v>
      </c>
      <c r="J174" s="56">
        <v>1516.9112150196559</v>
      </c>
      <c r="K174" s="16">
        <f t="shared" si="57"/>
        <v>2.6119473976893515E-2</v>
      </c>
      <c r="L174" s="58">
        <f t="shared" si="57"/>
        <v>2.6119473976893515E-2</v>
      </c>
      <c r="M174" s="10"/>
      <c r="N174" s="56">
        <v>359388</v>
      </c>
      <c r="O174" s="56">
        <v>36990</v>
      </c>
      <c r="P174" s="56">
        <v>90412</v>
      </c>
      <c r="R174" s="56">
        <f t="shared" si="41"/>
        <v>90412</v>
      </c>
      <c r="S174" s="56">
        <f t="shared" si="42"/>
        <v>0</v>
      </c>
      <c r="U174" s="16">
        <v>4.9530986374513475E-2</v>
      </c>
      <c r="V174" s="16">
        <v>-0.10971423271067782</v>
      </c>
      <c r="W174" s="56">
        <f t="shared" si="43"/>
        <v>3</v>
      </c>
      <c r="X174" s="56">
        <f t="shared" si="44"/>
        <v>3424.2724099215534</v>
      </c>
      <c r="Y174" s="56">
        <f t="shared" si="44"/>
        <v>415.48457089934709</v>
      </c>
      <c r="AA174" s="56">
        <f t="shared" si="45"/>
        <v>0</v>
      </c>
      <c r="AB174" s="56">
        <v>0</v>
      </c>
      <c r="AC174" s="56">
        <f t="shared" si="46"/>
        <v>0</v>
      </c>
      <c r="AE174" s="56">
        <v>0</v>
      </c>
      <c r="AF174" s="56">
        <f t="shared" si="47"/>
        <v>0</v>
      </c>
      <c r="AG174" s="56">
        <f t="shared" si="48"/>
        <v>0</v>
      </c>
      <c r="AI174" s="56">
        <f t="shared" si="49"/>
        <v>0</v>
      </c>
      <c r="AJ174" s="56">
        <f t="shared" si="50"/>
        <v>0</v>
      </c>
      <c r="AK174" s="56">
        <f t="shared" si="51"/>
        <v>0</v>
      </c>
      <c r="AM174" s="56">
        <f t="shared" si="52"/>
        <v>359388</v>
      </c>
      <c r="AN174" s="56">
        <f t="shared" si="53"/>
        <v>36990</v>
      </c>
      <c r="AO174" s="56">
        <f t="shared" si="54"/>
        <v>90412</v>
      </c>
      <c r="AP174" s="56"/>
      <c r="AQ174" s="56">
        <f t="shared" si="55"/>
        <v>486790</v>
      </c>
      <c r="AS174" s="56">
        <v>1149.1587173539951</v>
      </c>
      <c r="AT174" s="56">
        <v>118.27712932798057</v>
      </c>
      <c r="AU174" s="56">
        <v>289.09629134364366</v>
      </c>
      <c r="AV174" s="56"/>
      <c r="AW174" s="56">
        <v>1556.5321380256196</v>
      </c>
      <c r="AY174" s="16">
        <v>4.9530986374513475E-2</v>
      </c>
      <c r="AZ174" s="16">
        <v>-0.10971423271067782</v>
      </c>
      <c r="BA174" s="16">
        <v>-1.2442502125453725E-4</v>
      </c>
      <c r="BB174" s="16">
        <f t="shared" si="56"/>
        <v>2.6119473976893515E-2</v>
      </c>
      <c r="BC174" s="16"/>
      <c r="BE174" s="16">
        <v>2.710352345167566E-2</v>
      </c>
      <c r="BF174" s="16">
        <v>4.5831095026718227E-2</v>
      </c>
      <c r="BG174" s="16">
        <v>7.6723016413884126E-2</v>
      </c>
      <c r="BH174" s="16">
        <f>AQ174/(VLOOKUP($A174,'2016-17'!$A$12:$D$220,4,FALSE))-1</f>
        <v>3.7394363891936511E-2</v>
      </c>
      <c r="BJ174" s="16">
        <v>1.9451025055259752E-2</v>
      </c>
      <c r="BK174" s="16">
        <v>3.8039065698731944E-2</v>
      </c>
      <c r="BL174" s="16">
        <v>6.8700824912874436E-2</v>
      </c>
      <c r="BM174" s="16">
        <v>2.9665192951645158E-2</v>
      </c>
    </row>
    <row r="175" spans="1:65" x14ac:dyDescent="0.2">
      <c r="A175" s="156" t="s">
        <v>395</v>
      </c>
      <c r="B175" s="156" t="s">
        <v>396</v>
      </c>
      <c r="D175" s="56">
        <f>VLOOKUP(A175,'2016-17'!$A$12:$AMX383,32,FALSE)</f>
        <v>331820</v>
      </c>
      <c r="E175" s="56">
        <v>1517.4908162526137</v>
      </c>
      <c r="F175" s="16">
        <f>VLOOKUP(A175,'2016-17'!$A$12:$AMX383,34,FALSE)</f>
        <v>3.7249176534817519E-2</v>
      </c>
      <c r="G175" s="16">
        <f>VLOOKUP(A175,'2016-17'!$A$12:$AMX383,35,FALSE)</f>
        <v>3.1212506475899904E-2</v>
      </c>
      <c r="H175" s="56"/>
      <c r="I175" s="56">
        <v>331561.09732449352</v>
      </c>
      <c r="J175" s="56">
        <v>1516.306793492128</v>
      </c>
      <c r="K175" s="16">
        <f t="shared" si="57"/>
        <v>7.8085962917739948E-4</v>
      </c>
      <c r="L175" s="58">
        <f t="shared" si="57"/>
        <v>7.8085962917762153E-4</v>
      </c>
      <c r="M175" s="10"/>
      <c r="N175" s="56">
        <v>256489</v>
      </c>
      <c r="O175" s="56">
        <v>26199</v>
      </c>
      <c r="P175" s="56">
        <v>49132</v>
      </c>
      <c r="R175" s="56">
        <f t="shared" si="41"/>
        <v>49132</v>
      </c>
      <c r="S175" s="56">
        <f t="shared" si="42"/>
        <v>0</v>
      </c>
      <c r="U175" s="16">
        <v>1.8571104068781041E-2</v>
      </c>
      <c r="V175" s="16">
        <v>-3.0976682432560354E-2</v>
      </c>
      <c r="W175" s="56">
        <f t="shared" si="43"/>
        <v>3</v>
      </c>
      <c r="X175" s="56">
        <f t="shared" si="44"/>
        <v>2518.1256269241276</v>
      </c>
      <c r="Y175" s="56">
        <f t="shared" si="44"/>
        <v>270.36501108939171</v>
      </c>
      <c r="AA175" s="56">
        <f t="shared" si="45"/>
        <v>0</v>
      </c>
      <c r="AB175" s="56">
        <v>0</v>
      </c>
      <c r="AC175" s="56">
        <f t="shared" si="46"/>
        <v>0</v>
      </c>
      <c r="AE175" s="56">
        <v>0</v>
      </c>
      <c r="AF175" s="56">
        <f t="shared" si="47"/>
        <v>0</v>
      </c>
      <c r="AG175" s="56">
        <f t="shared" si="48"/>
        <v>0</v>
      </c>
      <c r="AI175" s="56">
        <f t="shared" si="49"/>
        <v>0</v>
      </c>
      <c r="AJ175" s="56">
        <f t="shared" si="50"/>
        <v>0</v>
      </c>
      <c r="AK175" s="56">
        <f t="shared" si="51"/>
        <v>0</v>
      </c>
      <c r="AM175" s="56">
        <f t="shared" si="52"/>
        <v>256489</v>
      </c>
      <c r="AN175" s="56">
        <f t="shared" si="53"/>
        <v>26199</v>
      </c>
      <c r="AO175" s="56">
        <f t="shared" si="54"/>
        <v>49132</v>
      </c>
      <c r="AP175" s="56"/>
      <c r="AQ175" s="56">
        <f t="shared" si="55"/>
        <v>331820</v>
      </c>
      <c r="AS175" s="56">
        <v>1172.9844553366784</v>
      </c>
      <c r="AT175" s="56">
        <v>119.8141820716118</v>
      </c>
      <c r="AU175" s="56">
        <v>224.69217884432348</v>
      </c>
      <c r="AV175" s="56"/>
      <c r="AW175" s="56">
        <v>1517.4908162526137</v>
      </c>
      <c r="AY175" s="16">
        <v>1.8571104068781041E-2</v>
      </c>
      <c r="AZ175" s="16">
        <v>-3.0976682432560354E-2</v>
      </c>
      <c r="BA175" s="16">
        <v>-6.791681678472683E-2</v>
      </c>
      <c r="BB175" s="16">
        <f t="shared" si="56"/>
        <v>7.8085962917739948E-4</v>
      </c>
      <c r="BC175" s="16"/>
      <c r="BE175" s="16">
        <v>3.048817756450406E-2</v>
      </c>
      <c r="BF175" s="16">
        <v>3.5656401944894611E-2</v>
      </c>
      <c r="BG175" s="16">
        <v>7.4948700721610084E-2</v>
      </c>
      <c r="BH175" s="16">
        <f>AQ175/(VLOOKUP($A175,'2016-17'!$A$12:$D$220,4,FALSE))-1</f>
        <v>3.7249176534817519E-2</v>
      </c>
      <c r="BJ175" s="16">
        <v>2.4490855736441386E-2</v>
      </c>
      <c r="BK175" s="16">
        <v>2.9629001649593256E-2</v>
      </c>
      <c r="BL175" s="16">
        <v>6.8692623798804586E-2</v>
      </c>
      <c r="BM175" s="16">
        <v>3.1212506475899904E-2</v>
      </c>
    </row>
    <row r="176" spans="1:65" x14ac:dyDescent="0.2">
      <c r="A176" s="156" t="s">
        <v>397</v>
      </c>
      <c r="B176" s="156" t="s">
        <v>398</v>
      </c>
      <c r="D176" s="56">
        <f>VLOOKUP(A176,'2016-17'!$A$12:$AMX384,32,FALSE)</f>
        <v>471528</v>
      </c>
      <c r="E176" s="56">
        <v>1388.2469051809201</v>
      </c>
      <c r="F176" s="16">
        <f>VLOOKUP(A176,'2016-17'!$A$12:$AMX384,34,FALSE)</f>
        <v>5.1613600263176185E-2</v>
      </c>
      <c r="G176" s="16">
        <f>VLOOKUP(A176,'2016-17'!$A$12:$AMX384,35,FALSE)</f>
        <v>4.5563321991627603E-2</v>
      </c>
      <c r="H176" s="56"/>
      <c r="I176" s="56">
        <v>484485.83941442653</v>
      </c>
      <c r="J176" s="56">
        <v>1426.3966660963035</v>
      </c>
      <c r="K176" s="16">
        <f t="shared" si="57"/>
        <v>-2.6745548291128629E-2</v>
      </c>
      <c r="L176" s="58">
        <f t="shared" si="57"/>
        <v>-2.6745548291128518E-2</v>
      </c>
      <c r="M176" s="10"/>
      <c r="N176" s="56">
        <v>353943</v>
      </c>
      <c r="O176" s="56">
        <v>39277</v>
      </c>
      <c r="P176" s="56">
        <v>78308</v>
      </c>
      <c r="R176" s="56">
        <f t="shared" si="41"/>
        <v>78308</v>
      </c>
      <c r="S176" s="56">
        <f t="shared" si="42"/>
        <v>0</v>
      </c>
      <c r="U176" s="16">
        <v>-4.4840245480398888E-2</v>
      </c>
      <c r="V176" s="16">
        <v>-4.161082779592451E-2</v>
      </c>
      <c r="W176" s="56">
        <f t="shared" si="43"/>
        <v>4</v>
      </c>
      <c r="X176" s="56">
        <f t="shared" si="44"/>
        <v>3705.5895448402357</v>
      </c>
      <c r="Y176" s="56">
        <f t="shared" si="44"/>
        <v>409.82307750485018</v>
      </c>
      <c r="AA176" s="56">
        <f t="shared" si="45"/>
        <v>0</v>
      </c>
      <c r="AB176" s="56">
        <v>0</v>
      </c>
      <c r="AC176" s="56">
        <f t="shared" si="46"/>
        <v>0</v>
      </c>
      <c r="AE176" s="56">
        <v>0</v>
      </c>
      <c r="AF176" s="56">
        <f t="shared" si="47"/>
        <v>0</v>
      </c>
      <c r="AG176" s="56">
        <f t="shared" si="48"/>
        <v>0</v>
      </c>
      <c r="AI176" s="56">
        <f t="shared" si="49"/>
        <v>0</v>
      </c>
      <c r="AJ176" s="56">
        <f t="shared" si="50"/>
        <v>0</v>
      </c>
      <c r="AK176" s="56">
        <f t="shared" si="51"/>
        <v>0</v>
      </c>
      <c r="AM176" s="56">
        <f t="shared" si="52"/>
        <v>353943</v>
      </c>
      <c r="AN176" s="56">
        <f t="shared" si="53"/>
        <v>39277</v>
      </c>
      <c r="AO176" s="56">
        <f t="shared" si="54"/>
        <v>78308</v>
      </c>
      <c r="AP176" s="56"/>
      <c r="AQ176" s="56">
        <f t="shared" si="55"/>
        <v>471528</v>
      </c>
      <c r="AS176" s="56">
        <v>1042.0595900146977</v>
      </c>
      <c r="AT176" s="56">
        <v>115.63719162974627</v>
      </c>
      <c r="AU176" s="56">
        <v>230.55012353647606</v>
      </c>
      <c r="AV176" s="56"/>
      <c r="AW176" s="56">
        <v>1388.2469051809201</v>
      </c>
      <c r="AY176" s="16">
        <v>-4.4840245480398888E-2</v>
      </c>
      <c r="AZ176" s="16">
        <v>-4.161082779592451E-2</v>
      </c>
      <c r="BA176" s="16">
        <v>7.3527368687779981E-2</v>
      </c>
      <c r="BB176" s="16">
        <f t="shared" si="56"/>
        <v>-2.6745548291128629E-2</v>
      </c>
      <c r="BC176" s="16"/>
      <c r="BE176" s="16">
        <v>4.8385843244005855E-2</v>
      </c>
      <c r="BF176" s="16">
        <v>3.5649307844429767E-2</v>
      </c>
      <c r="BG176" s="16">
        <v>7.4881950436223255E-2</v>
      </c>
      <c r="BH176" s="16">
        <f>AQ176/(VLOOKUP($A176,'2016-17'!$A$12:$D$220,4,FALSE))-1</f>
        <v>5.1613600263176185E-2</v>
      </c>
      <c r="BJ176" s="16">
        <v>4.2354135318213526E-2</v>
      </c>
      <c r="BK176" s="16">
        <v>2.9690877388008019E-2</v>
      </c>
      <c r="BL176" s="16">
        <v>6.8697801707473083E-2</v>
      </c>
      <c r="BM176" s="16">
        <v>4.5563321991627603E-2</v>
      </c>
    </row>
    <row r="177" spans="1:65" x14ac:dyDescent="0.2">
      <c r="A177" s="156" t="s">
        <v>399</v>
      </c>
      <c r="B177" s="156" t="s">
        <v>400</v>
      </c>
      <c r="D177" s="56">
        <f>VLOOKUP(A177,'2016-17'!$A$12:$AMX385,32,FALSE)</f>
        <v>858789.81842682452</v>
      </c>
      <c r="E177" s="56">
        <v>1690.4506089933234</v>
      </c>
      <c r="F177" s="16">
        <f>VLOOKUP(A177,'2016-17'!$A$12:$AMX385,34,FALSE)</f>
        <v>4.6878917356119265E-2</v>
      </c>
      <c r="G177" s="16">
        <f>VLOOKUP(A177,'2016-17'!$A$12:$AMX385,35,FALSE)</f>
        <v>3.8425566533346389E-2</v>
      </c>
      <c r="H177" s="56"/>
      <c r="I177" s="56">
        <v>877782.74675842095</v>
      </c>
      <c r="J177" s="56">
        <v>1727.8364822021233</v>
      </c>
      <c r="K177" s="16">
        <f t="shared" si="57"/>
        <v>-2.1637390802833334E-2</v>
      </c>
      <c r="L177" s="58">
        <f t="shared" si="57"/>
        <v>-2.1637390802833223E-2</v>
      </c>
      <c r="M177" s="10"/>
      <c r="N177" s="56">
        <v>664672</v>
      </c>
      <c r="O177" s="56">
        <v>63650</v>
      </c>
      <c r="P177" s="56">
        <v>122680</v>
      </c>
      <c r="R177" s="56">
        <f t="shared" si="41"/>
        <v>122680</v>
      </c>
      <c r="S177" s="56">
        <f t="shared" si="42"/>
        <v>7787.8184268245241</v>
      </c>
      <c r="U177" s="16">
        <v>-3.4152122010836505E-2</v>
      </c>
      <c r="V177" s="16">
        <v>-4.9696729565674613E-2</v>
      </c>
      <c r="W177" s="56">
        <f t="shared" si="43"/>
        <v>4</v>
      </c>
      <c r="X177" s="56">
        <f t="shared" si="44"/>
        <v>6881.7462371383644</v>
      </c>
      <c r="Y177" s="56">
        <f t="shared" si="44"/>
        <v>669.78618279309387</v>
      </c>
      <c r="AA177" s="56">
        <f t="shared" si="45"/>
        <v>0</v>
      </c>
      <c r="AB177" s="56">
        <v>0</v>
      </c>
      <c r="AC177" s="56">
        <f t="shared" si="46"/>
        <v>7787.8184268245241</v>
      </c>
      <c r="AE177" s="56">
        <v>0</v>
      </c>
      <c r="AF177" s="56">
        <f t="shared" si="47"/>
        <v>0</v>
      </c>
      <c r="AG177" s="56">
        <f t="shared" si="48"/>
        <v>7787.8184268245241</v>
      </c>
      <c r="AI177" s="56">
        <f t="shared" si="49"/>
        <v>7097.0747623173065</v>
      </c>
      <c r="AJ177" s="56">
        <f t="shared" si="50"/>
        <v>690.743664507218</v>
      </c>
      <c r="AK177" s="56">
        <f t="shared" si="51"/>
        <v>0</v>
      </c>
      <c r="AM177" s="56">
        <f t="shared" si="52"/>
        <v>671769</v>
      </c>
      <c r="AN177" s="56">
        <f t="shared" si="53"/>
        <v>64341</v>
      </c>
      <c r="AO177" s="56">
        <f t="shared" si="54"/>
        <v>122680</v>
      </c>
      <c r="AP177" s="56"/>
      <c r="AQ177" s="56">
        <f t="shared" si="55"/>
        <v>858790</v>
      </c>
      <c r="AS177" s="56">
        <v>1322.3169287603716</v>
      </c>
      <c r="AT177" s="56">
        <v>126.64947848646048</v>
      </c>
      <c r="AU177" s="56">
        <v>241.48455915697568</v>
      </c>
      <c r="AV177" s="56"/>
      <c r="AW177" s="56">
        <v>1690.4509664038078</v>
      </c>
      <c r="AY177" s="16">
        <v>-2.3839332559664972E-2</v>
      </c>
      <c r="AZ177" s="16">
        <v>-3.938000435169009E-2</v>
      </c>
      <c r="BA177" s="16">
        <v>4.1177068130093808E-4</v>
      </c>
      <c r="BB177" s="16">
        <f t="shared" si="56"/>
        <v>-2.1637183948487904E-2</v>
      </c>
      <c r="BC177" s="16"/>
      <c r="BE177" s="16">
        <v>4.1490080433437715E-2</v>
      </c>
      <c r="BF177" s="16">
        <v>4.6893050651654056E-2</v>
      </c>
      <c r="BG177" s="16">
        <v>7.7398356685367764E-2</v>
      </c>
      <c r="BH177" s="16">
        <f>AQ177/(VLOOKUP($A177,'2016-17'!$A$12:$D$220,4,FALSE))-1</f>
        <v>4.6879138696807487E-2</v>
      </c>
      <c r="BJ177" s="16">
        <v>3.3080243457661807E-2</v>
      </c>
      <c r="BK177" s="16">
        <v>3.8439585705171586E-2</v>
      </c>
      <c r="BL177" s="16">
        <v>6.8698567116635578E-2</v>
      </c>
      <c r="BM177" s="16">
        <v>3.8425786086749847E-2</v>
      </c>
    </row>
    <row r="178" spans="1:65" x14ac:dyDescent="0.2">
      <c r="A178" s="156" t="s">
        <v>401</v>
      </c>
      <c r="B178" s="156" t="s">
        <v>402</v>
      </c>
      <c r="D178" s="56">
        <f>VLOOKUP(A178,'2016-17'!$A$12:$AMX386,32,FALSE)</f>
        <v>200925</v>
      </c>
      <c r="E178" s="56">
        <v>1539.2446355035413</v>
      </c>
      <c r="F178" s="16">
        <f>VLOOKUP(A178,'2016-17'!$A$12:$AMX386,34,FALSE)</f>
        <v>3.8384354576269875E-2</v>
      </c>
      <c r="G178" s="16">
        <f>VLOOKUP(A178,'2016-17'!$A$12:$AMX386,35,FALSE)</f>
        <v>2.6875234217739852E-2</v>
      </c>
      <c r="H178" s="56"/>
      <c r="I178" s="56">
        <v>202272.19143982825</v>
      </c>
      <c r="J178" s="56">
        <v>1549.565188927714</v>
      </c>
      <c r="K178" s="16">
        <f t="shared" si="57"/>
        <v>-6.6602899303092045E-3</v>
      </c>
      <c r="L178" s="58">
        <f t="shared" si="57"/>
        <v>-6.6602899303089824E-3</v>
      </c>
      <c r="M178" s="10"/>
      <c r="N178" s="56">
        <v>154166</v>
      </c>
      <c r="O178" s="56">
        <v>15534</v>
      </c>
      <c r="P178" s="56">
        <v>31225</v>
      </c>
      <c r="R178" s="56">
        <f t="shared" si="41"/>
        <v>31225</v>
      </c>
      <c r="S178" s="56">
        <f t="shared" si="42"/>
        <v>0</v>
      </c>
      <c r="U178" s="16">
        <v>1.1747094398342206E-3</v>
      </c>
      <c r="V178" s="16">
        <v>6.4903664357258695E-3</v>
      </c>
      <c r="W178" s="56">
        <f t="shared" si="43"/>
        <v>2</v>
      </c>
      <c r="X178" s="56">
        <f t="shared" si="44"/>
        <v>1539.8511223506355</v>
      </c>
      <c r="Y178" s="56">
        <f t="shared" si="44"/>
        <v>154.33828795610233</v>
      </c>
      <c r="AA178" s="56">
        <f t="shared" si="45"/>
        <v>0</v>
      </c>
      <c r="AB178" s="56">
        <v>0</v>
      </c>
      <c r="AC178" s="56">
        <f t="shared" si="46"/>
        <v>0</v>
      </c>
      <c r="AE178" s="56">
        <v>0</v>
      </c>
      <c r="AF178" s="56">
        <f t="shared" si="47"/>
        <v>0</v>
      </c>
      <c r="AG178" s="56">
        <f t="shared" si="48"/>
        <v>0</v>
      </c>
      <c r="AI178" s="56">
        <f t="shared" si="49"/>
        <v>0</v>
      </c>
      <c r="AJ178" s="56">
        <f t="shared" si="50"/>
        <v>0</v>
      </c>
      <c r="AK178" s="56">
        <f t="shared" si="51"/>
        <v>0</v>
      </c>
      <c r="AM178" s="56">
        <f t="shared" si="52"/>
        <v>154166</v>
      </c>
      <c r="AN178" s="56">
        <f t="shared" si="53"/>
        <v>15534</v>
      </c>
      <c r="AO178" s="56">
        <f t="shared" si="54"/>
        <v>31225</v>
      </c>
      <c r="AP178" s="56"/>
      <c r="AQ178" s="56">
        <f t="shared" si="55"/>
        <v>200925</v>
      </c>
      <c r="AS178" s="56">
        <v>1181.0336616998329</v>
      </c>
      <c r="AT178" s="56">
        <v>119.00274315247982</v>
      </c>
      <c r="AU178" s="56">
        <v>239.20823065122843</v>
      </c>
      <c r="AV178" s="56"/>
      <c r="AW178" s="56">
        <v>1539.2446355035413</v>
      </c>
      <c r="AY178" s="16">
        <v>1.1747094398342206E-3</v>
      </c>
      <c r="AZ178" s="16">
        <v>6.4903664357258695E-3</v>
      </c>
      <c r="BA178" s="16">
        <v>-4.956131855680157E-2</v>
      </c>
      <c r="BB178" s="16">
        <f t="shared" si="56"/>
        <v>-6.6602899303092045E-3</v>
      </c>
      <c r="BC178" s="16"/>
      <c r="BE178" s="16">
        <v>3.0488324040764736E-2</v>
      </c>
      <c r="BF178" s="16">
        <v>3.5669044602973488E-2</v>
      </c>
      <c r="BG178" s="16">
        <v>8.067737779074502E-2</v>
      </c>
      <c r="BH178" s="16">
        <f>AQ178/(VLOOKUP($A178,'2016-17'!$A$12:$D$220,4,FALSE))-1</f>
        <v>3.8384354576269875E-2</v>
      </c>
      <c r="BJ178" s="16">
        <v>1.9066720761423461E-2</v>
      </c>
      <c r="BK178" s="16">
        <v>2.4190019872479152E-2</v>
      </c>
      <c r="BL178" s="16">
        <v>6.8699495078125006E-2</v>
      </c>
      <c r="BM178" s="16">
        <v>2.6875234217739852E-2</v>
      </c>
    </row>
    <row r="179" spans="1:65" x14ac:dyDescent="0.2">
      <c r="A179" s="156" t="s">
        <v>403</v>
      </c>
      <c r="B179" s="156" t="s">
        <v>404</v>
      </c>
      <c r="D179" s="56">
        <f>VLOOKUP(A179,'2016-17'!$A$12:$AMX387,32,FALSE)</f>
        <v>406530.2984806227</v>
      </c>
      <c r="E179" s="56">
        <v>1554.1401099087745</v>
      </c>
      <c r="F179" s="16">
        <f>VLOOKUP(A179,'2016-17'!$A$12:$AMX387,34,FALSE)</f>
        <v>4.9338975028645482E-2</v>
      </c>
      <c r="G179" s="16">
        <f>VLOOKUP(A179,'2016-17'!$A$12:$AMX387,35,FALSE)</f>
        <v>3.9045620563732397E-2</v>
      </c>
      <c r="H179" s="56"/>
      <c r="I179" s="56">
        <v>416031.56351590599</v>
      </c>
      <c r="J179" s="56">
        <v>1590.4628566791764</v>
      </c>
      <c r="K179" s="16">
        <f t="shared" si="57"/>
        <v>-2.2837846616702739E-2</v>
      </c>
      <c r="L179" s="58">
        <f t="shared" si="57"/>
        <v>-2.2837846616702739E-2</v>
      </c>
      <c r="M179" s="10"/>
      <c r="N179" s="56">
        <v>303002</v>
      </c>
      <c r="O179" s="56">
        <v>31481</v>
      </c>
      <c r="P179" s="56">
        <v>67978</v>
      </c>
      <c r="R179" s="56">
        <f t="shared" si="41"/>
        <v>67978</v>
      </c>
      <c r="S179" s="56">
        <f t="shared" si="42"/>
        <v>4069.2984806227032</v>
      </c>
      <c r="U179" s="16">
        <v>-4.3366713088378916E-2</v>
      </c>
      <c r="V179" s="16">
        <v>-1.5933559816490694E-2</v>
      </c>
      <c r="W179" s="56">
        <f t="shared" si="43"/>
        <v>4</v>
      </c>
      <c r="X179" s="56">
        <f t="shared" si="44"/>
        <v>3167.3788080091444</v>
      </c>
      <c r="Y179" s="56">
        <f t="shared" si="44"/>
        <v>319.90726148662691</v>
      </c>
      <c r="AA179" s="56">
        <f t="shared" si="45"/>
        <v>0</v>
      </c>
      <c r="AB179" s="56">
        <v>0</v>
      </c>
      <c r="AC179" s="56">
        <f t="shared" si="46"/>
        <v>4069.2984806227032</v>
      </c>
      <c r="AE179" s="56">
        <v>0</v>
      </c>
      <c r="AF179" s="56">
        <f t="shared" si="47"/>
        <v>0</v>
      </c>
      <c r="AG179" s="56">
        <f t="shared" si="48"/>
        <v>4069.2984806227032</v>
      </c>
      <c r="AI179" s="56">
        <f t="shared" si="49"/>
        <v>3696.0001313720127</v>
      </c>
      <c r="AJ179" s="56">
        <f t="shared" si="50"/>
        <v>373.29834925069065</v>
      </c>
      <c r="AK179" s="56">
        <f t="shared" si="51"/>
        <v>0</v>
      </c>
      <c r="AM179" s="56">
        <f t="shared" si="52"/>
        <v>306698</v>
      </c>
      <c r="AN179" s="56">
        <f t="shared" si="53"/>
        <v>31854</v>
      </c>
      <c r="AO179" s="56">
        <f t="shared" si="54"/>
        <v>67978</v>
      </c>
      <c r="AP179" s="56"/>
      <c r="AQ179" s="56">
        <f t="shared" si="55"/>
        <v>406530</v>
      </c>
      <c r="AS179" s="56">
        <v>1172.4874264236937</v>
      </c>
      <c r="AT179" s="56">
        <v>121.77586577447632</v>
      </c>
      <c r="AU179" s="56">
        <v>259.8756766377017</v>
      </c>
      <c r="AV179" s="56"/>
      <c r="AW179" s="56">
        <v>1554.1389688358715</v>
      </c>
      <c r="AY179" s="16">
        <v>-3.1697758334201298E-2</v>
      </c>
      <c r="AZ179" s="16">
        <v>-4.2739307644132918E-3</v>
      </c>
      <c r="BA179" s="16">
        <v>1.0029922430017768E-2</v>
      </c>
      <c r="BB179" s="16">
        <f t="shared" si="56"/>
        <v>-2.2838564063764166E-2</v>
      </c>
      <c r="BC179" s="16"/>
      <c r="BE179" s="16">
        <v>4.3068175550096788E-2</v>
      </c>
      <c r="BF179" s="16">
        <v>4.7932361746225061E-2</v>
      </c>
      <c r="BG179" s="16">
        <v>7.928761965330966E-2</v>
      </c>
      <c r="BH179" s="16">
        <f>AQ179/(VLOOKUP($A179,'2016-17'!$A$12:$D$220,4,FALSE))-1</f>
        <v>4.9338204588282641E-2</v>
      </c>
      <c r="BJ179" s="16">
        <v>3.2836333678680552E-2</v>
      </c>
      <c r="BK179" s="16">
        <v>3.7652805271718659E-2</v>
      </c>
      <c r="BL179" s="16">
        <v>6.8700487846468539E-2</v>
      </c>
      <c r="BM179" s="16">
        <v>3.9044857680903933E-2</v>
      </c>
    </row>
    <row r="180" spans="1:65" x14ac:dyDescent="0.2">
      <c r="A180" s="156" t="s">
        <v>405</v>
      </c>
      <c r="B180" s="156" t="s">
        <v>406</v>
      </c>
      <c r="D180" s="56">
        <f>VLOOKUP(A180,'2016-17'!$A$12:$AMX388,32,FALSE)</f>
        <v>273813.0558086895</v>
      </c>
      <c r="E180" s="56">
        <v>1511.1457312242114</v>
      </c>
      <c r="F180" s="16">
        <f>VLOOKUP(A180,'2016-17'!$A$12:$AMX388,34,FALSE)</f>
        <v>6.5080685202576705E-2</v>
      </c>
      <c r="G180" s="16">
        <f>VLOOKUP(A180,'2016-17'!$A$12:$AMX388,35,FALSE)</f>
        <v>5.3714467737428384E-2</v>
      </c>
      <c r="H180" s="56"/>
      <c r="I180" s="56">
        <v>283079.69039310439</v>
      </c>
      <c r="J180" s="56">
        <v>1562.2873221673299</v>
      </c>
      <c r="K180" s="16">
        <f t="shared" si="57"/>
        <v>-3.2735073899319955E-2</v>
      </c>
      <c r="L180" s="58">
        <f t="shared" si="57"/>
        <v>-3.2735073899320066E-2</v>
      </c>
      <c r="M180" s="10"/>
      <c r="N180" s="56">
        <v>207026</v>
      </c>
      <c r="O180" s="56">
        <v>20425</v>
      </c>
      <c r="P180" s="56">
        <v>43695</v>
      </c>
      <c r="R180" s="56">
        <f t="shared" si="41"/>
        <v>43695</v>
      </c>
      <c r="S180" s="56">
        <f t="shared" si="42"/>
        <v>2667.0558086895035</v>
      </c>
      <c r="U180" s="16">
        <v>-4.465172194343825E-2</v>
      </c>
      <c r="V180" s="16">
        <v>-3.5796438752021431E-2</v>
      </c>
      <c r="W180" s="56">
        <f t="shared" si="43"/>
        <v>4</v>
      </c>
      <c r="X180" s="56">
        <f t="shared" si="44"/>
        <v>2167.0212293797945</v>
      </c>
      <c r="Y180" s="56">
        <f t="shared" si="44"/>
        <v>211.83286207285641</v>
      </c>
      <c r="AA180" s="56">
        <f t="shared" si="45"/>
        <v>0</v>
      </c>
      <c r="AB180" s="56">
        <v>0</v>
      </c>
      <c r="AC180" s="56">
        <f t="shared" si="46"/>
        <v>2667.0558086895035</v>
      </c>
      <c r="AE180" s="56">
        <v>0</v>
      </c>
      <c r="AF180" s="56">
        <f t="shared" si="47"/>
        <v>0</v>
      </c>
      <c r="AG180" s="56">
        <f t="shared" si="48"/>
        <v>2667.0558086895035</v>
      </c>
      <c r="AI180" s="56">
        <f t="shared" si="49"/>
        <v>2429.5590797843124</v>
      </c>
      <c r="AJ180" s="56">
        <f t="shared" si="50"/>
        <v>237.49672890519074</v>
      </c>
      <c r="AK180" s="56">
        <f t="shared" si="51"/>
        <v>0</v>
      </c>
      <c r="AM180" s="56">
        <f t="shared" si="52"/>
        <v>209456</v>
      </c>
      <c r="AN180" s="56">
        <f t="shared" si="53"/>
        <v>20662</v>
      </c>
      <c r="AO180" s="56">
        <f t="shared" si="54"/>
        <v>43695</v>
      </c>
      <c r="AP180" s="56"/>
      <c r="AQ180" s="56">
        <f t="shared" si="55"/>
        <v>273813</v>
      </c>
      <c r="AS180" s="56">
        <v>1155.9658444498968</v>
      </c>
      <c r="AT180" s="56">
        <v>114.03142558830383</v>
      </c>
      <c r="AU180" s="56">
        <v>241.1481531836674</v>
      </c>
      <c r="AV180" s="56"/>
      <c r="AW180" s="56">
        <v>1511.145423221868</v>
      </c>
      <c r="AY180" s="16">
        <v>-3.3438172361852203E-2</v>
      </c>
      <c r="AZ180" s="16">
        <v>-2.4608372949535662E-2</v>
      </c>
      <c r="BA180" s="16">
        <v>-3.3174136338566029E-2</v>
      </c>
      <c r="BB180" s="16">
        <f t="shared" si="56"/>
        <v>-3.2735271047654502E-2</v>
      </c>
      <c r="BC180" s="16"/>
      <c r="BE180" s="16">
        <v>6.3711947840580097E-2</v>
      </c>
      <c r="BF180" s="16">
        <v>4.7662508873339338E-2</v>
      </c>
      <c r="BG180" s="16">
        <v>8.0234980401973077E-2</v>
      </c>
      <c r="BH180" s="16">
        <f>AQ180/(VLOOKUP($A180,'2016-17'!$A$12:$D$220,4,FALSE))-1</f>
        <v>6.5080468117393764E-2</v>
      </c>
      <c r="BJ180" s="16">
        <v>5.2360337124691014E-2</v>
      </c>
      <c r="BK180" s="16">
        <v>3.6482172893749221E-2</v>
      </c>
      <c r="BL180" s="16">
        <v>6.8707040902841632E-2</v>
      </c>
      <c r="BM180" s="16">
        <v>5.3714252968912968E-2</v>
      </c>
    </row>
    <row r="181" spans="1:65" x14ac:dyDescent="0.2">
      <c r="A181" s="156" t="s">
        <v>407</v>
      </c>
      <c r="B181" s="156" t="s">
        <v>408</v>
      </c>
      <c r="D181" s="56">
        <f>VLOOKUP(A181,'2016-17'!$A$12:$AMX389,32,FALSE)</f>
        <v>333260</v>
      </c>
      <c r="E181" s="56">
        <v>1719.9304997669917</v>
      </c>
      <c r="F181" s="16">
        <f>VLOOKUP(A181,'2016-17'!$A$12:$AMX389,34,FALSE)</f>
        <v>3.7424141595265636E-2</v>
      </c>
      <c r="G181" s="16">
        <f>VLOOKUP(A181,'2016-17'!$A$12:$AMX389,35,FALSE)</f>
        <v>3.0101682966763521E-2</v>
      </c>
      <c r="H181" s="56"/>
      <c r="I181" s="56">
        <v>337476.84610236069</v>
      </c>
      <c r="J181" s="56">
        <v>1741.693334263402</v>
      </c>
      <c r="K181" s="16">
        <f t="shared" si="57"/>
        <v>-1.2495216045374735E-2</v>
      </c>
      <c r="L181" s="58">
        <f t="shared" si="57"/>
        <v>-1.2495216045374735E-2</v>
      </c>
      <c r="M181" s="10"/>
      <c r="N181" s="56">
        <v>258836</v>
      </c>
      <c r="O181" s="56">
        <v>25004</v>
      </c>
      <c r="P181" s="56">
        <v>49420</v>
      </c>
      <c r="R181" s="56">
        <f t="shared" si="41"/>
        <v>49420</v>
      </c>
      <c r="S181" s="56">
        <f t="shared" si="42"/>
        <v>0</v>
      </c>
      <c r="U181" s="16">
        <v>-1.2995913603827902E-2</v>
      </c>
      <c r="V181" s="16">
        <v>-3.1629296090477599E-2</v>
      </c>
      <c r="W181" s="56">
        <f t="shared" si="43"/>
        <v>4</v>
      </c>
      <c r="X181" s="56">
        <f t="shared" si="44"/>
        <v>2622.4410168865929</v>
      </c>
      <c r="Y181" s="56">
        <f t="shared" si="44"/>
        <v>258.20690257412201</v>
      </c>
      <c r="AA181" s="56">
        <f t="shared" si="45"/>
        <v>0</v>
      </c>
      <c r="AB181" s="56">
        <v>0</v>
      </c>
      <c r="AC181" s="56">
        <f t="shared" si="46"/>
        <v>0</v>
      </c>
      <c r="AE181" s="56">
        <v>0</v>
      </c>
      <c r="AF181" s="56">
        <f t="shared" si="47"/>
        <v>0</v>
      </c>
      <c r="AG181" s="56">
        <f t="shared" si="48"/>
        <v>0</v>
      </c>
      <c r="AI181" s="56">
        <f t="shared" si="49"/>
        <v>0</v>
      </c>
      <c r="AJ181" s="56">
        <f t="shared" si="50"/>
        <v>0</v>
      </c>
      <c r="AK181" s="56">
        <f t="shared" si="51"/>
        <v>0</v>
      </c>
      <c r="AM181" s="56">
        <f t="shared" si="52"/>
        <v>258836</v>
      </c>
      <c r="AN181" s="56">
        <f t="shared" si="53"/>
        <v>25004</v>
      </c>
      <c r="AO181" s="56">
        <f t="shared" si="54"/>
        <v>49420</v>
      </c>
      <c r="AP181" s="56"/>
      <c r="AQ181" s="56">
        <f t="shared" si="55"/>
        <v>333260</v>
      </c>
      <c r="AS181" s="56">
        <v>1335.83367592177</v>
      </c>
      <c r="AT181" s="56">
        <v>129.04381628810498</v>
      </c>
      <c r="AU181" s="56">
        <v>255.05300755711679</v>
      </c>
      <c r="AV181" s="56"/>
      <c r="AW181" s="56">
        <v>1719.9304997669917</v>
      </c>
      <c r="AY181" s="16">
        <v>-1.2995913603827902E-2</v>
      </c>
      <c r="AZ181" s="16">
        <v>-3.1629296090477599E-2</v>
      </c>
      <c r="BA181" s="16">
        <v>1.6080779976657134E-4</v>
      </c>
      <c r="BB181" s="16">
        <f t="shared" si="56"/>
        <v>-1.2495216045374735E-2</v>
      </c>
      <c r="BC181" s="16"/>
      <c r="BE181" s="16">
        <v>3.0486736732155073E-2</v>
      </c>
      <c r="BF181" s="16">
        <v>3.5662510872716657E-2</v>
      </c>
      <c r="BG181" s="16">
        <v>7.630025576767574E-2</v>
      </c>
      <c r="BH181" s="16">
        <f>AQ181/(VLOOKUP($A181,'2016-17'!$A$12:$D$220,4,FALSE))-1</f>
        <v>3.7424141595265636E-2</v>
      </c>
      <c r="BJ181" s="16">
        <v>2.3213244440624115E-2</v>
      </c>
      <c r="BK181" s="16">
        <v>2.8352486375605501E-2</v>
      </c>
      <c r="BL181" s="16">
        <v>6.8703397569845448E-2</v>
      </c>
      <c r="BM181" s="16">
        <v>3.0101682966763521E-2</v>
      </c>
    </row>
    <row r="182" spans="1:65" x14ac:dyDescent="0.2">
      <c r="A182" s="156" t="s">
        <v>409</v>
      </c>
      <c r="B182" s="156" t="s">
        <v>410</v>
      </c>
      <c r="D182" s="56">
        <f>VLOOKUP(A182,'2016-17'!$A$12:$AMX390,32,FALSE)</f>
        <v>300694.13553005422</v>
      </c>
      <c r="E182" s="56">
        <v>1473.5148291901646</v>
      </c>
      <c r="F182" s="16">
        <f>VLOOKUP(A182,'2016-17'!$A$12:$AMX390,34,FALSE)</f>
        <v>5.0848761612608984E-2</v>
      </c>
      <c r="G182" s="16">
        <f>VLOOKUP(A182,'2016-17'!$A$12:$AMX390,35,FALSE)</f>
        <v>4.5117800860780211E-2</v>
      </c>
      <c r="H182" s="56"/>
      <c r="I182" s="56">
        <v>308645.90458723385</v>
      </c>
      <c r="J182" s="56">
        <v>1512.4815007662339</v>
      </c>
      <c r="K182" s="16">
        <f t="shared" si="57"/>
        <v>-2.576340375490771E-2</v>
      </c>
      <c r="L182" s="58">
        <f t="shared" si="57"/>
        <v>-2.576340375490771E-2</v>
      </c>
      <c r="M182" s="10"/>
      <c r="N182" s="56">
        <v>232797</v>
      </c>
      <c r="O182" s="56">
        <v>24343</v>
      </c>
      <c r="P182" s="56">
        <v>42511</v>
      </c>
      <c r="R182" s="56">
        <f t="shared" si="41"/>
        <v>42511</v>
      </c>
      <c r="S182" s="56">
        <f t="shared" si="42"/>
        <v>1043.13553005422</v>
      </c>
      <c r="U182" s="16">
        <v>-4.4461974107389945E-2</v>
      </c>
      <c r="V182" s="16">
        <v>-1.7230928970067394E-2</v>
      </c>
      <c r="W182" s="56">
        <f t="shared" si="43"/>
        <v>4</v>
      </c>
      <c r="X182" s="56">
        <f t="shared" si="44"/>
        <v>2436.2923681926118</v>
      </c>
      <c r="Y182" s="56">
        <f t="shared" si="44"/>
        <v>247.69806781250011</v>
      </c>
      <c r="AA182" s="56">
        <f t="shared" si="45"/>
        <v>0</v>
      </c>
      <c r="AB182" s="56">
        <v>0</v>
      </c>
      <c r="AC182" s="56">
        <f t="shared" si="46"/>
        <v>1043.13553005422</v>
      </c>
      <c r="AE182" s="56">
        <v>0</v>
      </c>
      <c r="AF182" s="56">
        <f t="shared" si="47"/>
        <v>0</v>
      </c>
      <c r="AG182" s="56">
        <f t="shared" si="48"/>
        <v>1043.13553005422</v>
      </c>
      <c r="AI182" s="56">
        <f t="shared" si="49"/>
        <v>946.8674317052637</v>
      </c>
      <c r="AJ182" s="56">
        <f t="shared" si="50"/>
        <v>96.268098348956386</v>
      </c>
      <c r="AK182" s="56">
        <f t="shared" si="51"/>
        <v>0</v>
      </c>
      <c r="AM182" s="56">
        <f t="shared" si="52"/>
        <v>233744</v>
      </c>
      <c r="AN182" s="56">
        <f t="shared" si="53"/>
        <v>24439</v>
      </c>
      <c r="AO182" s="56">
        <f t="shared" si="54"/>
        <v>42511</v>
      </c>
      <c r="AP182" s="56"/>
      <c r="AQ182" s="56">
        <f t="shared" si="55"/>
        <v>300694</v>
      </c>
      <c r="AS182" s="56">
        <v>1145.4338796035506</v>
      </c>
      <c r="AT182" s="56">
        <v>119.7603300347011</v>
      </c>
      <c r="AU182" s="56">
        <v>208.3199554034608</v>
      </c>
      <c r="AV182" s="56"/>
      <c r="AW182" s="56">
        <v>1473.5141650417124</v>
      </c>
      <c r="AY182" s="16">
        <v>-4.0574920105318157E-2</v>
      </c>
      <c r="AZ182" s="16">
        <v>-1.3355242702192682E-2</v>
      </c>
      <c r="BA182" s="16">
        <v>5.6256288261194998E-2</v>
      </c>
      <c r="BB182" s="16">
        <f t="shared" si="56"/>
        <v>-2.5763842866693087E-2</v>
      </c>
      <c r="BC182" s="16"/>
      <c r="BE182" s="16">
        <v>4.7812184191131202E-2</v>
      </c>
      <c r="BF182" s="16">
        <v>3.9736226334822433E-2</v>
      </c>
      <c r="BG182" s="16">
        <v>7.4570624764083382E-2</v>
      </c>
      <c r="BH182" s="16">
        <f>AQ182/(VLOOKUP($A182,'2016-17'!$A$12:$D$220,4,FALSE))-1</f>
        <v>5.0848287969884387E-2</v>
      </c>
      <c r="BJ182" s="16">
        <v>4.209778386803209E-2</v>
      </c>
      <c r="BK182" s="16">
        <v>3.4065869454698694E-2</v>
      </c>
      <c r="BL182" s="16">
        <v>6.8710293286754043E-2</v>
      </c>
      <c r="BM182" s="16">
        <v>4.5117329801136918E-2</v>
      </c>
    </row>
    <row r="183" spans="1:65" x14ac:dyDescent="0.2">
      <c r="A183" s="156" t="s">
        <v>411</v>
      </c>
      <c r="B183" s="156" t="s">
        <v>412</v>
      </c>
      <c r="D183" s="56">
        <f>VLOOKUP(A183,'2016-17'!$A$12:$AMX391,32,FALSE)</f>
        <v>316978</v>
      </c>
      <c r="E183" s="56">
        <v>1424.1224590819081</v>
      </c>
      <c r="F183" s="16">
        <f>VLOOKUP(A183,'2016-17'!$A$12:$AMX391,34,FALSE)</f>
        <v>3.8197262122916964E-2</v>
      </c>
      <c r="G183" s="16">
        <f>VLOOKUP(A183,'2016-17'!$A$12:$AMX391,35,FALSE)</f>
        <v>2.8804187198014475E-2</v>
      </c>
      <c r="H183" s="56"/>
      <c r="I183" s="56">
        <v>316983.52451757167</v>
      </c>
      <c r="J183" s="56">
        <v>1424.1472796989524</v>
      </c>
      <c r="K183" s="16">
        <f t="shared" si="57"/>
        <v>-1.7428406034913912E-5</v>
      </c>
      <c r="L183" s="58">
        <f t="shared" si="57"/>
        <v>-1.7428406035024935E-5</v>
      </c>
      <c r="M183" s="10"/>
      <c r="N183" s="56">
        <v>241562</v>
      </c>
      <c r="O183" s="56">
        <v>25334</v>
      </c>
      <c r="P183" s="56">
        <v>50082</v>
      </c>
      <c r="R183" s="56">
        <f t="shared" si="41"/>
        <v>50082</v>
      </c>
      <c r="S183" s="56">
        <f t="shared" si="42"/>
        <v>0</v>
      </c>
      <c r="U183" s="16">
        <v>-1.7096036834515882E-2</v>
      </c>
      <c r="V183" s="16">
        <v>-4.1902749627543034E-2</v>
      </c>
      <c r="W183" s="56">
        <f t="shared" si="43"/>
        <v>4</v>
      </c>
      <c r="X183" s="56">
        <f t="shared" si="44"/>
        <v>2457.6358327220423</v>
      </c>
      <c r="Y183" s="56">
        <f t="shared" si="44"/>
        <v>264.41992177883293</v>
      </c>
      <c r="AA183" s="56">
        <f t="shared" si="45"/>
        <v>0</v>
      </c>
      <c r="AB183" s="56">
        <v>0</v>
      </c>
      <c r="AC183" s="56">
        <f t="shared" si="46"/>
        <v>0</v>
      </c>
      <c r="AE183" s="56">
        <v>0</v>
      </c>
      <c r="AF183" s="56">
        <f t="shared" si="47"/>
        <v>0</v>
      </c>
      <c r="AG183" s="56">
        <f t="shared" si="48"/>
        <v>0</v>
      </c>
      <c r="AI183" s="56">
        <f t="shared" si="49"/>
        <v>0</v>
      </c>
      <c r="AJ183" s="56">
        <f t="shared" si="50"/>
        <v>0</v>
      </c>
      <c r="AK183" s="56">
        <f t="shared" si="51"/>
        <v>0</v>
      </c>
      <c r="AM183" s="56">
        <f t="shared" si="52"/>
        <v>241562</v>
      </c>
      <c r="AN183" s="56">
        <f t="shared" si="53"/>
        <v>25334</v>
      </c>
      <c r="AO183" s="56">
        <f t="shared" si="54"/>
        <v>50082</v>
      </c>
      <c r="AP183" s="56"/>
      <c r="AQ183" s="56">
        <f t="shared" si="55"/>
        <v>316978</v>
      </c>
      <c r="AS183" s="56">
        <v>1085.2925738087308</v>
      </c>
      <c r="AT183" s="56">
        <v>113.82089097155342</v>
      </c>
      <c r="AU183" s="56">
        <v>225.00899430162383</v>
      </c>
      <c r="AV183" s="56"/>
      <c r="AW183" s="56">
        <v>1424.1224590819081</v>
      </c>
      <c r="AY183" s="16">
        <v>-1.7096036834515882E-2</v>
      </c>
      <c r="AZ183" s="16">
        <v>-4.1902749627543034E-2</v>
      </c>
      <c r="BA183" s="16">
        <v>0.11845229723501127</v>
      </c>
      <c r="BB183" s="16">
        <f t="shared" si="56"/>
        <v>-1.7428406034913912E-5</v>
      </c>
      <c r="BC183" s="16"/>
      <c r="BE183" s="16">
        <v>3.0488564384836714E-2</v>
      </c>
      <c r="BF183" s="16">
        <v>3.5647126154852327E-2</v>
      </c>
      <c r="BG183" s="16">
        <v>7.8452780290117152E-2</v>
      </c>
      <c r="BH183" s="16">
        <f>AQ183/(VLOOKUP($A183,'2016-17'!$A$12:$D$220,4,FALSE))-1</f>
        <v>3.8197262122916964E-2</v>
      </c>
      <c r="BJ183" s="16">
        <v>2.1165233792797444E-2</v>
      </c>
      <c r="BK183" s="16">
        <v>2.6277123548757553E-2</v>
      </c>
      <c r="BL183" s="16">
        <v>6.8695494138619972E-2</v>
      </c>
      <c r="BM183" s="16">
        <v>2.8804187198014475E-2</v>
      </c>
    </row>
    <row r="184" spans="1:65" x14ac:dyDescent="0.2">
      <c r="A184" s="156" t="s">
        <v>413</v>
      </c>
      <c r="B184" s="156" t="s">
        <v>414</v>
      </c>
      <c r="D184" s="56">
        <f>VLOOKUP(A184,'2016-17'!$A$12:$AMX392,32,FALSE)</f>
        <v>338691.86495516472</v>
      </c>
      <c r="E184" s="56">
        <v>1808.7413254909311</v>
      </c>
      <c r="F184" s="16">
        <f>VLOOKUP(A184,'2016-17'!$A$12:$AMX392,34,FALSE)</f>
        <v>2.971769900131549E-2</v>
      </c>
      <c r="G184" s="16">
        <f>VLOOKUP(A184,'2016-17'!$A$12:$AMX392,35,FALSE)</f>
        <v>2.347188496987318E-2</v>
      </c>
      <c r="H184" s="56"/>
      <c r="I184" s="56">
        <v>326080.53009343753</v>
      </c>
      <c r="J184" s="56">
        <v>1741.3920771202031</v>
      </c>
      <c r="K184" s="16">
        <f t="shared" si="57"/>
        <v>3.8675522448744282E-2</v>
      </c>
      <c r="L184" s="58">
        <f t="shared" si="57"/>
        <v>3.8675522448744282E-2</v>
      </c>
      <c r="M184" s="10"/>
      <c r="N184" s="56">
        <v>269265</v>
      </c>
      <c r="O184" s="56">
        <v>25997</v>
      </c>
      <c r="P184" s="56">
        <v>43312</v>
      </c>
      <c r="R184" s="56">
        <f t="shared" si="41"/>
        <v>43312</v>
      </c>
      <c r="S184" s="56">
        <f t="shared" si="42"/>
        <v>117.86495516472496</v>
      </c>
      <c r="U184" s="16">
        <v>5.9937739283919322E-2</v>
      </c>
      <c r="V184" s="16">
        <v>4.3365753796980044E-3</v>
      </c>
      <c r="W184" s="56">
        <f t="shared" si="43"/>
        <v>2</v>
      </c>
      <c r="X184" s="56">
        <f t="shared" si="44"/>
        <v>2540.3850624463289</v>
      </c>
      <c r="Y184" s="56">
        <f t="shared" si="44"/>
        <v>258.84748835490348</v>
      </c>
      <c r="AA184" s="56">
        <f t="shared" si="45"/>
        <v>0</v>
      </c>
      <c r="AB184" s="56">
        <v>0</v>
      </c>
      <c r="AC184" s="56">
        <f t="shared" si="46"/>
        <v>117.86495516472496</v>
      </c>
      <c r="AE184" s="56">
        <v>0</v>
      </c>
      <c r="AF184" s="56">
        <f t="shared" si="47"/>
        <v>0</v>
      </c>
      <c r="AG184" s="56">
        <f t="shared" si="48"/>
        <v>117.86495516472496</v>
      </c>
      <c r="AI184" s="56">
        <f t="shared" si="49"/>
        <v>106.9658794160096</v>
      </c>
      <c r="AJ184" s="56">
        <f t="shared" si="50"/>
        <v>10.899075748715367</v>
      </c>
      <c r="AK184" s="56">
        <f t="shared" si="51"/>
        <v>0</v>
      </c>
      <c r="AM184" s="56">
        <f t="shared" si="52"/>
        <v>269372</v>
      </c>
      <c r="AN184" s="56">
        <f t="shared" si="53"/>
        <v>26008</v>
      </c>
      <c r="AO184" s="56">
        <f t="shared" si="54"/>
        <v>43312</v>
      </c>
      <c r="AP184" s="56"/>
      <c r="AQ184" s="56">
        <f t="shared" si="55"/>
        <v>338692</v>
      </c>
      <c r="AS184" s="56">
        <v>1438.5473013786166</v>
      </c>
      <c r="AT184" s="56">
        <v>138.89245435403478</v>
      </c>
      <c r="AU184" s="56">
        <v>231.30229094824497</v>
      </c>
      <c r="AV184" s="56"/>
      <c r="AW184" s="56">
        <v>1808.7420466808962</v>
      </c>
      <c r="AY184" s="16">
        <v>6.0358935273384651E-2</v>
      </c>
      <c r="AZ184" s="16">
        <v>4.7615360416659591E-3</v>
      </c>
      <c r="BA184" s="16">
        <v>-6.1643045706090249E-2</v>
      </c>
      <c r="BB184" s="16">
        <f t="shared" si="56"/>
        <v>3.8675936594401161E-2</v>
      </c>
      <c r="BC184" s="16"/>
      <c r="BE184" s="16">
        <v>2.2155347205812248E-2</v>
      </c>
      <c r="BF184" s="16">
        <v>3.6092741614214052E-2</v>
      </c>
      <c r="BG184" s="16">
        <v>7.5223040118427509E-2</v>
      </c>
      <c r="BH184" s="16">
        <f>AQ184/(VLOOKUP($A184,'2016-17'!$A$12:$D$220,4,FALSE))-1</f>
        <v>2.9718109575266105E-2</v>
      </c>
      <c r="BJ184" s="16">
        <v>1.5955403069585428E-2</v>
      </c>
      <c r="BK184" s="16">
        <v>2.9808259382116509E-2</v>
      </c>
      <c r="BL184" s="16">
        <v>6.8701210730222062E-2</v>
      </c>
      <c r="BM184" s="16">
        <v>2.3472293053462767E-2</v>
      </c>
    </row>
    <row r="185" spans="1:65" x14ac:dyDescent="0.2">
      <c r="A185" s="156" t="s">
        <v>415</v>
      </c>
      <c r="B185" s="156" t="s">
        <v>416</v>
      </c>
      <c r="D185" s="56">
        <f>VLOOKUP(A185,'2016-17'!$A$12:$AMX393,32,FALSE)</f>
        <v>258490</v>
      </c>
      <c r="E185" s="56">
        <v>1520.3534819610106</v>
      </c>
      <c r="F185" s="16">
        <f>VLOOKUP(A185,'2016-17'!$A$12:$AMX393,34,FALSE)</f>
        <v>3.7345846190669274E-2</v>
      </c>
      <c r="G185" s="16">
        <f>VLOOKUP(A185,'2016-17'!$A$12:$AMX393,35,FALSE)</f>
        <v>3.0020153371709046E-2</v>
      </c>
      <c r="H185" s="56"/>
      <c r="I185" s="56">
        <v>261133.07882218383</v>
      </c>
      <c r="J185" s="56">
        <v>1535.8992055495617</v>
      </c>
      <c r="K185" s="16">
        <f t="shared" si="57"/>
        <v>-1.0121577986615837E-2</v>
      </c>
      <c r="L185" s="58">
        <f t="shared" si="57"/>
        <v>-1.0121577986615726E-2</v>
      </c>
      <c r="M185" s="10"/>
      <c r="N185" s="56">
        <v>199615</v>
      </c>
      <c r="O185" s="56">
        <v>21207</v>
      </c>
      <c r="P185" s="56">
        <v>37668</v>
      </c>
      <c r="R185" s="56">
        <f t="shared" si="41"/>
        <v>37668</v>
      </c>
      <c r="S185" s="56">
        <f t="shared" si="42"/>
        <v>0</v>
      </c>
      <c r="U185" s="16">
        <v>-7.3705248054464212E-3</v>
      </c>
      <c r="V185" s="16">
        <v>4.0103680819810972E-2</v>
      </c>
      <c r="W185" s="56">
        <f t="shared" si="43"/>
        <v>1</v>
      </c>
      <c r="X185" s="56">
        <f t="shared" si="44"/>
        <v>2010.9719184076801</v>
      </c>
      <c r="Y185" s="56">
        <f t="shared" si="44"/>
        <v>203.89313480060579</v>
      </c>
      <c r="AA185" s="56">
        <f t="shared" si="45"/>
        <v>0</v>
      </c>
      <c r="AB185" s="56">
        <v>0</v>
      </c>
      <c r="AC185" s="56">
        <f t="shared" si="46"/>
        <v>0</v>
      </c>
      <c r="AE185" s="56">
        <v>0</v>
      </c>
      <c r="AF185" s="56">
        <f t="shared" si="47"/>
        <v>0</v>
      </c>
      <c r="AG185" s="56">
        <f t="shared" si="48"/>
        <v>0</v>
      </c>
      <c r="AI185" s="56">
        <f t="shared" si="49"/>
        <v>0</v>
      </c>
      <c r="AJ185" s="56">
        <f t="shared" si="50"/>
        <v>0</v>
      </c>
      <c r="AK185" s="56">
        <f t="shared" si="51"/>
        <v>0</v>
      </c>
      <c r="AM185" s="56">
        <f t="shared" si="52"/>
        <v>199615</v>
      </c>
      <c r="AN185" s="56">
        <f t="shared" si="53"/>
        <v>21207</v>
      </c>
      <c r="AO185" s="56">
        <f t="shared" si="54"/>
        <v>37668</v>
      </c>
      <c r="AP185" s="56"/>
      <c r="AQ185" s="56">
        <f t="shared" si="55"/>
        <v>258490</v>
      </c>
      <c r="AS185" s="56">
        <v>1174.0700232181018</v>
      </c>
      <c r="AT185" s="56">
        <v>124.7326252154712</v>
      </c>
      <c r="AU185" s="56">
        <v>221.55083352743762</v>
      </c>
      <c r="AV185" s="56"/>
      <c r="AW185" s="56">
        <v>1520.3534819610106</v>
      </c>
      <c r="AY185" s="16">
        <v>-7.3705248054464212E-3</v>
      </c>
      <c r="AZ185" s="16">
        <v>4.0103680819810972E-2</v>
      </c>
      <c r="BA185" s="16">
        <v>-4.9905283776606968E-2</v>
      </c>
      <c r="BB185" s="16">
        <f t="shared" si="56"/>
        <v>-1.0121577986615837E-2</v>
      </c>
      <c r="BC185" s="16"/>
      <c r="BE185" s="16">
        <v>3.0488070495769071E-2</v>
      </c>
      <c r="BF185" s="16">
        <v>3.5649753381842952E-2</v>
      </c>
      <c r="BG185" s="16">
        <v>7.6295259665678516E-2</v>
      </c>
      <c r="BH185" s="16">
        <f>AQ185/(VLOOKUP($A185,'2016-17'!$A$12:$D$220,4,FALSE))-1</f>
        <v>3.7345846190669274E-2</v>
      </c>
      <c r="BJ185" s="16">
        <v>2.321080700088296E-2</v>
      </c>
      <c r="BK185" s="16">
        <v>2.8336038299098032E-2</v>
      </c>
      <c r="BL185" s="16">
        <v>6.8694507723818798E-2</v>
      </c>
      <c r="BM185" s="16">
        <v>3.0020153371709046E-2</v>
      </c>
    </row>
    <row r="186" spans="1:65" x14ac:dyDescent="0.2">
      <c r="A186" s="156" t="s">
        <v>417</v>
      </c>
      <c r="B186" s="156" t="s">
        <v>418</v>
      </c>
      <c r="D186" s="56">
        <f>VLOOKUP(A186,'2016-17'!$A$12:$AMX394,32,FALSE)</f>
        <v>341912.09952987684</v>
      </c>
      <c r="E186" s="56">
        <v>1450.5042026918247</v>
      </c>
      <c r="F186" s="16">
        <f>VLOOKUP(A186,'2016-17'!$A$12:$AMX394,34,FALSE)</f>
        <v>3.9925422406055899E-2</v>
      </c>
      <c r="G186" s="16">
        <f>VLOOKUP(A186,'2016-17'!$A$12:$AMX394,35,FALSE)</f>
        <v>3.3032208040931987E-2</v>
      </c>
      <c r="H186" s="56"/>
      <c r="I186" s="56">
        <v>348513.1554478482</v>
      </c>
      <c r="J186" s="56">
        <v>1478.5080649838774</v>
      </c>
      <c r="K186" s="16">
        <f t="shared" si="57"/>
        <v>-1.8940621938614677E-2</v>
      </c>
      <c r="L186" s="58">
        <f t="shared" si="57"/>
        <v>-1.8940621938614899E-2</v>
      </c>
      <c r="M186" s="10"/>
      <c r="N186" s="56">
        <v>257021</v>
      </c>
      <c r="O186" s="56">
        <v>27938</v>
      </c>
      <c r="P186" s="56">
        <v>56366</v>
      </c>
      <c r="R186" s="56">
        <f t="shared" si="41"/>
        <v>56366</v>
      </c>
      <c r="S186" s="56">
        <f t="shared" si="42"/>
        <v>587.09952987683937</v>
      </c>
      <c r="U186" s="16">
        <v>-3.0208963761780283E-2</v>
      </c>
      <c r="V186" s="16">
        <v>3.0621255975099571E-2</v>
      </c>
      <c r="W186" s="56">
        <f t="shared" si="43"/>
        <v>1</v>
      </c>
      <c r="X186" s="56">
        <f t="shared" si="44"/>
        <v>2650.2719698974956</v>
      </c>
      <c r="Y186" s="56">
        <f t="shared" si="44"/>
        <v>271.07921399861948</v>
      </c>
      <c r="AA186" s="56">
        <f t="shared" si="45"/>
        <v>587.09952987683937</v>
      </c>
      <c r="AB186" s="56">
        <v>0</v>
      </c>
      <c r="AC186" s="56">
        <f t="shared" si="46"/>
        <v>0</v>
      </c>
      <c r="AE186" s="56">
        <v>0</v>
      </c>
      <c r="AF186" s="56">
        <f t="shared" si="47"/>
        <v>0</v>
      </c>
      <c r="AG186" s="56">
        <f t="shared" si="48"/>
        <v>0</v>
      </c>
      <c r="AI186" s="56">
        <f t="shared" si="49"/>
        <v>0</v>
      </c>
      <c r="AJ186" s="56">
        <f t="shared" si="50"/>
        <v>0</v>
      </c>
      <c r="AK186" s="56">
        <f t="shared" si="51"/>
        <v>0</v>
      </c>
      <c r="AM186" s="56">
        <f t="shared" si="52"/>
        <v>257608</v>
      </c>
      <c r="AN186" s="56">
        <f t="shared" si="53"/>
        <v>27938</v>
      </c>
      <c r="AO186" s="56">
        <f t="shared" si="54"/>
        <v>56366</v>
      </c>
      <c r="AP186" s="56"/>
      <c r="AQ186" s="56">
        <f t="shared" si="55"/>
        <v>341912</v>
      </c>
      <c r="AS186" s="56">
        <v>1092.8583316028114</v>
      </c>
      <c r="AT186" s="56">
        <v>118.52223559951301</v>
      </c>
      <c r="AU186" s="56">
        <v>239.12321325084653</v>
      </c>
      <c r="AV186" s="56"/>
      <c r="AW186" s="56">
        <v>1450.503780453171</v>
      </c>
      <c r="AY186" s="16">
        <v>-2.7994096734292984E-2</v>
      </c>
      <c r="AZ186" s="16">
        <v>3.0621255975099571E-2</v>
      </c>
      <c r="BA186" s="16">
        <v>-2.1350616063975369E-4</v>
      </c>
      <c r="BB186" s="16">
        <f t="shared" si="56"/>
        <v>-1.8940907522889794E-2</v>
      </c>
      <c r="BC186" s="16"/>
      <c r="BE186" s="16">
        <v>3.2842613944449761E-2</v>
      </c>
      <c r="BF186" s="16">
        <v>3.5661328588374896E-2</v>
      </c>
      <c r="BG186" s="16">
        <v>7.5836875468544784E-2</v>
      </c>
      <c r="BH186" s="16">
        <f>AQ186/(VLOOKUP($A186,'2016-17'!$A$12:$D$220,4,FALSE))-1</f>
        <v>3.9925119686001986E-2</v>
      </c>
      <c r="BJ186" s="16">
        <v>2.5996348443139805E-2</v>
      </c>
      <c r="BK186" s="16">
        <v>2.8796379050829213E-2</v>
      </c>
      <c r="BL186" s="16">
        <v>6.8705619664305217E-2</v>
      </c>
      <c r="BM186" s="16">
        <v>3.3031907327478072E-2</v>
      </c>
    </row>
    <row r="187" spans="1:65" x14ac:dyDescent="0.2">
      <c r="A187" s="156" t="s">
        <v>419</v>
      </c>
      <c r="B187" s="156" t="s">
        <v>420</v>
      </c>
      <c r="D187" s="56">
        <f>VLOOKUP(A187,'2016-17'!$A$12:$AMX395,32,FALSE)</f>
        <v>261010</v>
      </c>
      <c r="E187" s="56">
        <v>1823.7221122759602</v>
      </c>
      <c r="F187" s="16">
        <f>VLOOKUP(A187,'2016-17'!$A$12:$AMX395,34,FALSE)</f>
        <v>2.2981412282333746E-2</v>
      </c>
      <c r="G187" s="16">
        <f>VLOOKUP(A187,'2016-17'!$A$12:$AMX395,35,FALSE)</f>
        <v>1.914741675037801E-2</v>
      </c>
      <c r="H187" s="56"/>
      <c r="I187" s="56">
        <v>236323.64697799043</v>
      </c>
      <c r="J187" s="56">
        <v>1651.2342846920003</v>
      </c>
      <c r="K187" s="16">
        <f t="shared" si="57"/>
        <v>0.10445993592976621</v>
      </c>
      <c r="L187" s="58">
        <f t="shared" si="57"/>
        <v>0.10445993592976621</v>
      </c>
      <c r="M187" s="10"/>
      <c r="N187" s="56">
        <v>207027</v>
      </c>
      <c r="O187" s="56">
        <v>18954</v>
      </c>
      <c r="P187" s="56">
        <v>35029</v>
      </c>
      <c r="R187" s="56">
        <f t="shared" si="41"/>
        <v>35029</v>
      </c>
      <c r="S187" s="56">
        <f t="shared" si="42"/>
        <v>0</v>
      </c>
      <c r="U187" s="16">
        <v>0.1189801848512746</v>
      </c>
      <c r="V187" s="16">
        <v>2.0600872165443818E-4</v>
      </c>
      <c r="W187" s="56">
        <f t="shared" si="43"/>
        <v>2</v>
      </c>
      <c r="X187" s="56">
        <f t="shared" si="44"/>
        <v>1850.1400007142779</v>
      </c>
      <c r="Y187" s="56">
        <f t="shared" si="44"/>
        <v>189.50096114924136</v>
      </c>
      <c r="AA187" s="56">
        <f t="shared" si="45"/>
        <v>0</v>
      </c>
      <c r="AB187" s="56">
        <v>0</v>
      </c>
      <c r="AC187" s="56">
        <f t="shared" si="46"/>
        <v>0</v>
      </c>
      <c r="AE187" s="56">
        <v>0</v>
      </c>
      <c r="AF187" s="56">
        <f t="shared" si="47"/>
        <v>0</v>
      </c>
      <c r="AG187" s="56">
        <f t="shared" si="48"/>
        <v>0</v>
      </c>
      <c r="AI187" s="56">
        <f t="shared" si="49"/>
        <v>0</v>
      </c>
      <c r="AJ187" s="56">
        <f t="shared" si="50"/>
        <v>0</v>
      </c>
      <c r="AK187" s="56">
        <f t="shared" si="51"/>
        <v>0</v>
      </c>
      <c r="AM187" s="56">
        <f t="shared" si="52"/>
        <v>207027</v>
      </c>
      <c r="AN187" s="56">
        <f t="shared" si="53"/>
        <v>18954</v>
      </c>
      <c r="AO187" s="56">
        <f t="shared" si="54"/>
        <v>35029</v>
      </c>
      <c r="AP187" s="56"/>
      <c r="AQ187" s="56">
        <f t="shared" si="55"/>
        <v>261010</v>
      </c>
      <c r="AS187" s="56">
        <v>1446.5335341103987</v>
      </c>
      <c r="AT187" s="56">
        <v>132.43488339940441</v>
      </c>
      <c r="AU187" s="56">
        <v>244.75369476615688</v>
      </c>
      <c r="AV187" s="56"/>
      <c r="AW187" s="56">
        <v>1823.7221122759602</v>
      </c>
      <c r="AY187" s="16">
        <v>0.1189801848512746</v>
      </c>
      <c r="AZ187" s="16">
        <v>2.0600872165443818E-4</v>
      </c>
      <c r="BA187" s="16">
        <v>8.2493395089132449E-2</v>
      </c>
      <c r="BB187" s="16">
        <f t="shared" si="56"/>
        <v>0.10445993592976621</v>
      </c>
      <c r="BC187" s="16"/>
      <c r="BE187" s="16">
        <v>1.3890262808542664E-2</v>
      </c>
      <c r="BF187" s="16">
        <v>3.5681110321840404E-2</v>
      </c>
      <c r="BG187" s="16">
        <v>7.2711294161823092E-2</v>
      </c>
      <c r="BH187" s="16">
        <f>AQ187/(VLOOKUP($A187,'2016-17'!$A$12:$D$220,4,FALSE))-1</f>
        <v>2.2981412282333746E-2</v>
      </c>
      <c r="BJ187" s="16">
        <v>1.0090339671299464E-2</v>
      </c>
      <c r="BK187" s="16">
        <v>3.1799518044766772E-2</v>
      </c>
      <c r="BL187" s="16">
        <v>6.8690917780087402E-2</v>
      </c>
      <c r="BM187" s="16">
        <v>1.914741675037801E-2</v>
      </c>
    </row>
    <row r="188" spans="1:65" x14ac:dyDescent="0.2">
      <c r="A188" s="156" t="s">
        <v>421</v>
      </c>
      <c r="B188" s="156" t="s">
        <v>422</v>
      </c>
      <c r="D188" s="56">
        <f>VLOOKUP(A188,'2016-17'!$A$12:$AMX396,32,FALSE)</f>
        <v>456674.5892795283</v>
      </c>
      <c r="E188" s="56">
        <v>1538.6186239802844</v>
      </c>
      <c r="F188" s="16">
        <f>VLOOKUP(A188,'2016-17'!$A$12:$AMX396,34,FALSE)</f>
        <v>5.6648668943286351E-2</v>
      </c>
      <c r="G188" s="16">
        <f>VLOOKUP(A188,'2016-17'!$A$12:$AMX396,35,FALSE)</f>
        <v>4.6986092211297237E-2</v>
      </c>
      <c r="H188" s="56"/>
      <c r="I188" s="56">
        <v>469990.44425673236</v>
      </c>
      <c r="J188" s="56">
        <v>1583.4821284167137</v>
      </c>
      <c r="K188" s="16">
        <f t="shared" si="57"/>
        <v>-2.8332182366521241E-2</v>
      </c>
      <c r="L188" s="58">
        <f t="shared" si="57"/>
        <v>-2.833218236652113E-2</v>
      </c>
      <c r="M188" s="10"/>
      <c r="N188" s="56">
        <v>341958</v>
      </c>
      <c r="O188" s="56">
        <v>36673</v>
      </c>
      <c r="P188" s="56">
        <v>70043</v>
      </c>
      <c r="R188" s="56">
        <f t="shared" si="41"/>
        <v>70043</v>
      </c>
      <c r="S188" s="56">
        <f t="shared" si="42"/>
        <v>8000.5892795282998</v>
      </c>
      <c r="U188" s="16">
        <v>-3.5939704823227725E-2</v>
      </c>
      <c r="V188" s="16">
        <v>-6.5205085799696638E-3</v>
      </c>
      <c r="W188" s="56">
        <f t="shared" si="43"/>
        <v>4</v>
      </c>
      <c r="X188" s="56">
        <f t="shared" si="44"/>
        <v>3547.0603001786089</v>
      </c>
      <c r="Y188" s="56">
        <f t="shared" si="44"/>
        <v>369.13696071955582</v>
      </c>
      <c r="AA188" s="56">
        <f t="shared" si="45"/>
        <v>0</v>
      </c>
      <c r="AB188" s="56">
        <v>0</v>
      </c>
      <c r="AC188" s="56">
        <f t="shared" si="46"/>
        <v>8000.5892795282998</v>
      </c>
      <c r="AE188" s="56">
        <v>0</v>
      </c>
      <c r="AF188" s="56">
        <f t="shared" si="47"/>
        <v>0</v>
      </c>
      <c r="AG188" s="56">
        <f t="shared" si="48"/>
        <v>8000.5892795282998</v>
      </c>
      <c r="AI188" s="56">
        <f t="shared" si="49"/>
        <v>7246.4614831329764</v>
      </c>
      <c r="AJ188" s="56">
        <f t="shared" si="50"/>
        <v>754.12779639532414</v>
      </c>
      <c r="AK188" s="56">
        <f t="shared" si="51"/>
        <v>0</v>
      </c>
      <c r="AM188" s="56">
        <f t="shared" si="52"/>
        <v>349204</v>
      </c>
      <c r="AN188" s="56">
        <f t="shared" si="53"/>
        <v>37427</v>
      </c>
      <c r="AO188" s="56">
        <f t="shared" si="54"/>
        <v>70043</v>
      </c>
      <c r="AP188" s="56"/>
      <c r="AQ188" s="56">
        <f t="shared" si="55"/>
        <v>456674</v>
      </c>
      <c r="AS188" s="56">
        <v>1176.5309272321642</v>
      </c>
      <c r="AT188" s="56">
        <v>126.09827783621668</v>
      </c>
      <c r="AU188" s="56">
        <v>235.98743352344897</v>
      </c>
      <c r="AV188" s="56"/>
      <c r="AW188" s="56">
        <v>1538.6166385918298</v>
      </c>
      <c r="AY188" s="16">
        <v>-1.5511520956054348E-2</v>
      </c>
      <c r="AZ188" s="16">
        <v>1.3905514285100118E-2</v>
      </c>
      <c r="BA188" s="16">
        <v>-0.10626058254537585</v>
      </c>
      <c r="BB188" s="16">
        <f t="shared" si="56"/>
        <v>-2.8333436178243354E-2</v>
      </c>
      <c r="BC188" s="16"/>
      <c r="BE188" s="16">
        <v>5.2324592600982545E-2</v>
      </c>
      <c r="BF188" s="16">
        <v>5.6961310364303852E-2</v>
      </c>
      <c r="BG188" s="16">
        <v>7.8564645449262338E-2</v>
      </c>
      <c r="BH188" s="16">
        <f>AQ188/(VLOOKUP($A188,'2016-17'!$A$12:$D$220,4,FALSE))-1</f>
        <v>5.6647305474760268E-2</v>
      </c>
      <c r="BJ188" s="16">
        <v>4.2701557601908746E-2</v>
      </c>
      <c r="BK188" s="16">
        <v>4.7295874667164783E-2</v>
      </c>
      <c r="BL188" s="16">
        <v>6.8701656971278835E-2</v>
      </c>
      <c r="BM188" s="16">
        <v>4.6984741211077319E-2</v>
      </c>
    </row>
    <row r="189" spans="1:65" x14ac:dyDescent="0.2">
      <c r="A189" s="156" t="s">
        <v>423</v>
      </c>
      <c r="B189" s="156" t="s">
        <v>424</v>
      </c>
      <c r="D189" s="56">
        <f>VLOOKUP(A189,'2016-17'!$A$12:$AMX397,32,FALSE)</f>
        <v>167161</v>
      </c>
      <c r="E189" s="56">
        <v>1416.0988144948392</v>
      </c>
      <c r="F189" s="16">
        <f>VLOOKUP(A189,'2016-17'!$A$12:$AMX397,34,FALSE)</f>
        <v>3.7276045975597194E-2</v>
      </c>
      <c r="G189" s="16">
        <f>VLOOKUP(A189,'2016-17'!$A$12:$AMX397,35,FALSE)</f>
        <v>3.0999172258223684E-2</v>
      </c>
      <c r="H189" s="56"/>
      <c r="I189" s="56">
        <v>169188.58258350627</v>
      </c>
      <c r="J189" s="56">
        <v>1433.2754124620301</v>
      </c>
      <c r="K189" s="16">
        <f t="shared" si="57"/>
        <v>-1.1984157279085417E-2</v>
      </c>
      <c r="L189" s="58">
        <f t="shared" si="57"/>
        <v>-1.1984157279085306E-2</v>
      </c>
      <c r="M189" s="10"/>
      <c r="N189" s="56">
        <v>128530</v>
      </c>
      <c r="O189" s="56">
        <v>14022</v>
      </c>
      <c r="P189" s="56">
        <v>24609</v>
      </c>
      <c r="R189" s="56">
        <f t="shared" si="41"/>
        <v>24609</v>
      </c>
      <c r="S189" s="56">
        <f t="shared" si="42"/>
        <v>0</v>
      </c>
      <c r="U189" s="16">
        <v>-1.8681513936306016E-2</v>
      </c>
      <c r="V189" s="16">
        <v>6.5205979603122355E-3</v>
      </c>
      <c r="W189" s="56">
        <f t="shared" si="43"/>
        <v>1</v>
      </c>
      <c r="X189" s="56">
        <f t="shared" si="44"/>
        <v>1309.7684576957777</v>
      </c>
      <c r="Y189" s="56">
        <f t="shared" si="44"/>
        <v>139.31160503237805</v>
      </c>
      <c r="AA189" s="56">
        <f t="shared" si="45"/>
        <v>0</v>
      </c>
      <c r="AB189" s="56">
        <v>0</v>
      </c>
      <c r="AC189" s="56">
        <f t="shared" si="46"/>
        <v>0</v>
      </c>
      <c r="AE189" s="56">
        <v>0</v>
      </c>
      <c r="AF189" s="56">
        <f t="shared" si="47"/>
        <v>0</v>
      </c>
      <c r="AG189" s="56">
        <f t="shared" si="48"/>
        <v>0</v>
      </c>
      <c r="AI189" s="56">
        <f t="shared" si="49"/>
        <v>0</v>
      </c>
      <c r="AJ189" s="56">
        <f t="shared" si="50"/>
        <v>0</v>
      </c>
      <c r="AK189" s="56">
        <f t="shared" si="51"/>
        <v>0</v>
      </c>
      <c r="AM189" s="56">
        <f t="shared" si="52"/>
        <v>128530</v>
      </c>
      <c r="AN189" s="56">
        <f t="shared" si="53"/>
        <v>14022</v>
      </c>
      <c r="AO189" s="56">
        <f t="shared" si="54"/>
        <v>24609</v>
      </c>
      <c r="AP189" s="56"/>
      <c r="AQ189" s="56">
        <f t="shared" si="55"/>
        <v>167161</v>
      </c>
      <c r="AS189" s="56">
        <v>1088.8375914658423</v>
      </c>
      <c r="AT189" s="56">
        <v>118.78690350528314</v>
      </c>
      <c r="AU189" s="56">
        <v>208.47431952371363</v>
      </c>
      <c r="AV189" s="56"/>
      <c r="AW189" s="56">
        <v>1416.0988144948392</v>
      </c>
      <c r="AY189" s="16">
        <v>-1.8681513936306016E-2</v>
      </c>
      <c r="AZ189" s="16">
        <v>6.5205979603122355E-3</v>
      </c>
      <c r="BA189" s="16">
        <v>1.3526190033830154E-2</v>
      </c>
      <c r="BB189" s="16">
        <f t="shared" si="56"/>
        <v>-1.1984157279085417E-2</v>
      </c>
      <c r="BC189" s="16"/>
      <c r="BE189" s="16">
        <v>3.0487204481500108E-2</v>
      </c>
      <c r="BF189" s="16">
        <v>3.5674717482827356E-2</v>
      </c>
      <c r="BG189" s="16">
        <v>7.5219828095073327E-2</v>
      </c>
      <c r="BH189" s="16">
        <f>AQ189/(VLOOKUP($A189,'2016-17'!$A$12:$D$220,4,FALSE))-1</f>
        <v>3.7276045975597194E-2</v>
      </c>
      <c r="BJ189" s="16">
        <v>2.4251412114564497E-2</v>
      </c>
      <c r="BK189" s="16">
        <v>2.9407533892559679E-2</v>
      </c>
      <c r="BL189" s="16">
        <v>6.8713344979461466E-2</v>
      </c>
      <c r="BM189" s="16">
        <v>3.0999172258223684E-2</v>
      </c>
    </row>
    <row r="190" spans="1:65" x14ac:dyDescent="0.2">
      <c r="A190" s="156" t="s">
        <v>425</v>
      </c>
      <c r="B190" s="156" t="s">
        <v>426</v>
      </c>
      <c r="D190" s="56">
        <f>VLOOKUP(A190,'2016-17'!$A$12:$AMX398,32,FALSE)</f>
        <v>156653.99417147945</v>
      </c>
      <c r="E190" s="56">
        <v>1421.5832172221355</v>
      </c>
      <c r="F190" s="16">
        <f>VLOOKUP(A190,'2016-17'!$A$12:$AMX398,34,FALSE)</f>
        <v>5.0336666900377303E-2</v>
      </c>
      <c r="G190" s="16">
        <f>VLOOKUP(A190,'2016-17'!$A$12:$AMX398,35,FALSE)</f>
        <v>4.220775201235849E-2</v>
      </c>
      <c r="H190" s="56"/>
      <c r="I190" s="56">
        <v>160475.65436943423</v>
      </c>
      <c r="J190" s="56">
        <v>1456.2635203198743</v>
      </c>
      <c r="K190" s="16">
        <f t="shared" si="57"/>
        <v>-2.3814579307817274E-2</v>
      </c>
      <c r="L190" s="58">
        <f t="shared" si="57"/>
        <v>-2.3814579307817163E-2</v>
      </c>
      <c r="M190" s="10"/>
      <c r="N190" s="56">
        <v>121121</v>
      </c>
      <c r="O190" s="56">
        <v>13735</v>
      </c>
      <c r="P190" s="56">
        <v>19760</v>
      </c>
      <c r="R190" s="56">
        <f t="shared" si="41"/>
        <v>19760</v>
      </c>
      <c r="S190" s="56">
        <f t="shared" si="42"/>
        <v>2037.994171479455</v>
      </c>
      <c r="U190" s="16">
        <v>-3.9685478382956441E-2</v>
      </c>
      <c r="V190" s="16">
        <v>2.5675929029950195E-2</v>
      </c>
      <c r="W190" s="56">
        <f t="shared" si="43"/>
        <v>1</v>
      </c>
      <c r="X190" s="56">
        <f t="shared" si="44"/>
        <v>1261.2638596368213</v>
      </c>
      <c r="Y190" s="56">
        <f t="shared" si="44"/>
        <v>133.91169287739939</v>
      </c>
      <c r="AA190" s="56">
        <f t="shared" si="45"/>
        <v>2037.994171479455</v>
      </c>
      <c r="AB190" s="56">
        <v>0</v>
      </c>
      <c r="AC190" s="56">
        <f t="shared" si="46"/>
        <v>0</v>
      </c>
      <c r="AE190" s="56">
        <v>0</v>
      </c>
      <c r="AF190" s="56">
        <f t="shared" si="47"/>
        <v>0</v>
      </c>
      <c r="AG190" s="56">
        <f t="shared" si="48"/>
        <v>0</v>
      </c>
      <c r="AI190" s="56">
        <f t="shared" si="49"/>
        <v>0</v>
      </c>
      <c r="AJ190" s="56">
        <f t="shared" si="50"/>
        <v>0</v>
      </c>
      <c r="AK190" s="56">
        <f t="shared" si="51"/>
        <v>0</v>
      </c>
      <c r="AM190" s="56">
        <f t="shared" si="52"/>
        <v>123159</v>
      </c>
      <c r="AN190" s="56">
        <f t="shared" si="53"/>
        <v>13735</v>
      </c>
      <c r="AO190" s="56">
        <f t="shared" si="54"/>
        <v>19760</v>
      </c>
      <c r="AP190" s="56"/>
      <c r="AQ190" s="56">
        <f t="shared" si="55"/>
        <v>156654</v>
      </c>
      <c r="AS190" s="56">
        <v>1117.627216438611</v>
      </c>
      <c r="AT190" s="56">
        <v>124.64058507932285</v>
      </c>
      <c r="AU190" s="56">
        <v>179.31546859609898</v>
      </c>
      <c r="AV190" s="56"/>
      <c r="AW190" s="56">
        <v>1421.5832701140328</v>
      </c>
      <c r="AY190" s="16">
        <v>-2.3527083100094437E-2</v>
      </c>
      <c r="AZ190" s="16">
        <v>2.5675929029950195E-2</v>
      </c>
      <c r="BA190" s="16">
        <v>-5.7166401936827871E-2</v>
      </c>
      <c r="BB190" s="16">
        <f t="shared" si="56"/>
        <v>-2.3814542987538267E-2</v>
      </c>
      <c r="BC190" s="16"/>
      <c r="BE190" s="16">
        <v>4.7827521867821021E-2</v>
      </c>
      <c r="BF190" s="16">
        <v>3.566581209470665E-2</v>
      </c>
      <c r="BG190" s="16">
        <v>7.7016215748164196E-2</v>
      </c>
      <c r="BH190" s="16">
        <f>AQ190/(VLOOKUP($A190,'2016-17'!$A$12:$D$220,4,FALSE))-1</f>
        <v>5.0336705979552088E-2</v>
      </c>
      <c r="BJ190" s="16">
        <v>3.971802611183306E-2</v>
      </c>
      <c r="BK190" s="16">
        <v>2.7650439972362939E-2</v>
      </c>
      <c r="BL190" s="16">
        <v>6.868081870192988E-2</v>
      </c>
      <c r="BM190" s="16">
        <v>4.2207790789086097E-2</v>
      </c>
    </row>
    <row r="191" spans="1:65" x14ac:dyDescent="0.2">
      <c r="A191" s="156" t="s">
        <v>427</v>
      </c>
      <c r="B191" s="156" t="s">
        <v>428</v>
      </c>
      <c r="D191" s="56">
        <f>VLOOKUP(A191,'2016-17'!$A$12:$AMX399,32,FALSE)</f>
        <v>331672.65081020124</v>
      </c>
      <c r="E191" s="56">
        <v>1473.8799886552931</v>
      </c>
      <c r="F191" s="16">
        <f>VLOOKUP(A191,'2016-17'!$A$12:$AMX399,34,FALSE)</f>
        <v>6.4760469855383418E-2</v>
      </c>
      <c r="G191" s="16">
        <f>VLOOKUP(A191,'2016-17'!$A$12:$AMX399,35,FALSE)</f>
        <v>5.9420010363339992E-2</v>
      </c>
      <c r="H191" s="56"/>
      <c r="I191" s="56">
        <v>344301.64723554376</v>
      </c>
      <c r="J191" s="56">
        <v>1530.0004588316635</v>
      </c>
      <c r="K191" s="16">
        <f t="shared" si="57"/>
        <v>-3.6680034866933831E-2</v>
      </c>
      <c r="L191" s="58">
        <f t="shared" si="57"/>
        <v>-3.6680034866933942E-2</v>
      </c>
      <c r="M191" s="10"/>
      <c r="N191" s="56">
        <v>251339</v>
      </c>
      <c r="O191" s="56">
        <v>26591</v>
      </c>
      <c r="P191" s="56">
        <v>50008</v>
      </c>
      <c r="R191" s="56">
        <f t="shared" si="41"/>
        <v>50008</v>
      </c>
      <c r="S191" s="56">
        <f t="shared" si="42"/>
        <v>3734.6508102012449</v>
      </c>
      <c r="U191" s="16">
        <v>-4.5097948600824611E-2</v>
      </c>
      <c r="V191" s="16">
        <v>-2.3393048051061682E-2</v>
      </c>
      <c r="W191" s="56">
        <f t="shared" si="43"/>
        <v>4</v>
      </c>
      <c r="X191" s="56">
        <f t="shared" si="44"/>
        <v>2632.0919473544345</v>
      </c>
      <c r="Y191" s="56">
        <f t="shared" si="44"/>
        <v>272.27944616751307</v>
      </c>
      <c r="AA191" s="56">
        <f t="shared" si="45"/>
        <v>0</v>
      </c>
      <c r="AB191" s="56">
        <v>0</v>
      </c>
      <c r="AC191" s="56">
        <f t="shared" si="46"/>
        <v>3734.6508102012449</v>
      </c>
      <c r="AE191" s="56">
        <v>0</v>
      </c>
      <c r="AF191" s="56">
        <f t="shared" si="47"/>
        <v>0</v>
      </c>
      <c r="AG191" s="56">
        <f t="shared" si="48"/>
        <v>3734.6508102012449</v>
      </c>
      <c r="AI191" s="56">
        <f t="shared" si="49"/>
        <v>3384.5342044191052</v>
      </c>
      <c r="AJ191" s="56">
        <f t="shared" si="50"/>
        <v>350.1166057821402</v>
      </c>
      <c r="AK191" s="56">
        <f t="shared" si="51"/>
        <v>0</v>
      </c>
      <c r="AM191" s="56">
        <f t="shared" si="52"/>
        <v>254724</v>
      </c>
      <c r="AN191" s="56">
        <f t="shared" si="53"/>
        <v>26941</v>
      </c>
      <c r="AO191" s="56">
        <f t="shared" si="54"/>
        <v>50008</v>
      </c>
      <c r="AP191" s="56"/>
      <c r="AQ191" s="56">
        <f t="shared" si="55"/>
        <v>331673</v>
      </c>
      <c r="AS191" s="56">
        <v>1131.937183584881</v>
      </c>
      <c r="AT191" s="56">
        <v>119.71985232235784</v>
      </c>
      <c r="AU191" s="56">
        <v>222.22450447037863</v>
      </c>
      <c r="AV191" s="56"/>
      <c r="AW191" s="56">
        <v>1473.8815403776175</v>
      </c>
      <c r="AY191" s="16">
        <v>-3.2237455625256817E-2</v>
      </c>
      <c r="AZ191" s="16">
        <v>-1.0538607331189165E-2</v>
      </c>
      <c r="BA191" s="16">
        <v>-7.1596456273225528E-2</v>
      </c>
      <c r="BB191" s="16">
        <f t="shared" si="56"/>
        <v>-3.6679020669640461E-2</v>
      </c>
      <c r="BC191" s="16"/>
      <c r="BE191" s="16">
        <v>6.4609333925581769E-2</v>
      </c>
      <c r="BF191" s="16">
        <v>4.92677987225425E-2</v>
      </c>
      <c r="BG191" s="16">
        <v>7.4088522891184283E-2</v>
      </c>
      <c r="BH191" s="16">
        <f>AQ191/(VLOOKUP($A191,'2016-17'!$A$12:$D$220,4,FALSE))-1</f>
        <v>6.4761590850718198E-2</v>
      </c>
      <c r="BJ191" s="16">
        <v>5.9269632477562118E-2</v>
      </c>
      <c r="BK191" s="16">
        <v>4.4005044953946637E-2</v>
      </c>
      <c r="BL191" s="16">
        <v>6.8701277205637457E-2</v>
      </c>
      <c r="BM191" s="16">
        <v>5.9421125736161207E-2</v>
      </c>
    </row>
    <row r="192" spans="1:65" x14ac:dyDescent="0.2">
      <c r="A192" s="156" t="s">
        <v>429</v>
      </c>
      <c r="B192" s="156" t="s">
        <v>430</v>
      </c>
      <c r="D192" s="56">
        <f>VLOOKUP(A192,'2016-17'!$A$12:$AMX400,32,FALSE)</f>
        <v>319160</v>
      </c>
      <c r="E192" s="56">
        <v>1426.474751852918</v>
      </c>
      <c r="F192" s="16">
        <f>VLOOKUP(A192,'2016-17'!$A$12:$AMX400,34,FALSE)</f>
        <v>6.9531881375923366E-2</v>
      </c>
      <c r="G192" s="16">
        <f>VLOOKUP(A192,'2016-17'!$A$12:$AMX400,35,FALSE)</f>
        <v>5.8913170198315434E-2</v>
      </c>
      <c r="H192" s="56"/>
      <c r="I192" s="56">
        <v>325246.89226931968</v>
      </c>
      <c r="J192" s="56">
        <v>1453.6799095776742</v>
      </c>
      <c r="K192" s="16">
        <f t="shared" si="57"/>
        <v>-1.8714682335164157E-2</v>
      </c>
      <c r="L192" s="58">
        <f t="shared" si="57"/>
        <v>-1.8714682335164046E-2</v>
      </c>
      <c r="M192" s="10"/>
      <c r="N192" s="56">
        <v>243438</v>
      </c>
      <c r="O192" s="56">
        <v>27770</v>
      </c>
      <c r="P192" s="56">
        <v>47952</v>
      </c>
      <c r="R192" s="56">
        <f t="shared" si="41"/>
        <v>47952</v>
      </c>
      <c r="S192" s="56">
        <f t="shared" si="42"/>
        <v>0</v>
      </c>
      <c r="U192" s="16">
        <v>-4.6845986782814708E-2</v>
      </c>
      <c r="V192" s="16">
        <v>6.0879776766494142E-2</v>
      </c>
      <c r="W192" s="56">
        <f t="shared" si="43"/>
        <v>1</v>
      </c>
      <c r="X192" s="56">
        <f t="shared" si="44"/>
        <v>2554.0258617631221</v>
      </c>
      <c r="Y192" s="56">
        <f t="shared" si="44"/>
        <v>261.76387379766538</v>
      </c>
      <c r="AA192" s="56">
        <f t="shared" si="45"/>
        <v>0</v>
      </c>
      <c r="AB192" s="56">
        <v>0</v>
      </c>
      <c r="AC192" s="56">
        <f t="shared" si="46"/>
        <v>0</v>
      </c>
      <c r="AE192" s="56">
        <v>0</v>
      </c>
      <c r="AF192" s="56">
        <f t="shared" si="47"/>
        <v>0</v>
      </c>
      <c r="AG192" s="56">
        <f t="shared" si="48"/>
        <v>0</v>
      </c>
      <c r="AI192" s="56">
        <f t="shared" si="49"/>
        <v>0</v>
      </c>
      <c r="AJ192" s="56">
        <f t="shared" si="50"/>
        <v>0</v>
      </c>
      <c r="AK192" s="56">
        <f t="shared" si="51"/>
        <v>0</v>
      </c>
      <c r="AM192" s="56">
        <f t="shared" si="52"/>
        <v>243438</v>
      </c>
      <c r="AN192" s="56">
        <f t="shared" si="53"/>
        <v>27770</v>
      </c>
      <c r="AO192" s="56">
        <f t="shared" si="54"/>
        <v>47952</v>
      </c>
      <c r="AP192" s="56"/>
      <c r="AQ192" s="56">
        <f t="shared" si="55"/>
        <v>319160</v>
      </c>
      <c r="AS192" s="56">
        <v>1088.0378513647406</v>
      </c>
      <c r="AT192" s="56">
        <v>124.11706936632262</v>
      </c>
      <c r="AU192" s="56">
        <v>214.31983112185461</v>
      </c>
      <c r="AV192" s="56"/>
      <c r="AW192" s="56">
        <v>1426.474751852918</v>
      </c>
      <c r="AY192" s="16">
        <v>-4.6845986782814708E-2</v>
      </c>
      <c r="AZ192" s="16">
        <v>6.0879776766494142E-2</v>
      </c>
      <c r="BA192" s="16">
        <v>9.810591878426389E-2</v>
      </c>
      <c r="BB192" s="16">
        <f t="shared" si="56"/>
        <v>-1.8714682335164157E-2</v>
      </c>
      <c r="BC192" s="16"/>
      <c r="BE192" s="16">
        <v>7.1836841474227642E-2</v>
      </c>
      <c r="BF192" s="16">
        <v>3.3686953284943311E-2</v>
      </c>
      <c r="BG192" s="16">
        <v>7.9424495758763758E-2</v>
      </c>
      <c r="BH192" s="16">
        <f>AQ192/(VLOOKUP($A192,'2016-17'!$A$12:$D$220,4,FALSE))-1</f>
        <v>6.9531881375923366E-2</v>
      </c>
      <c r="BJ192" s="16">
        <v>6.1195245793608688E-2</v>
      </c>
      <c r="BK192" s="16">
        <v>2.3424123914328021E-2</v>
      </c>
      <c r="BL192" s="16">
        <v>6.87075670181716E-2</v>
      </c>
      <c r="BM192" s="16">
        <v>5.8913170198315434E-2</v>
      </c>
    </row>
    <row r="193" spans="1:65" x14ac:dyDescent="0.2">
      <c r="A193" s="156" t="s">
        <v>431</v>
      </c>
      <c r="B193" s="156" t="s">
        <v>432</v>
      </c>
      <c r="D193" s="56">
        <f>VLOOKUP(A193,'2016-17'!$A$12:$AMX401,32,FALSE)</f>
        <v>544433.8497489508</v>
      </c>
      <c r="E193" s="56">
        <v>1478.4841432341884</v>
      </c>
      <c r="F193" s="16">
        <f>VLOOKUP(A193,'2016-17'!$A$12:$AMX401,34,FALSE)</f>
        <v>4.7668757627309599E-2</v>
      </c>
      <c r="G193" s="16">
        <f>VLOOKUP(A193,'2016-17'!$A$12:$AMX401,35,FALSE)</f>
        <v>3.9162321302247616E-2</v>
      </c>
      <c r="H193" s="56"/>
      <c r="I193" s="56">
        <v>556855.78923760366</v>
      </c>
      <c r="J193" s="56">
        <v>1512.2176088713022</v>
      </c>
      <c r="K193" s="16">
        <f t="shared" si="57"/>
        <v>-2.2307282655101512E-2</v>
      </c>
      <c r="L193" s="58">
        <f t="shared" si="57"/>
        <v>-2.2307282655101401E-2</v>
      </c>
      <c r="M193" s="10"/>
      <c r="N193" s="56">
        <v>413653</v>
      </c>
      <c r="O193" s="56">
        <v>39353</v>
      </c>
      <c r="P193" s="56">
        <v>87137</v>
      </c>
      <c r="R193" s="56">
        <f t="shared" si="41"/>
        <v>87137</v>
      </c>
      <c r="S193" s="56">
        <f t="shared" si="42"/>
        <v>4290.8497489508009</v>
      </c>
      <c r="U193" s="16">
        <v>-4.2331103326779695E-2</v>
      </c>
      <c r="V193" s="16">
        <v>-0.11065456320879041</v>
      </c>
      <c r="W193" s="56">
        <f t="shared" si="43"/>
        <v>4</v>
      </c>
      <c r="X193" s="56">
        <f t="shared" si="44"/>
        <v>4319.3738612265734</v>
      </c>
      <c r="Y193" s="56">
        <f t="shared" si="44"/>
        <v>442.49397784045584</v>
      </c>
      <c r="AA193" s="56">
        <f t="shared" si="45"/>
        <v>0</v>
      </c>
      <c r="AB193" s="56">
        <v>0</v>
      </c>
      <c r="AC193" s="56">
        <f t="shared" si="46"/>
        <v>4290.8497489508009</v>
      </c>
      <c r="AE193" s="56">
        <v>0</v>
      </c>
      <c r="AF193" s="56">
        <f t="shared" si="47"/>
        <v>0</v>
      </c>
      <c r="AG193" s="56">
        <f t="shared" si="48"/>
        <v>4290.8497489508009</v>
      </c>
      <c r="AI193" s="56">
        <f t="shared" si="49"/>
        <v>3892.1248708363842</v>
      </c>
      <c r="AJ193" s="56">
        <f t="shared" si="50"/>
        <v>398.72487811441653</v>
      </c>
      <c r="AK193" s="56">
        <f t="shared" si="51"/>
        <v>0</v>
      </c>
      <c r="AM193" s="56">
        <f t="shared" si="52"/>
        <v>417545</v>
      </c>
      <c r="AN193" s="56">
        <f t="shared" si="53"/>
        <v>39752</v>
      </c>
      <c r="AO193" s="56">
        <f t="shared" si="54"/>
        <v>87137</v>
      </c>
      <c r="AP193" s="56"/>
      <c r="AQ193" s="56">
        <f t="shared" si="55"/>
        <v>544434</v>
      </c>
      <c r="AS193" s="56">
        <v>1133.9002192302773</v>
      </c>
      <c r="AT193" s="56">
        <v>107.95196090203926</v>
      </c>
      <c r="AU193" s="56">
        <v>236.63237112902485</v>
      </c>
      <c r="AV193" s="56"/>
      <c r="AW193" s="56">
        <v>1478.4845512613415</v>
      </c>
      <c r="AY193" s="16">
        <v>-3.332053808042057E-2</v>
      </c>
      <c r="AZ193" s="16">
        <v>-0.10163749133930933</v>
      </c>
      <c r="BA193" s="16">
        <v>8.0179427557930616E-2</v>
      </c>
      <c r="BB193" s="16">
        <f t="shared" si="56"/>
        <v>-2.2307012834706152E-2</v>
      </c>
      <c r="BC193" s="16"/>
      <c r="BE193" s="16">
        <v>4.0182818258645003E-2</v>
      </c>
      <c r="BF193" s="16">
        <v>6.3627120458072506E-2</v>
      </c>
      <c r="BG193" s="16">
        <v>7.7452311398547025E-2</v>
      </c>
      <c r="BH193" s="16">
        <f>AQ193/(VLOOKUP($A193,'2016-17'!$A$12:$D$220,4,FALSE))-1</f>
        <v>4.7669046759460487E-2</v>
      </c>
      <c r="BJ193" s="16">
        <v>3.1737163231210896E-2</v>
      </c>
      <c r="BK193" s="16">
        <v>5.4991111883877508E-2</v>
      </c>
      <c r="BL193" s="16">
        <v>6.8704050640099545E-2</v>
      </c>
      <c r="BM193" s="16">
        <v>3.9162608086820372E-2</v>
      </c>
    </row>
    <row r="194" spans="1:65" x14ac:dyDescent="0.2">
      <c r="A194" s="156" t="s">
        <v>433</v>
      </c>
      <c r="B194" s="156" t="s">
        <v>434</v>
      </c>
      <c r="D194" s="56">
        <f>VLOOKUP(A194,'2016-17'!$A$12:$AMX402,32,FALSE)</f>
        <v>1029589</v>
      </c>
      <c r="E194" s="56">
        <v>1428.3390679615068</v>
      </c>
      <c r="F194" s="16">
        <f>VLOOKUP(A194,'2016-17'!$A$12:$AMX402,34,FALSE)</f>
        <v>7.001772184294941E-2</v>
      </c>
      <c r="G194" s="16">
        <f>VLOOKUP(A194,'2016-17'!$A$12:$AMX402,35,FALSE)</f>
        <v>6.3135116923572099E-2</v>
      </c>
      <c r="H194" s="56"/>
      <c r="I194" s="56">
        <v>1029306.0050417021</v>
      </c>
      <c r="J194" s="56">
        <v>1427.946471736243</v>
      </c>
      <c r="K194" s="16">
        <f t="shared" si="57"/>
        <v>2.749376345925203E-4</v>
      </c>
      <c r="L194" s="58">
        <f t="shared" si="57"/>
        <v>2.749376345925203E-4</v>
      </c>
      <c r="M194" s="10"/>
      <c r="N194" s="56">
        <v>729492</v>
      </c>
      <c r="O194" s="56">
        <v>90910</v>
      </c>
      <c r="P194" s="56">
        <v>209187</v>
      </c>
      <c r="R194" s="56">
        <f t="shared" si="41"/>
        <v>209187</v>
      </c>
      <c r="S194" s="56">
        <f t="shared" si="42"/>
        <v>0</v>
      </c>
      <c r="U194" s="16">
        <v>-4.750045853516438E-2</v>
      </c>
      <c r="V194" s="16">
        <v>6.2792789935677495E-2</v>
      </c>
      <c r="W194" s="56">
        <f t="shared" si="43"/>
        <v>1</v>
      </c>
      <c r="X194" s="56">
        <f t="shared" si="44"/>
        <v>7658.7123483348296</v>
      </c>
      <c r="Y194" s="56">
        <f t="shared" si="44"/>
        <v>855.3878127598332</v>
      </c>
      <c r="AA194" s="56">
        <f t="shared" si="45"/>
        <v>0</v>
      </c>
      <c r="AB194" s="56">
        <v>0</v>
      </c>
      <c r="AC194" s="56">
        <f t="shared" si="46"/>
        <v>0</v>
      </c>
      <c r="AE194" s="56">
        <v>0</v>
      </c>
      <c r="AF194" s="56">
        <f t="shared" si="47"/>
        <v>0</v>
      </c>
      <c r="AG194" s="56">
        <f t="shared" si="48"/>
        <v>0</v>
      </c>
      <c r="AI194" s="56">
        <f t="shared" si="49"/>
        <v>0</v>
      </c>
      <c r="AJ194" s="56">
        <f t="shared" si="50"/>
        <v>0</v>
      </c>
      <c r="AK194" s="56">
        <f t="shared" si="51"/>
        <v>0</v>
      </c>
      <c r="AM194" s="56">
        <f t="shared" si="52"/>
        <v>729492</v>
      </c>
      <c r="AN194" s="56">
        <f t="shared" si="53"/>
        <v>90910</v>
      </c>
      <c r="AO194" s="56">
        <f t="shared" si="54"/>
        <v>209187</v>
      </c>
      <c r="AP194" s="56"/>
      <c r="AQ194" s="56">
        <f t="shared" si="55"/>
        <v>1029589</v>
      </c>
      <c r="AS194" s="56">
        <v>1012.0173422262433</v>
      </c>
      <c r="AT194" s="56">
        <v>126.11858194714647</v>
      </c>
      <c r="AU194" s="56">
        <v>290.20314378811713</v>
      </c>
      <c r="AV194" s="56"/>
      <c r="AW194" s="56">
        <v>1428.3390679615068</v>
      </c>
      <c r="AY194" s="16">
        <v>-4.750045853516438E-2</v>
      </c>
      <c r="AZ194" s="16">
        <v>6.2792789935677495E-2</v>
      </c>
      <c r="BA194" s="16">
        <v>0.17589497804632126</v>
      </c>
      <c r="BB194" s="16">
        <f t="shared" si="56"/>
        <v>2.749376345925203E-4</v>
      </c>
      <c r="BC194" s="16"/>
      <c r="BE194" s="16">
        <v>7.3156843872119293E-2</v>
      </c>
      <c r="BF194" s="16">
        <v>3.3385243199617998E-2</v>
      </c>
      <c r="BG194" s="16">
        <v>7.5616266584590308E-2</v>
      </c>
      <c r="BH194" s="16">
        <f>AQ194/(VLOOKUP($A194,'2016-17'!$A$12:$D$220,4,FALSE))-1</f>
        <v>7.001772184294941E-2</v>
      </c>
      <c r="BJ194" s="16">
        <v>6.6254047383687453E-2</v>
      </c>
      <c r="BK194" s="16">
        <v>2.673826697364734E-2</v>
      </c>
      <c r="BL194" s="16">
        <v>6.8697650512506314E-2</v>
      </c>
      <c r="BM194" s="16">
        <v>6.3135116923572099E-2</v>
      </c>
    </row>
    <row r="195" spans="1:65" x14ac:dyDescent="0.2">
      <c r="A195" s="156" t="s">
        <v>435</v>
      </c>
      <c r="B195" s="156" t="s">
        <v>436</v>
      </c>
      <c r="D195" s="56">
        <f>VLOOKUP(A195,'2016-17'!$A$12:$AMX403,32,FALSE)</f>
        <v>342326</v>
      </c>
      <c r="E195" s="56">
        <v>1534.531225068635</v>
      </c>
      <c r="F195" s="16">
        <f>VLOOKUP(A195,'2016-17'!$A$12:$AMX403,34,FALSE)</f>
        <v>3.7186895741807113E-2</v>
      </c>
      <c r="G195" s="16">
        <f>VLOOKUP(A195,'2016-17'!$A$12:$AMX403,35,FALSE)</f>
        <v>2.990689620999798E-2</v>
      </c>
      <c r="H195" s="56"/>
      <c r="I195" s="56">
        <v>338073.99250801653</v>
      </c>
      <c r="J195" s="56">
        <v>1515.4709192032481</v>
      </c>
      <c r="K195" s="16">
        <f t="shared" si="57"/>
        <v>1.2577150523883196E-2</v>
      </c>
      <c r="L195" s="58">
        <f t="shared" si="57"/>
        <v>1.2577150523883196E-2</v>
      </c>
      <c r="M195" s="10"/>
      <c r="N195" s="56">
        <v>266636</v>
      </c>
      <c r="O195" s="56">
        <v>26849</v>
      </c>
      <c r="P195" s="56">
        <v>48841</v>
      </c>
      <c r="R195" s="56">
        <f t="shared" si="41"/>
        <v>48841</v>
      </c>
      <c r="S195" s="56">
        <f t="shared" si="42"/>
        <v>0</v>
      </c>
      <c r="U195" s="16">
        <v>2.116697580850424E-2</v>
      </c>
      <c r="V195" s="16">
        <v>-7.0273651748657073E-2</v>
      </c>
      <c r="W195" s="56">
        <f t="shared" si="43"/>
        <v>3</v>
      </c>
      <c r="X195" s="56">
        <f t="shared" si="44"/>
        <v>2611.0910978970132</v>
      </c>
      <c r="Y195" s="56">
        <f t="shared" si="44"/>
        <v>288.78389916020342</v>
      </c>
      <c r="AA195" s="56">
        <f t="shared" si="45"/>
        <v>0</v>
      </c>
      <c r="AB195" s="56">
        <v>0</v>
      </c>
      <c r="AC195" s="56">
        <f t="shared" si="46"/>
        <v>0</v>
      </c>
      <c r="AE195" s="56">
        <v>0</v>
      </c>
      <c r="AF195" s="56">
        <f t="shared" si="47"/>
        <v>0</v>
      </c>
      <c r="AG195" s="56">
        <f t="shared" si="48"/>
        <v>0</v>
      </c>
      <c r="AI195" s="56">
        <f t="shared" si="49"/>
        <v>0</v>
      </c>
      <c r="AJ195" s="56">
        <f t="shared" si="50"/>
        <v>0</v>
      </c>
      <c r="AK195" s="56">
        <f t="shared" si="51"/>
        <v>0</v>
      </c>
      <c r="AM195" s="56">
        <f t="shared" si="52"/>
        <v>266636</v>
      </c>
      <c r="AN195" s="56">
        <f t="shared" si="53"/>
        <v>26849</v>
      </c>
      <c r="AO195" s="56">
        <f t="shared" si="54"/>
        <v>48841</v>
      </c>
      <c r="AP195" s="56"/>
      <c r="AQ195" s="56">
        <f t="shared" si="55"/>
        <v>342326</v>
      </c>
      <c r="AS195" s="56">
        <v>1195.2386547542417</v>
      </c>
      <c r="AT195" s="56">
        <v>120.35495072494575</v>
      </c>
      <c r="AU195" s="56">
        <v>218.93761958944748</v>
      </c>
      <c r="AV195" s="56"/>
      <c r="AW195" s="56">
        <v>1534.531225068635</v>
      </c>
      <c r="AY195" s="16">
        <v>2.116697580850424E-2</v>
      </c>
      <c r="AZ195" s="16">
        <v>-7.0273651748657073E-2</v>
      </c>
      <c r="BA195" s="16">
        <v>1.5690626488549686E-2</v>
      </c>
      <c r="BB195" s="16">
        <f t="shared" si="56"/>
        <v>1.2577150523883196E-2</v>
      </c>
      <c r="BC195" s="16"/>
      <c r="BE195" s="16">
        <v>3.0488927760996987E-2</v>
      </c>
      <c r="BF195" s="16">
        <v>3.564127290260366E-2</v>
      </c>
      <c r="BG195" s="16">
        <v>7.6260018067164204E-2</v>
      </c>
      <c r="BH195" s="16">
        <f>AQ195/(VLOOKUP($A195,'2016-17'!$A$12:$D$220,4,FALSE))-1</f>
        <v>3.7186895741807113E-2</v>
      </c>
      <c r="BJ195" s="16">
        <v>2.3255941167709127E-2</v>
      </c>
      <c r="BK195" s="16">
        <v>2.837212207471862E-2</v>
      </c>
      <c r="BL195" s="16">
        <v>6.8705764865738983E-2</v>
      </c>
      <c r="BM195" s="16">
        <v>2.990689620999798E-2</v>
      </c>
    </row>
    <row r="196" spans="1:65" x14ac:dyDescent="0.2">
      <c r="A196" s="156" t="s">
        <v>437</v>
      </c>
      <c r="B196" s="156" t="s">
        <v>438</v>
      </c>
      <c r="D196" s="56">
        <f>VLOOKUP(A196,'2016-17'!$A$12:$AMX404,32,FALSE)</f>
        <v>229531</v>
      </c>
      <c r="E196" s="56">
        <v>1492.6738400898328</v>
      </c>
      <c r="F196" s="16">
        <f>VLOOKUP(A196,'2016-17'!$A$12:$AMX404,34,FALSE)</f>
        <v>3.9241749189061537E-2</v>
      </c>
      <c r="G196" s="16">
        <f>VLOOKUP(A196,'2016-17'!$A$12:$AMX404,35,FALSE)</f>
        <v>2.59298157115182E-2</v>
      </c>
      <c r="H196" s="56"/>
      <c r="I196" s="56">
        <v>227591.05460217842</v>
      </c>
      <c r="J196" s="56">
        <v>1480.0580899448375</v>
      </c>
      <c r="K196" s="16">
        <f t="shared" si="57"/>
        <v>8.523820943720839E-3</v>
      </c>
      <c r="L196" s="58">
        <f t="shared" si="57"/>
        <v>8.523820943720839E-3</v>
      </c>
      <c r="M196" s="10"/>
      <c r="N196" s="56">
        <v>171799</v>
      </c>
      <c r="O196" s="56">
        <v>19561</v>
      </c>
      <c r="P196" s="56">
        <v>38171</v>
      </c>
      <c r="R196" s="56">
        <f t="shared" si="41"/>
        <v>38171</v>
      </c>
      <c r="S196" s="56">
        <f t="shared" si="42"/>
        <v>0</v>
      </c>
      <c r="U196" s="16">
        <v>1.8911898080171685E-3</v>
      </c>
      <c r="V196" s="16">
        <v>4.1823010250049419E-2</v>
      </c>
      <c r="W196" s="56">
        <f t="shared" si="43"/>
        <v>2</v>
      </c>
      <c r="X196" s="56">
        <f t="shared" si="44"/>
        <v>1714.7470877842552</v>
      </c>
      <c r="Y196" s="56">
        <f t="shared" si="44"/>
        <v>187.7574195189367</v>
      </c>
      <c r="AA196" s="56">
        <f t="shared" si="45"/>
        <v>0</v>
      </c>
      <c r="AB196" s="56">
        <v>0</v>
      </c>
      <c r="AC196" s="56">
        <f t="shared" si="46"/>
        <v>0</v>
      </c>
      <c r="AE196" s="56">
        <v>0</v>
      </c>
      <c r="AF196" s="56">
        <f t="shared" si="47"/>
        <v>0</v>
      </c>
      <c r="AG196" s="56">
        <f t="shared" si="48"/>
        <v>0</v>
      </c>
      <c r="AI196" s="56">
        <f t="shared" si="49"/>
        <v>0</v>
      </c>
      <c r="AJ196" s="56">
        <f t="shared" si="50"/>
        <v>0</v>
      </c>
      <c r="AK196" s="56">
        <f t="shared" si="51"/>
        <v>0</v>
      </c>
      <c r="AM196" s="56">
        <f t="shared" si="52"/>
        <v>171799</v>
      </c>
      <c r="AN196" s="56">
        <f t="shared" si="53"/>
        <v>19561</v>
      </c>
      <c r="AO196" s="56">
        <f t="shared" si="54"/>
        <v>38171</v>
      </c>
      <c r="AP196" s="56"/>
      <c r="AQ196" s="56">
        <f t="shared" si="55"/>
        <v>229531</v>
      </c>
      <c r="AS196" s="56">
        <v>1117.2341559684453</v>
      </c>
      <c r="AT196" s="56">
        <v>127.20805898112769</v>
      </c>
      <c r="AU196" s="56">
        <v>248.23162514025998</v>
      </c>
      <c r="AV196" s="56"/>
      <c r="AW196" s="56">
        <v>1492.6738400898328</v>
      </c>
      <c r="AY196" s="16">
        <v>1.8911898080171685E-3</v>
      </c>
      <c r="AZ196" s="16">
        <v>4.1823010250049419E-2</v>
      </c>
      <c r="BA196" s="16">
        <v>2.2238422575875161E-2</v>
      </c>
      <c r="BB196" s="16">
        <f t="shared" si="56"/>
        <v>8.523820943720839E-3</v>
      </c>
      <c r="BC196" s="16"/>
      <c r="BE196" s="16">
        <v>3.0485927987940586E-2</v>
      </c>
      <c r="BF196" s="16">
        <v>3.5631088521812737E-2</v>
      </c>
      <c r="BG196" s="16">
        <v>8.2575925775033587E-2</v>
      </c>
      <c r="BH196" s="16">
        <f>AQ196/(VLOOKUP($A196,'2016-17'!$A$12:$D$220,4,FALSE))-1</f>
        <v>3.9241749189061537E-2</v>
      </c>
      <c r="BJ196" s="16">
        <v>1.7286150233030151E-2</v>
      </c>
      <c r="BK196" s="16">
        <v>2.2365404990107196E-2</v>
      </c>
      <c r="BL196" s="16">
        <v>6.8708912907669228E-2</v>
      </c>
      <c r="BM196" s="16">
        <v>2.59298157115182E-2</v>
      </c>
    </row>
    <row r="197" spans="1:65" x14ac:dyDescent="0.2">
      <c r="A197" s="156" t="s">
        <v>439</v>
      </c>
      <c r="B197" s="156" t="s">
        <v>440</v>
      </c>
      <c r="D197" s="56">
        <f>VLOOKUP(A197,'2016-17'!$A$12:$AMX405,32,FALSE)</f>
        <v>327511.25006794016</v>
      </c>
      <c r="E197" s="56">
        <v>1536.8165206744618</v>
      </c>
      <c r="F197" s="16">
        <f>VLOOKUP(A197,'2016-17'!$A$12:$AMX405,34,FALSE)</f>
        <v>5.9031117542760692E-2</v>
      </c>
      <c r="G197" s="16">
        <f>VLOOKUP(A197,'2016-17'!$A$12:$AMX405,35,FALSE)</f>
        <v>5.4095587185787997E-2</v>
      </c>
      <c r="H197" s="56"/>
      <c r="I197" s="56">
        <v>338376.31743376428</v>
      </c>
      <c r="J197" s="56">
        <v>1587.7998533770046</v>
      </c>
      <c r="K197" s="16">
        <f t="shared" si="57"/>
        <v>-3.2109420210682749E-2</v>
      </c>
      <c r="L197" s="58">
        <f t="shared" si="57"/>
        <v>-3.210942021068286E-2</v>
      </c>
      <c r="M197" s="10"/>
      <c r="N197" s="56">
        <v>253378</v>
      </c>
      <c r="O197" s="56">
        <v>26028</v>
      </c>
      <c r="P197" s="56">
        <v>46964</v>
      </c>
      <c r="R197" s="56">
        <f t="shared" si="41"/>
        <v>46964</v>
      </c>
      <c r="S197" s="56">
        <f t="shared" si="42"/>
        <v>1141.2500679401564</v>
      </c>
      <c r="U197" s="16">
        <v>-4.5483117459192868E-2</v>
      </c>
      <c r="V197" s="16">
        <v>-5.0485502066940247E-2</v>
      </c>
      <c r="W197" s="56">
        <f t="shared" si="43"/>
        <v>4</v>
      </c>
      <c r="X197" s="56">
        <f t="shared" si="44"/>
        <v>2654.5156469683257</v>
      </c>
      <c r="Y197" s="56">
        <f t="shared" si="44"/>
        <v>274.11903722016638</v>
      </c>
      <c r="AA197" s="56">
        <f t="shared" si="45"/>
        <v>0</v>
      </c>
      <c r="AB197" s="56">
        <v>0</v>
      </c>
      <c r="AC197" s="56">
        <f t="shared" si="46"/>
        <v>1141.2500679401564</v>
      </c>
      <c r="AE197" s="56">
        <v>0</v>
      </c>
      <c r="AF197" s="56">
        <f t="shared" si="47"/>
        <v>0</v>
      </c>
      <c r="AG197" s="56">
        <f t="shared" si="48"/>
        <v>1141.2500679401564</v>
      </c>
      <c r="AI197" s="56">
        <f t="shared" si="49"/>
        <v>1034.429517210426</v>
      </c>
      <c r="AJ197" s="56">
        <f t="shared" si="50"/>
        <v>106.82055072973053</v>
      </c>
      <c r="AK197" s="56">
        <f t="shared" si="51"/>
        <v>0</v>
      </c>
      <c r="AM197" s="56">
        <f t="shared" si="52"/>
        <v>254412</v>
      </c>
      <c r="AN197" s="56">
        <f t="shared" si="53"/>
        <v>26135</v>
      </c>
      <c r="AO197" s="56">
        <f t="shared" si="54"/>
        <v>46964</v>
      </c>
      <c r="AP197" s="56"/>
      <c r="AQ197" s="56">
        <f t="shared" si="55"/>
        <v>327511</v>
      </c>
      <c r="AS197" s="56">
        <v>1193.8049901391903</v>
      </c>
      <c r="AT197" s="56">
        <v>122.63609191896505</v>
      </c>
      <c r="AU197" s="56">
        <v>220.37426519541896</v>
      </c>
      <c r="AV197" s="56"/>
      <c r="AW197" s="56">
        <v>1536.8153472535744</v>
      </c>
      <c r="AY197" s="16">
        <v>-4.158786824044769E-2</v>
      </c>
      <c r="AZ197" s="16">
        <v>-4.6582088386333376E-2</v>
      </c>
      <c r="BA197" s="16">
        <v>3.1884424211927165E-2</v>
      </c>
      <c r="BB197" s="16">
        <f t="shared" si="56"/>
        <v>-3.2110159233856961E-2</v>
      </c>
      <c r="BC197" s="16"/>
      <c r="BE197" s="16">
        <v>5.8358883427990005E-2</v>
      </c>
      <c r="BF197" s="16">
        <v>3.9909279006843823E-2</v>
      </c>
      <c r="BG197" s="16">
        <v>7.3706770474954553E-2</v>
      </c>
      <c r="BH197" s="16">
        <f>AQ197/(VLOOKUP($A197,'2016-17'!$A$12:$D$220,4,FALSE))-1</f>
        <v>5.9030308930140274E-2</v>
      </c>
      <c r="BJ197" s="16">
        <v>5.3426485964683579E-2</v>
      </c>
      <c r="BK197" s="16">
        <v>3.5062864458662801E-2</v>
      </c>
      <c r="BL197" s="16">
        <v>6.8702845403836754E-2</v>
      </c>
      <c r="BM197" s="16">
        <v>5.4094782341642667E-2</v>
      </c>
    </row>
    <row r="198" spans="1:65" x14ac:dyDescent="0.2">
      <c r="A198" s="156" t="s">
        <v>441</v>
      </c>
      <c r="B198" s="156" t="s">
        <v>442</v>
      </c>
      <c r="D198" s="56">
        <f>VLOOKUP(A198,'2016-17'!$A$12:$AMX406,32,FALSE)</f>
        <v>353179</v>
      </c>
      <c r="E198" s="56">
        <v>1755.1047215867866</v>
      </c>
      <c r="F198" s="16">
        <f>VLOOKUP(A198,'2016-17'!$A$12:$AMX406,34,FALSE)</f>
        <v>3.5404676389519274E-2</v>
      </c>
      <c r="G198" s="16">
        <f>VLOOKUP(A198,'2016-17'!$A$12:$AMX406,35,FALSE)</f>
        <v>3.0920016418435337E-2</v>
      </c>
      <c r="H198" s="56"/>
      <c r="I198" s="56">
        <v>343891.38905370643</v>
      </c>
      <c r="J198" s="56">
        <v>1708.9504207248979</v>
      </c>
      <c r="K198" s="16">
        <f t="shared" si="57"/>
        <v>2.7007396061444089E-2</v>
      </c>
      <c r="L198" s="58">
        <f t="shared" si="57"/>
        <v>2.7007396061444089E-2</v>
      </c>
      <c r="M198" s="10"/>
      <c r="N198" s="56">
        <v>273420</v>
      </c>
      <c r="O198" s="56">
        <v>26191</v>
      </c>
      <c r="P198" s="56">
        <v>53568</v>
      </c>
      <c r="R198" s="56">
        <f t="shared" si="41"/>
        <v>53568</v>
      </c>
      <c r="S198" s="56">
        <f t="shared" si="42"/>
        <v>0</v>
      </c>
      <c r="U198" s="16">
        <v>4.7264603601818722E-2</v>
      </c>
      <c r="V198" s="16">
        <v>-3.621267553614238E-2</v>
      </c>
      <c r="W198" s="56">
        <f t="shared" si="43"/>
        <v>3</v>
      </c>
      <c r="X198" s="56">
        <f t="shared" si="44"/>
        <v>2610.8015019283248</v>
      </c>
      <c r="Y198" s="56">
        <f t="shared" si="44"/>
        <v>271.75082443182902</v>
      </c>
      <c r="AA198" s="56">
        <f t="shared" si="45"/>
        <v>0</v>
      </c>
      <c r="AB198" s="56">
        <v>0</v>
      </c>
      <c r="AC198" s="56">
        <f t="shared" si="46"/>
        <v>0</v>
      </c>
      <c r="AE198" s="56">
        <v>0</v>
      </c>
      <c r="AF198" s="56">
        <f t="shared" si="47"/>
        <v>0</v>
      </c>
      <c r="AG198" s="56">
        <f t="shared" si="48"/>
        <v>0</v>
      </c>
      <c r="AI198" s="56">
        <f t="shared" si="49"/>
        <v>0</v>
      </c>
      <c r="AJ198" s="56">
        <f t="shared" si="50"/>
        <v>0</v>
      </c>
      <c r="AK198" s="56">
        <f t="shared" si="51"/>
        <v>0</v>
      </c>
      <c r="AM198" s="56">
        <f t="shared" si="52"/>
        <v>273420</v>
      </c>
      <c r="AN198" s="56">
        <f t="shared" si="53"/>
        <v>26191</v>
      </c>
      <c r="AO198" s="56">
        <f t="shared" si="54"/>
        <v>53568</v>
      </c>
      <c r="AP198" s="56"/>
      <c r="AQ198" s="56">
        <f t="shared" si="55"/>
        <v>353179</v>
      </c>
      <c r="AS198" s="56">
        <v>1358.746508077375</v>
      </c>
      <c r="AT198" s="56">
        <v>130.15481600853826</v>
      </c>
      <c r="AU198" s="56">
        <v>266.20339750087345</v>
      </c>
      <c r="AV198" s="56"/>
      <c r="AW198" s="56">
        <v>1755.1047215867866</v>
      </c>
      <c r="AY198" s="16">
        <v>4.7264603601818722E-2</v>
      </c>
      <c r="AZ198" s="16">
        <v>-3.621267553614238E-2</v>
      </c>
      <c r="BA198" s="16">
        <v>-3.7172884520710547E-2</v>
      </c>
      <c r="BB198" s="16">
        <f t="shared" si="56"/>
        <v>2.7007396061444089E-2</v>
      </c>
      <c r="BC198" s="16"/>
      <c r="BE198" s="16">
        <v>2.8257739835089168E-2</v>
      </c>
      <c r="BF198" s="16">
        <v>3.5667681600696E-2</v>
      </c>
      <c r="BG198" s="16">
        <v>7.3350295306296331E-2</v>
      </c>
      <c r="BH198" s="16">
        <f>AQ198/(VLOOKUP($A198,'2016-17'!$A$12:$D$220,4,FALSE))-1</f>
        <v>3.5404676389519274E-2</v>
      </c>
      <c r="BJ198" s="16">
        <v>2.3804035471037377E-2</v>
      </c>
      <c r="BK198" s="16">
        <v>3.118188247217013E-2</v>
      </c>
      <c r="BL198" s="16">
        <v>6.8701281047353513E-2</v>
      </c>
      <c r="BM198" s="16">
        <v>3.0920016418435337E-2</v>
      </c>
    </row>
    <row r="199" spans="1:65" x14ac:dyDescent="0.2">
      <c r="A199" s="156" t="s">
        <v>443</v>
      </c>
      <c r="B199" s="156" t="s">
        <v>444</v>
      </c>
      <c r="D199" s="56">
        <f>VLOOKUP(A199,'2016-17'!$A$12:$AMX407,32,FALSE)</f>
        <v>175757.35101720775</v>
      </c>
      <c r="E199" s="56">
        <v>1267.7734299372839</v>
      </c>
      <c r="F199" s="16">
        <f>VLOOKUP(A199,'2016-17'!$A$12:$AMX407,34,FALSE)</f>
        <v>5.7457206341626765E-2</v>
      </c>
      <c r="G199" s="16">
        <f>VLOOKUP(A199,'2016-17'!$A$12:$AMX407,35,FALSE)</f>
        <v>5.2448355670749347E-2</v>
      </c>
      <c r="H199" s="56"/>
      <c r="I199" s="56">
        <v>181402.89506210492</v>
      </c>
      <c r="J199" s="56">
        <v>1308.4958844817916</v>
      </c>
      <c r="K199" s="16">
        <f t="shared" si="57"/>
        <v>-3.1121576328560607E-2</v>
      </c>
      <c r="L199" s="58">
        <f t="shared" si="57"/>
        <v>-3.1121576328560718E-2</v>
      </c>
      <c r="M199" s="10"/>
      <c r="N199" s="56">
        <v>132405</v>
      </c>
      <c r="O199" s="56">
        <v>18200</v>
      </c>
      <c r="P199" s="56">
        <v>24908</v>
      </c>
      <c r="R199" s="56">
        <f t="shared" si="41"/>
        <v>24908</v>
      </c>
      <c r="S199" s="56">
        <f t="shared" si="42"/>
        <v>244.35101720775128</v>
      </c>
      <c r="U199" s="16">
        <v>-4.5625613532538578E-2</v>
      </c>
      <c r="V199" s="16">
        <v>4.4784117379339516E-2</v>
      </c>
      <c r="W199" s="56">
        <f t="shared" si="43"/>
        <v>1</v>
      </c>
      <c r="X199" s="56">
        <f t="shared" si="44"/>
        <v>1387.3486325433173</v>
      </c>
      <c r="Y199" s="56">
        <f t="shared" si="44"/>
        <v>174.19866647333379</v>
      </c>
      <c r="AA199" s="56">
        <f t="shared" si="45"/>
        <v>244.35101720775128</v>
      </c>
      <c r="AB199" s="56">
        <v>0</v>
      </c>
      <c r="AC199" s="56">
        <f t="shared" si="46"/>
        <v>0</v>
      </c>
      <c r="AE199" s="56">
        <v>0</v>
      </c>
      <c r="AF199" s="56">
        <f t="shared" si="47"/>
        <v>0</v>
      </c>
      <c r="AG199" s="56">
        <f t="shared" si="48"/>
        <v>0</v>
      </c>
      <c r="AI199" s="56">
        <f t="shared" si="49"/>
        <v>0</v>
      </c>
      <c r="AJ199" s="56">
        <f t="shared" si="50"/>
        <v>0</v>
      </c>
      <c r="AK199" s="56">
        <f t="shared" si="51"/>
        <v>0</v>
      </c>
      <c r="AM199" s="56">
        <f t="shared" si="52"/>
        <v>132649</v>
      </c>
      <c r="AN199" s="56">
        <f t="shared" si="53"/>
        <v>18200</v>
      </c>
      <c r="AO199" s="56">
        <f t="shared" si="54"/>
        <v>24908</v>
      </c>
      <c r="AP199" s="56"/>
      <c r="AQ199" s="56">
        <f t="shared" si="55"/>
        <v>175757</v>
      </c>
      <c r="AS199" s="56">
        <v>956.8241483753701</v>
      </c>
      <c r="AT199" s="56">
        <v>131.28029235374362</v>
      </c>
      <c r="AU199" s="56">
        <v>179.66645724983769</v>
      </c>
      <c r="AV199" s="56"/>
      <c r="AW199" s="56">
        <v>1267.7708979789513</v>
      </c>
      <c r="AY199" s="16">
        <v>-4.3866863105454512E-2</v>
      </c>
      <c r="AZ199" s="16">
        <v>4.4784117379339516E-2</v>
      </c>
      <c r="BA199" s="16">
        <v>-1.3472866573798314E-2</v>
      </c>
      <c r="BB199" s="16">
        <f t="shared" si="56"/>
        <v>-3.1123511342925347E-2</v>
      </c>
      <c r="BC199" s="16"/>
      <c r="BE199" s="16">
        <v>5.7485596275671957E-2</v>
      </c>
      <c r="BF199" s="16">
        <v>3.5679735958572767E-2</v>
      </c>
      <c r="BG199" s="16">
        <v>7.3786595266140731E-2</v>
      </c>
      <c r="BH199" s="16">
        <f>AQ199/(VLOOKUP($A199,'2016-17'!$A$12:$D$220,4,FALSE))-1</f>
        <v>5.7455094420425512E-2</v>
      </c>
      <c r="BJ199" s="16">
        <v>5.2476611130378492E-2</v>
      </c>
      <c r="BK199" s="16">
        <v>3.0774038490003708E-2</v>
      </c>
      <c r="BL199" s="16">
        <v>6.8700397284961801E-2</v>
      </c>
      <c r="BM199" s="16">
        <v>5.2446253753071437E-2</v>
      </c>
    </row>
    <row r="200" spans="1:65" x14ac:dyDescent="0.2">
      <c r="A200" s="156" t="s">
        <v>445</v>
      </c>
      <c r="B200" s="156" t="s">
        <v>446</v>
      </c>
      <c r="D200" s="56">
        <f>VLOOKUP(A200,'2016-17'!$A$12:$AMX408,32,FALSE)</f>
        <v>423544</v>
      </c>
      <c r="E200" s="56">
        <v>1532.0132148054199</v>
      </c>
      <c r="F200" s="16">
        <f>VLOOKUP(A200,'2016-17'!$A$12:$AMX408,34,FALSE)</f>
        <v>6.9177096406117577E-2</v>
      </c>
      <c r="G200" s="16">
        <f>VLOOKUP(A200,'2016-17'!$A$12:$AMX408,35,FALSE)</f>
        <v>6.1440973572582491E-2</v>
      </c>
      <c r="H200" s="56"/>
      <c r="I200" s="56">
        <v>430827.48402094771</v>
      </c>
      <c r="J200" s="56">
        <v>1558.3585148684972</v>
      </c>
      <c r="K200" s="16">
        <f t="shared" si="57"/>
        <v>-1.6905801721307068E-2</v>
      </c>
      <c r="L200" s="58">
        <f t="shared" si="57"/>
        <v>-1.6905801721306957E-2</v>
      </c>
      <c r="M200" s="10"/>
      <c r="N200" s="56">
        <v>315236</v>
      </c>
      <c r="O200" s="56">
        <v>32447</v>
      </c>
      <c r="P200" s="56">
        <v>75861</v>
      </c>
      <c r="R200" s="56">
        <f t="shared" si="41"/>
        <v>75861</v>
      </c>
      <c r="S200" s="56">
        <f t="shared" si="42"/>
        <v>0</v>
      </c>
      <c r="U200" s="16">
        <v>-4.7105597737104321E-2</v>
      </c>
      <c r="V200" s="16">
        <v>-8.0943962488719046E-2</v>
      </c>
      <c r="W200" s="56">
        <f t="shared" si="43"/>
        <v>4</v>
      </c>
      <c r="X200" s="56">
        <f t="shared" si="44"/>
        <v>3308.1944783324375</v>
      </c>
      <c r="Y200" s="56">
        <f t="shared" si="44"/>
        <v>353.04702516141981</v>
      </c>
      <c r="AA200" s="56">
        <f t="shared" si="45"/>
        <v>0</v>
      </c>
      <c r="AB200" s="56">
        <v>0</v>
      </c>
      <c r="AC200" s="56">
        <f t="shared" si="46"/>
        <v>0</v>
      </c>
      <c r="AE200" s="56">
        <v>0</v>
      </c>
      <c r="AF200" s="56">
        <f t="shared" si="47"/>
        <v>0</v>
      </c>
      <c r="AG200" s="56">
        <f t="shared" si="48"/>
        <v>0</v>
      </c>
      <c r="AI200" s="56">
        <f t="shared" si="49"/>
        <v>0</v>
      </c>
      <c r="AJ200" s="56">
        <f t="shared" si="50"/>
        <v>0</v>
      </c>
      <c r="AK200" s="56">
        <f t="shared" si="51"/>
        <v>0</v>
      </c>
      <c r="AM200" s="56">
        <f t="shared" si="52"/>
        <v>315236</v>
      </c>
      <c r="AN200" s="56">
        <f t="shared" si="53"/>
        <v>32447</v>
      </c>
      <c r="AO200" s="56">
        <f t="shared" si="54"/>
        <v>75861</v>
      </c>
      <c r="AP200" s="56"/>
      <c r="AQ200" s="56">
        <f t="shared" si="55"/>
        <v>423544</v>
      </c>
      <c r="AS200" s="56">
        <v>1140.2492250684732</v>
      </c>
      <c r="AT200" s="56">
        <v>117.36497927202713</v>
      </c>
      <c r="AU200" s="56">
        <v>274.39901046491974</v>
      </c>
      <c r="AV200" s="56"/>
      <c r="AW200" s="56">
        <v>1532.0132148054199</v>
      </c>
      <c r="AY200" s="16">
        <v>-4.7105597737104321E-2</v>
      </c>
      <c r="AZ200" s="16">
        <v>-8.0943962488719046E-2</v>
      </c>
      <c r="BA200" s="16">
        <v>0.17244345376507209</v>
      </c>
      <c r="BB200" s="16">
        <f t="shared" si="56"/>
        <v>-1.6905801721307068E-2</v>
      </c>
      <c r="BC200" s="16"/>
      <c r="BE200" s="16">
        <v>7.0996111800363249E-2</v>
      </c>
      <c r="BF200" s="16">
        <v>3.565272901372496E-2</v>
      </c>
      <c r="BG200" s="16">
        <v>7.6483795337400462E-2</v>
      </c>
      <c r="BH200" s="16">
        <f>AQ200/(VLOOKUP($A200,'2016-17'!$A$12:$D$220,4,FALSE))-1</f>
        <v>6.9177096406117577E-2</v>
      </c>
      <c r="BJ200" s="16">
        <v>6.3246827324502153E-2</v>
      </c>
      <c r="BK200" s="16">
        <v>2.8159174623654915E-2</v>
      </c>
      <c r="BL200" s="16">
        <v>6.8694804255349684E-2</v>
      </c>
      <c r="BM200" s="16">
        <v>6.1440973572582491E-2</v>
      </c>
    </row>
    <row r="201" spans="1:65" x14ac:dyDescent="0.2">
      <c r="A201" s="156" t="s">
        <v>447</v>
      </c>
      <c r="B201" s="156" t="s">
        <v>448</v>
      </c>
      <c r="D201" s="56">
        <f>VLOOKUP(A201,'2016-17'!$A$12:$AMX409,32,FALSE)</f>
        <v>460787.33241429232</v>
      </c>
      <c r="E201" s="56">
        <v>1508.1820224368216</v>
      </c>
      <c r="F201" s="16">
        <f>VLOOKUP(A201,'2016-17'!$A$12:$AMX409,34,FALSE)</f>
        <v>5.2328207719438691E-2</v>
      </c>
      <c r="G201" s="16">
        <f>VLOOKUP(A201,'2016-17'!$A$12:$AMX409,35,FALSE)</f>
        <v>4.3142140557947295E-2</v>
      </c>
      <c r="H201" s="56"/>
      <c r="I201" s="56">
        <v>473010.89229834097</v>
      </c>
      <c r="J201" s="56">
        <v>1548.1903993396982</v>
      </c>
      <c r="K201" s="16">
        <f t="shared" si="57"/>
        <v>-2.5842026226192916E-2</v>
      </c>
      <c r="L201" s="58">
        <f t="shared" si="57"/>
        <v>-2.5842026226192916E-2</v>
      </c>
      <c r="M201" s="10"/>
      <c r="N201" s="56">
        <v>340928</v>
      </c>
      <c r="O201" s="56">
        <v>34740</v>
      </c>
      <c r="P201" s="56">
        <v>79527</v>
      </c>
      <c r="R201" s="56">
        <f t="shared" si="41"/>
        <v>79527</v>
      </c>
      <c r="S201" s="56">
        <f t="shared" si="42"/>
        <v>5592.3324142923229</v>
      </c>
      <c r="U201" s="16">
        <v>-4.345917861610793E-2</v>
      </c>
      <c r="V201" s="16">
        <v>-4.3014446010753216E-2</v>
      </c>
      <c r="W201" s="56">
        <f t="shared" si="43"/>
        <v>4</v>
      </c>
      <c r="X201" s="56">
        <f t="shared" si="44"/>
        <v>3564.1761687363901</v>
      </c>
      <c r="Y201" s="56">
        <f t="shared" si="44"/>
        <v>363.01488413471242</v>
      </c>
      <c r="AA201" s="56">
        <f t="shared" si="45"/>
        <v>0</v>
      </c>
      <c r="AB201" s="56">
        <v>0</v>
      </c>
      <c r="AC201" s="56">
        <f t="shared" si="46"/>
        <v>5592.3324142923229</v>
      </c>
      <c r="AE201" s="56">
        <v>0</v>
      </c>
      <c r="AF201" s="56">
        <f t="shared" si="47"/>
        <v>0</v>
      </c>
      <c r="AG201" s="56">
        <f t="shared" si="48"/>
        <v>5592.3324142923229</v>
      </c>
      <c r="AI201" s="56">
        <f t="shared" si="49"/>
        <v>5075.3980772340446</v>
      </c>
      <c r="AJ201" s="56">
        <f t="shared" si="50"/>
        <v>516.93433705827806</v>
      </c>
      <c r="AK201" s="56">
        <f t="shared" si="51"/>
        <v>0</v>
      </c>
      <c r="AM201" s="56">
        <f t="shared" si="52"/>
        <v>346003</v>
      </c>
      <c r="AN201" s="56">
        <f t="shared" si="53"/>
        <v>35257</v>
      </c>
      <c r="AO201" s="56">
        <f t="shared" si="54"/>
        <v>79527</v>
      </c>
      <c r="AP201" s="56"/>
      <c r="AQ201" s="56">
        <f t="shared" si="55"/>
        <v>460787</v>
      </c>
      <c r="AS201" s="56">
        <v>1132.4866540385424</v>
      </c>
      <c r="AT201" s="56">
        <v>115.39808025201195</v>
      </c>
      <c r="AU201" s="56">
        <v>260.29620013619297</v>
      </c>
      <c r="AV201" s="56"/>
      <c r="AW201" s="56">
        <v>1508.1809344267474</v>
      </c>
      <c r="AY201" s="16">
        <v>-2.9220264040234811E-2</v>
      </c>
      <c r="AZ201" s="16">
        <v>-2.8772605728299538E-2</v>
      </c>
      <c r="BA201" s="16">
        <v>-9.5250963977642211E-3</v>
      </c>
      <c r="BB201" s="16">
        <f t="shared" si="56"/>
        <v>-2.5842728988640373E-2</v>
      </c>
      <c r="BC201" s="16"/>
      <c r="BE201" s="16">
        <v>4.670046803660477E-2</v>
      </c>
      <c r="BF201" s="16">
        <v>5.1067254948724106E-2</v>
      </c>
      <c r="BG201" s="16">
        <v>7.8116974324639044E-2</v>
      </c>
      <c r="BH201" s="16">
        <f>AQ201/(VLOOKUP($A201,'2016-17'!$A$12:$D$220,4,FALSE))-1</f>
        <v>5.2327448564592371E-2</v>
      </c>
      <c r="BJ201" s="16">
        <v>3.7563526988349194E-2</v>
      </c>
      <c r="BK201" s="16">
        <v>4.1892194996536958E-2</v>
      </c>
      <c r="BL201" s="16">
        <v>6.8705789808780837E-2</v>
      </c>
      <c r="BM201" s="16">
        <v>4.3141388029976024E-2</v>
      </c>
    </row>
    <row r="202" spans="1:65" x14ac:dyDescent="0.2">
      <c r="A202" s="156" t="s">
        <v>449</v>
      </c>
      <c r="B202" s="156" t="s">
        <v>450</v>
      </c>
      <c r="D202" s="56">
        <f>VLOOKUP(A202,'2016-17'!$A$12:$AMX410,32,FALSE)</f>
        <v>146997</v>
      </c>
      <c r="E202" s="56">
        <v>1543.302045076304</v>
      </c>
      <c r="F202" s="16">
        <f>VLOOKUP(A202,'2016-17'!$A$12:$AMX410,34,FALSE)</f>
        <v>3.7645326920370481E-2</v>
      </c>
      <c r="G202" s="16">
        <f>VLOOKUP(A202,'2016-17'!$A$12:$AMX410,35,FALSE)</f>
        <v>3.2325004573449556E-2</v>
      </c>
      <c r="H202" s="56"/>
      <c r="I202" s="56">
        <v>149332.12235365016</v>
      </c>
      <c r="J202" s="56">
        <v>1567.8181855682303</v>
      </c>
      <c r="K202" s="16">
        <f t="shared" si="57"/>
        <v>-1.563710685180042E-2</v>
      </c>
      <c r="L202" s="58">
        <f t="shared" si="57"/>
        <v>-1.563710685180042E-2</v>
      </c>
      <c r="M202" s="10"/>
      <c r="N202" s="56">
        <v>113095</v>
      </c>
      <c r="O202" s="56">
        <v>10208</v>
      </c>
      <c r="P202" s="56">
        <v>23694</v>
      </c>
      <c r="R202" s="56">
        <f t="shared" si="41"/>
        <v>23694</v>
      </c>
      <c r="S202" s="56">
        <f t="shared" si="42"/>
        <v>0</v>
      </c>
      <c r="U202" s="16">
        <v>-6.7177895907007956E-3</v>
      </c>
      <c r="V202" s="16">
        <v>-9.3724018837493484E-2</v>
      </c>
      <c r="W202" s="56">
        <f t="shared" si="43"/>
        <v>4</v>
      </c>
      <c r="X202" s="56">
        <f t="shared" si="44"/>
        <v>1138.5988676208874</v>
      </c>
      <c r="Y202" s="56">
        <f t="shared" si="44"/>
        <v>112.63677083117553</v>
      </c>
      <c r="AA202" s="56">
        <f t="shared" si="45"/>
        <v>0</v>
      </c>
      <c r="AB202" s="56">
        <v>0</v>
      </c>
      <c r="AC202" s="56">
        <f t="shared" si="46"/>
        <v>0</v>
      </c>
      <c r="AE202" s="56">
        <v>0</v>
      </c>
      <c r="AF202" s="56">
        <f t="shared" si="47"/>
        <v>0</v>
      </c>
      <c r="AG202" s="56">
        <f t="shared" si="48"/>
        <v>0</v>
      </c>
      <c r="AI202" s="56">
        <f t="shared" si="49"/>
        <v>0</v>
      </c>
      <c r="AJ202" s="56">
        <f t="shared" si="50"/>
        <v>0</v>
      </c>
      <c r="AK202" s="56">
        <f t="shared" si="51"/>
        <v>0</v>
      </c>
      <c r="AM202" s="56">
        <f t="shared" si="52"/>
        <v>113095</v>
      </c>
      <c r="AN202" s="56">
        <f t="shared" si="53"/>
        <v>10208</v>
      </c>
      <c r="AO202" s="56">
        <f t="shared" si="54"/>
        <v>23694</v>
      </c>
      <c r="AP202" s="56"/>
      <c r="AQ202" s="56">
        <f t="shared" si="55"/>
        <v>146997</v>
      </c>
      <c r="AS202" s="56">
        <v>1187.3694346680859</v>
      </c>
      <c r="AT202" s="56">
        <v>107.17244077184509</v>
      </c>
      <c r="AU202" s="56">
        <v>248.76016963637318</v>
      </c>
      <c r="AV202" s="56"/>
      <c r="AW202" s="56">
        <v>1543.302045076304</v>
      </c>
      <c r="AY202" s="16">
        <v>-6.7177895907007956E-3</v>
      </c>
      <c r="AZ202" s="16">
        <v>-9.3724018837493484E-2</v>
      </c>
      <c r="BA202" s="16">
        <v>-2.125523121355577E-2</v>
      </c>
      <c r="BB202" s="16">
        <f t="shared" si="56"/>
        <v>-1.563710685180042E-2</v>
      </c>
      <c r="BC202" s="16"/>
      <c r="BE202" s="16">
        <v>3.0483985058714635E-2</v>
      </c>
      <c r="BF202" s="16">
        <v>3.5609211727706258E-2</v>
      </c>
      <c r="BG202" s="16">
        <v>7.4187043266904285E-2</v>
      </c>
      <c r="BH202" s="16">
        <f>AQ202/(VLOOKUP($A202,'2016-17'!$A$12:$D$220,4,FALSE))-1</f>
        <v>3.7645326920370481E-2</v>
      </c>
      <c r="BJ202" s="16">
        <v>2.5200381083815726E-2</v>
      </c>
      <c r="BK202" s="16">
        <v>3.0299329161006527E-2</v>
      </c>
      <c r="BL202" s="16">
        <v>6.8679360455834892E-2</v>
      </c>
      <c r="BM202" s="16">
        <v>3.2325004573449556E-2</v>
      </c>
    </row>
    <row r="203" spans="1:65" x14ac:dyDescent="0.2">
      <c r="A203" s="156" t="s">
        <v>451</v>
      </c>
      <c r="B203" s="156" t="s">
        <v>452</v>
      </c>
      <c r="D203" s="56">
        <f>VLOOKUP(A203,'2016-17'!$A$12:$AMX411,32,FALSE)</f>
        <v>177545.10503541457</v>
      </c>
      <c r="E203" s="56">
        <v>1606.5190013502809</v>
      </c>
      <c r="F203" s="16">
        <f>VLOOKUP(A203,'2016-17'!$A$12:$AMX411,34,FALSE)</f>
        <v>5.3175772778900177E-2</v>
      </c>
      <c r="G203" s="16">
        <f>VLOOKUP(A203,'2016-17'!$A$12:$AMX411,35,FALSE)</f>
        <v>4.0992949177187654E-2</v>
      </c>
      <c r="H203" s="56"/>
      <c r="I203" s="56">
        <v>181876.52146605321</v>
      </c>
      <c r="J203" s="56">
        <v>1645.7118746046226</v>
      </c>
      <c r="K203" s="16">
        <f t="shared" si="57"/>
        <v>-2.3815148847824652E-2</v>
      </c>
      <c r="L203" s="58">
        <f t="shared" si="57"/>
        <v>-2.3815148847824763E-2</v>
      </c>
      <c r="M203" s="10"/>
      <c r="N203" s="56">
        <v>135493</v>
      </c>
      <c r="O203" s="56">
        <v>14196</v>
      </c>
      <c r="P203" s="56">
        <v>25289</v>
      </c>
      <c r="R203" s="56">
        <f t="shared" si="41"/>
        <v>25289</v>
      </c>
      <c r="S203" s="56">
        <f t="shared" si="42"/>
        <v>2567.10503541457</v>
      </c>
      <c r="U203" s="16">
        <v>-3.2424346032208895E-2</v>
      </c>
      <c r="V203" s="16">
        <v>1.5173975533435247E-2</v>
      </c>
      <c r="W203" s="56">
        <f t="shared" si="43"/>
        <v>1</v>
      </c>
      <c r="X203" s="56">
        <f t="shared" si="44"/>
        <v>1400.3349448115644</v>
      </c>
      <c r="Y203" s="56">
        <f t="shared" si="44"/>
        <v>139.83810009058342</v>
      </c>
      <c r="AA203" s="56">
        <f t="shared" si="45"/>
        <v>2567.10503541457</v>
      </c>
      <c r="AB203" s="56">
        <v>0</v>
      </c>
      <c r="AC203" s="56">
        <f t="shared" si="46"/>
        <v>0</v>
      </c>
      <c r="AE203" s="56">
        <v>0</v>
      </c>
      <c r="AF203" s="56">
        <f t="shared" si="47"/>
        <v>0</v>
      </c>
      <c r="AG203" s="56">
        <f t="shared" si="48"/>
        <v>0</v>
      </c>
      <c r="AI203" s="56">
        <f t="shared" si="49"/>
        <v>0</v>
      </c>
      <c r="AJ203" s="56">
        <f t="shared" si="50"/>
        <v>0</v>
      </c>
      <c r="AK203" s="56">
        <f t="shared" si="51"/>
        <v>0</v>
      </c>
      <c r="AM203" s="56">
        <f t="shared" si="52"/>
        <v>138060</v>
      </c>
      <c r="AN203" s="56">
        <f t="shared" si="53"/>
        <v>14196</v>
      </c>
      <c r="AO203" s="56">
        <f t="shared" si="54"/>
        <v>25289</v>
      </c>
      <c r="AP203" s="56"/>
      <c r="AQ203" s="56">
        <f t="shared" si="55"/>
        <v>177545</v>
      </c>
      <c r="AS203" s="56">
        <v>1249.2375573079221</v>
      </c>
      <c r="AT203" s="56">
        <v>128.45267538420441</v>
      </c>
      <c r="AU203" s="56">
        <v>228.82781824395221</v>
      </c>
      <c r="AV203" s="56"/>
      <c r="AW203" s="56">
        <v>1606.5180509360787</v>
      </c>
      <c r="AY203" s="16">
        <v>-1.4093017448921774E-2</v>
      </c>
      <c r="AZ203" s="16">
        <v>1.5173975533435247E-2</v>
      </c>
      <c r="BA203" s="16">
        <v>-9.2257330063063692E-2</v>
      </c>
      <c r="BB203" s="16">
        <f t="shared" si="56"/>
        <v>-2.3815726357300449E-2</v>
      </c>
      <c r="BC203" s="16"/>
      <c r="BE203" s="16">
        <v>5.0010968652915544E-2</v>
      </c>
      <c r="BF203" s="16">
        <v>3.567520245130229E-2</v>
      </c>
      <c r="BG203" s="16">
        <v>8.1218335418891341E-2</v>
      </c>
      <c r="BH203" s="16">
        <f>AQ203/(VLOOKUP($A203,'2016-17'!$A$12:$D$220,4,FALSE))-1</f>
        <v>5.317514972171189E-2</v>
      </c>
      <c r="BJ203" s="16">
        <v>3.7864754562547009E-2</v>
      </c>
      <c r="BK203" s="16">
        <v>2.3694820233773672E-2</v>
      </c>
      <c r="BL203" s="16">
        <v>6.8711123806351804E-2</v>
      </c>
      <c r="BM203" s="16">
        <v>4.0992333327339425E-2</v>
      </c>
    </row>
    <row r="204" spans="1:65" x14ac:dyDescent="0.2">
      <c r="A204" s="156" t="s">
        <v>453</v>
      </c>
      <c r="B204" s="156" t="s">
        <v>454</v>
      </c>
      <c r="D204" s="56">
        <f>VLOOKUP(A204,'2016-17'!$A$12:$AMX412,32,FALSE)</f>
        <v>265502</v>
      </c>
      <c r="E204" s="56">
        <v>1832.0748777267727</v>
      </c>
      <c r="F204" s="16">
        <f>VLOOKUP(A204,'2016-17'!$A$12:$AMX412,34,FALSE)</f>
        <v>3.8843285905013625E-2</v>
      </c>
      <c r="G204" s="16">
        <f>VLOOKUP(A204,'2016-17'!$A$12:$AMX412,35,FALSE)</f>
        <v>3.0063727378058402E-2</v>
      </c>
      <c r="H204" s="56"/>
      <c r="I204" s="56">
        <v>266227.43712388078</v>
      </c>
      <c r="J204" s="56">
        <v>1837.0806973817369</v>
      </c>
      <c r="K204" s="16">
        <f t="shared" si="57"/>
        <v>-2.7248773894901213E-3</v>
      </c>
      <c r="L204" s="58">
        <f t="shared" si="57"/>
        <v>-2.7248773894901213E-3</v>
      </c>
      <c r="M204" s="10"/>
      <c r="N204" s="56">
        <v>205239</v>
      </c>
      <c r="O204" s="56">
        <v>19295</v>
      </c>
      <c r="P204" s="56">
        <v>40968</v>
      </c>
      <c r="R204" s="56">
        <f t="shared" si="41"/>
        <v>40968</v>
      </c>
      <c r="S204" s="56">
        <f t="shared" si="42"/>
        <v>0</v>
      </c>
      <c r="U204" s="16">
        <v>1.0719984662616255E-2</v>
      </c>
      <c r="V204" s="16">
        <v>-0.1099768839615034</v>
      </c>
      <c r="W204" s="56">
        <f t="shared" si="43"/>
        <v>3</v>
      </c>
      <c r="X204" s="56">
        <f t="shared" si="44"/>
        <v>2030.6217658148896</v>
      </c>
      <c r="Y204" s="56">
        <f t="shared" si="44"/>
        <v>216.79212205051789</v>
      </c>
      <c r="AA204" s="56">
        <f t="shared" si="45"/>
        <v>0</v>
      </c>
      <c r="AB204" s="56">
        <v>0</v>
      </c>
      <c r="AC204" s="56">
        <f t="shared" si="46"/>
        <v>0</v>
      </c>
      <c r="AE204" s="56">
        <v>0</v>
      </c>
      <c r="AF204" s="56">
        <f t="shared" si="47"/>
        <v>0</v>
      </c>
      <c r="AG204" s="56">
        <f t="shared" si="48"/>
        <v>0</v>
      </c>
      <c r="AI204" s="56">
        <f t="shared" si="49"/>
        <v>0</v>
      </c>
      <c r="AJ204" s="56">
        <f t="shared" si="50"/>
        <v>0</v>
      </c>
      <c r="AK204" s="56">
        <f t="shared" si="51"/>
        <v>0</v>
      </c>
      <c r="AM204" s="56">
        <f t="shared" si="52"/>
        <v>205239</v>
      </c>
      <c r="AN204" s="56">
        <f t="shared" si="53"/>
        <v>19295</v>
      </c>
      <c r="AO204" s="56">
        <f t="shared" si="54"/>
        <v>40968</v>
      </c>
      <c r="AP204" s="56"/>
      <c r="AQ204" s="56">
        <f t="shared" si="55"/>
        <v>265502</v>
      </c>
      <c r="AS204" s="56">
        <v>1416.2349655737626</v>
      </c>
      <c r="AT204" s="56">
        <v>133.14357242407996</v>
      </c>
      <c r="AU204" s="56">
        <v>282.69633972893018</v>
      </c>
      <c r="AV204" s="56"/>
      <c r="AW204" s="56">
        <v>1832.0748777267727</v>
      </c>
      <c r="AY204" s="16">
        <v>1.0719984662616255E-2</v>
      </c>
      <c r="AZ204" s="16">
        <v>-0.1099768839615034</v>
      </c>
      <c r="BA204" s="16">
        <v>-1.2487290501315917E-2</v>
      </c>
      <c r="BB204" s="16">
        <f t="shared" si="56"/>
        <v>-2.7248773894901213E-3</v>
      </c>
      <c r="BC204" s="16"/>
      <c r="BE204" s="16">
        <v>3.0486145448662461E-2</v>
      </c>
      <c r="BF204" s="16">
        <v>4.8812306354296897E-2</v>
      </c>
      <c r="BG204" s="16">
        <v>7.78080099014129E-2</v>
      </c>
      <c r="BH204" s="16">
        <f>AQ204/(VLOOKUP($A204,'2016-17'!$A$12:$D$220,4,FALSE))-1</f>
        <v>3.8843285905013625E-2</v>
      </c>
      <c r="BJ204" s="16">
        <v>2.1777215480171863E-2</v>
      </c>
      <c r="BK204" s="16">
        <v>3.9948496815010337E-2</v>
      </c>
      <c r="BL204" s="16">
        <v>6.8699149467755571E-2</v>
      </c>
      <c r="BM204" s="16">
        <v>3.0063727378058402E-2</v>
      </c>
    </row>
    <row r="205" spans="1:65" x14ac:dyDescent="0.2">
      <c r="A205" s="156" t="s">
        <v>455</v>
      </c>
      <c r="B205" s="156" t="s">
        <v>456</v>
      </c>
      <c r="D205" s="56">
        <f>VLOOKUP(A205,'2016-17'!$A$12:$AMX413,32,FALSE)</f>
        <v>853409</v>
      </c>
      <c r="E205" s="56">
        <v>1535.7825826270741</v>
      </c>
      <c r="F205" s="16">
        <f>VLOOKUP(A205,'2016-17'!$A$12:$AMX413,34,FALSE)</f>
        <v>6.0191477790713765E-2</v>
      </c>
      <c r="G205" s="16">
        <f>VLOOKUP(A205,'2016-17'!$A$12:$AMX413,35,FALSE)</f>
        <v>5.2980600108354592E-2</v>
      </c>
      <c r="H205" s="56"/>
      <c r="I205" s="56">
        <v>862009.1745233573</v>
      </c>
      <c r="J205" s="56">
        <v>1551.2593332126962</v>
      </c>
      <c r="K205" s="16">
        <f t="shared" si="57"/>
        <v>-9.9768944200770981E-3</v>
      </c>
      <c r="L205" s="58">
        <f t="shared" si="57"/>
        <v>-9.9768944200769871E-3</v>
      </c>
      <c r="M205" s="10"/>
      <c r="N205" s="56">
        <v>643645</v>
      </c>
      <c r="O205" s="56">
        <v>68538</v>
      </c>
      <c r="P205" s="56">
        <v>141226</v>
      </c>
      <c r="R205" s="56">
        <f t="shared" ref="R205:R220" si="58">ROUND(P205,0)</f>
        <v>141226</v>
      </c>
      <c r="S205" s="56">
        <f t="shared" ref="S205:S220" si="59">D205-SUM(N205:P205)</f>
        <v>0</v>
      </c>
      <c r="U205" s="16">
        <v>-4.5807415543192231E-2</v>
      </c>
      <c r="V205" s="16">
        <v>3.5578430473500733E-2</v>
      </c>
      <c r="W205" s="56">
        <f t="shared" ref="W205:W220" si="60">IF(AND(U205&lt;0,V205&gt;0),1,IF(AND(U205&gt;0,V205&gt;0),2,IF(AND(U205&gt;0,V205&lt;0),3,IF(AND(U205&lt;0,V205&lt;0),4,5))))</f>
        <v>1</v>
      </c>
      <c r="X205" s="56">
        <f t="shared" ref="X205:Y220" si="61">N205/(1+U205)/100</f>
        <v>6745.4412294181375</v>
      </c>
      <c r="Y205" s="56">
        <f t="shared" si="61"/>
        <v>661.83301991585677</v>
      </c>
      <c r="AA205" s="56">
        <f t="shared" ref="AA205:AA220" si="62">IF(W205=1,MIN(S205,-1*U205*N205),0)</f>
        <v>0</v>
      </c>
      <c r="AB205" s="56">
        <v>0</v>
      </c>
      <c r="AC205" s="56">
        <f t="shared" ref="AC205:AC220" si="63">S205-AA205-AB205</f>
        <v>0</v>
      </c>
      <c r="AE205" s="56">
        <v>0</v>
      </c>
      <c r="AF205" s="56">
        <f t="shared" ref="AF205:AF220" si="64">IF(W205=3,MIN(S205,-1*V205*O205),0)</f>
        <v>0</v>
      </c>
      <c r="AG205" s="56">
        <f t="shared" ref="AG205:AG219" si="65">AC205-AE205-AF205</f>
        <v>0</v>
      </c>
      <c r="AI205" s="56">
        <f t="shared" ref="AI205:AI220" si="66">AG205*X205/(X205+Y205)</f>
        <v>0</v>
      </c>
      <c r="AJ205" s="56">
        <f t="shared" ref="AJ205:AJ220" si="67">AG205*Y205/(X205+Y205)</f>
        <v>0</v>
      </c>
      <c r="AK205" s="56">
        <f t="shared" ref="AK205:AK220" si="68">S205-SUM(AA205:AB205)-SUM(AE205:AF205)-SUM(AI205:AJ205)</f>
        <v>0</v>
      </c>
      <c r="AM205" s="56">
        <f t="shared" ref="AM205:AM220" si="69">ROUND(N205+AA205+AE205+AI205,0)</f>
        <v>643645</v>
      </c>
      <c r="AN205" s="56">
        <f t="shared" ref="AN205:AN220" si="70">ROUND(O205+AB205+AF205+AJ205,0)</f>
        <v>68538</v>
      </c>
      <c r="AO205" s="56">
        <f t="shared" ref="AO205:AO220" si="71">R205</f>
        <v>141226</v>
      </c>
      <c r="AP205" s="56"/>
      <c r="AQ205" s="56">
        <f t="shared" ref="AQ205:AQ220" si="72">SUM(AM205:AP205)</f>
        <v>853409</v>
      </c>
      <c r="AS205" s="56">
        <v>1158.2943001479985</v>
      </c>
      <c r="AT205" s="56">
        <v>123.34000068911203</v>
      </c>
      <c r="AU205" s="56">
        <v>254.14828178996376</v>
      </c>
      <c r="AV205" s="56"/>
      <c r="AW205" s="56">
        <v>1535.7825826270741</v>
      </c>
      <c r="AY205" s="16">
        <v>-4.5807415543192231E-2</v>
      </c>
      <c r="AZ205" s="16">
        <v>3.5578430473500733E-2</v>
      </c>
      <c r="BA205" s="16">
        <v>0.16444560271822994</v>
      </c>
      <c r="BB205" s="16">
        <f t="shared" ref="BB205:BB222" si="73">SUM(AM205:AO205)/I205-1</f>
        <v>-9.9768944200770981E-3</v>
      </c>
      <c r="BC205" s="16"/>
      <c r="BE205" s="16">
        <v>5.9443532843126201E-2</v>
      </c>
      <c r="BF205" s="16">
        <v>3.5661398047689641E-2</v>
      </c>
      <c r="BG205" s="16">
        <v>7.6022179691867864E-2</v>
      </c>
      <c r="BH205" s="16">
        <f>AQ205/(VLOOKUP($A205,'2016-17'!$A$12:$D$220,4,FALSE))-1</f>
        <v>6.0191477790713765E-2</v>
      </c>
      <c r="BJ205" s="16">
        <v>5.2237742297990053E-2</v>
      </c>
      <c r="BK205" s="16">
        <v>2.8617361363650895E-2</v>
      </c>
      <c r="BL205" s="16">
        <v>6.8703629709337966E-2</v>
      </c>
      <c r="BM205" s="16">
        <v>5.2980600108354592E-2</v>
      </c>
    </row>
    <row r="206" spans="1:65" x14ac:dyDescent="0.2">
      <c r="A206" s="156" t="s">
        <v>457</v>
      </c>
      <c r="B206" s="156" t="s">
        <v>458</v>
      </c>
      <c r="D206" s="56">
        <f>VLOOKUP(A206,'2016-17'!$A$12:$AMX414,32,FALSE)</f>
        <v>717128.48705631006</v>
      </c>
      <c r="E206" s="56">
        <v>1490.1533087452419</v>
      </c>
      <c r="F206" s="16">
        <f>VLOOKUP(A206,'2016-17'!$A$12:$AMX414,34,FALSE)</f>
        <v>5.3694642194173747E-2</v>
      </c>
      <c r="G206" s="16">
        <f>VLOOKUP(A206,'2016-17'!$A$12:$AMX414,35,FALSE)</f>
        <v>4.3474469313541375E-2</v>
      </c>
      <c r="H206" s="56"/>
      <c r="I206" s="56">
        <v>736262.86114468926</v>
      </c>
      <c r="J206" s="56">
        <v>1529.9134791654812</v>
      </c>
      <c r="K206" s="16">
        <f t="shared" si="57"/>
        <v>-2.5988509129240112E-2</v>
      </c>
      <c r="L206" s="58">
        <f t="shared" si="57"/>
        <v>-2.598850912923989E-2</v>
      </c>
      <c r="M206" s="10"/>
      <c r="N206" s="56">
        <v>531999</v>
      </c>
      <c r="O206" s="56">
        <v>58314</v>
      </c>
      <c r="P206" s="56">
        <v>117850</v>
      </c>
      <c r="R206" s="56">
        <f t="shared" si="58"/>
        <v>117850</v>
      </c>
      <c r="S206" s="56">
        <f t="shared" si="59"/>
        <v>8965.4870563100558</v>
      </c>
      <c r="U206" s="16">
        <v>-4.348479165332142E-2</v>
      </c>
      <c r="V206" s="16">
        <v>2.904650876309689E-2</v>
      </c>
      <c r="W206" s="56">
        <f t="shared" si="60"/>
        <v>1</v>
      </c>
      <c r="X206" s="56">
        <f t="shared" si="61"/>
        <v>5561.8457015393606</v>
      </c>
      <c r="Y206" s="56">
        <f t="shared" si="61"/>
        <v>566.67992654766226</v>
      </c>
      <c r="AA206" s="56">
        <f t="shared" si="62"/>
        <v>8965.4870563100558</v>
      </c>
      <c r="AB206" s="56">
        <v>0</v>
      </c>
      <c r="AC206" s="56">
        <f t="shared" si="63"/>
        <v>0</v>
      </c>
      <c r="AE206" s="56">
        <v>0</v>
      </c>
      <c r="AF206" s="56">
        <f t="shared" si="64"/>
        <v>0</v>
      </c>
      <c r="AG206" s="56">
        <f t="shared" si="65"/>
        <v>0</v>
      </c>
      <c r="AI206" s="56">
        <f t="shared" si="66"/>
        <v>0</v>
      </c>
      <c r="AJ206" s="56">
        <f t="shared" si="67"/>
        <v>0</v>
      </c>
      <c r="AK206" s="56">
        <f t="shared" si="68"/>
        <v>0</v>
      </c>
      <c r="AM206" s="56">
        <f t="shared" si="69"/>
        <v>540964</v>
      </c>
      <c r="AN206" s="56">
        <f t="shared" si="70"/>
        <v>58314</v>
      </c>
      <c r="AO206" s="56">
        <f t="shared" si="71"/>
        <v>117850</v>
      </c>
      <c r="AP206" s="56"/>
      <c r="AQ206" s="56">
        <f t="shared" si="72"/>
        <v>717128</v>
      </c>
      <c r="AS206" s="56">
        <v>1124.0932539453886</v>
      </c>
      <c r="AT206" s="56">
        <v>121.17326478392533</v>
      </c>
      <c r="AU206" s="56">
        <v>244.88577793987037</v>
      </c>
      <c r="AV206" s="56"/>
      <c r="AW206" s="56">
        <v>1490.1522966691841</v>
      </c>
      <c r="AY206" s="16">
        <v>-2.7366041725543466E-2</v>
      </c>
      <c r="AZ206" s="16">
        <v>2.904650876309689E-2</v>
      </c>
      <c r="BA206" s="16">
        <v>-4.5055383634589496E-2</v>
      </c>
      <c r="BB206" s="16">
        <f t="shared" si="73"/>
        <v>-2.5989170654268423E-2</v>
      </c>
      <c r="BC206" s="16"/>
      <c r="BE206" s="16">
        <v>5.0264846769899396E-2</v>
      </c>
      <c r="BF206" s="16">
        <v>3.5662274002770555E-2</v>
      </c>
      <c r="BG206" s="16">
        <v>7.916458885000055E-2</v>
      </c>
      <c r="BH206" s="16">
        <f>AQ206/(VLOOKUP($A206,'2016-17'!$A$12:$D$220,4,FALSE))-1</f>
        <v>5.3693926550277826E-2</v>
      </c>
      <c r="BJ206" s="16">
        <v>4.0077940739811302E-2</v>
      </c>
      <c r="BK206" s="16">
        <v>2.5617003710595387E-2</v>
      </c>
      <c r="BL206" s="16">
        <v>6.8697373564804876E-2</v>
      </c>
      <c r="BM206" s="16">
        <v>4.3473760610939438E-2</v>
      </c>
    </row>
    <row r="207" spans="1:65" x14ac:dyDescent="0.2">
      <c r="A207" s="156" t="s">
        <v>459</v>
      </c>
      <c r="B207" s="156" t="s">
        <v>460</v>
      </c>
      <c r="D207" s="56">
        <f>VLOOKUP(A207,'2016-17'!$A$12:$AMX415,32,FALSE)</f>
        <v>214854.81911787775</v>
      </c>
      <c r="E207" s="56">
        <v>1401.0954206877404</v>
      </c>
      <c r="F207" s="16">
        <f>VLOOKUP(A207,'2016-17'!$A$12:$AMX415,34,FALSE)</f>
        <v>6.0782312084229018E-2</v>
      </c>
      <c r="G207" s="16">
        <f>VLOOKUP(A207,'2016-17'!$A$12:$AMX415,35,FALSE)</f>
        <v>5.1722177578519046E-2</v>
      </c>
      <c r="H207" s="56"/>
      <c r="I207" s="56">
        <v>221687.7538840792</v>
      </c>
      <c r="J207" s="56">
        <v>1445.6538515858181</v>
      </c>
      <c r="K207" s="16">
        <f t="shared" si="57"/>
        <v>-3.0822337483623063E-2</v>
      </c>
      <c r="L207" s="58">
        <f t="shared" si="57"/>
        <v>-3.0822337483623063E-2</v>
      </c>
      <c r="M207" s="10"/>
      <c r="N207" s="56">
        <v>163124</v>
      </c>
      <c r="O207" s="56">
        <v>17079</v>
      </c>
      <c r="P207" s="56">
        <v>32446</v>
      </c>
      <c r="R207" s="56">
        <f t="shared" si="58"/>
        <v>32446</v>
      </c>
      <c r="S207" s="56">
        <f t="shared" si="59"/>
        <v>2205.8191178777488</v>
      </c>
      <c r="U207" s="16">
        <v>-4.4402399814087112E-2</v>
      </c>
      <c r="V207" s="16">
        <v>-9.2972066081980609E-2</v>
      </c>
      <c r="W207" s="56">
        <f t="shared" si="60"/>
        <v>4</v>
      </c>
      <c r="X207" s="56">
        <f t="shared" si="61"/>
        <v>1707.0365179680653</v>
      </c>
      <c r="Y207" s="56">
        <f t="shared" si="61"/>
        <v>188.29629564136073</v>
      </c>
      <c r="AA207" s="56">
        <f t="shared" si="62"/>
        <v>0</v>
      </c>
      <c r="AB207" s="56">
        <v>0</v>
      </c>
      <c r="AC207" s="56">
        <f t="shared" si="63"/>
        <v>2205.8191178777488</v>
      </c>
      <c r="AE207" s="56">
        <v>0</v>
      </c>
      <c r="AF207" s="56">
        <f t="shared" si="64"/>
        <v>0</v>
      </c>
      <c r="AG207" s="56">
        <f t="shared" si="65"/>
        <v>2205.8191178777488</v>
      </c>
      <c r="AI207" s="56">
        <f t="shared" si="66"/>
        <v>1986.6768301650718</v>
      </c>
      <c r="AJ207" s="56">
        <f t="shared" si="67"/>
        <v>219.14228771267685</v>
      </c>
      <c r="AK207" s="56">
        <f t="shared" si="68"/>
        <v>0</v>
      </c>
      <c r="AM207" s="56">
        <f t="shared" si="69"/>
        <v>165111</v>
      </c>
      <c r="AN207" s="56">
        <f t="shared" si="70"/>
        <v>17298</v>
      </c>
      <c r="AO207" s="56">
        <f t="shared" si="71"/>
        <v>32446</v>
      </c>
      <c r="AP207" s="56"/>
      <c r="AQ207" s="56">
        <f t="shared" si="72"/>
        <v>214855</v>
      </c>
      <c r="AS207" s="56">
        <v>1076.7096914789397</v>
      </c>
      <c r="AT207" s="56">
        <v>112.80244346653281</v>
      </c>
      <c r="AU207" s="56">
        <v>211.58446529744035</v>
      </c>
      <c r="AV207" s="56"/>
      <c r="AW207" s="56">
        <v>1401.0966002429127</v>
      </c>
      <c r="AY207" s="16">
        <v>-3.2762344202592719E-2</v>
      </c>
      <c r="AZ207" s="16">
        <v>-8.1341460219339523E-2</v>
      </c>
      <c r="BA207" s="16">
        <v>9.0664673990101807E-3</v>
      </c>
      <c r="BB207" s="16">
        <f t="shared" si="73"/>
        <v>-3.082152155166884E-2</v>
      </c>
      <c r="BC207" s="16"/>
      <c r="BE207" s="16">
        <v>5.8734119800301743E-2</v>
      </c>
      <c r="BF207" s="16">
        <v>4.8935783154447909E-2</v>
      </c>
      <c r="BG207" s="16">
        <v>7.7889828679208239E-2</v>
      </c>
      <c r="BH207" s="16">
        <f>AQ207/(VLOOKUP($A207,'2016-17'!$A$12:$D$220,4,FALSE))-1</f>
        <v>6.0783205136368368E-2</v>
      </c>
      <c r="BJ207" s="16">
        <v>4.9691478890945051E-2</v>
      </c>
      <c r="BK207" s="16">
        <v>3.9976829771676492E-2</v>
      </c>
      <c r="BL207" s="16">
        <v>6.8683578990728744E-2</v>
      </c>
      <c r="BM207" s="16">
        <v>5.1723063003106029E-2</v>
      </c>
    </row>
    <row r="208" spans="1:65" x14ac:dyDescent="0.2">
      <c r="A208" s="156" t="s">
        <v>461</v>
      </c>
      <c r="B208" s="156" t="s">
        <v>462</v>
      </c>
      <c r="D208" s="56">
        <f>VLOOKUP(A208,'2016-17'!$A$12:$AMX416,32,FALSE)</f>
        <v>215076</v>
      </c>
      <c r="E208" s="56">
        <v>1333.7953181428711</v>
      </c>
      <c r="F208" s="16">
        <f>VLOOKUP(A208,'2016-17'!$A$12:$AMX416,34,FALSE)</f>
        <v>3.7112066307905645E-2</v>
      </c>
      <c r="G208" s="16">
        <f>VLOOKUP(A208,'2016-17'!$A$12:$AMX416,35,FALSE)</f>
        <v>2.6679092148432337E-2</v>
      </c>
      <c r="H208" s="56"/>
      <c r="I208" s="56">
        <v>216709.49013983138</v>
      </c>
      <c r="J208" s="56">
        <v>1343.9254186689161</v>
      </c>
      <c r="K208" s="16">
        <f t="shared" si="57"/>
        <v>-7.5376954593792123E-3</v>
      </c>
      <c r="L208" s="58">
        <f t="shared" si="57"/>
        <v>-7.5376954593792123E-3</v>
      </c>
      <c r="M208" s="10"/>
      <c r="N208" s="56">
        <v>168714</v>
      </c>
      <c r="O208" s="56">
        <v>18129</v>
      </c>
      <c r="P208" s="56">
        <v>28233</v>
      </c>
      <c r="R208" s="56">
        <f t="shared" si="58"/>
        <v>28233</v>
      </c>
      <c r="S208" s="56">
        <f t="shared" si="59"/>
        <v>0</v>
      </c>
      <c r="U208" s="16">
        <v>3.0164866731714479E-3</v>
      </c>
      <c r="V208" s="16">
        <v>-2.6465801253043209E-2</v>
      </c>
      <c r="W208" s="56">
        <f t="shared" si="60"/>
        <v>3</v>
      </c>
      <c r="X208" s="56">
        <f t="shared" si="61"/>
        <v>1682.0660701161009</v>
      </c>
      <c r="Y208" s="56">
        <f t="shared" si="61"/>
        <v>186.21841968504006</v>
      </c>
      <c r="AA208" s="56">
        <f t="shared" si="62"/>
        <v>0</v>
      </c>
      <c r="AB208" s="56">
        <v>0</v>
      </c>
      <c r="AC208" s="56">
        <f t="shared" si="63"/>
        <v>0</v>
      </c>
      <c r="AE208" s="56">
        <v>0</v>
      </c>
      <c r="AF208" s="56">
        <f t="shared" si="64"/>
        <v>0</v>
      </c>
      <c r="AG208" s="56">
        <f t="shared" si="65"/>
        <v>0</v>
      </c>
      <c r="AI208" s="56">
        <f t="shared" si="66"/>
        <v>0</v>
      </c>
      <c r="AJ208" s="56">
        <f t="shared" si="67"/>
        <v>0</v>
      </c>
      <c r="AK208" s="56">
        <f t="shared" si="68"/>
        <v>0</v>
      </c>
      <c r="AM208" s="56">
        <f t="shared" si="69"/>
        <v>168714</v>
      </c>
      <c r="AN208" s="56">
        <f t="shared" si="70"/>
        <v>18129</v>
      </c>
      <c r="AO208" s="56">
        <f t="shared" si="71"/>
        <v>28233</v>
      </c>
      <c r="AP208" s="56"/>
      <c r="AQ208" s="56">
        <f t="shared" si="72"/>
        <v>215076</v>
      </c>
      <c r="AS208" s="56">
        <v>1046.2810509083131</v>
      </c>
      <c r="AT208" s="56">
        <v>112.42712028590876</v>
      </c>
      <c r="AU208" s="56">
        <v>175.08714694864923</v>
      </c>
      <c r="AV208" s="56"/>
      <c r="AW208" s="56">
        <v>1333.7953181428711</v>
      </c>
      <c r="AY208" s="16">
        <v>3.0164866731714479E-3</v>
      </c>
      <c r="AZ208" s="16">
        <v>-2.6465801253043209E-2</v>
      </c>
      <c r="BA208" s="16">
        <v>-5.5153404826435937E-2</v>
      </c>
      <c r="BB208" s="16">
        <f t="shared" si="73"/>
        <v>-7.5376954593792123E-3</v>
      </c>
      <c r="BC208" s="16"/>
      <c r="BE208" s="16">
        <v>3.0486826386362909E-2</v>
      </c>
      <c r="BF208" s="16">
        <v>3.5646958011996466E-2</v>
      </c>
      <c r="BG208" s="16">
        <v>7.9569406928463371E-2</v>
      </c>
      <c r="BH208" s="16">
        <f>AQ208/(VLOOKUP($A208,'2016-17'!$A$12:$D$220,4,FALSE))-1</f>
        <v>3.7112066307905645E-2</v>
      </c>
      <c r="BJ208" s="16">
        <v>2.0120499756262067E-2</v>
      </c>
      <c r="BK208" s="16">
        <v>2.5228722314728946E-2</v>
      </c>
      <c r="BL208" s="16">
        <v>6.8709327201555093E-2</v>
      </c>
      <c r="BM208" s="16">
        <v>2.6679092148432337E-2</v>
      </c>
    </row>
    <row r="209" spans="1:65" x14ac:dyDescent="0.2">
      <c r="A209" s="156" t="s">
        <v>463</v>
      </c>
      <c r="B209" s="156" t="s">
        <v>464</v>
      </c>
      <c r="D209" s="56">
        <f>VLOOKUP(A209,'2016-17'!$A$12:$AMX417,32,FALSE)</f>
        <v>290320.02599394281</v>
      </c>
      <c r="E209" s="56">
        <v>1419.8869286309548</v>
      </c>
      <c r="F209" s="16">
        <f>VLOOKUP(A209,'2016-17'!$A$12:$AMX417,34,FALSE)</f>
        <v>3.7255908535817506E-2</v>
      </c>
      <c r="G209" s="16">
        <f>VLOOKUP(A209,'2016-17'!$A$12:$AMX417,35,FALSE)</f>
        <v>3.1944485029828718E-2</v>
      </c>
      <c r="H209" s="56"/>
      <c r="I209" s="56">
        <v>295480.18652502866</v>
      </c>
      <c r="J209" s="56">
        <v>1445.124059492465</v>
      </c>
      <c r="K209" s="16">
        <f t="shared" si="57"/>
        <v>-1.7463643135506079E-2</v>
      </c>
      <c r="L209" s="58">
        <f t="shared" si="57"/>
        <v>-1.7463643135506079E-2</v>
      </c>
      <c r="M209" s="10"/>
      <c r="N209" s="56">
        <v>223331</v>
      </c>
      <c r="O209" s="56">
        <v>24864</v>
      </c>
      <c r="P209" s="56">
        <v>42067</v>
      </c>
      <c r="R209" s="56">
        <f t="shared" si="58"/>
        <v>42067</v>
      </c>
      <c r="S209" s="56">
        <f t="shared" si="59"/>
        <v>58.025993942806963</v>
      </c>
      <c r="U209" s="16">
        <v>-2.954026197337023E-2</v>
      </c>
      <c r="V209" s="16">
        <v>3.7260519572280382E-2</v>
      </c>
      <c r="W209" s="56">
        <f t="shared" si="60"/>
        <v>1</v>
      </c>
      <c r="X209" s="56">
        <f t="shared" si="61"/>
        <v>2301.2907310727787</v>
      </c>
      <c r="Y209" s="56">
        <f t="shared" si="61"/>
        <v>239.7083426085936</v>
      </c>
      <c r="AA209" s="56">
        <f t="shared" si="62"/>
        <v>58.025993942806963</v>
      </c>
      <c r="AB209" s="56">
        <v>0</v>
      </c>
      <c r="AC209" s="56">
        <f t="shared" si="63"/>
        <v>0</v>
      </c>
      <c r="AE209" s="56">
        <v>0</v>
      </c>
      <c r="AF209" s="56">
        <f t="shared" si="64"/>
        <v>0</v>
      </c>
      <c r="AG209" s="56">
        <f t="shared" si="65"/>
        <v>0</v>
      </c>
      <c r="AI209" s="56">
        <f t="shared" si="66"/>
        <v>0</v>
      </c>
      <c r="AJ209" s="56">
        <f t="shared" si="67"/>
        <v>0</v>
      </c>
      <c r="AK209" s="56">
        <f t="shared" si="68"/>
        <v>0</v>
      </c>
      <c r="AM209" s="56">
        <f t="shared" si="69"/>
        <v>223389</v>
      </c>
      <c r="AN209" s="56">
        <f t="shared" si="70"/>
        <v>24864</v>
      </c>
      <c r="AO209" s="56">
        <f t="shared" si="71"/>
        <v>42067</v>
      </c>
      <c r="AP209" s="56"/>
      <c r="AQ209" s="56">
        <f t="shared" si="72"/>
        <v>290320</v>
      </c>
      <c r="AS209" s="56">
        <v>1092.5430307951203</v>
      </c>
      <c r="AT209" s="56">
        <v>121.6039729695279</v>
      </c>
      <c r="AU209" s="56">
        <v>205.73979773604933</v>
      </c>
      <c r="AV209" s="56"/>
      <c r="AW209" s="56">
        <v>1419.8868015006974</v>
      </c>
      <c r="AY209" s="16">
        <v>-2.9288229497782203E-2</v>
      </c>
      <c r="AZ209" s="16">
        <v>3.7260519572280382E-2</v>
      </c>
      <c r="BA209" s="16">
        <v>1.6595365161866216E-2</v>
      </c>
      <c r="BB209" s="16">
        <f t="shared" si="73"/>
        <v>-1.7463731107370095E-2</v>
      </c>
      <c r="BC209" s="16"/>
      <c r="BE209" s="16">
        <v>3.0755982573560603E-2</v>
      </c>
      <c r="BF209" s="16">
        <v>3.565478173942016E-2</v>
      </c>
      <c r="BG209" s="16">
        <v>7.4208567949378246E-2</v>
      </c>
      <c r="BH209" s="16">
        <f>AQ209/(VLOOKUP($A209,'2016-17'!$A$12:$D$220,4,FALSE))-1</f>
        <v>3.7255815664612113E-2</v>
      </c>
      <c r="BJ209" s="16">
        <v>2.5477842907421833E-2</v>
      </c>
      <c r="BK209" s="16">
        <v>3.0351557041876198E-2</v>
      </c>
      <c r="BL209" s="16">
        <v>6.8707922842237146E-2</v>
      </c>
      <c r="BM209" s="16">
        <v>3.1944392634184027E-2</v>
      </c>
    </row>
    <row r="210" spans="1:65" x14ac:dyDescent="0.2">
      <c r="A210" s="156" t="s">
        <v>465</v>
      </c>
      <c r="B210" s="156" t="s">
        <v>466</v>
      </c>
      <c r="D210" s="56">
        <f>VLOOKUP(A210,'2016-17'!$A$12:$AMX418,32,FALSE)</f>
        <v>764413</v>
      </c>
      <c r="E210" s="56">
        <v>1548.2919742730896</v>
      </c>
      <c r="F210" s="16">
        <f>VLOOKUP(A210,'2016-17'!$A$12:$AMX418,34,FALSE)</f>
        <v>3.9718450451127651E-2</v>
      </c>
      <c r="G210" s="16">
        <f>VLOOKUP(A210,'2016-17'!$A$12:$AMX418,35,FALSE)</f>
        <v>2.8997820730112478E-2</v>
      </c>
      <c r="H210" s="56"/>
      <c r="I210" s="56">
        <v>750695.61139403039</v>
      </c>
      <c r="J210" s="56">
        <v>1520.5078802210419</v>
      </c>
      <c r="K210" s="16">
        <f t="shared" si="57"/>
        <v>1.8272903687949649E-2</v>
      </c>
      <c r="L210" s="58">
        <f t="shared" si="57"/>
        <v>1.8272903687949871E-2</v>
      </c>
      <c r="M210" s="10"/>
      <c r="N210" s="56">
        <v>560129</v>
      </c>
      <c r="O210" s="56">
        <v>62585</v>
      </c>
      <c r="P210" s="56">
        <v>141699</v>
      </c>
      <c r="R210" s="56">
        <f t="shared" si="58"/>
        <v>141699</v>
      </c>
      <c r="S210" s="56">
        <f t="shared" si="59"/>
        <v>0</v>
      </c>
      <c r="U210" s="16">
        <v>1.1530274807892482E-2</v>
      </c>
      <c r="V210" s="16">
        <v>-4.8464651949242654E-4</v>
      </c>
      <c r="W210" s="56">
        <f t="shared" si="60"/>
        <v>3</v>
      </c>
      <c r="X210" s="56">
        <f t="shared" si="61"/>
        <v>5537.4417746060881</v>
      </c>
      <c r="Y210" s="56">
        <f t="shared" si="61"/>
        <v>626.15346309655786</v>
      </c>
      <c r="AA210" s="56">
        <f t="shared" si="62"/>
        <v>0</v>
      </c>
      <c r="AB210" s="56">
        <v>0</v>
      </c>
      <c r="AC210" s="56">
        <f t="shared" si="63"/>
        <v>0</v>
      </c>
      <c r="AE210" s="56">
        <v>0</v>
      </c>
      <c r="AF210" s="56">
        <f t="shared" si="64"/>
        <v>0</v>
      </c>
      <c r="AG210" s="56">
        <f t="shared" si="65"/>
        <v>0</v>
      </c>
      <c r="AI210" s="56">
        <f t="shared" si="66"/>
        <v>0</v>
      </c>
      <c r="AJ210" s="56">
        <f t="shared" si="67"/>
        <v>0</v>
      </c>
      <c r="AK210" s="56">
        <f t="shared" si="68"/>
        <v>0</v>
      </c>
      <c r="AM210" s="56">
        <f t="shared" si="69"/>
        <v>560129</v>
      </c>
      <c r="AN210" s="56">
        <f t="shared" si="70"/>
        <v>62585</v>
      </c>
      <c r="AO210" s="56">
        <f t="shared" si="71"/>
        <v>141699</v>
      </c>
      <c r="AP210" s="56"/>
      <c r="AQ210" s="56">
        <f t="shared" si="72"/>
        <v>764413</v>
      </c>
      <c r="AS210" s="56">
        <v>1134.5218295052694</v>
      </c>
      <c r="AT210" s="56">
        <v>126.76374317271072</v>
      </c>
      <c r="AU210" s="56">
        <v>287.00640159510959</v>
      </c>
      <c r="AV210" s="56"/>
      <c r="AW210" s="56">
        <v>1548.2919742730896</v>
      </c>
      <c r="AY210" s="16">
        <v>1.1530274807892482E-2</v>
      </c>
      <c r="AZ210" s="16">
        <v>-4.8464651949242654E-4</v>
      </c>
      <c r="BA210" s="16">
        <v>5.480963832187391E-2</v>
      </c>
      <c r="BB210" s="16">
        <f t="shared" si="73"/>
        <v>1.8272903687949649E-2</v>
      </c>
      <c r="BC210" s="16"/>
      <c r="BE210" s="16">
        <v>3.048677941862632E-2</v>
      </c>
      <c r="BF210" s="16">
        <v>3.5651020296138869E-2</v>
      </c>
      <c r="BG210" s="16">
        <v>7.9831326559055116E-2</v>
      </c>
      <c r="BH210" s="16">
        <f>AQ210/(VLOOKUP($A210,'2016-17'!$A$12:$D$220,4,FALSE))-1</f>
        <v>3.9718450451127651E-2</v>
      </c>
      <c r="BJ210" s="16">
        <v>1.9861338281407903E-2</v>
      </c>
      <c r="BK210" s="16">
        <v>2.4972330210405458E-2</v>
      </c>
      <c r="BL210" s="16">
        <v>6.8697089393051858E-2</v>
      </c>
      <c r="BM210" s="16">
        <v>2.8997820730112478E-2</v>
      </c>
    </row>
    <row r="211" spans="1:65" x14ac:dyDescent="0.2">
      <c r="A211" s="156" t="s">
        <v>467</v>
      </c>
      <c r="B211" s="156" t="s">
        <v>468</v>
      </c>
      <c r="D211" s="56">
        <f>VLOOKUP(A211,'2016-17'!$A$12:$AMX419,32,FALSE)</f>
        <v>1291335</v>
      </c>
      <c r="E211" s="56">
        <v>1631.4942578946784</v>
      </c>
      <c r="F211" s="16">
        <f>VLOOKUP(A211,'2016-17'!$A$12:$AMX419,34,FALSE)</f>
        <v>3.6912649859646374E-2</v>
      </c>
      <c r="G211" s="16">
        <f>VLOOKUP(A211,'2016-17'!$A$12:$AMX419,35,FALSE)</f>
        <v>3.0800636132834791E-2</v>
      </c>
      <c r="H211" s="56"/>
      <c r="I211" s="56">
        <v>1286787.4868148847</v>
      </c>
      <c r="J211" s="56">
        <v>1625.7488536043772</v>
      </c>
      <c r="K211" s="16">
        <f t="shared" si="57"/>
        <v>3.5340048234160371E-3</v>
      </c>
      <c r="L211" s="58">
        <f t="shared" si="57"/>
        <v>3.5340048234162591E-3</v>
      </c>
      <c r="M211" s="10"/>
      <c r="N211" s="56">
        <v>1007441</v>
      </c>
      <c r="O211" s="56">
        <v>103258</v>
      </c>
      <c r="P211" s="56">
        <v>180636</v>
      </c>
      <c r="R211" s="56">
        <f t="shared" si="58"/>
        <v>180636</v>
      </c>
      <c r="S211" s="56">
        <f t="shared" si="59"/>
        <v>0</v>
      </c>
      <c r="U211" s="16">
        <v>-5.6186282939995058E-3</v>
      </c>
      <c r="V211" s="16">
        <v>1.8776629669824851E-2</v>
      </c>
      <c r="W211" s="56">
        <f t="shared" si="60"/>
        <v>1</v>
      </c>
      <c r="X211" s="56">
        <f t="shared" si="61"/>
        <v>10131.33420099769</v>
      </c>
      <c r="Y211" s="56">
        <f t="shared" si="61"/>
        <v>1013.548966405569</v>
      </c>
      <c r="AA211" s="56">
        <f t="shared" si="62"/>
        <v>0</v>
      </c>
      <c r="AB211" s="56">
        <v>0</v>
      </c>
      <c r="AC211" s="56">
        <f t="shared" si="63"/>
        <v>0</v>
      </c>
      <c r="AE211" s="56">
        <v>0</v>
      </c>
      <c r="AF211" s="56">
        <f t="shared" si="64"/>
        <v>0</v>
      </c>
      <c r="AG211" s="56">
        <f t="shared" si="65"/>
        <v>0</v>
      </c>
      <c r="AI211" s="56">
        <f t="shared" si="66"/>
        <v>0</v>
      </c>
      <c r="AJ211" s="56">
        <f t="shared" si="67"/>
        <v>0</v>
      </c>
      <c r="AK211" s="56">
        <f t="shared" si="68"/>
        <v>0</v>
      </c>
      <c r="AM211" s="56">
        <f t="shared" si="69"/>
        <v>1007441</v>
      </c>
      <c r="AN211" s="56">
        <f t="shared" si="70"/>
        <v>103258</v>
      </c>
      <c r="AO211" s="56">
        <f t="shared" si="71"/>
        <v>180636</v>
      </c>
      <c r="AP211" s="56"/>
      <c r="AQ211" s="56">
        <f t="shared" si="72"/>
        <v>1291335</v>
      </c>
      <c r="AS211" s="56">
        <v>1272.8178254811282</v>
      </c>
      <c r="AT211" s="56">
        <v>130.45788589458871</v>
      </c>
      <c r="AU211" s="56">
        <v>228.21854651896149</v>
      </c>
      <c r="AV211" s="56"/>
      <c r="AW211" s="56">
        <v>1631.4942578946784</v>
      </c>
      <c r="AY211" s="16">
        <v>-5.6186282939995058E-3</v>
      </c>
      <c r="AZ211" s="16">
        <v>1.8776629669824851E-2</v>
      </c>
      <c r="BA211" s="16">
        <v>4.8385781091305757E-2</v>
      </c>
      <c r="BB211" s="16">
        <f t="shared" si="73"/>
        <v>3.5340048234160371E-3</v>
      </c>
      <c r="BC211" s="16"/>
      <c r="BE211" s="16">
        <v>3.0487888417134235E-2</v>
      </c>
      <c r="BF211" s="16">
        <v>3.5655898017110887E-2</v>
      </c>
      <c r="BG211" s="16">
        <v>7.5039630693425341E-2</v>
      </c>
      <c r="BH211" s="16">
        <f>AQ211/(VLOOKUP($A211,'2016-17'!$A$12:$D$220,4,FALSE))-1</f>
        <v>3.6912649859646374E-2</v>
      </c>
      <c r="BJ211" s="16">
        <v>2.441374502600957E-2</v>
      </c>
      <c r="BK211" s="16">
        <v>2.9551292131754225E-2</v>
      </c>
      <c r="BL211" s="16">
        <v>6.8702879974303466E-2</v>
      </c>
      <c r="BM211" s="16">
        <v>3.0800636132834791E-2</v>
      </c>
    </row>
    <row r="212" spans="1:65" x14ac:dyDescent="0.2">
      <c r="A212" s="156" t="s">
        <v>469</v>
      </c>
      <c r="B212" s="156" t="s">
        <v>470</v>
      </c>
      <c r="D212" s="56">
        <f>VLOOKUP(A212,'2016-17'!$A$12:$AMX420,32,FALSE)</f>
        <v>950959</v>
      </c>
      <c r="E212" s="56">
        <v>1486.3350482000201</v>
      </c>
      <c r="F212" s="16">
        <f>VLOOKUP(A212,'2016-17'!$A$12:$AMX420,34,FALSE)</f>
        <v>3.7533356106293603E-2</v>
      </c>
      <c r="G212" s="16">
        <f>VLOOKUP(A212,'2016-17'!$A$12:$AMX420,35,FALSE)</f>
        <v>3.0331228983734082E-2</v>
      </c>
      <c r="H212" s="56"/>
      <c r="I212" s="56">
        <v>957982.72123920801</v>
      </c>
      <c r="J212" s="56">
        <v>1497.3130220628489</v>
      </c>
      <c r="K212" s="16">
        <f t="shared" si="57"/>
        <v>-7.3317828009699104E-3</v>
      </c>
      <c r="L212" s="58">
        <f t="shared" si="57"/>
        <v>-7.3317828009700214E-3</v>
      </c>
      <c r="M212" s="10"/>
      <c r="N212" s="56">
        <v>730181</v>
      </c>
      <c r="O212" s="56">
        <v>77791</v>
      </c>
      <c r="P212" s="56">
        <v>142987</v>
      </c>
      <c r="R212" s="56">
        <f t="shared" si="58"/>
        <v>142987</v>
      </c>
      <c r="S212" s="56">
        <f t="shared" si="59"/>
        <v>0</v>
      </c>
      <c r="U212" s="16">
        <v>-1.5135162738390884E-2</v>
      </c>
      <c r="V212" s="16">
        <v>5.9929127511582081E-4</v>
      </c>
      <c r="W212" s="56">
        <f t="shared" si="60"/>
        <v>1</v>
      </c>
      <c r="X212" s="56">
        <f t="shared" si="61"/>
        <v>7414.0224361167084</v>
      </c>
      <c r="Y212" s="56">
        <f t="shared" si="61"/>
        <v>777.44408454324275</v>
      </c>
      <c r="AA212" s="56">
        <f t="shared" si="62"/>
        <v>0</v>
      </c>
      <c r="AB212" s="56">
        <v>0</v>
      </c>
      <c r="AC212" s="56">
        <f t="shared" si="63"/>
        <v>0</v>
      </c>
      <c r="AE212" s="56">
        <v>0</v>
      </c>
      <c r="AF212" s="56">
        <f t="shared" si="64"/>
        <v>0</v>
      </c>
      <c r="AG212" s="56">
        <f t="shared" si="65"/>
        <v>0</v>
      </c>
      <c r="AI212" s="56">
        <f t="shared" si="66"/>
        <v>0</v>
      </c>
      <c r="AJ212" s="56">
        <f t="shared" si="67"/>
        <v>0</v>
      </c>
      <c r="AK212" s="56">
        <f t="shared" si="68"/>
        <v>0</v>
      </c>
      <c r="AM212" s="56">
        <f t="shared" si="69"/>
        <v>730181</v>
      </c>
      <c r="AN212" s="56">
        <f t="shared" si="70"/>
        <v>77791</v>
      </c>
      <c r="AO212" s="56">
        <f t="shared" si="71"/>
        <v>142987</v>
      </c>
      <c r="AP212" s="56"/>
      <c r="AQ212" s="56">
        <f t="shared" si="72"/>
        <v>950959</v>
      </c>
      <c r="AS212" s="56">
        <v>1141.2622540296047</v>
      </c>
      <c r="AT212" s="56">
        <v>121.58619849491699</v>
      </c>
      <c r="AU212" s="56">
        <v>223.48659567549839</v>
      </c>
      <c r="AV212" s="56"/>
      <c r="AW212" s="56">
        <v>1486.3350482000201</v>
      </c>
      <c r="AY212" s="16">
        <v>-1.5135162738390884E-2</v>
      </c>
      <c r="AZ212" s="16">
        <v>5.9929127511582081E-4</v>
      </c>
      <c r="BA212" s="16">
        <v>2.9898072248129903E-2</v>
      </c>
      <c r="BB212" s="16">
        <f t="shared" si="73"/>
        <v>-7.3317828009699104E-3</v>
      </c>
      <c r="BC212" s="16"/>
      <c r="BE212" s="16">
        <v>3.0487601275679399E-2</v>
      </c>
      <c r="BF212" s="16">
        <v>3.5652949556002289E-2</v>
      </c>
      <c r="BG212" s="16">
        <v>7.6171507930705484E-2</v>
      </c>
      <c r="BH212" s="16">
        <f>AQ212/(VLOOKUP($A212,'2016-17'!$A$12:$D$220,4,FALSE))-1</f>
        <v>3.7533356106293603E-2</v>
      </c>
      <c r="BJ212" s="16">
        <v>2.3334382866912806E-2</v>
      </c>
      <c r="BK212" s="16">
        <v>2.8463875437413799E-2</v>
      </c>
      <c r="BL212" s="16">
        <v>6.8701170750529394E-2</v>
      </c>
      <c r="BM212" s="16">
        <v>3.0331228983734082E-2</v>
      </c>
    </row>
    <row r="213" spans="1:65" x14ac:dyDescent="0.2">
      <c r="A213" s="156" t="s">
        <v>471</v>
      </c>
      <c r="B213" s="156" t="s">
        <v>472</v>
      </c>
      <c r="D213" s="56">
        <f>VLOOKUP(A213,'2016-17'!$A$12:$AMX421,32,FALSE)</f>
        <v>946039</v>
      </c>
      <c r="E213" s="56">
        <v>1673.6712153650938</v>
      </c>
      <c r="F213" s="16">
        <f>VLOOKUP(A213,'2016-17'!$A$12:$AMX421,34,FALSE)</f>
        <v>3.683059576008274E-2</v>
      </c>
      <c r="G213" s="16">
        <f>VLOOKUP(A213,'2016-17'!$A$12:$AMX421,35,FALSE)</f>
        <v>2.8292294489013825E-2</v>
      </c>
      <c r="H213" s="56"/>
      <c r="I213" s="56">
        <v>924385.18374938774</v>
      </c>
      <c r="J213" s="56">
        <v>1635.3626794998127</v>
      </c>
      <c r="K213" s="16">
        <f t="shared" si="57"/>
        <v>2.3425100954974631E-2</v>
      </c>
      <c r="L213" s="58">
        <f t="shared" si="57"/>
        <v>2.3425100954974631E-2</v>
      </c>
      <c r="M213" s="10"/>
      <c r="N213" s="56">
        <v>731171</v>
      </c>
      <c r="O213" s="56">
        <v>79869</v>
      </c>
      <c r="P213" s="56">
        <v>134999</v>
      </c>
      <c r="R213" s="56">
        <f t="shared" si="58"/>
        <v>134999</v>
      </c>
      <c r="S213" s="56">
        <f t="shared" si="59"/>
        <v>0</v>
      </c>
      <c r="U213" s="16">
        <v>1.5308609158251052E-2</v>
      </c>
      <c r="V213" s="16">
        <v>0.12820505904418567</v>
      </c>
      <c r="W213" s="56">
        <f t="shared" si="60"/>
        <v>2</v>
      </c>
      <c r="X213" s="56">
        <f t="shared" si="61"/>
        <v>7201.4655780982948</v>
      </c>
      <c r="Y213" s="56">
        <f t="shared" si="61"/>
        <v>707.9298161246054</v>
      </c>
      <c r="AA213" s="56">
        <f t="shared" si="62"/>
        <v>0</v>
      </c>
      <c r="AB213" s="56">
        <v>0</v>
      </c>
      <c r="AC213" s="56">
        <f t="shared" si="63"/>
        <v>0</v>
      </c>
      <c r="AE213" s="56">
        <v>0</v>
      </c>
      <c r="AF213" s="56">
        <f t="shared" si="64"/>
        <v>0</v>
      </c>
      <c r="AG213" s="56">
        <f t="shared" si="65"/>
        <v>0</v>
      </c>
      <c r="AI213" s="56">
        <f t="shared" si="66"/>
        <v>0</v>
      </c>
      <c r="AJ213" s="56">
        <f t="shared" si="67"/>
        <v>0</v>
      </c>
      <c r="AK213" s="56">
        <f t="shared" si="68"/>
        <v>0</v>
      </c>
      <c r="AM213" s="56">
        <f t="shared" si="69"/>
        <v>731171</v>
      </c>
      <c r="AN213" s="56">
        <f t="shared" si="70"/>
        <v>79869</v>
      </c>
      <c r="AO213" s="56">
        <f t="shared" si="71"/>
        <v>134999</v>
      </c>
      <c r="AP213" s="56"/>
      <c r="AQ213" s="56">
        <f t="shared" si="72"/>
        <v>946039</v>
      </c>
      <c r="AS213" s="56">
        <v>1293.5406005563311</v>
      </c>
      <c r="AT213" s="56">
        <v>141.29908629559105</v>
      </c>
      <c r="AU213" s="56">
        <v>238.83152851317152</v>
      </c>
      <c r="AV213" s="56"/>
      <c r="AW213" s="56">
        <v>1673.6712153650938</v>
      </c>
      <c r="AY213" s="16">
        <v>1.5308609158251052E-2</v>
      </c>
      <c r="AZ213" s="16">
        <v>0.12820505904418567</v>
      </c>
      <c r="BA213" s="16">
        <v>1.1640362491673661E-2</v>
      </c>
      <c r="BB213" s="16">
        <f t="shared" si="73"/>
        <v>2.3425100954974631E-2</v>
      </c>
      <c r="BC213" s="16"/>
      <c r="BE213" s="16">
        <v>3.0487450030183938E-2</v>
      </c>
      <c r="BF213" s="16">
        <v>2.9052492470442726E-2</v>
      </c>
      <c r="BG213" s="16">
        <v>7.757438146362583E-2</v>
      </c>
      <c r="BH213" s="16">
        <f>AQ213/(VLOOKUP($A213,'2016-17'!$A$12:$D$220,4,FALSE))-1</f>
        <v>3.683059576008274E-2</v>
      </c>
      <c r="BJ213" s="16">
        <v>2.2001384572245763E-2</v>
      </c>
      <c r="BK213" s="16">
        <v>2.0578243889828762E-2</v>
      </c>
      <c r="BL213" s="16">
        <v>6.87005550656139E-2</v>
      </c>
      <c r="BM213" s="16">
        <v>2.8292294489013825E-2</v>
      </c>
    </row>
    <row r="214" spans="1:65" x14ac:dyDescent="0.2">
      <c r="A214" s="156" t="s">
        <v>473</v>
      </c>
      <c r="B214" s="156" t="s">
        <v>474</v>
      </c>
      <c r="D214" s="56">
        <f>VLOOKUP(A214,'2016-17'!$A$12:$AMX422,32,FALSE)</f>
        <v>352725</v>
      </c>
      <c r="E214" s="56">
        <v>1619.2795149410777</v>
      </c>
      <c r="F214" s="16">
        <f>VLOOKUP(A214,'2016-17'!$A$12:$AMX422,34,FALSE)</f>
        <v>3.8093950566314927E-2</v>
      </c>
      <c r="G214" s="16">
        <f>VLOOKUP(A214,'2016-17'!$A$12:$AMX422,35,FALSE)</f>
        <v>2.7664993721152609E-2</v>
      </c>
      <c r="H214" s="56"/>
      <c r="I214" s="56">
        <v>353780.23985368625</v>
      </c>
      <c r="J214" s="56">
        <v>1624.123878902871</v>
      </c>
      <c r="K214" s="16">
        <f t="shared" si="57"/>
        <v>-2.9827552101910904E-3</v>
      </c>
      <c r="L214" s="58">
        <f t="shared" si="57"/>
        <v>-2.9827552101910904E-3</v>
      </c>
      <c r="M214" s="10"/>
      <c r="N214" s="56">
        <v>270796</v>
      </c>
      <c r="O214" s="56">
        <v>28130</v>
      </c>
      <c r="P214" s="56">
        <v>53799</v>
      </c>
      <c r="R214" s="56">
        <f t="shared" si="58"/>
        <v>53799</v>
      </c>
      <c r="S214" s="56">
        <f t="shared" si="59"/>
        <v>0</v>
      </c>
      <c r="U214" s="16">
        <v>-1.3852379219327249E-2</v>
      </c>
      <c r="V214" s="16">
        <v>2.3994059465580531E-2</v>
      </c>
      <c r="W214" s="56">
        <f t="shared" si="60"/>
        <v>1</v>
      </c>
      <c r="X214" s="56">
        <f t="shared" si="61"/>
        <v>2745.9986141387981</v>
      </c>
      <c r="Y214" s="56">
        <f t="shared" si="61"/>
        <v>274.70862491800943</v>
      </c>
      <c r="AA214" s="56">
        <f t="shared" si="62"/>
        <v>0</v>
      </c>
      <c r="AB214" s="56">
        <v>0</v>
      </c>
      <c r="AC214" s="56">
        <f t="shared" si="63"/>
        <v>0</v>
      </c>
      <c r="AE214" s="56">
        <v>0</v>
      </c>
      <c r="AF214" s="56">
        <f t="shared" si="64"/>
        <v>0</v>
      </c>
      <c r="AG214" s="56">
        <f t="shared" si="65"/>
        <v>0</v>
      </c>
      <c r="AI214" s="56">
        <f t="shared" si="66"/>
        <v>0</v>
      </c>
      <c r="AJ214" s="56">
        <f t="shared" si="67"/>
        <v>0</v>
      </c>
      <c r="AK214" s="56">
        <f t="shared" si="68"/>
        <v>0</v>
      </c>
      <c r="AM214" s="56">
        <f t="shared" si="69"/>
        <v>270796</v>
      </c>
      <c r="AN214" s="56">
        <f t="shared" si="70"/>
        <v>28130</v>
      </c>
      <c r="AO214" s="56">
        <f t="shared" si="71"/>
        <v>53799</v>
      </c>
      <c r="AP214" s="56"/>
      <c r="AQ214" s="56">
        <f t="shared" si="72"/>
        <v>352725</v>
      </c>
      <c r="AS214" s="56">
        <v>1243.1622808930017</v>
      </c>
      <c r="AT214" s="56">
        <v>129.13837339369908</v>
      </c>
      <c r="AU214" s="56">
        <v>246.97886065437672</v>
      </c>
      <c r="AV214" s="56"/>
      <c r="AW214" s="56">
        <v>1619.2795149410777</v>
      </c>
      <c r="AY214" s="16">
        <v>-1.3852379219327249E-2</v>
      </c>
      <c r="AZ214" s="16">
        <v>2.3994059465580531E-2</v>
      </c>
      <c r="BA214" s="16">
        <v>4.0408114709397758E-2</v>
      </c>
      <c r="BB214" s="16">
        <f t="shared" si="73"/>
        <v>-2.9827552101910904E-3</v>
      </c>
      <c r="BC214" s="16"/>
      <c r="BE214" s="16">
        <v>3.0486626583118737E-2</v>
      </c>
      <c r="BF214" s="16">
        <v>3.5657598678483282E-2</v>
      </c>
      <c r="BG214" s="16">
        <v>7.9535696618200147E-2</v>
      </c>
      <c r="BH214" s="16">
        <f>AQ214/(VLOOKUP($A214,'2016-17'!$A$12:$D$220,4,FALSE))-1</f>
        <v>3.8093950566314927E-2</v>
      </c>
      <c r="BJ214" s="16">
        <v>2.0134094856785412E-2</v>
      </c>
      <c r="BK214" s="16">
        <v>2.525311804636865E-2</v>
      </c>
      <c r="BL214" s="16">
        <v>6.8690405412426436E-2</v>
      </c>
      <c r="BM214" s="16">
        <v>2.7664993721152609E-2</v>
      </c>
    </row>
    <row r="215" spans="1:65" x14ac:dyDescent="0.2">
      <c r="A215" s="156" t="s">
        <v>475</v>
      </c>
      <c r="B215" s="156" t="s">
        <v>476</v>
      </c>
      <c r="D215" s="56">
        <f>VLOOKUP(A215,'2016-17'!$A$12:$AMX423,32,FALSE)</f>
        <v>1472930</v>
      </c>
      <c r="E215" s="56">
        <v>1624.9823367520132</v>
      </c>
      <c r="F215" s="16">
        <f>VLOOKUP(A215,'2016-17'!$A$12:$AMX423,34,FALSE)</f>
        <v>3.7195495306660664E-2</v>
      </c>
      <c r="G215" s="16">
        <f>VLOOKUP(A215,'2016-17'!$A$12:$AMX423,35,FALSE)</f>
        <v>3.1833103340518809E-2</v>
      </c>
      <c r="H215" s="56"/>
      <c r="I215" s="56">
        <v>1469135.3417197173</v>
      </c>
      <c r="J215" s="56">
        <v>1620.79595133012</v>
      </c>
      <c r="K215" s="16">
        <f t="shared" si="57"/>
        <v>2.582919471422418E-3</v>
      </c>
      <c r="L215" s="58">
        <f t="shared" si="57"/>
        <v>2.582919471422418E-3</v>
      </c>
      <c r="M215" s="10"/>
      <c r="N215" s="56">
        <v>1133470</v>
      </c>
      <c r="O215" s="56">
        <v>120032</v>
      </c>
      <c r="P215" s="56">
        <v>219428</v>
      </c>
      <c r="R215" s="56">
        <f t="shared" si="58"/>
        <v>219428</v>
      </c>
      <c r="S215" s="56">
        <f t="shared" si="59"/>
        <v>0</v>
      </c>
      <c r="U215" s="16">
        <v>8.9262465835648896E-4</v>
      </c>
      <c r="V215" s="16">
        <v>4.8654903510531256E-2</v>
      </c>
      <c r="W215" s="56">
        <f t="shared" si="60"/>
        <v>2</v>
      </c>
      <c r="X215" s="56">
        <f t="shared" si="61"/>
        <v>11324.591390479047</v>
      </c>
      <c r="Y215" s="56">
        <f t="shared" si="61"/>
        <v>1144.6282241962983</v>
      </c>
      <c r="AA215" s="56">
        <f t="shared" si="62"/>
        <v>0</v>
      </c>
      <c r="AB215" s="56">
        <v>0</v>
      </c>
      <c r="AC215" s="56">
        <f t="shared" si="63"/>
        <v>0</v>
      </c>
      <c r="AE215" s="56">
        <v>0</v>
      </c>
      <c r="AF215" s="56">
        <f t="shared" si="64"/>
        <v>0</v>
      </c>
      <c r="AG215" s="56">
        <f t="shared" si="65"/>
        <v>0</v>
      </c>
      <c r="AI215" s="56">
        <f t="shared" si="66"/>
        <v>0</v>
      </c>
      <c r="AJ215" s="56">
        <f t="shared" si="67"/>
        <v>0</v>
      </c>
      <c r="AK215" s="56">
        <f t="shared" si="68"/>
        <v>0</v>
      </c>
      <c r="AM215" s="56">
        <f t="shared" si="69"/>
        <v>1133470</v>
      </c>
      <c r="AN215" s="56">
        <f t="shared" si="70"/>
        <v>120032</v>
      </c>
      <c r="AO215" s="56">
        <f t="shared" si="71"/>
        <v>219428</v>
      </c>
      <c r="AP215" s="56"/>
      <c r="AQ215" s="56">
        <f t="shared" si="72"/>
        <v>1472930</v>
      </c>
      <c r="AS215" s="56">
        <v>1250.4794723702446</v>
      </c>
      <c r="AT215" s="56">
        <v>132.42304783324235</v>
      </c>
      <c r="AU215" s="56">
        <v>242.07981654852622</v>
      </c>
      <c r="AV215" s="56"/>
      <c r="AW215" s="56">
        <v>1624.9823367520132</v>
      </c>
      <c r="AY215" s="16">
        <v>8.9262465835648896E-4</v>
      </c>
      <c r="AZ215" s="16">
        <v>4.8654903510531256E-2</v>
      </c>
      <c r="BA215" s="16">
        <v>-1.2534709876703132E-2</v>
      </c>
      <c r="BB215" s="16">
        <f t="shared" si="73"/>
        <v>2.582919471422418E-3</v>
      </c>
      <c r="BC215" s="16"/>
      <c r="BE215" s="16">
        <v>3.0487319358039722E-2</v>
      </c>
      <c r="BF215" s="16">
        <v>3.5549785884544161E-2</v>
      </c>
      <c r="BG215" s="16">
        <v>7.4252577974199818E-2</v>
      </c>
      <c r="BH215" s="16">
        <f>AQ215/(VLOOKUP($A215,'2016-17'!$A$12:$D$220,4,FALSE))-1</f>
        <v>3.7195495306660664E-2</v>
      </c>
      <c r="BJ215" s="16">
        <v>2.5159609251756754E-2</v>
      </c>
      <c r="BK215" s="16">
        <v>3.0195902380909079E-2</v>
      </c>
      <c r="BL215" s="16">
        <v>6.869859763027919E-2</v>
      </c>
      <c r="BM215" s="16">
        <v>3.1833103340518809E-2</v>
      </c>
    </row>
    <row r="216" spans="1:65" x14ac:dyDescent="0.2">
      <c r="A216" s="156" t="s">
        <v>477</v>
      </c>
      <c r="B216" s="156" t="s">
        <v>478</v>
      </c>
      <c r="D216" s="56">
        <f>VLOOKUP(A216,'2016-17'!$A$12:$AMX424,32,FALSE)</f>
        <v>895521</v>
      </c>
      <c r="E216" s="56">
        <v>1585.1206222431863</v>
      </c>
      <c r="F216" s="16">
        <f>VLOOKUP(A216,'2016-17'!$A$12:$AMX424,34,FALSE)</f>
        <v>3.6340047500408978E-2</v>
      </c>
      <c r="G216" s="16">
        <f>VLOOKUP(A216,'2016-17'!$A$12:$AMX424,35,FALSE)</f>
        <v>2.9990381281076672E-2</v>
      </c>
      <c r="H216" s="56"/>
      <c r="I216" s="56">
        <v>906660.36634023627</v>
      </c>
      <c r="J216" s="56">
        <v>1604.8379033618091</v>
      </c>
      <c r="K216" s="16">
        <f t="shared" si="57"/>
        <v>-1.2286151191543415E-2</v>
      </c>
      <c r="L216" s="58">
        <f t="shared" si="57"/>
        <v>-1.2286151191543526E-2</v>
      </c>
      <c r="M216" s="10"/>
      <c r="N216" s="56">
        <v>693362</v>
      </c>
      <c r="O216" s="56">
        <v>78175</v>
      </c>
      <c r="P216" s="56">
        <v>123984</v>
      </c>
      <c r="R216" s="56">
        <f t="shared" si="58"/>
        <v>123984</v>
      </c>
      <c r="S216" s="56">
        <f t="shared" si="59"/>
        <v>0</v>
      </c>
      <c r="U216" s="16">
        <v>-2.509696588652921E-2</v>
      </c>
      <c r="V216" s="16">
        <v>0.12592256952246972</v>
      </c>
      <c r="W216" s="56">
        <f t="shared" si="60"/>
        <v>1</v>
      </c>
      <c r="X216" s="56">
        <f t="shared" si="61"/>
        <v>7112.112443372479</v>
      </c>
      <c r="Y216" s="56">
        <f t="shared" si="61"/>
        <v>694.31950398823483</v>
      </c>
      <c r="AA216" s="56">
        <f t="shared" si="62"/>
        <v>0</v>
      </c>
      <c r="AB216" s="56">
        <v>0</v>
      </c>
      <c r="AC216" s="56">
        <f t="shared" si="63"/>
        <v>0</v>
      </c>
      <c r="AE216" s="56">
        <v>0</v>
      </c>
      <c r="AF216" s="56">
        <f t="shared" si="64"/>
        <v>0</v>
      </c>
      <c r="AG216" s="56">
        <f t="shared" si="65"/>
        <v>0</v>
      </c>
      <c r="AI216" s="56">
        <f t="shared" si="66"/>
        <v>0</v>
      </c>
      <c r="AJ216" s="56">
        <f t="shared" si="67"/>
        <v>0</v>
      </c>
      <c r="AK216" s="56">
        <f t="shared" si="68"/>
        <v>0</v>
      </c>
      <c r="AM216" s="56">
        <f t="shared" si="69"/>
        <v>693362</v>
      </c>
      <c r="AN216" s="56">
        <f t="shared" si="70"/>
        <v>78175</v>
      </c>
      <c r="AO216" s="56">
        <f t="shared" si="71"/>
        <v>123984</v>
      </c>
      <c r="AP216" s="56"/>
      <c r="AQ216" s="56">
        <f t="shared" si="72"/>
        <v>895521</v>
      </c>
      <c r="AS216" s="56">
        <v>1227.2882544125489</v>
      </c>
      <c r="AT216" s="56">
        <v>138.37397966531336</v>
      </c>
      <c r="AU216" s="56">
        <v>219.45838816532412</v>
      </c>
      <c r="AV216" s="56"/>
      <c r="AW216" s="56">
        <v>1585.1206222431863</v>
      </c>
      <c r="AY216" s="16">
        <v>-2.509696588652921E-2</v>
      </c>
      <c r="AZ216" s="16">
        <v>0.12592256952246972</v>
      </c>
      <c r="BA216" s="16">
        <v>-1.6134083778291175E-2</v>
      </c>
      <c r="BB216" s="16">
        <f t="shared" si="73"/>
        <v>-1.2286151191543415E-2</v>
      </c>
      <c r="BC216" s="16"/>
      <c r="BE216" s="16">
        <v>3.0488032097427897E-2</v>
      </c>
      <c r="BF216" s="16">
        <v>2.9051626795540297E-2</v>
      </c>
      <c r="BG216" s="16">
        <v>7.529147799679925E-2</v>
      </c>
      <c r="BH216" s="16">
        <f>AQ216/(VLOOKUP($A216,'2016-17'!$A$12:$D$220,4,FALSE))-1</f>
        <v>3.6340047500408978E-2</v>
      </c>
      <c r="BJ216" s="16">
        <v>2.4174221237163396E-2</v>
      </c>
      <c r="BK216" s="16">
        <v>2.2746616805457753E-2</v>
      </c>
      <c r="BL216" s="16">
        <v>6.8703155958834916E-2</v>
      </c>
      <c r="BM216" s="16">
        <v>2.9990381281076672E-2</v>
      </c>
    </row>
    <row r="217" spans="1:65" x14ac:dyDescent="0.2">
      <c r="A217" s="156" t="s">
        <v>479</v>
      </c>
      <c r="B217" s="156" t="s">
        <v>480</v>
      </c>
      <c r="D217" s="56">
        <f>VLOOKUP(A217,'2016-17'!$A$12:$AMX425,32,FALSE)</f>
        <v>500992</v>
      </c>
      <c r="E217" s="56">
        <v>1739.6599300353632</v>
      </c>
      <c r="F217" s="16">
        <f>VLOOKUP(A217,'2016-17'!$A$12:$AMX425,34,FALSE)</f>
        <v>3.0915322630759912E-2</v>
      </c>
      <c r="G217" s="16">
        <f>VLOOKUP(A217,'2016-17'!$A$12:$AMX425,35,FALSE)</f>
        <v>2.6391477655554274E-2</v>
      </c>
      <c r="H217" s="56"/>
      <c r="I217" s="56">
        <v>484330.9044841117</v>
      </c>
      <c r="J217" s="56">
        <v>1681.8054328388357</v>
      </c>
      <c r="K217" s="16">
        <f t="shared" si="57"/>
        <v>3.4400232076115422E-2</v>
      </c>
      <c r="L217" s="58">
        <f t="shared" si="57"/>
        <v>3.4400232076115422E-2</v>
      </c>
      <c r="M217" s="10"/>
      <c r="N217" s="56">
        <v>395173</v>
      </c>
      <c r="O217" s="56">
        <v>36429</v>
      </c>
      <c r="P217" s="56">
        <v>69390</v>
      </c>
      <c r="R217" s="56">
        <f t="shared" si="58"/>
        <v>69390</v>
      </c>
      <c r="S217" s="56">
        <f t="shared" si="59"/>
        <v>0</v>
      </c>
      <c r="U217" s="16">
        <v>5.6808585801521705E-2</v>
      </c>
      <c r="V217" s="16">
        <v>-1.9567328647906002E-2</v>
      </c>
      <c r="W217" s="56">
        <f t="shared" si="60"/>
        <v>3</v>
      </c>
      <c r="X217" s="56">
        <f t="shared" si="61"/>
        <v>3739.305351122659</v>
      </c>
      <c r="Y217" s="56">
        <f t="shared" si="61"/>
        <v>371.5604453466604</v>
      </c>
      <c r="AA217" s="56">
        <f t="shared" si="62"/>
        <v>0</v>
      </c>
      <c r="AB217" s="56">
        <v>0</v>
      </c>
      <c r="AC217" s="56">
        <f t="shared" si="63"/>
        <v>0</v>
      </c>
      <c r="AE217" s="56">
        <v>0</v>
      </c>
      <c r="AF217" s="56">
        <f t="shared" si="64"/>
        <v>0</v>
      </c>
      <c r="AG217" s="56">
        <f t="shared" si="65"/>
        <v>0</v>
      </c>
      <c r="AI217" s="56">
        <f t="shared" si="66"/>
        <v>0</v>
      </c>
      <c r="AJ217" s="56">
        <f t="shared" si="67"/>
        <v>0</v>
      </c>
      <c r="AK217" s="56">
        <f t="shared" si="68"/>
        <v>0</v>
      </c>
      <c r="AM217" s="56">
        <f t="shared" si="69"/>
        <v>395173</v>
      </c>
      <c r="AN217" s="56">
        <f t="shared" si="70"/>
        <v>36429</v>
      </c>
      <c r="AO217" s="56">
        <f t="shared" si="71"/>
        <v>69390</v>
      </c>
      <c r="AP217" s="56"/>
      <c r="AQ217" s="56">
        <f t="shared" si="72"/>
        <v>500992</v>
      </c>
      <c r="AS217" s="56">
        <v>1372.2108008348728</v>
      </c>
      <c r="AT217" s="56">
        <v>126.49717279169776</v>
      </c>
      <c r="AU217" s="56">
        <v>240.95195640879265</v>
      </c>
      <c r="AV217" s="56"/>
      <c r="AW217" s="56">
        <v>1739.6599300353632</v>
      </c>
      <c r="AY217" s="16">
        <v>5.6808585801521705E-2</v>
      </c>
      <c r="AZ217" s="16">
        <v>-1.9567328647906002E-2</v>
      </c>
      <c r="BA217" s="16">
        <v>-5.2622846148800972E-2</v>
      </c>
      <c r="BB217" s="16">
        <f t="shared" si="73"/>
        <v>3.4400232076115422E-2</v>
      </c>
      <c r="BC217" s="16"/>
      <c r="BE217" s="16">
        <v>2.3369895538641661E-2</v>
      </c>
      <c r="BF217" s="16">
        <v>3.5661243295957101E-2</v>
      </c>
      <c r="BG217" s="16">
        <v>7.3404783236300286E-2</v>
      </c>
      <c r="BH217" s="16">
        <f>AQ217/(VLOOKUP($A217,'2016-17'!$A$12:$D$220,4,FALSE))-1</f>
        <v>3.0915322630759912E-2</v>
      </c>
      <c r="BJ217" s="16">
        <v>1.8879161277465917E-2</v>
      </c>
      <c r="BK217" s="16">
        <v>3.1116572352912319E-2</v>
      </c>
      <c r="BL217" s="16">
        <v>6.8694486737249649E-2</v>
      </c>
      <c r="BM217" s="16">
        <v>2.6391477655554274E-2</v>
      </c>
    </row>
    <row r="218" spans="1:65" x14ac:dyDescent="0.2">
      <c r="A218" s="156" t="s">
        <v>481</v>
      </c>
      <c r="B218" s="156" t="s">
        <v>482</v>
      </c>
      <c r="D218" s="56">
        <f>VLOOKUP(A218,'2016-17'!$A$12:$AMX426,32,FALSE)</f>
        <v>374352.6044582593</v>
      </c>
      <c r="E218" s="56">
        <v>1406.3563882478015</v>
      </c>
      <c r="F218" s="16">
        <f>VLOOKUP(A218,'2016-17'!$A$12:$AMX426,34,FALSE)</f>
        <v>3.8370562429086208E-2</v>
      </c>
      <c r="G218" s="16">
        <f>VLOOKUP(A218,'2016-17'!$A$12:$AMX426,35,FALSE)</f>
        <v>2.9682598227716239E-2</v>
      </c>
      <c r="H218" s="56"/>
      <c r="I218" s="56">
        <v>380714.42579271185</v>
      </c>
      <c r="J218" s="56">
        <v>1430.2562836086101</v>
      </c>
      <c r="K218" s="16">
        <f t="shared" si="57"/>
        <v>-1.6710218745208172E-2</v>
      </c>
      <c r="L218" s="58">
        <f t="shared" si="57"/>
        <v>-1.6710218745208394E-2</v>
      </c>
      <c r="M218" s="10"/>
      <c r="N218" s="56">
        <v>278942</v>
      </c>
      <c r="O218" s="56">
        <v>32993</v>
      </c>
      <c r="P218" s="56">
        <v>62258</v>
      </c>
      <c r="R218" s="56">
        <f t="shared" si="58"/>
        <v>62258</v>
      </c>
      <c r="S218" s="56">
        <f t="shared" si="59"/>
        <v>159.60445825930219</v>
      </c>
      <c r="U218" s="16">
        <v>-3.8493806555322863E-2</v>
      </c>
      <c r="V218" s="16">
        <v>9.4107451761015648E-2</v>
      </c>
      <c r="W218" s="56">
        <f t="shared" si="60"/>
        <v>1</v>
      </c>
      <c r="X218" s="56">
        <f t="shared" si="61"/>
        <v>2901.0941572894785</v>
      </c>
      <c r="Y218" s="56">
        <f t="shared" si="61"/>
        <v>301.55173467556835</v>
      </c>
      <c r="AA218" s="56">
        <f t="shared" si="62"/>
        <v>159.60445825930219</v>
      </c>
      <c r="AB218" s="56">
        <v>0</v>
      </c>
      <c r="AC218" s="56">
        <f t="shared" si="63"/>
        <v>0</v>
      </c>
      <c r="AE218" s="56">
        <v>0</v>
      </c>
      <c r="AF218" s="56">
        <f t="shared" si="64"/>
        <v>0</v>
      </c>
      <c r="AG218" s="56">
        <f t="shared" si="65"/>
        <v>0</v>
      </c>
      <c r="AI218" s="56">
        <f t="shared" si="66"/>
        <v>0</v>
      </c>
      <c r="AJ218" s="56">
        <f t="shared" si="67"/>
        <v>0</v>
      </c>
      <c r="AK218" s="56">
        <f t="shared" si="68"/>
        <v>0</v>
      </c>
      <c r="AM218" s="56">
        <f t="shared" si="69"/>
        <v>279102</v>
      </c>
      <c r="AN218" s="56">
        <f t="shared" si="70"/>
        <v>32993</v>
      </c>
      <c r="AO218" s="56">
        <f t="shared" si="71"/>
        <v>62258</v>
      </c>
      <c r="AP218" s="56"/>
      <c r="AQ218" s="56">
        <f t="shared" si="72"/>
        <v>374353</v>
      </c>
      <c r="AS218" s="56">
        <v>1048.5218374285519</v>
      </c>
      <c r="AT218" s="56">
        <v>123.9470909641644</v>
      </c>
      <c r="AU218" s="56">
        <v>233.88894581417111</v>
      </c>
      <c r="AV218" s="56"/>
      <c r="AW218" s="56">
        <v>1406.3578742068873</v>
      </c>
      <c r="AY218" s="16">
        <v>-3.7942290501981502E-2</v>
      </c>
      <c r="AZ218" s="16">
        <v>9.4107451761015648E-2</v>
      </c>
      <c r="BA218" s="16">
        <v>2.9911799693868479E-2</v>
      </c>
      <c r="BB218" s="16">
        <f t="shared" si="73"/>
        <v>-1.670917979917963E-2</v>
      </c>
      <c r="BC218" s="16"/>
      <c r="BE218" s="16">
        <v>3.107990438189967E-2</v>
      </c>
      <c r="BF218" s="16">
        <v>2.9042118881027035E-2</v>
      </c>
      <c r="BG218" s="16">
        <v>7.7717045715502087E-2</v>
      </c>
      <c r="BH218" s="16">
        <f>AQ218/(VLOOKUP($A218,'2016-17'!$A$12:$D$220,4,FALSE))-1</f>
        <v>3.8371659573582795E-2</v>
      </c>
      <c r="BJ218" s="16">
        <v>2.2452940538600918E-2</v>
      </c>
      <c r="BK218" s="16">
        <v>2.0432205027512307E-2</v>
      </c>
      <c r="BL218" s="16">
        <v>6.8699872606820422E-2</v>
      </c>
      <c r="BM218" s="16">
        <v>2.9683686192491843E-2</v>
      </c>
    </row>
    <row r="219" spans="1:65" x14ac:dyDescent="0.2">
      <c r="A219" s="156" t="s">
        <v>483</v>
      </c>
      <c r="B219" s="156" t="s">
        <v>484</v>
      </c>
      <c r="D219" s="56">
        <f>VLOOKUP(A219,'2016-17'!$A$12:$AMX427,32,FALSE)</f>
        <v>333115.32218432939</v>
      </c>
      <c r="E219" s="56">
        <v>1424.3677946162516</v>
      </c>
      <c r="F219" s="16">
        <f>VLOOKUP(A219,'2016-17'!$A$12:$AMX427,34,FALSE)</f>
        <v>4.6795997283265223E-2</v>
      </c>
      <c r="G219" s="16">
        <f>VLOOKUP(A219,'2016-17'!$A$12:$AMX427,35,FALSE)</f>
        <v>3.4496433139783456E-2</v>
      </c>
      <c r="H219" s="56"/>
      <c r="I219" s="56">
        <v>339691.0515674713</v>
      </c>
      <c r="J219" s="56">
        <v>1452.4849556583852</v>
      </c>
      <c r="K219" s="16">
        <f t="shared" si="57"/>
        <v>-1.9357970581794337E-2</v>
      </c>
      <c r="L219" s="58">
        <f t="shared" si="57"/>
        <v>-1.9357970581794115E-2</v>
      </c>
      <c r="M219" s="10"/>
      <c r="N219" s="56">
        <v>254544</v>
      </c>
      <c r="O219" s="56">
        <v>28441</v>
      </c>
      <c r="P219" s="56">
        <v>47310</v>
      </c>
      <c r="R219" s="56">
        <f t="shared" si="58"/>
        <v>47310</v>
      </c>
      <c r="S219" s="56">
        <f t="shared" si="59"/>
        <v>2820.3221843293868</v>
      </c>
      <c r="U219" s="16">
        <v>-2.6292377699771774E-2</v>
      </c>
      <c r="V219" s="16">
        <v>7.0721401134903328E-3</v>
      </c>
      <c r="W219" s="56">
        <f t="shared" si="60"/>
        <v>1</v>
      </c>
      <c r="X219" s="56">
        <f t="shared" si="61"/>
        <v>2614.1728191331254</v>
      </c>
      <c r="Y219" s="56">
        <f t="shared" si="61"/>
        <v>282.41273755021052</v>
      </c>
      <c r="AA219" s="56">
        <f t="shared" si="62"/>
        <v>2820.3221843293868</v>
      </c>
      <c r="AB219" s="56">
        <v>0</v>
      </c>
      <c r="AC219" s="56">
        <f t="shared" si="63"/>
        <v>0</v>
      </c>
      <c r="AE219" s="56">
        <v>0</v>
      </c>
      <c r="AF219" s="56">
        <f t="shared" si="64"/>
        <v>0</v>
      </c>
      <c r="AG219" s="56">
        <f t="shared" si="65"/>
        <v>0</v>
      </c>
      <c r="AI219" s="56">
        <f t="shared" si="66"/>
        <v>0</v>
      </c>
      <c r="AJ219" s="56">
        <f t="shared" si="67"/>
        <v>0</v>
      </c>
      <c r="AK219" s="56">
        <f t="shared" si="68"/>
        <v>0</v>
      </c>
      <c r="AM219" s="56">
        <f t="shared" si="69"/>
        <v>257364</v>
      </c>
      <c r="AN219" s="56">
        <f t="shared" si="70"/>
        <v>28441</v>
      </c>
      <c r="AO219" s="56">
        <f t="shared" si="71"/>
        <v>47310</v>
      </c>
      <c r="AP219" s="56"/>
      <c r="AQ219" s="56">
        <f t="shared" si="72"/>
        <v>333115</v>
      </c>
      <c r="AS219" s="56">
        <v>1100.4627187060742</v>
      </c>
      <c r="AT219" s="56">
        <v>121.61087091714248</v>
      </c>
      <c r="AU219" s="56">
        <v>202.29282736507193</v>
      </c>
      <c r="AV219" s="56"/>
      <c r="AW219" s="56">
        <v>1424.3664169882886</v>
      </c>
      <c r="AY219" s="16">
        <v>-1.5505026613568007E-2</v>
      </c>
      <c r="AZ219" s="16">
        <v>7.0721401134903328E-3</v>
      </c>
      <c r="BA219" s="16">
        <v>-5.4414552986244424E-2</v>
      </c>
      <c r="BB219" s="16">
        <f t="shared" si="73"/>
        <v>-1.9358919044604628E-2</v>
      </c>
      <c r="BC219" s="16"/>
      <c r="BE219" s="16">
        <v>4.1903266134744044E-2</v>
      </c>
      <c r="BF219" s="16">
        <v>3.5649260796737359E-2</v>
      </c>
      <c r="BG219" s="16">
        <v>8.141119778507977E-2</v>
      </c>
      <c r="BH219" s="16">
        <f>AQ219/(VLOOKUP($A219,'2016-17'!$A$12:$D$220,4,FALSE))-1</f>
        <v>4.6794984837292386E-2</v>
      </c>
      <c r="BJ219" s="16">
        <v>2.9661190232289414E-2</v>
      </c>
      <c r="BK219" s="16">
        <v>2.3480667731442972E-2</v>
      </c>
      <c r="BL219" s="16">
        <v>6.8704914586484422E-2</v>
      </c>
      <c r="BM219" s="16">
        <v>3.4495432589771502E-2</v>
      </c>
    </row>
    <row r="220" spans="1:65" x14ac:dyDescent="0.2">
      <c r="A220" s="156" t="s">
        <v>485</v>
      </c>
      <c r="B220" s="156" t="s">
        <v>486</v>
      </c>
      <c r="D220" s="56">
        <f>VLOOKUP(A220,'2016-17'!$A$12:$AMX428,32,FALSE)</f>
        <v>732091.50274047721</v>
      </c>
      <c r="E220" s="56">
        <v>1497.6519008025546</v>
      </c>
      <c r="F220" s="16">
        <f>VLOOKUP(A220,'2016-17'!$A$12:$AMX428,34,FALSE)</f>
        <v>5.8511212518812528E-2</v>
      </c>
      <c r="G220" s="16">
        <f>VLOOKUP(A220,'2016-17'!$A$12:$AMX428,35,FALSE)</f>
        <v>5.2449763211557698E-2</v>
      </c>
      <c r="H220" s="56"/>
      <c r="I220" s="56">
        <v>755655.62994531146</v>
      </c>
      <c r="J220" s="56">
        <v>1545.8574321698318</v>
      </c>
      <c r="K220" s="16">
        <f t="shared" si="57"/>
        <v>-3.118368509547087E-2</v>
      </c>
      <c r="L220" s="58">
        <f t="shared" si="57"/>
        <v>-3.118368509547087E-2</v>
      </c>
      <c r="M220" s="10"/>
      <c r="N220" s="56">
        <v>564014</v>
      </c>
      <c r="O220" s="56">
        <v>58902</v>
      </c>
      <c r="P220" s="56">
        <v>101512</v>
      </c>
      <c r="R220" s="56">
        <f t="shared" si="58"/>
        <v>101512</v>
      </c>
      <c r="S220" s="56">
        <f t="shared" si="59"/>
        <v>7663.5027404772118</v>
      </c>
      <c r="U220" s="16">
        <v>-4.4466763725441782E-2</v>
      </c>
      <c r="V220" s="16">
        <v>3.1680642527720515E-4</v>
      </c>
      <c r="W220" s="56">
        <f t="shared" si="60"/>
        <v>1</v>
      </c>
      <c r="X220" s="56">
        <f t="shared" si="61"/>
        <v>5902.609962568994</v>
      </c>
      <c r="Y220" s="56">
        <f t="shared" si="61"/>
        <v>588.83345377842477</v>
      </c>
      <c r="AA220" s="56">
        <f t="shared" si="62"/>
        <v>7663.5027404772118</v>
      </c>
      <c r="AB220" s="56">
        <v>0</v>
      </c>
      <c r="AC220" s="56">
        <f t="shared" si="63"/>
        <v>0</v>
      </c>
      <c r="AE220" s="56">
        <v>0</v>
      </c>
      <c r="AF220" s="56">
        <f t="shared" si="64"/>
        <v>0</v>
      </c>
      <c r="AG220" s="56">
        <f>AC220-AE220-AF220</f>
        <v>0</v>
      </c>
      <c r="AI220" s="56">
        <f t="shared" si="66"/>
        <v>0</v>
      </c>
      <c r="AJ220" s="56">
        <f t="shared" si="67"/>
        <v>0</v>
      </c>
      <c r="AK220" s="56">
        <f t="shared" si="68"/>
        <v>0</v>
      </c>
      <c r="AM220" s="56">
        <f t="shared" si="69"/>
        <v>571678</v>
      </c>
      <c r="AN220" s="56">
        <f t="shared" si="70"/>
        <v>58902</v>
      </c>
      <c r="AO220" s="56">
        <f t="shared" si="71"/>
        <v>101512</v>
      </c>
      <c r="AP220" s="56"/>
      <c r="AQ220" s="56">
        <f t="shared" si="72"/>
        <v>732092</v>
      </c>
      <c r="AS220" s="56">
        <v>1169.4913001203245</v>
      </c>
      <c r="AT220" s="56">
        <v>120.49681212096208</v>
      </c>
      <c r="AU220" s="56">
        <v>207.6648058134376</v>
      </c>
      <c r="AV220" s="56"/>
      <c r="AW220" s="56">
        <v>1497.6529180547241</v>
      </c>
      <c r="AY220" s="16">
        <v>-3.1482676942475085E-2</v>
      </c>
      <c r="AZ220" s="16">
        <v>3.1680642527720515E-4</v>
      </c>
      <c r="BA220" s="16">
        <v>-4.6936699291368456E-2</v>
      </c>
      <c r="BB220" s="16">
        <f t="shared" si="73"/>
        <v>-3.1183027045026845E-2</v>
      </c>
      <c r="BC220" s="16"/>
      <c r="BE220" s="16">
        <v>5.8060351600254245E-2</v>
      </c>
      <c r="BF220" s="16">
        <v>3.5657769806941575E-2</v>
      </c>
      <c r="BG220" s="16">
        <v>7.4858432780076312E-2</v>
      </c>
      <c r="BH220" s="16">
        <f>AQ220/(VLOOKUP($A220,'2016-17'!$A$12:$D$220,4,FALSE))-1</f>
        <v>5.8511931492845726E-2</v>
      </c>
      <c r="BJ220" s="16">
        <v>5.2001484099002182E-2</v>
      </c>
      <c r="BK220" s="16">
        <v>2.9727188253241055E-2</v>
      </c>
      <c r="BL220" s="16">
        <v>6.8703372894344472E-2</v>
      </c>
      <c r="BM220" s="16">
        <v>5.2450478068464257E-2</v>
      </c>
    </row>
    <row r="221" spans="1:65" x14ac:dyDescent="0.2">
      <c r="A221" s="156"/>
      <c r="B221" s="156"/>
      <c r="D221" s="56"/>
      <c r="E221" s="56"/>
      <c r="F221" s="16"/>
      <c r="G221" s="16"/>
      <c r="H221" s="56"/>
      <c r="I221" s="56"/>
      <c r="J221" s="56"/>
      <c r="K221" s="16"/>
      <c r="L221" s="58"/>
      <c r="M221" s="10"/>
      <c r="N221" s="56"/>
      <c r="O221" s="56"/>
      <c r="P221" s="56"/>
      <c r="R221" s="56"/>
      <c r="S221" s="56"/>
      <c r="U221" s="56"/>
      <c r="V221" s="56"/>
      <c r="W221" s="56"/>
      <c r="X221" s="56"/>
      <c r="Y221" s="56"/>
      <c r="AA221" s="56"/>
      <c r="AB221" s="56"/>
      <c r="AC221" s="56"/>
      <c r="AE221" s="56"/>
      <c r="AF221" s="56"/>
      <c r="AG221" s="56"/>
      <c r="AI221" s="56"/>
      <c r="AJ221" s="56"/>
      <c r="AK221" s="56"/>
      <c r="AM221" s="56"/>
      <c r="AN221" s="56"/>
      <c r="AO221" s="56"/>
      <c r="AP221" s="56"/>
      <c r="AQ221" s="56"/>
      <c r="AS221" s="56"/>
      <c r="AT221" s="56"/>
      <c r="AU221" s="56"/>
      <c r="AV221" s="56"/>
      <c r="AW221" s="56"/>
      <c r="AY221" s="56"/>
      <c r="AZ221" s="56"/>
      <c r="BA221" s="56"/>
      <c r="BB221" s="56"/>
      <c r="BC221" s="56"/>
      <c r="BE221" s="56"/>
      <c r="BF221" s="56"/>
      <c r="BG221" s="56"/>
      <c r="BH221" s="56"/>
      <c r="BJ221" s="56"/>
      <c r="BK221" s="56"/>
      <c r="BL221" s="56"/>
      <c r="BM221" s="56"/>
    </row>
    <row r="222" spans="1:65" s="43" customFormat="1" x14ac:dyDescent="0.2">
      <c r="A222" s="2"/>
      <c r="B222" s="59" t="s">
        <v>12</v>
      </c>
      <c r="D222" s="24">
        <f>SUM(D12:D220)</f>
        <v>92393044.184634805</v>
      </c>
      <c r="E222" s="61">
        <v>1599.6618451298448</v>
      </c>
      <c r="F222" s="24"/>
      <c r="G222" s="25"/>
      <c r="H222" s="21"/>
      <c r="I222" s="24">
        <f>SUM(I12:I220)</f>
        <v>92393127.90849492</v>
      </c>
      <c r="J222" s="61">
        <v>1599.6632946963757</v>
      </c>
      <c r="K222" s="25">
        <f t="shared" ref="K222:L222" si="74">D222/I222-1</f>
        <v>-9.0616977699298218E-7</v>
      </c>
      <c r="L222" s="62">
        <f t="shared" si="74"/>
        <v>-9.0616977699298218E-7</v>
      </c>
      <c r="M222" s="63"/>
      <c r="N222" s="24">
        <f t="shared" ref="N222:P222" si="75">SUM(N12:N220)</f>
        <v>70245190</v>
      </c>
      <c r="O222" s="24">
        <f t="shared" si="75"/>
        <v>7323728</v>
      </c>
      <c r="P222" s="24">
        <f t="shared" si="75"/>
        <v>14507484</v>
      </c>
      <c r="R222" s="24">
        <f t="shared" ref="R222:S222" si="76">SUM(R12:R220)</f>
        <v>14507484</v>
      </c>
      <c r="S222" s="24">
        <f t="shared" si="76"/>
        <v>316642.18463481672</v>
      </c>
      <c r="U222" s="24"/>
      <c r="V222" s="24"/>
      <c r="W222" s="24"/>
      <c r="X222" s="24"/>
      <c r="Y222" s="24"/>
      <c r="AA222" s="24"/>
      <c r="AB222" s="24"/>
      <c r="AC222" s="24"/>
      <c r="AE222" s="24"/>
      <c r="AF222" s="24"/>
      <c r="AG222" s="24"/>
      <c r="AI222" s="24"/>
      <c r="AJ222" s="24"/>
      <c r="AK222" s="24"/>
      <c r="AM222" s="24">
        <f>SUM(AM12:AM220)</f>
        <v>70541332</v>
      </c>
      <c r="AN222" s="24">
        <f>SUM(AN12:AN220)</f>
        <v>7344230</v>
      </c>
      <c r="AO222" s="24">
        <f>SUM(AO12:AO220)</f>
        <v>14507484</v>
      </c>
      <c r="AP222" s="24"/>
      <c r="AQ222" s="24">
        <f>SUM(AQ12:AQ220)</f>
        <v>92393046</v>
      </c>
      <c r="AS222" s="61">
        <v>1221.3287082470968</v>
      </c>
      <c r="AT222" s="61">
        <v>127.15550847508203</v>
      </c>
      <c r="AU222" s="61">
        <v>251.17765983828352</v>
      </c>
      <c r="AV222" s="61"/>
      <c r="AW222" s="61">
        <v>1599.6618765604621</v>
      </c>
      <c r="AY222" s="25">
        <v>-1.6138645902696869E-4</v>
      </c>
      <c r="AZ222" s="25">
        <v>1.5587497272517847E-3</v>
      </c>
      <c r="BA222" s="25">
        <v>-8.6613249400402381E-6</v>
      </c>
      <c r="BB222" s="25">
        <f t="shared" si="73"/>
        <v>-8.8652150620482928E-7</v>
      </c>
      <c r="BC222" s="25"/>
      <c r="BE222" s="25">
        <v>3.7369768177528684E-2</v>
      </c>
      <c r="BF222" s="177">
        <v>3.9264425125302704E-2</v>
      </c>
      <c r="BG222" s="177">
        <v>7.6896479441228349E-2</v>
      </c>
      <c r="BH222" s="177">
        <f>AQ222/(VLOOKUP($B222,'2016-17'!$B$12:$D$324,3,FALSE))-1</f>
        <v>4.3535174341757576E-2</v>
      </c>
      <c r="BJ222" s="25">
        <v>2.967037886173518E-2</v>
      </c>
      <c r="BK222" s="177">
        <v>3.1550973609213662E-2</v>
      </c>
      <c r="BL222" s="177">
        <v>6.8903721697196829E-2</v>
      </c>
      <c r="BM222" s="177">
        <v>3.5790025197786512E-2</v>
      </c>
    </row>
    <row r="223" spans="1:65" x14ac:dyDescent="0.2">
      <c r="D223" s="3"/>
      <c r="E223" s="3"/>
      <c r="F223" s="3"/>
      <c r="G223" s="3"/>
      <c r="H223" s="3"/>
      <c r="I223" s="3"/>
      <c r="J223" s="3"/>
      <c r="K223" s="3"/>
      <c r="L223" s="4"/>
      <c r="N223" s="3"/>
      <c r="O223" s="3"/>
      <c r="P223" s="3"/>
      <c r="R223" s="3"/>
      <c r="S223" s="3"/>
      <c r="U223" s="3"/>
      <c r="V223" s="3"/>
      <c r="W223" s="3"/>
      <c r="X223" s="3"/>
      <c r="Y223" s="3"/>
      <c r="AA223" s="3"/>
      <c r="AB223" s="3"/>
      <c r="AC223" s="3"/>
      <c r="AE223" s="3"/>
      <c r="AF223" s="3"/>
      <c r="AG223" s="3"/>
      <c r="AI223" s="3"/>
      <c r="AJ223" s="3"/>
      <c r="AK223" s="3"/>
      <c r="AM223" s="3"/>
      <c r="AN223" s="3"/>
      <c r="AO223" s="3"/>
      <c r="AP223" s="3"/>
      <c r="AQ223" s="3"/>
      <c r="AS223" s="3"/>
      <c r="AT223" s="3"/>
      <c r="AU223" s="3"/>
      <c r="AV223" s="3"/>
      <c r="AW223" s="3"/>
      <c r="AY223" s="3"/>
      <c r="AZ223" s="3"/>
      <c r="BA223" s="3"/>
      <c r="BB223" s="3"/>
      <c r="BC223" s="3"/>
      <c r="BE223" s="3"/>
      <c r="BF223" s="3"/>
      <c r="BG223" s="3"/>
      <c r="BH223" s="3"/>
      <c r="BJ223" s="3"/>
      <c r="BK223" s="3"/>
      <c r="BL223" s="3"/>
      <c r="BM223" s="3"/>
    </row>
    <row r="225" spans="2:65" x14ac:dyDescent="0.2">
      <c r="B225" s="43" t="s">
        <v>513</v>
      </c>
      <c r="D225" s="1"/>
    </row>
    <row r="226" spans="2:65" x14ac:dyDescent="0.2">
      <c r="D226" s="1"/>
    </row>
    <row r="227" spans="2:65" x14ac:dyDescent="0.2">
      <c r="B227" s="1" t="s">
        <v>514</v>
      </c>
      <c r="D227" s="55">
        <v>27628410.224880539</v>
      </c>
      <c r="E227" s="166">
        <v>1717.4288873361361</v>
      </c>
      <c r="F227" s="171">
        <f>VLOOKUP(B227,'2016-17'!$B$12:$AMX435,33,FALSE)</f>
        <v>3.755715964140327E-2</v>
      </c>
      <c r="G227" s="171">
        <f>VLOOKUP(B227,'2016-17'!$B$12:$AMX435,34,FALSE)</f>
        <v>3.3184974291520675E-2</v>
      </c>
      <c r="I227" s="175">
        <v>27161533.708415601</v>
      </c>
      <c r="J227" s="175">
        <v>1688.4070504056249</v>
      </c>
      <c r="K227" s="171">
        <f t="shared" ref="K227:K230" si="77">D227/I227-1</f>
        <v>1.7188886366909406E-2</v>
      </c>
      <c r="L227" s="170">
        <f t="shared" ref="L227:L230" si="78">E227/J227-1</f>
        <v>1.7188886366909628E-2</v>
      </c>
      <c r="N227" s="55">
        <v>21368874</v>
      </c>
      <c r="O227" s="55">
        <v>2123201</v>
      </c>
      <c r="P227" s="55">
        <v>4129749</v>
      </c>
      <c r="R227" s="55">
        <v>4129749</v>
      </c>
      <c r="S227" s="55">
        <v>6586.2248805403651</v>
      </c>
      <c r="U227" s="171">
        <v>1.4081455828960587E-2</v>
      </c>
      <c r="V227" s="171">
        <v>7.9495322146110325E-3</v>
      </c>
      <c r="AA227" s="55">
        <v>539.7840300721582</v>
      </c>
      <c r="AB227" s="55">
        <v>0</v>
      </c>
      <c r="AC227" s="55">
        <v>6046.4408504682069</v>
      </c>
      <c r="AE227" s="55">
        <v>0</v>
      </c>
      <c r="AF227" s="55">
        <v>148.31713458750164</v>
      </c>
      <c r="AG227" s="55">
        <v>5898.1237158807053</v>
      </c>
      <c r="AI227" s="55">
        <v>5372.2016224759409</v>
      </c>
      <c r="AJ227" s="55">
        <v>525.92209340476427</v>
      </c>
      <c r="AK227" s="55">
        <v>0</v>
      </c>
      <c r="AM227" s="55">
        <v>21374786</v>
      </c>
      <c r="AN227" s="55">
        <v>2123875</v>
      </c>
      <c r="AO227" s="55">
        <v>4129749</v>
      </c>
      <c r="AP227" s="55"/>
      <c r="AQ227" s="55">
        <v>27628410</v>
      </c>
      <c r="AS227" s="175">
        <v>1328.6929880594223</v>
      </c>
      <c r="AT227" s="175">
        <v>132.02367593363067</v>
      </c>
      <c r="AU227" s="175">
        <v>256.71220936412703</v>
      </c>
      <c r="AV227" s="175"/>
      <c r="AW227" s="175">
        <v>1717.42887335718</v>
      </c>
      <c r="AY227" s="171">
        <v>1.4362015748349055E-2</v>
      </c>
      <c r="AZ227" s="171">
        <v>8.2695009715552104E-3</v>
      </c>
      <c r="BA227" s="171">
        <v>3.6861913154580872E-2</v>
      </c>
      <c r="BB227" s="171">
        <f t="shared" ref="BB227:BB232" si="79">SUM(AM227:AO227)/I227-1</f>
        <v>1.7188878087533999E-2</v>
      </c>
      <c r="BC227" s="171"/>
      <c r="BE227" s="176">
        <v>3.1007938145859004E-2</v>
      </c>
      <c r="BF227" s="176">
        <v>3.6710487209809406E-2</v>
      </c>
      <c r="BG227" s="176">
        <v>7.3295749793795162E-2</v>
      </c>
      <c r="BH227" s="176">
        <f>AQ227/(VLOOKUP($B227,'2016-17'!$B$12:$D$324,3,FALSE))-1</f>
        <v>3.7557151196240923E-2</v>
      </c>
      <c r="BJ227" s="176">
        <v>2.6663350707098576E-2</v>
      </c>
      <c r="BK227" s="176">
        <v>3.234186967184649E-2</v>
      </c>
      <c r="BL227" s="176">
        <v>6.8772964798545777E-2</v>
      </c>
      <c r="BM227" s="176">
        <v>3.3184965881945416E-2</v>
      </c>
    </row>
    <row r="228" spans="2:65" x14ac:dyDescent="0.2">
      <c r="B228" s="1" t="s">
        <v>515</v>
      </c>
      <c r="D228" s="55">
        <v>26973328.690349232</v>
      </c>
      <c r="E228" s="166">
        <v>1546.0387665346088</v>
      </c>
      <c r="F228" s="171">
        <f>VLOOKUP(B228,'2016-17'!$B$12:$AMX436,33,FALSE)</f>
        <v>4.7023325372696156E-2</v>
      </c>
      <c r="G228" s="171">
        <f>VLOOKUP(B228,'2016-17'!$B$12:$AMX436,34,FALSE)</f>
        <v>3.952631446086996E-2</v>
      </c>
      <c r="I228" s="175">
        <v>27434505.879980899</v>
      </c>
      <c r="J228" s="175">
        <v>1572.4722046021598</v>
      </c>
      <c r="K228" s="171">
        <f t="shared" si="77"/>
        <v>-1.6810114665421816E-2</v>
      </c>
      <c r="L228" s="170">
        <f t="shared" si="78"/>
        <v>-1.6810114665421816E-2</v>
      </c>
      <c r="N228" s="55">
        <v>20545751</v>
      </c>
      <c r="O228" s="55">
        <v>2205436</v>
      </c>
      <c r="P228" s="55">
        <v>4047587</v>
      </c>
      <c r="R228" s="55">
        <v>4047587</v>
      </c>
      <c r="S228" s="55">
        <v>174554.69034923858</v>
      </c>
      <c r="U228" s="171">
        <v>-2.2135142711970923E-2</v>
      </c>
      <c r="V228" s="171">
        <v>1.4128208213395999E-2</v>
      </c>
      <c r="AA228" s="55">
        <v>72487.737564243784</v>
      </c>
      <c r="AB228" s="55">
        <v>0</v>
      </c>
      <c r="AC228" s="55">
        <v>102066.95278499478</v>
      </c>
      <c r="AE228" s="55">
        <v>0</v>
      </c>
      <c r="AF228" s="55">
        <v>0</v>
      </c>
      <c r="AG228" s="55">
        <v>102066.95278499478</v>
      </c>
      <c r="AI228" s="55">
        <v>92648.849756323412</v>
      </c>
      <c r="AJ228" s="55">
        <v>9418.1030286713558</v>
      </c>
      <c r="AK228" s="55">
        <v>0</v>
      </c>
      <c r="AM228" s="55">
        <v>20710890</v>
      </c>
      <c r="AN228" s="55">
        <v>2214853</v>
      </c>
      <c r="AO228" s="55">
        <v>4047587</v>
      </c>
      <c r="AP228" s="55"/>
      <c r="AQ228" s="55">
        <v>26973330</v>
      </c>
      <c r="AS228" s="175">
        <v>1187.0925979147069</v>
      </c>
      <c r="AT228" s="175">
        <v>126.94942620858795</v>
      </c>
      <c r="AU228" s="175">
        <v>231.99681747697923</v>
      </c>
      <c r="AV228" s="175"/>
      <c r="AW228" s="175">
        <v>1546.0388416002741</v>
      </c>
      <c r="AY228" s="171">
        <v>-1.4275433681734562E-2</v>
      </c>
      <c r="AZ228" s="171">
        <v>1.8458438307012548E-2</v>
      </c>
      <c r="BA228" s="171">
        <v>-4.7394816349067947E-2</v>
      </c>
      <c r="BB228" s="171">
        <f t="shared" si="79"/>
        <v>-1.681006692806597E-2</v>
      </c>
      <c r="BC228" s="171"/>
      <c r="BE228" s="176">
        <v>4.2385951852287107E-2</v>
      </c>
      <c r="BF228" s="176">
        <v>3.8494327486802149E-2</v>
      </c>
      <c r="BG228" s="176">
        <v>7.6363146508819479E-2</v>
      </c>
      <c r="BH228" s="176">
        <f>AQ228/(VLOOKUP($B228,'2016-17'!$B$12:$D$324,3,FALSE))-1</f>
        <v>4.7023376209391676E-2</v>
      </c>
      <c r="BJ228" s="176">
        <v>3.4922145969463081E-2</v>
      </c>
      <c r="BK228" s="176">
        <v>3.1058386838329399E-2</v>
      </c>
      <c r="BL228" s="176">
        <v>6.8656053401231265E-2</v>
      </c>
      <c r="BM228" s="176">
        <v>3.9526364933559321E-2</v>
      </c>
    </row>
    <row r="229" spans="2:65" x14ac:dyDescent="0.2">
      <c r="B229" s="1" t="s">
        <v>516</v>
      </c>
      <c r="D229" s="55">
        <v>15107235.624745047</v>
      </c>
      <c r="E229" s="166">
        <v>1590.7031975318064</v>
      </c>
      <c r="F229" s="171">
        <f>VLOOKUP(B229,'2016-17'!$B$12:$AMX437,33,FALSE)</f>
        <v>4.5357787781504344E-2</v>
      </c>
      <c r="G229" s="171">
        <f>VLOOKUP(B229,'2016-17'!$B$12:$AMX437,34,FALSE)</f>
        <v>3.139894853348979E-2</v>
      </c>
      <c r="I229" s="175">
        <v>14968223.031785131</v>
      </c>
      <c r="J229" s="175">
        <v>1576.0659878124895</v>
      </c>
      <c r="K229" s="171">
        <f t="shared" si="77"/>
        <v>9.2871807605166001E-3</v>
      </c>
      <c r="L229" s="170">
        <f t="shared" si="78"/>
        <v>9.2871807605166001E-3</v>
      </c>
      <c r="N229" s="55">
        <v>11059460</v>
      </c>
      <c r="O229" s="55">
        <v>1164718</v>
      </c>
      <c r="P229" s="55">
        <v>2815662</v>
      </c>
      <c r="R229" s="55">
        <v>2815662</v>
      </c>
      <c r="S229" s="55">
        <v>67395.624745045614</v>
      </c>
      <c r="U229" s="171">
        <v>1.3745155825581445E-2</v>
      </c>
      <c r="V229" s="171">
        <v>-5.4585504801966778E-2</v>
      </c>
      <c r="AA229" s="55">
        <v>0</v>
      </c>
      <c r="AB229" s="55">
        <v>0</v>
      </c>
      <c r="AC229" s="55">
        <v>67395.624745045614</v>
      </c>
      <c r="AE229" s="55">
        <v>0</v>
      </c>
      <c r="AF229" s="55">
        <v>0</v>
      </c>
      <c r="AG229" s="55">
        <v>67395.624745045614</v>
      </c>
      <c r="AI229" s="55">
        <v>60965.716170590124</v>
      </c>
      <c r="AJ229" s="55">
        <v>6429.9085744554941</v>
      </c>
      <c r="AK229" s="55">
        <v>0</v>
      </c>
      <c r="AM229" s="55">
        <v>11120427</v>
      </c>
      <c r="AN229" s="55">
        <v>1171148</v>
      </c>
      <c r="AO229" s="55">
        <v>2815662</v>
      </c>
      <c r="AP229" s="55"/>
      <c r="AQ229" s="55">
        <v>15107237</v>
      </c>
      <c r="AS229" s="175">
        <v>1170.9156609594854</v>
      </c>
      <c r="AT229" s="175">
        <v>123.31500710371819</v>
      </c>
      <c r="AU229" s="175">
        <v>296.47267427487333</v>
      </c>
      <c r="AV229" s="175"/>
      <c r="AW229" s="175">
        <v>1590.7033423380769</v>
      </c>
      <c r="AY229" s="171">
        <v>1.9333584276447935E-2</v>
      </c>
      <c r="AZ229" s="171">
        <v>-4.9366202615408805E-2</v>
      </c>
      <c r="BA229" s="171">
        <v>-3.9226847410862575E-3</v>
      </c>
      <c r="BB229" s="171">
        <f t="shared" si="79"/>
        <v>9.2872726388211202E-3</v>
      </c>
      <c r="BC229" s="171"/>
      <c r="BE229" s="176">
        <v>3.5930010251180144E-2</v>
      </c>
      <c r="BF229" s="176">
        <v>4.7812811868233274E-2</v>
      </c>
      <c r="BG229" s="176">
        <v>8.3237967522644452E-2</v>
      </c>
      <c r="BH229" s="176">
        <f>AQ229/(VLOOKUP($B229,'2016-17'!$B$12:$D$324,3,FALSE))-1</f>
        <v>4.5357882943419581E-2</v>
      </c>
      <c r="BJ229" s="176">
        <v>2.2097061710203647E-2</v>
      </c>
      <c r="BK229" s="176">
        <v>3.3821190268590096E-2</v>
      </c>
      <c r="BL229" s="176">
        <v>6.877330783126312E-2</v>
      </c>
      <c r="BM229" s="176">
        <v>3.1399042424691714E-2</v>
      </c>
    </row>
    <row r="230" spans="2:65" x14ac:dyDescent="0.2">
      <c r="B230" s="1" t="s">
        <v>517</v>
      </c>
      <c r="D230" s="55">
        <v>22684069.644659989</v>
      </c>
      <c r="E230" s="166">
        <v>1540.3213786544206</v>
      </c>
      <c r="F230" s="171">
        <f>VLOOKUP(B230,'2016-17'!$B$12:$AMX438,33,FALSE)</f>
        <v>4.5516197415391479E-2</v>
      </c>
      <c r="G230" s="171">
        <f>VLOOKUP(B230,'2016-17'!$B$12:$AMX438,34,FALSE)</f>
        <v>3.7767279084046201E-2</v>
      </c>
      <c r="I230" s="175">
        <v>22828865.288313325</v>
      </c>
      <c r="J230" s="175">
        <v>1550.1534691456329</v>
      </c>
      <c r="K230" s="171">
        <f t="shared" si="77"/>
        <v>-6.3426561865719266E-3</v>
      </c>
      <c r="L230" s="170">
        <f t="shared" si="78"/>
        <v>-6.3426561865718156E-3</v>
      </c>
      <c r="N230" s="55">
        <v>17271105</v>
      </c>
      <c r="O230" s="55">
        <v>1830373</v>
      </c>
      <c r="P230" s="55">
        <v>3514486</v>
      </c>
      <c r="R230" s="55">
        <v>3514486</v>
      </c>
      <c r="S230" s="55">
        <v>68105.644659992249</v>
      </c>
      <c r="U230" s="171">
        <v>-1.6465038881544491E-2</v>
      </c>
      <c r="V230" s="171">
        <v>5.8831326372403847E-3</v>
      </c>
      <c r="AA230" s="55">
        <v>25103.492187297379</v>
      </c>
      <c r="AB230" s="55">
        <v>0</v>
      </c>
      <c r="AC230" s="55">
        <v>43002.15247269487</v>
      </c>
      <c r="AE230" s="55">
        <v>0</v>
      </c>
      <c r="AF230" s="55">
        <v>0</v>
      </c>
      <c r="AG230" s="55">
        <v>43002.15247269487</v>
      </c>
      <c r="AI230" s="55">
        <v>39020.834076096558</v>
      </c>
      <c r="AJ230" s="55">
        <v>3981.3183965983162</v>
      </c>
      <c r="AK230" s="55">
        <v>0</v>
      </c>
      <c r="AM230" s="55">
        <v>17335229</v>
      </c>
      <c r="AN230" s="55">
        <v>1834354</v>
      </c>
      <c r="AO230" s="55">
        <v>3514486</v>
      </c>
      <c r="AP230" s="55"/>
      <c r="AQ230" s="55">
        <v>22684069</v>
      </c>
      <c r="AS230" s="175">
        <v>1177.1178739462173</v>
      </c>
      <c r="AT230" s="175">
        <v>124.55854379222447</v>
      </c>
      <c r="AU230" s="175">
        <v>238.64491714148949</v>
      </c>
      <c r="AV230" s="175"/>
      <c r="AW230" s="175">
        <v>1540.3213348799313</v>
      </c>
      <c r="AY230" s="171">
        <v>-1.2813379312179407E-2</v>
      </c>
      <c r="AZ230" s="171">
        <v>8.0708947769947414E-3</v>
      </c>
      <c r="BA230" s="171">
        <v>1.8997977879899208E-2</v>
      </c>
      <c r="BB230" s="171">
        <f t="shared" si="79"/>
        <v>-6.3426844253818837E-3</v>
      </c>
      <c r="BC230" s="171"/>
      <c r="BE230" s="176">
        <v>4.0231083648787358E-2</v>
      </c>
      <c r="BF230" s="176">
        <v>3.7748272317521536E-2</v>
      </c>
      <c r="BG230" s="176">
        <v>7.6705538010970464E-2</v>
      </c>
      <c r="BH230" s="176">
        <f>AQ230/(VLOOKUP($B230,'2016-17'!$B$12:$D$324,3,FALSE))-1</f>
        <v>4.5516167702801535E-2</v>
      </c>
      <c r="BJ230" s="176">
        <v>3.2521336317423044E-2</v>
      </c>
      <c r="BK230" s="176">
        <v>3.0056926520524607E-2</v>
      </c>
      <c r="BL230" s="176">
        <v>6.8725457643416421E-2</v>
      </c>
      <c r="BM230" s="176">
        <v>3.7767249591673213E-2</v>
      </c>
    </row>
    <row r="231" spans="2:65" ht="15" x14ac:dyDescent="0.25">
      <c r="B231"/>
      <c r="D231" s="1"/>
      <c r="N231" s="1"/>
      <c r="O231" s="1"/>
      <c r="P231" s="1"/>
      <c r="R231" s="1"/>
      <c r="S231" s="1"/>
      <c r="AA231" s="1"/>
      <c r="AB231" s="1"/>
      <c r="AC231" s="1"/>
      <c r="AE231" s="1"/>
      <c r="AF231" s="1"/>
      <c r="AG231" s="1"/>
      <c r="AI231" s="1"/>
      <c r="AJ231" s="1"/>
      <c r="AK231" s="1"/>
      <c r="AM231" s="1"/>
      <c r="AN231" s="1"/>
      <c r="AO231" s="1"/>
      <c r="AP231" s="1"/>
      <c r="AQ231" s="1"/>
      <c r="BE231" s="1"/>
      <c r="BF231" s="1"/>
      <c r="BG231" s="1"/>
      <c r="BH231" s="1"/>
      <c r="BJ231" s="1"/>
      <c r="BK231" s="1"/>
      <c r="BL231" s="1"/>
      <c r="BM231" s="1"/>
    </row>
    <row r="232" spans="2:65" x14ac:dyDescent="0.2">
      <c r="B232" s="1" t="s">
        <v>12</v>
      </c>
      <c r="D232" s="172">
        <f>SUM(D227:D230)</f>
        <v>92393044.184634805</v>
      </c>
      <c r="E232" s="166">
        <v>1599.6618451298448</v>
      </c>
      <c r="F232" s="171">
        <f>VLOOKUP(B232,'2016-17'!$B$12:$AMX440,33,FALSE)</f>
        <v>4.3535153838077711E-2</v>
      </c>
      <c r="G232" s="171">
        <f>VLOOKUP(B232,'2016-17'!$B$12:$AMX440,34,FALSE)</f>
        <v>3.5790004846285806E-2</v>
      </c>
      <c r="I232" s="175">
        <f>SUM(I227:I230)</f>
        <v>92393127.908494964</v>
      </c>
      <c r="J232" s="175">
        <v>1599.6632946963764</v>
      </c>
      <c r="K232" s="171">
        <f t="shared" ref="K232" si="80">D232/I232-1</f>
        <v>-9.0616977754809369E-7</v>
      </c>
      <c r="L232" s="170">
        <f t="shared" ref="L232" si="81">E232/J232-1</f>
        <v>-9.0616977732604909E-7</v>
      </c>
      <c r="N232" s="172">
        <f>SUM(N227:N230)</f>
        <v>70245190</v>
      </c>
      <c r="O232" s="172">
        <f>SUM(O227:O230)</f>
        <v>7323728</v>
      </c>
      <c r="P232" s="172">
        <f>SUM(P227:P230)</f>
        <v>14507484</v>
      </c>
      <c r="R232" s="172">
        <f>SUM(R227:R230)</f>
        <v>14507484</v>
      </c>
      <c r="S232" s="172">
        <f>SUM(S227:S230)</f>
        <v>316642.18463481683</v>
      </c>
      <c r="U232" s="171">
        <v>-4.358843443412419E-3</v>
      </c>
      <c r="V232" s="171">
        <v>-1.2371808858836486E-3</v>
      </c>
      <c r="AA232" s="172">
        <f>SUM(AA227:AA230)</f>
        <v>98131.013781613321</v>
      </c>
      <c r="AB232" s="172">
        <f>SUM(AB227:AB230)</f>
        <v>0</v>
      </c>
      <c r="AC232" s="172">
        <f>SUM(AC227:AC230)</f>
        <v>218511.17085320345</v>
      </c>
      <c r="AE232" s="172">
        <f>SUM(AE227:AE230)</f>
        <v>0</v>
      </c>
      <c r="AF232" s="172">
        <f>SUM(AF227:AF230)</f>
        <v>148.31713458750164</v>
      </c>
      <c r="AG232" s="172">
        <f>SUM(AG227:AG230)</f>
        <v>218362.85371861595</v>
      </c>
      <c r="AI232" s="172">
        <f>SUM(AI227:AI230)</f>
        <v>198007.60162548604</v>
      </c>
      <c r="AJ232" s="172">
        <f>SUM(AJ227:AJ230)</f>
        <v>20355.25209312993</v>
      </c>
      <c r="AK232" s="172">
        <f>SUM(AK227:AK230)</f>
        <v>0</v>
      </c>
      <c r="AM232" s="172">
        <f>SUM(AM227:AM230)</f>
        <v>70541332</v>
      </c>
      <c r="AN232" s="172">
        <f>SUM(AN227:AN230)</f>
        <v>7344230</v>
      </c>
      <c r="AO232" s="172">
        <f>SUM(AO227:AO230)</f>
        <v>14507484</v>
      </c>
      <c r="AP232" s="172"/>
      <c r="AQ232" s="172">
        <f>SUM(AQ227:AQ230)</f>
        <v>92393046</v>
      </c>
      <c r="AS232" s="175">
        <v>1221.3287082470968</v>
      </c>
      <c r="AT232" s="175">
        <v>127.15550847508203</v>
      </c>
      <c r="AU232" s="175">
        <v>251.17765983828352</v>
      </c>
      <c r="AV232" s="175"/>
      <c r="AW232" s="175">
        <v>1599.6618765604621</v>
      </c>
      <c r="AY232" s="171">
        <v>-1.6138645902696869E-4</v>
      </c>
      <c r="AZ232" s="171">
        <v>1.5587497272517847E-3</v>
      </c>
      <c r="BA232" s="171">
        <v>-8.6613249400402381E-6</v>
      </c>
      <c r="BB232" s="171">
        <f t="shared" si="79"/>
        <v>-8.8652150675994079E-7</v>
      </c>
      <c r="BC232" s="171"/>
      <c r="BE232" s="176">
        <v>3.7369768177528684E-2</v>
      </c>
      <c r="BF232" s="176">
        <v>3.9264425125302704E-2</v>
      </c>
      <c r="BG232" s="176">
        <v>7.6896479441228349E-2</v>
      </c>
      <c r="BH232" s="176">
        <f>AQ232/(VLOOKUP($B232,'2016-17'!$B$12:$D$324,3,FALSE))-1</f>
        <v>4.3535174341757576E-2</v>
      </c>
      <c r="BJ232" s="176">
        <v>2.967037886173518E-2</v>
      </c>
      <c r="BK232" s="176">
        <v>3.1550973609213662E-2</v>
      </c>
      <c r="BL232" s="176">
        <v>6.8903721697196829E-2</v>
      </c>
      <c r="BM232" s="176">
        <v>3.5790025197786512E-2</v>
      </c>
    </row>
    <row r="233" spans="2:65" ht="15" x14ac:dyDescent="0.25">
      <c r="B233"/>
      <c r="D233" s="1"/>
      <c r="N233" s="1"/>
      <c r="O233" s="1"/>
      <c r="P233" s="1"/>
      <c r="R233" s="1"/>
      <c r="S233" s="1"/>
      <c r="AA233" s="1"/>
      <c r="AB233" s="1"/>
      <c r="AC233" s="1"/>
      <c r="AE233" s="1"/>
      <c r="AF233" s="1"/>
      <c r="AG233" s="1"/>
      <c r="AI233" s="1"/>
      <c r="AJ233" s="1"/>
      <c r="AK233" s="1"/>
      <c r="AM233" s="1"/>
      <c r="AN233" s="1"/>
      <c r="AO233" s="1"/>
      <c r="AP233" s="1"/>
      <c r="AQ233" s="1"/>
      <c r="BE233" s="1"/>
      <c r="BF233" s="1"/>
      <c r="BG233" s="1"/>
      <c r="BH233" s="1"/>
      <c r="BJ233" s="1"/>
      <c r="BK233" s="1"/>
      <c r="BL233" s="1"/>
      <c r="BM233" s="1"/>
    </row>
    <row r="234" spans="2:65" x14ac:dyDescent="0.2">
      <c r="B234" s="43" t="s">
        <v>518</v>
      </c>
      <c r="D234" s="1"/>
      <c r="N234" s="1"/>
      <c r="O234" s="1"/>
      <c r="P234" s="1"/>
      <c r="R234" s="1"/>
      <c r="S234" s="1"/>
      <c r="AA234" s="1"/>
      <c r="AB234" s="1"/>
      <c r="AC234" s="1"/>
      <c r="AE234" s="1"/>
      <c r="AF234" s="1"/>
      <c r="AG234" s="1"/>
      <c r="AI234" s="1"/>
      <c r="AJ234" s="1"/>
      <c r="AK234" s="1"/>
      <c r="AM234" s="1"/>
      <c r="AN234" s="1"/>
      <c r="AO234" s="1"/>
      <c r="AP234" s="1"/>
      <c r="AQ234" s="1"/>
      <c r="BE234" s="1"/>
      <c r="BF234" s="1"/>
      <c r="BG234" s="1"/>
      <c r="BH234" s="1"/>
      <c r="BJ234" s="1"/>
      <c r="BK234" s="1"/>
      <c r="BL234" s="1"/>
      <c r="BM234" s="1"/>
    </row>
    <row r="235" spans="2:65" x14ac:dyDescent="0.2">
      <c r="D235" s="1"/>
      <c r="N235" s="1"/>
      <c r="O235" s="1"/>
      <c r="P235" s="1"/>
      <c r="R235" s="1"/>
      <c r="S235" s="1"/>
      <c r="AA235" s="1"/>
      <c r="AB235" s="1"/>
      <c r="AC235" s="1"/>
      <c r="AE235" s="1"/>
      <c r="AF235" s="1"/>
      <c r="AG235" s="1"/>
      <c r="AI235" s="1"/>
      <c r="AJ235" s="1"/>
      <c r="AK235" s="1"/>
      <c r="AM235" s="1"/>
      <c r="AN235" s="1"/>
      <c r="AO235" s="1"/>
      <c r="AP235" s="1"/>
      <c r="AQ235" s="1"/>
      <c r="BE235" s="1"/>
      <c r="BF235" s="1"/>
      <c r="BG235" s="1"/>
      <c r="BH235" s="1"/>
      <c r="BJ235" s="1"/>
      <c r="BK235" s="1"/>
      <c r="BL235" s="1"/>
      <c r="BM235" s="1"/>
    </row>
    <row r="236" spans="2:65" x14ac:dyDescent="0.2">
      <c r="B236" s="1" t="s">
        <v>519</v>
      </c>
      <c r="D236" s="55">
        <v>2211173</v>
      </c>
      <c r="E236" s="166">
        <v>1782.2044999468217</v>
      </c>
      <c r="F236" s="171">
        <f>VLOOKUP(B236,'2016-17'!$B$12:$AMX444,33,FALSE)</f>
        <v>3.593360257456224E-2</v>
      </c>
      <c r="G236" s="171">
        <f>VLOOKUP(B236,'2016-17'!$B$12:$AMX444,34,FALSE)</f>
        <v>3.2237691418104397E-2</v>
      </c>
      <c r="I236" s="175">
        <v>2172821.3013238735</v>
      </c>
      <c r="J236" s="175">
        <v>1751.2930470839308</v>
      </c>
      <c r="K236" s="171">
        <f t="shared" ref="K236:K260" si="82">D236/I236-1</f>
        <v>1.7650645569775802E-2</v>
      </c>
      <c r="L236" s="170">
        <f t="shared" ref="L236:L260" si="83">E236/J236-1</f>
        <v>1.765064556977558E-2</v>
      </c>
      <c r="N236" s="55">
        <v>1736104</v>
      </c>
      <c r="O236" s="55">
        <v>173717</v>
      </c>
      <c r="P236" s="55">
        <v>301352</v>
      </c>
      <c r="R236" s="55">
        <v>301352</v>
      </c>
      <c r="S236" s="55">
        <v>0</v>
      </c>
      <c r="U236" s="171">
        <v>1.6181373358117312E-2</v>
      </c>
      <c r="V236" s="171">
        <v>6.1597304121904006E-2</v>
      </c>
      <c r="AA236" s="55">
        <v>0</v>
      </c>
      <c r="AB236" s="55">
        <v>0</v>
      </c>
      <c r="AC236" s="55">
        <v>0</v>
      </c>
      <c r="AE236" s="55">
        <v>0</v>
      </c>
      <c r="AF236" s="55">
        <v>0</v>
      </c>
      <c r="AG236" s="55">
        <v>0</v>
      </c>
      <c r="AI236" s="55">
        <v>0</v>
      </c>
      <c r="AJ236" s="55">
        <v>0</v>
      </c>
      <c r="AK236" s="55">
        <v>0</v>
      </c>
      <c r="AM236" s="55">
        <v>1736104</v>
      </c>
      <c r="AN236" s="55">
        <v>173717</v>
      </c>
      <c r="AO236" s="55">
        <v>301352</v>
      </c>
      <c r="AP236" s="55"/>
      <c r="AQ236" s="55">
        <v>2211173</v>
      </c>
      <c r="AS236" s="175">
        <v>1399.2990874869026</v>
      </c>
      <c r="AT236" s="175">
        <v>140.015828303467</v>
      </c>
      <c r="AU236" s="175">
        <v>242.88958415645206</v>
      </c>
      <c r="AV236" s="175"/>
      <c r="AW236" s="175">
        <v>1782.2044999468217</v>
      </c>
      <c r="AY236" s="171">
        <v>1.6181373358117312E-2</v>
      </c>
      <c r="AZ236" s="171">
        <v>6.1597304121904006E-2</v>
      </c>
      <c r="BA236" s="171">
        <v>2.0845206368755864E-3</v>
      </c>
      <c r="BB236" s="171">
        <f t="shared" ref="BB236:BB260" si="84">SUM(AM236:AO236)/I236-1</f>
        <v>1.7650645569775802E-2</v>
      </c>
      <c r="BC236" s="171"/>
      <c r="BE236" s="176">
        <v>3.0176144292752172E-2</v>
      </c>
      <c r="BF236" s="176">
        <v>3.2714280618735714E-2</v>
      </c>
      <c r="BG236" s="176">
        <v>7.2388850953272632E-2</v>
      </c>
      <c r="BH236" s="176">
        <f>AQ236/(VLOOKUP($B236,'2016-17'!$B$12:$D$324,3,FALSE))-1</f>
        <v>3.593360257456224E-2</v>
      </c>
      <c r="BJ236" s="176">
        <v>2.6500774080466805E-2</v>
      </c>
      <c r="BK236" s="176">
        <v>2.9029855070914712E-2</v>
      </c>
      <c r="BL236" s="176">
        <v>6.8562878025616891E-2</v>
      </c>
      <c r="BM236" s="176">
        <v>3.2237691418104397E-2</v>
      </c>
    </row>
    <row r="237" spans="2:65" x14ac:dyDescent="0.2">
      <c r="B237" s="1" t="s">
        <v>520</v>
      </c>
      <c r="D237" s="55">
        <v>3616803.3171345876</v>
      </c>
      <c r="E237" s="166">
        <v>1796.0921023311244</v>
      </c>
      <c r="F237" s="171">
        <f>VLOOKUP(B237,'2016-17'!$B$12:$AMX445,33,FALSE)</f>
        <v>3.2900897784184036E-2</v>
      </c>
      <c r="G237" s="171">
        <f>VLOOKUP(B237,'2016-17'!$B$12:$AMX445,34,FALSE)</f>
        <v>3.0767578680458874E-2</v>
      </c>
      <c r="I237" s="175">
        <v>3477647.9656549813</v>
      </c>
      <c r="J237" s="175">
        <v>1726.9880328326356</v>
      </c>
      <c r="K237" s="171">
        <f t="shared" si="82"/>
        <v>4.001421445008102E-2</v>
      </c>
      <c r="L237" s="170">
        <f t="shared" si="83"/>
        <v>4.001421445008102E-2</v>
      </c>
      <c r="N237" s="55">
        <v>2864679</v>
      </c>
      <c r="O237" s="55">
        <v>269285</v>
      </c>
      <c r="P237" s="55">
        <v>482691</v>
      </c>
      <c r="R237" s="55">
        <v>482691</v>
      </c>
      <c r="S237" s="55">
        <v>148.31713458750164</v>
      </c>
      <c r="U237" s="171">
        <v>5.0816003625093531E-2</v>
      </c>
      <c r="V237" s="171">
        <v>2.5621976022786708E-2</v>
      </c>
      <c r="AA237" s="55">
        <v>0</v>
      </c>
      <c r="AB237" s="55">
        <v>0</v>
      </c>
      <c r="AC237" s="55">
        <v>148.31713458750164</v>
      </c>
      <c r="AE237" s="55">
        <v>0</v>
      </c>
      <c r="AF237" s="55">
        <v>148.31713458750164</v>
      </c>
      <c r="AG237" s="55">
        <v>0</v>
      </c>
      <c r="AI237" s="55">
        <v>0</v>
      </c>
      <c r="AJ237" s="55">
        <v>0</v>
      </c>
      <c r="AK237" s="55">
        <v>0</v>
      </c>
      <c r="AM237" s="55">
        <v>2864679</v>
      </c>
      <c r="AN237" s="55">
        <v>269433</v>
      </c>
      <c r="AO237" s="55">
        <v>482691</v>
      </c>
      <c r="AP237" s="55"/>
      <c r="AQ237" s="55">
        <v>3616803</v>
      </c>
      <c r="AS237" s="175">
        <v>1422.5897502466707</v>
      </c>
      <c r="AT237" s="175">
        <v>133.79950220538191</v>
      </c>
      <c r="AU237" s="175">
        <v>239.70269239112505</v>
      </c>
      <c r="AV237" s="175"/>
      <c r="AW237" s="175">
        <v>1796.0919448431775</v>
      </c>
      <c r="AY237" s="171">
        <v>5.0816003625093531E-2</v>
      </c>
      <c r="AZ237" s="171">
        <v>2.6185661532381888E-2</v>
      </c>
      <c r="BA237" s="171">
        <v>-1.2786998633248836E-2</v>
      </c>
      <c r="BB237" s="171">
        <f t="shared" si="84"/>
        <v>4.0014123257818168E-2</v>
      </c>
      <c r="BC237" s="171"/>
      <c r="BE237" s="176">
        <v>2.6628131899777863E-2</v>
      </c>
      <c r="BF237" s="176">
        <v>3.4172648063562683E-2</v>
      </c>
      <c r="BG237" s="176">
        <v>7.1001786037431236E-2</v>
      </c>
      <c r="BH237" s="176">
        <f>AQ237/(VLOOKUP($B237,'2016-17'!$B$12:$D$324,3,FALSE))-1</f>
        <v>3.2900807215642702E-2</v>
      </c>
      <c r="BJ237" s="176">
        <v>2.4507768357736381E-2</v>
      </c>
      <c r="BK237" s="176">
        <v>3.2036702329178324E-2</v>
      </c>
      <c r="BL237" s="176">
        <v>6.8789774628419398E-2</v>
      </c>
      <c r="BM237" s="176">
        <v>3.0767488298974799E-2</v>
      </c>
    </row>
    <row r="238" spans="2:65" x14ac:dyDescent="0.2">
      <c r="B238" s="1" t="s">
        <v>55</v>
      </c>
      <c r="D238" s="55">
        <v>2660986.0506025739</v>
      </c>
      <c r="E238" s="166">
        <v>1737.310432884789</v>
      </c>
      <c r="F238" s="171">
        <f>VLOOKUP(B238,'2016-17'!$B$12:$AMX446,33,FALSE)</f>
        <v>3.8327719003770966E-2</v>
      </c>
      <c r="G238" s="171">
        <f>VLOOKUP(B238,'2016-17'!$B$12:$AMX446,34,FALSE)</f>
        <v>3.5819553855967134E-2</v>
      </c>
      <c r="I238" s="175">
        <v>2641728.4985318617</v>
      </c>
      <c r="J238" s="175">
        <v>1724.73751987884</v>
      </c>
      <c r="K238" s="171">
        <f t="shared" si="82"/>
        <v>7.289754447292518E-3</v>
      </c>
      <c r="L238" s="170">
        <f t="shared" si="83"/>
        <v>7.289754447292518E-3</v>
      </c>
      <c r="N238" s="55">
        <v>2062268</v>
      </c>
      <c r="O238" s="55">
        <v>195632</v>
      </c>
      <c r="P238" s="55">
        <v>402832</v>
      </c>
      <c r="R238" s="55">
        <v>402832</v>
      </c>
      <c r="S238" s="55">
        <v>254.05060257390141</v>
      </c>
      <c r="U238" s="171">
        <v>9.214792222320467E-3</v>
      </c>
      <c r="V238" s="171">
        <v>-2.2437857000579431E-2</v>
      </c>
      <c r="AA238" s="55">
        <v>0</v>
      </c>
      <c r="AB238" s="55">
        <v>0</v>
      </c>
      <c r="AC238" s="55">
        <v>254.05060257390141</v>
      </c>
      <c r="AE238" s="55">
        <v>0</v>
      </c>
      <c r="AF238" s="55">
        <v>0</v>
      </c>
      <c r="AG238" s="55">
        <v>254.05060257390141</v>
      </c>
      <c r="AI238" s="55">
        <v>231.20688498245843</v>
      </c>
      <c r="AJ238" s="55">
        <v>22.843717591443021</v>
      </c>
      <c r="AK238" s="55">
        <v>0</v>
      </c>
      <c r="AM238" s="55">
        <v>2062499</v>
      </c>
      <c r="AN238" s="55">
        <v>195655</v>
      </c>
      <c r="AO238" s="55">
        <v>402832</v>
      </c>
      <c r="AP238" s="55"/>
      <c r="AQ238" s="55">
        <v>2660986</v>
      </c>
      <c r="AS238" s="175">
        <v>1346.5688892668329</v>
      </c>
      <c r="AT238" s="175">
        <v>127.73966728202157</v>
      </c>
      <c r="AU238" s="175">
        <v>263.0018432984146</v>
      </c>
      <c r="AV238" s="175"/>
      <c r="AW238" s="175">
        <v>1737.3103998472691</v>
      </c>
      <c r="AY238" s="171">
        <v>9.3278369948734952E-3</v>
      </c>
      <c r="AZ238" s="171">
        <v>-2.2322927289238792E-2</v>
      </c>
      <c r="BA238" s="171">
        <v>1.1713545543036608E-2</v>
      </c>
      <c r="BB238" s="171">
        <f t="shared" si="84"/>
        <v>7.2897352921925673E-3</v>
      </c>
      <c r="BC238" s="171"/>
      <c r="BE238" s="176">
        <v>3.2409415591850399E-2</v>
      </c>
      <c r="BF238" s="176">
        <v>3.543077900084679E-2</v>
      </c>
      <c r="BG238" s="176">
        <v>7.1224197224062147E-2</v>
      </c>
      <c r="BH238" s="176">
        <f>AQ238/(VLOOKUP($B238,'2016-17'!$B$12:$D$324,3,FALSE))-1</f>
        <v>3.8327699258438264E-2</v>
      </c>
      <c r="BJ238" s="176">
        <v>2.9915546587817143E-2</v>
      </c>
      <c r="BK238" s="176">
        <v>3.2929611647494195E-2</v>
      </c>
      <c r="BL238" s="176">
        <v>6.8636567954625471E-2</v>
      </c>
      <c r="BM238" s="176">
        <v>3.5819534158330724E-2</v>
      </c>
    </row>
    <row r="239" spans="2:65" x14ac:dyDescent="0.2">
      <c r="B239" s="1" t="s">
        <v>521</v>
      </c>
      <c r="D239" s="55">
        <v>5152660.5579553489</v>
      </c>
      <c r="E239" s="166">
        <v>1736.6545778085579</v>
      </c>
      <c r="F239" s="171">
        <f>VLOOKUP(B239,'2016-17'!$B$12:$AMX447,33,FALSE)</f>
        <v>4.661269767133458E-2</v>
      </c>
      <c r="G239" s="171">
        <f>VLOOKUP(B239,'2016-17'!$B$12:$AMX447,34,FALSE)</f>
        <v>4.0098555916349365E-2</v>
      </c>
      <c r="I239" s="175">
        <v>5202527.7146038124</v>
      </c>
      <c r="J239" s="175">
        <v>1753.4618223188027</v>
      </c>
      <c r="K239" s="171">
        <f t="shared" si="82"/>
        <v>-9.5851784717039257E-3</v>
      </c>
      <c r="L239" s="170">
        <f t="shared" si="83"/>
        <v>-9.5851784717038147E-3</v>
      </c>
      <c r="N239" s="55">
        <v>3857988</v>
      </c>
      <c r="O239" s="55">
        <v>387489</v>
      </c>
      <c r="P239" s="55">
        <v>903632</v>
      </c>
      <c r="R239" s="55">
        <v>903632</v>
      </c>
      <c r="S239" s="55">
        <v>3551.5579553482821</v>
      </c>
      <c r="U239" s="171">
        <v>-2.4233849506529292E-2</v>
      </c>
      <c r="V239" s="171">
        <v>-3.2637313084774244E-2</v>
      </c>
      <c r="AA239" s="55">
        <v>0</v>
      </c>
      <c r="AB239" s="55">
        <v>0</v>
      </c>
      <c r="AC239" s="55">
        <v>3551.5579553482821</v>
      </c>
      <c r="AE239" s="55">
        <v>0</v>
      </c>
      <c r="AF239" s="55">
        <v>0</v>
      </c>
      <c r="AG239" s="55">
        <v>3551.5579553482821</v>
      </c>
      <c r="AI239" s="55">
        <v>3233.2003199235132</v>
      </c>
      <c r="AJ239" s="55">
        <v>318.35763542476872</v>
      </c>
      <c r="AK239" s="55">
        <v>0</v>
      </c>
      <c r="AM239" s="55">
        <v>3861221</v>
      </c>
      <c r="AN239" s="55">
        <v>387807</v>
      </c>
      <c r="AO239" s="55">
        <v>903632</v>
      </c>
      <c r="AP239" s="55"/>
      <c r="AQ239" s="55">
        <v>5152660</v>
      </c>
      <c r="AS239" s="175">
        <v>1301.3873221723381</v>
      </c>
      <c r="AT239" s="175">
        <v>130.70661152254377</v>
      </c>
      <c r="AU239" s="175">
        <v>304.56045606020331</v>
      </c>
      <c r="AV239" s="175"/>
      <c r="AW239" s="175">
        <v>1736.6543897550853</v>
      </c>
      <c r="AY239" s="171">
        <v>-2.3416155940726213E-2</v>
      </c>
      <c r="AZ239" s="171">
        <v>-3.1843429040481208E-2</v>
      </c>
      <c r="BA239" s="171">
        <v>6.5400807484220058E-2</v>
      </c>
      <c r="BB239" s="171">
        <f t="shared" si="84"/>
        <v>-9.5852857186768947E-3</v>
      </c>
      <c r="BC239" s="171"/>
      <c r="BE239" s="176">
        <v>4.0730269850662859E-2</v>
      </c>
      <c r="BF239" s="176">
        <v>3.988662812523458E-2</v>
      </c>
      <c r="BG239" s="176">
        <v>7.5574878966319314E-2</v>
      </c>
      <c r="BH239" s="176">
        <f>AQ239/(VLOOKUP($B239,'2016-17'!$B$12:$D$324,3,FALSE))-1</f>
        <v>4.661258433898019E-2</v>
      </c>
      <c r="BJ239" s="176">
        <v>3.4252740463148967E-2</v>
      </c>
      <c r="BK239" s="176">
        <v>3.341434958342715E-2</v>
      </c>
      <c r="BL239" s="176">
        <v>6.8880475921834217E-2</v>
      </c>
      <c r="BM239" s="176">
        <v>4.0098443289378061E-2</v>
      </c>
    </row>
    <row r="240" spans="2:65" x14ac:dyDescent="0.2">
      <c r="B240" s="1" t="s">
        <v>522</v>
      </c>
      <c r="D240" s="55">
        <v>2160710.2675586981</v>
      </c>
      <c r="E240" s="166">
        <v>1658.2260770389282</v>
      </c>
      <c r="F240" s="171">
        <f>VLOOKUP(B240,'2016-17'!$B$12:$AMX448,33,FALSE)</f>
        <v>3.7644881562601817E-2</v>
      </c>
      <c r="G240" s="171">
        <f>VLOOKUP(B240,'2016-17'!$B$12:$AMX448,34,FALSE)</f>
        <v>3.3829527122009928E-2</v>
      </c>
      <c r="I240" s="175">
        <v>2184037.8691858784</v>
      </c>
      <c r="J240" s="175">
        <v>1676.128725956625</v>
      </c>
      <c r="K240" s="171">
        <f t="shared" si="82"/>
        <v>-1.0680951075210054E-2</v>
      </c>
      <c r="L240" s="170">
        <f t="shared" si="83"/>
        <v>-1.0680951075209943E-2</v>
      </c>
      <c r="N240" s="55">
        <v>1673265</v>
      </c>
      <c r="O240" s="55">
        <v>166576</v>
      </c>
      <c r="P240" s="55">
        <v>319387</v>
      </c>
      <c r="R240" s="55">
        <v>319387</v>
      </c>
      <c r="S240" s="55">
        <v>1482.267558698135</v>
      </c>
      <c r="U240" s="171">
        <v>-2.9047610222303843E-2</v>
      </c>
      <c r="V240" s="171">
        <v>1.6807891154448695E-2</v>
      </c>
      <c r="AA240" s="55">
        <v>539.7840300721582</v>
      </c>
      <c r="AB240" s="55">
        <v>0</v>
      </c>
      <c r="AC240" s="55">
        <v>942.48352862597676</v>
      </c>
      <c r="AE240" s="55">
        <v>0</v>
      </c>
      <c r="AF240" s="55">
        <v>0</v>
      </c>
      <c r="AG240" s="55">
        <v>942.48352862597676</v>
      </c>
      <c r="AI240" s="55">
        <v>859.73943047794967</v>
      </c>
      <c r="AJ240" s="55">
        <v>82.744098148027007</v>
      </c>
      <c r="AK240" s="55">
        <v>0</v>
      </c>
      <c r="AM240" s="55">
        <v>1674665</v>
      </c>
      <c r="AN240" s="55">
        <v>166659</v>
      </c>
      <c r="AO240" s="55">
        <v>319387</v>
      </c>
      <c r="AP240" s="55"/>
      <c r="AQ240" s="55">
        <v>2160711</v>
      </c>
      <c r="AS240" s="175">
        <v>1285.2131148717083</v>
      </c>
      <c r="AT240" s="175">
        <v>127.9015997297394</v>
      </c>
      <c r="AU240" s="175">
        <v>245.11192454582277</v>
      </c>
      <c r="AV240" s="175"/>
      <c r="AW240" s="175">
        <v>1658.2266391472706</v>
      </c>
      <c r="AY240" s="171">
        <v>-2.8235226442275718E-2</v>
      </c>
      <c r="AZ240" s="171">
        <v>1.7314537099637706E-2</v>
      </c>
      <c r="BA240" s="171">
        <v>7.5768464755337162E-2</v>
      </c>
      <c r="BB240" s="171">
        <f t="shared" si="84"/>
        <v>-1.0680615714128483E-2</v>
      </c>
      <c r="BC240" s="171"/>
      <c r="BE240" s="176">
        <v>3.1375059784220838E-2</v>
      </c>
      <c r="BF240" s="176">
        <v>3.6165926810161508E-2</v>
      </c>
      <c r="BG240" s="176">
        <v>7.263645127613394E-2</v>
      </c>
      <c r="BH240" s="176">
        <f>AQ240/(VLOOKUP($B240,'2016-17'!$B$12:$D$324,3,FALSE))-1</f>
        <v>3.7645233305257486E-2</v>
      </c>
      <c r="BJ240" s="176">
        <v>2.7582759080787778E-2</v>
      </c>
      <c r="BK240" s="176">
        <v>3.2356010392425638E-2</v>
      </c>
      <c r="BL240" s="176">
        <v>6.8692435052245981E-2</v>
      </c>
      <c r="BM240" s="176">
        <v>3.3829877571330158E-2</v>
      </c>
    </row>
    <row r="241" spans="2:65" x14ac:dyDescent="0.2">
      <c r="B241" s="1" t="s">
        <v>523</v>
      </c>
      <c r="D241" s="55">
        <v>2466882</v>
      </c>
      <c r="E241" s="166">
        <v>1934.1540953772455</v>
      </c>
      <c r="F241" s="171">
        <f>VLOOKUP(B241,'2016-17'!$B$12:$AMX449,33,FALSE)</f>
        <v>3.4551319436000094E-2</v>
      </c>
      <c r="G241" s="171">
        <f>VLOOKUP(B241,'2016-17'!$B$12:$AMX449,34,FALSE)</f>
        <v>3.2488606541462461E-2</v>
      </c>
      <c r="I241" s="175">
        <v>2379783.8856366673</v>
      </c>
      <c r="J241" s="175">
        <v>1865.864986049975</v>
      </c>
      <c r="K241" s="171">
        <f t="shared" si="82"/>
        <v>3.6599169735125336E-2</v>
      </c>
      <c r="L241" s="170">
        <f t="shared" si="83"/>
        <v>3.6599169735125558E-2</v>
      </c>
      <c r="N241" s="55">
        <v>1922293</v>
      </c>
      <c r="O241" s="55">
        <v>177538</v>
      </c>
      <c r="P241" s="55">
        <v>367051</v>
      </c>
      <c r="R241" s="55">
        <v>367051</v>
      </c>
      <c r="S241" s="55">
        <v>0</v>
      </c>
      <c r="U241" s="171">
        <v>3.9310092589375456E-2</v>
      </c>
      <c r="V241" s="171">
        <v>-1.2248470846345283E-2</v>
      </c>
      <c r="AA241" s="55">
        <v>0</v>
      </c>
      <c r="AB241" s="55">
        <v>0</v>
      </c>
      <c r="AC241" s="55">
        <v>0</v>
      </c>
      <c r="AE241" s="55">
        <v>0</v>
      </c>
      <c r="AF241" s="55">
        <v>0</v>
      </c>
      <c r="AG241" s="55">
        <v>0</v>
      </c>
      <c r="AI241" s="55">
        <v>0</v>
      </c>
      <c r="AJ241" s="55">
        <v>0</v>
      </c>
      <c r="AK241" s="55">
        <v>0</v>
      </c>
      <c r="AM241" s="55">
        <v>1922293</v>
      </c>
      <c r="AN241" s="55">
        <v>177538</v>
      </c>
      <c r="AO241" s="55">
        <v>367051</v>
      </c>
      <c r="AP241" s="55"/>
      <c r="AQ241" s="55">
        <v>2466882</v>
      </c>
      <c r="AS241" s="175">
        <v>1507.1701356064098</v>
      </c>
      <c r="AT241" s="175">
        <v>139.19832800477906</v>
      </c>
      <c r="AU241" s="175">
        <v>287.78563176605661</v>
      </c>
      <c r="AV241" s="175"/>
      <c r="AW241" s="175">
        <v>1934.1540953772455</v>
      </c>
      <c r="AY241" s="171">
        <v>3.9310092589375456E-2</v>
      </c>
      <c r="AZ241" s="171">
        <v>-1.2248470846345283E-2</v>
      </c>
      <c r="BA241" s="171">
        <v>4.7344424164341481E-2</v>
      </c>
      <c r="BB241" s="171">
        <f t="shared" si="84"/>
        <v>3.6599169735125336E-2</v>
      </c>
      <c r="BC241" s="171"/>
      <c r="BE241" s="176">
        <v>2.6998637530124991E-2</v>
      </c>
      <c r="BF241" s="176">
        <v>4.4691455370330146E-2</v>
      </c>
      <c r="BG241" s="176">
        <v>7.076422556440809E-2</v>
      </c>
      <c r="BH241" s="176">
        <f>AQ241/(VLOOKUP($B241,'2016-17'!$B$12:$D$324,3,FALSE))-1</f>
        <v>3.4551319436000094E-2</v>
      </c>
      <c r="BJ241" s="176">
        <v>2.4950983351441192E-2</v>
      </c>
      <c r="BK241" s="176">
        <v>4.2608524832886463E-2</v>
      </c>
      <c r="BL241" s="176">
        <v>6.8629310520961218E-2</v>
      </c>
      <c r="BM241" s="176">
        <v>3.2488606541462461E-2</v>
      </c>
    </row>
    <row r="242" spans="2:65" x14ac:dyDescent="0.2">
      <c r="B242" s="1" t="s">
        <v>524</v>
      </c>
      <c r="D242" s="55">
        <v>3975351.0316293323</v>
      </c>
      <c r="E242" s="166">
        <v>1587.594005868129</v>
      </c>
      <c r="F242" s="171">
        <f>VLOOKUP(B242,'2016-17'!$B$12:$AMX450,33,FALSE)</f>
        <v>3.7570477495342036E-2</v>
      </c>
      <c r="G242" s="171">
        <f>VLOOKUP(B242,'2016-17'!$B$12:$AMX450,34,FALSE)</f>
        <v>3.0874837801409871E-2</v>
      </c>
      <c r="I242" s="175">
        <v>3899780.7939243605</v>
      </c>
      <c r="J242" s="175">
        <v>1557.4143172197857</v>
      </c>
      <c r="K242" s="171">
        <f t="shared" si="82"/>
        <v>1.9378073204192825E-2</v>
      </c>
      <c r="L242" s="170">
        <f t="shared" si="83"/>
        <v>1.9378073204193047E-2</v>
      </c>
      <c r="N242" s="55">
        <v>3081018</v>
      </c>
      <c r="O242" s="55">
        <v>330032</v>
      </c>
      <c r="P242" s="55">
        <v>563151</v>
      </c>
      <c r="R242" s="55">
        <v>563151</v>
      </c>
      <c r="S242" s="55">
        <v>1150.031629332545</v>
      </c>
      <c r="U242" s="171">
        <v>1.2942732691273662E-2</v>
      </c>
      <c r="V242" s="171">
        <v>2.5491287414718622E-2</v>
      </c>
      <c r="AA242" s="55">
        <v>0</v>
      </c>
      <c r="AB242" s="55">
        <v>0</v>
      </c>
      <c r="AC242" s="55">
        <v>1150.031629332545</v>
      </c>
      <c r="AE242" s="55">
        <v>0</v>
      </c>
      <c r="AF242" s="55">
        <v>0</v>
      </c>
      <c r="AG242" s="55">
        <v>1150.031629332545</v>
      </c>
      <c r="AI242" s="55">
        <v>1048.0549870920195</v>
      </c>
      <c r="AJ242" s="55">
        <v>101.97664224052559</v>
      </c>
      <c r="AK242" s="55">
        <v>0</v>
      </c>
      <c r="AM242" s="55">
        <v>3082066</v>
      </c>
      <c r="AN242" s="55">
        <v>330134</v>
      </c>
      <c r="AO242" s="55">
        <v>563151</v>
      </c>
      <c r="AP242" s="55"/>
      <c r="AQ242" s="55">
        <v>3975351</v>
      </c>
      <c r="AS242" s="175">
        <v>1230.8521859727423</v>
      </c>
      <c r="AT242" s="175">
        <v>131.84213302503105</v>
      </c>
      <c r="AU242" s="175">
        <v>224.89967423888257</v>
      </c>
      <c r="AV242" s="175"/>
      <c r="AW242" s="175">
        <v>1587.5939932366559</v>
      </c>
      <c r="AY242" s="171">
        <v>1.328728244199251E-2</v>
      </c>
      <c r="AZ242" s="171">
        <v>2.5808226715502425E-2</v>
      </c>
      <c r="BA242" s="171">
        <v>5.0063443650227635E-2</v>
      </c>
      <c r="BB242" s="171">
        <f t="shared" si="84"/>
        <v>1.9378065093651919E-2</v>
      </c>
      <c r="BC242" s="171"/>
      <c r="BE242" s="176">
        <v>3.0963366285860605E-2</v>
      </c>
      <c r="BF242" s="176">
        <v>3.6888837239980043E-2</v>
      </c>
      <c r="BG242" s="176">
        <v>7.5714603197873265E-2</v>
      </c>
      <c r="BH242" s="176">
        <f>AQ242/(VLOOKUP($B242,'2016-17'!$B$12:$D$324,3,FALSE))-1</f>
        <v>3.7570469240055582E-2</v>
      </c>
      <c r="BJ242" s="176">
        <v>2.431036353759719E-2</v>
      </c>
      <c r="BK242" s="176">
        <v>3.0197596300300944E-2</v>
      </c>
      <c r="BL242" s="176">
        <v>6.8772812203683475E-2</v>
      </c>
      <c r="BM242" s="176">
        <v>3.0874829599396358E-2</v>
      </c>
    </row>
    <row r="243" spans="2:65" x14ac:dyDescent="0.2">
      <c r="B243" s="1" t="s">
        <v>525</v>
      </c>
      <c r="D243" s="55">
        <v>2660531</v>
      </c>
      <c r="E243" s="166">
        <v>1733.047279455071</v>
      </c>
      <c r="F243" s="171">
        <f>VLOOKUP(B243,'2016-17'!$B$12:$AMX451,33,FALSE)</f>
        <v>3.1367449308317141E-2</v>
      </c>
      <c r="G243" s="171">
        <f>VLOOKUP(B243,'2016-17'!$B$12:$AMX451,34,FALSE)</f>
        <v>2.6517496581371258E-2</v>
      </c>
      <c r="I243" s="175">
        <v>2521299.8201508257</v>
      </c>
      <c r="J243" s="175">
        <v>1642.3532723365929</v>
      </c>
      <c r="K243" s="171">
        <f t="shared" si="82"/>
        <v>5.5221984603499363E-2</v>
      </c>
      <c r="L243" s="170">
        <f t="shared" si="83"/>
        <v>5.5221984603499363E-2</v>
      </c>
      <c r="N243" s="55">
        <v>2048460</v>
      </c>
      <c r="O243" s="55">
        <v>203368</v>
      </c>
      <c r="P243" s="55">
        <v>408703</v>
      </c>
      <c r="R243" s="55">
        <v>408703</v>
      </c>
      <c r="S243" s="55">
        <v>0</v>
      </c>
      <c r="U243" s="171">
        <v>5.5553701138961742E-2</v>
      </c>
      <c r="V243" s="171">
        <v>2.727239054139452E-2</v>
      </c>
      <c r="AA243" s="55">
        <v>0</v>
      </c>
      <c r="AB243" s="55">
        <v>0</v>
      </c>
      <c r="AC243" s="55">
        <v>0</v>
      </c>
      <c r="AE243" s="55">
        <v>0</v>
      </c>
      <c r="AF243" s="55">
        <v>0</v>
      </c>
      <c r="AG243" s="55">
        <v>0</v>
      </c>
      <c r="AI243" s="55">
        <v>0</v>
      </c>
      <c r="AJ243" s="55">
        <v>0</v>
      </c>
      <c r="AK243" s="55">
        <v>0</v>
      </c>
      <c r="AM243" s="55">
        <v>2048460</v>
      </c>
      <c r="AN243" s="55">
        <v>203368</v>
      </c>
      <c r="AO243" s="55">
        <v>408703</v>
      </c>
      <c r="AP243" s="55"/>
      <c r="AQ243" s="55">
        <v>2660531</v>
      </c>
      <c r="AS243" s="175">
        <v>1334.3494325277677</v>
      </c>
      <c r="AT243" s="175">
        <v>132.47218661546091</v>
      </c>
      <c r="AU243" s="175">
        <v>266.2256603118422</v>
      </c>
      <c r="AV243" s="175"/>
      <c r="AW243" s="175">
        <v>1733.047279455071</v>
      </c>
      <c r="AY243" s="171">
        <v>5.5553701138961742E-2</v>
      </c>
      <c r="AZ243" s="171">
        <v>2.727239054139452E-2</v>
      </c>
      <c r="BA243" s="171">
        <v>6.799869127464353E-2</v>
      </c>
      <c r="BB243" s="171">
        <f t="shared" si="84"/>
        <v>5.5221984603499363E-2</v>
      </c>
      <c r="BC243" s="171"/>
      <c r="BE243" s="176">
        <v>2.2957863151974012E-2</v>
      </c>
      <c r="BF243" s="176">
        <v>3.4783139641381577E-2</v>
      </c>
      <c r="BG243" s="176">
        <v>7.3850294563752916E-2</v>
      </c>
      <c r="BH243" s="176">
        <f>AQ243/(VLOOKUP($B243,'2016-17'!$B$12:$D$324,3,FALSE))-1</f>
        <v>3.1367449308317141E-2</v>
      </c>
      <c r="BJ243" s="176">
        <v>1.814745607419388E-2</v>
      </c>
      <c r="BK243" s="176">
        <v>2.9917124805187933E-2</v>
      </c>
      <c r="BL243" s="176">
        <v>6.8800568427889397E-2</v>
      </c>
      <c r="BM243" s="176">
        <v>2.6517496581371258E-2</v>
      </c>
    </row>
    <row r="244" spans="2:65" x14ac:dyDescent="0.2">
      <c r="B244" s="1" t="s">
        <v>526</v>
      </c>
      <c r="D244" s="55">
        <v>2723313</v>
      </c>
      <c r="E244" s="166">
        <v>1586.6806878432751</v>
      </c>
      <c r="F244" s="171">
        <f>VLOOKUP(B244,'2016-17'!$B$12:$AMX452,33,FALSE)</f>
        <v>3.6078662566752406E-2</v>
      </c>
      <c r="G244" s="171">
        <f>VLOOKUP(B244,'2016-17'!$B$12:$AMX452,34,FALSE)</f>
        <v>3.2260235263423587E-2</v>
      </c>
      <c r="I244" s="175">
        <v>2681905.8594033425</v>
      </c>
      <c r="J244" s="175">
        <v>1562.5556936455725</v>
      </c>
      <c r="K244" s="171">
        <f t="shared" si="82"/>
        <v>1.5439445963949527E-2</v>
      </c>
      <c r="L244" s="170">
        <f t="shared" si="83"/>
        <v>1.5439445963949527E-2</v>
      </c>
      <c r="N244" s="55">
        <v>2122799</v>
      </c>
      <c r="O244" s="55">
        <v>219564</v>
      </c>
      <c r="P244" s="55">
        <v>380950</v>
      </c>
      <c r="R244" s="55">
        <v>380950</v>
      </c>
      <c r="S244" s="55">
        <v>0</v>
      </c>
      <c r="U244" s="171">
        <v>1.8085037600257037E-2</v>
      </c>
      <c r="V244" s="171">
        <v>1.5480679531381325E-2</v>
      </c>
      <c r="AA244" s="55">
        <v>0</v>
      </c>
      <c r="AB244" s="55">
        <v>0</v>
      </c>
      <c r="AC244" s="55">
        <v>0</v>
      </c>
      <c r="AE244" s="55">
        <v>0</v>
      </c>
      <c r="AF244" s="55">
        <v>0</v>
      </c>
      <c r="AG244" s="55">
        <v>0</v>
      </c>
      <c r="AI244" s="55">
        <v>0</v>
      </c>
      <c r="AJ244" s="55">
        <v>0</v>
      </c>
      <c r="AK244" s="55">
        <v>0</v>
      </c>
      <c r="AM244" s="55">
        <v>2122799</v>
      </c>
      <c r="AN244" s="55">
        <v>219564</v>
      </c>
      <c r="AO244" s="55">
        <v>380950</v>
      </c>
      <c r="AP244" s="55"/>
      <c r="AQ244" s="55">
        <v>2723313</v>
      </c>
      <c r="AS244" s="175">
        <v>1236.8039140095232</v>
      </c>
      <c r="AT244" s="175">
        <v>127.92431811753583</v>
      </c>
      <c r="AU244" s="175">
        <v>221.95245571621612</v>
      </c>
      <c r="AV244" s="175"/>
      <c r="AW244" s="175">
        <v>1586.6806878432751</v>
      </c>
      <c r="AY244" s="171">
        <v>1.8085037600257037E-2</v>
      </c>
      <c r="AZ244" s="171">
        <v>1.5480679531381325E-2</v>
      </c>
      <c r="BA244" s="171">
        <v>9.222964212640683E-4</v>
      </c>
      <c r="BB244" s="171">
        <f t="shared" si="84"/>
        <v>1.5439445963949527E-2</v>
      </c>
      <c r="BC244" s="171"/>
      <c r="BE244" s="176">
        <v>2.9995868327040931E-2</v>
      </c>
      <c r="BF244" s="176">
        <v>3.4091910056216701E-2</v>
      </c>
      <c r="BG244" s="176">
        <v>7.2562815729538821E-2</v>
      </c>
      <c r="BH244" s="176">
        <f>AQ244/(VLOOKUP($B244,'2016-17'!$B$12:$D$324,3,FALSE))-1</f>
        <v>3.6078662566752406E-2</v>
      </c>
      <c r="BJ244" s="176">
        <v>2.6199858923476427E-2</v>
      </c>
      <c r="BK244" s="176">
        <v>3.0280804851397614E-2</v>
      </c>
      <c r="BL244" s="176">
        <v>6.8609927509670765E-2</v>
      </c>
      <c r="BM244" s="176">
        <v>3.2260235263423587E-2</v>
      </c>
    </row>
    <row r="245" spans="2:65" x14ac:dyDescent="0.2">
      <c r="B245" s="1" t="s">
        <v>527</v>
      </c>
      <c r="D245" s="55">
        <v>4432948.1478768382</v>
      </c>
      <c r="E245" s="166">
        <v>1644.8651147778216</v>
      </c>
      <c r="F245" s="171">
        <f>VLOOKUP(B245,'2016-17'!$B$12:$AMX453,33,FALSE)</f>
        <v>4.0975824522536897E-2</v>
      </c>
      <c r="G245" s="171">
        <f>VLOOKUP(B245,'2016-17'!$B$12:$AMX453,34,FALSE)</f>
        <v>3.4332835383013682E-2</v>
      </c>
      <c r="I245" s="175">
        <v>4474447.5806147838</v>
      </c>
      <c r="J245" s="175">
        <v>1660.2636637607168</v>
      </c>
      <c r="K245" s="171">
        <f t="shared" si="82"/>
        <v>-9.2747611834227417E-3</v>
      </c>
      <c r="L245" s="170">
        <f t="shared" si="83"/>
        <v>-9.2747611834227417E-3</v>
      </c>
      <c r="N245" s="55">
        <v>3298128</v>
      </c>
      <c r="O245" s="55">
        <v>344468</v>
      </c>
      <c r="P245" s="55">
        <v>777729</v>
      </c>
      <c r="R245" s="55">
        <v>777729</v>
      </c>
      <c r="S245" s="55">
        <v>12623.14787683863</v>
      </c>
      <c r="U245" s="171">
        <v>-1.9509790810863348E-2</v>
      </c>
      <c r="V245" s="171">
        <v>-4.2561445447567015E-2</v>
      </c>
      <c r="AA245" s="55">
        <v>552.286608462804</v>
      </c>
      <c r="AB245" s="55">
        <v>0</v>
      </c>
      <c r="AC245" s="55">
        <v>12070.861268375826</v>
      </c>
      <c r="AE245" s="55">
        <v>0</v>
      </c>
      <c r="AF245" s="55">
        <v>0</v>
      </c>
      <c r="AG245" s="55">
        <v>12070.861268375826</v>
      </c>
      <c r="AI245" s="55">
        <v>10922.826595827468</v>
      </c>
      <c r="AJ245" s="55">
        <v>1148.0346725483585</v>
      </c>
      <c r="AK245" s="55">
        <v>0</v>
      </c>
      <c r="AM245" s="55">
        <v>3309603</v>
      </c>
      <c r="AN245" s="55">
        <v>345616</v>
      </c>
      <c r="AO245" s="55">
        <v>777729</v>
      </c>
      <c r="AP245" s="55"/>
      <c r="AQ245" s="55">
        <v>4432948</v>
      </c>
      <c r="AS245" s="175">
        <v>1228.0429043753547</v>
      </c>
      <c r="AT245" s="175">
        <v>128.24235306729921</v>
      </c>
      <c r="AU245" s="175">
        <v>288.57980246480935</v>
      </c>
      <c r="AV245" s="175"/>
      <c r="AW245" s="175">
        <v>1644.8650599074633</v>
      </c>
      <c r="AY245" s="171">
        <v>-1.6098423771607973E-2</v>
      </c>
      <c r="AZ245" s="171">
        <v>-3.9370613612313199E-2</v>
      </c>
      <c r="BA245" s="171">
        <v>3.5711676260512082E-2</v>
      </c>
      <c r="BB245" s="171">
        <f t="shared" si="84"/>
        <v>-9.2747942326060206E-3</v>
      </c>
      <c r="BC245" s="171"/>
      <c r="BE245" s="176">
        <v>3.332590640898303E-2</v>
      </c>
      <c r="BF245" s="176">
        <v>3.910285319142548E-2</v>
      </c>
      <c r="BG245" s="176">
        <v>7.5727102742782604E-2</v>
      </c>
      <c r="BH245" s="176">
        <f>AQ245/(VLOOKUP($B245,'2016-17'!$B$12:$D$324,3,FALSE))-1</f>
        <v>4.0975789797065731E-2</v>
      </c>
      <c r="BJ245" s="176">
        <v>2.6731735235976828E-2</v>
      </c>
      <c r="BK245" s="176">
        <v>3.2471816421897781E-2</v>
      </c>
      <c r="BL245" s="176">
        <v>6.8862348257356709E-2</v>
      </c>
      <c r="BM245" s="176">
        <v>3.4332800879143033E-2</v>
      </c>
    </row>
    <row r="246" spans="2:65" x14ac:dyDescent="0.2">
      <c r="B246" s="1" t="s">
        <v>528</v>
      </c>
      <c r="D246" s="55">
        <v>2581342.334079464</v>
      </c>
      <c r="E246" s="166">
        <v>1590.1358545862304</v>
      </c>
      <c r="F246" s="171">
        <f>VLOOKUP(B246,'2016-17'!$B$12:$AMX454,33,FALSE)</f>
        <v>4.175658786932801E-2</v>
      </c>
      <c r="G246" s="171">
        <f>VLOOKUP(B246,'2016-17'!$B$12:$AMX454,34,FALSE)</f>
        <v>3.7802198277662624E-2</v>
      </c>
      <c r="I246" s="175">
        <v>2604987.5891016824</v>
      </c>
      <c r="J246" s="175">
        <v>1604.7015971091307</v>
      </c>
      <c r="K246" s="171">
        <f t="shared" si="82"/>
        <v>-9.0769165738606716E-3</v>
      </c>
      <c r="L246" s="170">
        <f t="shared" si="83"/>
        <v>-9.0769165738605606E-3</v>
      </c>
      <c r="N246" s="55">
        <v>1966170</v>
      </c>
      <c r="O246" s="55">
        <v>208344</v>
      </c>
      <c r="P246" s="55">
        <v>400864</v>
      </c>
      <c r="R246" s="55">
        <v>400864</v>
      </c>
      <c r="S246" s="55">
        <v>5964.334079464199</v>
      </c>
      <c r="U246" s="171">
        <v>-2.2020045394117838E-2</v>
      </c>
      <c r="V246" s="171">
        <v>3.9221554861361252E-2</v>
      </c>
      <c r="AA246" s="55">
        <v>3761.8328922222136</v>
      </c>
      <c r="AB246" s="55">
        <v>0</v>
      </c>
      <c r="AC246" s="55">
        <v>2202.5011872419855</v>
      </c>
      <c r="AE246" s="55">
        <v>0</v>
      </c>
      <c r="AF246" s="55">
        <v>0</v>
      </c>
      <c r="AG246" s="55">
        <v>2202.5011872419855</v>
      </c>
      <c r="AI246" s="55">
        <v>2001.0036885009347</v>
      </c>
      <c r="AJ246" s="55">
        <v>201.49749874105095</v>
      </c>
      <c r="AK246" s="55">
        <v>0</v>
      </c>
      <c r="AM246" s="55">
        <v>1971933</v>
      </c>
      <c r="AN246" s="55">
        <v>208545</v>
      </c>
      <c r="AO246" s="55">
        <v>400864</v>
      </c>
      <c r="AP246" s="55"/>
      <c r="AQ246" s="55">
        <v>2581342</v>
      </c>
      <c r="AS246" s="175">
        <v>1214.7328638841677</v>
      </c>
      <c r="AT246" s="175">
        <v>128.46606101663886</v>
      </c>
      <c r="AU246" s="175">
        <v>246.93672388872389</v>
      </c>
      <c r="AV246" s="175"/>
      <c r="AW246" s="175">
        <v>1590.1356487895305</v>
      </c>
      <c r="AY246" s="171">
        <v>-1.9153508686511778E-2</v>
      </c>
      <c r="AZ246" s="171">
        <v>4.0224144484902746E-2</v>
      </c>
      <c r="BA246" s="171">
        <v>1.7248905490542032E-2</v>
      </c>
      <c r="BB246" s="171">
        <f t="shared" si="84"/>
        <v>-9.0770448199473108E-3</v>
      </c>
      <c r="BC246" s="171"/>
      <c r="BE246" s="176">
        <v>3.6461497689163735E-2</v>
      </c>
      <c r="BF246" s="176">
        <v>3.4387878800833382E-2</v>
      </c>
      <c r="BG246" s="176">
        <v>7.2689223956765803E-2</v>
      </c>
      <c r="BH246" s="176">
        <f>AQ246/(VLOOKUP($B246,'2016-17'!$B$12:$D$324,3,FALSE))-1</f>
        <v>4.1756453044327069E-2</v>
      </c>
      <c r="BJ246" s="176">
        <v>3.25272076579326E-2</v>
      </c>
      <c r="BK246" s="176">
        <v>3.0461459991194983E-2</v>
      </c>
      <c r="BL246" s="176">
        <v>6.8617417594608154E-2</v>
      </c>
      <c r="BM246" s="176">
        <v>3.7802063964442301E-2</v>
      </c>
    </row>
    <row r="247" spans="2:65" x14ac:dyDescent="0.2">
      <c r="B247" s="1" t="s">
        <v>529</v>
      </c>
      <c r="D247" s="55">
        <v>2656758.5639974414</v>
      </c>
      <c r="E247" s="166">
        <v>1530.377460680975</v>
      </c>
      <c r="F247" s="171">
        <f>VLOOKUP(B247,'2016-17'!$B$12:$AMX455,33,FALSE)</f>
        <v>3.9467227176505082E-2</v>
      </c>
      <c r="G247" s="171">
        <f>VLOOKUP(B247,'2016-17'!$B$12:$AMX455,34,FALSE)</f>
        <v>3.244596308404013E-2</v>
      </c>
      <c r="I247" s="175">
        <v>2690840.1749981274</v>
      </c>
      <c r="J247" s="175">
        <v>1550.0095529628829</v>
      </c>
      <c r="K247" s="171">
        <f t="shared" si="82"/>
        <v>-1.2665787926519845E-2</v>
      </c>
      <c r="L247" s="170">
        <f t="shared" si="83"/>
        <v>-1.2665787926519956E-2</v>
      </c>
      <c r="N247" s="55">
        <v>2018873</v>
      </c>
      <c r="O247" s="55">
        <v>222853</v>
      </c>
      <c r="P247" s="55">
        <v>410151</v>
      </c>
      <c r="R247" s="55">
        <v>410151</v>
      </c>
      <c r="S247" s="55">
        <v>4881.5639974414953</v>
      </c>
      <c r="U247" s="171">
        <v>-2.3857486873500755E-2</v>
      </c>
      <c r="V247" s="171">
        <v>2.3261562051495766E-2</v>
      </c>
      <c r="AA247" s="55">
        <v>2037.8677497112076</v>
      </c>
      <c r="AB247" s="55">
        <v>0</v>
      </c>
      <c r="AC247" s="55">
        <v>2843.6962477302877</v>
      </c>
      <c r="AE247" s="55">
        <v>0</v>
      </c>
      <c r="AF247" s="55">
        <v>0</v>
      </c>
      <c r="AG247" s="55">
        <v>2843.6962477302877</v>
      </c>
      <c r="AI247" s="55">
        <v>2585.3652943355964</v>
      </c>
      <c r="AJ247" s="55">
        <v>258.33095339469128</v>
      </c>
      <c r="AK247" s="55">
        <v>0</v>
      </c>
      <c r="AM247" s="55">
        <v>2023496</v>
      </c>
      <c r="AN247" s="55">
        <v>223111</v>
      </c>
      <c r="AO247" s="55">
        <v>410151</v>
      </c>
      <c r="AP247" s="55"/>
      <c r="AQ247" s="55">
        <v>2656758</v>
      </c>
      <c r="AS247" s="175">
        <v>1165.5980758442349</v>
      </c>
      <c r="AT247" s="175">
        <v>128.51903453215778</v>
      </c>
      <c r="AU247" s="175">
        <v>236.26002542411194</v>
      </c>
      <c r="AV247" s="175"/>
      <c r="AW247" s="175">
        <v>1530.3771358005047</v>
      </c>
      <c r="AY247" s="171">
        <v>-2.1622226489027008E-2</v>
      </c>
      <c r="AZ247" s="171">
        <v>2.4446206112869406E-2</v>
      </c>
      <c r="BA247" s="171">
        <v>1.3124225921744115E-2</v>
      </c>
      <c r="BB247" s="171">
        <f t="shared" si="84"/>
        <v>-1.2665997525531658E-2</v>
      </c>
      <c r="BC247" s="171"/>
      <c r="BE247" s="176">
        <v>3.2847233085989913E-2</v>
      </c>
      <c r="BF247" s="176">
        <v>3.466010007558995E-2</v>
      </c>
      <c r="BG247" s="176">
        <v>7.6217136560452481E-2</v>
      </c>
      <c r="BH247" s="176">
        <f>AQ247/(VLOOKUP($B247,'2016-17'!$B$12:$D$324,3,FALSE))-1</f>
        <v>3.9467006510290004E-2</v>
      </c>
      <c r="BJ247" s="176">
        <v>2.5870684907201458E-2</v>
      </c>
      <c r="BK247" s="176">
        <v>2.7671306568074261E-2</v>
      </c>
      <c r="BL247" s="176">
        <v>6.8947638745545436E-2</v>
      </c>
      <c r="BM247" s="176">
        <v>3.2445743908353863E-2</v>
      </c>
    </row>
    <row r="248" spans="2:65" x14ac:dyDescent="0.2">
      <c r="B248" s="1" t="s">
        <v>530</v>
      </c>
      <c r="D248" s="55">
        <v>4369263.2283125855</v>
      </c>
      <c r="E248" s="166">
        <v>1477.8540470516339</v>
      </c>
      <c r="F248" s="171">
        <f>VLOOKUP(B248,'2016-17'!$B$12:$AMX456,33,FALSE)</f>
        <v>6.9018087893474522E-2</v>
      </c>
      <c r="G248" s="171">
        <f>VLOOKUP(B248,'2016-17'!$B$12:$AMX456,34,FALSE)</f>
        <v>5.7698829435837151E-2</v>
      </c>
      <c r="I248" s="175">
        <v>4531054.6169069707</v>
      </c>
      <c r="J248" s="175">
        <v>1532.5781609166293</v>
      </c>
      <c r="K248" s="171">
        <f t="shared" si="82"/>
        <v>-3.5707225419593147E-2</v>
      </c>
      <c r="L248" s="170">
        <f t="shared" si="83"/>
        <v>-3.5707225419593036E-2</v>
      </c>
      <c r="N248" s="55">
        <v>3315028</v>
      </c>
      <c r="O248" s="55">
        <v>334621</v>
      </c>
      <c r="P248" s="55">
        <v>661765</v>
      </c>
      <c r="R248" s="55">
        <v>661765</v>
      </c>
      <c r="S248" s="55">
        <v>57849.228312585285</v>
      </c>
      <c r="U248" s="171">
        <v>-4.4910910462393927E-2</v>
      </c>
      <c r="V248" s="171">
        <v>-5.6700173913804219E-2</v>
      </c>
      <c r="AA248" s="55">
        <v>7701.3412288987311</v>
      </c>
      <c r="AB248" s="55">
        <v>0</v>
      </c>
      <c r="AC248" s="55">
        <v>50147.887083686554</v>
      </c>
      <c r="AE248" s="55">
        <v>0</v>
      </c>
      <c r="AF248" s="55">
        <v>0</v>
      </c>
      <c r="AG248" s="55">
        <v>50147.887083686554</v>
      </c>
      <c r="AI248" s="55">
        <v>45550.584376244282</v>
      </c>
      <c r="AJ248" s="55">
        <v>4597.302707442268</v>
      </c>
      <c r="AK248" s="55">
        <v>0</v>
      </c>
      <c r="AM248" s="55">
        <v>3368280</v>
      </c>
      <c r="AN248" s="55">
        <v>339219</v>
      </c>
      <c r="AO248" s="55">
        <v>661765</v>
      </c>
      <c r="AP248" s="55"/>
      <c r="AQ248" s="55">
        <v>4369264</v>
      </c>
      <c r="AS248" s="175">
        <v>1139.2827507729532</v>
      </c>
      <c r="AT248" s="175">
        <v>114.73700388164002</v>
      </c>
      <c r="AU248" s="175">
        <v>223.83455341161169</v>
      </c>
      <c r="AV248" s="175"/>
      <c r="AW248" s="175">
        <v>1477.854308066205</v>
      </c>
      <c r="AY248" s="171">
        <v>-2.9568535014567687E-2</v>
      </c>
      <c r="AZ248" s="171">
        <v>-4.373836757067473E-2</v>
      </c>
      <c r="BA248" s="171">
        <v>-6.1872342062208485E-2</v>
      </c>
      <c r="BB248" s="171">
        <f t="shared" si="84"/>
        <v>-3.5707055108820107E-2</v>
      </c>
      <c r="BC248" s="171"/>
      <c r="BE248" s="176">
        <v>6.8577469924129497E-2</v>
      </c>
      <c r="BF248" s="176">
        <v>5.211891767791843E-2</v>
      </c>
      <c r="BG248" s="176">
        <v>8.0179880525490965E-2</v>
      </c>
      <c r="BH248" s="176">
        <f>AQ248/(VLOOKUP($B248,'2016-17'!$B$12:$D$324,3,FALSE))-1</f>
        <v>6.9018276700548276E-2</v>
      </c>
      <c r="BJ248" s="176">
        <v>5.7262876933552365E-2</v>
      </c>
      <c r="BK248" s="176">
        <v>4.0978595458643907E-2</v>
      </c>
      <c r="BL248" s="176">
        <v>6.8742435839684424E-2</v>
      </c>
      <c r="BM248" s="176">
        <v>5.769901624373408E-2</v>
      </c>
    </row>
    <row r="249" spans="2:65" x14ac:dyDescent="0.2">
      <c r="B249" s="1" t="s">
        <v>531</v>
      </c>
      <c r="D249" s="55">
        <v>2808959.8296948206</v>
      </c>
      <c r="E249" s="166">
        <v>1497.1787065528442</v>
      </c>
      <c r="F249" s="171">
        <f>VLOOKUP(B249,'2016-17'!$B$12:$AMX457,33,FALSE)</f>
        <v>3.9392443650025699E-2</v>
      </c>
      <c r="G249" s="171">
        <f>VLOOKUP(B249,'2016-17'!$B$12:$AMX457,34,FALSE)</f>
        <v>3.2458224523162604E-2</v>
      </c>
      <c r="I249" s="175">
        <v>2850658.4651418179</v>
      </c>
      <c r="J249" s="175">
        <v>1519.4041255223769</v>
      </c>
      <c r="K249" s="171">
        <f t="shared" si="82"/>
        <v>-1.4627720562422009E-2</v>
      </c>
      <c r="L249" s="170">
        <f t="shared" si="83"/>
        <v>-1.462772056242212E-2</v>
      </c>
      <c r="N249" s="55">
        <v>2159805</v>
      </c>
      <c r="O249" s="55">
        <v>242859</v>
      </c>
      <c r="P249" s="55">
        <v>399508</v>
      </c>
      <c r="R249" s="55">
        <v>399508</v>
      </c>
      <c r="S249" s="55">
        <v>6787.8296948208881</v>
      </c>
      <c r="U249" s="171">
        <v>-1.0272890980381977E-2</v>
      </c>
      <c r="V249" s="171">
        <v>5.0117406772772544E-2</v>
      </c>
      <c r="AA249" s="55">
        <v>4111.9771363062328</v>
      </c>
      <c r="AB249" s="55">
        <v>0</v>
      </c>
      <c r="AC249" s="55">
        <v>2675.8525585146554</v>
      </c>
      <c r="AE249" s="55">
        <v>0</v>
      </c>
      <c r="AF249" s="55">
        <v>0</v>
      </c>
      <c r="AG249" s="55">
        <v>2675.8525585146554</v>
      </c>
      <c r="AI249" s="55">
        <v>2393.8407837145623</v>
      </c>
      <c r="AJ249" s="55">
        <v>282.01177480009341</v>
      </c>
      <c r="AK249" s="55">
        <v>0</v>
      </c>
      <c r="AM249" s="55">
        <v>2166311</v>
      </c>
      <c r="AN249" s="55">
        <v>243141</v>
      </c>
      <c r="AO249" s="55">
        <v>399508</v>
      </c>
      <c r="AP249" s="55"/>
      <c r="AQ249" s="55">
        <v>2808960</v>
      </c>
      <c r="AS249" s="175">
        <v>1154.6461671271295</v>
      </c>
      <c r="AT249" s="175">
        <v>129.59442283285151</v>
      </c>
      <c r="AU249" s="175">
        <v>212.93820736571305</v>
      </c>
      <c r="AV249" s="175"/>
      <c r="AW249" s="175">
        <v>1497.1787973256939</v>
      </c>
      <c r="AY249" s="171">
        <v>-7.2915271205512555E-3</v>
      </c>
      <c r="AZ249" s="171">
        <v>5.1336769072336974E-2</v>
      </c>
      <c r="BA249" s="171">
        <v>-8.6143914326506033E-2</v>
      </c>
      <c r="BB249" s="171">
        <f t="shared" si="84"/>
        <v>-1.4627660820021648E-2</v>
      </c>
      <c r="BC249" s="171"/>
      <c r="BE249" s="176">
        <v>3.3591305433054996E-2</v>
      </c>
      <c r="BF249" s="176">
        <v>3.3608944247242034E-2</v>
      </c>
      <c r="BG249" s="176">
        <v>7.579727770858935E-2</v>
      </c>
      <c r="BH249" s="176">
        <f>AQ249/(VLOOKUP($B249,'2016-17'!$B$12:$D$324,3,FALSE))-1</f>
        <v>3.9392506667629279E-2</v>
      </c>
      <c r="BJ249" s="176">
        <v>2.6695788111104735E-2</v>
      </c>
      <c r="BK249" s="176">
        <v>2.6713309249428718E-2</v>
      </c>
      <c r="BL249" s="176">
        <v>6.8620186798136418E-2</v>
      </c>
      <c r="BM249" s="176">
        <v>3.2458287120349372E-2</v>
      </c>
    </row>
    <row r="250" spans="2:65" x14ac:dyDescent="0.2">
      <c r="B250" s="1" t="s">
        <v>532</v>
      </c>
      <c r="D250" s="55">
        <v>3340779.6464179149</v>
      </c>
      <c r="E250" s="166">
        <v>1597.099601530929</v>
      </c>
      <c r="F250" s="171">
        <f>VLOOKUP(B250,'2016-17'!$B$12:$AMX458,33,FALSE)</f>
        <v>3.7178782758633622E-2</v>
      </c>
      <c r="G250" s="171">
        <f>VLOOKUP(B250,'2016-17'!$B$12:$AMX458,34,FALSE)</f>
        <v>3.123611766373946E-2</v>
      </c>
      <c r="I250" s="175">
        <v>3336360.2773865215</v>
      </c>
      <c r="J250" s="175">
        <v>1594.9868693946971</v>
      </c>
      <c r="K250" s="171">
        <f t="shared" si="82"/>
        <v>1.3246078552568985E-3</v>
      </c>
      <c r="L250" s="170">
        <f t="shared" si="83"/>
        <v>1.3246078552568985E-3</v>
      </c>
      <c r="N250" s="55">
        <v>2590613</v>
      </c>
      <c r="O250" s="55">
        <v>266814</v>
      </c>
      <c r="P250" s="55">
        <v>477745</v>
      </c>
      <c r="R250" s="55">
        <v>477745</v>
      </c>
      <c r="S250" s="55">
        <v>5607.6464179145405</v>
      </c>
      <c r="U250" s="171">
        <v>3.2556968853802992E-3</v>
      </c>
      <c r="V250" s="171">
        <v>2.4702359770770954E-2</v>
      </c>
      <c r="AA250" s="55">
        <v>5607.6464179145405</v>
      </c>
      <c r="AB250" s="55">
        <v>0</v>
      </c>
      <c r="AC250" s="55">
        <v>0</v>
      </c>
      <c r="AE250" s="55">
        <v>0</v>
      </c>
      <c r="AF250" s="55">
        <v>0</v>
      </c>
      <c r="AG250" s="55">
        <v>0</v>
      </c>
      <c r="AI250" s="55">
        <v>0</v>
      </c>
      <c r="AJ250" s="55">
        <v>0</v>
      </c>
      <c r="AK250" s="55">
        <v>0</v>
      </c>
      <c r="AM250" s="55">
        <v>2596221</v>
      </c>
      <c r="AN250" s="55">
        <v>266814</v>
      </c>
      <c r="AO250" s="55">
        <v>477745</v>
      </c>
      <c r="AP250" s="55"/>
      <c r="AQ250" s="55">
        <v>3340780</v>
      </c>
      <c r="AS250" s="175">
        <v>1241.1544499895858</v>
      </c>
      <c r="AT250" s="175">
        <v>127.55361867095341</v>
      </c>
      <c r="AU250" s="175">
        <v>228.39170190452765</v>
      </c>
      <c r="AV250" s="175"/>
      <c r="AW250" s="175">
        <v>1597.0997705650668</v>
      </c>
      <c r="AY250" s="171">
        <v>5.4274832340681645E-3</v>
      </c>
      <c r="AZ250" s="171">
        <v>2.4702359770770954E-2</v>
      </c>
      <c r="BA250" s="171">
        <v>-3.2458705124473464E-2</v>
      </c>
      <c r="BB250" s="171">
        <f t="shared" si="84"/>
        <v>1.3247138336451858E-3</v>
      </c>
      <c r="BC250" s="171"/>
      <c r="BE250" s="176">
        <v>3.0816838795351797E-2</v>
      </c>
      <c r="BF250" s="176">
        <v>3.4507626573198724E-2</v>
      </c>
      <c r="BG250" s="176">
        <v>7.4776697392576974E-2</v>
      </c>
      <c r="BH250" s="176">
        <f>AQ250/(VLOOKUP($B250,'2016-17'!$B$12:$D$324,3,FALSE))-1</f>
        <v>3.7178892531762875E-2</v>
      </c>
      <c r="BJ250" s="176">
        <v>2.4910625373934625E-2</v>
      </c>
      <c r="BK250" s="176">
        <v>2.8580266252071995E-2</v>
      </c>
      <c r="BL250" s="176">
        <v>6.8618609635119787E-2</v>
      </c>
      <c r="BM250" s="176">
        <v>3.1236226807908052E-2</v>
      </c>
    </row>
    <row r="251" spans="2:65" x14ac:dyDescent="0.2">
      <c r="B251" s="1" t="s">
        <v>56</v>
      </c>
      <c r="D251" s="55">
        <v>2862294.8569938969</v>
      </c>
      <c r="E251" s="166">
        <v>1545.7994469564096</v>
      </c>
      <c r="F251" s="171">
        <f>VLOOKUP(B251,'2016-17'!$B$12:$AMX459,33,FALSE)</f>
        <v>5.4615401817954545E-2</v>
      </c>
      <c r="G251" s="171">
        <f>VLOOKUP(B251,'2016-17'!$B$12:$AMX459,34,FALSE)</f>
        <v>4.6305132191307052E-2</v>
      </c>
      <c r="I251" s="175">
        <v>2942652.4470422212</v>
      </c>
      <c r="J251" s="175">
        <v>1589.1970438014484</v>
      </c>
      <c r="K251" s="171">
        <f t="shared" si="82"/>
        <v>-2.7307876650229268E-2</v>
      </c>
      <c r="L251" s="170">
        <f t="shared" si="83"/>
        <v>-2.7307876650229157E-2</v>
      </c>
      <c r="N251" s="55">
        <v>2209577</v>
      </c>
      <c r="O251" s="55">
        <v>224826</v>
      </c>
      <c r="P251" s="55">
        <v>380009</v>
      </c>
      <c r="R251" s="55">
        <v>380009</v>
      </c>
      <c r="S251" s="55">
        <v>47882.856993896654</v>
      </c>
      <c r="U251" s="171">
        <v>-2.9606158471548016E-2</v>
      </c>
      <c r="V251" s="171">
        <v>-1.0614969274713171E-2</v>
      </c>
      <c r="AA251" s="55">
        <v>17705.310885101091</v>
      </c>
      <c r="AB251" s="55">
        <v>0</v>
      </c>
      <c r="AC251" s="55">
        <v>30177.546108795563</v>
      </c>
      <c r="AE251" s="55">
        <v>0</v>
      </c>
      <c r="AF251" s="55">
        <v>0</v>
      </c>
      <c r="AG251" s="55">
        <v>30177.546108795563</v>
      </c>
      <c r="AI251" s="55">
        <v>27425.974612651582</v>
      </c>
      <c r="AJ251" s="55">
        <v>2751.5714961439826</v>
      </c>
      <c r="AK251" s="55">
        <v>0</v>
      </c>
      <c r="AM251" s="55">
        <v>2254710</v>
      </c>
      <c r="AN251" s="55">
        <v>227577</v>
      </c>
      <c r="AO251" s="55">
        <v>380009</v>
      </c>
      <c r="AP251" s="55"/>
      <c r="AQ251" s="55">
        <v>2862296</v>
      </c>
      <c r="AS251" s="175">
        <v>1217.6696130836522</v>
      </c>
      <c r="AT251" s="175">
        <v>122.90431919703124</v>
      </c>
      <c r="AU251" s="175">
        <v>205.22613196300438</v>
      </c>
      <c r="AV251" s="175"/>
      <c r="AW251" s="175">
        <v>1545.8000642436878</v>
      </c>
      <c r="AY251" s="171">
        <v>-9.7848147257977303E-3</v>
      </c>
      <c r="AZ251" s="171">
        <v>1.4912738623140687E-3</v>
      </c>
      <c r="BA251" s="171">
        <v>-0.13323938449843487</v>
      </c>
      <c r="BB251" s="171">
        <f t="shared" si="84"/>
        <v>-2.7307488223079379E-2</v>
      </c>
      <c r="BC251" s="171"/>
      <c r="BE251" s="176">
        <v>5.1536525130364774E-2</v>
      </c>
      <c r="BF251" s="176">
        <v>4.82347251330002E-2</v>
      </c>
      <c r="BG251" s="176">
        <v>7.7260476674247958E-2</v>
      </c>
      <c r="BH251" s="176">
        <f>AQ251/(VLOOKUP($B251,'2016-17'!$B$12:$D$324,3,FALSE))-1</f>
        <v>5.4615822959696025E-2</v>
      </c>
      <c r="BJ251" s="176">
        <v>4.3250516760832136E-2</v>
      </c>
      <c r="BK251" s="176">
        <v>3.9974734635181086E-2</v>
      </c>
      <c r="BL251" s="176">
        <v>6.8771765999378287E-2</v>
      </c>
      <c r="BM251" s="176">
        <v>4.6305550014491326E-2</v>
      </c>
    </row>
    <row r="252" spans="2:65" x14ac:dyDescent="0.2">
      <c r="B252" s="1" t="s">
        <v>533</v>
      </c>
      <c r="D252" s="55">
        <v>3920982.0829762761</v>
      </c>
      <c r="E252" s="166">
        <v>1498.7025584513933</v>
      </c>
      <c r="F252" s="171">
        <f>VLOOKUP(B252,'2016-17'!$B$12:$AMX460,33,FALSE)</f>
        <v>4.7008911070806514E-2</v>
      </c>
      <c r="G252" s="171">
        <f>VLOOKUP(B252,'2016-17'!$B$12:$AMX460,34,FALSE)</f>
        <v>3.922912842173587E-2</v>
      </c>
      <c r="I252" s="175">
        <v>4003504.7287887763</v>
      </c>
      <c r="J252" s="175">
        <v>1530.2448858051296</v>
      </c>
      <c r="K252" s="171">
        <f t="shared" si="82"/>
        <v>-2.0612601059039282E-2</v>
      </c>
      <c r="L252" s="170">
        <f t="shared" si="83"/>
        <v>-2.0612601059039282E-2</v>
      </c>
      <c r="N252" s="55">
        <v>2987557</v>
      </c>
      <c r="O252" s="55">
        <v>360651</v>
      </c>
      <c r="P252" s="55">
        <v>539816</v>
      </c>
      <c r="R252" s="55">
        <v>539816</v>
      </c>
      <c r="S252" s="55">
        <v>32958.08297627687</v>
      </c>
      <c r="U252" s="171">
        <v>-2.2425268747663485E-2</v>
      </c>
      <c r="V252" s="171">
        <v>0.11642948430620215</v>
      </c>
      <c r="AA252" s="55">
        <v>31009.474645626964</v>
      </c>
      <c r="AB252" s="55">
        <v>0</v>
      </c>
      <c r="AC252" s="55">
        <v>1948.6083306499058</v>
      </c>
      <c r="AE252" s="55">
        <v>0</v>
      </c>
      <c r="AF252" s="55">
        <v>0</v>
      </c>
      <c r="AG252" s="55">
        <v>1948.6083306499058</v>
      </c>
      <c r="AI252" s="55">
        <v>1769.2544050489946</v>
      </c>
      <c r="AJ252" s="55">
        <v>179.353925600911</v>
      </c>
      <c r="AK252" s="55">
        <v>0</v>
      </c>
      <c r="AM252" s="55">
        <v>3020336</v>
      </c>
      <c r="AN252" s="55">
        <v>360830</v>
      </c>
      <c r="AO252" s="55">
        <v>539816</v>
      </c>
      <c r="AP252" s="55"/>
      <c r="AQ252" s="55">
        <v>3920982</v>
      </c>
      <c r="AS252" s="175">
        <v>1154.4519191342185</v>
      </c>
      <c r="AT252" s="175">
        <v>137.91872360598293</v>
      </c>
      <c r="AU252" s="175">
        <v>206.3318839954751</v>
      </c>
      <c r="AV252" s="175"/>
      <c r="AW252" s="175">
        <v>1498.7025267356764</v>
      </c>
      <c r="AY252" s="171">
        <v>-1.1699474355884365E-2</v>
      </c>
      <c r="AZ252" s="171">
        <v>0.11698359583699158</v>
      </c>
      <c r="BA252" s="171">
        <v>-0.135429020428953</v>
      </c>
      <c r="BB252" s="171">
        <f t="shared" si="84"/>
        <v>-2.0612621784948604E-2</v>
      </c>
      <c r="BC252" s="171"/>
      <c r="BE252" s="176">
        <v>4.3895924271925679E-2</v>
      </c>
      <c r="BF252" s="176">
        <v>3.0277592183333146E-2</v>
      </c>
      <c r="BG252" s="176">
        <v>7.6660186811293052E-2</v>
      </c>
      <c r="BH252" s="176">
        <f>AQ252/(VLOOKUP($B252,'2016-17'!$B$12:$D$324,3,FALSE))-1</f>
        <v>4.7008888913883107E-2</v>
      </c>
      <c r="BJ252" s="176">
        <v>3.6139272620527407E-2</v>
      </c>
      <c r="BK252" s="176">
        <v>2.2622131326560879E-2</v>
      </c>
      <c r="BL252" s="176">
        <v>6.8660080841103088E-2</v>
      </c>
      <c r="BM252" s="176">
        <v>3.922910642944899E-2</v>
      </c>
    </row>
    <row r="253" spans="2:65" x14ac:dyDescent="0.2">
      <c r="B253" s="1" t="s">
        <v>516</v>
      </c>
      <c r="D253" s="55">
        <v>15107235.624745047</v>
      </c>
      <c r="E253" s="166">
        <v>1590.7031975318064</v>
      </c>
      <c r="F253" s="171">
        <f>VLOOKUP(B253,'2016-17'!$B$12:$AMX461,33,FALSE)</f>
        <v>4.5357787781504344E-2</v>
      </c>
      <c r="G253" s="171">
        <f>VLOOKUP(B253,'2016-17'!$B$12:$AMX461,34,FALSE)</f>
        <v>3.139894853348979E-2</v>
      </c>
      <c r="I253" s="175">
        <v>14968223.031785131</v>
      </c>
      <c r="J253" s="175">
        <v>1576.0659878124895</v>
      </c>
      <c r="K253" s="171">
        <f t="shared" si="82"/>
        <v>9.2871807605166001E-3</v>
      </c>
      <c r="L253" s="170">
        <f t="shared" si="83"/>
        <v>9.2871807605166001E-3</v>
      </c>
      <c r="N253" s="55">
        <v>11059460</v>
      </c>
      <c r="O253" s="55">
        <v>1164718</v>
      </c>
      <c r="P253" s="55">
        <v>2815662</v>
      </c>
      <c r="R253" s="55">
        <v>2815662</v>
      </c>
      <c r="S253" s="55">
        <v>67395.624745045614</v>
      </c>
      <c r="U253" s="171">
        <v>1.3745155825581445E-2</v>
      </c>
      <c r="V253" s="171">
        <v>-5.4585504801966778E-2</v>
      </c>
      <c r="AA253" s="55">
        <v>0</v>
      </c>
      <c r="AB253" s="55">
        <v>0</v>
      </c>
      <c r="AC253" s="55">
        <v>67395.624745045614</v>
      </c>
      <c r="AE253" s="55">
        <v>0</v>
      </c>
      <c r="AF253" s="55">
        <v>0</v>
      </c>
      <c r="AG253" s="55">
        <v>67395.624745045614</v>
      </c>
      <c r="AI253" s="55">
        <v>60965.716170590124</v>
      </c>
      <c r="AJ253" s="55">
        <v>6429.9085744554941</v>
      </c>
      <c r="AK253" s="55">
        <v>0</v>
      </c>
      <c r="AM253" s="55">
        <v>11120427</v>
      </c>
      <c r="AN253" s="55">
        <v>1171148</v>
      </c>
      <c r="AO253" s="55">
        <v>2815662</v>
      </c>
      <c r="AP253" s="55"/>
      <c r="AQ253" s="55">
        <v>15107237</v>
      </c>
      <c r="AS253" s="175">
        <v>1170.9156609594854</v>
      </c>
      <c r="AT253" s="175">
        <v>123.31500710371819</v>
      </c>
      <c r="AU253" s="175">
        <v>296.47267427487333</v>
      </c>
      <c r="AV253" s="175"/>
      <c r="AW253" s="175">
        <v>1590.7033423380769</v>
      </c>
      <c r="AY253" s="171">
        <v>1.9333584276447935E-2</v>
      </c>
      <c r="AZ253" s="171">
        <v>-4.9366202615408805E-2</v>
      </c>
      <c r="BA253" s="171">
        <v>-3.9226847410862575E-3</v>
      </c>
      <c r="BB253" s="171">
        <f t="shared" si="84"/>
        <v>9.2872726388211202E-3</v>
      </c>
      <c r="BC253" s="171"/>
      <c r="BE253" s="176">
        <v>3.5930010251180144E-2</v>
      </c>
      <c r="BF253" s="176">
        <v>4.7812811868233274E-2</v>
      </c>
      <c r="BG253" s="176">
        <v>8.3237967522644452E-2</v>
      </c>
      <c r="BH253" s="176">
        <f>AQ253/(VLOOKUP($B253,'2016-17'!$B$12:$D$324,3,FALSE))-1</f>
        <v>4.5357882943419581E-2</v>
      </c>
      <c r="BJ253" s="176">
        <v>2.2097061710203647E-2</v>
      </c>
      <c r="BK253" s="176">
        <v>3.3821190268590096E-2</v>
      </c>
      <c r="BL253" s="176">
        <v>6.877330783126312E-2</v>
      </c>
      <c r="BM253" s="176">
        <v>3.1399042424691714E-2</v>
      </c>
    </row>
    <row r="254" spans="2:65" x14ac:dyDescent="0.2">
      <c r="B254" s="1" t="s">
        <v>534</v>
      </c>
      <c r="D254" s="55">
        <v>2897047.4798518755</v>
      </c>
      <c r="E254" s="166">
        <v>1570.9875277670055</v>
      </c>
      <c r="F254" s="171">
        <f>VLOOKUP(B254,'2016-17'!$B$12:$AMX462,33,FALSE)</f>
        <v>4.697556605016362E-2</v>
      </c>
      <c r="G254" s="171">
        <f>VLOOKUP(B254,'2016-17'!$B$12:$AMX462,34,FALSE)</f>
        <v>3.7909670356909952E-2</v>
      </c>
      <c r="I254" s="175">
        <v>2932673.124858249</v>
      </c>
      <c r="J254" s="175">
        <v>1590.3063150367709</v>
      </c>
      <c r="K254" s="171">
        <f t="shared" si="82"/>
        <v>-1.2147840379618025E-2</v>
      </c>
      <c r="L254" s="170">
        <f t="shared" si="83"/>
        <v>-1.2147840379618136E-2</v>
      </c>
      <c r="N254" s="55">
        <v>2190235</v>
      </c>
      <c r="O254" s="55">
        <v>228456</v>
      </c>
      <c r="P254" s="55">
        <v>454754</v>
      </c>
      <c r="R254" s="55">
        <v>454754</v>
      </c>
      <c r="S254" s="55">
        <v>23602.479851875629</v>
      </c>
      <c r="U254" s="171">
        <v>-1.4658774570302624E-2</v>
      </c>
      <c r="V254" s="171">
        <v>-9.2267375918488881E-3</v>
      </c>
      <c r="AA254" s="55">
        <v>11532.592091724626</v>
      </c>
      <c r="AB254" s="55">
        <v>0</v>
      </c>
      <c r="AC254" s="55">
        <v>12069.887760151003</v>
      </c>
      <c r="AE254" s="55">
        <v>0</v>
      </c>
      <c r="AF254" s="55">
        <v>0</v>
      </c>
      <c r="AG254" s="55">
        <v>12069.887760151003</v>
      </c>
      <c r="AI254" s="55">
        <v>10942.461614504989</v>
      </c>
      <c r="AJ254" s="55">
        <v>1127.4261456460149</v>
      </c>
      <c r="AK254" s="55">
        <v>0</v>
      </c>
      <c r="AM254" s="55">
        <v>2212709</v>
      </c>
      <c r="AN254" s="55">
        <v>229583</v>
      </c>
      <c r="AO254" s="55">
        <v>454754</v>
      </c>
      <c r="AP254" s="55"/>
      <c r="AQ254" s="55">
        <v>2897046</v>
      </c>
      <c r="AS254" s="175">
        <v>1199.8899796269602</v>
      </c>
      <c r="AT254" s="175">
        <v>124.49641647080406</v>
      </c>
      <c r="AU254" s="175">
        <v>246.60032918710894</v>
      </c>
      <c r="AV254" s="175"/>
      <c r="AW254" s="175">
        <v>1570.9867252848733</v>
      </c>
      <c r="AY254" s="171">
        <v>-4.5481888567573403E-3</v>
      </c>
      <c r="AZ254" s="171">
        <v>-4.3391379370619765E-3</v>
      </c>
      <c r="BA254" s="171">
        <v>-5.1154361675313287E-2</v>
      </c>
      <c r="BB254" s="171">
        <f t="shared" si="84"/>
        <v>-1.2148344988148319E-2</v>
      </c>
      <c r="BC254" s="171"/>
      <c r="BE254" s="176">
        <v>4.1361938233558604E-2</v>
      </c>
      <c r="BF254" s="176">
        <v>4.1698239054779318E-2</v>
      </c>
      <c r="BG254" s="176">
        <v>7.8004682481979559E-2</v>
      </c>
      <c r="BH254" s="176">
        <f>AQ254/(VLOOKUP($B254,'2016-17'!$B$12:$D$324,3,FALSE))-1</f>
        <v>4.6975031240580556E-2</v>
      </c>
      <c r="BJ254" s="176">
        <v>3.2344651663474888E-2</v>
      </c>
      <c r="BK254" s="176">
        <v>3.2678040412756681E-2</v>
      </c>
      <c r="BL254" s="176">
        <v>6.8670101690289531E-2</v>
      </c>
      <c r="BM254" s="176">
        <v>3.7909140178311596E-2</v>
      </c>
    </row>
    <row r="255" spans="2:65" x14ac:dyDescent="0.2">
      <c r="B255" s="1" t="s">
        <v>535</v>
      </c>
      <c r="D255" s="55">
        <v>3161033.6521391133</v>
      </c>
      <c r="E255" s="166">
        <v>1406.9029919568782</v>
      </c>
      <c r="F255" s="171">
        <f>VLOOKUP(B255,'2016-17'!$B$12:$AMX463,33,FALSE)</f>
        <v>5.5346715041571626E-2</v>
      </c>
      <c r="G255" s="171">
        <f>VLOOKUP(B255,'2016-17'!$B$12:$AMX463,34,FALSE)</f>
        <v>4.7206234127433078E-2</v>
      </c>
      <c r="I255" s="175">
        <v>3200168.4380117599</v>
      </c>
      <c r="J255" s="175">
        <v>1424.3209803090613</v>
      </c>
      <c r="K255" s="171">
        <f t="shared" si="82"/>
        <v>-1.222897689002922E-2</v>
      </c>
      <c r="L255" s="170">
        <f t="shared" si="83"/>
        <v>-1.2228976890029108E-2</v>
      </c>
      <c r="N255" s="55">
        <v>2345593</v>
      </c>
      <c r="O255" s="55">
        <v>272548</v>
      </c>
      <c r="P255" s="55">
        <v>536053</v>
      </c>
      <c r="R255" s="55">
        <v>536053</v>
      </c>
      <c r="S255" s="55">
        <v>6839.6521391135757</v>
      </c>
      <c r="U255" s="171">
        <v>-3.6328966902218651E-2</v>
      </c>
      <c r="V255" s="171">
        <v>1.2067559884690882E-2</v>
      </c>
      <c r="AA255" s="55">
        <v>2282.3451886872062</v>
      </c>
      <c r="AB255" s="55">
        <v>0</v>
      </c>
      <c r="AC255" s="55">
        <v>4557.3069504263694</v>
      </c>
      <c r="AE255" s="55">
        <v>0</v>
      </c>
      <c r="AF255" s="55">
        <v>0</v>
      </c>
      <c r="AG255" s="55">
        <v>4557.3069504263694</v>
      </c>
      <c r="AI255" s="55">
        <v>4111.4186386687143</v>
      </c>
      <c r="AJ255" s="55">
        <v>445.88831175765483</v>
      </c>
      <c r="AK255" s="55">
        <v>0</v>
      </c>
      <c r="AM255" s="55">
        <v>2351987</v>
      </c>
      <c r="AN255" s="55">
        <v>272994</v>
      </c>
      <c r="AO255" s="55">
        <v>536053</v>
      </c>
      <c r="AP255" s="55"/>
      <c r="AQ255" s="55">
        <v>3161034</v>
      </c>
      <c r="AS255" s="175">
        <v>1046.8150331472825</v>
      </c>
      <c r="AT255" s="175">
        <v>121.50331747539815</v>
      </c>
      <c r="AU255" s="175">
        <v>238.58479615903502</v>
      </c>
      <c r="AV255" s="175"/>
      <c r="AW255" s="175">
        <v>1406.9031467817158</v>
      </c>
      <c r="AY255" s="171">
        <v>-3.3702035211329751E-2</v>
      </c>
      <c r="AZ255" s="171">
        <v>1.3723716347804116E-2</v>
      </c>
      <c r="BA255" s="171">
        <v>7.8899099175737231E-2</v>
      </c>
      <c r="BB255" s="171">
        <f t="shared" si="84"/>
        <v>-1.2228868189223752E-2</v>
      </c>
      <c r="BC255" s="171"/>
      <c r="BE255" s="176">
        <v>5.2749619980937856E-2</v>
      </c>
      <c r="BF255" s="176">
        <v>3.6588977741325523E-2</v>
      </c>
      <c r="BG255" s="176">
        <v>7.692858977151884E-2</v>
      </c>
      <c r="BH255" s="176">
        <f>AQ255/(VLOOKUP($B255,'2016-17'!$B$12:$D$324,3,FALSE))-1</f>
        <v>5.5346831178849643E-2</v>
      </c>
      <c r="BJ255" s="176">
        <v>4.4629171917114796E-2</v>
      </c>
      <c r="BK255" s="176">
        <v>2.8593185771880414E-2</v>
      </c>
      <c r="BL255" s="176">
        <v>6.8621635757283084E-2</v>
      </c>
      <c r="BM255" s="176">
        <v>4.7206349368879019E-2</v>
      </c>
    </row>
    <row r="256" spans="2:65" x14ac:dyDescent="0.2">
      <c r="B256" s="1" t="s">
        <v>536</v>
      </c>
      <c r="D256" s="55">
        <v>4561868.0208837995</v>
      </c>
      <c r="E256" s="166">
        <v>1567.2001928167313</v>
      </c>
      <c r="F256" s="171">
        <f>VLOOKUP(B256,'2016-17'!$B$12:$AMX464,33,FALSE)</f>
        <v>4.3238089491108189E-2</v>
      </c>
      <c r="G256" s="171">
        <f>VLOOKUP(B256,'2016-17'!$B$12:$AMX464,34,FALSE)</f>
        <v>3.4909511732537313E-2</v>
      </c>
      <c r="I256" s="175">
        <v>4606919.5164613575</v>
      </c>
      <c r="J256" s="175">
        <v>1582.6773421407818</v>
      </c>
      <c r="K256" s="171">
        <f t="shared" si="82"/>
        <v>-9.7790932566936828E-3</v>
      </c>
      <c r="L256" s="170">
        <f t="shared" si="83"/>
        <v>-9.7790932566934607E-3</v>
      </c>
      <c r="N256" s="55">
        <v>3479227</v>
      </c>
      <c r="O256" s="55">
        <v>346380</v>
      </c>
      <c r="P256" s="55">
        <v>715218</v>
      </c>
      <c r="R256" s="55">
        <v>715218</v>
      </c>
      <c r="S256" s="55">
        <v>21043.020883798716</v>
      </c>
      <c r="U256" s="171">
        <v>-1.4850623589104717E-2</v>
      </c>
      <c r="V256" s="171">
        <v>-4.4741496956303362E-2</v>
      </c>
      <c r="AA256" s="55">
        <v>587.09952987683937</v>
      </c>
      <c r="AB256" s="55">
        <v>0</v>
      </c>
      <c r="AC256" s="55">
        <v>20455.921353921876</v>
      </c>
      <c r="AE256" s="55">
        <v>0</v>
      </c>
      <c r="AF256" s="55">
        <v>0</v>
      </c>
      <c r="AG256" s="55">
        <v>20455.921353921876</v>
      </c>
      <c r="AI256" s="55">
        <v>18601.122669588058</v>
      </c>
      <c r="AJ256" s="55">
        <v>1854.7986843338188</v>
      </c>
      <c r="AK256" s="55">
        <v>0</v>
      </c>
      <c r="AM256" s="55">
        <v>3498415</v>
      </c>
      <c r="AN256" s="55">
        <v>348235</v>
      </c>
      <c r="AO256" s="55">
        <v>715218</v>
      </c>
      <c r="AP256" s="55"/>
      <c r="AQ256" s="55">
        <v>4561868</v>
      </c>
      <c r="AS256" s="175">
        <v>1201.8577997990269</v>
      </c>
      <c r="AT256" s="175">
        <v>119.63387731673176</v>
      </c>
      <c r="AU256" s="175">
        <v>245.70850852647854</v>
      </c>
      <c r="AV256" s="175"/>
      <c r="AW256" s="175">
        <v>1567.2001856422371</v>
      </c>
      <c r="AY256" s="171">
        <v>-9.4175069127360178E-3</v>
      </c>
      <c r="AZ256" s="171">
        <v>-3.9625715089145697E-2</v>
      </c>
      <c r="BA256" s="171">
        <v>3.6153843384083562E-3</v>
      </c>
      <c r="BB256" s="171">
        <f t="shared" si="84"/>
        <v>-9.7790977898312148E-3</v>
      </c>
      <c r="BC256" s="171"/>
      <c r="BE256" s="176">
        <v>3.6441658806689592E-2</v>
      </c>
      <c r="BF256" s="176">
        <v>4.423300668098018E-2</v>
      </c>
      <c r="BG256" s="176">
        <v>7.7292644096967011E-2</v>
      </c>
      <c r="BH256" s="176">
        <f>AQ256/(VLOOKUP($B256,'2016-17'!$B$12:$D$324,3,FALSE))-1</f>
        <v>4.3238084715263136E-2</v>
      </c>
      <c r="BJ256" s="176">
        <v>2.8167339612875875E-2</v>
      </c>
      <c r="BK256" s="176">
        <v>3.5896486109294301E-2</v>
      </c>
      <c r="BL256" s="176">
        <v>6.8692195507638054E-2</v>
      </c>
      <c r="BM256" s="176">
        <v>3.4909506994819539E-2</v>
      </c>
    </row>
    <row r="257" spans="2:65" x14ac:dyDescent="0.2">
      <c r="B257" s="1" t="s">
        <v>537</v>
      </c>
      <c r="D257" s="55">
        <v>4450662.0364081953</v>
      </c>
      <c r="E257" s="166">
        <v>1558.4632819161814</v>
      </c>
      <c r="F257" s="171">
        <f>VLOOKUP(B257,'2016-17'!$B$12:$AMX465,33,FALSE)</f>
        <v>5.0434627296230383E-2</v>
      </c>
      <c r="G257" s="171">
        <f>VLOOKUP(B257,'2016-17'!$B$12:$AMX465,34,FALSE)</f>
        <v>4.3812432875982577E-2</v>
      </c>
      <c r="I257" s="175">
        <v>4470592.5463710576</v>
      </c>
      <c r="J257" s="175">
        <v>1565.4422364431471</v>
      </c>
      <c r="K257" s="171">
        <f t="shared" si="82"/>
        <v>-4.4581360873606757E-3</v>
      </c>
      <c r="L257" s="170">
        <f t="shared" si="83"/>
        <v>-4.4581360873605647E-3</v>
      </c>
      <c r="N257" s="55">
        <v>3420937</v>
      </c>
      <c r="O257" s="55">
        <v>354778</v>
      </c>
      <c r="P257" s="55">
        <v>669028</v>
      </c>
      <c r="R257" s="55">
        <v>669028</v>
      </c>
      <c r="S257" s="55">
        <v>5919.0364081956213</v>
      </c>
      <c r="U257" s="171">
        <v>-2.0437941742130428E-2</v>
      </c>
      <c r="V257" s="171">
        <v>-4.1526984583772908E-3</v>
      </c>
      <c r="AA257" s="55">
        <v>0</v>
      </c>
      <c r="AB257" s="55">
        <v>0</v>
      </c>
      <c r="AC257" s="55">
        <v>5919.0364081956213</v>
      </c>
      <c r="AE257" s="55">
        <v>0</v>
      </c>
      <c r="AF257" s="55">
        <v>0</v>
      </c>
      <c r="AG257" s="55">
        <v>5919.0364081956213</v>
      </c>
      <c r="AI257" s="55">
        <v>5365.8311533347942</v>
      </c>
      <c r="AJ257" s="55">
        <v>553.20525486082704</v>
      </c>
      <c r="AK257" s="55">
        <v>0</v>
      </c>
      <c r="AM257" s="55">
        <v>3426303</v>
      </c>
      <c r="AN257" s="55">
        <v>355331</v>
      </c>
      <c r="AO257" s="55">
        <v>669028</v>
      </c>
      <c r="AP257" s="55"/>
      <c r="AQ257" s="55">
        <v>4450662</v>
      </c>
      <c r="AS257" s="175">
        <v>1199.769242089789</v>
      </c>
      <c r="AT257" s="175">
        <v>124.4242568625737</v>
      </c>
      <c r="AU257" s="175">
        <v>234.26977021496563</v>
      </c>
      <c r="AV257" s="175"/>
      <c r="AW257" s="175">
        <v>1558.4632691673285</v>
      </c>
      <c r="AY257" s="171">
        <v>-1.8901424114178833E-2</v>
      </c>
      <c r="AZ257" s="171">
        <v>-2.6004501291333471E-3</v>
      </c>
      <c r="BA257" s="171">
        <v>7.556892474944199E-2</v>
      </c>
      <c r="BB257" s="171">
        <f t="shared" si="84"/>
        <v>-4.4581442312912056E-3</v>
      </c>
      <c r="BC257" s="171"/>
      <c r="BE257" s="176">
        <v>4.7065118242823445E-2</v>
      </c>
      <c r="BF257" s="176">
        <v>3.7114545481079286E-2</v>
      </c>
      <c r="BG257" s="176">
        <v>7.5495750665898642E-2</v>
      </c>
      <c r="BH257" s="176">
        <f>AQ257/(VLOOKUP($B257,'2016-17'!$B$12:$D$324,3,FALSE))-1</f>
        <v>5.0434618703254941E-2</v>
      </c>
      <c r="BJ257" s="176">
        <v>4.0464166024110515E-2</v>
      </c>
      <c r="BK257" s="176">
        <v>3.0576324084170103E-2</v>
      </c>
      <c r="BL257" s="176">
        <v>6.871556485139263E-2</v>
      </c>
      <c r="BM257" s="176">
        <v>4.3812424337179356E-2</v>
      </c>
    </row>
    <row r="258" spans="2:65" x14ac:dyDescent="0.2">
      <c r="B258" s="1" t="s">
        <v>538</v>
      </c>
      <c r="D258" s="55">
        <v>2306485.8509187493</v>
      </c>
      <c r="E258" s="166">
        <v>1471.9462707276266</v>
      </c>
      <c r="F258" s="171">
        <f>VLOOKUP(B258,'2016-17'!$B$12:$AMX466,33,FALSE)</f>
        <v>4.5410227433755557E-2</v>
      </c>
      <c r="G258" s="171">
        <f>VLOOKUP(B258,'2016-17'!$B$12:$AMX466,34,FALSE)</f>
        <v>3.8047922646858412E-2</v>
      </c>
      <c r="I258" s="175">
        <v>2348809.5892770193</v>
      </c>
      <c r="J258" s="175">
        <v>1498.9563080165574</v>
      </c>
      <c r="K258" s="171">
        <f t="shared" si="82"/>
        <v>-1.8019229209336407E-2</v>
      </c>
      <c r="L258" s="170">
        <f t="shared" si="83"/>
        <v>-1.8019229209336296E-2</v>
      </c>
      <c r="N258" s="55">
        <v>1772070</v>
      </c>
      <c r="O258" s="55">
        <v>189998</v>
      </c>
      <c r="P258" s="55">
        <v>333876</v>
      </c>
      <c r="R258" s="55">
        <v>333876</v>
      </c>
      <c r="S258" s="55">
        <v>10541.850918749406</v>
      </c>
      <c r="U258" s="171">
        <v>-2.8049213339220946E-2</v>
      </c>
      <c r="V258" s="171">
        <v>6.1329114553405617E-3</v>
      </c>
      <c r="AA258" s="55">
        <v>10541.850918749406</v>
      </c>
      <c r="AB258" s="55">
        <v>0</v>
      </c>
      <c r="AC258" s="55">
        <v>0</v>
      </c>
      <c r="AE258" s="55">
        <v>0</v>
      </c>
      <c r="AF258" s="55">
        <v>0</v>
      </c>
      <c r="AG258" s="55">
        <v>0</v>
      </c>
      <c r="AI258" s="55">
        <v>0</v>
      </c>
      <c r="AJ258" s="55">
        <v>0</v>
      </c>
      <c r="AK258" s="55">
        <v>0</v>
      </c>
      <c r="AM258" s="55">
        <v>1782612</v>
      </c>
      <c r="AN258" s="55">
        <v>189998</v>
      </c>
      <c r="AO258" s="55">
        <v>333876</v>
      </c>
      <c r="AP258" s="55"/>
      <c r="AQ258" s="55">
        <v>2306486</v>
      </c>
      <c r="AS258" s="175">
        <v>1137.6220168483264</v>
      </c>
      <c r="AT258" s="175">
        <v>121.25235775207858</v>
      </c>
      <c r="AU258" s="175">
        <v>213.07199126745013</v>
      </c>
      <c r="AV258" s="175"/>
      <c r="AW258" s="175">
        <v>1471.9463658678551</v>
      </c>
      <c r="AY258" s="171">
        <v>-2.2267102478488621E-2</v>
      </c>
      <c r="AZ258" s="171">
        <v>6.1329114553405617E-3</v>
      </c>
      <c r="BA258" s="171">
        <v>-8.5643526686477456E-3</v>
      </c>
      <c r="BB258" s="171">
        <f t="shared" si="84"/>
        <v>-1.8019165738354603E-2</v>
      </c>
      <c r="BC258" s="171"/>
      <c r="BE258" s="176">
        <v>4.0866859557802115E-2</v>
      </c>
      <c r="BF258" s="176">
        <v>3.5654131485852281E-2</v>
      </c>
      <c r="BG258" s="176">
        <v>7.6262888043624244E-2</v>
      </c>
      <c r="BH258" s="176">
        <f>AQ258/(VLOOKUP($B258,'2016-17'!$B$12:$D$324,3,FALSE))-1</f>
        <v>4.5410295004542522E-2</v>
      </c>
      <c r="BJ258" s="176">
        <v>3.3536551453340335E-2</v>
      </c>
      <c r="BK258" s="176">
        <v>2.8360534035093421E-2</v>
      </c>
      <c r="BL258" s="176">
        <v>6.8683303298165743E-2</v>
      </c>
      <c r="BM258" s="176">
        <v>3.8047989741778032E-2</v>
      </c>
    </row>
    <row r="259" spans="2:65" x14ac:dyDescent="0.2">
      <c r="B259" s="1" t="s">
        <v>539</v>
      </c>
      <c r="D259" s="55">
        <v>2387011.6044582594</v>
      </c>
      <c r="E259" s="166">
        <v>1547.3120714575382</v>
      </c>
      <c r="F259" s="171">
        <f>VLOOKUP(B259,'2016-17'!$B$12:$AMX467,33,FALSE)</f>
        <v>3.7997628253051641E-2</v>
      </c>
      <c r="G259" s="171">
        <f>VLOOKUP(B259,'2016-17'!$B$12:$AMX467,34,FALSE)</f>
        <v>2.9272263883262539E-2</v>
      </c>
      <c r="I259" s="175">
        <v>2391850.6433806648</v>
      </c>
      <c r="J259" s="175">
        <v>1550.4488401791086</v>
      </c>
      <c r="K259" s="171">
        <f t="shared" si="82"/>
        <v>-2.0231359076693378E-3</v>
      </c>
      <c r="L259" s="170">
        <f t="shared" si="83"/>
        <v>-2.0231359076692268E-3</v>
      </c>
      <c r="N259" s="55">
        <v>1803229</v>
      </c>
      <c r="O259" s="55">
        <v>201883</v>
      </c>
      <c r="P259" s="55">
        <v>381740</v>
      </c>
      <c r="R259" s="55">
        <v>381740</v>
      </c>
      <c r="S259" s="55">
        <v>159.60445825930219</v>
      </c>
      <c r="U259" s="171">
        <v>-1.4448384425840288E-2</v>
      </c>
      <c r="V259" s="171">
        <v>6.4372082044580115E-2</v>
      </c>
      <c r="AA259" s="55">
        <v>159.60445825930219</v>
      </c>
      <c r="AB259" s="55">
        <v>0</v>
      </c>
      <c r="AC259" s="55">
        <v>0</v>
      </c>
      <c r="AE259" s="55">
        <v>0</v>
      </c>
      <c r="AF259" s="55">
        <v>0</v>
      </c>
      <c r="AG259" s="55">
        <v>0</v>
      </c>
      <c r="AI259" s="55">
        <v>0</v>
      </c>
      <c r="AJ259" s="55">
        <v>0</v>
      </c>
      <c r="AK259" s="55">
        <v>0</v>
      </c>
      <c r="AM259" s="55">
        <v>1803389</v>
      </c>
      <c r="AN259" s="55">
        <v>201883</v>
      </c>
      <c r="AO259" s="55">
        <v>381740</v>
      </c>
      <c r="AP259" s="55"/>
      <c r="AQ259" s="55">
        <v>2387012</v>
      </c>
      <c r="AS259" s="175">
        <v>1168.9953932448645</v>
      </c>
      <c r="AT259" s="175">
        <v>130.86488659654296</v>
      </c>
      <c r="AU259" s="175">
        <v>247.45204801476254</v>
      </c>
      <c r="AV259" s="175"/>
      <c r="AW259" s="175">
        <v>1547.31232785617</v>
      </c>
      <c r="AY259" s="171">
        <v>-1.4360936709276295E-2</v>
      </c>
      <c r="AZ259" s="171">
        <v>6.4372082044580115E-2</v>
      </c>
      <c r="BA259" s="171">
        <v>2.4770673357767281E-2</v>
      </c>
      <c r="BB259" s="171">
        <f t="shared" si="84"/>
        <v>-2.0229705370841122E-3</v>
      </c>
      <c r="BC259" s="171"/>
      <c r="BE259" s="176">
        <v>3.0578988690096676E-2</v>
      </c>
      <c r="BF259" s="176">
        <v>3.2005939670005645E-2</v>
      </c>
      <c r="BG259" s="176">
        <v>7.796667575012628E-2</v>
      </c>
      <c r="BH259" s="176">
        <f>AQ259/(VLOOKUP($B259,'2016-17'!$B$12:$D$324,3,FALSE))-1</f>
        <v>3.7997800255310743E-2</v>
      </c>
      <c r="BJ259" s="176">
        <v>2.1915985092194834E-2</v>
      </c>
      <c r="BK259" s="176">
        <v>2.3330941182232667E-2</v>
      </c>
      <c r="BL259" s="176">
        <v>6.8905333249527523E-2</v>
      </c>
      <c r="BM259" s="176">
        <v>2.9272434439677752E-2</v>
      </c>
    </row>
    <row r="260" spans="2:65" x14ac:dyDescent="0.2">
      <c r="B260" s="1" t="s">
        <v>540</v>
      </c>
      <c r="D260" s="55">
        <v>2919961</v>
      </c>
      <c r="E260" s="166">
        <v>1659.3903969317621</v>
      </c>
      <c r="F260" s="171">
        <f>VLOOKUP(B260,'2016-17'!$B$12:$AMX468,33,FALSE)</f>
        <v>3.5994537934233461E-2</v>
      </c>
      <c r="G260" s="171">
        <f>VLOOKUP(B260,'2016-17'!$B$12:$AMX468,34,FALSE)</f>
        <v>2.9750959421238177E-2</v>
      </c>
      <c r="I260" s="175">
        <v>2877851.4299532166</v>
      </c>
      <c r="J260" s="175">
        <v>1635.4598662998262</v>
      </c>
      <c r="K260" s="171">
        <f t="shared" si="82"/>
        <v>1.4632294637763055E-2</v>
      </c>
      <c r="L260" s="170">
        <f t="shared" si="83"/>
        <v>1.4632294637763277E-2</v>
      </c>
      <c r="N260" s="55">
        <v>2259814</v>
      </c>
      <c r="O260" s="55">
        <v>236330</v>
      </c>
      <c r="P260" s="55">
        <v>423817</v>
      </c>
      <c r="R260" s="55">
        <v>423817</v>
      </c>
      <c r="S260" s="55">
        <v>0</v>
      </c>
      <c r="U260" s="171">
        <v>1.4945980915188839E-2</v>
      </c>
      <c r="V260" s="171">
        <v>6.2578282240507876E-2</v>
      </c>
      <c r="AA260" s="55">
        <v>0</v>
      </c>
      <c r="AB260" s="55">
        <v>0</v>
      </c>
      <c r="AC260" s="55">
        <v>0</v>
      </c>
      <c r="AE260" s="55">
        <v>0</v>
      </c>
      <c r="AF260" s="55">
        <v>0</v>
      </c>
      <c r="AG260" s="55">
        <v>0</v>
      </c>
      <c r="AI260" s="55">
        <v>0</v>
      </c>
      <c r="AJ260" s="55">
        <v>0</v>
      </c>
      <c r="AK260" s="55">
        <v>0</v>
      </c>
      <c r="AM260" s="55">
        <v>2259814</v>
      </c>
      <c r="AN260" s="55">
        <v>236330</v>
      </c>
      <c r="AO260" s="55">
        <v>423817</v>
      </c>
      <c r="AP260" s="55"/>
      <c r="AQ260" s="55">
        <v>2919961</v>
      </c>
      <c r="AS260" s="175">
        <v>1284.2341560219306</v>
      </c>
      <c r="AT260" s="175">
        <v>134.30444191099926</v>
      </c>
      <c r="AU260" s="175">
        <v>240.85179899883204</v>
      </c>
      <c r="AV260" s="175"/>
      <c r="AW260" s="175">
        <v>1659.3903969317621</v>
      </c>
      <c r="AY260" s="171">
        <v>1.4945980915188839E-2</v>
      </c>
      <c r="AZ260" s="171">
        <v>6.2578282240507876E-2</v>
      </c>
      <c r="BA260" s="171">
        <v>-1.1858964084519807E-2</v>
      </c>
      <c r="BB260" s="171">
        <f t="shared" si="84"/>
        <v>1.4632294637763055E-2</v>
      </c>
      <c r="BC260" s="171"/>
      <c r="BE260" s="176">
        <v>2.9235605933153108E-2</v>
      </c>
      <c r="BF260" s="176">
        <v>3.3361937392283769E-2</v>
      </c>
      <c r="BG260" s="176">
        <v>7.5169280391904403E-2</v>
      </c>
      <c r="BH260" s="176">
        <f>AQ260/(VLOOKUP($B260,'2016-17'!$B$12:$D$324,3,FALSE))-1</f>
        <v>3.5994537934233461E-2</v>
      </c>
      <c r="BJ260" s="176">
        <v>2.3032761150952208E-2</v>
      </c>
      <c r="BK260" s="176">
        <v>2.7134224646505611E-2</v>
      </c>
      <c r="BL260" s="176">
        <v>6.8689609340478963E-2</v>
      </c>
      <c r="BM260" s="176">
        <v>2.9750959421238177E-2</v>
      </c>
    </row>
    <row r="261" spans="2:65" ht="15" x14ac:dyDescent="0.25">
      <c r="B261"/>
      <c r="D261" s="1"/>
      <c r="N261" s="1"/>
      <c r="O261" s="1"/>
      <c r="P261" s="1"/>
      <c r="R261" s="1"/>
      <c r="S261" s="1"/>
      <c r="AA261" s="1"/>
      <c r="AB261" s="1"/>
      <c r="AC261" s="1"/>
      <c r="AE261" s="1"/>
      <c r="AF261" s="1"/>
      <c r="AG261" s="1"/>
      <c r="AI261" s="1"/>
      <c r="AJ261" s="1"/>
      <c r="AK261" s="1"/>
      <c r="AM261" s="1"/>
      <c r="AN261" s="1"/>
      <c r="AO261" s="1"/>
      <c r="AP261" s="1"/>
      <c r="AQ261" s="1"/>
      <c r="BE261" s="1"/>
      <c r="BF261" s="1"/>
      <c r="BG261" s="1"/>
      <c r="BH261" s="1"/>
      <c r="BJ261" s="1"/>
      <c r="BK261" s="1"/>
      <c r="BL261" s="1"/>
      <c r="BM261" s="1"/>
    </row>
    <row r="262" spans="2:65" x14ac:dyDescent="0.2">
      <c r="B262" s="1" t="s">
        <v>12</v>
      </c>
      <c r="D262" s="172">
        <f>SUM(D236:D260)</f>
        <v>92393044.18463482</v>
      </c>
      <c r="E262" s="166">
        <v>1599.661845129845</v>
      </c>
      <c r="F262" s="171">
        <f>VLOOKUP(B262,'2016-17'!$B$12:$AMX470,33,FALSE)</f>
        <v>4.3535153838077711E-2</v>
      </c>
      <c r="G262" s="171">
        <f>VLOOKUP(B262,'2016-17'!$B$12:$AMX470,34,FALSE)</f>
        <v>3.5790004846285806E-2</v>
      </c>
      <c r="I262" s="175">
        <f>SUM(I236:I260)</f>
        <v>92393127.908494964</v>
      </c>
      <c r="J262" s="175">
        <v>1599.6632946963764</v>
      </c>
      <c r="K262" s="171">
        <f t="shared" ref="K262" si="85">D262/I262-1</f>
        <v>-9.0616977732604909E-7</v>
      </c>
      <c r="L262" s="170">
        <f t="shared" ref="L262" si="86">E262/J262-1</f>
        <v>-9.0616977721502678E-7</v>
      </c>
      <c r="N262" s="172">
        <f>SUM(N236:N260)</f>
        <v>70245190</v>
      </c>
      <c r="O262" s="172">
        <f>SUM(O236:O260)</f>
        <v>7323728</v>
      </c>
      <c r="P262" s="172">
        <f>SUM(P236:P260)</f>
        <v>14507484</v>
      </c>
      <c r="R262" s="172">
        <f>SUM(R236:R260)</f>
        <v>14507484</v>
      </c>
      <c r="S262" s="172">
        <f>SUM(S236:S260)</f>
        <v>316642.18463481677</v>
      </c>
      <c r="U262" s="171">
        <v>-4.358843443412419E-3</v>
      </c>
      <c r="V262" s="171">
        <v>-1.2371808858836486E-3</v>
      </c>
      <c r="AA262" s="172">
        <f>SUM(AA236:AA260)</f>
        <v>98131.013781613321</v>
      </c>
      <c r="AB262" s="172">
        <f>SUM(AB236:AB260)</f>
        <v>0</v>
      </c>
      <c r="AC262" s="172">
        <f>SUM(AC236:AC260)</f>
        <v>218511.17085320345</v>
      </c>
      <c r="AE262" s="172">
        <f>SUM(AE236:AE260)</f>
        <v>0</v>
      </c>
      <c r="AF262" s="172">
        <f>SUM(AF236:AF260)</f>
        <v>148.31713458750164</v>
      </c>
      <c r="AG262" s="172">
        <f>SUM(AG236:AG260)</f>
        <v>218362.85371861595</v>
      </c>
      <c r="AI262" s="172">
        <f>SUM(AI236:AI260)</f>
        <v>198007.60162548604</v>
      </c>
      <c r="AJ262" s="172">
        <f>SUM(AJ236:AJ260)</f>
        <v>20355.25209312993</v>
      </c>
      <c r="AK262" s="172">
        <f>SUM(AK236:AK260)</f>
        <v>0</v>
      </c>
      <c r="AM262" s="172">
        <f>SUM(AM236:AM260)</f>
        <v>70541332</v>
      </c>
      <c r="AN262" s="172">
        <f>SUM(AN236:AN260)</f>
        <v>7344230</v>
      </c>
      <c r="AO262" s="172">
        <f>SUM(AO236:AO260)</f>
        <v>14507484</v>
      </c>
      <c r="AP262" s="172"/>
      <c r="AQ262" s="172">
        <f>SUM(AQ236:AQ260)</f>
        <v>92393046</v>
      </c>
      <c r="AS262" s="175">
        <v>1221.3287082470968</v>
      </c>
      <c r="AT262" s="175">
        <v>127.15550847508203</v>
      </c>
      <c r="AU262" s="175">
        <v>251.17765983828352</v>
      </c>
      <c r="AV262" s="175"/>
      <c r="AW262" s="175">
        <v>1599.6618765604621</v>
      </c>
      <c r="AY262" s="171">
        <v>-1.6138645902696869E-4</v>
      </c>
      <c r="AZ262" s="171">
        <v>1.5587497272517847E-3</v>
      </c>
      <c r="BA262" s="171">
        <v>-8.6613249400402381E-6</v>
      </c>
      <c r="BB262" s="171">
        <f t="shared" ref="BB262" si="87">SUM(AM262:AO262)/I262-1</f>
        <v>-8.8652150675994079E-7</v>
      </c>
      <c r="BC262" s="171"/>
      <c r="BE262" s="176">
        <v>3.7369768177528684E-2</v>
      </c>
      <c r="BF262" s="176">
        <v>3.9264425125302704E-2</v>
      </c>
      <c r="BG262" s="176">
        <v>7.6896479441228349E-2</v>
      </c>
      <c r="BH262" s="176">
        <f>AQ262/(VLOOKUP($B262,'2016-17'!$B$12:$D$324,3,FALSE))-1</f>
        <v>4.3535174341757576E-2</v>
      </c>
      <c r="BJ262" s="176">
        <v>2.967037886173518E-2</v>
      </c>
      <c r="BK262" s="176">
        <v>3.1550973609213662E-2</v>
      </c>
      <c r="BL262" s="176">
        <v>6.8903721697196829E-2</v>
      </c>
      <c r="BM262" s="176">
        <v>3.5790025197786512E-2</v>
      </c>
    </row>
    <row r="263" spans="2:65" ht="15" x14ac:dyDescent="0.25">
      <c r="B263"/>
      <c r="D263" s="1"/>
      <c r="N263" s="1"/>
      <c r="O263" s="1"/>
      <c r="P263" s="1"/>
      <c r="R263" s="1"/>
      <c r="S263" s="1"/>
      <c r="AA263" s="1"/>
      <c r="AB263" s="1"/>
      <c r="AC263" s="1"/>
      <c r="AE263" s="1"/>
      <c r="AF263" s="1"/>
      <c r="AG263" s="1"/>
      <c r="AI263" s="1"/>
      <c r="AJ263" s="1"/>
      <c r="AK263" s="1"/>
      <c r="AM263" s="1"/>
      <c r="AN263" s="1"/>
      <c r="AO263" s="1"/>
      <c r="AP263" s="1"/>
      <c r="AQ263" s="1"/>
      <c r="BE263" s="1"/>
      <c r="BF263" s="1"/>
      <c r="BG263" s="1"/>
      <c r="BH263" s="1"/>
      <c r="BJ263" s="1"/>
      <c r="BK263" s="1"/>
      <c r="BL263" s="1"/>
      <c r="BM263" s="1"/>
    </row>
    <row r="264" spans="2:65" ht="15" x14ac:dyDescent="0.25">
      <c r="B264" s="174" t="s">
        <v>541</v>
      </c>
      <c r="D264" s="1"/>
      <c r="N264" s="1"/>
      <c r="O264" s="1"/>
      <c r="P264" s="1"/>
      <c r="R264" s="1"/>
      <c r="S264" s="1"/>
      <c r="AA264" s="1"/>
      <c r="AB264" s="1"/>
      <c r="AC264" s="1"/>
      <c r="AE264" s="1"/>
      <c r="AF264" s="1"/>
      <c r="AG264" s="1"/>
      <c r="AI264" s="1"/>
      <c r="AJ264" s="1"/>
      <c r="AK264" s="1"/>
      <c r="AM264" s="1"/>
      <c r="AN264" s="1"/>
      <c r="AO264" s="1"/>
      <c r="AP264" s="1"/>
      <c r="AQ264" s="1"/>
      <c r="BE264" s="1"/>
      <c r="BF264" s="1"/>
      <c r="BG264" s="1"/>
      <c r="BH264" s="1"/>
      <c r="BJ264" s="1"/>
      <c r="BK264" s="1"/>
      <c r="BL264" s="1"/>
      <c r="BM264" s="1"/>
    </row>
    <row r="265" spans="2:65" ht="15" x14ac:dyDescent="0.25">
      <c r="B265" t="s">
        <v>542</v>
      </c>
      <c r="D265" s="55">
        <v>6792294.0199458832</v>
      </c>
      <c r="E265" s="166">
        <v>1451.8673693859364</v>
      </c>
      <c r="F265" s="171">
        <f>VLOOKUP(B265,'2016-17'!$B$12:$AMX473,33,FALSE)</f>
        <v>4.9170650374010139E-2</v>
      </c>
      <c r="G265" s="171">
        <f>VLOOKUP(B265,'2016-17'!$B$12:$AMX473,34,FALSE)</f>
        <v>4.0643120028416524E-2</v>
      </c>
      <c r="I265" s="175">
        <v>6898059.6670710519</v>
      </c>
      <c r="J265" s="175">
        <v>1474.4750025967619</v>
      </c>
      <c r="K265" s="171">
        <f t="shared" ref="K265:K274" si="88">D265/I265-1</f>
        <v>-1.5332666319205268E-2</v>
      </c>
      <c r="L265" s="170">
        <f t="shared" ref="L265:L274" si="89">E265/J265-1</f>
        <v>-1.5332666319205268E-2</v>
      </c>
      <c r="N265" s="55">
        <v>5150225</v>
      </c>
      <c r="O265" s="55">
        <v>549666</v>
      </c>
      <c r="P265" s="55">
        <v>1068353</v>
      </c>
      <c r="R265" s="55">
        <v>1068353</v>
      </c>
      <c r="S265" s="55">
        <v>24050.019945882959</v>
      </c>
      <c r="U265" s="171">
        <v>-2.9757872199470792E-2</v>
      </c>
      <c r="V265" s="171">
        <v>-5.9794044377459166E-3</v>
      </c>
      <c r="AA265" s="55">
        <v>3207.8242133227177</v>
      </c>
      <c r="AB265" s="55">
        <v>0</v>
      </c>
      <c r="AC265" s="55">
        <v>20842.195732560242</v>
      </c>
      <c r="AE265" s="55">
        <v>0</v>
      </c>
      <c r="AF265" s="55">
        <v>0</v>
      </c>
      <c r="AG265" s="55">
        <v>20842.195732560242</v>
      </c>
      <c r="AI265" s="55">
        <v>18893.03487094256</v>
      </c>
      <c r="AJ265" s="55">
        <v>1949.1608616176802</v>
      </c>
      <c r="AK265" s="55">
        <v>0</v>
      </c>
      <c r="AM265" s="55">
        <v>5172327</v>
      </c>
      <c r="AN265" s="55">
        <v>551615</v>
      </c>
      <c r="AO265" s="55">
        <v>1068353</v>
      </c>
      <c r="AP265" s="55"/>
      <c r="AQ265" s="55">
        <v>6792295</v>
      </c>
      <c r="AS265" s="175">
        <v>1105.5959552165682</v>
      </c>
      <c r="AT265" s="175">
        <v>117.90888565954691</v>
      </c>
      <c r="AU265" s="175">
        <v>228.36273799848431</v>
      </c>
      <c r="AV265" s="175"/>
      <c r="AW265" s="175">
        <v>1451.8675788745995</v>
      </c>
      <c r="AY265" s="171">
        <v>-2.5594114012469804E-2</v>
      </c>
      <c r="AZ265" s="171">
        <v>-2.454816522992509E-3</v>
      </c>
      <c r="BA265" s="171">
        <v>3.0331777709945662E-2</v>
      </c>
      <c r="BB265" s="171">
        <f t="shared" ref="BB265:BB274" si="90">SUM(AM265:AO265)/I265-1</f>
        <v>-1.5332524242423706E-2</v>
      </c>
      <c r="BC265" s="171"/>
      <c r="BE265" s="176">
        <v>4.45137024110418E-2</v>
      </c>
      <c r="BF265" s="176">
        <v>3.9703499765698869E-2</v>
      </c>
      <c r="BG265" s="176">
        <v>7.7495504001798832E-2</v>
      </c>
      <c r="BH265" s="176">
        <f>AQ265/(VLOOKUP($B265,'2016-17'!$B$12:$D$324,3,FALSE))-1</f>
        <v>4.9170801757918436E-2</v>
      </c>
      <c r="BJ265" s="176">
        <v>3.6024023167228414E-2</v>
      </c>
      <c r="BK265" s="176">
        <v>3.1252917258924429E-2</v>
      </c>
      <c r="BL265" s="176">
        <v>6.8737752720498202E-2</v>
      </c>
      <c r="BM265" s="176">
        <v>4.0643270181895064E-2</v>
      </c>
    </row>
    <row r="266" spans="2:65" ht="15" x14ac:dyDescent="0.25">
      <c r="B266" t="s">
        <v>543</v>
      </c>
      <c r="D266" s="55">
        <v>10157581.073780932</v>
      </c>
      <c r="E266" s="166">
        <v>1479.1718073288225</v>
      </c>
      <c r="F266" s="171">
        <f>VLOOKUP(B266,'2016-17'!$B$12:$AMX474,33,FALSE)</f>
        <v>5.4709953853251836E-2</v>
      </c>
      <c r="G266" s="171">
        <f>VLOOKUP(B266,'2016-17'!$B$12:$AMX474,34,FALSE)</f>
        <v>4.6394590903688693E-2</v>
      </c>
      <c r="I266" s="175">
        <v>10347058.486989811</v>
      </c>
      <c r="J266" s="175">
        <v>1506.7639718125113</v>
      </c>
      <c r="K266" s="171">
        <f t="shared" si="88"/>
        <v>-1.8312200848881299E-2</v>
      </c>
      <c r="L266" s="170">
        <f t="shared" si="89"/>
        <v>-1.8312200848881299E-2</v>
      </c>
      <c r="N266" s="55">
        <v>7686886</v>
      </c>
      <c r="O266" s="55">
        <v>821167</v>
      </c>
      <c r="P266" s="55">
        <v>1571684</v>
      </c>
      <c r="R266" s="55">
        <v>1571684</v>
      </c>
      <c r="S266" s="55">
        <v>77844.073780929146</v>
      </c>
      <c r="U266" s="171">
        <v>-3.1772862142300795E-2</v>
      </c>
      <c r="V266" s="171">
        <v>9.8502181474238171E-3</v>
      </c>
      <c r="AA266" s="55">
        <v>32433.730982581561</v>
      </c>
      <c r="AB266" s="55">
        <v>0</v>
      </c>
      <c r="AC266" s="55">
        <v>45410.342798347585</v>
      </c>
      <c r="AE266" s="55">
        <v>0</v>
      </c>
      <c r="AF266" s="55">
        <v>0</v>
      </c>
      <c r="AG266" s="55">
        <v>45410.342798347585</v>
      </c>
      <c r="AI266" s="55">
        <v>41278.577726884469</v>
      </c>
      <c r="AJ266" s="55">
        <v>4131.7650714631136</v>
      </c>
      <c r="AK266" s="55">
        <v>0</v>
      </c>
      <c r="AM266" s="55">
        <v>7760600</v>
      </c>
      <c r="AN266" s="55">
        <v>825299</v>
      </c>
      <c r="AO266" s="55">
        <v>1571684</v>
      </c>
      <c r="AP266" s="55"/>
      <c r="AQ266" s="55">
        <v>10157583</v>
      </c>
      <c r="AS266" s="175">
        <v>1130.1175589517754</v>
      </c>
      <c r="AT266" s="175">
        <v>120.18205954247625</v>
      </c>
      <c r="AU266" s="175">
        <v>228.87246933530423</v>
      </c>
      <c r="AV266" s="175"/>
      <c r="AW266" s="175">
        <v>1479.1720878295559</v>
      </c>
      <c r="AY266" s="171">
        <v>-2.2487971584532307E-2</v>
      </c>
      <c r="AZ266" s="171">
        <v>1.4931646287357658E-2</v>
      </c>
      <c r="BA266" s="171">
        <v>-1.447373256916451E-2</v>
      </c>
      <c r="BB266" s="171">
        <f t="shared" si="90"/>
        <v>-1.8312014687851041E-2</v>
      </c>
      <c r="BC266" s="171"/>
      <c r="BE266" s="176">
        <v>5.1861766112368812E-2</v>
      </c>
      <c r="BF266" s="176">
        <v>3.9816362116055659E-2</v>
      </c>
      <c r="BG266" s="176">
        <v>7.7215925322917656E-2</v>
      </c>
      <c r="BH266" s="176">
        <f>AQ266/(VLOOKUP($B266,'2016-17'!$B$12:$D$324,3,FALSE))-1</f>
        <v>5.4710153861739164E-2</v>
      </c>
      <c r="BJ266" s="176">
        <v>4.3568858355085949E-2</v>
      </c>
      <c r="BK266" s="176">
        <v>3.161842066276721E-2</v>
      </c>
      <c r="BL266" s="176">
        <v>6.8723124661100643E-2</v>
      </c>
      <c r="BM266" s="176">
        <v>4.6394789335303388E-2</v>
      </c>
    </row>
    <row r="267" spans="2:65" ht="15" x14ac:dyDescent="0.25">
      <c r="B267" t="s">
        <v>544</v>
      </c>
      <c r="D267" s="55">
        <v>10607303.696333608</v>
      </c>
      <c r="E267" s="166">
        <v>1546.3512049297403</v>
      </c>
      <c r="F267" s="171">
        <f>VLOOKUP(B267,'2016-17'!$B$12:$AMX475,33,FALSE)</f>
        <v>4.4769961796787827E-2</v>
      </c>
      <c r="G267" s="171">
        <f>VLOOKUP(B267,'2016-17'!$B$12:$AMX475,34,FALSE)</f>
        <v>3.6839327104724928E-2</v>
      </c>
      <c r="I267" s="175">
        <v>10763035.293479767</v>
      </c>
      <c r="J267" s="175">
        <v>1569.0540283603389</v>
      </c>
      <c r="K267" s="171">
        <f t="shared" si="88"/>
        <v>-1.4469115161268808E-2</v>
      </c>
      <c r="L267" s="170">
        <f t="shared" si="89"/>
        <v>-1.4469115161268808E-2</v>
      </c>
      <c r="N267" s="55">
        <v>8103940</v>
      </c>
      <c r="O267" s="55">
        <v>866271</v>
      </c>
      <c r="P267" s="55">
        <v>1576005</v>
      </c>
      <c r="R267" s="55">
        <v>1576005</v>
      </c>
      <c r="S267" s="55">
        <v>61087.696333608445</v>
      </c>
      <c r="U267" s="171">
        <v>-2.2775916901361493E-2</v>
      </c>
      <c r="V267" s="171">
        <v>2.1800116440230832E-2</v>
      </c>
      <c r="AA267" s="55">
        <v>24377.820057525067</v>
      </c>
      <c r="AB267" s="55">
        <v>0</v>
      </c>
      <c r="AC267" s="55">
        <v>36709.876276083378</v>
      </c>
      <c r="AE267" s="55">
        <v>0</v>
      </c>
      <c r="AF267" s="55">
        <v>0</v>
      </c>
      <c r="AG267" s="55">
        <v>36709.876276083378</v>
      </c>
      <c r="AI267" s="55">
        <v>33392.712003482702</v>
      </c>
      <c r="AJ267" s="55">
        <v>3317.1642726006785</v>
      </c>
      <c r="AK267" s="55">
        <v>0</v>
      </c>
      <c r="AM267" s="55">
        <v>8161712</v>
      </c>
      <c r="AN267" s="55">
        <v>869587</v>
      </c>
      <c r="AO267" s="55">
        <v>1576005</v>
      </c>
      <c r="AP267" s="55"/>
      <c r="AQ267" s="55">
        <v>10607304</v>
      </c>
      <c r="AS267" s="175">
        <v>1189.8285885650564</v>
      </c>
      <c r="AT267" s="175">
        <v>126.76990720139618</v>
      </c>
      <c r="AU267" s="175">
        <v>229.75275343230336</v>
      </c>
      <c r="AV267" s="175"/>
      <c r="AW267" s="175">
        <v>1546.3512491987558</v>
      </c>
      <c r="AY267" s="171">
        <v>-1.5809405583561253E-2</v>
      </c>
      <c r="AZ267" s="171">
        <v>2.5711466567518659E-2</v>
      </c>
      <c r="BA267" s="171">
        <v>-2.8614303118127071E-2</v>
      </c>
      <c r="BB267" s="171">
        <f t="shared" si="90"/>
        <v>-1.4469086947443976E-2</v>
      </c>
      <c r="BC267" s="171"/>
      <c r="BE267" s="176">
        <v>3.9570386018958459E-2</v>
      </c>
      <c r="BF267" s="176">
        <v>3.741720204037069E-2</v>
      </c>
      <c r="BG267" s="176">
        <v>7.68749813162104E-2</v>
      </c>
      <c r="BH267" s="176">
        <f>AQ267/(VLOOKUP($B267,'2016-17'!$B$12:$D$324,3,FALSE))-1</f>
        <v>4.4769991706511636E-2</v>
      </c>
      <c r="BJ267" s="176">
        <v>3.1679220241159545E-2</v>
      </c>
      <c r="BK267" s="176">
        <v>2.9542380640935839E-2</v>
      </c>
      <c r="BL267" s="176">
        <v>6.8700643999742184E-2</v>
      </c>
      <c r="BM267" s="176">
        <v>3.6839356787410349E-2</v>
      </c>
    </row>
    <row r="268" spans="2:65" ht="15" x14ac:dyDescent="0.25">
      <c r="B268" t="s">
        <v>545</v>
      </c>
      <c r="D268" s="55">
        <v>8396775.9080876131</v>
      </c>
      <c r="E268" s="166">
        <v>1555.5385669689995</v>
      </c>
      <c r="F268" s="171">
        <f>VLOOKUP(B268,'2016-17'!$B$12:$AMX476,33,FALSE)</f>
        <v>4.3993218506663379E-2</v>
      </c>
      <c r="G268" s="171">
        <f>VLOOKUP(B268,'2016-17'!$B$12:$AMX476,34,FALSE)</f>
        <v>3.5529401662349969E-2</v>
      </c>
      <c r="I268" s="175">
        <v>8439904.707395928</v>
      </c>
      <c r="J268" s="175">
        <v>1563.5283610763463</v>
      </c>
      <c r="K268" s="171">
        <f t="shared" si="88"/>
        <v>-5.110105007527066E-3</v>
      </c>
      <c r="L268" s="170">
        <f t="shared" si="89"/>
        <v>-5.110105007527066E-3</v>
      </c>
      <c r="N268" s="55">
        <v>6378642</v>
      </c>
      <c r="O268" s="55">
        <v>681671</v>
      </c>
      <c r="P268" s="55">
        <v>1303615</v>
      </c>
      <c r="R268" s="55">
        <v>1303615</v>
      </c>
      <c r="S268" s="55">
        <v>32847.908087613148</v>
      </c>
      <c r="U268" s="171">
        <v>-1.0214953678356231E-2</v>
      </c>
      <c r="V268" s="171">
        <v>2.7027297720044752E-2</v>
      </c>
      <c r="AA268" s="55">
        <v>13275.555410622241</v>
      </c>
      <c r="AB268" s="55">
        <v>0</v>
      </c>
      <c r="AC268" s="55">
        <v>19572.352676990908</v>
      </c>
      <c r="AE268" s="55">
        <v>0</v>
      </c>
      <c r="AF268" s="55">
        <v>0</v>
      </c>
      <c r="AG268" s="55">
        <v>19572.352676990908</v>
      </c>
      <c r="AI268" s="55">
        <v>17743.201283673421</v>
      </c>
      <c r="AJ268" s="55">
        <v>1829.1513933174879</v>
      </c>
      <c r="AK268" s="55">
        <v>0</v>
      </c>
      <c r="AM268" s="55">
        <v>6409661</v>
      </c>
      <c r="AN268" s="55">
        <v>683501</v>
      </c>
      <c r="AO268" s="55">
        <v>1303615</v>
      </c>
      <c r="AP268" s="55"/>
      <c r="AQ268" s="55">
        <v>8396777</v>
      </c>
      <c r="AS268" s="175">
        <v>1187.4170510009342</v>
      </c>
      <c r="AT268" s="175">
        <v>126.62147682633909</v>
      </c>
      <c r="AU268" s="175">
        <v>241.50024142315525</v>
      </c>
      <c r="AV268" s="175"/>
      <c r="AW268" s="175">
        <v>1555.5387692504285</v>
      </c>
      <c r="AY268" s="171">
        <v>-5.4016811429402622E-3</v>
      </c>
      <c r="AZ268" s="171">
        <v>2.9784434160978535E-2</v>
      </c>
      <c r="BA268" s="171">
        <v>-2.1090033197904479E-2</v>
      </c>
      <c r="BB268" s="171">
        <f t="shared" si="90"/>
        <v>-5.1099756325607704E-3</v>
      </c>
      <c r="BC268" s="171"/>
      <c r="BE268" s="176">
        <v>3.8123627343892741E-2</v>
      </c>
      <c r="BF268" s="176">
        <v>3.710609356577077E-2</v>
      </c>
      <c r="BG268" s="176">
        <v>7.7706712384812304E-2</v>
      </c>
      <c r="BH268" s="176">
        <f>AQ268/(VLOOKUP($B268,'2016-17'!$B$12:$D$324,3,FALSE))-1</f>
        <v>4.3993354267000351E-2</v>
      </c>
      <c r="BJ268" s="176">
        <v>2.9707396196183344E-2</v>
      </c>
      <c r="BK268" s="176">
        <v>2.8698111724070774E-2</v>
      </c>
      <c r="BL268" s="176">
        <v>6.8969574955356716E-2</v>
      </c>
      <c r="BM268" s="176">
        <v>3.5529536322056687E-2</v>
      </c>
    </row>
    <row r="269" spans="2:65" ht="15" x14ac:dyDescent="0.25">
      <c r="B269" t="s">
        <v>546</v>
      </c>
      <c r="D269" s="55">
        <v>9028177.5714481696</v>
      </c>
      <c r="E269" s="166">
        <v>1606.2237748748294</v>
      </c>
      <c r="F269" s="171">
        <f>VLOOKUP(B269,'2016-17'!$B$12:$AMX477,33,FALSE)</f>
        <v>4.333906676986099E-2</v>
      </c>
      <c r="G269" s="171">
        <f>VLOOKUP(B269,'2016-17'!$B$12:$AMX477,34,FALSE)</f>
        <v>3.7423439870910125E-2</v>
      </c>
      <c r="I269" s="175">
        <v>9056942.7074310109</v>
      </c>
      <c r="J269" s="175">
        <v>1611.3414461808597</v>
      </c>
      <c r="K269" s="171">
        <f t="shared" si="88"/>
        <v>-3.1760315718062371E-3</v>
      </c>
      <c r="L269" s="170">
        <f t="shared" si="89"/>
        <v>-3.1760315718062371E-3</v>
      </c>
      <c r="N269" s="55">
        <v>6966003</v>
      </c>
      <c r="O269" s="55">
        <v>700185</v>
      </c>
      <c r="P269" s="55">
        <v>1325415</v>
      </c>
      <c r="R269" s="55">
        <v>1325415</v>
      </c>
      <c r="S269" s="55">
        <v>36574.571448169794</v>
      </c>
      <c r="U269" s="171">
        <v>-8.1391565755020157E-3</v>
      </c>
      <c r="V269" s="171">
        <v>1.4283976254800823E-3</v>
      </c>
      <c r="AA269" s="55">
        <v>1493.9948002892779</v>
      </c>
      <c r="AB269" s="55">
        <v>0</v>
      </c>
      <c r="AC269" s="55">
        <v>35080.576647880516</v>
      </c>
      <c r="AE269" s="55">
        <v>0</v>
      </c>
      <c r="AF269" s="55">
        <v>0</v>
      </c>
      <c r="AG269" s="55">
        <v>35080.576647880516</v>
      </c>
      <c r="AI269" s="55">
        <v>31799.071050399773</v>
      </c>
      <c r="AJ269" s="55">
        <v>3281.5055974807424</v>
      </c>
      <c r="AK269" s="55">
        <v>0</v>
      </c>
      <c r="AM269" s="55">
        <v>6999296</v>
      </c>
      <c r="AN269" s="55">
        <v>703467</v>
      </c>
      <c r="AO269" s="55">
        <v>1325415</v>
      </c>
      <c r="AP269" s="55"/>
      <c r="AQ269" s="55">
        <v>9028178</v>
      </c>
      <c r="AS269" s="175">
        <v>1245.2608019298125</v>
      </c>
      <c r="AT269" s="175">
        <v>125.15542713883787</v>
      </c>
      <c r="AU269" s="175">
        <v>235.80762205081803</v>
      </c>
      <c r="AV269" s="175"/>
      <c r="AW269" s="175">
        <v>1606.2238511194682</v>
      </c>
      <c r="AY269" s="171">
        <v>-3.3987016747315524E-3</v>
      </c>
      <c r="AZ269" s="171">
        <v>6.1224256338019423E-3</v>
      </c>
      <c r="BA269" s="171">
        <v>-6.8753499325564515E-3</v>
      </c>
      <c r="BB269" s="171">
        <f t="shared" si="90"/>
        <v>-3.175984254312425E-3</v>
      </c>
      <c r="BC269" s="171"/>
      <c r="BE269" s="176">
        <v>3.7653003250814887E-2</v>
      </c>
      <c r="BF269" s="176">
        <v>4.2669154120814623E-2</v>
      </c>
      <c r="BG269" s="176">
        <v>7.4808269682387518E-2</v>
      </c>
      <c r="BH269" s="176">
        <f>AQ269/(VLOOKUP($B269,'2016-17'!$B$12:$D$324,3,FALSE))-1</f>
        <v>4.333911629534537E-2</v>
      </c>
      <c r="BJ269" s="176">
        <v>3.1769615756457981E-2</v>
      </c>
      <c r="BK269" s="176">
        <v>3.6757325558773202E-2</v>
      </c>
      <c r="BL269" s="176">
        <v>6.8714215588321137E-2</v>
      </c>
      <c r="BM269" s="176">
        <v>3.7423489115589792E-2</v>
      </c>
    </row>
    <row r="270" spans="2:65" ht="15" x14ac:dyDescent="0.25">
      <c r="B270" t="s">
        <v>547</v>
      </c>
      <c r="D270" s="55">
        <v>7421129.2642153325</v>
      </c>
      <c r="E270" s="166">
        <v>1591.8865471719571</v>
      </c>
      <c r="F270" s="171">
        <f>VLOOKUP(B270,'2016-17'!$B$12:$AMX478,33,FALSE)</f>
        <v>4.1462637880998354E-2</v>
      </c>
      <c r="G270" s="171">
        <f>VLOOKUP(B270,'2016-17'!$B$12:$AMX478,34,FALSE)</f>
        <v>3.4508023944881616E-2</v>
      </c>
      <c r="I270" s="175">
        <v>7427737.8968996871</v>
      </c>
      <c r="J270" s="175">
        <v>1593.3041472555662</v>
      </c>
      <c r="K270" s="171">
        <f t="shared" si="88"/>
        <v>-8.8972346306315231E-4</v>
      </c>
      <c r="L270" s="170">
        <f t="shared" si="89"/>
        <v>-8.8972346306315231E-4</v>
      </c>
      <c r="N270" s="55">
        <v>5731934</v>
      </c>
      <c r="O270" s="55">
        <v>589367</v>
      </c>
      <c r="P270" s="55">
        <v>1069665</v>
      </c>
      <c r="R270" s="55">
        <v>1069665</v>
      </c>
      <c r="S270" s="55">
        <v>30163.264215331787</v>
      </c>
      <c r="U270" s="171">
        <v>-4.5652674469875976E-4</v>
      </c>
      <c r="V270" s="171">
        <v>7.8089296094607796E-4</v>
      </c>
      <c r="AA270" s="55">
        <v>11265.647210985335</v>
      </c>
      <c r="AB270" s="55">
        <v>0</v>
      </c>
      <c r="AC270" s="55">
        <v>18897.617004346452</v>
      </c>
      <c r="AE270" s="55">
        <v>0</v>
      </c>
      <c r="AF270" s="55">
        <v>0</v>
      </c>
      <c r="AG270" s="55">
        <v>18897.617004346452</v>
      </c>
      <c r="AI270" s="55">
        <v>17096.607797799348</v>
      </c>
      <c r="AJ270" s="55">
        <v>1801.0092065471015</v>
      </c>
      <c r="AK270" s="55">
        <v>0</v>
      </c>
      <c r="AM270" s="55">
        <v>5760296</v>
      </c>
      <c r="AN270" s="55">
        <v>591167</v>
      </c>
      <c r="AO270" s="55">
        <v>1069665</v>
      </c>
      <c r="AP270" s="55"/>
      <c r="AQ270" s="55">
        <v>7421128</v>
      </c>
      <c r="AS270" s="175">
        <v>1235.6256552954669</v>
      </c>
      <c r="AT270" s="175">
        <v>126.80964862987167</v>
      </c>
      <c r="AU270" s="175">
        <v>229.45097206317621</v>
      </c>
      <c r="AV270" s="175"/>
      <c r="AW270" s="175">
        <v>1591.8862759885149</v>
      </c>
      <c r="AY270" s="171">
        <v>4.4892824688174127E-3</v>
      </c>
      <c r="AZ270" s="171">
        <v>3.8374020755209681E-3</v>
      </c>
      <c r="BA270" s="171">
        <v>-3.1345158642908544E-2</v>
      </c>
      <c r="BB270" s="171">
        <f t="shared" si="90"/>
        <v>-8.8989366499403477E-4</v>
      </c>
      <c r="BC270" s="171"/>
      <c r="BE270" s="176">
        <v>3.5652756088000892E-2</v>
      </c>
      <c r="BF270" s="176">
        <v>3.8203230510191366E-2</v>
      </c>
      <c r="BG270" s="176">
        <v>7.5828755086131849E-2</v>
      </c>
      <c r="BH270" s="176">
        <f>AQ270/(VLOOKUP($B270,'2016-17'!$B$12:$D$324,3,FALSE))-1</f>
        <v>4.1462460464194439E-2</v>
      </c>
      <c r="BJ270" s="176">
        <v>2.8736939016423824E-2</v>
      </c>
      <c r="BK270" s="176">
        <v>3.1270382040352596E-2</v>
      </c>
      <c r="BL270" s="176">
        <v>6.8644653246223264E-2</v>
      </c>
      <c r="BM270" s="176">
        <v>3.4507847712820672E-2</v>
      </c>
    </row>
    <row r="271" spans="2:65" ht="15" x14ac:dyDescent="0.25">
      <c r="B271" t="s">
        <v>548</v>
      </c>
      <c r="D271" s="55">
        <v>8952374.2182853576</v>
      </c>
      <c r="E271" s="166">
        <v>1635.2931479361234</v>
      </c>
      <c r="F271" s="171">
        <f>VLOOKUP(B271,'2016-17'!$B$12:$AMX479,33,FALSE)</f>
        <v>3.8770353925392964E-2</v>
      </c>
      <c r="G271" s="171">
        <f>VLOOKUP(B271,'2016-17'!$B$12:$AMX479,34,FALSE)</f>
        <v>3.0037456413760655E-2</v>
      </c>
      <c r="I271" s="175">
        <v>8745336.4551243894</v>
      </c>
      <c r="J271" s="175">
        <v>1597.4744165911327</v>
      </c>
      <c r="K271" s="171">
        <f t="shared" si="88"/>
        <v>2.3674076374689212E-2</v>
      </c>
      <c r="L271" s="170">
        <f t="shared" si="89"/>
        <v>2.3674076374689212E-2</v>
      </c>
      <c r="N271" s="55">
        <v>6807044</v>
      </c>
      <c r="O271" s="55">
        <v>699327</v>
      </c>
      <c r="P271" s="55">
        <v>1429246</v>
      </c>
      <c r="R271" s="55">
        <v>1429246</v>
      </c>
      <c r="S271" s="55">
        <v>16757.218285357187</v>
      </c>
      <c r="U271" s="171">
        <v>2.9773450143999236E-2</v>
      </c>
      <c r="V271" s="171">
        <v>-1.5757016747312891E-2</v>
      </c>
      <c r="AA271" s="55">
        <v>5516.6672479123226</v>
      </c>
      <c r="AB271" s="55">
        <v>0</v>
      </c>
      <c r="AC271" s="55">
        <v>11240.551037444864</v>
      </c>
      <c r="AE271" s="55">
        <v>0</v>
      </c>
      <c r="AF271" s="55">
        <v>0</v>
      </c>
      <c r="AG271" s="55">
        <v>11240.551037444864</v>
      </c>
      <c r="AI271" s="55">
        <v>10185.678588337594</v>
      </c>
      <c r="AJ271" s="55">
        <v>1054.8724491072699</v>
      </c>
      <c r="AK271" s="55">
        <v>0</v>
      </c>
      <c r="AM271" s="55">
        <v>6822747</v>
      </c>
      <c r="AN271" s="55">
        <v>700382</v>
      </c>
      <c r="AO271" s="55">
        <v>1429246</v>
      </c>
      <c r="AP271" s="55"/>
      <c r="AQ271" s="55">
        <v>8952375</v>
      </c>
      <c r="AS271" s="175">
        <v>1246.282957699982</v>
      </c>
      <c r="AT271" s="175">
        <v>127.93588132167716</v>
      </c>
      <c r="AU271" s="175">
        <v>261.07445170704244</v>
      </c>
      <c r="AV271" s="175"/>
      <c r="AW271" s="175">
        <v>1635.2932907287018</v>
      </c>
      <c r="AY271" s="171">
        <v>3.2149008828152192E-2</v>
      </c>
      <c r="AZ271" s="171">
        <v>-1.4272194414796657E-2</v>
      </c>
      <c r="BA271" s="171">
        <v>3.2758975253499578E-3</v>
      </c>
      <c r="BB271" s="171">
        <f t="shared" si="90"/>
        <v>2.3674165761146337E-2</v>
      </c>
      <c r="BC271" s="171"/>
      <c r="BE271" s="176">
        <v>3.076702158914757E-2</v>
      </c>
      <c r="BF271" s="176">
        <v>4.0058949168465086E-2</v>
      </c>
      <c r="BG271" s="176">
        <v>7.8075131639660844E-2</v>
      </c>
      <c r="BH271" s="176">
        <f>AQ271/(VLOOKUP($B271,'2016-17'!$B$12:$D$324,3,FALSE))-1</f>
        <v>3.8770444630045864E-2</v>
      </c>
      <c r="BJ271" s="176">
        <v>2.2101407746884627E-2</v>
      </c>
      <c r="BK271" s="176">
        <v>3.1315218492265373E-2</v>
      </c>
      <c r="BL271" s="176">
        <v>6.9011800558954173E-2</v>
      </c>
      <c r="BM271" s="176">
        <v>3.0037546355863309E-2</v>
      </c>
    </row>
    <row r="272" spans="2:65" ht="15" x14ac:dyDescent="0.25">
      <c r="B272" t="s">
        <v>549</v>
      </c>
      <c r="D272" s="55">
        <v>10850653.972784055</v>
      </c>
      <c r="E272" s="166">
        <v>1669.5942203281261</v>
      </c>
      <c r="F272" s="171">
        <f>VLOOKUP(B272,'2016-17'!$B$12:$AMX480,33,FALSE)</f>
        <v>4.1396877802771126E-2</v>
      </c>
      <c r="G272" s="171">
        <f>VLOOKUP(B272,'2016-17'!$B$12:$AMX480,34,FALSE)</f>
        <v>3.4259506488435454E-2</v>
      </c>
      <c r="I272" s="175">
        <v>10763556.993582793</v>
      </c>
      <c r="J272" s="175">
        <v>1656.192575280076</v>
      </c>
      <c r="K272" s="171">
        <f t="shared" si="88"/>
        <v>8.0918398307538997E-3</v>
      </c>
      <c r="L272" s="170">
        <f t="shared" si="89"/>
        <v>8.0918398307538997E-3</v>
      </c>
      <c r="N272" s="55">
        <v>8277889</v>
      </c>
      <c r="O272" s="55">
        <v>839641</v>
      </c>
      <c r="P272" s="55">
        <v>1712875</v>
      </c>
      <c r="R272" s="55">
        <v>1712875</v>
      </c>
      <c r="S272" s="55">
        <v>20248.972784056037</v>
      </c>
      <c r="U272" s="171">
        <v>7.0920506315184095E-3</v>
      </c>
      <c r="V272" s="171">
        <v>-7.8316283100230422E-3</v>
      </c>
      <c r="AA272" s="55">
        <v>6007.4872499119956</v>
      </c>
      <c r="AB272" s="55">
        <v>0</v>
      </c>
      <c r="AC272" s="55">
        <v>14241.485534144042</v>
      </c>
      <c r="AE272" s="55">
        <v>0</v>
      </c>
      <c r="AF272" s="55">
        <v>0</v>
      </c>
      <c r="AG272" s="55">
        <v>14241.485534144042</v>
      </c>
      <c r="AI272" s="55">
        <v>12901.962954196861</v>
      </c>
      <c r="AJ272" s="55">
        <v>1339.5225799471796</v>
      </c>
      <c r="AK272" s="55">
        <v>0</v>
      </c>
      <c r="AM272" s="55">
        <v>8296799</v>
      </c>
      <c r="AN272" s="55">
        <v>840980</v>
      </c>
      <c r="AO272" s="55">
        <v>1712875</v>
      </c>
      <c r="AP272" s="55"/>
      <c r="AQ272" s="55">
        <v>10850654</v>
      </c>
      <c r="AS272" s="175">
        <v>1276.6315921942503</v>
      </c>
      <c r="AT272" s="175">
        <v>129.40190986951964</v>
      </c>
      <c r="AU272" s="175">
        <v>263.56072245208378</v>
      </c>
      <c r="AV272" s="175"/>
      <c r="AW272" s="175">
        <v>1669.5942245158537</v>
      </c>
      <c r="AY272" s="171">
        <v>9.3926505401957794E-3</v>
      </c>
      <c r="AZ272" s="171">
        <v>-6.2493884602623506E-3</v>
      </c>
      <c r="BA272" s="171">
        <v>8.9426542626456218E-3</v>
      </c>
      <c r="BB272" s="171">
        <f t="shared" si="90"/>
        <v>8.0918423592808431E-3</v>
      </c>
      <c r="BC272" s="171"/>
      <c r="BE272" s="176">
        <v>3.4932420898878824E-2</v>
      </c>
      <c r="BF272" s="176">
        <v>3.6680236571583258E-2</v>
      </c>
      <c r="BG272" s="176">
        <v>7.6367384650592562E-2</v>
      </c>
      <c r="BH272" s="176">
        <f>AQ272/(VLOOKUP($B272,'2016-17'!$B$12:$D$324,3,FALSE))-1</f>
        <v>4.1396880414834802E-2</v>
      </c>
      <c r="BJ272" s="176">
        <v>2.7839354719551901E-2</v>
      </c>
      <c r="BK272" s="176">
        <v>2.9575191472680951E-2</v>
      </c>
      <c r="BL272" s="176">
        <v>6.8990337668177082E-2</v>
      </c>
      <c r="BM272" s="176">
        <v>3.4259509082597006E-2</v>
      </c>
    </row>
    <row r="273" spans="2:65" ht="15" x14ac:dyDescent="0.25">
      <c r="B273" t="s">
        <v>550</v>
      </c>
      <c r="D273" s="55">
        <v>9574287.179959543</v>
      </c>
      <c r="E273" s="166">
        <v>1725.5340743091447</v>
      </c>
      <c r="F273" s="171">
        <f>VLOOKUP(B273,'2016-17'!$B$12:$AMX481,33,FALSE)</f>
        <v>3.6757032599472161E-2</v>
      </c>
      <c r="G273" s="171">
        <f>VLOOKUP(B273,'2016-17'!$B$12:$AMX481,34,FALSE)</f>
        <v>2.8450313495424595E-2</v>
      </c>
      <c r="I273" s="175">
        <v>9375001.8790757414</v>
      </c>
      <c r="J273" s="175">
        <v>1689.6177109579669</v>
      </c>
      <c r="K273" s="171">
        <f t="shared" si="88"/>
        <v>2.1257094500278573E-2</v>
      </c>
      <c r="L273" s="170">
        <f t="shared" si="89"/>
        <v>2.1257094500278573E-2</v>
      </c>
      <c r="N273" s="55">
        <v>7260397</v>
      </c>
      <c r="O273" s="55">
        <v>749327</v>
      </c>
      <c r="P273" s="55">
        <v>1556070</v>
      </c>
      <c r="R273" s="55">
        <v>1556070</v>
      </c>
      <c r="S273" s="55">
        <v>8493.1799595430493</v>
      </c>
      <c r="U273" s="171">
        <v>2.6283659485630162E-2</v>
      </c>
      <c r="V273" s="171">
        <v>-3.8374208658134012E-3</v>
      </c>
      <c r="AA273" s="55">
        <v>0</v>
      </c>
      <c r="AB273" s="55">
        <v>0</v>
      </c>
      <c r="AC273" s="55">
        <v>8493.1799595430493</v>
      </c>
      <c r="AE273" s="55">
        <v>0</v>
      </c>
      <c r="AF273" s="55">
        <v>148.31713458750164</v>
      </c>
      <c r="AG273" s="55">
        <v>8344.8628249555477</v>
      </c>
      <c r="AI273" s="55">
        <v>7468.208637239527</v>
      </c>
      <c r="AJ273" s="55">
        <v>876.65418771602094</v>
      </c>
      <c r="AK273" s="55">
        <v>0</v>
      </c>
      <c r="AM273" s="55">
        <v>7267864</v>
      </c>
      <c r="AN273" s="55">
        <v>750351</v>
      </c>
      <c r="AO273" s="55">
        <v>1556070</v>
      </c>
      <c r="AP273" s="55"/>
      <c r="AQ273" s="55">
        <v>9574285</v>
      </c>
      <c r="AS273" s="175">
        <v>1309.8569892174207</v>
      </c>
      <c r="AT273" s="175">
        <v>135.23264905841398</v>
      </c>
      <c r="AU273" s="175">
        <v>280.44404314824163</v>
      </c>
      <c r="AV273" s="175"/>
      <c r="AW273" s="175">
        <v>1725.5336814240766</v>
      </c>
      <c r="AY273" s="171">
        <v>2.7339147234492822E-2</v>
      </c>
      <c r="AZ273" s="171">
        <v>-2.4761053373012487E-3</v>
      </c>
      <c r="BA273" s="171">
        <v>4.9964218420239792E-3</v>
      </c>
      <c r="BB273" s="171">
        <f t="shared" si="90"/>
        <v>2.1256861971307162E-2</v>
      </c>
      <c r="BC273" s="171"/>
      <c r="BE273" s="176">
        <v>2.7919789876622803E-2</v>
      </c>
      <c r="BF273" s="176">
        <v>4.077772034223659E-2</v>
      </c>
      <c r="BG273" s="176">
        <v>7.8035375765864057E-2</v>
      </c>
      <c r="BH273" s="176">
        <f>AQ273/(VLOOKUP($B273,'2016-17'!$B$12:$D$324,3,FALSE))-1</f>
        <v>3.6756796541336012E-2</v>
      </c>
      <c r="BJ273" s="176">
        <v>1.9683876651527266E-2</v>
      </c>
      <c r="BK273" s="176">
        <v>3.2438786627982275E-2</v>
      </c>
      <c r="BL273" s="176">
        <v>6.9397925747068046E-2</v>
      </c>
      <c r="BM273" s="176">
        <v>2.8450079328636635E-2</v>
      </c>
    </row>
    <row r="274" spans="2:65" ht="15" x14ac:dyDescent="0.25">
      <c r="B274" t="s">
        <v>551</v>
      </c>
      <c r="D274" s="55">
        <v>10612467.279794326</v>
      </c>
      <c r="E274" s="166">
        <v>1725.5272518424047</v>
      </c>
      <c r="F274" s="171">
        <f>VLOOKUP(B274,'2016-17'!$B$12:$AMX482,33,FALSE)</f>
        <v>4.1775779094955778E-2</v>
      </c>
      <c r="G274" s="171">
        <f>VLOOKUP(B274,'2016-17'!$B$12:$AMX482,34,FALSE)</f>
        <v>3.4549381121244283E-2</v>
      </c>
      <c r="I274" s="175">
        <v>10576493.82144478</v>
      </c>
      <c r="J274" s="175">
        <v>1719.6781706543436</v>
      </c>
      <c r="K274" s="171">
        <f t="shared" si="88"/>
        <v>3.4012650086938656E-3</v>
      </c>
      <c r="L274" s="170">
        <f t="shared" si="89"/>
        <v>3.4012650086936436E-3</v>
      </c>
      <c r="N274" s="55">
        <v>7882230</v>
      </c>
      <c r="O274" s="55">
        <v>827106</v>
      </c>
      <c r="P274" s="55">
        <v>1894556</v>
      </c>
      <c r="R274" s="55">
        <v>1894556</v>
      </c>
      <c r="S274" s="55">
        <v>8575.2797943252372</v>
      </c>
      <c r="U274" s="171">
        <v>-3.0201501058981783E-3</v>
      </c>
      <c r="V274" s="171">
        <v>-3.6064027180040314E-2</v>
      </c>
      <c r="AA274" s="55">
        <v>552.286608462804</v>
      </c>
      <c r="AB274" s="55">
        <v>0</v>
      </c>
      <c r="AC274" s="55">
        <v>8022.9931858624332</v>
      </c>
      <c r="AE274" s="55">
        <v>0</v>
      </c>
      <c r="AF274" s="55">
        <v>0</v>
      </c>
      <c r="AG274" s="55">
        <v>8022.9931858624332</v>
      </c>
      <c r="AI274" s="55">
        <v>7248.5467125297782</v>
      </c>
      <c r="AJ274" s="55">
        <v>774.44647333265493</v>
      </c>
      <c r="AK274" s="55">
        <v>0</v>
      </c>
      <c r="AM274" s="55">
        <v>7890030</v>
      </c>
      <c r="AN274" s="55">
        <v>827881</v>
      </c>
      <c r="AO274" s="55">
        <v>1894556</v>
      </c>
      <c r="AP274" s="55"/>
      <c r="AQ274" s="55">
        <v>10612467</v>
      </c>
      <c r="AS274" s="175">
        <v>1282.8743235586194</v>
      </c>
      <c r="AT274" s="175">
        <v>134.60877561454564</v>
      </c>
      <c r="AU274" s="175">
        <v>308.04410717626217</v>
      </c>
      <c r="AV274" s="175"/>
      <c r="AW274" s="175">
        <v>1725.5272063494272</v>
      </c>
      <c r="AY274" s="171">
        <v>-2.0335710757031222E-3</v>
      </c>
      <c r="AZ274" s="171">
        <v>-3.5160817217912754E-2</v>
      </c>
      <c r="BA274" s="171">
        <v>4.5367196073807348E-2</v>
      </c>
      <c r="BB274" s="171">
        <f t="shared" si="90"/>
        <v>3.4012385543384926E-3</v>
      </c>
      <c r="BC274" s="171"/>
      <c r="BE274" s="176">
        <v>3.3893309034723096E-2</v>
      </c>
      <c r="BF274" s="176">
        <v>4.0618515040501624E-2</v>
      </c>
      <c r="BG274" s="176">
        <v>7.6478032279371666E-2</v>
      </c>
      <c r="BH274" s="176">
        <f>AQ274/(VLOOKUP($B274,'2016-17'!$B$12:$D$324,3,FALSE))-1</f>
        <v>4.1775751628868596E-2</v>
      </c>
      <c r="BJ274" s="176">
        <v>2.6721588724683443E-2</v>
      </c>
      <c r="BK274" s="176">
        <v>3.3400144562520051E-2</v>
      </c>
      <c r="BL274" s="176">
        <v>6.9010918119771336E-2</v>
      </c>
      <c r="BM274" s="176">
        <v>3.4549353845678699E-2</v>
      </c>
    </row>
    <row r="275" spans="2:65" ht="15" x14ac:dyDescent="0.25">
      <c r="B275"/>
      <c r="D275" s="1"/>
      <c r="N275" s="1"/>
      <c r="O275" s="1"/>
      <c r="P275" s="1"/>
      <c r="R275" s="1"/>
      <c r="S275" s="1"/>
      <c r="AA275" s="1"/>
      <c r="AB275" s="1"/>
      <c r="AC275" s="1"/>
      <c r="AE275" s="1"/>
      <c r="AF275" s="1"/>
      <c r="AG275" s="1"/>
      <c r="AI275" s="1"/>
      <c r="AJ275" s="1"/>
      <c r="AK275" s="1"/>
      <c r="AM275" s="1"/>
      <c r="AN275" s="1"/>
      <c r="AO275" s="1"/>
      <c r="AP275" s="1"/>
      <c r="AQ275" s="1"/>
      <c r="BE275" s="1"/>
      <c r="BF275" s="1"/>
      <c r="BG275" s="1"/>
      <c r="BH275" s="1"/>
      <c r="BJ275" s="1"/>
      <c r="BK275" s="1"/>
      <c r="BL275" s="1"/>
      <c r="BM275" s="1"/>
    </row>
    <row r="276" spans="2:65" ht="15" x14ac:dyDescent="0.25">
      <c r="B276" t="s">
        <v>12</v>
      </c>
      <c r="D276" s="172">
        <f>SUM(D265:D274)</f>
        <v>92393044.18463482</v>
      </c>
      <c r="E276" s="166">
        <v>1599.661845129845</v>
      </c>
      <c r="F276" s="171">
        <f>VLOOKUP(B276,'2016-17'!$B$12:$AMX484,33,FALSE)</f>
        <v>4.3535153838077711E-2</v>
      </c>
      <c r="G276" s="171">
        <f>VLOOKUP(B276,'2016-17'!$B$12:$AMX484,34,FALSE)</f>
        <v>3.5790004846285806E-2</v>
      </c>
      <c r="I276" s="175">
        <f>SUM(I265:I274)</f>
        <v>92393127.908494949</v>
      </c>
      <c r="J276" s="175">
        <v>1599.6632946963762</v>
      </c>
      <c r="K276" s="171">
        <f t="shared" ref="K276" si="91">D276/I276-1</f>
        <v>-9.0616977721502678E-7</v>
      </c>
      <c r="L276" s="170">
        <f t="shared" ref="L276" si="92">E276/J276-1</f>
        <v>-9.0616977710400448E-7</v>
      </c>
      <c r="N276" s="172">
        <f>SUM(N265:N274)</f>
        <v>70245190</v>
      </c>
      <c r="O276" s="172">
        <f>SUM(O265:O274)</f>
        <v>7323728</v>
      </c>
      <c r="P276" s="172">
        <f>SUM(P265:P274)</f>
        <v>14507484</v>
      </c>
      <c r="R276" s="172">
        <f>SUM(R265:R274)</f>
        <v>14507484</v>
      </c>
      <c r="S276" s="172">
        <f>SUM(S265:S274)</f>
        <v>316642.18463481677</v>
      </c>
      <c r="U276" s="171">
        <v>-4.358843443412419E-3</v>
      </c>
      <c r="V276" s="171">
        <v>-1.2371808858836486E-3</v>
      </c>
      <c r="AA276" s="172">
        <f>SUM(AA265:AA274)</f>
        <v>98131.013781613321</v>
      </c>
      <c r="AB276" s="172">
        <f>SUM(AB265:AB274)</f>
        <v>0</v>
      </c>
      <c r="AC276" s="172">
        <f>SUM(AC265:AC274)</f>
        <v>218511.17085320345</v>
      </c>
      <c r="AE276" s="172">
        <f>SUM(AE265:AE274)</f>
        <v>0</v>
      </c>
      <c r="AF276" s="172">
        <f>SUM(AF265:AF274)</f>
        <v>148.31713458750164</v>
      </c>
      <c r="AG276" s="172">
        <f>SUM(AG265:AG274)</f>
        <v>218362.85371861595</v>
      </c>
      <c r="AI276" s="172">
        <f>SUM(AI265:AI274)</f>
        <v>198007.60162548604</v>
      </c>
      <c r="AJ276" s="172">
        <f>SUM(AJ265:AJ274)</f>
        <v>20355.25209312993</v>
      </c>
      <c r="AK276" s="172">
        <f>SUM(AK265:AK274)</f>
        <v>0</v>
      </c>
      <c r="AM276" s="172">
        <f>SUM(AM265:AM274)</f>
        <v>70541332</v>
      </c>
      <c r="AN276" s="172">
        <f>SUM(AN265:AN274)</f>
        <v>7344230</v>
      </c>
      <c r="AO276" s="172">
        <f>SUM(AO265:AO274)</f>
        <v>14507484</v>
      </c>
      <c r="AP276" s="172"/>
      <c r="AQ276" s="172">
        <f>SUM(AQ265:AQ274)</f>
        <v>92393046</v>
      </c>
      <c r="AS276" s="175">
        <v>1221.3287082470968</v>
      </c>
      <c r="AT276" s="175">
        <v>127.15550847508203</v>
      </c>
      <c r="AU276" s="175">
        <v>251.17765983828352</v>
      </c>
      <c r="AV276" s="175"/>
      <c r="AW276" s="175">
        <v>1599.6618765604621</v>
      </c>
      <c r="AY276" s="171">
        <v>-1.6138645902696869E-4</v>
      </c>
      <c r="AZ276" s="171">
        <v>1.5587497272517847E-3</v>
      </c>
      <c r="BA276" s="171">
        <v>-8.6613249400402381E-6</v>
      </c>
      <c r="BB276" s="171">
        <f t="shared" ref="BB276" si="93">SUM(AM276:AO276)/I276-1</f>
        <v>-8.8652150653789619E-7</v>
      </c>
      <c r="BC276" s="171"/>
      <c r="BE276" s="176">
        <v>3.7369768177528684E-2</v>
      </c>
      <c r="BF276" s="176">
        <v>3.9264425125302704E-2</v>
      </c>
      <c r="BG276" s="176">
        <v>7.6896479441228349E-2</v>
      </c>
      <c r="BH276" s="176">
        <f>AQ276/(VLOOKUP($B276,'2016-17'!$B$12:$D$324,3,FALSE))-1</f>
        <v>4.3535174341757576E-2</v>
      </c>
      <c r="BJ276" s="176">
        <v>2.967037886173518E-2</v>
      </c>
      <c r="BK276" s="176">
        <v>3.1550973609213662E-2</v>
      </c>
      <c r="BL276" s="176">
        <v>6.8903721697196829E-2</v>
      </c>
      <c r="BM276" s="176">
        <v>3.5790025197786512E-2</v>
      </c>
    </row>
    <row r="277" spans="2:65" ht="15" x14ac:dyDescent="0.25">
      <c r="B277"/>
      <c r="D277" s="1"/>
      <c r="N277" s="1"/>
      <c r="O277" s="1"/>
      <c r="P277" s="1"/>
      <c r="R277" s="1"/>
      <c r="S277" s="1"/>
      <c r="AA277" s="1"/>
      <c r="AB277" s="1"/>
      <c r="AC277" s="1"/>
      <c r="AE277" s="1"/>
      <c r="AF277" s="1"/>
      <c r="AG277" s="1"/>
      <c r="AI277" s="1"/>
      <c r="AJ277" s="1"/>
      <c r="AK277" s="1"/>
      <c r="AM277" s="1"/>
      <c r="AN277" s="1"/>
      <c r="AO277" s="1"/>
      <c r="AP277" s="1"/>
      <c r="AQ277" s="1"/>
      <c r="BE277" s="1"/>
      <c r="BF277" s="1"/>
      <c r="BG277" s="1"/>
      <c r="BH277" s="1"/>
      <c r="BJ277" s="1"/>
      <c r="BK277" s="1"/>
      <c r="BL277" s="1"/>
      <c r="BM277" s="1"/>
    </row>
    <row r="278" spans="2:65" ht="15" x14ac:dyDescent="0.25">
      <c r="B278" s="174" t="s">
        <v>552</v>
      </c>
      <c r="D278" s="1"/>
      <c r="N278" s="1"/>
      <c r="O278" s="1"/>
      <c r="P278" s="1"/>
      <c r="R278" s="1"/>
      <c r="S278" s="1"/>
      <c r="AA278" s="1"/>
      <c r="AB278" s="1"/>
      <c r="AC278" s="1"/>
      <c r="AE278" s="1"/>
      <c r="AF278" s="1"/>
      <c r="AG278" s="1"/>
      <c r="AI278" s="1"/>
      <c r="AJ278" s="1"/>
      <c r="AK278" s="1"/>
      <c r="AM278" s="1"/>
      <c r="AN278" s="1"/>
      <c r="AO278" s="1"/>
      <c r="AP278" s="1"/>
      <c r="AQ278" s="1"/>
      <c r="BE278" s="1"/>
      <c r="BF278" s="1"/>
      <c r="BG278" s="1"/>
      <c r="BH278" s="1"/>
      <c r="BJ278" s="1"/>
      <c r="BK278" s="1"/>
      <c r="BL278" s="1"/>
      <c r="BM278" s="1"/>
    </row>
    <row r="279" spans="2:65" ht="15" x14ac:dyDescent="0.25">
      <c r="B279" t="s">
        <v>553</v>
      </c>
      <c r="D279" s="55">
        <v>9483162.9853651989</v>
      </c>
      <c r="E279" s="166">
        <v>1613.1280275580327</v>
      </c>
      <c r="F279" s="171">
        <f>VLOOKUP(B279,'2016-17'!$B$12:$AMX487,33,FALSE)</f>
        <v>4.1233829959943735E-2</v>
      </c>
      <c r="G279" s="171">
        <f>VLOOKUP(B279,'2016-17'!$B$12:$AMX487,34,FALSE)</f>
        <v>2.788552742678152E-2</v>
      </c>
      <c r="I279" s="175">
        <v>9319467.3136131335</v>
      </c>
      <c r="J279" s="175">
        <v>1585.2826687362235</v>
      </c>
      <c r="K279" s="171">
        <f t="shared" ref="K279:K288" si="94">D279/I279-1</f>
        <v>1.7564917204329067E-2</v>
      </c>
      <c r="L279" s="170">
        <f t="shared" ref="L279:L288" si="95">E279/J279-1</f>
        <v>1.7564917204328845E-2</v>
      </c>
      <c r="N279" s="55">
        <v>6875720</v>
      </c>
      <c r="O279" s="55">
        <v>749438</v>
      </c>
      <c r="P279" s="55">
        <v>1848111</v>
      </c>
      <c r="R279" s="55">
        <v>1848111</v>
      </c>
      <c r="S279" s="55">
        <v>9893.9853651997109</v>
      </c>
      <c r="U279" s="171">
        <v>2.690525923799747E-2</v>
      </c>
      <c r="V279" s="171">
        <v>-5.5004696489608484E-2</v>
      </c>
      <c r="AA279" s="55">
        <v>244.35101720775128</v>
      </c>
      <c r="AB279" s="55">
        <v>0</v>
      </c>
      <c r="AC279" s="55">
        <v>9649.6343479919597</v>
      </c>
      <c r="AE279" s="55">
        <v>0</v>
      </c>
      <c r="AF279" s="55">
        <v>0</v>
      </c>
      <c r="AG279" s="55">
        <v>9649.6343479919597</v>
      </c>
      <c r="AI279" s="55">
        <v>8677.0272891564018</v>
      </c>
      <c r="AJ279" s="55">
        <v>972.60705883555784</v>
      </c>
      <c r="AK279" s="55">
        <v>0</v>
      </c>
      <c r="AM279" s="55">
        <v>6884640</v>
      </c>
      <c r="AN279" s="55">
        <v>750410</v>
      </c>
      <c r="AO279" s="55">
        <v>1848111</v>
      </c>
      <c r="AP279" s="55"/>
      <c r="AQ279" s="55">
        <v>9483161</v>
      </c>
      <c r="AS279" s="175">
        <v>1171.1077581167872</v>
      </c>
      <c r="AT279" s="175">
        <v>127.64806478892406</v>
      </c>
      <c r="AU279" s="175">
        <v>314.37186693290766</v>
      </c>
      <c r="AV279" s="175"/>
      <c r="AW279" s="175">
        <v>1613.1276898386188</v>
      </c>
      <c r="AY279" s="171">
        <v>2.8237482614226206E-2</v>
      </c>
      <c r="AZ279" s="171">
        <v>-5.3779064169106938E-2</v>
      </c>
      <c r="BA279" s="171">
        <v>9.4369929474096281E-3</v>
      </c>
      <c r="BB279" s="171">
        <f t="shared" ref="BB279:BB288" si="96">SUM(AM279:AO279)/I279-1</f>
        <v>1.7564704170135892E-2</v>
      </c>
      <c r="BC279" s="171"/>
      <c r="BE279" s="176">
        <v>3.0056229678162794E-2</v>
      </c>
      <c r="BF279" s="176">
        <v>4.640784937703657E-2</v>
      </c>
      <c r="BG279" s="176">
        <v>8.2831196019159892E-2</v>
      </c>
      <c r="BH279" s="176">
        <f>AQ279/(VLOOKUP($B279,'2016-17'!$B$12:$D$324,3,FALSE))-1</f>
        <v>4.123361197050146E-2</v>
      </c>
      <c r="BJ279" s="176">
        <v>1.6851220597309702E-2</v>
      </c>
      <c r="BK279" s="176">
        <v>3.299321748105033E-2</v>
      </c>
      <c r="BL279" s="176">
        <v>6.894962784405978E-2</v>
      </c>
      <c r="BM279" s="176">
        <v>2.7885312231898052E-2</v>
      </c>
    </row>
    <row r="280" spans="2:65" ht="15" x14ac:dyDescent="0.25">
      <c r="B280" t="s">
        <v>554</v>
      </c>
      <c r="D280" s="55">
        <v>10047909.119170159</v>
      </c>
      <c r="E280" s="166">
        <v>1555.4941735177204</v>
      </c>
      <c r="F280" s="171">
        <f>VLOOKUP(B280,'2016-17'!$B$12:$AMX488,33,FALSE)</f>
        <v>5.0026022136656412E-2</v>
      </c>
      <c r="G280" s="171">
        <f>VLOOKUP(B280,'2016-17'!$B$12:$AMX488,34,FALSE)</f>
        <v>3.8432632165056546E-2</v>
      </c>
      <c r="I280" s="175">
        <v>10101143.669843728</v>
      </c>
      <c r="J280" s="175">
        <v>1563.7352943738581</v>
      </c>
      <c r="K280" s="171">
        <f t="shared" si="94"/>
        <v>-5.2701508278212295E-3</v>
      </c>
      <c r="L280" s="170">
        <f t="shared" si="95"/>
        <v>-5.2701508278212295E-3</v>
      </c>
      <c r="N280" s="55">
        <v>7403293</v>
      </c>
      <c r="O280" s="55">
        <v>789248</v>
      </c>
      <c r="P280" s="55">
        <v>1810271</v>
      </c>
      <c r="R280" s="55">
        <v>1810271</v>
      </c>
      <c r="S280" s="55">
        <v>45097.119170159393</v>
      </c>
      <c r="U280" s="171">
        <v>-1.0536485821356911E-2</v>
      </c>
      <c r="V280" s="171">
        <v>-4.906042375142905E-2</v>
      </c>
      <c r="AA280" s="55">
        <v>552.286608462804</v>
      </c>
      <c r="AB280" s="55">
        <v>0</v>
      </c>
      <c r="AC280" s="55">
        <v>44544.832561696589</v>
      </c>
      <c r="AE280" s="55">
        <v>0</v>
      </c>
      <c r="AF280" s="55">
        <v>0</v>
      </c>
      <c r="AG280" s="55">
        <v>44544.832561696589</v>
      </c>
      <c r="AI280" s="55">
        <v>40167.945618275982</v>
      </c>
      <c r="AJ280" s="55">
        <v>4376.8869434206081</v>
      </c>
      <c r="AK280" s="55">
        <v>0</v>
      </c>
      <c r="AM280" s="55">
        <v>7444014</v>
      </c>
      <c r="AN280" s="55">
        <v>793626</v>
      </c>
      <c r="AO280" s="55">
        <v>1810271</v>
      </c>
      <c r="AP280" s="55"/>
      <c r="AQ280" s="55">
        <v>10047911</v>
      </c>
      <c r="AS280" s="175">
        <v>1152.3910365085628</v>
      </c>
      <c r="AT280" s="175">
        <v>122.85945307735111</v>
      </c>
      <c r="AU280" s="175">
        <v>280.24397509883681</v>
      </c>
      <c r="AV280" s="175"/>
      <c r="AW280" s="175">
        <v>1555.4944646847507</v>
      </c>
      <c r="AY280" s="171">
        <v>-5.0940504401193465E-3</v>
      </c>
      <c r="AZ280" s="171">
        <v>-4.3785512107920033E-2</v>
      </c>
      <c r="BA280" s="171">
        <v>1.1862268746141602E-2</v>
      </c>
      <c r="BB280" s="171">
        <f t="shared" si="96"/>
        <v>-5.2699646281292312E-3</v>
      </c>
      <c r="BC280" s="171"/>
      <c r="BE280" s="176">
        <v>4.3421578177904152E-2</v>
      </c>
      <c r="BF280" s="176">
        <v>4.4946648512628862E-2</v>
      </c>
      <c r="BG280" s="176">
        <v>8.0451556414605996E-2</v>
      </c>
      <c r="BH280" s="176">
        <f>AQ280/(VLOOKUP($B280,'2016-17'!$B$12:$D$324,3,FALSE))-1</f>
        <v>5.002621868702839E-2</v>
      </c>
      <c r="BJ280" s="176">
        <v>3.1901108203280959E-2</v>
      </c>
      <c r="BK280" s="176">
        <v>3.3409340159954226E-2</v>
      </c>
      <c r="BL280" s="176">
        <v>6.8522236593133945E-2</v>
      </c>
      <c r="BM280" s="176">
        <v>3.843282654530622E-2</v>
      </c>
    </row>
    <row r="281" spans="2:65" ht="15" x14ac:dyDescent="0.25">
      <c r="B281" t="s">
        <v>555</v>
      </c>
      <c r="D281" s="55">
        <v>9538470.7440342009</v>
      </c>
      <c r="E281" s="166">
        <v>1650.0460398212495</v>
      </c>
      <c r="F281" s="171">
        <f>VLOOKUP(B281,'2016-17'!$B$12:$AMX489,33,FALSE)</f>
        <v>4.0106192889586278E-2</v>
      </c>
      <c r="G281" s="171">
        <f>VLOOKUP(B281,'2016-17'!$B$12:$AMX489,34,FALSE)</f>
        <v>3.2289997383447178E-2</v>
      </c>
      <c r="I281" s="175">
        <v>9505790.104100164</v>
      </c>
      <c r="J281" s="175">
        <v>1644.3926639343749</v>
      </c>
      <c r="K281" s="171">
        <f t="shared" si="94"/>
        <v>3.437971970361664E-3</v>
      </c>
      <c r="L281" s="170">
        <f t="shared" si="95"/>
        <v>3.437971970361442E-3</v>
      </c>
      <c r="N281" s="55">
        <v>7239346</v>
      </c>
      <c r="O281" s="55">
        <v>740759</v>
      </c>
      <c r="P281" s="55">
        <v>1542820</v>
      </c>
      <c r="R281" s="55">
        <v>1542820</v>
      </c>
      <c r="S281" s="55">
        <v>15545.744034198826</v>
      </c>
      <c r="U281" s="171">
        <v>-1.4556072601057402E-3</v>
      </c>
      <c r="V281" s="171">
        <v>-2.887812902481246E-2</v>
      </c>
      <c r="AA281" s="55">
        <v>2820.3221843293868</v>
      </c>
      <c r="AB281" s="55">
        <v>0</v>
      </c>
      <c r="AC281" s="55">
        <v>12725.421849869439</v>
      </c>
      <c r="AE281" s="55">
        <v>0</v>
      </c>
      <c r="AF281" s="55">
        <v>0</v>
      </c>
      <c r="AG281" s="55">
        <v>12725.421849869439</v>
      </c>
      <c r="AI281" s="55">
        <v>11518.374444869822</v>
      </c>
      <c r="AJ281" s="55">
        <v>1207.0474049996158</v>
      </c>
      <c r="AK281" s="55">
        <v>0</v>
      </c>
      <c r="AM281" s="55">
        <v>7253685</v>
      </c>
      <c r="AN281" s="55">
        <v>741966</v>
      </c>
      <c r="AO281" s="55">
        <v>1542820</v>
      </c>
      <c r="AP281" s="55"/>
      <c r="AQ281" s="55">
        <v>9538471</v>
      </c>
      <c r="AS281" s="175">
        <v>1254.8043108321856</v>
      </c>
      <c r="AT281" s="175">
        <v>128.35160822270521</v>
      </c>
      <c r="AU281" s="175">
        <v>266.89016504550619</v>
      </c>
      <c r="AV281" s="175"/>
      <c r="AW281" s="175">
        <v>1650.0460841003971</v>
      </c>
      <c r="AY281" s="171">
        <v>5.2221339489499918E-4</v>
      </c>
      <c r="AZ281" s="171">
        <v>-2.7295773497215681E-2</v>
      </c>
      <c r="BA281" s="171">
        <v>3.3296910851251527E-2</v>
      </c>
      <c r="BB281" s="171">
        <f t="shared" si="96"/>
        <v>3.4379988977180087E-3</v>
      </c>
      <c r="BC281" s="171"/>
      <c r="BE281" s="176">
        <v>3.2734874817865967E-2</v>
      </c>
      <c r="BF281" s="176">
        <v>3.9350883170057749E-2</v>
      </c>
      <c r="BG281" s="176">
        <v>7.6611880714355207E-2</v>
      </c>
      <c r="BH281" s="176">
        <f>AQ281/(VLOOKUP($B281,'2016-17'!$B$12:$D$324,3,FALSE))-1</f>
        <v>4.0106220800938175E-2</v>
      </c>
      <c r="BJ281" s="176">
        <v>2.4974073331665014E-2</v>
      </c>
      <c r="BK281" s="176">
        <v>3.1540363669384286E-2</v>
      </c>
      <c r="BL281" s="176">
        <v>6.8521352072739239E-2</v>
      </c>
      <c r="BM281" s="176">
        <v>3.2290025085050855E-2</v>
      </c>
    </row>
    <row r="282" spans="2:65" ht="15" x14ac:dyDescent="0.25">
      <c r="B282" t="s">
        <v>556</v>
      </c>
      <c r="D282" s="55">
        <v>11894343.1756716</v>
      </c>
      <c r="E282" s="166">
        <v>1544.4871422551028</v>
      </c>
      <c r="F282" s="171">
        <f>VLOOKUP(B282,'2016-17'!$B$12:$AMX490,33,FALSE)</f>
        <v>5.0197829890925805E-2</v>
      </c>
      <c r="G282" s="171">
        <f>VLOOKUP(B282,'2016-17'!$B$12:$AMX490,34,FALSE)</f>
        <v>4.2552809033613803E-2</v>
      </c>
      <c r="I282" s="175">
        <v>11982599.502536055</v>
      </c>
      <c r="J282" s="175">
        <v>1555.9472758708555</v>
      </c>
      <c r="K282" s="171">
        <f t="shared" si="94"/>
        <v>-7.3653740030096282E-3</v>
      </c>
      <c r="L282" s="170">
        <f t="shared" si="95"/>
        <v>-7.3653740030095172E-3</v>
      </c>
      <c r="N282" s="55">
        <v>8988250</v>
      </c>
      <c r="O282" s="55">
        <v>948528</v>
      </c>
      <c r="P282" s="55">
        <v>1874291</v>
      </c>
      <c r="R282" s="55">
        <v>1874291</v>
      </c>
      <c r="S282" s="55">
        <v>83274.175671599485</v>
      </c>
      <c r="U282" s="171">
        <v>-1.8330701679919903E-2</v>
      </c>
      <c r="V282" s="171">
        <v>-6.4763104509907299E-3</v>
      </c>
      <c r="AA282" s="55">
        <v>19657.499880081421</v>
      </c>
      <c r="AB282" s="55">
        <v>0</v>
      </c>
      <c r="AC282" s="55">
        <v>63616.675791518064</v>
      </c>
      <c r="AE282" s="55">
        <v>0</v>
      </c>
      <c r="AF282" s="55">
        <v>0</v>
      </c>
      <c r="AG282" s="55">
        <v>63616.675791518064</v>
      </c>
      <c r="AI282" s="55">
        <v>57786.837216112217</v>
      </c>
      <c r="AJ282" s="55">
        <v>5829.838575405849</v>
      </c>
      <c r="AK282" s="55">
        <v>0</v>
      </c>
      <c r="AM282" s="55">
        <v>9065695</v>
      </c>
      <c r="AN282" s="55">
        <v>954358</v>
      </c>
      <c r="AO282" s="55">
        <v>1874291</v>
      </c>
      <c r="AP282" s="55"/>
      <c r="AQ282" s="55">
        <v>11894344</v>
      </c>
      <c r="AS282" s="175">
        <v>1177.1855878301387</v>
      </c>
      <c r="AT282" s="175">
        <v>123.92392235017785</v>
      </c>
      <c r="AU282" s="175">
        <v>243.3777391142917</v>
      </c>
      <c r="AV282" s="175"/>
      <c r="AW282" s="175">
        <v>1544.4872492946083</v>
      </c>
      <c r="AY282" s="171">
        <v>-9.8723945780481159E-3</v>
      </c>
      <c r="AZ282" s="171">
        <v>-3.6975048642384767E-4</v>
      </c>
      <c r="BA282" s="171">
        <v>1.3302755014092948E-3</v>
      </c>
      <c r="BB282" s="171">
        <f t="shared" si="96"/>
        <v>-7.3653052092224058E-3</v>
      </c>
      <c r="BC282" s="171"/>
      <c r="BE282" s="176">
        <v>4.5949579719198441E-2</v>
      </c>
      <c r="BF282" s="176">
        <v>4.0730389559146429E-2</v>
      </c>
      <c r="BG282" s="176">
        <v>7.632889517014485E-2</v>
      </c>
      <c r="BH282" s="176">
        <f>AQ282/(VLOOKUP($B282,'2016-17'!$B$12:$D$324,3,FALSE))-1</f>
        <v>5.019790267408708E-2</v>
      </c>
      <c r="BJ282" s="176">
        <v>3.8335484426808897E-2</v>
      </c>
      <c r="BK282" s="176">
        <v>3.3154287887098066E-2</v>
      </c>
      <c r="BL282" s="176">
        <v>6.849365059174195E-2</v>
      </c>
      <c r="BM282" s="176">
        <v>4.2552881286942679E-2</v>
      </c>
    </row>
    <row r="283" spans="2:65" ht="15" x14ac:dyDescent="0.25">
      <c r="B283" t="s">
        <v>557</v>
      </c>
      <c r="D283" s="55">
        <v>8425909.3752850853</v>
      </c>
      <c r="E283" s="166">
        <v>1587.0025154180771</v>
      </c>
      <c r="F283" s="171">
        <f>VLOOKUP(B283,'2016-17'!$B$12:$AMX491,33,FALSE)</f>
        <v>4.86641574880331E-2</v>
      </c>
      <c r="G283" s="171">
        <f>VLOOKUP(B283,'2016-17'!$B$12:$AMX491,34,FALSE)</f>
        <v>4.0964823234733494E-2</v>
      </c>
      <c r="I283" s="175">
        <v>8511267.9287373759</v>
      </c>
      <c r="J283" s="175">
        <v>1603.0796215211381</v>
      </c>
      <c r="K283" s="171">
        <f t="shared" si="94"/>
        <v>-1.0028888077190823E-2</v>
      </c>
      <c r="L283" s="170">
        <f t="shared" si="95"/>
        <v>-1.0028888077190823E-2</v>
      </c>
      <c r="N283" s="55">
        <v>6445776</v>
      </c>
      <c r="O283" s="55">
        <v>651679</v>
      </c>
      <c r="P283" s="55">
        <v>1279779</v>
      </c>
      <c r="R283" s="55">
        <v>1279779</v>
      </c>
      <c r="S283" s="55">
        <v>48675.375285086338</v>
      </c>
      <c r="U283" s="171">
        <v>-1.5896730047748497E-2</v>
      </c>
      <c r="V283" s="171">
        <v>-1.6461105227151718E-2</v>
      </c>
      <c r="AA283" s="55">
        <v>7701.3412288987311</v>
      </c>
      <c r="AB283" s="55">
        <v>0</v>
      </c>
      <c r="AC283" s="55">
        <v>40974.034056187607</v>
      </c>
      <c r="AE283" s="55">
        <v>0</v>
      </c>
      <c r="AF283" s="55">
        <v>0</v>
      </c>
      <c r="AG283" s="55">
        <v>40974.034056187607</v>
      </c>
      <c r="AI283" s="55">
        <v>37223.976413514181</v>
      </c>
      <c r="AJ283" s="55">
        <v>3750.057642673431</v>
      </c>
      <c r="AK283" s="55">
        <v>0</v>
      </c>
      <c r="AM283" s="55">
        <v>6490703</v>
      </c>
      <c r="AN283" s="55">
        <v>655428</v>
      </c>
      <c r="AO283" s="55">
        <v>1279779</v>
      </c>
      <c r="AP283" s="55"/>
      <c r="AQ283" s="55">
        <v>8425910</v>
      </c>
      <c r="AS283" s="175">
        <v>1222.5104174566486</v>
      </c>
      <c r="AT283" s="175">
        <v>123.44850132455241</v>
      </c>
      <c r="AU283" s="175">
        <v>241.04371430063159</v>
      </c>
      <c r="AV283" s="175"/>
      <c r="AW283" s="175">
        <v>1587.0026330818325</v>
      </c>
      <c r="AY283" s="171">
        <v>-9.0375392212065364E-3</v>
      </c>
      <c r="AZ283" s="171">
        <v>-1.0802970905647635E-2</v>
      </c>
      <c r="BA283" s="171">
        <v>-1.4632973463324817E-2</v>
      </c>
      <c r="BB283" s="171">
        <f t="shared" si="96"/>
        <v>-1.0028814678618492E-2</v>
      </c>
      <c r="BC283" s="171"/>
      <c r="BE283" s="176">
        <v>4.3983911262105657E-2</v>
      </c>
      <c r="BF283" s="176">
        <v>4.2562119387026698E-2</v>
      </c>
      <c r="BG283" s="176">
        <v>7.6364323790231614E-2</v>
      </c>
      <c r="BH283" s="176">
        <f>AQ283/(VLOOKUP($B283,'2016-17'!$B$12:$D$324,3,FALSE))-1</f>
        <v>4.8664235238233156E-2</v>
      </c>
      <c r="BJ283" s="176">
        <v>3.6318939564085495E-2</v>
      </c>
      <c r="BK283" s="176">
        <v>3.4907586541909952E-2</v>
      </c>
      <c r="BL283" s="176">
        <v>6.8461613806285015E-2</v>
      </c>
      <c r="BM283" s="176">
        <v>4.0964900414088401E-2</v>
      </c>
    </row>
    <row r="284" spans="2:65" ht="15" x14ac:dyDescent="0.25">
      <c r="B284" t="s">
        <v>558</v>
      </c>
      <c r="D284" s="55">
        <v>8299874.7419614308</v>
      </c>
      <c r="E284" s="166">
        <v>1612.2763049733426</v>
      </c>
      <c r="F284" s="171">
        <f>VLOOKUP(B284,'2016-17'!$B$12:$AMX492,33,FALSE)</f>
        <v>3.8184399221983023E-2</v>
      </c>
      <c r="G284" s="171">
        <f>VLOOKUP(B284,'2016-17'!$B$12:$AMX492,34,FALSE)</f>
        <v>3.198377852791312E-2</v>
      </c>
      <c r="I284" s="175">
        <v>8207739.6810232177</v>
      </c>
      <c r="J284" s="175">
        <v>1594.378784802713</v>
      </c>
      <c r="K284" s="171">
        <f t="shared" si="94"/>
        <v>1.1225387806978571E-2</v>
      </c>
      <c r="L284" s="170">
        <f t="shared" si="95"/>
        <v>1.1225387806978571E-2</v>
      </c>
      <c r="N284" s="55">
        <v>6443545</v>
      </c>
      <c r="O284" s="55">
        <v>660415</v>
      </c>
      <c r="P284" s="55">
        <v>1179027</v>
      </c>
      <c r="R284" s="55">
        <v>1179027</v>
      </c>
      <c r="S284" s="55">
        <v>16887.741961429419</v>
      </c>
      <c r="U284" s="171">
        <v>1.0288438759806118E-2</v>
      </c>
      <c r="V284" s="171">
        <v>2.8006594628185777E-2</v>
      </c>
      <c r="AA284" s="55">
        <v>5626.7984556135489</v>
      </c>
      <c r="AB284" s="55">
        <v>0</v>
      </c>
      <c r="AC284" s="55">
        <v>11260.943505815871</v>
      </c>
      <c r="AE284" s="55">
        <v>0</v>
      </c>
      <c r="AF284" s="55">
        <v>0</v>
      </c>
      <c r="AG284" s="55">
        <v>11260.943505815871</v>
      </c>
      <c r="AI284" s="55">
        <v>10268.959871936622</v>
      </c>
      <c r="AJ284" s="55">
        <v>991.98363387924758</v>
      </c>
      <c r="AK284" s="55">
        <v>0</v>
      </c>
      <c r="AM284" s="55">
        <v>6459441</v>
      </c>
      <c r="AN284" s="55">
        <v>661407</v>
      </c>
      <c r="AO284" s="55">
        <v>1179027</v>
      </c>
      <c r="AP284" s="55"/>
      <c r="AQ284" s="55">
        <v>8299875</v>
      </c>
      <c r="AS284" s="175">
        <v>1254.7663659333944</v>
      </c>
      <c r="AT284" s="175">
        <v>128.4803526795753</v>
      </c>
      <c r="AU284" s="175">
        <v>229.02963648516211</v>
      </c>
      <c r="AV284" s="175"/>
      <c r="AW284" s="175">
        <v>1612.2763550981317</v>
      </c>
      <c r="AY284" s="171">
        <v>1.2780784979554261E-2</v>
      </c>
      <c r="AZ284" s="171">
        <v>2.9550748746234534E-2</v>
      </c>
      <c r="BA284" s="171">
        <v>-7.0437318689593464E-3</v>
      </c>
      <c r="BB284" s="171">
        <f t="shared" si="96"/>
        <v>1.1225419245423307E-2</v>
      </c>
      <c r="BC284" s="171"/>
      <c r="BE284" s="176">
        <v>3.1965529552080429E-2</v>
      </c>
      <c r="BF284" s="176">
        <v>3.5868138078235967E-2</v>
      </c>
      <c r="BG284" s="176">
        <v>7.5025594308246069E-2</v>
      </c>
      <c r="BH284" s="176">
        <f>AQ284/(VLOOKUP($B284,'2016-17'!$B$12:$D$324,3,FALSE))-1</f>
        <v>3.8184431498568427E-2</v>
      </c>
      <c r="BJ284" s="176">
        <v>2.5802051442697538E-2</v>
      </c>
      <c r="BK284" s="176">
        <v>2.9681351397460531E-2</v>
      </c>
      <c r="BL284" s="176">
        <v>6.8604937292288337E-2</v>
      </c>
      <c r="BM284" s="176">
        <v>3.1983810611724728E-2</v>
      </c>
    </row>
    <row r="285" spans="2:65" ht="15" x14ac:dyDescent="0.25">
      <c r="B285" t="s">
        <v>559</v>
      </c>
      <c r="D285" s="55">
        <v>7566121.1215011105</v>
      </c>
      <c r="E285" s="166">
        <v>1589.332318280362</v>
      </c>
      <c r="F285" s="171">
        <f>VLOOKUP(B285,'2016-17'!$B$12:$AMX493,33,FALSE)</f>
        <v>4.2570349860020951E-2</v>
      </c>
      <c r="G285" s="171">
        <f>VLOOKUP(B285,'2016-17'!$B$12:$AMX493,34,FALSE)</f>
        <v>3.6766852022596774E-2</v>
      </c>
      <c r="I285" s="175">
        <v>7585522.9867961649</v>
      </c>
      <c r="J285" s="175">
        <v>1593.4078559373952</v>
      </c>
      <c r="K285" s="171">
        <f t="shared" si="94"/>
        <v>-2.557749192616865E-3</v>
      </c>
      <c r="L285" s="170">
        <f t="shared" si="95"/>
        <v>-2.557749192616865E-3</v>
      </c>
      <c r="N285" s="55">
        <v>5832221</v>
      </c>
      <c r="O285" s="55">
        <v>588422</v>
      </c>
      <c r="P285" s="55">
        <v>1115785</v>
      </c>
      <c r="R285" s="55">
        <v>1115785</v>
      </c>
      <c r="S285" s="55">
        <v>29693.121501110727</v>
      </c>
      <c r="U285" s="171">
        <v>-7.814834296271056E-3</v>
      </c>
      <c r="V285" s="171">
        <v>8.6791937847239264E-3</v>
      </c>
      <c r="AA285" s="55">
        <v>17978.140120952507</v>
      </c>
      <c r="AB285" s="55">
        <v>0</v>
      </c>
      <c r="AC285" s="55">
        <v>11714.98138015822</v>
      </c>
      <c r="AE285" s="55">
        <v>0</v>
      </c>
      <c r="AF285" s="55">
        <v>148.31713458750164</v>
      </c>
      <c r="AG285" s="55">
        <v>11566.664245570719</v>
      </c>
      <c r="AI285" s="55">
        <v>10498.287528985391</v>
      </c>
      <c r="AJ285" s="55">
        <v>1068.3767165853274</v>
      </c>
      <c r="AK285" s="55">
        <v>0</v>
      </c>
      <c r="AM285" s="55">
        <v>5860697</v>
      </c>
      <c r="AN285" s="55">
        <v>589638</v>
      </c>
      <c r="AO285" s="55">
        <v>1115785</v>
      </c>
      <c r="AP285" s="55"/>
      <c r="AQ285" s="55">
        <v>7566120</v>
      </c>
      <c r="AS285" s="175">
        <v>1231.0925241837467</v>
      </c>
      <c r="AT285" s="175">
        <v>123.85880617521364</v>
      </c>
      <c r="AU285" s="175">
        <v>234.38075233992851</v>
      </c>
      <c r="AV285" s="175"/>
      <c r="AW285" s="175">
        <v>1589.3320826988888</v>
      </c>
      <c r="AY285" s="171">
        <v>-2.9704594382916616E-3</v>
      </c>
      <c r="AZ285" s="171">
        <v>1.0763673800158857E-2</v>
      </c>
      <c r="BA285" s="171">
        <v>-7.314232030223522E-3</v>
      </c>
      <c r="BB285" s="171">
        <f t="shared" si="96"/>
        <v>-2.5578970401828327E-3</v>
      </c>
      <c r="BC285" s="171"/>
      <c r="BE285" s="176">
        <v>3.7235045978653902E-2</v>
      </c>
      <c r="BF285" s="176">
        <v>3.6918776024918998E-2</v>
      </c>
      <c r="BG285" s="176">
        <v>7.4700772881838295E-2</v>
      </c>
      <c r="BH285" s="176">
        <f>AQ285/(VLOOKUP($B285,'2016-17'!$B$12:$D$324,3,FALSE))-1</f>
        <v>4.2570195323266002E-2</v>
      </c>
      <c r="BJ285" s="176">
        <v>3.1461247263731895E-2</v>
      </c>
      <c r="BK285" s="176">
        <v>3.1146737835790583E-2</v>
      </c>
      <c r="BL285" s="176">
        <v>6.871842012057372E-2</v>
      </c>
      <c r="BM285" s="176">
        <v>3.6766698346075044E-2</v>
      </c>
    </row>
    <row r="286" spans="2:65" ht="15" x14ac:dyDescent="0.25">
      <c r="B286" t="s">
        <v>560</v>
      </c>
      <c r="D286" s="55">
        <v>8114082.3541612877</v>
      </c>
      <c r="E286" s="166">
        <v>1587.9809296760297</v>
      </c>
      <c r="F286" s="171">
        <f>VLOOKUP(B286,'2016-17'!$B$12:$AMX494,33,FALSE)</f>
        <v>4.2575350596664174E-2</v>
      </c>
      <c r="G286" s="171">
        <f>VLOOKUP(B286,'2016-17'!$B$12:$AMX494,34,FALSE)</f>
        <v>3.7657394770229002E-2</v>
      </c>
      <c r="I286" s="175">
        <v>8206573.9005036354</v>
      </c>
      <c r="J286" s="175">
        <v>1606.0821523820787</v>
      </c>
      <c r="K286" s="171">
        <f t="shared" si="94"/>
        <v>-1.1270421428444255E-2</v>
      </c>
      <c r="L286" s="170">
        <f t="shared" si="95"/>
        <v>-1.1270421428444255E-2</v>
      </c>
      <c r="N286" s="55">
        <v>6289292</v>
      </c>
      <c r="O286" s="55">
        <v>650941</v>
      </c>
      <c r="P286" s="55">
        <v>1149740</v>
      </c>
      <c r="R286" s="55">
        <v>1149740</v>
      </c>
      <c r="S286" s="55">
        <v>24109.354161287745</v>
      </c>
      <c r="U286" s="171">
        <v>-1.8647929318202361E-2</v>
      </c>
      <c r="V286" s="171">
        <v>2.2719277509624769E-2</v>
      </c>
      <c r="AA286" s="55">
        <v>17570.081747539109</v>
      </c>
      <c r="AB286" s="55">
        <v>0</v>
      </c>
      <c r="AC286" s="55">
        <v>6539.2724137486366</v>
      </c>
      <c r="AE286" s="55">
        <v>0</v>
      </c>
      <c r="AF286" s="55">
        <v>0</v>
      </c>
      <c r="AG286" s="55">
        <v>6539.2724137486366</v>
      </c>
      <c r="AI286" s="55">
        <v>5953.6876739851186</v>
      </c>
      <c r="AJ286" s="55">
        <v>585.58473976351877</v>
      </c>
      <c r="AK286" s="55">
        <v>0</v>
      </c>
      <c r="AM286" s="55">
        <v>6312816</v>
      </c>
      <c r="AN286" s="55">
        <v>651526</v>
      </c>
      <c r="AO286" s="55">
        <v>1149740</v>
      </c>
      <c r="AP286" s="55"/>
      <c r="AQ286" s="55">
        <v>8114082</v>
      </c>
      <c r="AS286" s="175">
        <v>1235.4608916943773</v>
      </c>
      <c r="AT286" s="175">
        <v>127.50805550519306</v>
      </c>
      <c r="AU286" s="175">
        <v>225.01191316469439</v>
      </c>
      <c r="AV286" s="175"/>
      <c r="AW286" s="175">
        <v>1587.9808603642648</v>
      </c>
      <c r="AY286" s="171">
        <v>-1.4977353025875884E-2</v>
      </c>
      <c r="AZ286" s="171">
        <v>2.3638394261132234E-2</v>
      </c>
      <c r="BA286" s="171">
        <v>-9.9461573208743381E-3</v>
      </c>
      <c r="BB286" s="171">
        <f t="shared" si="96"/>
        <v>-1.1270464584247408E-2</v>
      </c>
      <c r="BC286" s="171"/>
      <c r="BE286" s="176">
        <v>3.7765220592582915E-2</v>
      </c>
      <c r="BF286" s="176">
        <v>3.6244079641924776E-2</v>
      </c>
      <c r="BG286" s="176">
        <v>7.361525941903313E-2</v>
      </c>
      <c r="BH286" s="176">
        <f>AQ286/(VLOOKUP($B286,'2016-17'!$B$12:$D$324,3,FALSE))-1</f>
        <v>4.2575305090615245E-2</v>
      </c>
      <c r="BJ286" s="176">
        <v>3.286995473945864E-2</v>
      </c>
      <c r="BK286" s="176">
        <v>3.135598919727034E-2</v>
      </c>
      <c r="BL286" s="176">
        <v>6.8550884534869905E-2</v>
      </c>
      <c r="BM286" s="176">
        <v>3.765734947883792E-2</v>
      </c>
    </row>
    <row r="287" spans="2:65" ht="15" x14ac:dyDescent="0.25">
      <c r="B287" t="s">
        <v>561</v>
      </c>
      <c r="D287" s="55">
        <v>9518847.8220167067</v>
      </c>
      <c r="E287" s="166">
        <v>1611.0232646906175</v>
      </c>
      <c r="F287" s="171">
        <f>VLOOKUP(B287,'2016-17'!$B$12:$AMX495,33,FALSE)</f>
        <v>4.1550027185022875E-2</v>
      </c>
      <c r="G287" s="171">
        <f>VLOOKUP(B287,'2016-17'!$B$12:$AMX495,34,FALSE)</f>
        <v>3.6122691937640727E-2</v>
      </c>
      <c r="I287" s="175">
        <v>9502256.915276479</v>
      </c>
      <c r="J287" s="175">
        <v>1608.215326456854</v>
      </c>
      <c r="K287" s="171">
        <f t="shared" si="94"/>
        <v>1.745996439388442E-3</v>
      </c>
      <c r="L287" s="170">
        <f t="shared" si="95"/>
        <v>1.745996439388442E-3</v>
      </c>
      <c r="N287" s="55">
        <v>7324466</v>
      </c>
      <c r="O287" s="55">
        <v>777165</v>
      </c>
      <c r="P287" s="55">
        <v>1396107</v>
      </c>
      <c r="R287" s="55">
        <v>1396107</v>
      </c>
      <c r="S287" s="55">
        <v>21109.822016706894</v>
      </c>
      <c r="U287" s="171">
        <v>-5.9531328790189963E-3</v>
      </c>
      <c r="V287" s="171">
        <v>5.5330500127325433E-2</v>
      </c>
      <c r="AA287" s="55">
        <v>18912.93370997993</v>
      </c>
      <c r="AB287" s="55">
        <v>0</v>
      </c>
      <c r="AC287" s="55">
        <v>2196.8883067269626</v>
      </c>
      <c r="AE287" s="55">
        <v>0</v>
      </c>
      <c r="AF287" s="55">
        <v>0</v>
      </c>
      <c r="AG287" s="55">
        <v>2196.8883067269626</v>
      </c>
      <c r="AI287" s="55">
        <v>1992.6611247802775</v>
      </c>
      <c r="AJ287" s="55">
        <v>204.22718194668539</v>
      </c>
      <c r="AK287" s="55">
        <v>0</v>
      </c>
      <c r="AM287" s="55">
        <v>7345372</v>
      </c>
      <c r="AN287" s="55">
        <v>777369</v>
      </c>
      <c r="AO287" s="55">
        <v>1396107</v>
      </c>
      <c r="AP287" s="55"/>
      <c r="AQ287" s="55">
        <v>9518848</v>
      </c>
      <c r="AS287" s="175">
        <v>1243.1720100027753</v>
      </c>
      <c r="AT287" s="175">
        <v>131.56629538216004</v>
      </c>
      <c r="AU287" s="175">
        <v>236.28498942857419</v>
      </c>
      <c r="AV287" s="175"/>
      <c r="AW287" s="175">
        <v>1611.0232948135097</v>
      </c>
      <c r="AY287" s="171">
        <v>-3.1158552120831295E-3</v>
      </c>
      <c r="AZ287" s="171">
        <v>5.5607516490679298E-2</v>
      </c>
      <c r="BA287" s="171">
        <v>-1.0022648069396567E-3</v>
      </c>
      <c r="BB287" s="171">
        <f t="shared" si="96"/>
        <v>1.7460151700221527E-3</v>
      </c>
      <c r="BC287" s="171"/>
      <c r="BE287" s="176">
        <v>3.6372075862051378E-2</v>
      </c>
      <c r="BF287" s="176">
        <v>3.3870233823046325E-2</v>
      </c>
      <c r="BG287" s="176">
        <v>7.4231384156104641E-2</v>
      </c>
      <c r="BH287" s="176">
        <f>AQ287/(VLOOKUP($B287,'2016-17'!$B$12:$D$324,3,FALSE))-1</f>
        <v>4.155004665991191E-2</v>
      </c>
      <c r="BJ287" s="176">
        <v>3.0971722014497161E-2</v>
      </c>
      <c r="BK287" s="176">
        <v>2.848291663732061E-2</v>
      </c>
      <c r="BL287" s="176">
        <v>6.8633752066524112E-2</v>
      </c>
      <c r="BM287" s="176">
        <v>3.6122711311049382E-2</v>
      </c>
    </row>
    <row r="288" spans="2:65" ht="15" x14ac:dyDescent="0.25">
      <c r="B288" t="s">
        <v>562</v>
      </c>
      <c r="D288" s="55">
        <v>9504322.7454680372</v>
      </c>
      <c r="E288" s="166">
        <v>1666.9768732869668</v>
      </c>
      <c r="F288" s="171">
        <f>VLOOKUP(B288,'2016-17'!$B$12:$AMX496,33,FALSE)</f>
        <v>3.7966856542531513E-2</v>
      </c>
      <c r="G288" s="171">
        <f>VLOOKUP(B288,'2016-17'!$B$12:$AMX496,34,FALSE)</f>
        <v>3.2255121124881603E-2</v>
      </c>
      <c r="I288" s="175">
        <v>9470765.9060650039</v>
      </c>
      <c r="J288" s="175">
        <v>1661.0912908290127</v>
      </c>
      <c r="K288" s="171">
        <f t="shared" si="94"/>
        <v>3.5432022854184897E-3</v>
      </c>
      <c r="L288" s="170">
        <f t="shared" si="95"/>
        <v>3.5432022854184897E-3</v>
      </c>
      <c r="N288" s="55">
        <v>7403281</v>
      </c>
      <c r="O288" s="55">
        <v>767133</v>
      </c>
      <c r="P288" s="55">
        <v>1311553</v>
      </c>
      <c r="R288" s="55">
        <v>1311553</v>
      </c>
      <c r="S288" s="55">
        <v>22355.745468038251</v>
      </c>
      <c r="U288" s="171">
        <v>2.3513530919299086E-3</v>
      </c>
      <c r="V288" s="171">
        <v>4.9417117409107592E-2</v>
      </c>
      <c r="AA288" s="55">
        <v>7067.2588285481324</v>
      </c>
      <c r="AB288" s="55">
        <v>0</v>
      </c>
      <c r="AC288" s="55">
        <v>15288.486639490118</v>
      </c>
      <c r="AE288" s="55">
        <v>0</v>
      </c>
      <c r="AF288" s="55">
        <v>0</v>
      </c>
      <c r="AG288" s="55">
        <v>15288.486639490118</v>
      </c>
      <c r="AI288" s="55">
        <v>13919.84444387003</v>
      </c>
      <c r="AJ288" s="55">
        <v>1368.6421956200884</v>
      </c>
      <c r="AK288" s="55">
        <v>0</v>
      </c>
      <c r="AM288" s="55">
        <v>7424269</v>
      </c>
      <c r="AN288" s="55">
        <v>768502</v>
      </c>
      <c r="AO288" s="55">
        <v>1311553</v>
      </c>
      <c r="AP288" s="55"/>
      <c r="AQ288" s="55">
        <v>9504324</v>
      </c>
      <c r="AS288" s="175">
        <v>1302.1532470541013</v>
      </c>
      <c r="AT288" s="175">
        <v>134.78867409943942</v>
      </c>
      <c r="AU288" s="175">
        <v>230.03517216759627</v>
      </c>
      <c r="AV288" s="175"/>
      <c r="AW288" s="175">
        <v>1666.9770933211371</v>
      </c>
      <c r="AY288" s="171">
        <v>5.1929783387216766E-3</v>
      </c>
      <c r="AZ288" s="171">
        <v>5.1289872242667123E-2</v>
      </c>
      <c r="BA288" s="171">
        <v>-3.1237103893256513E-2</v>
      </c>
      <c r="BB288" s="171">
        <f t="shared" si="96"/>
        <v>3.543334749041227E-3</v>
      </c>
      <c r="BC288" s="171"/>
      <c r="BE288" s="176">
        <v>3.2091129298192467E-2</v>
      </c>
      <c r="BF288" s="176">
        <v>3.4606032734632697E-2</v>
      </c>
      <c r="BG288" s="176">
        <v>7.464528376883206E-2</v>
      </c>
      <c r="BH288" s="176">
        <f>AQ288/(VLOOKUP($B288,'2016-17'!$B$12:$D$324,3,FALSE))-1</f>
        <v>3.7966993549936712E-2</v>
      </c>
      <c r="BJ288" s="176">
        <v>2.6411726896952814E-2</v>
      </c>
      <c r="BK288" s="176">
        <v>2.8912791295143236E-2</v>
      </c>
      <c r="BL288" s="176">
        <v>6.8731713899020441E-2</v>
      </c>
      <c r="BM288" s="176">
        <v>3.2255257378360991E-2</v>
      </c>
    </row>
    <row r="289" spans="2:65" ht="15" x14ac:dyDescent="0.25">
      <c r="B289"/>
      <c r="D289" s="1"/>
      <c r="N289" s="1"/>
      <c r="O289" s="1"/>
      <c r="P289" s="1"/>
      <c r="R289" s="1"/>
      <c r="S289" s="1"/>
      <c r="AA289" s="1"/>
      <c r="AB289" s="1"/>
      <c r="AC289" s="1"/>
      <c r="AE289" s="1"/>
      <c r="AF289" s="1"/>
      <c r="AG289" s="1"/>
      <c r="AI289" s="1"/>
      <c r="AJ289" s="1"/>
      <c r="AK289" s="1"/>
      <c r="AM289" s="1"/>
      <c r="AN289" s="1"/>
      <c r="AO289" s="1"/>
      <c r="AP289" s="1"/>
      <c r="AQ289" s="1"/>
      <c r="BE289" s="1"/>
      <c r="BF289" s="1"/>
      <c r="BG289" s="1"/>
      <c r="BH289" s="1"/>
      <c r="BJ289" s="1"/>
      <c r="BK289" s="1"/>
      <c r="BL289" s="1"/>
      <c r="BM289" s="1"/>
    </row>
    <row r="290" spans="2:65" ht="15" x14ac:dyDescent="0.25">
      <c r="B290" t="s">
        <v>12</v>
      </c>
      <c r="D290" s="172">
        <f>SUM(D279:D288)</f>
        <v>92393044.184634805</v>
      </c>
      <c r="E290" s="166">
        <v>1599.6618451298448</v>
      </c>
      <c r="F290" s="171">
        <f>VLOOKUP(B290,'2016-17'!$B$12:$AMX498,33,FALSE)</f>
        <v>4.3535153838077711E-2</v>
      </c>
      <c r="G290" s="171">
        <f>VLOOKUP(B290,'2016-17'!$B$12:$AMX498,34,FALSE)</f>
        <v>3.5790004846285806E-2</v>
      </c>
      <c r="I290" s="175">
        <f>SUM(I279:I288)</f>
        <v>92393127.908494949</v>
      </c>
      <c r="J290" s="175">
        <v>1599.6632946963762</v>
      </c>
      <c r="K290" s="171">
        <f t="shared" ref="K290" si="97">D290/I290-1</f>
        <v>-9.0616977732604909E-7</v>
      </c>
      <c r="L290" s="170">
        <f t="shared" ref="L290" si="98">E290/J290-1</f>
        <v>-9.0616977721502678E-7</v>
      </c>
      <c r="N290" s="172">
        <f>SUM(N279:N288)</f>
        <v>70245190</v>
      </c>
      <c r="O290" s="172">
        <f>SUM(O279:O288)</f>
        <v>7323728</v>
      </c>
      <c r="P290" s="172">
        <f>SUM(P279:P288)</f>
        <v>14507484</v>
      </c>
      <c r="R290" s="172">
        <f>SUM(R279:R288)</f>
        <v>14507484</v>
      </c>
      <c r="S290" s="172">
        <f>SUM(S279:S288)</f>
        <v>316642.18463481683</v>
      </c>
      <c r="U290" s="171">
        <v>-4.358843443412419E-3</v>
      </c>
      <c r="V290" s="171">
        <v>-1.2371808858836486E-3</v>
      </c>
      <c r="AA290" s="172">
        <f>SUM(AA279:AA288)</f>
        <v>98131.013781613321</v>
      </c>
      <c r="AB290" s="172">
        <f>SUM(AB279:AB288)</f>
        <v>0</v>
      </c>
      <c r="AC290" s="172">
        <f>SUM(AC279:AC288)</f>
        <v>218511.17085320345</v>
      </c>
      <c r="AE290" s="172">
        <f>SUM(AE279:AE288)</f>
        <v>0</v>
      </c>
      <c r="AF290" s="172">
        <f>SUM(AF279:AF288)</f>
        <v>148.31713458750164</v>
      </c>
      <c r="AG290" s="172">
        <f>SUM(AG279:AG288)</f>
        <v>218362.85371861595</v>
      </c>
      <c r="AI290" s="172">
        <f>SUM(AI279:AI288)</f>
        <v>198007.60162548604</v>
      </c>
      <c r="AJ290" s="172">
        <f>SUM(AJ279:AJ288)</f>
        <v>20355.25209312993</v>
      </c>
      <c r="AK290" s="172">
        <f>SUM(AK279:AK288)</f>
        <v>0</v>
      </c>
      <c r="AM290" s="172">
        <f>SUM(AM279:AM288)</f>
        <v>70541332</v>
      </c>
      <c r="AN290" s="172">
        <f>SUM(AN279:AN288)</f>
        <v>7344230</v>
      </c>
      <c r="AO290" s="172">
        <f>SUM(AO279:AO288)</f>
        <v>14507484</v>
      </c>
      <c r="AP290" s="172"/>
      <c r="AQ290" s="172">
        <f>SUM(AQ279:AQ288)</f>
        <v>92393046</v>
      </c>
      <c r="AS290" s="175">
        <v>1221.3287082470968</v>
      </c>
      <c r="AT290" s="175">
        <v>127.15550847508203</v>
      </c>
      <c r="AU290" s="175">
        <v>251.17765983828352</v>
      </c>
      <c r="AV290" s="175"/>
      <c r="AW290" s="175">
        <v>1599.6618765604621</v>
      </c>
      <c r="AY290" s="171">
        <v>-1.6138645902696869E-4</v>
      </c>
      <c r="AZ290" s="171">
        <v>1.5587497272517847E-3</v>
      </c>
      <c r="BA290" s="171">
        <v>-8.6613249400402381E-6</v>
      </c>
      <c r="BB290" s="171">
        <f t="shared" ref="BB290" si="99">SUM(AM290:AO290)/I290-1</f>
        <v>-8.8652150653789619E-7</v>
      </c>
      <c r="BC290" s="171"/>
      <c r="BE290" s="176">
        <v>3.7369768177528684E-2</v>
      </c>
      <c r="BF290" s="176">
        <v>3.9264425125302704E-2</v>
      </c>
      <c r="BG290" s="176">
        <v>7.6896479441228349E-2</v>
      </c>
      <c r="BH290" s="176">
        <f>AQ290/(VLOOKUP($B290,'2016-17'!$B$12:$D$324,3,FALSE))-1</f>
        <v>4.3535174341757576E-2</v>
      </c>
      <c r="BJ290" s="176">
        <v>2.967037886173518E-2</v>
      </c>
      <c r="BK290" s="176">
        <v>3.1550973609213662E-2</v>
      </c>
      <c r="BL290" s="176">
        <v>6.8903721697196829E-2</v>
      </c>
      <c r="BM290" s="176">
        <v>3.5790025197786512E-2</v>
      </c>
    </row>
    <row r="291" spans="2:65" ht="15" x14ac:dyDescent="0.25">
      <c r="B291"/>
      <c r="D291" s="1"/>
      <c r="N291" s="1"/>
      <c r="O291" s="1"/>
      <c r="P291" s="1"/>
      <c r="R291" s="1"/>
      <c r="S291" s="1"/>
      <c r="AA291" s="1"/>
      <c r="AB291" s="1"/>
      <c r="AC291" s="1"/>
      <c r="AE291" s="1"/>
      <c r="AF291" s="1"/>
      <c r="AG291" s="1"/>
      <c r="AI291" s="1"/>
      <c r="AJ291" s="1"/>
      <c r="AK291" s="1"/>
      <c r="AM291" s="1"/>
      <c r="AN291" s="1"/>
      <c r="AO291" s="1"/>
      <c r="AP291" s="1"/>
      <c r="AQ291" s="1"/>
      <c r="BE291" s="1"/>
      <c r="BF291" s="1"/>
      <c r="BG291" s="1"/>
      <c r="BH291" s="1"/>
      <c r="BJ291" s="1"/>
      <c r="BK291" s="1"/>
      <c r="BL291" s="1"/>
      <c r="BM291" s="1"/>
    </row>
    <row r="292" spans="2:65" ht="15" x14ac:dyDescent="0.25">
      <c r="B292" s="174" t="s">
        <v>563</v>
      </c>
      <c r="D292" s="1"/>
      <c r="N292" s="1"/>
      <c r="O292" s="1"/>
      <c r="P292" s="1"/>
      <c r="R292" s="1"/>
      <c r="S292" s="1"/>
      <c r="AA292" s="1"/>
      <c r="AB292" s="1"/>
      <c r="AC292" s="1"/>
      <c r="AE292" s="1"/>
      <c r="AF292" s="1"/>
      <c r="AG292" s="1"/>
      <c r="AI292" s="1"/>
      <c r="AJ292" s="1"/>
      <c r="AK292" s="1"/>
      <c r="AM292" s="1"/>
      <c r="AN292" s="1"/>
      <c r="AO292" s="1"/>
      <c r="AP292" s="1"/>
      <c r="AQ292" s="1"/>
      <c r="BE292" s="1"/>
      <c r="BF292" s="1"/>
      <c r="BG292" s="1"/>
      <c r="BH292" s="1"/>
      <c r="BJ292" s="1"/>
      <c r="BK292" s="1"/>
      <c r="BL292" s="1"/>
      <c r="BM292" s="1"/>
    </row>
    <row r="293" spans="2:65" ht="15" x14ac:dyDescent="0.25">
      <c r="B293"/>
      <c r="D293" s="1"/>
      <c r="N293" s="1"/>
      <c r="O293" s="1"/>
      <c r="P293" s="1"/>
      <c r="R293" s="1"/>
      <c r="S293" s="1"/>
      <c r="AA293" s="1"/>
      <c r="AB293" s="1"/>
      <c r="AC293" s="1"/>
      <c r="AE293" s="1"/>
      <c r="AF293" s="1"/>
      <c r="AG293" s="1"/>
      <c r="AI293" s="1"/>
      <c r="AJ293" s="1"/>
      <c r="AK293" s="1"/>
      <c r="AM293" s="1"/>
      <c r="AN293" s="1"/>
      <c r="AO293" s="1"/>
      <c r="AP293" s="1"/>
      <c r="AQ293" s="1"/>
      <c r="BE293" s="1"/>
      <c r="BF293" s="1"/>
      <c r="BG293" s="1"/>
      <c r="BH293" s="1"/>
      <c r="BJ293" s="1"/>
      <c r="BK293" s="1"/>
      <c r="BL293" s="1"/>
      <c r="BM293" s="1"/>
    </row>
    <row r="294" spans="2:65" ht="15" x14ac:dyDescent="0.25">
      <c r="B294" t="s">
        <v>564</v>
      </c>
      <c r="D294" s="55">
        <v>6466532.3171345871</v>
      </c>
      <c r="E294" s="166">
        <v>1832.397153696324</v>
      </c>
      <c r="F294" s="171">
        <f>VLOOKUP(B294,'2016-17'!$B$12:$AMX502,33,FALSE)</f>
        <v>3.4252279180176703E-2</v>
      </c>
      <c r="G294" s="171">
        <f>VLOOKUP(B294,'2016-17'!$B$12:$AMX502,34,FALSE)</f>
        <v>3.1269241564197081E-2</v>
      </c>
      <c r="I294" s="175">
        <v>6283893.9226303725</v>
      </c>
      <c r="J294" s="175">
        <v>1780.6435927718057</v>
      </c>
      <c r="K294" s="171">
        <f t="shared" ref="K294:K305" si="100">D294/I294-1</f>
        <v>2.9064525396661045E-2</v>
      </c>
      <c r="L294" s="170">
        <f t="shared" ref="L294:L305" si="101">E294/J294-1</f>
        <v>2.9064525396661267E-2</v>
      </c>
      <c r="N294" s="55">
        <v>5073340</v>
      </c>
      <c r="O294" s="55">
        <v>488012</v>
      </c>
      <c r="P294" s="55">
        <v>905032</v>
      </c>
      <c r="R294" s="55">
        <v>905032</v>
      </c>
      <c r="S294" s="55">
        <v>148.31713458750164</v>
      </c>
      <c r="U294" s="171">
        <v>3.003107093814017E-2</v>
      </c>
      <c r="V294" s="171">
        <v>3.2477991713063536E-2</v>
      </c>
      <c r="AA294" s="55">
        <v>0</v>
      </c>
      <c r="AB294" s="55">
        <v>0</v>
      </c>
      <c r="AC294" s="55">
        <v>148.31713458750164</v>
      </c>
      <c r="AE294" s="55">
        <v>0</v>
      </c>
      <c r="AF294" s="55">
        <v>148.31713458750164</v>
      </c>
      <c r="AG294" s="55">
        <v>0</v>
      </c>
      <c r="AI294" s="55">
        <v>0</v>
      </c>
      <c r="AJ294" s="55">
        <v>0</v>
      </c>
      <c r="AK294" s="55">
        <v>0</v>
      </c>
      <c r="AM294" s="55">
        <v>5073340</v>
      </c>
      <c r="AN294" s="55">
        <v>488160</v>
      </c>
      <c r="AO294" s="55">
        <v>905032</v>
      </c>
      <c r="AP294" s="55"/>
      <c r="AQ294" s="55">
        <v>6466532</v>
      </c>
      <c r="AS294" s="175">
        <v>1437.6134409938377</v>
      </c>
      <c r="AT294" s="175">
        <v>138.32807920532662</v>
      </c>
      <c r="AU294" s="175">
        <v>256.45554363191405</v>
      </c>
      <c r="AV294" s="175"/>
      <c r="AW294" s="175">
        <v>1832.3970638310784</v>
      </c>
      <c r="AY294" s="171">
        <v>3.003107093814017E-2</v>
      </c>
      <c r="AZ294" s="171">
        <v>3.2791112584627191E-2</v>
      </c>
      <c r="BA294" s="171">
        <v>2.170133780293404E-2</v>
      </c>
      <c r="BB294" s="171">
        <f t="shared" ref="BB294:BB305" si="102">SUM(AM294:AO294)/I294-1</f>
        <v>2.9064474928815587E-2</v>
      </c>
      <c r="BC294" s="171"/>
      <c r="BE294" s="176">
        <v>2.7814044532563864E-2</v>
      </c>
      <c r="BF294" s="176">
        <v>3.4511123020280587E-2</v>
      </c>
      <c r="BG294" s="176">
        <v>7.1740531641359073E-2</v>
      </c>
      <c r="BH294" s="176">
        <f>AQ294/(VLOOKUP($B294,'2016-17'!$B$12:$D$324,3,FALSE))-1</f>
        <v>3.4252228457911205E-2</v>
      </c>
      <c r="BJ294" s="176">
        <v>2.4849576366728021E-2</v>
      </c>
      <c r="BK294" s="176">
        <v>3.1527338835086072E-2</v>
      </c>
      <c r="BL294" s="176">
        <v>6.8649368697062396E-2</v>
      </c>
      <c r="BM294" s="176">
        <v>3.1269190988227002E-2</v>
      </c>
    </row>
    <row r="295" spans="2:65" ht="15" x14ac:dyDescent="0.25">
      <c r="B295" t="s">
        <v>565</v>
      </c>
      <c r="D295" s="55">
        <v>7388980.9258809322</v>
      </c>
      <c r="E295" s="166">
        <v>1664.9622200424981</v>
      </c>
      <c r="F295" s="171">
        <f>VLOOKUP(B295,'2016-17'!$B$12:$AMX503,33,FALSE)</f>
        <v>3.8079238819593852E-2</v>
      </c>
      <c r="G295" s="171">
        <f>VLOOKUP(B295,'2016-17'!$B$12:$AMX503,34,FALSE)</f>
        <v>3.1307968858957036E-2</v>
      </c>
      <c r="I295" s="175">
        <v>7221746.4653644497</v>
      </c>
      <c r="J295" s="175">
        <v>1627.2792078054708</v>
      </c>
      <c r="K295" s="171">
        <f t="shared" si="100"/>
        <v>2.3157066136084925E-2</v>
      </c>
      <c r="L295" s="170">
        <f t="shared" si="101"/>
        <v>2.3157066136084925E-2</v>
      </c>
      <c r="N295" s="55">
        <v>5605715</v>
      </c>
      <c r="O295" s="55">
        <v>562885</v>
      </c>
      <c r="P295" s="55">
        <v>1220241</v>
      </c>
      <c r="R295" s="55">
        <v>1220241</v>
      </c>
      <c r="S295" s="55">
        <v>139.92588093248196</v>
      </c>
      <c r="U295" s="171">
        <v>2.2357568343629675E-2</v>
      </c>
      <c r="V295" s="171">
        <v>-4.2753411768012617E-2</v>
      </c>
      <c r="AA295" s="55">
        <v>22.060925767756999</v>
      </c>
      <c r="AB295" s="55">
        <v>0</v>
      </c>
      <c r="AC295" s="55">
        <v>117.86495516472496</v>
      </c>
      <c r="AE295" s="55">
        <v>0</v>
      </c>
      <c r="AF295" s="55">
        <v>0</v>
      </c>
      <c r="AG295" s="55">
        <v>117.86495516472496</v>
      </c>
      <c r="AI295" s="55">
        <v>106.9658794160096</v>
      </c>
      <c r="AJ295" s="55">
        <v>10.899075748715367</v>
      </c>
      <c r="AK295" s="55">
        <v>0</v>
      </c>
      <c r="AM295" s="55">
        <v>5605844</v>
      </c>
      <c r="AN295" s="55">
        <v>562896</v>
      </c>
      <c r="AO295" s="55">
        <v>1220241</v>
      </c>
      <c r="AP295" s="55"/>
      <c r="AQ295" s="55">
        <v>7388981</v>
      </c>
      <c r="AS295" s="175">
        <v>1263.1672168431203</v>
      </c>
      <c r="AT295" s="175">
        <v>126.83759549714993</v>
      </c>
      <c r="AU295" s="175">
        <v>274.95742440350921</v>
      </c>
      <c r="AV295" s="175"/>
      <c r="AW295" s="175">
        <v>1664.9622367437794</v>
      </c>
      <c r="AY295" s="171">
        <v>2.2381095070606705E-2</v>
      </c>
      <c r="AZ295" s="171">
        <v>-4.2734705082862812E-2</v>
      </c>
      <c r="BA295" s="171">
        <v>6.0529736029030889E-2</v>
      </c>
      <c r="BB295" s="171">
        <f t="shared" si="102"/>
        <v>2.3157076399401122E-2</v>
      </c>
      <c r="BC295" s="171"/>
      <c r="BE295" s="176">
        <v>3.0117413106601321E-2</v>
      </c>
      <c r="BF295" s="176">
        <v>3.9171663346908137E-2</v>
      </c>
      <c r="BG295" s="176">
        <v>7.5755112515911049E-2</v>
      </c>
      <c r="BH295" s="176">
        <f>AQ295/(VLOOKUP($B295,'2016-17'!$B$12:$D$324,3,FALSE))-1</f>
        <v>3.8079249232594981E-2</v>
      </c>
      <c r="BJ295" s="176">
        <v>2.3398077207706702E-2</v>
      </c>
      <c r="BK295" s="176">
        <v>3.2393267628323841E-2</v>
      </c>
      <c r="BL295" s="176">
        <v>6.8738087219592181E-2</v>
      </c>
      <c r="BM295" s="176">
        <v>3.1307979204035385E-2</v>
      </c>
    </row>
    <row r="296" spans="2:65" ht="15" x14ac:dyDescent="0.25">
      <c r="B296" t="s">
        <v>566</v>
      </c>
      <c r="D296" s="55">
        <v>7217149.3328113873</v>
      </c>
      <c r="E296" s="166">
        <v>1674.1897742959122</v>
      </c>
      <c r="F296" s="171">
        <f>VLOOKUP(B296,'2016-17'!$B$12:$AMX504,33,FALSE)</f>
        <v>3.6574759304395243E-2</v>
      </c>
      <c r="G296" s="171">
        <f>VLOOKUP(B296,'2016-17'!$B$12:$AMX504,34,FALSE)</f>
        <v>3.2061096004855516E-2</v>
      </c>
      <c r="I296" s="175">
        <v>7117001.7830038341</v>
      </c>
      <c r="J296" s="175">
        <v>1650.958163575827</v>
      </c>
      <c r="K296" s="171">
        <f t="shared" si="100"/>
        <v>1.4071592625804374E-2</v>
      </c>
      <c r="L296" s="170">
        <f t="shared" si="101"/>
        <v>1.4071592625804374E-2</v>
      </c>
      <c r="N296" s="55">
        <v>5623656</v>
      </c>
      <c r="O296" s="55">
        <v>576556</v>
      </c>
      <c r="P296" s="55">
        <v>1008049</v>
      </c>
      <c r="R296" s="55">
        <v>1008049</v>
      </c>
      <c r="S296" s="55">
        <v>8888.3328113872412</v>
      </c>
      <c r="U296" s="171">
        <v>1.0885892190351409E-2</v>
      </c>
      <c r="V296" s="171">
        <v>5.2129078965090114E-2</v>
      </c>
      <c r="AA296" s="55">
        <v>5146.2098337195057</v>
      </c>
      <c r="AB296" s="55">
        <v>0</v>
      </c>
      <c r="AC296" s="55">
        <v>3742.1229776677355</v>
      </c>
      <c r="AE296" s="55">
        <v>0</v>
      </c>
      <c r="AF296" s="55">
        <v>0</v>
      </c>
      <c r="AG296" s="55">
        <v>3742.1229776677355</v>
      </c>
      <c r="AI296" s="55">
        <v>3407.1650184683544</v>
      </c>
      <c r="AJ296" s="55">
        <v>334.95795919938109</v>
      </c>
      <c r="AK296" s="55">
        <v>0</v>
      </c>
      <c r="AM296" s="55">
        <v>5632210</v>
      </c>
      <c r="AN296" s="55">
        <v>576891</v>
      </c>
      <c r="AO296" s="55">
        <v>1008049</v>
      </c>
      <c r="AP296" s="55"/>
      <c r="AQ296" s="55">
        <v>7217150</v>
      </c>
      <c r="AS296" s="175">
        <v>1306.5253265327726</v>
      </c>
      <c r="AT296" s="175">
        <v>133.82361491294139</v>
      </c>
      <c r="AU296" s="175">
        <v>233.84098762049618</v>
      </c>
      <c r="AV296" s="175"/>
      <c r="AW296" s="175">
        <v>1674.1899290662102</v>
      </c>
      <c r="AY296" s="171">
        <v>1.2423524990401225E-2</v>
      </c>
      <c r="AZ296" s="171">
        <v>5.2740404216155667E-2</v>
      </c>
      <c r="BA296" s="171">
        <v>2.1211949675656872E-3</v>
      </c>
      <c r="BB296" s="171">
        <f t="shared" si="102"/>
        <v>1.4071686371546432E-2</v>
      </c>
      <c r="BC296" s="171"/>
      <c r="BE296" s="176">
        <v>3.0440338949512258E-2</v>
      </c>
      <c r="BF296" s="176">
        <v>3.4908825562342205E-2</v>
      </c>
      <c r="BG296" s="176">
        <v>7.3263026138315368E-2</v>
      </c>
      <c r="BH296" s="176">
        <f>AQ296/(VLOOKUP($B296,'2016-17'!$B$12:$D$324,3,FALSE))-1</f>
        <v>3.657485513044012E-2</v>
      </c>
      <c r="BJ296" s="176">
        <v>2.5953387382793958E-2</v>
      </c>
      <c r="BK296" s="176">
        <v>3.040241640817265E-2</v>
      </c>
      <c r="BL296" s="176">
        <v>6.858960737295372E-2</v>
      </c>
      <c r="BM296" s="176">
        <v>3.2061191413635282E-2</v>
      </c>
    </row>
    <row r="297" spans="2:65" ht="15" x14ac:dyDescent="0.25">
      <c r="B297" t="s">
        <v>567</v>
      </c>
      <c r="D297" s="55">
        <v>21132784.241482582</v>
      </c>
      <c r="E297" s="166">
        <v>1556.0725811939449</v>
      </c>
      <c r="F297" s="171">
        <f>VLOOKUP(B297,'2016-17'!$B$12:$AMX505,33,FALSE)</f>
        <v>4.3484577509659506E-2</v>
      </c>
      <c r="G297" s="171">
        <f>VLOOKUP(B297,'2016-17'!$B$12:$AMX505,34,FALSE)</f>
        <v>3.711023864410401E-2</v>
      </c>
      <c r="I297" s="175">
        <v>21361659.465307873</v>
      </c>
      <c r="J297" s="175">
        <v>1572.9253752337413</v>
      </c>
      <c r="K297" s="171">
        <f t="shared" si="100"/>
        <v>-1.0714299804141736E-2</v>
      </c>
      <c r="L297" s="170">
        <f t="shared" si="101"/>
        <v>-1.0714299804141736E-2</v>
      </c>
      <c r="N297" s="55">
        <v>16255857</v>
      </c>
      <c r="O297" s="55">
        <v>1712908</v>
      </c>
      <c r="P297" s="55">
        <v>3101345</v>
      </c>
      <c r="R297" s="55">
        <v>3101345</v>
      </c>
      <c r="S297" s="55">
        <v>62674.241482582031</v>
      </c>
      <c r="U297" s="171">
        <v>-1.8147257997180866E-2</v>
      </c>
      <c r="V297" s="171">
        <v>2.554582437427122E-2</v>
      </c>
      <c r="AA297" s="55">
        <v>27572.499535340059</v>
      </c>
      <c r="AB297" s="55">
        <v>0</v>
      </c>
      <c r="AC297" s="55">
        <v>35101.741947241972</v>
      </c>
      <c r="AE297" s="55">
        <v>0</v>
      </c>
      <c r="AF297" s="55">
        <v>0</v>
      </c>
      <c r="AG297" s="55">
        <v>35101.741947241972</v>
      </c>
      <c r="AI297" s="55">
        <v>31888.652832585991</v>
      </c>
      <c r="AJ297" s="55">
        <v>3213.0891146559766</v>
      </c>
      <c r="AK297" s="55">
        <v>0</v>
      </c>
      <c r="AM297" s="55">
        <v>16315320</v>
      </c>
      <c r="AN297" s="55">
        <v>1716121</v>
      </c>
      <c r="AO297" s="55">
        <v>3101345</v>
      </c>
      <c r="AP297" s="55"/>
      <c r="AQ297" s="55">
        <v>21132786</v>
      </c>
      <c r="AS297" s="175">
        <v>1201.3477171441607</v>
      </c>
      <c r="AT297" s="175">
        <v>126.36332267421994</v>
      </c>
      <c r="AU297" s="175">
        <v>228.36167086066698</v>
      </c>
      <c r="AV297" s="175"/>
      <c r="AW297" s="175">
        <v>1556.0727106790475</v>
      </c>
      <c r="AY297" s="171">
        <v>-1.4555696531198814E-2</v>
      </c>
      <c r="AZ297" s="171">
        <v>2.7469499629284799E-2</v>
      </c>
      <c r="BA297" s="171">
        <v>-1.07701235809744E-2</v>
      </c>
      <c r="BB297" s="171">
        <f t="shared" si="102"/>
        <v>-1.0714217482942878E-2</v>
      </c>
      <c r="BC297" s="171"/>
      <c r="BE297" s="176">
        <v>3.8477220444218752E-2</v>
      </c>
      <c r="BF297" s="176">
        <v>3.5758499212251271E-2</v>
      </c>
      <c r="BG297" s="176">
        <v>7.5196945344049304E-2</v>
      </c>
      <c r="BH297" s="176">
        <f>AQ297/(VLOOKUP($B297,'2016-17'!$B$12:$D$324,3,FALSE))-1</f>
        <v>4.3484664340897039E-2</v>
      </c>
      <c r="BJ297" s="176">
        <v>3.213347004297229E-2</v>
      </c>
      <c r="BK297" s="176">
        <v>2.9431356675449383E-2</v>
      </c>
      <c r="BL297" s="176">
        <v>6.8628884996487782E-2</v>
      </c>
      <c r="BM297" s="176">
        <v>3.7110324944914952E-2</v>
      </c>
    </row>
    <row r="298" spans="2:65" ht="15" x14ac:dyDescent="0.25">
      <c r="B298" t="s">
        <v>568</v>
      </c>
      <c r="D298" s="55">
        <v>12131101.794910863</v>
      </c>
      <c r="E298" s="166">
        <v>1630.754283994866</v>
      </c>
      <c r="F298" s="171">
        <f>VLOOKUP(B298,'2016-17'!$B$12:$AMX506,33,FALSE)</f>
        <v>4.1232270022409034E-2</v>
      </c>
      <c r="G298" s="171">
        <f>VLOOKUP(B298,'2016-17'!$B$12:$AMX506,34,FALSE)</f>
        <v>3.3977979107375322E-2</v>
      </c>
      <c r="I298" s="175">
        <v>12182957.514043991</v>
      </c>
      <c r="J298" s="175">
        <v>1637.7251212325402</v>
      </c>
      <c r="K298" s="171">
        <f t="shared" si="100"/>
        <v>-4.2564146738056641E-3</v>
      </c>
      <c r="L298" s="170">
        <f t="shared" si="101"/>
        <v>-4.2564146738055531E-3</v>
      </c>
      <c r="N298" s="55">
        <v>9147676</v>
      </c>
      <c r="O298" s="55">
        <v>965735</v>
      </c>
      <c r="P298" s="55">
        <v>2002460</v>
      </c>
      <c r="R298" s="55">
        <v>2002460</v>
      </c>
      <c r="S298" s="55">
        <v>15230.794910860277</v>
      </c>
      <c r="U298" s="171">
        <v>-7.6156183661175714E-3</v>
      </c>
      <c r="V298" s="171">
        <v>-2.17324359622042E-2</v>
      </c>
      <c r="AA298" s="55">
        <v>3008.3504155024129</v>
      </c>
      <c r="AB298" s="55">
        <v>0</v>
      </c>
      <c r="AC298" s="55">
        <v>12222.444495357864</v>
      </c>
      <c r="AE298" s="55">
        <v>0</v>
      </c>
      <c r="AF298" s="55">
        <v>0</v>
      </c>
      <c r="AG298" s="55">
        <v>12222.444495357864</v>
      </c>
      <c r="AI298" s="55">
        <v>11027.557252775499</v>
      </c>
      <c r="AJ298" s="55">
        <v>1194.8872425823652</v>
      </c>
      <c r="AK298" s="55">
        <v>0</v>
      </c>
      <c r="AM298" s="55">
        <v>9161711</v>
      </c>
      <c r="AN298" s="55">
        <v>966930</v>
      </c>
      <c r="AO298" s="55">
        <v>2002460</v>
      </c>
      <c r="AP298" s="55"/>
      <c r="AQ298" s="55">
        <v>12131101</v>
      </c>
      <c r="AS298" s="175">
        <v>1231.5863566688229</v>
      </c>
      <c r="AT298" s="175">
        <v>129.9820301965195</v>
      </c>
      <c r="AU298" s="175">
        <v>269.18579027160439</v>
      </c>
      <c r="AV298" s="175"/>
      <c r="AW298" s="175">
        <v>1630.7541771369467</v>
      </c>
      <c r="AY298" s="171">
        <v>-6.093033307767004E-3</v>
      </c>
      <c r="AZ298" s="171">
        <v>-2.05219281738096E-2</v>
      </c>
      <c r="BA298" s="171">
        <v>1.2420963479766733E-2</v>
      </c>
      <c r="BB298" s="171">
        <f t="shared" si="102"/>
        <v>-4.2564799215799587E-3</v>
      </c>
      <c r="BC298" s="171"/>
      <c r="BE298" s="176">
        <v>3.4219961092838425E-2</v>
      </c>
      <c r="BF298" s="176">
        <v>3.8085152291460256E-2</v>
      </c>
      <c r="BG298" s="176">
        <v>7.6192228691727815E-2</v>
      </c>
      <c r="BH298" s="176">
        <f>AQ298/(VLOOKUP($B298,'2016-17'!$B$12:$D$324,3,FALSE))-1</f>
        <v>4.123220179391196E-2</v>
      </c>
      <c r="BJ298" s="176">
        <v>2.7014525107128096E-2</v>
      </c>
      <c r="BK298" s="176">
        <v>3.0852787423305106E-2</v>
      </c>
      <c r="BL298" s="176">
        <v>6.8694370882095734E-2</v>
      </c>
      <c r="BM298" s="176">
        <v>3.3977911354227786E-2</v>
      </c>
    </row>
    <row r="299" spans="2:65" ht="15" x14ac:dyDescent="0.25">
      <c r="B299" t="s">
        <v>569</v>
      </c>
      <c r="D299" s="55">
        <v>6540363.3844501581</v>
      </c>
      <c r="E299" s="166">
        <v>1686.6117357533533</v>
      </c>
      <c r="F299" s="171">
        <f>VLOOKUP(B299,'2016-17'!$B$12:$AMX507,33,FALSE)</f>
        <v>3.6942499991546862E-2</v>
      </c>
      <c r="G299" s="171">
        <f>VLOOKUP(B299,'2016-17'!$B$12:$AMX507,34,FALSE)</f>
        <v>3.2677648685331517E-2</v>
      </c>
      <c r="I299" s="175">
        <v>6459056.1749114543</v>
      </c>
      <c r="J299" s="175">
        <v>1665.6444460557543</v>
      </c>
      <c r="K299" s="171">
        <f t="shared" si="100"/>
        <v>1.2588094504351943E-2</v>
      </c>
      <c r="L299" s="170">
        <f t="shared" si="101"/>
        <v>1.2588094504352165E-2</v>
      </c>
      <c r="N299" s="55">
        <v>5097628</v>
      </c>
      <c r="O299" s="55">
        <v>523277</v>
      </c>
      <c r="P299" s="55">
        <v>914926</v>
      </c>
      <c r="R299" s="55">
        <v>914926</v>
      </c>
      <c r="S299" s="55">
        <v>4532.3844501585409</v>
      </c>
      <c r="U299" s="171">
        <v>1.3000583123707221E-2</v>
      </c>
      <c r="V299" s="171">
        <v>5.0182275544473409E-2</v>
      </c>
      <c r="AA299" s="55">
        <v>1179.6938876021886</v>
      </c>
      <c r="AB299" s="55">
        <v>0</v>
      </c>
      <c r="AC299" s="55">
        <v>3352.6905625563522</v>
      </c>
      <c r="AE299" s="55">
        <v>0</v>
      </c>
      <c r="AF299" s="55">
        <v>0</v>
      </c>
      <c r="AG299" s="55">
        <v>3352.6905625563522</v>
      </c>
      <c r="AI299" s="55">
        <v>3048.5162771234727</v>
      </c>
      <c r="AJ299" s="55">
        <v>304.17428543287963</v>
      </c>
      <c r="AK299" s="55">
        <v>0</v>
      </c>
      <c r="AM299" s="55">
        <v>5101856</v>
      </c>
      <c r="AN299" s="55">
        <v>523581</v>
      </c>
      <c r="AO299" s="55">
        <v>914926</v>
      </c>
      <c r="AP299" s="55"/>
      <c r="AQ299" s="55">
        <v>6540363</v>
      </c>
      <c r="AS299" s="175">
        <v>1315.6532287153739</v>
      </c>
      <c r="AT299" s="175">
        <v>135.01969344960423</v>
      </c>
      <c r="AU299" s="175">
        <v>235.93871444737798</v>
      </c>
      <c r="AV299" s="175"/>
      <c r="AW299" s="175">
        <v>1686.6116366123561</v>
      </c>
      <c r="AY299" s="171">
        <v>1.3840771239718608E-2</v>
      </c>
      <c r="AZ299" s="171">
        <v>5.0792383406591313E-2</v>
      </c>
      <c r="BA299" s="171">
        <v>-1.4701246205942486E-2</v>
      </c>
      <c r="BB299" s="171">
        <f t="shared" si="102"/>
        <v>1.2588034983247454E-2</v>
      </c>
      <c r="BC299" s="171"/>
      <c r="BE299" s="176">
        <v>3.0830842330553887E-2</v>
      </c>
      <c r="BF299" s="176">
        <v>3.5817476566199824E-2</v>
      </c>
      <c r="BG299" s="176">
        <v>7.3086152263089676E-2</v>
      </c>
      <c r="BH299" s="176">
        <f>AQ299/(VLOOKUP($B299,'2016-17'!$B$12:$D$324,3,FALSE))-1</f>
        <v>3.6942439038861963E-2</v>
      </c>
      <c r="BJ299" s="176">
        <v>2.6591127723007313E-2</v>
      </c>
      <c r="BK299" s="176">
        <v>3.1557252380220335E-2</v>
      </c>
      <c r="BL299" s="176">
        <v>6.8672645363528906E-2</v>
      </c>
      <c r="BM299" s="176">
        <v>3.267758798333964E-2</v>
      </c>
    </row>
    <row r="300" spans="2:65" ht="15" x14ac:dyDescent="0.25">
      <c r="B300" t="s">
        <v>570</v>
      </c>
      <c r="D300" s="55">
        <v>3784080.7796138758</v>
      </c>
      <c r="E300" s="166">
        <v>1532.426489046069</v>
      </c>
      <c r="F300" s="171">
        <f>VLOOKUP(B300,'2016-17'!$B$12:$AMX508,33,FALSE)</f>
        <v>5.6659309197439001E-2</v>
      </c>
      <c r="G300" s="171">
        <f>VLOOKUP(B300,'2016-17'!$B$12:$AMX508,34,FALSE)</f>
        <v>4.5786847126240593E-2</v>
      </c>
      <c r="I300" s="175">
        <v>3889679.2904692828</v>
      </c>
      <c r="J300" s="175">
        <v>1575.1903634618673</v>
      </c>
      <c r="K300" s="171">
        <f t="shared" si="100"/>
        <v>-2.7148384987459084E-2</v>
      </c>
      <c r="L300" s="170">
        <f t="shared" si="101"/>
        <v>-2.7148384987458973E-2</v>
      </c>
      <c r="N300" s="55">
        <v>2855437</v>
      </c>
      <c r="O300" s="55">
        <v>288684</v>
      </c>
      <c r="P300" s="55">
        <v>587830</v>
      </c>
      <c r="R300" s="55">
        <v>587830</v>
      </c>
      <c r="S300" s="55">
        <v>52129.779613875668</v>
      </c>
      <c r="U300" s="171">
        <v>-3.4502277951937721E-2</v>
      </c>
      <c r="V300" s="171">
        <v>-3.7509233344758974E-2</v>
      </c>
      <c r="AA300" s="55">
        <v>2820.3221843293868</v>
      </c>
      <c r="AB300" s="55">
        <v>0</v>
      </c>
      <c r="AC300" s="55">
        <v>49309.457429546281</v>
      </c>
      <c r="AE300" s="55">
        <v>0</v>
      </c>
      <c r="AF300" s="55">
        <v>0</v>
      </c>
      <c r="AG300" s="55">
        <v>49309.457429546281</v>
      </c>
      <c r="AI300" s="55">
        <v>44819.424726722151</v>
      </c>
      <c r="AJ300" s="55">
        <v>4490.0327028241272</v>
      </c>
      <c r="AK300" s="55">
        <v>0</v>
      </c>
      <c r="AM300" s="55">
        <v>2903077</v>
      </c>
      <c r="AN300" s="55">
        <v>293173</v>
      </c>
      <c r="AO300" s="55">
        <v>587830</v>
      </c>
      <c r="AP300" s="55"/>
      <c r="AQ300" s="55">
        <v>3784080</v>
      </c>
      <c r="AS300" s="175">
        <v>1175.6493462051149</v>
      </c>
      <c r="AT300" s="175">
        <v>118.72528554185513</v>
      </c>
      <c r="AU300" s="175">
        <v>238.051541581485</v>
      </c>
      <c r="AV300" s="175"/>
      <c r="AW300" s="175">
        <v>1532.426173328455</v>
      </c>
      <c r="AY300" s="171">
        <v>-1.8393951458175239E-2</v>
      </c>
      <c r="AZ300" s="171">
        <v>-2.254262261636597E-2</v>
      </c>
      <c r="BA300" s="171">
        <v>-7.0283931552478029E-2</v>
      </c>
      <c r="BB300" s="171">
        <f t="shared" si="102"/>
        <v>-2.714858541886167E-2</v>
      </c>
      <c r="BC300" s="171"/>
      <c r="BE300" s="176">
        <v>5.2494230777017314E-2</v>
      </c>
      <c r="BF300" s="176">
        <v>5.2557358344960337E-2</v>
      </c>
      <c r="BG300" s="176">
        <v>7.9861400390464077E-2</v>
      </c>
      <c r="BH300" s="176">
        <f>AQ300/(VLOOKUP($B300,'2016-17'!$B$12:$D$324,3,FALSE))-1</f>
        <v>5.6659091499586367E-2</v>
      </c>
      <c r="BJ300" s="176">
        <v>4.1664625146637269E-2</v>
      </c>
      <c r="BK300" s="176">
        <v>4.1727103165494661E-2</v>
      </c>
      <c r="BL300" s="176">
        <v>6.8750201146108081E-2</v>
      </c>
      <c r="BM300" s="176">
        <v>4.5786631668383038E-2</v>
      </c>
    </row>
    <row r="301" spans="2:65" ht="15" x14ac:dyDescent="0.25">
      <c r="B301" t="s">
        <v>571</v>
      </c>
      <c r="D301" s="55">
        <v>12806587.646218367</v>
      </c>
      <c r="E301" s="166">
        <v>1478.4784556644079</v>
      </c>
      <c r="F301" s="171">
        <f>VLOOKUP(B301,'2016-17'!$B$12:$AMX509,33,FALSE)</f>
        <v>5.5244249687365077E-2</v>
      </c>
      <c r="G301" s="171">
        <f>VLOOKUP(B301,'2016-17'!$B$12:$AMX509,34,FALSE)</f>
        <v>4.6746759155419149E-2</v>
      </c>
      <c r="I301" s="175">
        <v>13097727.307508083</v>
      </c>
      <c r="J301" s="175">
        <v>1512.089572747059</v>
      </c>
      <c r="K301" s="171">
        <f t="shared" si="100"/>
        <v>-2.2228257960663522E-2</v>
      </c>
      <c r="L301" s="170">
        <f t="shared" si="101"/>
        <v>-2.2228257960663522E-2</v>
      </c>
      <c r="N301" s="55">
        <v>9665458</v>
      </c>
      <c r="O301" s="55">
        <v>1050047</v>
      </c>
      <c r="P301" s="55">
        <v>1979243</v>
      </c>
      <c r="R301" s="55">
        <v>1979243</v>
      </c>
      <c r="S301" s="55">
        <v>111839.64621836855</v>
      </c>
      <c r="U301" s="171">
        <v>-3.7925319688329906E-2</v>
      </c>
      <c r="V301" s="171">
        <v>5.4344071639842451E-3</v>
      </c>
      <c r="AA301" s="55">
        <v>58381.876999352011</v>
      </c>
      <c r="AB301" s="55">
        <v>0</v>
      </c>
      <c r="AC301" s="55">
        <v>53457.76921901654</v>
      </c>
      <c r="AE301" s="55">
        <v>0</v>
      </c>
      <c r="AF301" s="55">
        <v>0</v>
      </c>
      <c r="AG301" s="55">
        <v>53457.76921901654</v>
      </c>
      <c r="AI301" s="55">
        <v>48597.817074224047</v>
      </c>
      <c r="AJ301" s="55">
        <v>4859.952144792489</v>
      </c>
      <c r="AK301" s="55">
        <v>0</v>
      </c>
      <c r="AM301" s="55">
        <v>9772438</v>
      </c>
      <c r="AN301" s="55">
        <v>1054907</v>
      </c>
      <c r="AO301" s="55">
        <v>1979243</v>
      </c>
      <c r="AP301" s="55"/>
      <c r="AQ301" s="55">
        <v>12806588</v>
      </c>
      <c r="AS301" s="175">
        <v>1128.1958505615348</v>
      </c>
      <c r="AT301" s="175">
        <v>121.78554626064826</v>
      </c>
      <c r="AU301" s="175">
        <v>228.49709968515162</v>
      </c>
      <c r="AV301" s="175"/>
      <c r="AW301" s="175">
        <v>1478.4784965073347</v>
      </c>
      <c r="AY301" s="171">
        <v>-2.7276807295048333E-2</v>
      </c>
      <c r="AZ301" s="171">
        <v>1.0087923834016133E-2</v>
      </c>
      <c r="BA301" s="171">
        <v>-1.3772168836786669E-2</v>
      </c>
      <c r="BB301" s="171">
        <f t="shared" si="102"/>
        <v>-2.2228230949745909E-2</v>
      </c>
      <c r="BC301" s="171"/>
      <c r="BE301" s="176">
        <v>5.2557313396134342E-2</v>
      </c>
      <c r="BF301" s="176">
        <v>3.9821683562460519E-2</v>
      </c>
      <c r="BG301" s="176">
        <v>7.7340043745539599E-2</v>
      </c>
      <c r="BH301" s="176">
        <f>AQ301/(VLOOKUP($B301,'2016-17'!$B$12:$D$324,3,FALSE))-1</f>
        <v>5.5244278838458616E-2</v>
      </c>
      <c r="BJ301" s="176">
        <v>4.408145976550415E-2</v>
      </c>
      <c r="BK301" s="176">
        <v>3.1448385234986054E-2</v>
      </c>
      <c r="BL301" s="176">
        <v>6.8664623979806549E-2</v>
      </c>
      <c r="BM301" s="176">
        <v>4.6746788071769574E-2</v>
      </c>
    </row>
    <row r="302" spans="2:65" ht="15" x14ac:dyDescent="0.25">
      <c r="B302" t="s">
        <v>572</v>
      </c>
      <c r="D302" s="55">
        <v>5318124.0281127002</v>
      </c>
      <c r="E302" s="166">
        <v>1521.3166867493755</v>
      </c>
      <c r="F302" s="171">
        <f>VLOOKUP(B302,'2016-17'!$B$12:$AMX510,33,FALSE)</f>
        <v>5.3984889853676554E-2</v>
      </c>
      <c r="G302" s="171">
        <f>VLOOKUP(B302,'2016-17'!$B$12:$AMX510,34,FALSE)</f>
        <v>3.9700255781722982E-2</v>
      </c>
      <c r="I302" s="175">
        <v>5444589.9045823775</v>
      </c>
      <c r="J302" s="175">
        <v>1557.493851321068</v>
      </c>
      <c r="K302" s="171">
        <f t="shared" si="100"/>
        <v>-2.3227805709157057E-2</v>
      </c>
      <c r="L302" s="170">
        <f t="shared" si="101"/>
        <v>-2.3227805709156946E-2</v>
      </c>
      <c r="N302" s="55">
        <v>3891783</v>
      </c>
      <c r="O302" s="55">
        <v>403569</v>
      </c>
      <c r="P302" s="55">
        <v>979707</v>
      </c>
      <c r="R302" s="55">
        <v>979707</v>
      </c>
      <c r="S302" s="55">
        <v>43065.028112701199</v>
      </c>
      <c r="U302" s="171">
        <v>-3.0989484580502213E-2</v>
      </c>
      <c r="V302" s="171">
        <v>-7.2340536284373091E-2</v>
      </c>
      <c r="AA302" s="55">
        <v>0</v>
      </c>
      <c r="AB302" s="55">
        <v>0</v>
      </c>
      <c r="AC302" s="55">
        <v>43065.028112701199</v>
      </c>
      <c r="AE302" s="55">
        <v>0</v>
      </c>
      <c r="AF302" s="55">
        <v>0</v>
      </c>
      <c r="AG302" s="55">
        <v>43065.028112701199</v>
      </c>
      <c r="AI302" s="55">
        <v>38876.242237874336</v>
      </c>
      <c r="AJ302" s="55">
        <v>4188.7858748268691</v>
      </c>
      <c r="AK302" s="55">
        <v>0</v>
      </c>
      <c r="AM302" s="55">
        <v>3930660</v>
      </c>
      <c r="AN302" s="55">
        <v>407758</v>
      </c>
      <c r="AO302" s="55">
        <v>979707</v>
      </c>
      <c r="AP302" s="55"/>
      <c r="AQ302" s="55">
        <v>5318125</v>
      </c>
      <c r="AS302" s="175">
        <v>1124.4150411551061</v>
      </c>
      <c r="AT302" s="175">
        <v>116.64433666389964</v>
      </c>
      <c r="AU302" s="175">
        <v>280.25758695103252</v>
      </c>
      <c r="AV302" s="175"/>
      <c r="AW302" s="175">
        <v>1521.3169647700383</v>
      </c>
      <c r="AY302" s="171">
        <v>-2.1309545640442074E-2</v>
      </c>
      <c r="AZ302" s="171">
        <v>-6.2711537294101838E-2</v>
      </c>
      <c r="BA302" s="171">
        <v>-1.369018193248972E-2</v>
      </c>
      <c r="BB302" s="171">
        <f t="shared" si="102"/>
        <v>-2.3227627204013945E-2</v>
      </c>
      <c r="BC302" s="171"/>
      <c r="BE302" s="176">
        <v>4.7021554592317827E-2</v>
      </c>
      <c r="BF302" s="176">
        <v>5.3066273559448485E-2</v>
      </c>
      <c r="BG302" s="176">
        <v>8.328429567792317E-2</v>
      </c>
      <c r="BH302" s="176">
        <f>AQ302/(VLOOKUP($B302,'2016-17'!$B$12:$D$324,3,FALSE))-1</f>
        <v>5.398508246944167E-2</v>
      </c>
      <c r="BJ302" s="176">
        <v>3.2831294450281323E-2</v>
      </c>
      <c r="BK302" s="176">
        <v>3.8794089473962234E-2</v>
      </c>
      <c r="BL302" s="176">
        <v>6.8602567402102022E-2</v>
      </c>
      <c r="BM302" s="176">
        <v>3.9700445786970739E-2</v>
      </c>
    </row>
    <row r="303" spans="2:65" ht="15" x14ac:dyDescent="0.25">
      <c r="B303" t="s">
        <v>573</v>
      </c>
      <c r="D303" s="55">
        <v>3868912.7232932253</v>
      </c>
      <c r="E303" s="166">
        <v>1624.5786136749091</v>
      </c>
      <c r="F303" s="171">
        <f>VLOOKUP(B303,'2016-17'!$B$12:$AMX511,33,FALSE)</f>
        <v>4.1416457657399208E-2</v>
      </c>
      <c r="G303" s="171">
        <f>VLOOKUP(B303,'2016-17'!$B$12:$AMX511,34,FALSE)</f>
        <v>2.7511329874364332E-2</v>
      </c>
      <c r="I303" s="175">
        <v>3839998.7840671167</v>
      </c>
      <c r="J303" s="175">
        <v>1612.437484974583</v>
      </c>
      <c r="K303" s="171">
        <f t="shared" si="100"/>
        <v>7.5296740577308618E-3</v>
      </c>
      <c r="L303" s="170">
        <f t="shared" si="101"/>
        <v>7.5296740577310839E-3</v>
      </c>
      <c r="N303" s="55">
        <v>2786124</v>
      </c>
      <c r="O303" s="55">
        <v>307326</v>
      </c>
      <c r="P303" s="55">
        <v>772334</v>
      </c>
      <c r="R303" s="55">
        <v>772334</v>
      </c>
      <c r="S303" s="55">
        <v>3128.723293225572</v>
      </c>
      <c r="U303" s="171">
        <v>1.8668307015682339E-2</v>
      </c>
      <c r="V303" s="171">
        <v>-5.809602475200093E-2</v>
      </c>
      <c r="AA303" s="55">
        <v>0</v>
      </c>
      <c r="AB303" s="55">
        <v>0</v>
      </c>
      <c r="AC303" s="55">
        <v>3128.723293225572</v>
      </c>
      <c r="AE303" s="55">
        <v>0</v>
      </c>
      <c r="AF303" s="55">
        <v>0</v>
      </c>
      <c r="AG303" s="55">
        <v>3128.723293225572</v>
      </c>
      <c r="AI303" s="55">
        <v>2793.254181665508</v>
      </c>
      <c r="AJ303" s="55">
        <v>335.46911156006399</v>
      </c>
      <c r="AK303" s="55">
        <v>0</v>
      </c>
      <c r="AM303" s="55">
        <v>2788917</v>
      </c>
      <c r="AN303" s="55">
        <v>307661</v>
      </c>
      <c r="AO303" s="55">
        <v>772334</v>
      </c>
      <c r="AP303" s="55"/>
      <c r="AQ303" s="55">
        <v>3868912</v>
      </c>
      <c r="AS303" s="175">
        <v>1171.0822232396467</v>
      </c>
      <c r="AT303" s="175">
        <v>129.18861618475304</v>
      </c>
      <c r="AU303" s="175">
        <v>324.30747053554097</v>
      </c>
      <c r="AV303" s="175"/>
      <c r="AW303" s="175">
        <v>1624.5783099599407</v>
      </c>
      <c r="AY303" s="171">
        <v>1.9689489339762112E-2</v>
      </c>
      <c r="AZ303" s="171">
        <v>-5.7069304488475914E-2</v>
      </c>
      <c r="BA303" s="171">
        <v>-8.1142121632602482E-3</v>
      </c>
      <c r="BB303" s="171">
        <f t="shared" si="102"/>
        <v>7.529485700060512E-3</v>
      </c>
      <c r="BC303" s="171"/>
      <c r="BE303" s="176">
        <v>3.0498431864116826E-2</v>
      </c>
      <c r="BF303" s="176">
        <v>4.0842909708750375E-2</v>
      </c>
      <c r="BG303" s="176">
        <v>8.3090541765704629E-2</v>
      </c>
      <c r="BH303" s="176">
        <f>AQ303/(VLOOKUP($B303,'2016-17'!$B$12:$D$324,3,FALSE))-1</f>
        <v>4.1416262964594663E-2</v>
      </c>
      <c r="BJ303" s="176">
        <v>1.6739082979309927E-2</v>
      </c>
      <c r="BK303" s="176">
        <v>2.6945440012407618E-2</v>
      </c>
      <c r="BL303" s="176">
        <v>6.8628976199776703E-2</v>
      </c>
      <c r="BM303" s="176">
        <v>2.751113778112324E-2</v>
      </c>
    </row>
    <row r="304" spans="2:65" ht="15" x14ac:dyDescent="0.25">
      <c r="B304" t="s">
        <v>574</v>
      </c>
      <c r="D304" s="55">
        <v>2559936.0107261376</v>
      </c>
      <c r="E304" s="166">
        <v>1494.0787252289465</v>
      </c>
      <c r="F304" s="171">
        <f>VLOOKUP(B304,'2016-17'!$B$12:$AMX512,33,FALSE)</f>
        <v>4.8557118128981447E-2</v>
      </c>
      <c r="G304" s="171">
        <f>VLOOKUP(B304,'2016-17'!$B$12:$AMX512,34,FALSE)</f>
        <v>3.5027100642162079E-2</v>
      </c>
      <c r="I304" s="175">
        <v>2592037.1653602002</v>
      </c>
      <c r="J304" s="175">
        <v>1512.8142139259603</v>
      </c>
      <c r="K304" s="171">
        <f t="shared" si="100"/>
        <v>-1.238452714454108E-2</v>
      </c>
      <c r="L304" s="170">
        <f t="shared" si="101"/>
        <v>-1.2384527144541191E-2</v>
      </c>
      <c r="N304" s="55">
        <v>1918809</v>
      </c>
      <c r="O304" s="55">
        <v>198939</v>
      </c>
      <c r="P304" s="55">
        <v>427323</v>
      </c>
      <c r="R304" s="55">
        <v>427323</v>
      </c>
      <c r="S304" s="55">
        <v>14865.010726137727</v>
      </c>
      <c r="U304" s="171">
        <v>-1.9413421035594181E-2</v>
      </c>
      <c r="V304" s="171">
        <v>-4.5697713791440719E-2</v>
      </c>
      <c r="AA304" s="55">
        <v>0</v>
      </c>
      <c r="AB304" s="55">
        <v>0</v>
      </c>
      <c r="AC304" s="55">
        <v>14865.010726137727</v>
      </c>
      <c r="AE304" s="55">
        <v>0</v>
      </c>
      <c r="AF304" s="55">
        <v>0</v>
      </c>
      <c r="AG304" s="55">
        <v>14865.010726137727</v>
      </c>
      <c r="AI304" s="55">
        <v>13442.006144630664</v>
      </c>
      <c r="AJ304" s="55">
        <v>1423.0045815070614</v>
      </c>
      <c r="AK304" s="55">
        <v>0</v>
      </c>
      <c r="AM304" s="55">
        <v>1932252</v>
      </c>
      <c r="AN304" s="55">
        <v>200362</v>
      </c>
      <c r="AO304" s="55">
        <v>427323</v>
      </c>
      <c r="AP304" s="55"/>
      <c r="AQ304" s="55">
        <v>2559937</v>
      </c>
      <c r="AS304" s="175">
        <v>1127.7378000406306</v>
      </c>
      <c r="AT304" s="175">
        <v>116.93909546567467</v>
      </c>
      <c r="AU304" s="175">
        <v>249.4024071015387</v>
      </c>
      <c r="AV304" s="175"/>
      <c r="AW304" s="175">
        <v>1494.0793026078438</v>
      </c>
      <c r="AY304" s="171">
        <v>-1.2543521331653595E-2</v>
      </c>
      <c r="AZ304" s="171">
        <v>-3.8871640707355715E-2</v>
      </c>
      <c r="BA304" s="171">
        <v>1.2848770467128734E-3</v>
      </c>
      <c r="BB304" s="171">
        <f t="shared" si="102"/>
        <v>-1.2384145485714648E-2</v>
      </c>
      <c r="BC304" s="171"/>
      <c r="BE304" s="176">
        <v>4.1600505376644392E-2</v>
      </c>
      <c r="BF304" s="176">
        <v>4.5455147454521949E-2</v>
      </c>
      <c r="BG304" s="176">
        <v>8.2765274594022831E-2</v>
      </c>
      <c r="BH304" s="176">
        <f>AQ304/(VLOOKUP($B304,'2016-17'!$B$12:$D$324,3,FALSE))-1</f>
        <v>4.8557523338387476E-2</v>
      </c>
      <c r="BJ304" s="176">
        <v>2.8160252281827169E-2</v>
      </c>
      <c r="BK304" s="176">
        <v>3.1965156130076888E-2</v>
      </c>
      <c r="BL304" s="176">
        <v>6.8793853441955655E-2</v>
      </c>
      <c r="BM304" s="176">
        <v>3.502750062296367E-2</v>
      </c>
    </row>
    <row r="305" spans="2:65" ht="15" x14ac:dyDescent="0.25">
      <c r="B305" t="s">
        <v>575</v>
      </c>
      <c r="D305" s="55">
        <v>3178491</v>
      </c>
      <c r="E305" s="166">
        <v>1708.3768260925517</v>
      </c>
      <c r="F305" s="171">
        <f>VLOOKUP(B305,'2016-17'!$B$12:$AMX513,33,FALSE)</f>
        <v>3.3312269745951584E-2</v>
      </c>
      <c r="G305" s="171">
        <f>VLOOKUP(B305,'2016-17'!$B$12:$AMX513,34,FALSE)</f>
        <v>2.020477455393177E-2</v>
      </c>
      <c r="I305" s="175">
        <v>2902780.1312459274</v>
      </c>
      <c r="J305" s="175">
        <v>1560.1876196794133</v>
      </c>
      <c r="K305" s="171">
        <f t="shared" si="100"/>
        <v>9.4981657682675413E-2</v>
      </c>
      <c r="L305" s="170">
        <f t="shared" si="101"/>
        <v>9.4981657682675635E-2</v>
      </c>
      <c r="N305" s="55">
        <v>2323707</v>
      </c>
      <c r="O305" s="55">
        <v>245790</v>
      </c>
      <c r="P305" s="55">
        <v>608994</v>
      </c>
      <c r="R305" s="55">
        <v>608994</v>
      </c>
      <c r="S305" s="55">
        <v>0</v>
      </c>
      <c r="U305" s="171">
        <v>0.12657809334526515</v>
      </c>
      <c r="V305" s="171">
        <v>-3.357630222635033E-2</v>
      </c>
      <c r="AA305" s="55">
        <v>0</v>
      </c>
      <c r="AB305" s="55">
        <v>0</v>
      </c>
      <c r="AC305" s="55">
        <v>0</v>
      </c>
      <c r="AE305" s="55">
        <v>0</v>
      </c>
      <c r="AF305" s="55">
        <v>0</v>
      </c>
      <c r="AG305" s="55">
        <v>0</v>
      </c>
      <c r="AI305" s="55">
        <v>0</v>
      </c>
      <c r="AJ305" s="55">
        <v>0</v>
      </c>
      <c r="AK305" s="55">
        <v>0</v>
      </c>
      <c r="AM305" s="55">
        <v>2323707</v>
      </c>
      <c r="AN305" s="55">
        <v>245790</v>
      </c>
      <c r="AO305" s="55">
        <v>608994</v>
      </c>
      <c r="AP305" s="55"/>
      <c r="AQ305" s="55">
        <v>3178491</v>
      </c>
      <c r="AS305" s="175">
        <v>1248.9471228419541</v>
      </c>
      <c r="AT305" s="175">
        <v>132.10732391102832</v>
      </c>
      <c r="AU305" s="175">
        <v>327.32237933956947</v>
      </c>
      <c r="AV305" s="175"/>
      <c r="AW305" s="175">
        <v>1708.3768260925517</v>
      </c>
      <c r="AY305" s="171">
        <v>0.12657809334526515</v>
      </c>
      <c r="AZ305" s="171">
        <v>-3.357630222635033E-2</v>
      </c>
      <c r="BA305" s="171">
        <v>3.9546335489763829E-2</v>
      </c>
      <c r="BB305" s="171">
        <f t="shared" si="102"/>
        <v>9.4981657682675413E-2</v>
      </c>
      <c r="BC305" s="171"/>
      <c r="BE305" s="176">
        <v>1.9454372974330836E-2</v>
      </c>
      <c r="BF305" s="176">
        <v>4.824480222431804E-2</v>
      </c>
      <c r="BG305" s="176">
        <v>8.3271010767849818E-2</v>
      </c>
      <c r="BH305" s="176">
        <f>AQ305/(VLOOKUP($B305,'2016-17'!$B$12:$D$324,3,FALSE))-1</f>
        <v>3.3312269745951584E-2</v>
      </c>
      <c r="BJ305" s="176">
        <v>6.5226642513427358E-3</v>
      </c>
      <c r="BK305" s="176">
        <v>3.4947888883114064E-2</v>
      </c>
      <c r="BL305" s="176">
        <v>6.9529792376255006E-2</v>
      </c>
      <c r="BM305" s="176">
        <v>2.020477455393177E-2</v>
      </c>
    </row>
    <row r="306" spans="2:65" ht="15" x14ac:dyDescent="0.25">
      <c r="B306"/>
      <c r="D306" s="1"/>
      <c r="N306" s="1"/>
      <c r="O306" s="1"/>
      <c r="P306" s="1"/>
      <c r="R306" s="1"/>
      <c r="S306" s="1"/>
      <c r="AA306" s="1"/>
      <c r="AB306" s="1"/>
      <c r="AC306" s="1"/>
      <c r="AE306" s="1"/>
      <c r="AF306" s="1"/>
      <c r="AG306" s="1"/>
      <c r="AI306" s="1"/>
      <c r="AJ306" s="1"/>
      <c r="AK306" s="1"/>
      <c r="AM306" s="1"/>
      <c r="AN306" s="1"/>
      <c r="AO306" s="1"/>
      <c r="AP306" s="1"/>
      <c r="AQ306" s="1"/>
      <c r="BE306" s="1"/>
      <c r="BF306" s="1"/>
      <c r="BG306" s="1"/>
      <c r="BH306" s="1"/>
      <c r="BJ306" s="1"/>
      <c r="BK306" s="1"/>
      <c r="BL306" s="1"/>
      <c r="BM306" s="1"/>
    </row>
    <row r="307" spans="2:65" ht="15" x14ac:dyDescent="0.25">
      <c r="B307" t="s">
        <v>12</v>
      </c>
      <c r="D307" s="172">
        <f>SUM(D294:D305)</f>
        <v>92393044.18463482</v>
      </c>
      <c r="E307" s="166">
        <v>1599.661845129845</v>
      </c>
      <c r="F307" s="171">
        <f>VLOOKUP(B307,'2016-17'!$B$12:$AMX515,33,FALSE)</f>
        <v>4.3535153838077711E-2</v>
      </c>
      <c r="G307" s="171">
        <f>VLOOKUP(B307,'2016-17'!$B$12:$AMX515,34,FALSE)</f>
        <v>3.5790004846285806E-2</v>
      </c>
      <c r="I307" s="175">
        <f>SUM(I294:I305)</f>
        <v>92393127.908494949</v>
      </c>
      <c r="J307" s="175">
        <v>1599.6632946963762</v>
      </c>
      <c r="K307" s="171">
        <f t="shared" ref="K307" si="103">D307/I307-1</f>
        <v>-9.0616977721502678E-7</v>
      </c>
      <c r="L307" s="170">
        <f t="shared" ref="L307" si="104">E307/J307-1</f>
        <v>-9.0616977710400448E-7</v>
      </c>
      <c r="N307" s="172">
        <f>SUM(N294:N305)</f>
        <v>70245190</v>
      </c>
      <c r="O307" s="172">
        <f>SUM(O294:O305)</f>
        <v>7323728</v>
      </c>
      <c r="P307" s="172">
        <f>SUM(P294:P305)</f>
        <v>14507484</v>
      </c>
      <c r="R307" s="172">
        <f>SUM(R294:R305)</f>
        <v>14507484</v>
      </c>
      <c r="S307" s="172">
        <f>SUM(S294:S305)</f>
        <v>316642.18463481677</v>
      </c>
      <c r="U307" s="171">
        <v>-4.358843443412419E-3</v>
      </c>
      <c r="V307" s="171">
        <v>-1.2371808858836486E-3</v>
      </c>
      <c r="AA307" s="172">
        <f>SUM(AA294:AA305)</f>
        <v>98131.013781613321</v>
      </c>
      <c r="AB307" s="172">
        <f>SUM(AB294:AB305)</f>
        <v>0</v>
      </c>
      <c r="AC307" s="172">
        <f>SUM(AC294:AC305)</f>
        <v>218511.17085320345</v>
      </c>
      <c r="AE307" s="172">
        <f>SUM(AE294:AE305)</f>
        <v>0</v>
      </c>
      <c r="AF307" s="172">
        <f>SUM(AF294:AF305)</f>
        <v>148.31713458750164</v>
      </c>
      <c r="AG307" s="172">
        <f>SUM(AG294:AG305)</f>
        <v>218362.85371861595</v>
      </c>
      <c r="AI307" s="172">
        <f>SUM(AI294:AI305)</f>
        <v>198007.60162548604</v>
      </c>
      <c r="AJ307" s="172">
        <f>SUM(AJ294:AJ305)</f>
        <v>20355.25209312993</v>
      </c>
      <c r="AK307" s="172">
        <f>SUM(AK294:AK305)</f>
        <v>0</v>
      </c>
      <c r="AM307" s="172">
        <f>SUM(AM294:AM305)</f>
        <v>70541332</v>
      </c>
      <c r="AN307" s="172">
        <f>SUM(AN294:AN305)</f>
        <v>7344230</v>
      </c>
      <c r="AO307" s="172">
        <f>SUM(AO294:AO305)</f>
        <v>14507484</v>
      </c>
      <c r="AP307" s="172"/>
      <c r="AQ307" s="172">
        <f>SUM(AQ294:AQ305)</f>
        <v>92393046</v>
      </c>
      <c r="AS307" s="175">
        <v>1221.3287082470968</v>
      </c>
      <c r="AT307" s="175">
        <v>127.15550847508203</v>
      </c>
      <c r="AU307" s="175">
        <v>251.17765983828352</v>
      </c>
      <c r="AV307" s="175"/>
      <c r="AW307" s="175">
        <v>1599.6618765604621</v>
      </c>
      <c r="AY307" s="171">
        <v>-1.6138645902696869E-4</v>
      </c>
      <c r="AZ307" s="171">
        <v>1.5587497272517847E-3</v>
      </c>
      <c r="BA307" s="171">
        <v>-8.6613249400402381E-6</v>
      </c>
      <c r="BB307" s="171">
        <f t="shared" ref="BB307" si="105">SUM(AM307:AO307)/I307-1</f>
        <v>-8.8652150653789619E-7</v>
      </c>
      <c r="BC307" s="171"/>
      <c r="BE307" s="176">
        <v>3.7369768177528684E-2</v>
      </c>
      <c r="BF307" s="176">
        <v>3.9264425125302704E-2</v>
      </c>
      <c r="BG307" s="176">
        <v>7.6896479441228349E-2</v>
      </c>
      <c r="BH307" s="176">
        <f>AQ307/(VLOOKUP($B307,'2016-17'!$B$12:$D$324,3,FALSE))-1</f>
        <v>4.3535174341757576E-2</v>
      </c>
      <c r="BJ307" s="176">
        <v>2.967037886173518E-2</v>
      </c>
      <c r="BK307" s="176">
        <v>3.1550973609213662E-2</v>
      </c>
      <c r="BL307" s="176">
        <v>6.8903721697196829E-2</v>
      </c>
      <c r="BM307" s="176">
        <v>3.5790025197786512E-2</v>
      </c>
    </row>
    <row r="308" spans="2:65" ht="15" x14ac:dyDescent="0.25">
      <c r="B308"/>
      <c r="D308" s="1"/>
      <c r="N308" s="1"/>
      <c r="O308" s="1"/>
      <c r="P308" s="1"/>
      <c r="R308" s="1"/>
      <c r="S308" s="1"/>
      <c r="AA308" s="1"/>
      <c r="AB308" s="1"/>
      <c r="AC308" s="1"/>
      <c r="AE308" s="1"/>
      <c r="AF308" s="1"/>
      <c r="AG308" s="1"/>
      <c r="AI308" s="1"/>
      <c r="AJ308" s="1"/>
      <c r="AK308" s="1"/>
      <c r="AM308" s="1"/>
      <c r="AN308" s="1"/>
      <c r="AO308" s="1"/>
      <c r="AP308" s="1"/>
      <c r="AQ308" s="1"/>
      <c r="BE308" s="1"/>
      <c r="BF308" s="1"/>
      <c r="BG308" s="1"/>
      <c r="BH308" s="1"/>
      <c r="BJ308" s="1"/>
      <c r="BK308" s="1"/>
      <c r="BL308" s="1"/>
      <c r="BM308" s="1"/>
    </row>
    <row r="309" spans="2:65" x14ac:dyDescent="0.2">
      <c r="B309" s="43" t="s">
        <v>576</v>
      </c>
      <c r="D309" s="1"/>
      <c r="N309" s="1"/>
      <c r="O309" s="1"/>
      <c r="P309" s="1"/>
      <c r="R309" s="1"/>
      <c r="S309" s="1"/>
      <c r="AA309" s="1"/>
      <c r="AB309" s="1"/>
      <c r="AC309" s="1"/>
      <c r="AE309" s="1"/>
      <c r="AF309" s="1"/>
      <c r="AG309" s="1"/>
      <c r="AI309" s="1"/>
      <c r="AJ309" s="1"/>
      <c r="AK309" s="1"/>
      <c r="AM309" s="1"/>
      <c r="AN309" s="1"/>
      <c r="AO309" s="1"/>
      <c r="AP309" s="1"/>
      <c r="AQ309" s="1"/>
      <c r="BE309" s="1"/>
      <c r="BF309" s="1"/>
      <c r="BG309" s="1"/>
      <c r="BH309" s="1"/>
      <c r="BJ309" s="1"/>
      <c r="BK309" s="1"/>
      <c r="BL309" s="1"/>
      <c r="BM309" s="1"/>
    </row>
    <row r="310" spans="2:65" ht="15" x14ac:dyDescent="0.25">
      <c r="B310"/>
      <c r="D310" s="1"/>
      <c r="N310" s="1"/>
      <c r="O310" s="1"/>
      <c r="P310" s="1"/>
      <c r="R310" s="1"/>
      <c r="S310" s="1"/>
      <c r="AA310" s="1"/>
      <c r="AB310" s="1"/>
      <c r="AC310" s="1"/>
      <c r="AE310" s="1"/>
      <c r="AF310" s="1"/>
      <c r="AG310" s="1"/>
      <c r="AI310" s="1"/>
      <c r="AJ310" s="1"/>
      <c r="AK310" s="1"/>
      <c r="AM310" s="1"/>
      <c r="AN310" s="1"/>
      <c r="AO310" s="1"/>
      <c r="AP310" s="1"/>
      <c r="AQ310" s="1"/>
      <c r="BE310" s="1"/>
      <c r="BF310" s="1"/>
      <c r="BG310" s="1"/>
      <c r="BH310" s="1"/>
      <c r="BJ310" s="1"/>
      <c r="BK310" s="1"/>
      <c r="BL310" s="1"/>
      <c r="BM310" s="1"/>
    </row>
    <row r="311" spans="2:65" ht="15" x14ac:dyDescent="0.25">
      <c r="B311" t="s">
        <v>577</v>
      </c>
      <c r="D311" s="55">
        <v>5827976.3171345871</v>
      </c>
      <c r="E311" s="166">
        <v>1790.7976481090134</v>
      </c>
      <c r="F311" s="171">
        <f>VLOOKUP(B311,'2016-17'!$B$12:$AMX519,33,FALSE)</f>
        <v>3.4049433386849071E-2</v>
      </c>
      <c r="G311" s="171">
        <f>VLOOKUP(B311,'2016-17'!$B$12:$AMX519,34,FALSE)</f>
        <v>3.1321492846494436E-2</v>
      </c>
      <c r="I311" s="175">
        <v>5650469.2669788543</v>
      </c>
      <c r="J311" s="175">
        <v>1736.2539796649478</v>
      </c>
      <c r="K311" s="171">
        <f t="shared" ref="K311:K323" si="106">D311/I311-1</f>
        <v>3.1414567847148245E-2</v>
      </c>
      <c r="L311" s="170">
        <f t="shared" ref="L311:L323" si="107">E311/J311-1</f>
        <v>3.1414567847148245E-2</v>
      </c>
      <c r="N311" s="55">
        <v>4600783</v>
      </c>
      <c r="O311" s="55">
        <v>443002</v>
      </c>
      <c r="P311" s="55">
        <v>784043</v>
      </c>
      <c r="R311" s="55">
        <v>784043</v>
      </c>
      <c r="S311" s="55">
        <v>148.31713458750164</v>
      </c>
      <c r="U311" s="171">
        <v>3.7472802446257836E-2</v>
      </c>
      <c r="V311" s="171">
        <v>3.9434682851190894E-2</v>
      </c>
      <c r="AA311" s="55">
        <v>0</v>
      </c>
      <c r="AB311" s="55">
        <v>0</v>
      </c>
      <c r="AC311" s="55">
        <v>148.31713458750164</v>
      </c>
      <c r="AE311" s="55">
        <v>0</v>
      </c>
      <c r="AF311" s="55">
        <v>148.31713458750164</v>
      </c>
      <c r="AG311" s="55">
        <v>0</v>
      </c>
      <c r="AI311" s="55">
        <v>0</v>
      </c>
      <c r="AJ311" s="55">
        <v>0</v>
      </c>
      <c r="AK311" s="55">
        <v>0</v>
      </c>
      <c r="AM311" s="55">
        <v>4600783</v>
      </c>
      <c r="AN311" s="55">
        <v>443150</v>
      </c>
      <c r="AO311" s="55">
        <v>784043</v>
      </c>
      <c r="AP311" s="55"/>
      <c r="AQ311" s="55">
        <v>5827976</v>
      </c>
      <c r="AS311" s="175">
        <v>1413.7105107370778</v>
      </c>
      <c r="AT311" s="175">
        <v>136.16938960892873</v>
      </c>
      <c r="AU311" s="175">
        <v>240.91765031513779</v>
      </c>
      <c r="AV311" s="175"/>
      <c r="AW311" s="175">
        <v>1790.7975506611442</v>
      </c>
      <c r="AY311" s="171">
        <v>3.7472802446257836E-2</v>
      </c>
      <c r="AZ311" s="171">
        <v>3.9781941628943551E-2</v>
      </c>
      <c r="BA311" s="171">
        <v>-7.1235575423607145E-3</v>
      </c>
      <c r="BB311" s="171">
        <f t="shared" ref="BB311:BB323" si="108">SUM(AM311:AO311)/I311-1</f>
        <v>3.1414511721794325E-2</v>
      </c>
      <c r="BC311" s="171"/>
      <c r="BE311" s="176">
        <v>2.7964098419182015E-2</v>
      </c>
      <c r="BF311" s="176">
        <v>3.3600470210661815E-2</v>
      </c>
      <c r="BG311" s="176">
        <v>7.1534488674835695E-2</v>
      </c>
      <c r="BH311" s="176">
        <f>AQ311/(VLOOKUP($B311,'2016-17'!$B$12:$D$324,3,FALSE))-1</f>
        <v>3.4049377118116508E-2</v>
      </c>
      <c r="BJ311" s="176">
        <v>2.5252211687691872E-2</v>
      </c>
      <c r="BK311" s="176">
        <v>3.0873714086457671E-2</v>
      </c>
      <c r="BL311" s="176">
        <v>6.8707658276147443E-2</v>
      </c>
      <c r="BM311" s="176">
        <v>3.1321436726205132E-2</v>
      </c>
    </row>
    <row r="312" spans="2:65" ht="15" x14ac:dyDescent="0.25">
      <c r="B312" t="s">
        <v>578</v>
      </c>
      <c r="D312" s="55">
        <v>7813646.6085579228</v>
      </c>
      <c r="E312" s="166">
        <v>1736.8778777313344</v>
      </c>
      <c r="F312" s="171">
        <f>VLOOKUP(B312,'2016-17'!$B$12:$AMX520,33,FALSE)</f>
        <v>4.3776390595951176E-2</v>
      </c>
      <c r="G312" s="171">
        <f>VLOOKUP(B312,'2016-17'!$B$12:$AMX520,34,FALSE)</f>
        <v>3.8633331098701706E-2</v>
      </c>
      <c r="I312" s="175">
        <v>7844256.2131356755</v>
      </c>
      <c r="J312" s="175">
        <v>1743.6820176804042</v>
      </c>
      <c r="K312" s="171">
        <f t="shared" si="106"/>
        <v>-3.9021678723974995E-3</v>
      </c>
      <c r="L312" s="170">
        <f t="shared" si="107"/>
        <v>-3.9021678723976105E-3</v>
      </c>
      <c r="N312" s="55">
        <v>5920256</v>
      </c>
      <c r="O312" s="55">
        <v>583121</v>
      </c>
      <c r="P312" s="55">
        <v>1306464</v>
      </c>
      <c r="R312" s="55">
        <v>1306464</v>
      </c>
      <c r="S312" s="55">
        <v>3805.6085579221835</v>
      </c>
      <c r="U312" s="171">
        <v>-1.2836905717621527E-2</v>
      </c>
      <c r="V312" s="171">
        <v>-2.923929222888022E-2</v>
      </c>
      <c r="AA312" s="55">
        <v>0</v>
      </c>
      <c r="AB312" s="55">
        <v>0</v>
      </c>
      <c r="AC312" s="55">
        <v>3805.6085579221835</v>
      </c>
      <c r="AE312" s="55">
        <v>0</v>
      </c>
      <c r="AF312" s="55">
        <v>0</v>
      </c>
      <c r="AG312" s="55">
        <v>3805.6085579221835</v>
      </c>
      <c r="AI312" s="55">
        <v>3464.4072049059719</v>
      </c>
      <c r="AJ312" s="55">
        <v>341.20135301621173</v>
      </c>
      <c r="AK312" s="55">
        <v>0</v>
      </c>
      <c r="AM312" s="55">
        <v>5923720</v>
      </c>
      <c r="AN312" s="55">
        <v>583462</v>
      </c>
      <c r="AO312" s="55">
        <v>1306464</v>
      </c>
      <c r="AP312" s="55"/>
      <c r="AQ312" s="55">
        <v>7813646</v>
      </c>
      <c r="AS312" s="175">
        <v>1316.7703554196885</v>
      </c>
      <c r="AT312" s="175">
        <v>129.69645174212866</v>
      </c>
      <c r="AU312" s="175">
        <v>290.41093529454935</v>
      </c>
      <c r="AV312" s="175"/>
      <c r="AW312" s="175">
        <v>1736.8777424563666</v>
      </c>
      <c r="AY312" s="171">
        <v>-1.2259306884294996E-2</v>
      </c>
      <c r="AZ312" s="171">
        <v>-2.8671606617574952E-2</v>
      </c>
      <c r="BA312" s="171">
        <v>4.8249203241883754E-2</v>
      </c>
      <c r="BB312" s="171">
        <f t="shared" si="108"/>
        <v>-3.9022454524645367E-3</v>
      </c>
      <c r="BC312" s="171"/>
      <c r="BE312" s="176">
        <v>3.7817968118172507E-2</v>
      </c>
      <c r="BF312" s="176">
        <v>3.838816000227796E-2</v>
      </c>
      <c r="BG312" s="176">
        <v>7.4229636444921532E-2</v>
      </c>
      <c r="BH312" s="176">
        <f>AQ312/(VLOOKUP($B312,'2016-17'!$B$12:$D$324,3,FALSE))-1</f>
        <v>4.3776309302488103E-2</v>
      </c>
      <c r="BJ312" s="176">
        <v>3.2704267899010819E-2</v>
      </c>
      <c r="BK312" s="176">
        <v>3.327165024382106E-2</v>
      </c>
      <c r="BL312" s="176">
        <v>6.8936522916275056E-2</v>
      </c>
      <c r="BM312" s="176">
        <v>3.8633250205800662E-2</v>
      </c>
    </row>
    <row r="313" spans="2:65" ht="15" x14ac:dyDescent="0.25">
      <c r="B313" t="s">
        <v>579</v>
      </c>
      <c r="D313" s="55">
        <v>4627592.2675586985</v>
      </c>
      <c r="E313" s="166">
        <v>1794.7136753106477</v>
      </c>
      <c r="F313" s="171">
        <f>VLOOKUP(B313,'2016-17'!$B$12:$AMX521,33,FALSE)</f>
        <v>3.599346320591934E-2</v>
      </c>
      <c r="G313" s="171">
        <f>VLOOKUP(B313,'2016-17'!$B$12:$AMX521,34,FALSE)</f>
        <v>3.3046697926948143E-2</v>
      </c>
      <c r="I313" s="175">
        <v>4563821.7548225457</v>
      </c>
      <c r="J313" s="175">
        <v>1769.9816322368695</v>
      </c>
      <c r="K313" s="171">
        <f t="shared" si="106"/>
        <v>1.3973050693482314E-2</v>
      </c>
      <c r="L313" s="170">
        <f t="shared" si="107"/>
        <v>1.3973050693482314E-2</v>
      </c>
      <c r="N313" s="55">
        <v>3595558</v>
      </c>
      <c r="O313" s="55">
        <v>344114</v>
      </c>
      <c r="P313" s="55">
        <v>686438</v>
      </c>
      <c r="R313" s="55">
        <v>686438</v>
      </c>
      <c r="S313" s="55">
        <v>1482.267558698135</v>
      </c>
      <c r="U313" s="171">
        <v>6.3390795601185879E-3</v>
      </c>
      <c r="V313" s="171">
        <v>1.6066272899672995E-3</v>
      </c>
      <c r="AA313" s="55">
        <v>539.7840300721582</v>
      </c>
      <c r="AB313" s="55">
        <v>0</v>
      </c>
      <c r="AC313" s="55">
        <v>942.48352862597676</v>
      </c>
      <c r="AE313" s="55">
        <v>0</v>
      </c>
      <c r="AF313" s="55">
        <v>0</v>
      </c>
      <c r="AG313" s="55">
        <v>942.48352862597676</v>
      </c>
      <c r="AI313" s="55">
        <v>859.73943047794967</v>
      </c>
      <c r="AJ313" s="55">
        <v>82.744098148027007</v>
      </c>
      <c r="AK313" s="55">
        <v>0</v>
      </c>
      <c r="AM313" s="55">
        <v>3596958</v>
      </c>
      <c r="AN313" s="55">
        <v>344197</v>
      </c>
      <c r="AO313" s="55">
        <v>686438</v>
      </c>
      <c r="AP313" s="55"/>
      <c r="AQ313" s="55">
        <v>4627593</v>
      </c>
      <c r="AS313" s="175">
        <v>1395.0039975158966</v>
      </c>
      <c r="AT313" s="175">
        <v>133.48951834660818</v>
      </c>
      <c r="AU313" s="175">
        <v>266.22044350999289</v>
      </c>
      <c r="AV313" s="175"/>
      <c r="AW313" s="175">
        <v>1794.7139593724976</v>
      </c>
      <c r="AY313" s="171">
        <v>6.7309171306386695E-3</v>
      </c>
      <c r="AZ313" s="171">
        <v>1.8482139445790136E-3</v>
      </c>
      <c r="BA313" s="171">
        <v>6.0380432463611466E-2</v>
      </c>
      <c r="BB313" s="171">
        <f t="shared" si="108"/>
        <v>1.3973211182068512E-2</v>
      </c>
      <c r="BC313" s="171"/>
      <c r="BE313" s="176">
        <v>2.9031574295518725E-2</v>
      </c>
      <c r="BF313" s="176">
        <v>4.0545973971008342E-2</v>
      </c>
      <c r="BG313" s="176">
        <v>7.1634524130746557E-2</v>
      </c>
      <c r="BH313" s="176">
        <f>AQ313/(VLOOKUP($B313,'2016-17'!$B$12:$D$324,3,FALSE))-1</f>
        <v>3.5993627179830012E-2</v>
      </c>
      <c r="BJ313" s="176">
        <v>2.6104611315737269E-2</v>
      </c>
      <c r="BK313" s="176">
        <v>3.7586259594256877E-2</v>
      </c>
      <c r="BL313" s="176">
        <v>6.8586381917876693E-2</v>
      </c>
      <c r="BM313" s="176">
        <v>3.3046861434453456E-2</v>
      </c>
    </row>
    <row r="314" spans="2:65" ht="15" x14ac:dyDescent="0.25">
      <c r="B314" t="s">
        <v>580</v>
      </c>
      <c r="D314" s="55">
        <v>9359195.0316293314</v>
      </c>
      <c r="E314" s="166">
        <v>1626.118371079757</v>
      </c>
      <c r="F314" s="171">
        <f>VLOOKUP(B314,'2016-17'!$B$12:$AMX522,33,FALSE)</f>
        <v>3.536652446687838E-2</v>
      </c>
      <c r="G314" s="171">
        <f>VLOOKUP(B314,'2016-17'!$B$12:$AMX522,34,FALSE)</f>
        <v>3.0023151359446221E-2</v>
      </c>
      <c r="I314" s="175">
        <v>9102986.4734785296</v>
      </c>
      <c r="J314" s="175">
        <v>1581.6032774388088</v>
      </c>
      <c r="K314" s="171">
        <f t="shared" si="106"/>
        <v>2.8145549693747496E-2</v>
      </c>
      <c r="L314" s="170">
        <f t="shared" si="107"/>
        <v>2.8145549693747718E-2</v>
      </c>
      <c r="N314" s="55">
        <v>7252277</v>
      </c>
      <c r="O314" s="55">
        <v>752964</v>
      </c>
      <c r="P314" s="55">
        <v>1352804</v>
      </c>
      <c r="R314" s="55">
        <v>1352804</v>
      </c>
      <c r="S314" s="55">
        <v>1150.031629332545</v>
      </c>
      <c r="U314" s="171">
        <v>2.6160501374859813E-2</v>
      </c>
      <c r="V314" s="171">
        <v>2.302956939919043E-2</v>
      </c>
      <c r="AA314" s="55">
        <v>0</v>
      </c>
      <c r="AB314" s="55">
        <v>0</v>
      </c>
      <c r="AC314" s="55">
        <v>1150.031629332545</v>
      </c>
      <c r="AE314" s="55">
        <v>0</v>
      </c>
      <c r="AF314" s="55">
        <v>0</v>
      </c>
      <c r="AG314" s="55">
        <v>1150.031629332545</v>
      </c>
      <c r="AI314" s="55">
        <v>1048.0549870920195</v>
      </c>
      <c r="AJ314" s="55">
        <v>101.97664224052559</v>
      </c>
      <c r="AK314" s="55">
        <v>0</v>
      </c>
      <c r="AM314" s="55">
        <v>7253325</v>
      </c>
      <c r="AN314" s="55">
        <v>753066</v>
      </c>
      <c r="AO314" s="55">
        <v>1352804</v>
      </c>
      <c r="AP314" s="55"/>
      <c r="AQ314" s="55">
        <v>9359195</v>
      </c>
      <c r="AS314" s="175">
        <v>1260.2328505872306</v>
      </c>
      <c r="AT314" s="175">
        <v>130.84185692221476</v>
      </c>
      <c r="AU314" s="175">
        <v>235.04365807485641</v>
      </c>
      <c r="AV314" s="175"/>
      <c r="AW314" s="175">
        <v>1626.1183655843017</v>
      </c>
      <c r="AY314" s="171">
        <v>2.6308788072326061E-2</v>
      </c>
      <c r="AZ314" s="171">
        <v>2.316815373533232E-2</v>
      </c>
      <c r="BA314" s="171">
        <v>4.0953138801839595E-2</v>
      </c>
      <c r="BB314" s="171">
        <f t="shared" si="108"/>
        <v>2.8145546219137119E-2</v>
      </c>
      <c r="BC314" s="171"/>
      <c r="BE314" s="176">
        <v>2.8407716836617025E-2</v>
      </c>
      <c r="BF314" s="176">
        <v>3.5503205529824777E-2</v>
      </c>
      <c r="BG314" s="176">
        <v>7.4262200189400884E-2</v>
      </c>
      <c r="BH314" s="176">
        <f>AQ314/(VLOOKUP($B314,'2016-17'!$B$12:$D$324,3,FALSE))-1</f>
        <v>3.5366520967864856E-2</v>
      </c>
      <c r="BJ314" s="176">
        <v>2.3100257103504385E-2</v>
      </c>
      <c r="BK314" s="176">
        <v>3.0159127031693655E-2</v>
      </c>
      <c r="BL314" s="176">
        <v>6.8718092267060271E-2</v>
      </c>
      <c r="BM314" s="176">
        <v>3.0023147878490475E-2</v>
      </c>
    </row>
    <row r="315" spans="2:65" ht="15" x14ac:dyDescent="0.25">
      <c r="B315" t="s">
        <v>581</v>
      </c>
      <c r="D315" s="55">
        <v>7089706.7118742792</v>
      </c>
      <c r="E315" s="166">
        <v>1600.0105384906583</v>
      </c>
      <c r="F315" s="171">
        <f>VLOOKUP(B315,'2016-17'!$B$12:$AMX523,33,FALSE)</f>
        <v>4.0409988137406705E-2</v>
      </c>
      <c r="G315" s="171">
        <f>VLOOKUP(B315,'2016-17'!$B$12:$AMX523,34,FALSE)</f>
        <v>3.3618497731870312E-2</v>
      </c>
      <c r="I315" s="175">
        <v>7165287.7556129117</v>
      </c>
      <c r="J315" s="175">
        <v>1617.067727371179</v>
      </c>
      <c r="K315" s="171">
        <f t="shared" si="106"/>
        <v>-1.0548221692761262E-2</v>
      </c>
      <c r="L315" s="170">
        <f t="shared" si="107"/>
        <v>-1.0548221692761151E-2</v>
      </c>
      <c r="N315" s="55">
        <v>5317001</v>
      </c>
      <c r="O315" s="55">
        <v>567321</v>
      </c>
      <c r="P315" s="55">
        <v>1187880</v>
      </c>
      <c r="R315" s="55">
        <v>1187880</v>
      </c>
      <c r="S315" s="55">
        <v>17504.711874280125</v>
      </c>
      <c r="U315" s="171">
        <v>-2.1165170493263608E-2</v>
      </c>
      <c r="V315" s="171">
        <v>-1.774116818648197E-2</v>
      </c>
      <c r="AA315" s="55">
        <v>2590.1543581740116</v>
      </c>
      <c r="AB315" s="55">
        <v>0</v>
      </c>
      <c r="AC315" s="55">
        <v>14914.557516106113</v>
      </c>
      <c r="AE315" s="55">
        <v>0</v>
      </c>
      <c r="AF315" s="55">
        <v>0</v>
      </c>
      <c r="AG315" s="55">
        <v>14914.557516106113</v>
      </c>
      <c r="AI315" s="55">
        <v>13508.191890163063</v>
      </c>
      <c r="AJ315" s="55">
        <v>1406.3656259430497</v>
      </c>
      <c r="AK315" s="55">
        <v>0</v>
      </c>
      <c r="AM315" s="55">
        <v>5333099</v>
      </c>
      <c r="AN315" s="55">
        <v>568727</v>
      </c>
      <c r="AO315" s="55">
        <v>1187880</v>
      </c>
      <c r="AP315" s="55"/>
      <c r="AQ315" s="55">
        <v>7089706</v>
      </c>
      <c r="AS315" s="175">
        <v>1203.5779404700015</v>
      </c>
      <c r="AT315" s="175">
        <v>128.35075278926615</v>
      </c>
      <c r="AU315" s="175">
        <v>268.08168457504826</v>
      </c>
      <c r="AV315" s="175"/>
      <c r="AW315" s="175">
        <v>1600.0103778343159</v>
      </c>
      <c r="AY315" s="171">
        <v>-1.8201604549717754E-2</v>
      </c>
      <c r="AZ315" s="171">
        <v>-1.5306821639236579E-2</v>
      </c>
      <c r="BA315" s="171">
        <v>2.7799713995219522E-2</v>
      </c>
      <c r="BB315" s="171">
        <f t="shared" si="108"/>
        <v>-1.0548321043171605E-2</v>
      </c>
      <c r="BC315" s="171"/>
      <c r="BE315" s="176">
        <v>3.3144234911856474E-2</v>
      </c>
      <c r="BF315" s="176">
        <v>3.7355425565484213E-2</v>
      </c>
      <c r="BG315" s="176">
        <v>7.5896251085800115E-2</v>
      </c>
      <c r="BH315" s="176">
        <f>AQ315/(VLOOKUP($B315,'2016-17'!$B$12:$D$324,3,FALSE))-1</f>
        <v>4.0409883670305291E-2</v>
      </c>
      <c r="BJ315" s="176">
        <v>2.6400173206431621E-2</v>
      </c>
      <c r="BK315" s="176">
        <v>3.0583874446033832E-2</v>
      </c>
      <c r="BL315" s="176">
        <v>6.8873116792671274E-2</v>
      </c>
      <c r="BM315" s="176">
        <v>3.361839394669941E-2</v>
      </c>
    </row>
    <row r="316" spans="2:65" ht="15" x14ac:dyDescent="0.25">
      <c r="B316" t="s">
        <v>582</v>
      </c>
      <c r="D316" s="55">
        <v>5922121.9804973779</v>
      </c>
      <c r="E316" s="166">
        <v>1594.0567498440225</v>
      </c>
      <c r="F316" s="171">
        <f>VLOOKUP(B316,'2016-17'!$B$12:$AMX524,33,FALSE)</f>
        <v>3.9169206615766061E-2</v>
      </c>
      <c r="G316" s="171">
        <f>VLOOKUP(B316,'2016-17'!$B$12:$AMX524,34,FALSE)</f>
        <v>3.4093200958689174E-2</v>
      </c>
      <c r="I316" s="175">
        <v>5941347.8664882043</v>
      </c>
      <c r="J316" s="175">
        <v>1599.2317789022441</v>
      </c>
      <c r="K316" s="171">
        <f t="shared" si="106"/>
        <v>-3.2359468630458466E-3</v>
      </c>
      <c r="L316" s="170">
        <f t="shared" si="107"/>
        <v>-3.2359468630456245E-3</v>
      </c>
      <c r="N316" s="55">
        <v>4556783</v>
      </c>
      <c r="O316" s="55">
        <v>475158</v>
      </c>
      <c r="P316" s="55">
        <v>878609</v>
      </c>
      <c r="R316" s="55">
        <v>878609</v>
      </c>
      <c r="S316" s="55">
        <v>11571.98049737874</v>
      </c>
      <c r="U316" s="171">
        <v>-7.8088096530268825E-3</v>
      </c>
      <c r="V316" s="171">
        <v>3.1018383544945127E-2</v>
      </c>
      <c r="AA316" s="55">
        <v>9369.4793101367541</v>
      </c>
      <c r="AB316" s="55">
        <v>0</v>
      </c>
      <c r="AC316" s="55">
        <v>2202.5011872419855</v>
      </c>
      <c r="AE316" s="55">
        <v>0</v>
      </c>
      <c r="AF316" s="55">
        <v>0</v>
      </c>
      <c r="AG316" s="55">
        <v>2202.5011872419855</v>
      </c>
      <c r="AI316" s="55">
        <v>2001.0036885009347</v>
      </c>
      <c r="AJ316" s="55">
        <v>201.49749874105095</v>
      </c>
      <c r="AK316" s="55">
        <v>0</v>
      </c>
      <c r="AM316" s="55">
        <v>4568154</v>
      </c>
      <c r="AN316" s="55">
        <v>475359</v>
      </c>
      <c r="AO316" s="55">
        <v>878609</v>
      </c>
      <c r="AP316" s="55"/>
      <c r="AQ316" s="55">
        <v>5922122</v>
      </c>
      <c r="AS316" s="175">
        <v>1229.6093768428914</v>
      </c>
      <c r="AT316" s="175">
        <v>127.95231591725233</v>
      </c>
      <c r="AU316" s="175">
        <v>236.49506233339679</v>
      </c>
      <c r="AV316" s="175"/>
      <c r="AW316" s="175">
        <v>1594.0567550935405</v>
      </c>
      <c r="AY316" s="171">
        <v>-5.332894950607292E-3</v>
      </c>
      <c r="AZ316" s="171">
        <v>3.1454522040124777E-2</v>
      </c>
      <c r="BA316" s="171">
        <v>-1.039601319719996E-2</v>
      </c>
      <c r="BB316" s="171">
        <f t="shared" si="108"/>
        <v>-3.235943580520928E-3</v>
      </c>
      <c r="BC316" s="171"/>
      <c r="BE316" s="176">
        <v>3.3245906618557974E-2</v>
      </c>
      <c r="BF316" s="176">
        <v>3.4455088550766844E-2</v>
      </c>
      <c r="BG316" s="176">
        <v>7.3823283964088438E-2</v>
      </c>
      <c r="BH316" s="176">
        <f>AQ316/(VLOOKUP($B316,'2016-17'!$B$12:$D$324,3,FALSE))-1</f>
        <v>3.9169210037938607E-2</v>
      </c>
      <c r="BJ316" s="176">
        <v>2.8198834367227699E-2</v>
      </c>
      <c r="BK316" s="176">
        <v>2.9402109836572432E-2</v>
      </c>
      <c r="BL316" s="176">
        <v>6.8578004341288912E-2</v>
      </c>
      <c r="BM316" s="176">
        <v>3.4093204364145535E-2</v>
      </c>
    </row>
    <row r="317" spans="2:65" ht="15" x14ac:dyDescent="0.25">
      <c r="B317" t="s">
        <v>583</v>
      </c>
      <c r="D317" s="55">
        <v>7178223.0580074051</v>
      </c>
      <c r="E317" s="166">
        <v>1485.356399438951</v>
      </c>
      <c r="F317" s="171">
        <f>VLOOKUP(B317,'2016-17'!$B$12:$AMX525,33,FALSE)</f>
        <v>5.7226162336478703E-2</v>
      </c>
      <c r="G317" s="171">
        <f>VLOOKUP(B317,'2016-17'!$B$12:$AMX525,34,FALSE)</f>
        <v>4.7639489295774551E-2</v>
      </c>
      <c r="I317" s="175">
        <v>7381713.0820487877</v>
      </c>
      <c r="J317" s="175">
        <v>1527.4636461752702</v>
      </c>
      <c r="K317" s="171">
        <f t="shared" si="106"/>
        <v>-2.7566775053373349E-2</v>
      </c>
      <c r="L317" s="170">
        <f t="shared" si="107"/>
        <v>-2.7566775053373349E-2</v>
      </c>
      <c r="N317" s="55">
        <v>5474833</v>
      </c>
      <c r="O317" s="55">
        <v>577480</v>
      </c>
      <c r="P317" s="55">
        <v>1061273</v>
      </c>
      <c r="R317" s="55">
        <v>1061273</v>
      </c>
      <c r="S317" s="55">
        <v>64637.058007406173</v>
      </c>
      <c r="U317" s="171">
        <v>-3.1539938828809455E-2</v>
      </c>
      <c r="V317" s="171">
        <v>-1.4544184034712138E-2</v>
      </c>
      <c r="AA317" s="55">
        <v>11813.318365204963</v>
      </c>
      <c r="AB317" s="55">
        <v>0</v>
      </c>
      <c r="AC317" s="55">
        <v>52823.73964220121</v>
      </c>
      <c r="AE317" s="55">
        <v>0</v>
      </c>
      <c r="AF317" s="55">
        <v>0</v>
      </c>
      <c r="AG317" s="55">
        <v>52823.73964220121</v>
      </c>
      <c r="AI317" s="55">
        <v>47944.425159958846</v>
      </c>
      <c r="AJ317" s="55">
        <v>4879.3144822423601</v>
      </c>
      <c r="AK317" s="55">
        <v>0</v>
      </c>
      <c r="AM317" s="55">
        <v>5534591</v>
      </c>
      <c r="AN317" s="55">
        <v>582360</v>
      </c>
      <c r="AO317" s="55">
        <v>1061273</v>
      </c>
      <c r="AP317" s="55"/>
      <c r="AQ317" s="55">
        <v>7178224</v>
      </c>
      <c r="AS317" s="175">
        <v>1145.2472420673475</v>
      </c>
      <c r="AT317" s="175">
        <v>120.50505337979637</v>
      </c>
      <c r="AU317" s="175">
        <v>219.60429891396495</v>
      </c>
      <c r="AV317" s="175"/>
      <c r="AW317" s="175">
        <v>1485.3565943611088</v>
      </c>
      <c r="AY317" s="171">
        <v>-2.0969162270790598E-2</v>
      </c>
      <c r="AZ317" s="171">
        <v>-6.2165806858331951E-3</v>
      </c>
      <c r="BA317" s="171">
        <v>-7.1159008358275599E-2</v>
      </c>
      <c r="BB317" s="171">
        <f t="shared" si="108"/>
        <v>-2.7566647441722214E-2</v>
      </c>
      <c r="BC317" s="171"/>
      <c r="BE317" s="176">
        <v>5.4605019009622779E-2</v>
      </c>
      <c r="BF317" s="176">
        <v>4.4310806833272709E-2</v>
      </c>
      <c r="BG317" s="176">
        <v>7.8525899146045131E-2</v>
      </c>
      <c r="BH317" s="176">
        <f>AQ317/(VLOOKUP($B317,'2016-17'!$B$12:$D$324,3,FALSE))-1</f>
        <v>5.72263010754408E-2</v>
      </c>
      <c r="BJ317" s="176">
        <v>4.5042113867370448E-2</v>
      </c>
      <c r="BK317" s="176">
        <v>3.4841247135790843E-2</v>
      </c>
      <c r="BL317" s="176">
        <v>6.8746085205199758E-2</v>
      </c>
      <c r="BM317" s="176">
        <v>4.7639626776684763E-2</v>
      </c>
    </row>
    <row r="318" spans="2:65" ht="15" x14ac:dyDescent="0.25">
      <c r="B318" t="s">
        <v>584</v>
      </c>
      <c r="D318" s="55">
        <v>6783276.9399701729</v>
      </c>
      <c r="E318" s="166">
        <v>1518.2211705595043</v>
      </c>
      <c r="F318" s="171">
        <f>VLOOKUP(B318,'2016-17'!$B$12:$AMX526,33,FALSE)</f>
        <v>5.0205149708662411E-2</v>
      </c>
      <c r="G318" s="171">
        <f>VLOOKUP(B318,'2016-17'!$B$12:$AMX526,34,FALSE)</f>
        <v>4.2206010221815138E-2</v>
      </c>
      <c r="I318" s="175">
        <v>6946157.1758309975</v>
      </c>
      <c r="J318" s="175">
        <v>1554.6767398275808</v>
      </c>
      <c r="K318" s="171">
        <f t="shared" si="106"/>
        <v>-2.3448970666480551E-2</v>
      </c>
      <c r="L318" s="170">
        <f t="shared" si="107"/>
        <v>-2.3448970666480551E-2</v>
      </c>
      <c r="N318" s="55">
        <v>5197134</v>
      </c>
      <c r="O318" s="55">
        <v>585477</v>
      </c>
      <c r="P318" s="55">
        <v>919825</v>
      </c>
      <c r="R318" s="55">
        <v>919825</v>
      </c>
      <c r="S318" s="55">
        <v>80840.939970173524</v>
      </c>
      <c r="U318" s="171">
        <v>-2.5491191587006523E-2</v>
      </c>
      <c r="V318" s="171">
        <v>6.3966266069253042E-2</v>
      </c>
      <c r="AA318" s="55">
        <v>48714.785530728055</v>
      </c>
      <c r="AB318" s="55">
        <v>0</v>
      </c>
      <c r="AC318" s="55">
        <v>32126.154439445469</v>
      </c>
      <c r="AE318" s="55">
        <v>0</v>
      </c>
      <c r="AF318" s="55">
        <v>0</v>
      </c>
      <c r="AG318" s="55">
        <v>32126.154439445469</v>
      </c>
      <c r="AI318" s="55">
        <v>29195.229017700574</v>
      </c>
      <c r="AJ318" s="55">
        <v>2930.9254217448934</v>
      </c>
      <c r="AK318" s="55">
        <v>0</v>
      </c>
      <c r="AM318" s="55">
        <v>5275046</v>
      </c>
      <c r="AN318" s="55">
        <v>588407</v>
      </c>
      <c r="AO318" s="55">
        <v>919825</v>
      </c>
      <c r="AP318" s="55"/>
      <c r="AQ318" s="55">
        <v>6783278</v>
      </c>
      <c r="AS318" s="175">
        <v>1180.6515617377177</v>
      </c>
      <c r="AT318" s="175">
        <v>131.69622473195594</v>
      </c>
      <c r="AU318" s="175">
        <v>205.87362134385106</v>
      </c>
      <c r="AV318" s="175"/>
      <c r="AW318" s="175">
        <v>1518.2214078135246</v>
      </c>
      <c r="AY318" s="171">
        <v>-1.0881999235785034E-2</v>
      </c>
      <c r="AZ318" s="171">
        <v>6.9290849544919819E-2</v>
      </c>
      <c r="BA318" s="171">
        <v>-0.13452575463590144</v>
      </c>
      <c r="BB318" s="171">
        <f t="shared" si="108"/>
        <v>-2.3448818059823351E-2</v>
      </c>
      <c r="BC318" s="171"/>
      <c r="BE318" s="176">
        <v>4.7148112733092606E-2</v>
      </c>
      <c r="BF318" s="176">
        <v>3.7149388981035703E-2</v>
      </c>
      <c r="BG318" s="176">
        <v>7.6908104549871847E-2</v>
      </c>
      <c r="BH318" s="176">
        <f>AQ318/(VLOOKUP($B318,'2016-17'!$B$12:$D$324,3,FALSE))-1</f>
        <v>5.0205313825326447E-2</v>
      </c>
      <c r="BJ318" s="176">
        <v>3.9172257901810781E-2</v>
      </c>
      <c r="BK318" s="176">
        <v>2.924969182809467E-2</v>
      </c>
      <c r="BL318" s="176">
        <v>6.8705575600932267E-2</v>
      </c>
      <c r="BM318" s="176">
        <v>4.220617308844532E-2</v>
      </c>
    </row>
    <row r="319" spans="2:65" ht="15" x14ac:dyDescent="0.25">
      <c r="B319" t="s">
        <v>516</v>
      </c>
      <c r="D319" s="55">
        <v>15107235.624745047</v>
      </c>
      <c r="E319" s="166">
        <v>1590.7031975318064</v>
      </c>
      <c r="F319" s="171">
        <f>VLOOKUP(B319,'2016-17'!$B$12:$AMX527,33,FALSE)</f>
        <v>4.5357787781504344E-2</v>
      </c>
      <c r="G319" s="171">
        <f>VLOOKUP(B319,'2016-17'!$B$12:$AMX527,34,FALSE)</f>
        <v>3.139894853348979E-2</v>
      </c>
      <c r="I319" s="175">
        <v>14968223.031785131</v>
      </c>
      <c r="J319" s="175">
        <v>1576.0659878124895</v>
      </c>
      <c r="K319" s="171">
        <f t="shared" si="106"/>
        <v>9.2871807605166001E-3</v>
      </c>
      <c r="L319" s="170">
        <f t="shared" si="107"/>
        <v>9.2871807605166001E-3</v>
      </c>
      <c r="N319" s="55">
        <v>11059460</v>
      </c>
      <c r="O319" s="55">
        <v>1164718</v>
      </c>
      <c r="P319" s="55">
        <v>2815662</v>
      </c>
      <c r="R319" s="55">
        <v>2815662</v>
      </c>
      <c r="S319" s="55">
        <v>67395.624745045614</v>
      </c>
      <c r="U319" s="171">
        <v>1.3745155825581445E-2</v>
      </c>
      <c r="V319" s="171">
        <v>-5.4585504801966778E-2</v>
      </c>
      <c r="AA319" s="55">
        <v>0</v>
      </c>
      <c r="AB319" s="55">
        <v>0</v>
      </c>
      <c r="AC319" s="55">
        <v>67395.624745045614</v>
      </c>
      <c r="AE319" s="55">
        <v>0</v>
      </c>
      <c r="AF319" s="55">
        <v>0</v>
      </c>
      <c r="AG319" s="55">
        <v>67395.624745045614</v>
      </c>
      <c r="AI319" s="55">
        <v>60965.716170590124</v>
      </c>
      <c r="AJ319" s="55">
        <v>6429.9085744554941</v>
      </c>
      <c r="AK319" s="55">
        <v>0</v>
      </c>
      <c r="AM319" s="55">
        <v>11120427</v>
      </c>
      <c r="AN319" s="55">
        <v>1171148</v>
      </c>
      <c r="AO319" s="55">
        <v>2815662</v>
      </c>
      <c r="AP319" s="55"/>
      <c r="AQ319" s="55">
        <v>15107237</v>
      </c>
      <c r="AS319" s="175">
        <v>1170.9156609594854</v>
      </c>
      <c r="AT319" s="175">
        <v>123.31500710371819</v>
      </c>
      <c r="AU319" s="175">
        <v>296.47267427487333</v>
      </c>
      <c r="AV319" s="175"/>
      <c r="AW319" s="175">
        <v>1590.7033423380769</v>
      </c>
      <c r="AY319" s="171">
        <v>1.9333584276447935E-2</v>
      </c>
      <c r="AZ319" s="171">
        <v>-4.9366202615408805E-2</v>
      </c>
      <c r="BA319" s="171">
        <v>-3.9226847410862575E-3</v>
      </c>
      <c r="BB319" s="171">
        <f t="shared" si="108"/>
        <v>9.2872726388211202E-3</v>
      </c>
      <c r="BC319" s="171"/>
      <c r="BE319" s="176">
        <v>3.5930010251180144E-2</v>
      </c>
      <c r="BF319" s="176">
        <v>4.7812811868233274E-2</v>
      </c>
      <c r="BG319" s="176">
        <v>8.3237967522644452E-2</v>
      </c>
      <c r="BH319" s="176">
        <f>AQ319/(VLOOKUP($B319,'2016-17'!$B$12:$D$324,3,FALSE))-1</f>
        <v>4.5357882943419581E-2</v>
      </c>
      <c r="BJ319" s="176">
        <v>2.2097061710203647E-2</v>
      </c>
      <c r="BK319" s="176">
        <v>3.3821190268590096E-2</v>
      </c>
      <c r="BL319" s="176">
        <v>6.877330783126312E-2</v>
      </c>
      <c r="BM319" s="176">
        <v>3.1399042424691714E-2</v>
      </c>
    </row>
    <row r="320" spans="2:65" ht="15" x14ac:dyDescent="0.25">
      <c r="B320" t="s">
        <v>585</v>
      </c>
      <c r="D320" s="55">
        <v>7458915.5007356759</v>
      </c>
      <c r="E320" s="166">
        <v>1568.6690251542002</v>
      </c>
      <c r="F320" s="171">
        <f>VLOOKUP(B320,'2016-17'!$B$12:$AMX528,33,FALSE)</f>
        <v>4.468655401169852E-2</v>
      </c>
      <c r="G320" s="171">
        <f>VLOOKUP(B320,'2016-17'!$B$12:$AMX528,34,FALSE)</f>
        <v>3.6072632255488291E-2</v>
      </c>
      <c r="I320" s="175">
        <v>7539592.6413196065</v>
      </c>
      <c r="J320" s="175">
        <v>1585.6360670062686</v>
      </c>
      <c r="K320" s="171">
        <f t="shared" si="106"/>
        <v>-1.070046412611092E-2</v>
      </c>
      <c r="L320" s="170">
        <f t="shared" si="107"/>
        <v>-1.0700464126111031E-2</v>
      </c>
      <c r="N320" s="55">
        <v>5669462</v>
      </c>
      <c r="O320" s="55">
        <v>574836</v>
      </c>
      <c r="P320" s="55">
        <v>1169972</v>
      </c>
      <c r="R320" s="55">
        <v>1169972</v>
      </c>
      <c r="S320" s="55">
        <v>44645.500735674344</v>
      </c>
      <c r="U320" s="171">
        <v>-1.47765170469083E-2</v>
      </c>
      <c r="V320" s="171">
        <v>-3.0936205613202761E-2</v>
      </c>
      <c r="AA320" s="55">
        <v>12119.691621601465</v>
      </c>
      <c r="AB320" s="55">
        <v>0</v>
      </c>
      <c r="AC320" s="55">
        <v>32525.809114072879</v>
      </c>
      <c r="AE320" s="55">
        <v>0</v>
      </c>
      <c r="AF320" s="55">
        <v>0</v>
      </c>
      <c r="AG320" s="55">
        <v>32525.809114072879</v>
      </c>
      <c r="AI320" s="55">
        <v>29543.584284093049</v>
      </c>
      <c r="AJ320" s="55">
        <v>2982.2248299798339</v>
      </c>
      <c r="AK320" s="55">
        <v>0</v>
      </c>
      <c r="AM320" s="55">
        <v>5711124</v>
      </c>
      <c r="AN320" s="55">
        <v>577818</v>
      </c>
      <c r="AO320" s="55">
        <v>1169972</v>
      </c>
      <c r="AP320" s="55"/>
      <c r="AQ320" s="55">
        <v>7458914</v>
      </c>
      <c r="AS320" s="175">
        <v>1201.0946251812534</v>
      </c>
      <c r="AT320" s="175">
        <v>121.51970332512154</v>
      </c>
      <c r="AU320" s="175">
        <v>246.05438103122282</v>
      </c>
      <c r="AV320" s="175"/>
      <c r="AW320" s="175">
        <v>1568.6687095375976</v>
      </c>
      <c r="AY320" s="171">
        <v>-7.5366094953995821E-3</v>
      </c>
      <c r="AZ320" s="171">
        <v>-2.5909122697620912E-2</v>
      </c>
      <c r="BA320" s="171">
        <v>-1.840766141086303E-2</v>
      </c>
      <c r="BB320" s="171">
        <f t="shared" si="108"/>
        <v>-1.070066317342655E-2</v>
      </c>
      <c r="BC320" s="171"/>
      <c r="BE320" s="176">
        <v>3.8342436749952968E-2</v>
      </c>
      <c r="BF320" s="176">
        <v>4.3224398196711533E-2</v>
      </c>
      <c r="BG320" s="176">
        <v>7.7569293046677146E-2</v>
      </c>
      <c r="BH320" s="176">
        <f>AQ320/(VLOOKUP($B320,'2016-17'!$B$12:$D$324,3,FALSE))-1</f>
        <v>4.4686343820500962E-2</v>
      </c>
      <c r="BJ320" s="176">
        <v>2.9780825162275981E-2</v>
      </c>
      <c r="BK320" s="176">
        <v>3.462253258857495E-2</v>
      </c>
      <c r="BL320" s="176">
        <v>6.8684237963356098E-2</v>
      </c>
      <c r="BM320" s="176">
        <v>3.6072423797413933E-2</v>
      </c>
    </row>
    <row r="321" spans="2:65" ht="15" x14ac:dyDescent="0.25">
      <c r="B321" t="s">
        <v>586</v>
      </c>
      <c r="D321" s="55">
        <v>5467519.5030578626</v>
      </c>
      <c r="E321" s="166">
        <v>1433.6273448483116</v>
      </c>
      <c r="F321" s="171">
        <f>VLOOKUP(B321,'2016-17'!$B$12:$AMX529,33,FALSE)</f>
        <v>5.113204209388944E-2</v>
      </c>
      <c r="G321" s="171">
        <f>VLOOKUP(B321,'2016-17'!$B$12:$AMX529,34,FALSE)</f>
        <v>4.3313886952944802E-2</v>
      </c>
      <c r="I321" s="175">
        <v>5548978.0272887796</v>
      </c>
      <c r="J321" s="175">
        <v>1454.986421435623</v>
      </c>
      <c r="K321" s="171">
        <f t="shared" si="106"/>
        <v>-1.4679914721291043E-2</v>
      </c>
      <c r="L321" s="170">
        <f t="shared" si="107"/>
        <v>-1.4679914721291043E-2</v>
      </c>
      <c r="N321" s="55">
        <v>4117663</v>
      </c>
      <c r="O321" s="55">
        <v>462546</v>
      </c>
      <c r="P321" s="55">
        <v>869929</v>
      </c>
      <c r="R321" s="55">
        <v>869929</v>
      </c>
      <c r="S321" s="55">
        <v>17381.503057862981</v>
      </c>
      <c r="U321" s="171">
        <v>-3.2783061854718132E-2</v>
      </c>
      <c r="V321" s="171">
        <v>9.6213581487054611E-3</v>
      </c>
      <c r="AA321" s="55">
        <v>12824.196107436612</v>
      </c>
      <c r="AB321" s="55">
        <v>0</v>
      </c>
      <c r="AC321" s="55">
        <v>4557.3069504263694</v>
      </c>
      <c r="AE321" s="55">
        <v>0</v>
      </c>
      <c r="AF321" s="55">
        <v>0</v>
      </c>
      <c r="AG321" s="55">
        <v>4557.3069504263694</v>
      </c>
      <c r="AI321" s="55">
        <v>4111.4186386687143</v>
      </c>
      <c r="AJ321" s="55">
        <v>445.88831175765483</v>
      </c>
      <c r="AK321" s="55">
        <v>0</v>
      </c>
      <c r="AM321" s="55">
        <v>4134599</v>
      </c>
      <c r="AN321" s="55">
        <v>462992</v>
      </c>
      <c r="AO321" s="55">
        <v>869929</v>
      </c>
      <c r="AP321" s="55"/>
      <c r="AQ321" s="55">
        <v>5467520</v>
      </c>
      <c r="AS321" s="175">
        <v>1084.1249277789277</v>
      </c>
      <c r="AT321" s="175">
        <v>121.40020557307282</v>
      </c>
      <c r="AU321" s="175">
        <v>228.10234179851417</v>
      </c>
      <c r="AV321" s="175"/>
      <c r="AW321" s="175">
        <v>1433.6274751505148</v>
      </c>
      <c r="AY321" s="171">
        <v>-2.8804886354579229E-2</v>
      </c>
      <c r="AZ321" s="171">
        <v>1.0594863758383921E-2</v>
      </c>
      <c r="BA321" s="171">
        <v>4.3565868978830524E-2</v>
      </c>
      <c r="BB321" s="171">
        <f t="shared" si="108"/>
        <v>-1.4679825165676452E-2</v>
      </c>
      <c r="BC321" s="171"/>
      <c r="BE321" s="176">
        <v>4.7593318401539131E-2</v>
      </c>
      <c r="BF321" s="176">
        <v>3.6205140830097404E-2</v>
      </c>
      <c r="BG321" s="176">
        <v>7.667299819679263E-2</v>
      </c>
      <c r="BH321" s="176">
        <f>AQ321/(VLOOKUP($B321,'2016-17'!$B$12:$D$324,3,FALSE))-1</f>
        <v>5.1132137631144214E-2</v>
      </c>
      <c r="BJ321" s="176">
        <v>3.9801483731972009E-2</v>
      </c>
      <c r="BK321" s="176">
        <v>2.8498009637791588E-2</v>
      </c>
      <c r="BL321" s="176">
        <v>6.8664873433323281E-2</v>
      </c>
      <c r="BM321" s="176">
        <v>4.3313981779608435E-2</v>
      </c>
    </row>
    <row r="322" spans="2:65" ht="15" x14ac:dyDescent="0.25">
      <c r="B322" t="s">
        <v>537</v>
      </c>
      <c r="D322" s="55">
        <v>4450662.0364081953</v>
      </c>
      <c r="E322" s="166">
        <v>1558.4632819161814</v>
      </c>
      <c r="F322" s="171">
        <f>VLOOKUP(B322,'2016-17'!$B$12:$AMX530,33,FALSE)</f>
        <v>5.0434627296230383E-2</v>
      </c>
      <c r="G322" s="171">
        <f>VLOOKUP(B322,'2016-17'!$B$12:$AMX530,34,FALSE)</f>
        <v>4.3812432875982577E-2</v>
      </c>
      <c r="I322" s="175">
        <v>4470592.5463710576</v>
      </c>
      <c r="J322" s="175">
        <v>1565.4422364431471</v>
      </c>
      <c r="K322" s="171">
        <f t="shared" si="106"/>
        <v>-4.4581360873606757E-3</v>
      </c>
      <c r="L322" s="170">
        <f t="shared" si="107"/>
        <v>-4.4581360873605647E-3</v>
      </c>
      <c r="N322" s="55">
        <v>3420937</v>
      </c>
      <c r="O322" s="55">
        <v>354778</v>
      </c>
      <c r="P322" s="55">
        <v>669028</v>
      </c>
      <c r="R322" s="55">
        <v>669028</v>
      </c>
      <c r="S322" s="55">
        <v>5919.0364081956213</v>
      </c>
      <c r="U322" s="171">
        <v>-2.0437941742130428E-2</v>
      </c>
      <c r="V322" s="171">
        <v>-4.1526984583772908E-3</v>
      </c>
      <c r="AA322" s="55">
        <v>0</v>
      </c>
      <c r="AB322" s="55">
        <v>0</v>
      </c>
      <c r="AC322" s="55">
        <v>5919.0364081956213</v>
      </c>
      <c r="AE322" s="55">
        <v>0</v>
      </c>
      <c r="AF322" s="55">
        <v>0</v>
      </c>
      <c r="AG322" s="55">
        <v>5919.0364081956213</v>
      </c>
      <c r="AI322" s="55">
        <v>5365.8311533347942</v>
      </c>
      <c r="AJ322" s="55">
        <v>553.20525486082704</v>
      </c>
      <c r="AK322" s="55">
        <v>0</v>
      </c>
      <c r="AM322" s="55">
        <v>3426303</v>
      </c>
      <c r="AN322" s="55">
        <v>355331</v>
      </c>
      <c r="AO322" s="55">
        <v>669028</v>
      </c>
      <c r="AP322" s="55"/>
      <c r="AQ322" s="55">
        <v>4450662</v>
      </c>
      <c r="AS322" s="175">
        <v>1199.769242089789</v>
      </c>
      <c r="AT322" s="175">
        <v>124.4242568625737</v>
      </c>
      <c r="AU322" s="175">
        <v>234.26977021496563</v>
      </c>
      <c r="AV322" s="175"/>
      <c r="AW322" s="175">
        <v>1558.4632691673285</v>
      </c>
      <c r="AY322" s="171">
        <v>-1.8901424114178833E-2</v>
      </c>
      <c r="AZ322" s="171">
        <v>-2.6004501291333471E-3</v>
      </c>
      <c r="BA322" s="171">
        <v>7.556892474944199E-2</v>
      </c>
      <c r="BB322" s="171">
        <f t="shared" si="108"/>
        <v>-4.4581442312912056E-3</v>
      </c>
      <c r="BC322" s="171"/>
      <c r="BE322" s="176">
        <v>4.7065118242823445E-2</v>
      </c>
      <c r="BF322" s="176">
        <v>3.7114545481079286E-2</v>
      </c>
      <c r="BG322" s="176">
        <v>7.5495750665898642E-2</v>
      </c>
      <c r="BH322" s="176">
        <f>AQ322/(VLOOKUP($B322,'2016-17'!$B$12:$D$324,3,FALSE))-1</f>
        <v>5.0434618703254941E-2</v>
      </c>
      <c r="BJ322" s="176">
        <v>4.0464166024110515E-2</v>
      </c>
      <c r="BK322" s="176">
        <v>3.0576324084170103E-2</v>
      </c>
      <c r="BL322" s="176">
        <v>6.871556485139263E-2</v>
      </c>
      <c r="BM322" s="176">
        <v>4.3812424337179356E-2</v>
      </c>
    </row>
    <row r="323" spans="2:65" ht="15" x14ac:dyDescent="0.25">
      <c r="B323" t="s">
        <v>587</v>
      </c>
      <c r="D323" s="55">
        <v>5306972.6044582594</v>
      </c>
      <c r="E323" s="166">
        <v>1607.0332156361271</v>
      </c>
      <c r="F323" s="171">
        <f>VLOOKUP(B323,'2016-17'!$B$12:$AMX531,33,FALSE)</f>
        <v>3.6894546091160052E-2</v>
      </c>
      <c r="G323" s="171">
        <f>VLOOKUP(B323,'2016-17'!$B$12:$AMX531,34,FALSE)</f>
        <v>2.9493047336781153E-2</v>
      </c>
      <c r="I323" s="175">
        <v>5269702.0733338809</v>
      </c>
      <c r="J323" s="175">
        <v>1595.7471235558776</v>
      </c>
      <c r="K323" s="171">
        <f t="shared" si="106"/>
        <v>7.0726068771473916E-3</v>
      </c>
      <c r="L323" s="170">
        <f t="shared" si="107"/>
        <v>7.0726068771473916E-3</v>
      </c>
      <c r="N323" s="55">
        <v>4063043</v>
      </c>
      <c r="O323" s="55">
        <v>438213</v>
      </c>
      <c r="P323" s="55">
        <v>805557</v>
      </c>
      <c r="R323" s="55">
        <v>805557</v>
      </c>
      <c r="S323" s="55">
        <v>159.60445825930219</v>
      </c>
      <c r="U323" s="171">
        <v>1.6868170995119058E-3</v>
      </c>
      <c r="V323" s="171">
        <v>6.3403927040347474E-2</v>
      </c>
      <c r="AA323" s="55">
        <v>159.60445825930219</v>
      </c>
      <c r="AB323" s="55">
        <v>0</v>
      </c>
      <c r="AC323" s="55">
        <v>0</v>
      </c>
      <c r="AE323" s="55">
        <v>0</v>
      </c>
      <c r="AF323" s="55">
        <v>0</v>
      </c>
      <c r="AG323" s="55">
        <v>0</v>
      </c>
      <c r="AI323" s="55">
        <v>0</v>
      </c>
      <c r="AJ323" s="55">
        <v>0</v>
      </c>
      <c r="AK323" s="55">
        <v>0</v>
      </c>
      <c r="AM323" s="55">
        <v>4063203</v>
      </c>
      <c r="AN323" s="55">
        <v>438213</v>
      </c>
      <c r="AO323" s="55">
        <v>805557</v>
      </c>
      <c r="AP323" s="55"/>
      <c r="AQ323" s="55">
        <v>5306973</v>
      </c>
      <c r="AS323" s="175">
        <v>1230.4005823182342</v>
      </c>
      <c r="AT323" s="175">
        <v>132.69766004293174</v>
      </c>
      <c r="AU323" s="175">
        <v>243.93509305110518</v>
      </c>
      <c r="AV323" s="175"/>
      <c r="AW323" s="175">
        <v>1607.0333354122711</v>
      </c>
      <c r="AY323" s="171">
        <v>1.7262628771557154E-3</v>
      </c>
      <c r="AZ323" s="171">
        <v>6.3403927040347474E-2</v>
      </c>
      <c r="BA323" s="171">
        <v>5.167152904285599E-3</v>
      </c>
      <c r="BB323" s="171">
        <f t="shared" si="108"/>
        <v>7.0726819367492588E-3</v>
      </c>
      <c r="BC323" s="171"/>
      <c r="BE323" s="176">
        <v>2.9831412816732517E-2</v>
      </c>
      <c r="BF323" s="176">
        <v>3.2736792186129682E-2</v>
      </c>
      <c r="BG323" s="176">
        <v>7.6493107168879249E-2</v>
      </c>
      <c r="BH323" s="176">
        <f>AQ323/(VLOOKUP($B323,'2016-17'!$B$12:$D$324,3,FALSE))-1</f>
        <v>3.689462337346483E-2</v>
      </c>
      <c r="BJ323" s="176">
        <v>2.2480331698679024E-2</v>
      </c>
      <c r="BK323" s="176">
        <v>2.5364972062489999E-2</v>
      </c>
      <c r="BL323" s="176">
        <v>6.8808948329541098E-2</v>
      </c>
      <c r="BM323" s="176">
        <v>2.9493124067433651E-2</v>
      </c>
    </row>
    <row r="324" spans="2:65" ht="15" x14ac:dyDescent="0.25">
      <c r="B324"/>
      <c r="D324" s="1"/>
      <c r="N324" s="1"/>
      <c r="O324" s="1"/>
      <c r="P324" s="1"/>
      <c r="R324" s="1"/>
      <c r="S324" s="1"/>
      <c r="AA324" s="1"/>
      <c r="AB324" s="1"/>
      <c r="AC324" s="1"/>
      <c r="AE324" s="1"/>
      <c r="AF324" s="1"/>
      <c r="AG324" s="1"/>
      <c r="AI324" s="1"/>
      <c r="AJ324" s="1"/>
      <c r="AK324" s="1"/>
      <c r="AM324" s="1"/>
      <c r="AN324" s="1"/>
      <c r="AO324" s="1"/>
      <c r="AP324" s="1"/>
      <c r="AQ324" s="1"/>
      <c r="BE324" s="1"/>
      <c r="BF324" s="1"/>
      <c r="BG324" s="1"/>
      <c r="BH324" s="1"/>
      <c r="BJ324" s="1"/>
      <c r="BK324" s="1"/>
      <c r="BL324" s="1"/>
      <c r="BM324" s="1"/>
    </row>
    <row r="325" spans="2:65" ht="15" x14ac:dyDescent="0.25">
      <c r="B325" t="s">
        <v>12</v>
      </c>
      <c r="D325" s="172">
        <f>SUM(D311:D323)</f>
        <v>92393044.184634805</v>
      </c>
      <c r="E325" s="166">
        <v>1599.6618451298448</v>
      </c>
      <c r="F325" s="171">
        <f>VLOOKUP(B325,'2016-17'!$B$12:$AMX533,33,FALSE)</f>
        <v>4.3535153838077711E-2</v>
      </c>
      <c r="G325" s="171">
        <f>VLOOKUP(B325,'2016-17'!$B$12:$AMX533,34,FALSE)</f>
        <v>3.5790004846285806E-2</v>
      </c>
      <c r="I325" s="175">
        <f>SUM(I311:I323)</f>
        <v>92393127.908494949</v>
      </c>
      <c r="J325" s="175">
        <v>1599.6632946963762</v>
      </c>
      <c r="K325" s="171">
        <f t="shared" ref="K325" si="109">D325/I325-1</f>
        <v>-9.0616977732604909E-7</v>
      </c>
      <c r="L325" s="170">
        <f t="shared" ref="L325" si="110">E325/J325-1</f>
        <v>-9.0616977721502678E-7</v>
      </c>
      <c r="N325" s="172">
        <f>SUM(N311:N323)</f>
        <v>70245190</v>
      </c>
      <c r="O325" s="172">
        <f>SUM(O311:O323)</f>
        <v>7323728</v>
      </c>
      <c r="P325" s="172">
        <f>SUM(P311:P323)</f>
        <v>14507484</v>
      </c>
      <c r="R325" s="172">
        <f>SUM(R311:R323)</f>
        <v>14507484</v>
      </c>
      <c r="S325" s="172">
        <f>SUM(S311:S323)</f>
        <v>316642.18463481677</v>
      </c>
      <c r="U325" s="171">
        <v>-4.358843443412419E-3</v>
      </c>
      <c r="V325" s="171">
        <v>-1.2371808858836486E-3</v>
      </c>
      <c r="AA325" s="172">
        <f>SUM(AA311:AA323)</f>
        <v>98131.013781613321</v>
      </c>
      <c r="AB325" s="172">
        <f>SUM(AB311:AB323)</f>
        <v>0</v>
      </c>
      <c r="AC325" s="172">
        <f>SUM(AC311:AC323)</f>
        <v>218511.17085320345</v>
      </c>
      <c r="AE325" s="172">
        <f>SUM(AE311:AE323)</f>
        <v>0</v>
      </c>
      <c r="AF325" s="172">
        <f>SUM(AF311:AF323)</f>
        <v>148.31713458750164</v>
      </c>
      <c r="AG325" s="172">
        <f>SUM(AG311:AG323)</f>
        <v>218362.85371861595</v>
      </c>
      <c r="AI325" s="172">
        <f>SUM(AI311:AI323)</f>
        <v>198007.60162548607</v>
      </c>
      <c r="AJ325" s="172">
        <f>SUM(AJ311:AJ323)</f>
        <v>20355.25209312993</v>
      </c>
      <c r="AK325" s="172">
        <f>SUM(AK311:AK323)</f>
        <v>0</v>
      </c>
      <c r="AM325" s="172">
        <f>SUM(AM311:AM323)</f>
        <v>70541332</v>
      </c>
      <c r="AN325" s="172">
        <f>SUM(AN311:AN323)</f>
        <v>7344230</v>
      </c>
      <c r="AO325" s="172">
        <f>SUM(AO311:AO323)</f>
        <v>14507484</v>
      </c>
      <c r="AP325" s="172"/>
      <c r="AQ325" s="172">
        <f>SUM(AQ311:AQ323)</f>
        <v>92393046</v>
      </c>
      <c r="AS325" s="175">
        <v>1221.3287082470968</v>
      </c>
      <c r="AT325" s="175">
        <v>127.15550847508203</v>
      </c>
      <c r="AU325" s="175">
        <v>251.17765983828352</v>
      </c>
      <c r="AV325" s="175"/>
      <c r="AW325" s="175">
        <v>1599.6618765604621</v>
      </c>
      <c r="AY325" s="171">
        <v>-1.6138645902696869E-4</v>
      </c>
      <c r="AZ325" s="171">
        <v>1.5587497272517847E-3</v>
      </c>
      <c r="BA325" s="171">
        <v>-8.6613249400402381E-6</v>
      </c>
      <c r="BB325" s="171">
        <f t="shared" ref="BB325" si="111">SUM(AM325:AO325)/I325-1</f>
        <v>-8.8652150653789619E-7</v>
      </c>
      <c r="BC325" s="171"/>
      <c r="BE325" s="176">
        <v>3.7369768177528684E-2</v>
      </c>
      <c r="BF325" s="176">
        <v>3.9264425125302704E-2</v>
      </c>
      <c r="BG325" s="176">
        <v>7.6896479441228349E-2</v>
      </c>
      <c r="BH325" s="176">
        <f>AQ325/(VLOOKUP($B325,'2016-17'!$B$12:$D$324,3,FALSE))-1</f>
        <v>4.3535174341757576E-2</v>
      </c>
      <c r="BJ325" s="176">
        <v>2.967037886173518E-2</v>
      </c>
      <c r="BK325" s="176">
        <v>3.1550973609213662E-2</v>
      </c>
      <c r="BL325" s="176">
        <v>6.8903721697196829E-2</v>
      </c>
      <c r="BM325" s="176">
        <v>3.5790025197786512E-2</v>
      </c>
    </row>
    <row r="326" spans="2:65" x14ac:dyDescent="0.2">
      <c r="D326" s="11"/>
    </row>
  </sheetData>
  <mergeCells count="9">
    <mergeCell ref="BE6:BH7"/>
    <mergeCell ref="BJ6:BM7"/>
    <mergeCell ref="AS6:AW7"/>
    <mergeCell ref="AY6:BC7"/>
    <mergeCell ref="I9:L9"/>
    <mergeCell ref="AA6:AC7"/>
    <mergeCell ref="AE6:AG7"/>
    <mergeCell ref="AI6:AK7"/>
    <mergeCell ref="AM6:AQ7"/>
  </mergeCells>
  <pageMargins left="0.70866141732283472" right="0.70866141732283472" top="0.74803149606299213" bottom="0.74803149606299213" header="0.31496062992125984" footer="0.31496062992125984"/>
  <pageSetup paperSize="8" scale="43" fitToWidth="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Q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2.140625" style="11" bestFit="1" customWidth="1"/>
    <col min="5" max="5" width="11.28515625" style="75" customWidth="1"/>
    <col min="6" max="6" width="4.7109375" style="1" customWidth="1"/>
    <col min="7" max="7" width="12.28515625" style="11" customWidth="1"/>
    <col min="8" max="8" width="12.28515625" style="75" customWidth="1"/>
    <col min="9" max="9" width="3.140625" style="150" customWidth="1"/>
    <col min="10" max="10" width="11.140625" style="53" customWidth="1"/>
    <col min="11" max="11" width="11.140625" style="119" customWidth="1"/>
    <col min="12" max="12" width="13.28515625" style="64" customWidth="1"/>
    <col min="13" max="13" width="13.42578125" style="53" bestFit="1" customWidth="1"/>
    <col min="14" max="14" width="13.42578125" style="54" bestFit="1" customWidth="1"/>
    <col min="15" max="15" width="12.140625" style="54" bestFit="1" customWidth="1"/>
    <col min="16" max="16" width="10.5703125" style="52" customWidth="1"/>
    <col min="17" max="18" width="13.85546875" style="52" customWidth="1"/>
    <col min="19" max="19" width="12" style="52" customWidth="1"/>
    <col min="20" max="20" width="13" style="53" bestFit="1" customWidth="1"/>
    <col min="21" max="21" width="13" style="54" bestFit="1" customWidth="1"/>
    <col min="22" max="22" width="12.5703125" style="119" customWidth="1"/>
    <col min="23" max="23" width="10.5703125" style="53" customWidth="1"/>
    <col min="24" max="25" width="13" style="54" bestFit="1" customWidth="1"/>
    <col min="26" max="26" width="12" style="139" customWidth="1"/>
    <col min="27" max="29" width="12" style="54" customWidth="1"/>
    <col min="30" max="30" width="13" style="54" bestFit="1" customWidth="1"/>
    <col min="31" max="31" width="13" style="119" bestFit="1" customWidth="1"/>
    <col min="32" max="32" width="13.28515625" style="64" customWidth="1"/>
    <col min="33" max="35" width="11.140625" style="64" customWidth="1"/>
    <col min="36" max="36" width="5.7109375" style="64" customWidth="1"/>
    <col min="37" max="37" width="12.85546875" style="64" customWidth="1"/>
    <col min="38" max="38" width="11.140625" style="64" customWidth="1"/>
    <col min="39" max="39" width="13.140625" style="64" bestFit="1" customWidth="1"/>
    <col min="40" max="40" width="11.140625" style="52" customWidth="1"/>
    <col min="41" max="41" width="9.140625" style="1"/>
    <col min="42" max="43" width="11.140625" style="64" customWidth="1"/>
    <col min="44" max="16384" width="9.140625" style="1"/>
  </cols>
  <sheetData>
    <row r="1" spans="1:43" x14ac:dyDescent="0.2">
      <c r="A1" s="321" t="s">
        <v>616</v>
      </c>
    </row>
    <row r="2" spans="1:43" x14ac:dyDescent="0.2">
      <c r="A2" s="279" t="s">
        <v>949</v>
      </c>
    </row>
    <row r="3" spans="1:43" x14ac:dyDescent="0.2">
      <c r="A3" s="354" t="s">
        <v>964</v>
      </c>
    </row>
    <row r="4" spans="1:43" x14ac:dyDescent="0.2">
      <c r="B4" s="1" t="s">
        <v>64</v>
      </c>
      <c r="D4" s="59" t="s">
        <v>0</v>
      </c>
      <c r="E4" s="69"/>
      <c r="G4" s="83" t="s">
        <v>13</v>
      </c>
      <c r="H4" s="76"/>
      <c r="I4" s="149"/>
      <c r="J4" s="125"/>
      <c r="K4" s="111">
        <f>MIN(K12:K220)</f>
        <v>-4.2554433254857194E-2</v>
      </c>
      <c r="L4" s="6"/>
      <c r="M4" s="102"/>
      <c r="N4" s="18"/>
      <c r="O4" s="111"/>
      <c r="P4" s="4"/>
      <c r="Q4" s="5"/>
      <c r="R4" s="5"/>
      <c r="S4" s="148"/>
      <c r="T4" s="120"/>
      <c r="U4" s="144"/>
      <c r="V4" s="110"/>
      <c r="W4" s="125"/>
      <c r="X4" s="129"/>
      <c r="Y4" s="129"/>
      <c r="Z4" s="134"/>
      <c r="AA4" s="129"/>
      <c r="AB4" s="129"/>
      <c r="AC4" s="129"/>
      <c r="AD4" s="129"/>
      <c r="AE4" s="140"/>
      <c r="AF4" s="6"/>
      <c r="AG4" s="7"/>
      <c r="AH4" s="7"/>
      <c r="AI4" s="7"/>
      <c r="AJ4" s="7"/>
      <c r="AK4" s="7" t="s">
        <v>1</v>
      </c>
      <c r="AL4" s="8">
        <f>MIN(AM12:AM220)</f>
        <v>-4.3848472299452212E-2</v>
      </c>
      <c r="AM4" s="228" t="s">
        <v>2</v>
      </c>
      <c r="AN4" s="9">
        <f>COUNTIF(AN12:AN220,"&lt;-5%")</f>
        <v>0</v>
      </c>
      <c r="AP4" s="7"/>
      <c r="AQ4" s="7"/>
    </row>
    <row r="5" spans="1:43" s="11" customFormat="1" x14ac:dyDescent="0.2">
      <c r="B5" s="12">
        <v>2</v>
      </c>
      <c r="D5" s="13"/>
      <c r="E5" s="69"/>
      <c r="G5" s="84"/>
      <c r="H5" s="77"/>
      <c r="I5" s="150"/>
      <c r="J5" s="125"/>
      <c r="K5" s="9">
        <f>COUNTIF(K12:K220,"&lt;-5%")</f>
        <v>0</v>
      </c>
      <c r="L5" s="20"/>
      <c r="M5" s="103"/>
      <c r="N5" s="97"/>
      <c r="O5" s="126"/>
      <c r="P5" s="17"/>
      <c r="Q5" s="18"/>
      <c r="R5" s="18"/>
      <c r="S5" s="155"/>
      <c r="T5" s="102"/>
      <c r="U5" s="18"/>
      <c r="V5" s="111"/>
      <c r="W5" s="130"/>
      <c r="X5" s="18"/>
      <c r="Y5" s="18"/>
      <c r="Z5" s="135"/>
      <c r="AA5" s="157"/>
      <c r="AB5" s="18"/>
      <c r="AC5" s="18"/>
      <c r="AD5" s="18"/>
      <c r="AE5" s="111"/>
      <c r="AF5" s="20"/>
      <c r="AG5" s="21"/>
      <c r="AH5" s="21"/>
      <c r="AI5" s="21"/>
      <c r="AJ5" s="21"/>
      <c r="AK5" s="7" t="s">
        <v>610</v>
      </c>
      <c r="AL5" s="8">
        <f>MAX(AM12:AM220)</f>
        <v>0.21243696455759076</v>
      </c>
      <c r="AM5" s="228" t="s">
        <v>14</v>
      </c>
      <c r="AN5" s="9">
        <f>COUNTIF(AN12:AN220,"&lt;-2.5%")</f>
        <v>32</v>
      </c>
      <c r="AP5" s="21"/>
      <c r="AQ5" s="21"/>
    </row>
    <row r="6" spans="1:43" s="11" customFormat="1" x14ac:dyDescent="0.2">
      <c r="B6" s="12"/>
      <c r="D6" s="23"/>
      <c r="E6" s="70"/>
      <c r="F6" s="14"/>
      <c r="G6" s="85"/>
      <c r="H6" s="78"/>
      <c r="I6" s="149"/>
      <c r="J6" s="104"/>
      <c r="K6" s="127"/>
      <c r="L6" s="28"/>
      <c r="M6" s="104"/>
      <c r="N6" s="26"/>
      <c r="O6" s="127"/>
      <c r="P6" s="26"/>
      <c r="Q6" s="27"/>
      <c r="R6" s="27"/>
      <c r="S6" s="27"/>
      <c r="T6" s="121"/>
      <c r="U6" s="145"/>
      <c r="V6" s="112"/>
      <c r="W6" s="104"/>
      <c r="X6" s="27"/>
      <c r="Y6" s="27"/>
      <c r="Z6" s="136"/>
      <c r="AA6" s="27"/>
      <c r="AB6" s="27"/>
      <c r="AC6" s="27"/>
      <c r="AD6" s="27"/>
      <c r="AE6" s="113"/>
      <c r="AF6" s="28"/>
      <c r="AG6" s="25"/>
      <c r="AH6" s="25"/>
      <c r="AI6" s="25"/>
      <c r="AJ6" s="25"/>
      <c r="AK6" s="28"/>
      <c r="AL6" s="28"/>
      <c r="AM6" s="28"/>
      <c r="AN6" s="29"/>
      <c r="AP6" s="25"/>
      <c r="AQ6" s="25"/>
    </row>
    <row r="7" spans="1:43" s="11" customFormat="1" x14ac:dyDescent="0.2">
      <c r="B7" s="12"/>
      <c r="D7" s="23"/>
      <c r="E7" s="70"/>
      <c r="F7" s="14"/>
      <c r="G7" s="85"/>
      <c r="H7" s="78"/>
      <c r="I7" s="149"/>
      <c r="J7" s="104"/>
      <c r="K7" s="127"/>
      <c r="L7" s="28">
        <f>AK8-L8</f>
        <v>104390.8788343668</v>
      </c>
      <c r="M7" s="104"/>
      <c r="N7" s="26"/>
      <c r="O7" s="147">
        <f>AK8-O8</f>
        <v>88057.597391173244</v>
      </c>
      <c r="P7" s="26"/>
      <c r="Q7" s="27"/>
      <c r="R7" s="27"/>
      <c r="S7" s="147">
        <f>AK8-S8</f>
        <v>-14496.009252369404</v>
      </c>
      <c r="T7" s="122"/>
      <c r="U7" s="27"/>
      <c r="V7" s="147">
        <f>AK8-V8</f>
        <v>-25532.217598691583</v>
      </c>
      <c r="W7" s="104"/>
      <c r="X7" s="27"/>
      <c r="Y7" s="27"/>
      <c r="Z7" s="147">
        <f>AK8-Z8</f>
        <v>67.88900052011013</v>
      </c>
      <c r="AA7" s="27"/>
      <c r="AB7" s="27"/>
      <c r="AC7" s="29">
        <f>AK8-AC8</f>
        <v>67.88900052011013</v>
      </c>
      <c r="AD7" s="27"/>
      <c r="AE7" s="113"/>
      <c r="AF7" s="28">
        <f>AK8-AF8</f>
        <v>67.88900052011013</v>
      </c>
      <c r="AG7" s="25"/>
      <c r="AH7" s="25"/>
      <c r="AI7" s="25"/>
      <c r="AJ7" s="25"/>
      <c r="AK7" s="25">
        <f>AK8/D8-1</f>
        <v>2.6372881773313983E-2</v>
      </c>
      <c r="AL7" s="28"/>
      <c r="AM7" s="28"/>
      <c r="AN7" s="29"/>
      <c r="AP7" s="25"/>
      <c r="AQ7" s="25"/>
    </row>
    <row r="8" spans="1:43" s="30" customFormat="1" x14ac:dyDescent="0.2">
      <c r="B8" s="31"/>
      <c r="D8" s="32">
        <f>+D222</f>
        <v>92393046</v>
      </c>
      <c r="E8" s="71">
        <f>E222</f>
        <v>1599.6618765604621</v>
      </c>
      <c r="F8" s="33"/>
      <c r="G8" s="86">
        <f t="shared" ref="G8:H8" si="0">G222</f>
        <v>92393127.90849492</v>
      </c>
      <c r="H8" s="79">
        <f t="shared" si="0"/>
        <v>1588.2278118776021</v>
      </c>
      <c r="I8" s="151"/>
      <c r="J8" s="123">
        <f>+J222</f>
        <v>-8.8652150620482928E-7</v>
      </c>
      <c r="K8" s="105">
        <f>+K222</f>
        <v>7.1992598274315256E-3</v>
      </c>
      <c r="L8" s="101">
        <f>L222</f>
        <v>94725326</v>
      </c>
      <c r="M8" s="123"/>
      <c r="N8" s="36"/>
      <c r="O8" s="101">
        <f>O222</f>
        <v>94741659.281443194</v>
      </c>
      <c r="P8" s="105"/>
      <c r="Q8" s="35">
        <f>Q222</f>
        <v>2.6529776798209781E-2</v>
      </c>
      <c r="R8" s="35"/>
      <c r="S8" s="100">
        <f>S222</f>
        <v>94844212.888086736</v>
      </c>
      <c r="T8" s="123">
        <f t="shared" ref="T8:AI8" si="1">+T222</f>
        <v>2.6649225272138644E-2</v>
      </c>
      <c r="U8" s="36"/>
      <c r="V8" s="114">
        <f t="shared" si="1"/>
        <v>94855249.096433058</v>
      </c>
      <c r="W8" s="123"/>
      <c r="X8" s="36">
        <f>X222</f>
        <v>2.6372146988571377E-2</v>
      </c>
      <c r="Y8" s="36"/>
      <c r="Z8" s="137">
        <f>Z222</f>
        <v>94829648.989833847</v>
      </c>
      <c r="AA8" s="133"/>
      <c r="AB8" s="133">
        <f>AB222</f>
        <v>92345213.823370785</v>
      </c>
      <c r="AC8" s="133">
        <f>AC222</f>
        <v>94829648.989833847</v>
      </c>
      <c r="AD8" s="36">
        <f>AD222</f>
        <v>2.6372146988571377E-2</v>
      </c>
      <c r="AE8" s="105"/>
      <c r="AF8" s="101">
        <f>AF222</f>
        <v>94829648.989833847</v>
      </c>
      <c r="AG8" s="34">
        <f t="shared" si="1"/>
        <v>1630.1113440537304</v>
      </c>
      <c r="AH8" s="35">
        <f t="shared" si="1"/>
        <v>2.6372146988571377E-2</v>
      </c>
      <c r="AI8" s="35">
        <f t="shared" si="1"/>
        <v>1.903493978286197E-2</v>
      </c>
      <c r="AJ8" s="65"/>
      <c r="AK8" s="34">
        <f>+AK222</f>
        <v>94829716.878834367</v>
      </c>
      <c r="AL8" s="34">
        <f>+AL222</f>
        <v>1630.1125110582595</v>
      </c>
      <c r="AM8" s="35">
        <f>+AM222</f>
        <v>-7.1590428352141799E-7</v>
      </c>
      <c r="AN8" s="36">
        <f>+AN222</f>
        <v>-7.1590428341039569E-7</v>
      </c>
      <c r="AP8" s="101">
        <f>AP222</f>
        <v>128</v>
      </c>
      <c r="AQ8" s="101">
        <f>AQ222</f>
        <v>0</v>
      </c>
    </row>
    <row r="9" spans="1:43" s="38" customFormat="1" x14ac:dyDescent="0.2">
      <c r="D9" s="373" t="s">
        <v>57</v>
      </c>
      <c r="E9" s="373"/>
      <c r="G9" s="375"/>
      <c r="H9" s="376"/>
      <c r="I9" s="152"/>
      <c r="J9" s="95"/>
      <c r="K9" s="96"/>
      <c r="L9" s="39"/>
      <c r="M9" s="370" t="s">
        <v>36</v>
      </c>
      <c r="N9" s="371"/>
      <c r="O9" s="372"/>
      <c r="P9" s="371" t="s">
        <v>951</v>
      </c>
      <c r="Q9" s="371"/>
      <c r="R9" s="371"/>
      <c r="S9" s="372"/>
      <c r="T9" s="367" t="s">
        <v>39</v>
      </c>
      <c r="U9" s="368"/>
      <c r="V9" s="369"/>
      <c r="W9" s="370" t="s">
        <v>40</v>
      </c>
      <c r="X9" s="371"/>
      <c r="Y9" s="371"/>
      <c r="Z9" s="372"/>
      <c r="AA9" s="159"/>
      <c r="AB9" s="160"/>
      <c r="AC9" s="160"/>
      <c r="AD9" s="160"/>
      <c r="AE9" s="161"/>
      <c r="AF9" s="39"/>
      <c r="AG9" s="40"/>
      <c r="AH9" s="40"/>
      <c r="AI9" s="40"/>
      <c r="AJ9" s="41"/>
      <c r="AK9" s="374" t="s">
        <v>3</v>
      </c>
      <c r="AL9" s="374"/>
      <c r="AM9" s="374"/>
      <c r="AN9" s="374"/>
      <c r="AP9" s="40"/>
      <c r="AQ9" s="40"/>
    </row>
    <row r="10" spans="1:43" ht="63.75" x14ac:dyDescent="0.2">
      <c r="A10" s="44" t="s">
        <v>67</v>
      </c>
      <c r="B10" s="45" t="s">
        <v>68</v>
      </c>
      <c r="C10" s="43"/>
      <c r="D10" s="67" t="s">
        <v>4</v>
      </c>
      <c r="E10" s="72" t="s">
        <v>5</v>
      </c>
      <c r="F10" s="46"/>
      <c r="G10" s="87" t="s">
        <v>15</v>
      </c>
      <c r="H10" s="80" t="s">
        <v>16</v>
      </c>
      <c r="I10" s="153"/>
      <c r="J10" s="128" t="s">
        <v>8</v>
      </c>
      <c r="K10" s="115" t="s">
        <v>9</v>
      </c>
      <c r="L10" s="50" t="s">
        <v>488</v>
      </c>
      <c r="M10" s="128" t="s">
        <v>44</v>
      </c>
      <c r="N10" s="98" t="s">
        <v>46</v>
      </c>
      <c r="O10" s="106" t="s">
        <v>35</v>
      </c>
      <c r="P10" s="49" t="s">
        <v>34</v>
      </c>
      <c r="Q10" s="49" t="s">
        <v>45</v>
      </c>
      <c r="R10" s="49" t="s">
        <v>48</v>
      </c>
      <c r="S10" s="49" t="s">
        <v>37</v>
      </c>
      <c r="T10" s="124" t="s">
        <v>47</v>
      </c>
      <c r="U10" s="47" t="s">
        <v>49</v>
      </c>
      <c r="V10" s="115" t="s">
        <v>38</v>
      </c>
      <c r="W10" s="128" t="s">
        <v>34</v>
      </c>
      <c r="X10" s="98" t="s">
        <v>51</v>
      </c>
      <c r="Y10" s="98" t="s">
        <v>52</v>
      </c>
      <c r="Z10" s="138" t="s">
        <v>50</v>
      </c>
      <c r="AA10" s="98" t="s">
        <v>41</v>
      </c>
      <c r="AB10" s="98" t="s">
        <v>42</v>
      </c>
      <c r="AC10" s="98" t="s">
        <v>43</v>
      </c>
      <c r="AD10" s="98" t="s">
        <v>53</v>
      </c>
      <c r="AE10" s="115" t="s">
        <v>54</v>
      </c>
      <c r="AF10" s="50" t="s">
        <v>487</v>
      </c>
      <c r="AG10" s="50" t="s">
        <v>5</v>
      </c>
      <c r="AH10" s="50" t="s">
        <v>10</v>
      </c>
      <c r="AI10" s="50" t="s">
        <v>11</v>
      </c>
      <c r="AJ10" s="48"/>
      <c r="AK10" s="48" t="s">
        <v>6</v>
      </c>
      <c r="AL10" s="48" t="s">
        <v>7</v>
      </c>
      <c r="AM10" s="48" t="s">
        <v>8</v>
      </c>
      <c r="AN10" s="49" t="s">
        <v>9</v>
      </c>
      <c r="AP10" s="50" t="s">
        <v>511</v>
      </c>
      <c r="AQ10" s="50" t="s">
        <v>512</v>
      </c>
    </row>
    <row r="11" spans="1:43" x14ac:dyDescent="0.2">
      <c r="D11" s="13"/>
      <c r="E11" s="69"/>
      <c r="G11" s="84"/>
      <c r="H11" s="77"/>
      <c r="J11" s="125"/>
      <c r="K11" s="116"/>
      <c r="L11" s="3"/>
      <c r="M11" s="125"/>
      <c r="N11" s="15"/>
      <c r="O11" s="107"/>
      <c r="P11" s="4"/>
      <c r="Q11" s="4"/>
      <c r="R11" s="4"/>
      <c r="S11" s="4"/>
      <c r="T11" s="125"/>
      <c r="U11" s="15"/>
      <c r="V11" s="116"/>
      <c r="W11" s="125"/>
      <c r="X11" s="15"/>
      <c r="Y11" s="15"/>
      <c r="Z11" s="107"/>
      <c r="AA11" s="15"/>
      <c r="AB11" s="15"/>
      <c r="AC11" s="15"/>
      <c r="AD11" s="15"/>
      <c r="AE11" s="116"/>
      <c r="AF11" s="3"/>
      <c r="AG11" s="3"/>
      <c r="AH11" s="3"/>
      <c r="AI11" s="3"/>
      <c r="AJ11" s="3"/>
      <c r="AK11" s="3"/>
      <c r="AL11" s="3"/>
      <c r="AM11" s="3"/>
      <c r="AN11" s="4"/>
      <c r="AP11" s="3"/>
      <c r="AQ11" s="3"/>
    </row>
    <row r="12" spans="1:43" x14ac:dyDescent="0.2">
      <c r="A12" s="156" t="s">
        <v>69</v>
      </c>
      <c r="B12" s="156" t="s">
        <v>70</v>
      </c>
      <c r="D12" s="68">
        <f>VLOOKUP(A12,'2016-17 disagg'!A12:BC220,43,FALSE)</f>
        <v>184764</v>
      </c>
      <c r="E12" s="73">
        <v>1719.1849478116142</v>
      </c>
      <c r="F12" s="55"/>
      <c r="G12" s="88">
        <v>183599.80927924387</v>
      </c>
      <c r="H12" s="81">
        <v>1705.6563834028009</v>
      </c>
      <c r="I12" s="90"/>
      <c r="J12" s="103">
        <f>D12/G12-1</f>
        <v>6.3409146519617376E-3</v>
      </c>
      <c r="K12" s="126">
        <f>E12/H12-1</f>
        <v>7.9315884139710136E-3</v>
      </c>
      <c r="L12" s="56">
        <v>189002</v>
      </c>
      <c r="M12" s="103">
        <v>1.2718010616278086E-2</v>
      </c>
      <c r="N12" s="97">
        <f>INDEX('Pace of change parameters'!$E$22:$I$22,1,$B$5)</f>
        <v>1.1119783131080974E-2</v>
      </c>
      <c r="O12" s="108">
        <f>MAX(IF(INDEX('Pace of change parameters'!$E$30:$I$30,1,$B$5)=1,(1+M12)*D12,D12),L12)</f>
        <v>189002</v>
      </c>
      <c r="P12" s="94">
        <f>IF(K12&lt;INDEX('Pace of change parameters'!$E$18:$I$18,1,$B$5),1,IF(K12&gt;INDEX('Pace of change parameters'!$E$19:$I$19,1,$B$5),0,(K12-INDEX('Pace of change parameters'!$E$19:$I$19,1,$B$5))/(INDEX('Pace of change parameters'!$E$18:$I$18,1,$B$5)-INDEX('Pace of change parameters'!$E$19:$I$19,1,$B$5))))</f>
        <v>0.27240904164486429</v>
      </c>
      <c r="Q12" s="57">
        <v>1.650508378540394E-2</v>
      </c>
      <c r="R12" s="57">
        <v>1.4900879706166048E-2</v>
      </c>
      <c r="S12" s="9">
        <f>MAX(IF(INDEX('Pace of change parameters'!$E$31:$I$31,1,$B$5)=1,D12*(1+Q12),D12),L12)</f>
        <v>189002</v>
      </c>
      <c r="T12" s="103">
        <f>IF(Q12&lt;INDEX('Pace of change parameters'!$E$24:$I$24,1,$B$5),INDEX('Pace of change parameters'!$E$24:$I$24,1,$B$5),Q12)</f>
        <v>1.9644681315626574E-2</v>
      </c>
      <c r="U12" s="132">
        <v>1.8035522460219333E-2</v>
      </c>
      <c r="V12" s="117">
        <f>MAX(D12*(1+T12),L12)</f>
        <v>189002</v>
      </c>
      <c r="W12" s="131">
        <f>IF(J12&gt;INDEX('Pace of change parameters'!$E$26:$I$26,1,$B$5),0,IF(J12&lt;INDEX('Pace of change parameters'!$E$25:$I$25,1,$B$5),1,(J12-INDEX('Pace of change parameters'!$E$26:$I$26,1,$B$5))/(INDEX('Pace of change parameters'!$E$25:$I$25,1,$B$5)-INDEX('Pace of change parameters'!$E$26:$I$26,1,$B$5))))</f>
        <v>1</v>
      </c>
      <c r="X12" s="132">
        <f>MIN(T12, T12+(INDEX('Pace of change parameters'!$E$27:$I$27,1,$B$5)-T12)*(1-W12))</f>
        <v>1.9644681315626574E-2</v>
      </c>
      <c r="Y12" s="132">
        <v>1.8035522460219333E-2</v>
      </c>
      <c r="Z12" s="108">
        <f>MAX(D12*(1+X12),L12)</f>
        <v>189002</v>
      </c>
      <c r="AA12" s="97">
        <f>MIN(VLOOKUP(A12,'2016-17 disagg'!$A$12:$BC$220,54,FALSE),MIN(0,VLOOKUP(A12,'2016-17 disagg'!$A$12:$BC$220,54,FALSE),-2.5%))</f>
        <v>-2.5000000000000001E-2</v>
      </c>
      <c r="AB12" s="99">
        <f t="shared" ref="AB12:AB75" si="2">(1+AA12)*AK12</f>
        <v>183633.07693361555</v>
      </c>
      <c r="AC12" s="99">
        <f>MAX(IF(INDEX('Pace of change parameters'!$E$29:$I$29,1,$B$5)=1,MAX(AB12,Z12),Z12),L12)</f>
        <v>189002</v>
      </c>
      <c r="AD12" s="97">
        <f t="shared" ref="AD12:AD75" si="3">AC12/D12-1</f>
        <v>2.2937368751488441E-2</v>
      </c>
      <c r="AE12" s="146">
        <v>2.1323013520086143E-2</v>
      </c>
      <c r="AF12" s="56">
        <f>AC12</f>
        <v>189002</v>
      </c>
      <c r="AG12" s="56">
        <v>1755.8431516973296</v>
      </c>
      <c r="AH12" s="16">
        <f t="shared" ref="AH12:AH75" si="4">AF12/D12 - 1</f>
        <v>2.2937368751488441E-2</v>
      </c>
      <c r="AI12" s="16">
        <f t="shared" ref="AI12:AI75" si="5">AG12/E12 - 1</f>
        <v>2.1323013520086143E-2</v>
      </c>
      <c r="AJ12" s="56"/>
      <c r="AK12" s="56">
        <v>188341.61736781083</v>
      </c>
      <c r="AL12" s="56">
        <v>1749.7081461300384</v>
      </c>
      <c r="AM12" s="16">
        <f>AF12/AK12-1</f>
        <v>3.5063022258086107E-3</v>
      </c>
      <c r="AN12" s="58">
        <f>AG12/AL12-1</f>
        <v>3.5063022258086107E-3</v>
      </c>
      <c r="AP12" s="56">
        <f>IF(AF12=L12,1,0)</f>
        <v>1</v>
      </c>
      <c r="AQ12" s="56">
        <f t="shared" ref="AQ12:AQ75" si="6">IF(AB12=AF12,1,0)</f>
        <v>0</v>
      </c>
    </row>
    <row r="13" spans="1:43" x14ac:dyDescent="0.2">
      <c r="A13" s="156" t="s">
        <v>71</v>
      </c>
      <c r="B13" s="156" t="s">
        <v>72</v>
      </c>
      <c r="D13" s="68">
        <f>VLOOKUP(A13,'2016-17 disagg'!A13:BC221,43,FALSE)</f>
        <v>548171</v>
      </c>
      <c r="E13" s="73">
        <v>1884.4293093245024</v>
      </c>
      <c r="F13" s="55"/>
      <c r="G13" s="88">
        <v>526501.76749281446</v>
      </c>
      <c r="H13" s="81">
        <v>1802.1699609680793</v>
      </c>
      <c r="I13" s="90"/>
      <c r="J13" s="103">
        <f t="shared" ref="J13:K76" si="7">D13/G13-1</f>
        <v>4.1156998599214178E-2</v>
      </c>
      <c r="K13" s="126">
        <f t="shared" si="7"/>
        <v>4.5644611850169436E-2</v>
      </c>
      <c r="L13" s="56">
        <v>560314</v>
      </c>
      <c r="M13" s="103">
        <v>1.5477929446369609E-2</v>
      </c>
      <c r="N13" s="97">
        <f>INDEX('Pace of change parameters'!$E$22:$I$22,1,$B$5)</f>
        <v>1.1119783131080974E-2</v>
      </c>
      <c r="O13" s="108">
        <f>MAX(IF(INDEX('Pace of change parameters'!$E$30:$I$30,1,$B$5)=1,(1+M13)*D13,D13),L13)</f>
        <v>560314</v>
      </c>
      <c r="P13" s="94">
        <f>IF(K13&lt;INDEX('Pace of change parameters'!$E$18:$I$18,1,$B$5),1,IF(K13&gt;INDEX('Pace of change parameters'!$E$19:$I$19,1,$B$5),0,(K13-INDEX('Pace of change parameters'!$E$19:$I$19,1,$B$5))/(INDEX('Pace of change parameters'!$E$18:$I$18,1,$B$5)-INDEX('Pace of change parameters'!$E$19:$I$19,1,$B$5))))</f>
        <v>0</v>
      </c>
      <c r="Q13" s="57">
        <v>1.5477929446369609E-2</v>
      </c>
      <c r="R13" s="57">
        <v>1.1119783131080974E-2</v>
      </c>
      <c r="S13" s="9">
        <f>MAX(IF(INDEX('Pace of change parameters'!$E$31:$I$31,1,$B$5)=1,D13*(1+Q13),D13),L13)</f>
        <v>560314</v>
      </c>
      <c r="T13" s="103">
        <f>IF(Q13&lt;INDEX('Pace of change parameters'!$E$24:$I$24,1,$B$5),INDEX('Pace of change parameters'!$E$24:$I$24,1,$B$5),Q13)</f>
        <v>1.9644681315626574E-2</v>
      </c>
      <c r="U13" s="132">
        <v>1.5268652470566302E-2</v>
      </c>
      <c r="V13" s="117">
        <f t="shared" ref="V13:V76" si="8">MAX(D13*(1+T13),L13)</f>
        <v>560314</v>
      </c>
      <c r="W13" s="131">
        <f>IF(J13&gt;INDEX('Pace of change parameters'!$E$26:$I$26,1,$B$5),0,IF(J13&lt;INDEX('Pace of change parameters'!$E$25:$I$25,1,$B$5),1,(J13-INDEX('Pace of change parameters'!$E$26:$I$26,1,$B$5))/(INDEX('Pace of change parameters'!$E$25:$I$25,1,$B$5)-INDEX('Pace of change parameters'!$E$26:$I$26,1,$B$5))))</f>
        <v>1</v>
      </c>
      <c r="X13" s="132">
        <f>MIN(T13, T13+(INDEX('Pace of change parameters'!$E$27:$I$27,1,$B$5)-T13)*(1-W13))</f>
        <v>1.9644681315626574E-2</v>
      </c>
      <c r="Y13" s="132">
        <v>1.5268652470566302E-2</v>
      </c>
      <c r="Z13" s="108">
        <f t="shared" ref="Z13:Z76" si="9">MAX(D13*(1+X13),L13)</f>
        <v>560314</v>
      </c>
      <c r="AA13" s="97">
        <f>MIN(VLOOKUP(A13,'2016-17 disagg'!$A$12:$BC$220,54,FALSE),MIN(0,VLOOKUP(A13,'2016-17 disagg'!$A$12:$BC$220,54,FALSE),-2.5%))</f>
        <v>-2.5000000000000001E-2</v>
      </c>
      <c r="AB13" s="99">
        <f t="shared" si="2"/>
        <v>526425.77092850069</v>
      </c>
      <c r="AC13" s="99">
        <f>MAX(IF(INDEX('Pace of change parameters'!$E$29:$I$29,1,$B$5)=1,MAX(AB13,Z13),Z13),L13)</f>
        <v>560314</v>
      </c>
      <c r="AD13" s="97">
        <f t="shared" si="3"/>
        <v>2.215184677773907E-2</v>
      </c>
      <c r="AE13" s="146">
        <v>1.7765057882062507E-2</v>
      </c>
      <c r="AF13" s="56">
        <f t="shared" ref="AF13:AF76" si="10">AC13</f>
        <v>560314</v>
      </c>
      <c r="AG13" s="56">
        <v>1917.9063050793072</v>
      </c>
      <c r="AH13" s="16">
        <f t="shared" si="4"/>
        <v>2.215184677773907E-2</v>
      </c>
      <c r="AI13" s="16">
        <f t="shared" si="5"/>
        <v>1.7765057882062507E-2</v>
      </c>
      <c r="AJ13" s="56"/>
      <c r="AK13" s="56">
        <v>539923.86761897511</v>
      </c>
      <c r="AL13" s="56">
        <v>1848.1126474962928</v>
      </c>
      <c r="AM13" s="16">
        <f t="shared" ref="AM13:AN76" si="11">AF13/AK13-1</f>
        <v>3.7764828717322452E-2</v>
      </c>
      <c r="AN13" s="58">
        <f t="shared" si="11"/>
        <v>3.776482871732223E-2</v>
      </c>
      <c r="AP13" s="56">
        <f t="shared" ref="AP13:AP76" si="12">IF(AF13=L13,1,0)</f>
        <v>1</v>
      </c>
      <c r="AQ13" s="56">
        <f t="shared" si="6"/>
        <v>0</v>
      </c>
    </row>
    <row r="14" spans="1:43" x14ac:dyDescent="0.2">
      <c r="A14" s="156" t="s">
        <v>73</v>
      </c>
      <c r="B14" s="156" t="s">
        <v>74</v>
      </c>
      <c r="D14" s="68">
        <f>VLOOKUP(A14,'2016-17 disagg'!A14:BC222,43,FALSE)</f>
        <v>897104</v>
      </c>
      <c r="E14" s="73">
        <v>1755.817203143853</v>
      </c>
      <c r="F14" s="55"/>
      <c r="G14" s="88">
        <v>877265.22754786129</v>
      </c>
      <c r="H14" s="81">
        <v>1711.9301800729181</v>
      </c>
      <c r="I14" s="90"/>
      <c r="J14" s="103">
        <f t="shared" si="7"/>
        <v>2.2614338092018293E-2</v>
      </c>
      <c r="K14" s="126">
        <f t="shared" si="7"/>
        <v>2.5635988886571148E-2</v>
      </c>
      <c r="L14" s="56">
        <v>918287</v>
      </c>
      <c r="M14" s="103">
        <v>1.4107469478004786E-2</v>
      </c>
      <c r="N14" s="97">
        <f>INDEX('Pace of change parameters'!$E$22:$I$22,1,$B$5)</f>
        <v>1.1119783131080974E-2</v>
      </c>
      <c r="O14" s="108">
        <f>MAX(IF(INDEX('Pace of change parameters'!$E$30:$I$30,1,$B$5)=1,(1+M14)*D14,D14),L14)</f>
        <v>918287</v>
      </c>
      <c r="P14" s="94">
        <f>IF(K14&lt;INDEX('Pace of change parameters'!$E$18:$I$18,1,$B$5),1,IF(K14&gt;INDEX('Pace of change parameters'!$E$19:$I$19,1,$B$5),0,(K14-INDEX('Pace of change parameters'!$E$19:$I$19,1,$B$5))/(INDEX('Pace of change parameters'!$E$18:$I$18,1,$B$5)-INDEX('Pace of change parameters'!$E$19:$I$19,1,$B$5))))</f>
        <v>1.4424825317431236E-2</v>
      </c>
      <c r="Q14" s="57">
        <v>1.4308280796751172E-2</v>
      </c>
      <c r="R14" s="57">
        <v>1.1320002834783294E-2</v>
      </c>
      <c r="S14" s="9">
        <f>MAX(IF(INDEX('Pace of change parameters'!$E$31:$I$31,1,$B$5)=1,D14*(1+Q14),D14),L14)</f>
        <v>918287</v>
      </c>
      <c r="T14" s="103">
        <f>IF(Q14&lt;INDEX('Pace of change parameters'!$E$24:$I$24,1,$B$5),INDEX('Pace of change parameters'!$E$24:$I$24,1,$B$5),Q14)</f>
        <v>1.9644681315626574E-2</v>
      </c>
      <c r="U14" s="132">
        <v>1.6640681656055811E-2</v>
      </c>
      <c r="V14" s="117">
        <f t="shared" si="8"/>
        <v>918287</v>
      </c>
      <c r="W14" s="131">
        <f>IF(J14&gt;INDEX('Pace of change parameters'!$E$26:$I$26,1,$B$5),0,IF(J14&lt;INDEX('Pace of change parameters'!$E$25:$I$25,1,$B$5),1,(J14-INDEX('Pace of change parameters'!$E$26:$I$26,1,$B$5))/(INDEX('Pace of change parameters'!$E$25:$I$25,1,$B$5)-INDEX('Pace of change parameters'!$E$26:$I$26,1,$B$5))))</f>
        <v>1</v>
      </c>
      <c r="X14" s="132">
        <f>MIN(T14, T14+(INDEX('Pace of change parameters'!$E$27:$I$27,1,$B$5)-T14)*(1-W14))</f>
        <v>1.9644681315626574E-2</v>
      </c>
      <c r="Y14" s="132">
        <v>1.6640681656055811E-2</v>
      </c>
      <c r="Z14" s="108">
        <f t="shared" si="9"/>
        <v>918287</v>
      </c>
      <c r="AA14" s="97">
        <f>MIN(VLOOKUP(A14,'2016-17 disagg'!$A$12:$BC$220,54,FALSE),MIN(0,VLOOKUP(A14,'2016-17 disagg'!$A$12:$BC$220,54,FALSE),-2.5%))</f>
        <v>-2.5000000000000001E-2</v>
      </c>
      <c r="AB14" s="99">
        <f t="shared" si="2"/>
        <v>877715.7266805406</v>
      </c>
      <c r="AC14" s="99">
        <f>MAX(IF(INDEX('Pace of change parameters'!$E$29:$I$29,1,$B$5)=1,MAX(AB14,Z14),Z14),L14)</f>
        <v>918287</v>
      </c>
      <c r="AD14" s="97">
        <f t="shared" si="3"/>
        <v>2.3612646917191338E-2</v>
      </c>
      <c r="AE14" s="146">
        <v>2.0596957138959926E-2</v>
      </c>
      <c r="AF14" s="56">
        <f t="shared" si="10"/>
        <v>918287</v>
      </c>
      <c r="AG14" s="56">
        <v>1791.9816948208552</v>
      </c>
      <c r="AH14" s="16">
        <f t="shared" si="4"/>
        <v>2.3612646917191338E-2</v>
      </c>
      <c r="AI14" s="16">
        <f t="shared" si="5"/>
        <v>2.0596957138959704E-2</v>
      </c>
      <c r="AJ14" s="56"/>
      <c r="AK14" s="56">
        <v>900221.25813388778</v>
      </c>
      <c r="AL14" s="56">
        <v>1756.7274891885943</v>
      </c>
      <c r="AM14" s="16">
        <f t="shared" si="11"/>
        <v>2.0068112925439641E-2</v>
      </c>
      <c r="AN14" s="58">
        <f t="shared" si="11"/>
        <v>2.0068112925439641E-2</v>
      </c>
      <c r="AP14" s="56">
        <f t="shared" si="12"/>
        <v>1</v>
      </c>
      <c r="AQ14" s="56">
        <f t="shared" si="6"/>
        <v>0</v>
      </c>
    </row>
    <row r="15" spans="1:43" x14ac:dyDescent="0.2">
      <c r="A15" s="156" t="s">
        <v>75</v>
      </c>
      <c r="B15" s="156" t="s">
        <v>76</v>
      </c>
      <c r="D15" s="68">
        <f>VLOOKUP(A15,'2016-17 disagg'!A15:BC223,43,FALSE)</f>
        <v>505934</v>
      </c>
      <c r="E15" s="73">
        <v>1709.5667237443909</v>
      </c>
      <c r="F15" s="55"/>
      <c r="G15" s="88">
        <v>508948.48664604774</v>
      </c>
      <c r="H15" s="81">
        <v>1711.0853551730943</v>
      </c>
      <c r="I15" s="90"/>
      <c r="J15" s="103">
        <f t="shared" si="7"/>
        <v>-5.9229700552075881E-3</v>
      </c>
      <c r="K15" s="126">
        <f t="shared" si="7"/>
        <v>-8.8752523309965081E-4</v>
      </c>
      <c r="L15" s="56">
        <v>517776</v>
      </c>
      <c r="M15" s="103">
        <v>1.6241557121554173E-2</v>
      </c>
      <c r="N15" s="97">
        <f>INDEX('Pace of change parameters'!$E$22:$I$22,1,$B$5)</f>
        <v>1.1119783131080974E-2</v>
      </c>
      <c r="O15" s="108">
        <f>MAX(IF(INDEX('Pace of change parameters'!$E$30:$I$30,1,$B$5)=1,(1+M15)*D15,D15),L15)</f>
        <v>517776</v>
      </c>
      <c r="P15" s="94">
        <f>IF(K15&lt;INDEX('Pace of change parameters'!$E$18:$I$18,1,$B$5),1,IF(K15&gt;INDEX('Pace of change parameters'!$E$19:$I$19,1,$B$5),0,(K15-INDEX('Pace of change parameters'!$E$19:$I$19,1,$B$5))/(INDEX('Pace of change parameters'!$E$18:$I$18,1,$B$5)-INDEX('Pace of change parameters'!$E$19:$I$19,1,$B$5))))</f>
        <v>0.40091902008007041</v>
      </c>
      <c r="Q15" s="57">
        <v>2.1834588485896367E-2</v>
      </c>
      <c r="R15" s="57">
        <v>1.6684626076666875E-2</v>
      </c>
      <c r="S15" s="9">
        <f>MAX(IF(INDEX('Pace of change parameters'!$E$31:$I$31,1,$B$5)=1,D15*(1+Q15),D15),L15)</f>
        <v>517776</v>
      </c>
      <c r="T15" s="103">
        <f>IF(Q15&lt;INDEX('Pace of change parameters'!$E$24:$I$24,1,$B$5),INDEX('Pace of change parameters'!$E$24:$I$24,1,$B$5),Q15)</f>
        <v>2.1834588485896367E-2</v>
      </c>
      <c r="U15" s="132">
        <v>1.6684626076666875E-2</v>
      </c>
      <c r="V15" s="117">
        <f t="shared" si="8"/>
        <v>517776</v>
      </c>
      <c r="W15" s="131">
        <f>IF(J15&gt;INDEX('Pace of change parameters'!$E$26:$I$26,1,$B$5),0,IF(J15&lt;INDEX('Pace of change parameters'!$E$25:$I$25,1,$B$5),1,(J15-INDEX('Pace of change parameters'!$E$26:$I$26,1,$B$5))/(INDEX('Pace of change parameters'!$E$25:$I$25,1,$B$5)-INDEX('Pace of change parameters'!$E$26:$I$26,1,$B$5))))</f>
        <v>1</v>
      </c>
      <c r="X15" s="132">
        <f>MIN(T15, T15+(INDEX('Pace of change parameters'!$E$27:$I$27,1,$B$5)-T15)*(1-W15))</f>
        <v>2.1834588485896367E-2</v>
      </c>
      <c r="Y15" s="132">
        <v>1.6684626076666875E-2</v>
      </c>
      <c r="Z15" s="108">
        <f t="shared" si="9"/>
        <v>517776</v>
      </c>
      <c r="AA15" s="97">
        <f>MIN(VLOOKUP(A15,'2016-17 disagg'!$A$12:$BC$220,54,FALSE),MIN(0,VLOOKUP(A15,'2016-17 disagg'!$A$12:$BC$220,54,FALSE),-2.5%))</f>
        <v>-2.5000000000000001E-2</v>
      </c>
      <c r="AB15" s="99">
        <f t="shared" si="2"/>
        <v>509011.54696564242</v>
      </c>
      <c r="AC15" s="99">
        <f>MAX(IF(INDEX('Pace of change parameters'!$E$29:$I$29,1,$B$5)=1,MAX(AB15,Z15),Z15),L15)</f>
        <v>517776</v>
      </c>
      <c r="AD15" s="97">
        <f t="shared" si="3"/>
        <v>2.3406215039906364E-2</v>
      </c>
      <c r="AE15" s="146">
        <v>1.8248331761912207E-2</v>
      </c>
      <c r="AF15" s="56">
        <f t="shared" si="10"/>
        <v>517776</v>
      </c>
      <c r="AG15" s="56">
        <v>1740.7634644884038</v>
      </c>
      <c r="AH15" s="16">
        <f t="shared" si="4"/>
        <v>2.3406215039906364E-2</v>
      </c>
      <c r="AI15" s="16">
        <f t="shared" si="5"/>
        <v>1.8248331761912207E-2</v>
      </c>
      <c r="AJ15" s="56"/>
      <c r="AK15" s="56">
        <v>522063.1250929666</v>
      </c>
      <c r="AL15" s="56">
        <v>1755.1767836254974</v>
      </c>
      <c r="AM15" s="16">
        <f t="shared" si="11"/>
        <v>-8.2118902617440703E-3</v>
      </c>
      <c r="AN15" s="58">
        <f t="shared" si="11"/>
        <v>-8.2118902617440703E-3</v>
      </c>
      <c r="AP15" s="56">
        <f t="shared" si="12"/>
        <v>1</v>
      </c>
      <c r="AQ15" s="56">
        <f t="shared" si="6"/>
        <v>0</v>
      </c>
    </row>
    <row r="16" spans="1:43" x14ac:dyDescent="0.2">
      <c r="A16" s="156" t="s">
        <v>77</v>
      </c>
      <c r="B16" s="156" t="s">
        <v>78</v>
      </c>
      <c r="D16" s="68">
        <f>VLOOKUP(A16,'2016-17 disagg'!A16:BC224,43,FALSE)</f>
        <v>428818</v>
      </c>
      <c r="E16" s="73">
        <v>1699.0357711243414</v>
      </c>
      <c r="F16" s="55"/>
      <c r="G16" s="88">
        <v>410554.39902741357</v>
      </c>
      <c r="H16" s="81">
        <v>1620.8320193068751</v>
      </c>
      <c r="I16" s="90"/>
      <c r="J16" s="103">
        <f t="shared" si="7"/>
        <v>4.4485215639759712E-2</v>
      </c>
      <c r="K16" s="126">
        <f t="shared" si="7"/>
        <v>4.8249140494466047E-2</v>
      </c>
      <c r="L16" s="56">
        <v>438388</v>
      </c>
      <c r="M16" s="103">
        <v>1.4763471740384171E-2</v>
      </c>
      <c r="N16" s="97">
        <f>INDEX('Pace of change parameters'!$E$22:$I$22,1,$B$5)</f>
        <v>1.1119783131080974E-2</v>
      </c>
      <c r="O16" s="108">
        <f>MAX(IF(INDEX('Pace of change parameters'!$E$30:$I$30,1,$B$5)=1,(1+M16)*D16,D16),L16)</f>
        <v>438388</v>
      </c>
      <c r="P16" s="94">
        <f>IF(K16&lt;INDEX('Pace of change parameters'!$E$18:$I$18,1,$B$5),1,IF(K16&gt;INDEX('Pace of change parameters'!$E$19:$I$19,1,$B$5),0,(K16-INDEX('Pace of change parameters'!$E$19:$I$19,1,$B$5))/(INDEX('Pace of change parameters'!$E$18:$I$18,1,$B$5)-INDEX('Pace of change parameters'!$E$19:$I$19,1,$B$5))))</f>
        <v>0</v>
      </c>
      <c r="Q16" s="57">
        <v>1.4763471740384171E-2</v>
      </c>
      <c r="R16" s="57">
        <v>1.1119783131080974E-2</v>
      </c>
      <c r="S16" s="9">
        <f>MAX(IF(INDEX('Pace of change parameters'!$E$31:$I$31,1,$B$5)=1,D16*(1+Q16),D16),L16)</f>
        <v>438388</v>
      </c>
      <c r="T16" s="103">
        <f>IF(Q16&lt;INDEX('Pace of change parameters'!$E$24:$I$24,1,$B$5),INDEX('Pace of change parameters'!$E$24:$I$24,1,$B$5),Q16)</f>
        <v>1.9644681315626574E-2</v>
      </c>
      <c r="U16" s="132">
        <v>1.5983465855757606E-2</v>
      </c>
      <c r="V16" s="117">
        <f t="shared" si="8"/>
        <v>438388</v>
      </c>
      <c r="W16" s="131">
        <f>IF(J16&gt;INDEX('Pace of change parameters'!$E$26:$I$26,1,$B$5),0,IF(J16&lt;INDEX('Pace of change parameters'!$E$25:$I$25,1,$B$5),1,(J16-INDEX('Pace of change parameters'!$E$26:$I$26,1,$B$5))/(INDEX('Pace of change parameters'!$E$25:$I$25,1,$B$5)-INDEX('Pace of change parameters'!$E$26:$I$26,1,$B$5))))</f>
        <v>1</v>
      </c>
      <c r="X16" s="132">
        <f>MIN(T16, T16+(INDEX('Pace of change parameters'!$E$27:$I$27,1,$B$5)-T16)*(1-W16))</f>
        <v>1.9644681315626574E-2</v>
      </c>
      <c r="Y16" s="132">
        <v>1.5983465855757606E-2</v>
      </c>
      <c r="Z16" s="108">
        <f t="shared" si="9"/>
        <v>438388</v>
      </c>
      <c r="AA16" s="97">
        <f>MIN(VLOOKUP(A16,'2016-17 disagg'!$A$12:$BC$220,54,FALSE),MIN(0,VLOOKUP(A16,'2016-17 disagg'!$A$12:$BC$220,54,FALSE),-2.5%))</f>
        <v>-2.5000000000000001E-2</v>
      </c>
      <c r="AB16" s="99">
        <f t="shared" si="2"/>
        <v>410603.42041904345</v>
      </c>
      <c r="AC16" s="99">
        <f>MAX(IF(INDEX('Pace of change parameters'!$E$29:$I$29,1,$B$5)=1,MAX(AB16,Z16),Z16),L16)</f>
        <v>438388</v>
      </c>
      <c r="AD16" s="97">
        <f t="shared" si="3"/>
        <v>2.2317160193835228E-2</v>
      </c>
      <c r="AE16" s="146">
        <v>1.8646348723547757E-2</v>
      </c>
      <c r="AF16" s="56">
        <f t="shared" si="10"/>
        <v>438388</v>
      </c>
      <c r="AG16" s="56">
        <v>1730.7165846065072</v>
      </c>
      <c r="AH16" s="16">
        <f t="shared" si="4"/>
        <v>2.2317160193835228E-2</v>
      </c>
      <c r="AI16" s="16">
        <f t="shared" si="5"/>
        <v>1.8646348723547534E-2</v>
      </c>
      <c r="AJ16" s="56"/>
      <c r="AK16" s="56">
        <v>421131.71325030096</v>
      </c>
      <c r="AL16" s="56">
        <v>1662.5903091007231</v>
      </c>
      <c r="AM16" s="16">
        <f t="shared" si="11"/>
        <v>4.0975984963266709E-2</v>
      </c>
      <c r="AN16" s="58">
        <f t="shared" si="11"/>
        <v>4.0975984963266709E-2</v>
      </c>
      <c r="AP16" s="56">
        <f t="shared" si="12"/>
        <v>1</v>
      </c>
      <c r="AQ16" s="56">
        <f t="shared" si="6"/>
        <v>0</v>
      </c>
    </row>
    <row r="17" spans="1:43" x14ac:dyDescent="0.2">
      <c r="A17" s="156" t="s">
        <v>79</v>
      </c>
      <c r="B17" s="156" t="s">
        <v>80</v>
      </c>
      <c r="D17" s="68">
        <f>VLOOKUP(A17,'2016-17 disagg'!A17:BC225,43,FALSE)</f>
        <v>390287</v>
      </c>
      <c r="E17" s="73">
        <v>1789.7842357823924</v>
      </c>
      <c r="F17" s="55"/>
      <c r="G17" s="88">
        <v>379174.20118761715</v>
      </c>
      <c r="H17" s="81">
        <v>1728.5066613045635</v>
      </c>
      <c r="I17" s="90"/>
      <c r="J17" s="103">
        <f t="shared" si="7"/>
        <v>2.9307897999326649E-2</v>
      </c>
      <c r="K17" s="126">
        <f t="shared" si="7"/>
        <v>3.5451164782657418E-2</v>
      </c>
      <c r="L17" s="56">
        <v>399517</v>
      </c>
      <c r="M17" s="103">
        <v>1.7154496932219709E-2</v>
      </c>
      <c r="N17" s="97">
        <f>INDEX('Pace of change parameters'!$E$22:$I$22,1,$B$5)</f>
        <v>1.1119783131080974E-2</v>
      </c>
      <c r="O17" s="108">
        <f>MAX(IF(INDEX('Pace of change parameters'!$E$30:$I$30,1,$B$5)=1,(1+M17)*D17,D17),L17)</f>
        <v>399517</v>
      </c>
      <c r="P17" s="94">
        <f>IF(K17&lt;INDEX('Pace of change parameters'!$E$18:$I$18,1,$B$5),1,IF(K17&gt;INDEX('Pace of change parameters'!$E$19:$I$19,1,$B$5),0,(K17-INDEX('Pace of change parameters'!$E$19:$I$19,1,$B$5))/(INDEX('Pace of change parameters'!$E$18:$I$18,1,$B$5)-INDEX('Pace of change parameters'!$E$19:$I$19,1,$B$5))))</f>
        <v>0</v>
      </c>
      <c r="Q17" s="57">
        <v>1.7154496932219709E-2</v>
      </c>
      <c r="R17" s="57">
        <v>1.1119783131080974E-2</v>
      </c>
      <c r="S17" s="9">
        <f>MAX(IF(INDEX('Pace of change parameters'!$E$31:$I$31,1,$B$5)=1,D17*(1+Q17),D17),L17)</f>
        <v>399517</v>
      </c>
      <c r="T17" s="103">
        <f>IF(Q17&lt;INDEX('Pace of change parameters'!$E$24:$I$24,1,$B$5),INDEX('Pace of change parameters'!$E$24:$I$24,1,$B$5),Q17)</f>
        <v>1.9644681315626574E-2</v>
      </c>
      <c r="U17" s="132">
        <v>1.3595193406806816E-2</v>
      </c>
      <c r="V17" s="117">
        <f t="shared" si="8"/>
        <v>399517</v>
      </c>
      <c r="W17" s="131">
        <f>IF(J17&gt;INDEX('Pace of change parameters'!$E$26:$I$26,1,$B$5),0,IF(J17&lt;INDEX('Pace of change parameters'!$E$25:$I$25,1,$B$5),1,(J17-INDEX('Pace of change parameters'!$E$26:$I$26,1,$B$5))/(INDEX('Pace of change parameters'!$E$25:$I$25,1,$B$5)-INDEX('Pace of change parameters'!$E$26:$I$26,1,$B$5))))</f>
        <v>1</v>
      </c>
      <c r="X17" s="132">
        <f>MIN(T17, T17+(INDEX('Pace of change parameters'!$E$27:$I$27,1,$B$5)-T17)*(1-W17))</f>
        <v>1.9644681315626574E-2</v>
      </c>
      <c r="Y17" s="132">
        <v>1.3595193406806816E-2</v>
      </c>
      <c r="Z17" s="108">
        <f t="shared" si="9"/>
        <v>399517</v>
      </c>
      <c r="AA17" s="97">
        <f>MIN(VLOOKUP(A17,'2016-17 disagg'!$A$12:$BC$220,54,FALSE),MIN(0,VLOOKUP(A17,'2016-17 disagg'!$A$12:$BC$220,54,FALSE),-2.5%))</f>
        <v>-2.5000000000000001E-2</v>
      </c>
      <c r="AB17" s="99">
        <f t="shared" si="2"/>
        <v>379342.56356432312</v>
      </c>
      <c r="AC17" s="99">
        <f>MAX(IF(INDEX('Pace of change parameters'!$E$29:$I$29,1,$B$5)=1,MAX(AB17,Z17),Z17),L17)</f>
        <v>399517</v>
      </c>
      <c r="AD17" s="97">
        <f t="shared" si="3"/>
        <v>2.3649263234491569E-2</v>
      </c>
      <c r="AE17" s="146">
        <v>1.7576016392445437E-2</v>
      </c>
      <c r="AF17" s="56">
        <f t="shared" si="10"/>
        <v>399517</v>
      </c>
      <c r="AG17" s="56">
        <v>1821.241512849444</v>
      </c>
      <c r="AH17" s="16">
        <f t="shared" si="4"/>
        <v>2.3649263234491569E-2</v>
      </c>
      <c r="AI17" s="16">
        <f t="shared" si="5"/>
        <v>1.7576016392445437E-2</v>
      </c>
      <c r="AJ17" s="56"/>
      <c r="AK17" s="56">
        <v>389069.29596340837</v>
      </c>
      <c r="AL17" s="56">
        <v>1773.6145224950776</v>
      </c>
      <c r="AM17" s="16">
        <f t="shared" si="11"/>
        <v>2.6853067422658361E-2</v>
      </c>
      <c r="AN17" s="58">
        <f t="shared" si="11"/>
        <v>2.6853067422658361E-2</v>
      </c>
      <c r="AP17" s="56">
        <f t="shared" si="12"/>
        <v>1</v>
      </c>
      <c r="AQ17" s="56">
        <f t="shared" si="6"/>
        <v>0</v>
      </c>
    </row>
    <row r="18" spans="1:43" x14ac:dyDescent="0.2">
      <c r="A18" s="156" t="s">
        <v>81</v>
      </c>
      <c r="B18" s="156" t="s">
        <v>82</v>
      </c>
      <c r="D18" s="68">
        <f>VLOOKUP(A18,'2016-17 disagg'!A18:BC226,43,FALSE)</f>
        <v>572800</v>
      </c>
      <c r="E18" s="73">
        <v>1772.7272915169385</v>
      </c>
      <c r="F18" s="55"/>
      <c r="G18" s="88">
        <v>555354.54228532861</v>
      </c>
      <c r="H18" s="81">
        <v>1715.7570665797916</v>
      </c>
      <c r="I18" s="90"/>
      <c r="J18" s="103">
        <f t="shared" si="7"/>
        <v>3.1413189928872987E-2</v>
      </c>
      <c r="K18" s="126">
        <f t="shared" si="7"/>
        <v>3.3204132477048232E-2</v>
      </c>
      <c r="L18" s="56">
        <v>585826</v>
      </c>
      <c r="M18" s="103">
        <v>1.2875488272912516E-2</v>
      </c>
      <c r="N18" s="97">
        <f>INDEX('Pace of change parameters'!$E$22:$I$22,1,$B$5)</f>
        <v>1.1119783131080974E-2</v>
      </c>
      <c r="O18" s="108">
        <f>MAX(IF(INDEX('Pace of change parameters'!$E$30:$I$30,1,$B$5)=1,(1+M18)*D18,D18),L18)</f>
        <v>585826</v>
      </c>
      <c r="P18" s="94">
        <f>IF(K18&lt;INDEX('Pace of change parameters'!$E$18:$I$18,1,$B$5),1,IF(K18&gt;INDEX('Pace of change parameters'!$E$19:$I$19,1,$B$5),0,(K18-INDEX('Pace of change parameters'!$E$19:$I$19,1,$B$5))/(INDEX('Pace of change parameters'!$E$18:$I$18,1,$B$5)-INDEX('Pace of change parameters'!$E$19:$I$19,1,$B$5))))</f>
        <v>0</v>
      </c>
      <c r="Q18" s="57">
        <v>1.2875488272912516E-2</v>
      </c>
      <c r="R18" s="57">
        <v>1.1119783131080974E-2</v>
      </c>
      <c r="S18" s="9">
        <f>MAX(IF(INDEX('Pace of change parameters'!$E$31:$I$31,1,$B$5)=1,D18*(1+Q18),D18),L18)</f>
        <v>585826</v>
      </c>
      <c r="T18" s="103">
        <f>IF(Q18&lt;INDEX('Pace of change parameters'!$E$24:$I$24,1,$B$5),INDEX('Pace of change parameters'!$E$24:$I$24,1,$B$5),Q18)</f>
        <v>1.9644681315626574E-2</v>
      </c>
      <c r="U18" s="132">
        <v>1.7877242542989835E-2</v>
      </c>
      <c r="V18" s="117">
        <f t="shared" si="8"/>
        <v>585826</v>
      </c>
      <c r="W18" s="131">
        <f>IF(J18&gt;INDEX('Pace of change parameters'!$E$26:$I$26,1,$B$5),0,IF(J18&lt;INDEX('Pace of change parameters'!$E$25:$I$25,1,$B$5),1,(J18-INDEX('Pace of change parameters'!$E$26:$I$26,1,$B$5))/(INDEX('Pace of change parameters'!$E$25:$I$25,1,$B$5)-INDEX('Pace of change parameters'!$E$26:$I$26,1,$B$5))))</f>
        <v>1</v>
      </c>
      <c r="X18" s="132">
        <f>MIN(T18, T18+(INDEX('Pace of change parameters'!$E$27:$I$27,1,$B$5)-T18)*(1-W18))</f>
        <v>1.9644681315626574E-2</v>
      </c>
      <c r="Y18" s="132">
        <v>1.7877242542989835E-2</v>
      </c>
      <c r="Z18" s="108">
        <f t="shared" si="9"/>
        <v>585826</v>
      </c>
      <c r="AA18" s="97">
        <f>MIN(VLOOKUP(A18,'2016-17 disagg'!$A$12:$BC$220,54,FALSE),MIN(0,VLOOKUP(A18,'2016-17 disagg'!$A$12:$BC$220,54,FALSE),-2.5%))</f>
        <v>-2.5000000000000001E-2</v>
      </c>
      <c r="AB18" s="99">
        <f t="shared" si="2"/>
        <v>555552.5914331415</v>
      </c>
      <c r="AC18" s="99">
        <f>MAX(IF(INDEX('Pace of change parameters'!$E$29:$I$29,1,$B$5)=1,MAX(AB18,Z18),Z18),L18)</f>
        <v>585826</v>
      </c>
      <c r="AD18" s="97">
        <f t="shared" si="3"/>
        <v>2.2740921787709478E-2</v>
      </c>
      <c r="AE18" s="146">
        <v>2.0968116032279438E-2</v>
      </c>
      <c r="AF18" s="56">
        <f t="shared" si="10"/>
        <v>585826</v>
      </c>
      <c r="AG18" s="56">
        <v>1809.8980430590541</v>
      </c>
      <c r="AH18" s="16">
        <f t="shared" si="4"/>
        <v>2.2740921787709478E-2</v>
      </c>
      <c r="AI18" s="16">
        <f t="shared" si="5"/>
        <v>2.0968116032279438E-2</v>
      </c>
      <c r="AJ18" s="56"/>
      <c r="AK18" s="56">
        <v>569797.52967501688</v>
      </c>
      <c r="AL18" s="56">
        <v>1760.3783954599085</v>
      </c>
      <c r="AM18" s="16">
        <f t="shared" si="11"/>
        <v>2.813011550633604E-2</v>
      </c>
      <c r="AN18" s="58">
        <f t="shared" si="11"/>
        <v>2.813011550633604E-2</v>
      </c>
      <c r="AP18" s="56">
        <f t="shared" si="12"/>
        <v>1</v>
      </c>
      <c r="AQ18" s="56">
        <f t="shared" si="6"/>
        <v>0</v>
      </c>
    </row>
    <row r="19" spans="1:43" x14ac:dyDescent="0.2">
      <c r="A19" s="156" t="s">
        <v>83</v>
      </c>
      <c r="B19" s="156" t="s">
        <v>84</v>
      </c>
      <c r="D19" s="68">
        <f>VLOOKUP(A19,'2016-17 disagg'!A19:BC227,43,FALSE)</f>
        <v>543486</v>
      </c>
      <c r="E19" s="73">
        <v>1848.6122029961205</v>
      </c>
      <c r="F19" s="55"/>
      <c r="G19" s="88">
        <v>535338.28064380249</v>
      </c>
      <c r="H19" s="81">
        <v>1818.0129851059144</v>
      </c>
      <c r="I19" s="90"/>
      <c r="J19" s="103">
        <f t="shared" si="7"/>
        <v>1.5219758516799908E-2</v>
      </c>
      <c r="K19" s="126">
        <f t="shared" si="7"/>
        <v>1.6831132748165389E-2</v>
      </c>
      <c r="L19" s="56">
        <v>556209</v>
      </c>
      <c r="M19" s="103">
        <v>1.2724649811120425E-2</v>
      </c>
      <c r="N19" s="97">
        <f>INDEX('Pace of change parameters'!$E$22:$I$22,1,$B$5)</f>
        <v>1.1119783131080974E-2</v>
      </c>
      <c r="O19" s="108">
        <f>MAX(IF(INDEX('Pace of change parameters'!$E$30:$I$30,1,$B$5)=1,(1+M19)*D19,D19),L19)</f>
        <v>556209</v>
      </c>
      <c r="P19" s="94">
        <f>IF(K19&lt;INDEX('Pace of change parameters'!$E$18:$I$18,1,$B$5),1,IF(K19&gt;INDEX('Pace of change parameters'!$E$19:$I$19,1,$B$5),0,(K19-INDEX('Pace of change parameters'!$E$19:$I$19,1,$B$5))/(INDEX('Pace of change parameters'!$E$18:$I$18,1,$B$5)-INDEX('Pace of change parameters'!$E$19:$I$19,1,$B$5))))</f>
        <v>0.14272704680512646</v>
      </c>
      <c r="Q19" s="57">
        <v>1.4708876581775998E-2</v>
      </c>
      <c r="R19" s="57">
        <v>1.3100865493796521E-2</v>
      </c>
      <c r="S19" s="9">
        <f>MAX(IF(INDEX('Pace of change parameters'!$E$31:$I$31,1,$B$5)=1,D19*(1+Q19),D19),L19)</f>
        <v>556209</v>
      </c>
      <c r="T19" s="103">
        <f>IF(Q19&lt;INDEX('Pace of change parameters'!$E$24:$I$24,1,$B$5),INDEX('Pace of change parameters'!$E$24:$I$24,1,$B$5),Q19)</f>
        <v>1.9644681315626574E-2</v>
      </c>
      <c r="U19" s="132">
        <v>1.8028848448491175E-2</v>
      </c>
      <c r="V19" s="117">
        <f t="shared" si="8"/>
        <v>556209</v>
      </c>
      <c r="W19" s="131">
        <f>IF(J19&gt;INDEX('Pace of change parameters'!$E$26:$I$26,1,$B$5),0,IF(J19&lt;INDEX('Pace of change parameters'!$E$25:$I$25,1,$B$5),1,(J19-INDEX('Pace of change parameters'!$E$26:$I$26,1,$B$5))/(INDEX('Pace of change parameters'!$E$25:$I$25,1,$B$5)-INDEX('Pace of change parameters'!$E$26:$I$26,1,$B$5))))</f>
        <v>1</v>
      </c>
      <c r="X19" s="132">
        <f>MIN(T19, T19+(INDEX('Pace of change parameters'!$E$27:$I$27,1,$B$5)-T19)*(1-W19))</f>
        <v>1.9644681315626574E-2</v>
      </c>
      <c r="Y19" s="132">
        <v>1.8028848448491175E-2</v>
      </c>
      <c r="Z19" s="108">
        <f t="shared" si="9"/>
        <v>556209</v>
      </c>
      <c r="AA19" s="97">
        <f>MIN(VLOOKUP(A19,'2016-17 disagg'!$A$12:$BC$220,54,FALSE),MIN(0,VLOOKUP(A19,'2016-17 disagg'!$A$12:$BC$220,54,FALSE),-2.5%))</f>
        <v>-2.5000000000000001E-2</v>
      </c>
      <c r="AB19" s="99">
        <f t="shared" si="2"/>
        <v>535669.12669753446</v>
      </c>
      <c r="AC19" s="99">
        <f>MAX(IF(INDEX('Pace of change parameters'!$E$29:$I$29,1,$B$5)=1,MAX(AB19,Z19),Z19),L19)</f>
        <v>556209</v>
      </c>
      <c r="AD19" s="97">
        <f t="shared" si="3"/>
        <v>2.3409986641790281E-2</v>
      </c>
      <c r="AE19" s="146">
        <v>2.1788186888138217E-2</v>
      </c>
      <c r="AF19" s="56">
        <f t="shared" si="10"/>
        <v>556209</v>
      </c>
      <c r="AG19" s="56">
        <v>1888.8901111586927</v>
      </c>
      <c r="AH19" s="16">
        <f t="shared" si="4"/>
        <v>2.3409986641790281E-2</v>
      </c>
      <c r="AI19" s="16">
        <f t="shared" si="5"/>
        <v>2.1788186888138217E-2</v>
      </c>
      <c r="AJ19" s="56"/>
      <c r="AK19" s="56">
        <v>549404.23251029174</v>
      </c>
      <c r="AL19" s="56">
        <v>1865.7810675796709</v>
      </c>
      <c r="AM19" s="16">
        <f t="shared" si="11"/>
        <v>1.2385720908294484E-2</v>
      </c>
      <c r="AN19" s="58">
        <f t="shared" si="11"/>
        <v>1.2385720908294706E-2</v>
      </c>
      <c r="AP19" s="56">
        <f t="shared" si="12"/>
        <v>1</v>
      </c>
      <c r="AQ19" s="56">
        <f t="shared" si="6"/>
        <v>0</v>
      </c>
    </row>
    <row r="20" spans="1:43" x14ac:dyDescent="0.2">
      <c r="A20" s="156" t="s">
        <v>85</v>
      </c>
      <c r="B20" s="156" t="s">
        <v>86</v>
      </c>
      <c r="D20" s="68">
        <f>VLOOKUP(A20,'2016-17 disagg'!A20:BC228,43,FALSE)</f>
        <v>299734</v>
      </c>
      <c r="E20" s="73">
        <v>1925.7126527671228</v>
      </c>
      <c r="F20" s="55"/>
      <c r="G20" s="88">
        <v>284385.76747835835</v>
      </c>
      <c r="H20" s="81">
        <v>1822.1480400168227</v>
      </c>
      <c r="I20" s="90"/>
      <c r="J20" s="103">
        <f t="shared" si="7"/>
        <v>5.3969763176737295E-2</v>
      </c>
      <c r="K20" s="126">
        <f t="shared" si="7"/>
        <v>5.6836552506098093E-2</v>
      </c>
      <c r="L20" s="56">
        <v>304281</v>
      </c>
      <c r="M20" s="103">
        <v>1.3870020857303045E-2</v>
      </c>
      <c r="N20" s="97">
        <f>INDEX('Pace of change parameters'!$E$22:$I$22,1,$B$5)</f>
        <v>1.1119783131080974E-2</v>
      </c>
      <c r="O20" s="108">
        <f>MAX(IF(INDEX('Pace of change parameters'!$E$30:$I$30,1,$B$5)=1,(1+M20)*D20,D20),L20)</f>
        <v>304281</v>
      </c>
      <c r="P20" s="94">
        <f>IF(K20&lt;INDEX('Pace of change parameters'!$E$18:$I$18,1,$B$5),1,IF(K20&gt;INDEX('Pace of change parameters'!$E$19:$I$19,1,$B$5),0,(K20-INDEX('Pace of change parameters'!$E$19:$I$19,1,$B$5))/(INDEX('Pace of change parameters'!$E$18:$I$18,1,$B$5)-INDEX('Pace of change parameters'!$E$19:$I$19,1,$B$5))))</f>
        <v>0</v>
      </c>
      <c r="Q20" s="57">
        <v>1.3870020857303045E-2</v>
      </c>
      <c r="R20" s="57">
        <v>1.1119783131080974E-2</v>
      </c>
      <c r="S20" s="9">
        <f>MAX(IF(INDEX('Pace of change parameters'!$E$31:$I$31,1,$B$5)=1,D20*(1+Q20),D20),L20)</f>
        <v>304281</v>
      </c>
      <c r="T20" s="103">
        <f>IF(Q20&lt;INDEX('Pace of change parameters'!$E$24:$I$24,1,$B$5),INDEX('Pace of change parameters'!$E$24:$I$24,1,$B$5),Q20)</f>
        <v>1.9644681315626574E-2</v>
      </c>
      <c r="U20" s="132">
        <v>1.687877916623215E-2</v>
      </c>
      <c r="V20" s="117">
        <f t="shared" si="8"/>
        <v>305622.17890945805</v>
      </c>
      <c r="W20" s="131">
        <f>IF(J20&gt;INDEX('Pace of change parameters'!$E$26:$I$26,1,$B$5),0,IF(J20&lt;INDEX('Pace of change parameters'!$E$25:$I$25,1,$B$5),1,(J20-INDEX('Pace of change parameters'!$E$26:$I$26,1,$B$5))/(INDEX('Pace of change parameters'!$E$25:$I$25,1,$B$5)-INDEX('Pace of change parameters'!$E$26:$I$26,1,$B$5))))</f>
        <v>0.9206047364652542</v>
      </c>
      <c r="X20" s="132">
        <f>MIN(T20, T20+(INDEX('Pace of change parameters'!$E$27:$I$27,1,$B$5)-T20)*(1-W20))</f>
        <v>1.8183808466587251E-2</v>
      </c>
      <c r="Y20" s="132">
        <v>1.542186910092247E-2</v>
      </c>
      <c r="Z20" s="108">
        <f t="shared" si="9"/>
        <v>305184.30564692407</v>
      </c>
      <c r="AA20" s="97">
        <f>MIN(VLOOKUP(A20,'2016-17 disagg'!$A$12:$BC$220,54,FALSE),MIN(0,VLOOKUP(A20,'2016-17 disagg'!$A$12:$BC$220,54,FALSE),-2.5%))</f>
        <v>-2.5000000000000001E-2</v>
      </c>
      <c r="AB20" s="99">
        <f t="shared" si="2"/>
        <v>284401.0713545935</v>
      </c>
      <c r="AC20" s="99">
        <f>MAX(IF(INDEX('Pace of change parameters'!$E$29:$I$29,1,$B$5)=1,MAX(AB20,Z20),Z20),L20)</f>
        <v>305184.30564692407</v>
      </c>
      <c r="AD20" s="97">
        <f t="shared" si="3"/>
        <v>1.8183808466587292E-2</v>
      </c>
      <c r="AE20" s="146">
        <v>1.542186910092247E-2</v>
      </c>
      <c r="AF20" s="56">
        <f t="shared" si="10"/>
        <v>305184.30564692407</v>
      </c>
      <c r="AG20" s="56">
        <v>1955.4107412240876</v>
      </c>
      <c r="AH20" s="16">
        <f t="shared" si="4"/>
        <v>1.8183808466587292E-2</v>
      </c>
      <c r="AI20" s="16">
        <f t="shared" si="5"/>
        <v>1.542186910092247E-2</v>
      </c>
      <c r="AJ20" s="56"/>
      <c r="AK20" s="56">
        <v>291693.40651753178</v>
      </c>
      <c r="AL20" s="56">
        <v>1868.9703556005081</v>
      </c>
      <c r="AM20" s="16">
        <f t="shared" si="11"/>
        <v>4.6250271099567808E-2</v>
      </c>
      <c r="AN20" s="58">
        <f t="shared" si="11"/>
        <v>4.625027109956803E-2</v>
      </c>
      <c r="AP20" s="56">
        <f t="shared" si="12"/>
        <v>0</v>
      </c>
      <c r="AQ20" s="56">
        <f t="shared" si="6"/>
        <v>0</v>
      </c>
    </row>
    <row r="21" spans="1:43" x14ac:dyDescent="0.2">
      <c r="A21" s="156" t="s">
        <v>87</v>
      </c>
      <c r="B21" s="156" t="s">
        <v>88</v>
      </c>
      <c r="D21" s="68">
        <f>VLOOKUP(A21,'2016-17 disagg'!A21:BC229,43,FALSE)</f>
        <v>545177</v>
      </c>
      <c r="E21" s="73">
        <v>1917.4681958574167</v>
      </c>
      <c r="F21" s="55"/>
      <c r="G21" s="88">
        <v>482672.47929285193</v>
      </c>
      <c r="H21" s="81">
        <v>1695.8726885229241</v>
      </c>
      <c r="I21" s="90"/>
      <c r="J21" s="103">
        <f t="shared" si="7"/>
        <v>0.12949675688724049</v>
      </c>
      <c r="K21" s="126">
        <f t="shared" si="7"/>
        <v>0.13066753703516421</v>
      </c>
      <c r="L21" s="56">
        <v>549056</v>
      </c>
      <c r="M21" s="103">
        <v>1.2167859597033148E-2</v>
      </c>
      <c r="N21" s="97">
        <f>INDEX('Pace of change parameters'!$E$22:$I$22,1,$B$5)</f>
        <v>1.1119783131080974E-2</v>
      </c>
      <c r="O21" s="108">
        <f>MAX(IF(INDEX('Pace of change parameters'!$E$30:$I$30,1,$B$5)=1,(1+M21)*D21,D21),L21)</f>
        <v>551810.63719153171</v>
      </c>
      <c r="P21" s="94">
        <f>IF(K21&lt;INDEX('Pace of change parameters'!$E$18:$I$18,1,$B$5),1,IF(K21&gt;INDEX('Pace of change parameters'!$E$19:$I$19,1,$B$5),0,(K21-INDEX('Pace of change parameters'!$E$19:$I$19,1,$B$5))/(INDEX('Pace of change parameters'!$E$18:$I$18,1,$B$5)-INDEX('Pace of change parameters'!$E$19:$I$19,1,$B$5))))</f>
        <v>0</v>
      </c>
      <c r="Q21" s="57">
        <v>1.2167859597033148E-2</v>
      </c>
      <c r="R21" s="57">
        <v>1.1119783131080974E-2</v>
      </c>
      <c r="S21" s="9">
        <f>MAX(IF(INDEX('Pace of change parameters'!$E$31:$I$31,1,$B$5)=1,D21*(1+Q21),D21),L21)</f>
        <v>551810.63719153171</v>
      </c>
      <c r="T21" s="103">
        <f>IF(Q21&lt;INDEX('Pace of change parameters'!$E$24:$I$24,1,$B$5),INDEX('Pace of change parameters'!$E$24:$I$24,1,$B$5),Q21)</f>
        <v>1.9644681315626574E-2</v>
      </c>
      <c r="U21" s="132">
        <v>1.8588862773289527E-2</v>
      </c>
      <c r="V21" s="117">
        <f t="shared" si="8"/>
        <v>555886.82842560939</v>
      </c>
      <c r="W21" s="131">
        <f>IF(J21&gt;INDEX('Pace of change parameters'!$E$26:$I$26,1,$B$5),0,IF(J21&lt;INDEX('Pace of change parameters'!$E$25:$I$25,1,$B$5),1,(J21-INDEX('Pace of change parameters'!$E$26:$I$26,1,$B$5))/(INDEX('Pace of change parameters'!$E$25:$I$25,1,$B$5)-INDEX('Pace of change parameters'!$E$26:$I$26,1,$B$5))))</f>
        <v>0</v>
      </c>
      <c r="X21" s="132">
        <f>MIN(T21, T21+(INDEX('Pace of change parameters'!$E$27:$I$27,1,$B$5)-T21)*(1-W21))</f>
        <v>1.2446813156265744E-3</v>
      </c>
      <c r="Y21" s="132">
        <v>2.0791554876620211E-4</v>
      </c>
      <c r="Z21" s="108">
        <f t="shared" si="9"/>
        <v>549056</v>
      </c>
      <c r="AA21" s="97">
        <f>MIN(VLOOKUP(A21,'2016-17 disagg'!$A$12:$BC$220,54,FALSE),MIN(0,VLOOKUP(A21,'2016-17 disagg'!$A$12:$BC$220,54,FALSE),-2.5%))</f>
        <v>-2.5000000000000001E-2</v>
      </c>
      <c r="AB21" s="99">
        <f t="shared" si="2"/>
        <v>482696.08969649998</v>
      </c>
      <c r="AC21" s="99">
        <f>MAX(IF(INDEX('Pace of change parameters'!$E$29:$I$29,1,$B$5)=1,MAX(AB21,Z21),Z21),L21)</f>
        <v>549056</v>
      </c>
      <c r="AD21" s="97">
        <f t="shared" si="3"/>
        <v>7.1151204104356047E-3</v>
      </c>
      <c r="AE21" s="146">
        <v>6.0722759393347925E-3</v>
      </c>
      <c r="AF21" s="56">
        <f t="shared" si="10"/>
        <v>549056</v>
      </c>
      <c r="AG21" s="56">
        <v>1929.1115918475614</v>
      </c>
      <c r="AH21" s="16">
        <f t="shared" si="4"/>
        <v>7.1151204104356047E-3</v>
      </c>
      <c r="AI21" s="16">
        <f t="shared" si="5"/>
        <v>6.0722759393347925E-3</v>
      </c>
      <c r="AJ21" s="56"/>
      <c r="AK21" s="56">
        <v>495072.91250923078</v>
      </c>
      <c r="AL21" s="56">
        <v>1739.4416859688095</v>
      </c>
      <c r="AM21" s="16">
        <f t="shared" si="11"/>
        <v>0.10904068093154407</v>
      </c>
      <c r="AN21" s="58">
        <f t="shared" si="11"/>
        <v>0.10904068093154407</v>
      </c>
      <c r="AP21" s="56">
        <f t="shared" si="12"/>
        <v>1</v>
      </c>
      <c r="AQ21" s="56">
        <f t="shared" si="6"/>
        <v>0</v>
      </c>
    </row>
    <row r="22" spans="1:43" x14ac:dyDescent="0.2">
      <c r="A22" s="156" t="s">
        <v>89</v>
      </c>
      <c r="B22" s="156" t="s">
        <v>90</v>
      </c>
      <c r="D22" s="68">
        <f>VLOOKUP(A22,'2016-17 disagg'!A22:BC230,43,FALSE)</f>
        <v>286064</v>
      </c>
      <c r="E22" s="73">
        <v>1667.1163102234511</v>
      </c>
      <c r="F22" s="55"/>
      <c r="G22" s="88">
        <v>290419.63552598504</v>
      </c>
      <c r="H22" s="81">
        <v>1689.3636101795755</v>
      </c>
      <c r="I22" s="90"/>
      <c r="J22" s="103">
        <f t="shared" si="7"/>
        <v>-1.499773084590672E-2</v>
      </c>
      <c r="K22" s="126">
        <f t="shared" si="7"/>
        <v>-1.3169041775298762E-2</v>
      </c>
      <c r="L22" s="56">
        <v>292754</v>
      </c>
      <c r="M22" s="103">
        <v>1.2996960224363363E-2</v>
      </c>
      <c r="N22" s="97">
        <f>INDEX('Pace of change parameters'!$E$22:$I$22,1,$B$5)</f>
        <v>1.1119783131080974E-2</v>
      </c>
      <c r="O22" s="108">
        <f>MAX(IF(INDEX('Pace of change parameters'!$E$30:$I$30,1,$B$5)=1,(1+M22)*D22,D22),L22)</f>
        <v>292754</v>
      </c>
      <c r="P22" s="94">
        <f>IF(K22&lt;INDEX('Pace of change parameters'!$E$18:$I$18,1,$B$5),1,IF(K22&gt;INDEX('Pace of change parameters'!$E$19:$I$19,1,$B$5),0,(K22-INDEX('Pace of change parameters'!$E$19:$I$19,1,$B$5))/(INDEX('Pace of change parameters'!$E$18:$I$18,1,$B$5)-INDEX('Pace of change parameters'!$E$19:$I$19,1,$B$5))))</f>
        <v>0.57988229112419376</v>
      </c>
      <c r="Q22" s="57">
        <v>2.106079521594606E-2</v>
      </c>
      <c r="R22" s="57">
        <v>1.9168675090330378E-2</v>
      </c>
      <c r="S22" s="9">
        <f>MAX(IF(INDEX('Pace of change parameters'!$E$31:$I$31,1,$B$5)=1,D22*(1+Q22),D22),L22)</f>
        <v>292754</v>
      </c>
      <c r="T22" s="103">
        <f>IF(Q22&lt;INDEX('Pace of change parameters'!$E$24:$I$24,1,$B$5),INDEX('Pace of change parameters'!$E$24:$I$24,1,$B$5),Q22)</f>
        <v>2.106079521594606E-2</v>
      </c>
      <c r="U22" s="132">
        <v>1.9168675090330378E-2</v>
      </c>
      <c r="V22" s="117">
        <f t="shared" si="8"/>
        <v>292754</v>
      </c>
      <c r="W22" s="131">
        <f>IF(J22&gt;INDEX('Pace of change parameters'!$E$26:$I$26,1,$B$5),0,IF(J22&lt;INDEX('Pace of change parameters'!$E$25:$I$25,1,$B$5),1,(J22-INDEX('Pace of change parameters'!$E$26:$I$26,1,$B$5))/(INDEX('Pace of change parameters'!$E$25:$I$25,1,$B$5)-INDEX('Pace of change parameters'!$E$26:$I$26,1,$B$5))))</f>
        <v>1</v>
      </c>
      <c r="X22" s="132">
        <f>MIN(T22, T22+(INDEX('Pace of change parameters'!$E$27:$I$27,1,$B$5)-T22)*(1-W22))</f>
        <v>2.106079521594606E-2</v>
      </c>
      <c r="Y22" s="132">
        <v>1.9168675090330378E-2</v>
      </c>
      <c r="Z22" s="108">
        <f t="shared" si="9"/>
        <v>292754</v>
      </c>
      <c r="AA22" s="97">
        <f>MIN(VLOOKUP(A22,'2016-17 disagg'!$A$12:$BC$220,54,FALSE),MIN(0,VLOOKUP(A22,'2016-17 disagg'!$A$12:$BC$220,54,FALSE),-2.5%))</f>
        <v>-2.5000000000000001E-2</v>
      </c>
      <c r="AB22" s="99">
        <f t="shared" si="2"/>
        <v>290625.755494649</v>
      </c>
      <c r="AC22" s="99">
        <f>MAX(IF(INDEX('Pace of change parameters'!$E$29:$I$29,1,$B$5)=1,MAX(AB22,Z22),Z22),L22)</f>
        <v>292754</v>
      </c>
      <c r="AD22" s="97">
        <f t="shared" si="3"/>
        <v>2.3386375076905885E-2</v>
      </c>
      <c r="AE22" s="146">
        <v>2.148994543663707E-2</v>
      </c>
      <c r="AF22" s="56">
        <f t="shared" si="10"/>
        <v>292754</v>
      </c>
      <c r="AG22" s="56">
        <v>1702.9425487666808</v>
      </c>
      <c r="AH22" s="16">
        <f t="shared" si="4"/>
        <v>2.3386375076905885E-2</v>
      </c>
      <c r="AI22" s="16">
        <f t="shared" si="5"/>
        <v>2.148994543663707E-2</v>
      </c>
      <c r="AJ22" s="56"/>
      <c r="AK22" s="56">
        <v>298077.69794322975</v>
      </c>
      <c r="AL22" s="56">
        <v>1733.9103638752961</v>
      </c>
      <c r="AM22" s="16">
        <f t="shared" si="11"/>
        <v>-1.7860101510323911E-2</v>
      </c>
      <c r="AN22" s="58">
        <f t="shared" si="11"/>
        <v>-1.78601015103238E-2</v>
      </c>
      <c r="AP22" s="56">
        <f t="shared" si="12"/>
        <v>1</v>
      </c>
      <c r="AQ22" s="56">
        <f t="shared" si="6"/>
        <v>0</v>
      </c>
    </row>
    <row r="23" spans="1:43" x14ac:dyDescent="0.2">
      <c r="A23" s="156" t="s">
        <v>91</v>
      </c>
      <c r="B23" s="156" t="s">
        <v>92</v>
      </c>
      <c r="D23" s="68">
        <f>VLOOKUP(A23,'2016-17 disagg'!A23:BC231,43,FALSE)</f>
        <v>328873</v>
      </c>
      <c r="E23" s="73">
        <v>1914.1385688894691</v>
      </c>
      <c r="F23" s="55"/>
      <c r="G23" s="88">
        <v>336473.37016341428</v>
      </c>
      <c r="H23" s="81">
        <v>1958.3582550206527</v>
      </c>
      <c r="I23" s="90"/>
      <c r="J23" s="103">
        <f t="shared" si="7"/>
        <v>-2.2588325963873501E-2</v>
      </c>
      <c r="K23" s="126">
        <f t="shared" si="7"/>
        <v>-2.257997790640065E-2</v>
      </c>
      <c r="L23" s="56">
        <v>336497</v>
      </c>
      <c r="M23" s="103">
        <v>1.1128419088974661E-2</v>
      </c>
      <c r="N23" s="97">
        <f>INDEX('Pace of change parameters'!$E$22:$I$22,1,$B$5)</f>
        <v>1.1119783131080974E-2</v>
      </c>
      <c r="O23" s="108">
        <f>MAX(IF(INDEX('Pace of change parameters'!$E$30:$I$30,1,$B$5)=1,(1+M23)*D23,D23),L23)</f>
        <v>336497</v>
      </c>
      <c r="P23" s="94">
        <f>IF(K23&lt;INDEX('Pace of change parameters'!$E$18:$I$18,1,$B$5),1,IF(K23&gt;INDEX('Pace of change parameters'!$E$19:$I$19,1,$B$5),0,(K23-INDEX('Pace of change parameters'!$E$19:$I$19,1,$B$5))/(INDEX('Pace of change parameters'!$E$18:$I$18,1,$B$5)-INDEX('Pace of change parameters'!$E$19:$I$19,1,$B$5))))</f>
        <v>0.71701616281034863</v>
      </c>
      <c r="Q23" s="57">
        <v>2.1080843930077808E-2</v>
      </c>
      <c r="R23" s="57">
        <v>2.1072122969408857E-2</v>
      </c>
      <c r="S23" s="9">
        <f>MAX(IF(INDEX('Pace of change parameters'!$E$31:$I$31,1,$B$5)=1,D23*(1+Q23),D23),L23)</f>
        <v>336497</v>
      </c>
      <c r="T23" s="103">
        <f>IF(Q23&lt;INDEX('Pace of change parameters'!$E$24:$I$24,1,$B$5),INDEX('Pace of change parameters'!$E$24:$I$24,1,$B$5),Q23)</f>
        <v>2.1080843930077808E-2</v>
      </c>
      <c r="U23" s="132">
        <v>2.1072122969408857E-2</v>
      </c>
      <c r="V23" s="117">
        <f t="shared" si="8"/>
        <v>336497</v>
      </c>
      <c r="W23" s="131">
        <f>IF(J23&gt;INDEX('Pace of change parameters'!$E$26:$I$26,1,$B$5),0,IF(J23&lt;INDEX('Pace of change parameters'!$E$25:$I$25,1,$B$5),1,(J23-INDEX('Pace of change parameters'!$E$26:$I$26,1,$B$5))/(INDEX('Pace of change parameters'!$E$25:$I$25,1,$B$5)-INDEX('Pace of change parameters'!$E$26:$I$26,1,$B$5))))</f>
        <v>1</v>
      </c>
      <c r="X23" s="132">
        <f>MIN(T23, T23+(INDEX('Pace of change parameters'!$E$27:$I$27,1,$B$5)-T23)*(1-W23))</f>
        <v>2.1080843930077808E-2</v>
      </c>
      <c r="Y23" s="132">
        <v>2.1072122969408857E-2</v>
      </c>
      <c r="Z23" s="108">
        <f t="shared" si="9"/>
        <v>336497</v>
      </c>
      <c r="AA23" s="97">
        <f>MIN(VLOOKUP(A23,'2016-17 disagg'!$A$12:$BC$220,54,FALSE),MIN(0,VLOOKUP(A23,'2016-17 disagg'!$A$12:$BC$220,54,FALSE),-2.5%))</f>
        <v>-2.947323385734324E-2</v>
      </c>
      <c r="AB23" s="99">
        <f t="shared" si="2"/>
        <v>335089.68059500825</v>
      </c>
      <c r="AC23" s="99">
        <f>MAX(IF(INDEX('Pace of change parameters'!$E$29:$I$29,1,$B$5)=1,MAX(AB23,Z23),Z23),L23)</f>
        <v>336497</v>
      </c>
      <c r="AD23" s="97">
        <f t="shared" si="3"/>
        <v>2.3182201032009297E-2</v>
      </c>
      <c r="AE23" s="146">
        <v>2.3173462123836197E-2</v>
      </c>
      <c r="AF23" s="56">
        <f t="shared" si="10"/>
        <v>336497</v>
      </c>
      <c r="AG23" s="56">
        <v>1958.4957865154036</v>
      </c>
      <c r="AH23" s="16">
        <f t="shared" si="4"/>
        <v>2.3182201032009297E-2</v>
      </c>
      <c r="AI23" s="16">
        <f t="shared" si="5"/>
        <v>2.3173462123836419E-2</v>
      </c>
      <c r="AJ23" s="56"/>
      <c r="AK23" s="56">
        <v>345265.77966192202</v>
      </c>
      <c r="AL23" s="56">
        <v>2009.532253469808</v>
      </c>
      <c r="AM23" s="16">
        <f t="shared" si="11"/>
        <v>-2.5397187263991983E-2</v>
      </c>
      <c r="AN23" s="58">
        <f t="shared" si="11"/>
        <v>-2.5397187263991983E-2</v>
      </c>
      <c r="AP23" s="56">
        <f t="shared" si="12"/>
        <v>1</v>
      </c>
      <c r="AQ23" s="56">
        <f t="shared" si="6"/>
        <v>0</v>
      </c>
    </row>
    <row r="24" spans="1:43" x14ac:dyDescent="0.2">
      <c r="A24" s="156" t="s">
        <v>93</v>
      </c>
      <c r="B24" s="156" t="s">
        <v>94</v>
      </c>
      <c r="D24" s="68">
        <f>VLOOKUP(A24,'2016-17 disagg'!A24:BC232,43,FALSE)</f>
        <v>508299</v>
      </c>
      <c r="E24" s="73">
        <v>1675.5901057817637</v>
      </c>
      <c r="F24" s="55"/>
      <c r="G24" s="88">
        <v>522428.39100103208</v>
      </c>
      <c r="H24" s="81">
        <v>1711.9327122782286</v>
      </c>
      <c r="I24" s="90"/>
      <c r="J24" s="103">
        <f t="shared" si="7"/>
        <v>-2.7045603271978691E-2</v>
      </c>
      <c r="K24" s="126">
        <f t="shared" si="7"/>
        <v>-2.1228992375582512E-2</v>
      </c>
      <c r="L24" s="56">
        <v>520566</v>
      </c>
      <c r="M24" s="103">
        <v>1.7164558063904378E-2</v>
      </c>
      <c r="N24" s="97">
        <f>INDEX('Pace of change parameters'!$E$22:$I$22,1,$B$5)</f>
        <v>1.1119783131080974E-2</v>
      </c>
      <c r="O24" s="108">
        <f>MAX(IF(INDEX('Pace of change parameters'!$E$30:$I$30,1,$B$5)=1,(1+M24)*D24,D24),L24)</f>
        <v>520566</v>
      </c>
      <c r="P24" s="94">
        <f>IF(K24&lt;INDEX('Pace of change parameters'!$E$18:$I$18,1,$B$5),1,IF(K24&gt;INDEX('Pace of change parameters'!$E$19:$I$19,1,$B$5),0,(K24-INDEX('Pace of change parameters'!$E$19:$I$19,1,$B$5))/(INDEX('Pace of change parameters'!$E$18:$I$18,1,$B$5)-INDEX('Pace of change parameters'!$E$19:$I$19,1,$B$5))))</f>
        <v>0.69732993034078727</v>
      </c>
      <c r="Q24" s="57">
        <v>2.6901513210316752E-2</v>
      </c>
      <c r="R24" s="57">
        <v>2.0798873793399286E-2</v>
      </c>
      <c r="S24" s="9">
        <f>MAX(IF(INDEX('Pace of change parameters'!$E$31:$I$31,1,$B$5)=1,D24*(1+Q24),D24),L24)</f>
        <v>521973.01226329082</v>
      </c>
      <c r="T24" s="103">
        <f>IF(Q24&lt;INDEX('Pace of change parameters'!$E$24:$I$24,1,$B$5),INDEX('Pace of change parameters'!$E$24:$I$24,1,$B$5),Q24)</f>
        <v>2.6901513210316752E-2</v>
      </c>
      <c r="U24" s="132">
        <v>2.0798873793399286E-2</v>
      </c>
      <c r="V24" s="117">
        <f t="shared" si="8"/>
        <v>521973.01226329082</v>
      </c>
      <c r="W24" s="131">
        <f>IF(J24&gt;INDEX('Pace of change parameters'!$E$26:$I$26,1,$B$5),0,IF(J24&lt;INDEX('Pace of change parameters'!$E$25:$I$25,1,$B$5),1,(J24-INDEX('Pace of change parameters'!$E$26:$I$26,1,$B$5))/(INDEX('Pace of change parameters'!$E$25:$I$25,1,$B$5)-INDEX('Pace of change parameters'!$E$26:$I$26,1,$B$5))))</f>
        <v>1</v>
      </c>
      <c r="X24" s="132">
        <f>MIN(T24, T24+(INDEX('Pace of change parameters'!$E$27:$I$27,1,$B$5)-T24)*(1-W24))</f>
        <v>2.6901513210316752E-2</v>
      </c>
      <c r="Y24" s="132">
        <v>2.0798873793399286E-2</v>
      </c>
      <c r="Z24" s="108">
        <f t="shared" si="9"/>
        <v>521973.01226329082</v>
      </c>
      <c r="AA24" s="97">
        <f>MIN(VLOOKUP(A24,'2016-17 disagg'!$A$12:$BC$220,54,FALSE),MIN(0,VLOOKUP(A24,'2016-17 disagg'!$A$12:$BC$220,54,FALSE),-2.5%))</f>
        <v>-2.8132345371129963E-2</v>
      </c>
      <c r="AB24" s="99">
        <f t="shared" si="2"/>
        <v>521021.89318772586</v>
      </c>
      <c r="AC24" s="99">
        <f>MAX(IF(INDEX('Pace of change parameters'!$E$29:$I$29,1,$B$5)=1,MAX(AB24,Z24),Z24),L24)</f>
        <v>521973.01226329082</v>
      </c>
      <c r="AD24" s="97">
        <f t="shared" si="3"/>
        <v>2.6901513210316752E-2</v>
      </c>
      <c r="AE24" s="146">
        <v>2.0798873793399286E-2</v>
      </c>
      <c r="AF24" s="56">
        <f t="shared" si="10"/>
        <v>521973.01226329082</v>
      </c>
      <c r="AG24" s="56">
        <v>1710.4404929213874</v>
      </c>
      <c r="AH24" s="16">
        <f t="shared" si="4"/>
        <v>2.6901513210316752E-2</v>
      </c>
      <c r="AI24" s="16">
        <f t="shared" si="5"/>
        <v>2.0798873793399508E-2</v>
      </c>
      <c r="AJ24" s="56"/>
      <c r="AK24" s="56">
        <v>536103.74900962214</v>
      </c>
      <c r="AL24" s="56">
        <v>1756.745155725574</v>
      </c>
      <c r="AM24" s="16">
        <f t="shared" si="11"/>
        <v>-2.6358212887777621E-2</v>
      </c>
      <c r="AN24" s="58">
        <f t="shared" si="11"/>
        <v>-2.635821288777751E-2</v>
      </c>
      <c r="AP24" s="56">
        <f t="shared" si="12"/>
        <v>0</v>
      </c>
      <c r="AQ24" s="56">
        <f t="shared" si="6"/>
        <v>0</v>
      </c>
    </row>
    <row r="25" spans="1:43" x14ac:dyDescent="0.2">
      <c r="A25" s="156" t="s">
        <v>95</v>
      </c>
      <c r="B25" s="156" t="s">
        <v>96</v>
      </c>
      <c r="D25" s="68">
        <f>VLOOKUP(A25,'2016-17 disagg'!A25:BC233,43,FALSE)</f>
        <v>332842</v>
      </c>
      <c r="E25" s="73">
        <v>1658.2449673291735</v>
      </c>
      <c r="F25" s="55"/>
      <c r="G25" s="88">
        <v>339144.9016468178</v>
      </c>
      <c r="H25" s="81">
        <v>1680.5515348257773</v>
      </c>
      <c r="I25" s="90"/>
      <c r="J25" s="103">
        <f t="shared" si="7"/>
        <v>-1.858468641637312E-2</v>
      </c>
      <c r="K25" s="126">
        <f t="shared" si="7"/>
        <v>-1.3273361175988097E-2</v>
      </c>
      <c r="L25" s="56">
        <v>341050</v>
      </c>
      <c r="M25" s="103">
        <v>1.6591866102342978E-2</v>
      </c>
      <c r="N25" s="97">
        <f>INDEX('Pace of change parameters'!$E$22:$I$22,1,$B$5)</f>
        <v>1.1119783131080974E-2</v>
      </c>
      <c r="O25" s="108">
        <f>MAX(IF(INDEX('Pace of change parameters'!$E$30:$I$30,1,$B$5)=1,(1+M25)*D25,D25),L25)</f>
        <v>341050</v>
      </c>
      <c r="P25" s="94">
        <f>IF(K25&lt;INDEX('Pace of change parameters'!$E$18:$I$18,1,$B$5),1,IF(K25&gt;INDEX('Pace of change parameters'!$E$19:$I$19,1,$B$5),0,(K25-INDEX('Pace of change parameters'!$E$19:$I$19,1,$B$5))/(INDEX('Pace of change parameters'!$E$18:$I$18,1,$B$5)-INDEX('Pace of change parameters'!$E$19:$I$19,1,$B$5))))</f>
        <v>0.58140240805084353</v>
      </c>
      <c r="Q25" s="57">
        <v>2.4705531631727284E-2</v>
      </c>
      <c r="R25" s="57">
        <v>1.9189774642938362E-2</v>
      </c>
      <c r="S25" s="9">
        <f>MAX(IF(INDEX('Pace of change parameters'!$E$31:$I$31,1,$B$5)=1,D25*(1+Q25),D25),L25)</f>
        <v>341065.03855936736</v>
      </c>
      <c r="T25" s="103">
        <f>IF(Q25&lt;INDEX('Pace of change parameters'!$E$24:$I$24,1,$B$5),INDEX('Pace of change parameters'!$E$24:$I$24,1,$B$5),Q25)</f>
        <v>2.4705531631727284E-2</v>
      </c>
      <c r="U25" s="132">
        <v>1.9189774642938362E-2</v>
      </c>
      <c r="V25" s="117">
        <f t="shared" si="8"/>
        <v>341065.03855936736</v>
      </c>
      <c r="W25" s="131">
        <f>IF(J25&gt;INDEX('Pace of change parameters'!$E$26:$I$26,1,$B$5),0,IF(J25&lt;INDEX('Pace of change parameters'!$E$25:$I$25,1,$B$5),1,(J25-INDEX('Pace of change parameters'!$E$26:$I$26,1,$B$5))/(INDEX('Pace of change parameters'!$E$25:$I$25,1,$B$5)-INDEX('Pace of change parameters'!$E$26:$I$26,1,$B$5))))</f>
        <v>1</v>
      </c>
      <c r="X25" s="132">
        <f>MIN(T25, T25+(INDEX('Pace of change parameters'!$E$27:$I$27,1,$B$5)-T25)*(1-W25))</f>
        <v>2.4705531631727284E-2</v>
      </c>
      <c r="Y25" s="132">
        <v>1.9189774642938362E-2</v>
      </c>
      <c r="Z25" s="108">
        <f t="shared" si="9"/>
        <v>341065.03855936736</v>
      </c>
      <c r="AA25" s="97">
        <f>MIN(VLOOKUP(A25,'2016-17 disagg'!$A$12:$BC$220,54,FALSE),MIN(0,VLOOKUP(A25,'2016-17 disagg'!$A$12:$BC$220,54,FALSE),-2.5%))</f>
        <v>-2.5000000000000001E-2</v>
      </c>
      <c r="AB25" s="99">
        <f t="shared" si="2"/>
        <v>339458.47316157719</v>
      </c>
      <c r="AC25" s="99">
        <f>MAX(IF(INDEX('Pace of change parameters'!$E$29:$I$29,1,$B$5)=1,MAX(AB25,Z25),Z25),L25)</f>
        <v>341065.03855936736</v>
      </c>
      <c r="AD25" s="97">
        <f t="shared" si="3"/>
        <v>2.4705531631727284E-2</v>
      </c>
      <c r="AE25" s="146">
        <v>1.9189774642938362E-2</v>
      </c>
      <c r="AF25" s="56">
        <f t="shared" si="10"/>
        <v>341065.03855936736</v>
      </c>
      <c r="AG25" s="56">
        <v>1690.066314555007</v>
      </c>
      <c r="AH25" s="16">
        <f t="shared" si="4"/>
        <v>2.4705531631727284E-2</v>
      </c>
      <c r="AI25" s="16">
        <f t="shared" si="5"/>
        <v>1.9189774642938362E-2</v>
      </c>
      <c r="AJ25" s="56"/>
      <c r="AK25" s="56">
        <v>348162.53657597658</v>
      </c>
      <c r="AL25" s="56">
        <v>1725.2362703093677</v>
      </c>
      <c r="AM25" s="16">
        <f t="shared" si="11"/>
        <v>-2.0385587968222985E-2</v>
      </c>
      <c r="AN25" s="58">
        <f t="shared" si="11"/>
        <v>-2.0385587968223096E-2</v>
      </c>
      <c r="AP25" s="56">
        <f t="shared" si="12"/>
        <v>0</v>
      </c>
      <c r="AQ25" s="56">
        <f t="shared" si="6"/>
        <v>0</v>
      </c>
    </row>
    <row r="26" spans="1:43" x14ac:dyDescent="0.2">
      <c r="A26" s="156" t="s">
        <v>97</v>
      </c>
      <c r="B26" s="156" t="s">
        <v>98</v>
      </c>
      <c r="D26" s="68">
        <f>VLOOKUP(A26,'2016-17 disagg'!A26:BC234,43,FALSE)</f>
        <v>380507</v>
      </c>
      <c r="E26" s="73">
        <v>1681.1484190382446</v>
      </c>
      <c r="F26" s="55"/>
      <c r="G26" s="88">
        <v>388402.95263807982</v>
      </c>
      <c r="H26" s="81">
        <v>1705.0867697989358</v>
      </c>
      <c r="I26" s="90"/>
      <c r="J26" s="103">
        <f t="shared" si="7"/>
        <v>-2.0329280672171879E-2</v>
      </c>
      <c r="K26" s="126">
        <f t="shared" si="7"/>
        <v>-1.4039373939611299E-2</v>
      </c>
      <c r="L26" s="56">
        <v>393014</v>
      </c>
      <c r="M26" s="103">
        <v>1.7611606358894694E-2</v>
      </c>
      <c r="N26" s="97">
        <f>INDEX('Pace of change parameters'!$E$22:$I$22,1,$B$5)</f>
        <v>1.1119783131080974E-2</v>
      </c>
      <c r="O26" s="108">
        <f>MAX(IF(INDEX('Pace of change parameters'!$E$30:$I$30,1,$B$5)=1,(1+M26)*D26,D26),L26)</f>
        <v>393014</v>
      </c>
      <c r="P26" s="94">
        <f>IF(K26&lt;INDEX('Pace of change parameters'!$E$18:$I$18,1,$B$5),1,IF(K26&gt;INDEX('Pace of change parameters'!$E$19:$I$19,1,$B$5),0,(K26-INDEX('Pace of change parameters'!$E$19:$I$19,1,$B$5))/(INDEX('Pace of change parameters'!$E$18:$I$18,1,$B$5)-INDEX('Pace of change parameters'!$E$19:$I$19,1,$B$5))))</f>
        <v>0.5925645596767054</v>
      </c>
      <c r="Q26" s="57">
        <v>2.5889338504107462E-2</v>
      </c>
      <c r="R26" s="57">
        <v>1.934470772822916E-2</v>
      </c>
      <c r="S26" s="9">
        <f>MAX(IF(INDEX('Pace of change parameters'!$E$31:$I$31,1,$B$5)=1,D26*(1+Q26),D26),L26)</f>
        <v>393014</v>
      </c>
      <c r="T26" s="103">
        <f>IF(Q26&lt;INDEX('Pace of change parameters'!$E$24:$I$24,1,$B$5),INDEX('Pace of change parameters'!$E$24:$I$24,1,$B$5),Q26)</f>
        <v>2.5889338504107462E-2</v>
      </c>
      <c r="U26" s="132">
        <v>1.934470772822916E-2</v>
      </c>
      <c r="V26" s="117">
        <f t="shared" si="8"/>
        <v>393014</v>
      </c>
      <c r="W26" s="131">
        <f>IF(J26&gt;INDEX('Pace of change parameters'!$E$26:$I$26,1,$B$5),0,IF(J26&lt;INDEX('Pace of change parameters'!$E$25:$I$25,1,$B$5),1,(J26-INDEX('Pace of change parameters'!$E$26:$I$26,1,$B$5))/(INDEX('Pace of change parameters'!$E$25:$I$25,1,$B$5)-INDEX('Pace of change parameters'!$E$26:$I$26,1,$B$5))))</f>
        <v>1</v>
      </c>
      <c r="X26" s="132">
        <f>MIN(T26, T26+(INDEX('Pace of change parameters'!$E$27:$I$27,1,$B$5)-T26)*(1-W26))</f>
        <v>2.5889338504107462E-2</v>
      </c>
      <c r="Y26" s="132">
        <v>1.934470772822916E-2</v>
      </c>
      <c r="Z26" s="108">
        <f t="shared" si="9"/>
        <v>393014</v>
      </c>
      <c r="AA26" s="97">
        <f>MIN(VLOOKUP(A26,'2016-17 disagg'!$A$12:$BC$220,54,FALSE),MIN(0,VLOOKUP(A26,'2016-17 disagg'!$A$12:$BC$220,54,FALSE),-2.5%))</f>
        <v>-2.5000000000000001E-2</v>
      </c>
      <c r="AB26" s="99">
        <f t="shared" si="2"/>
        <v>389455.40615109319</v>
      </c>
      <c r="AC26" s="99">
        <f>MAX(IF(INDEX('Pace of change parameters'!$E$29:$I$29,1,$B$5)=1,MAX(AB26,Z26),Z26),L26)</f>
        <v>393014</v>
      </c>
      <c r="AD26" s="97">
        <f t="shared" si="3"/>
        <v>3.2869303324248866E-2</v>
      </c>
      <c r="AE26" s="146">
        <v>2.6280144068677957E-2</v>
      </c>
      <c r="AF26" s="56">
        <f t="shared" si="10"/>
        <v>393014</v>
      </c>
      <c r="AG26" s="56">
        <v>1725.3292416913998</v>
      </c>
      <c r="AH26" s="16">
        <f t="shared" si="4"/>
        <v>3.2869303324248866E-2</v>
      </c>
      <c r="AI26" s="16">
        <f t="shared" si="5"/>
        <v>2.6280144068677957E-2</v>
      </c>
      <c r="AJ26" s="56"/>
      <c r="AK26" s="56">
        <v>399441.44220624946</v>
      </c>
      <c r="AL26" s="56">
        <v>1753.5456766981013</v>
      </c>
      <c r="AM26" s="16">
        <f t="shared" si="11"/>
        <v>-1.6091075004006972E-2</v>
      </c>
      <c r="AN26" s="58">
        <f t="shared" si="11"/>
        <v>-1.6091075004007083E-2</v>
      </c>
      <c r="AP26" s="56">
        <f t="shared" si="12"/>
        <v>1</v>
      </c>
      <c r="AQ26" s="56">
        <f t="shared" si="6"/>
        <v>0</v>
      </c>
    </row>
    <row r="27" spans="1:43" x14ac:dyDescent="0.2">
      <c r="A27" s="156" t="s">
        <v>99</v>
      </c>
      <c r="B27" s="156" t="s">
        <v>100</v>
      </c>
      <c r="D27" s="68">
        <f>VLOOKUP(A27,'2016-17 disagg'!A27:BC235,43,FALSE)</f>
        <v>298557</v>
      </c>
      <c r="E27" s="73">
        <v>1657.0201247043501</v>
      </c>
      <c r="F27" s="55"/>
      <c r="G27" s="88">
        <v>292035.22410694731</v>
      </c>
      <c r="H27" s="81">
        <v>1610.2277088788137</v>
      </c>
      <c r="I27" s="90"/>
      <c r="J27" s="103">
        <f t="shared" si="7"/>
        <v>2.2332155009713306E-2</v>
      </c>
      <c r="K27" s="126">
        <f t="shared" si="7"/>
        <v>2.9059502309842555E-2</v>
      </c>
      <c r="L27" s="56">
        <v>306400</v>
      </c>
      <c r="M27" s="103">
        <v>1.7773348618405072E-2</v>
      </c>
      <c r="N27" s="97">
        <f>INDEX('Pace of change parameters'!$E$22:$I$22,1,$B$5)</f>
        <v>1.1119783131080974E-2</v>
      </c>
      <c r="O27" s="108">
        <f>MAX(IF(INDEX('Pace of change parameters'!$E$30:$I$30,1,$B$5)=1,(1+M27)*D27,D27),L27)</f>
        <v>306400</v>
      </c>
      <c r="P27" s="94">
        <f>IF(K27&lt;INDEX('Pace of change parameters'!$E$18:$I$18,1,$B$5),1,IF(K27&gt;INDEX('Pace of change parameters'!$E$19:$I$19,1,$B$5),0,(K27-INDEX('Pace of change parameters'!$E$19:$I$19,1,$B$5))/(INDEX('Pace of change parameters'!$E$18:$I$18,1,$B$5)-INDEX('Pace of change parameters'!$E$19:$I$19,1,$B$5))))</f>
        <v>0</v>
      </c>
      <c r="Q27" s="57">
        <v>1.7773348618405072E-2</v>
      </c>
      <c r="R27" s="57">
        <v>1.1119783131080974E-2</v>
      </c>
      <c r="S27" s="9">
        <f>MAX(IF(INDEX('Pace of change parameters'!$E$31:$I$31,1,$B$5)=1,D27*(1+Q27),D27),L27)</f>
        <v>306400</v>
      </c>
      <c r="T27" s="103">
        <f>IF(Q27&lt;INDEX('Pace of change parameters'!$E$24:$I$24,1,$B$5),INDEX('Pace of change parameters'!$E$24:$I$24,1,$B$5),Q27)</f>
        <v>1.9644681315626574E-2</v>
      </c>
      <c r="U27" s="132">
        <v>1.2978882225736177E-2</v>
      </c>
      <c r="V27" s="117">
        <f t="shared" si="8"/>
        <v>306400</v>
      </c>
      <c r="W27" s="131">
        <f>IF(J27&gt;INDEX('Pace of change parameters'!$E$26:$I$26,1,$B$5),0,IF(J27&lt;INDEX('Pace of change parameters'!$E$25:$I$25,1,$B$5),1,(J27-INDEX('Pace of change parameters'!$E$26:$I$26,1,$B$5))/(INDEX('Pace of change parameters'!$E$25:$I$25,1,$B$5)-INDEX('Pace of change parameters'!$E$26:$I$26,1,$B$5))))</f>
        <v>1</v>
      </c>
      <c r="X27" s="132">
        <f>MIN(T27, T27+(INDEX('Pace of change parameters'!$E$27:$I$27,1,$B$5)-T27)*(1-W27))</f>
        <v>1.9644681315626574E-2</v>
      </c>
      <c r="Y27" s="132">
        <v>1.2978882225736177E-2</v>
      </c>
      <c r="Z27" s="108">
        <f t="shared" si="9"/>
        <v>306400</v>
      </c>
      <c r="AA27" s="97">
        <f>MIN(VLOOKUP(A27,'2016-17 disagg'!$A$12:$BC$220,54,FALSE),MIN(0,VLOOKUP(A27,'2016-17 disagg'!$A$12:$BC$220,54,FALSE),-2.5%))</f>
        <v>-2.5000000000000001E-2</v>
      </c>
      <c r="AB27" s="99">
        <f t="shared" si="2"/>
        <v>292205.73561872391</v>
      </c>
      <c r="AC27" s="99">
        <f>MAX(IF(INDEX('Pace of change parameters'!$E$29:$I$29,1,$B$5)=1,MAX(AB27,Z27),Z27),L27)</f>
        <v>306400</v>
      </c>
      <c r="AD27" s="97">
        <f t="shared" si="3"/>
        <v>2.6269690544854063E-2</v>
      </c>
      <c r="AE27" s="146">
        <v>1.9560581288883272E-2</v>
      </c>
      <c r="AF27" s="56">
        <f t="shared" si="10"/>
        <v>306400</v>
      </c>
      <c r="AG27" s="56">
        <v>1689.4324015509453</v>
      </c>
      <c r="AH27" s="16">
        <f t="shared" si="4"/>
        <v>2.6269690544854063E-2</v>
      </c>
      <c r="AI27" s="16">
        <f t="shared" si="5"/>
        <v>1.9560581288883494E-2</v>
      </c>
      <c r="AJ27" s="56"/>
      <c r="AK27" s="56">
        <v>299698.19037817838</v>
      </c>
      <c r="AL27" s="56">
        <v>1652.4798743834147</v>
      </c>
      <c r="AM27" s="16">
        <f t="shared" si="11"/>
        <v>2.2361862156607737E-2</v>
      </c>
      <c r="AN27" s="58">
        <f t="shared" si="11"/>
        <v>2.2361862156607959E-2</v>
      </c>
      <c r="AP27" s="56">
        <f t="shared" si="12"/>
        <v>1</v>
      </c>
      <c r="AQ27" s="56">
        <f t="shared" si="6"/>
        <v>0</v>
      </c>
    </row>
    <row r="28" spans="1:43" x14ac:dyDescent="0.2">
      <c r="A28" s="156" t="s">
        <v>101</v>
      </c>
      <c r="B28" s="156" t="s">
        <v>102</v>
      </c>
      <c r="D28" s="68">
        <f>VLOOKUP(A28,'2016-17 disagg'!A28:BC236,43,FALSE)</f>
        <v>911701</v>
      </c>
      <c r="E28" s="73">
        <v>1747.8149491079128</v>
      </c>
      <c r="F28" s="55"/>
      <c r="G28" s="88">
        <v>881336.22494148999</v>
      </c>
      <c r="H28" s="81">
        <v>1689.6260421775044</v>
      </c>
      <c r="I28" s="90"/>
      <c r="J28" s="103">
        <f t="shared" si="7"/>
        <v>3.445311130893991E-2</v>
      </c>
      <c r="K28" s="126">
        <f t="shared" si="7"/>
        <v>3.4438926412034609E-2</v>
      </c>
      <c r="L28" s="56">
        <v>931745</v>
      </c>
      <c r="M28" s="103">
        <v>1.1105918191504971E-2</v>
      </c>
      <c r="N28" s="97">
        <f>INDEX('Pace of change parameters'!$E$22:$I$22,1,$B$5)</f>
        <v>1.1119783131080974E-2</v>
      </c>
      <c r="O28" s="108">
        <f>MAX(IF(INDEX('Pace of change parameters'!$E$30:$I$30,1,$B$5)=1,(1+M28)*D28,D28),L28)</f>
        <v>931745</v>
      </c>
      <c r="P28" s="94">
        <f>IF(K28&lt;INDEX('Pace of change parameters'!$E$18:$I$18,1,$B$5),1,IF(K28&gt;INDEX('Pace of change parameters'!$E$19:$I$19,1,$B$5),0,(K28-INDEX('Pace of change parameters'!$E$19:$I$19,1,$B$5))/(INDEX('Pace of change parameters'!$E$18:$I$18,1,$B$5)-INDEX('Pace of change parameters'!$E$19:$I$19,1,$B$5))))</f>
        <v>0</v>
      </c>
      <c r="Q28" s="57">
        <v>1.1105918191504971E-2</v>
      </c>
      <c r="R28" s="57">
        <v>1.1119783131080974E-2</v>
      </c>
      <c r="S28" s="9">
        <f>MAX(IF(INDEX('Pace of change parameters'!$E$31:$I$31,1,$B$5)=1,D28*(1+Q28),D28),L28)</f>
        <v>931745</v>
      </c>
      <c r="T28" s="103">
        <f>IF(Q28&lt;INDEX('Pace of change parameters'!$E$24:$I$24,1,$B$5),INDEX('Pace of change parameters'!$E$24:$I$24,1,$B$5),Q28)</f>
        <v>1.9644681315626574E-2</v>
      </c>
      <c r="U28" s="132">
        <v>1.9658663344255922E-2</v>
      </c>
      <c r="V28" s="117">
        <f t="shared" si="8"/>
        <v>931745</v>
      </c>
      <c r="W28" s="131">
        <f>IF(J28&gt;INDEX('Pace of change parameters'!$E$26:$I$26,1,$B$5),0,IF(J28&lt;INDEX('Pace of change parameters'!$E$25:$I$25,1,$B$5),1,(J28-INDEX('Pace of change parameters'!$E$26:$I$26,1,$B$5))/(INDEX('Pace of change parameters'!$E$25:$I$25,1,$B$5)-INDEX('Pace of change parameters'!$E$26:$I$26,1,$B$5))))</f>
        <v>1</v>
      </c>
      <c r="X28" s="132">
        <f>MIN(T28, T28+(INDEX('Pace of change parameters'!$E$27:$I$27,1,$B$5)-T28)*(1-W28))</f>
        <v>1.9644681315626574E-2</v>
      </c>
      <c r="Y28" s="132">
        <v>1.9658663344255922E-2</v>
      </c>
      <c r="Z28" s="108">
        <f t="shared" si="9"/>
        <v>931745</v>
      </c>
      <c r="AA28" s="97">
        <f>MIN(VLOOKUP(A28,'2016-17 disagg'!$A$12:$BC$220,54,FALSE),MIN(0,VLOOKUP(A28,'2016-17 disagg'!$A$12:$BC$220,54,FALSE),-2.5%))</f>
        <v>-2.5000000000000001E-2</v>
      </c>
      <c r="AB28" s="99">
        <f t="shared" si="2"/>
        <v>881326.01620901073</v>
      </c>
      <c r="AC28" s="99">
        <f>MAX(IF(INDEX('Pace of change parameters'!$E$29:$I$29,1,$B$5)=1,MAX(AB28,Z28),Z28),L28)</f>
        <v>931745</v>
      </c>
      <c r="AD28" s="97">
        <f t="shared" si="3"/>
        <v>2.1985278068138658E-2</v>
      </c>
      <c r="AE28" s="146">
        <v>2.1999292192547371E-2</v>
      </c>
      <c r="AF28" s="56">
        <f t="shared" si="10"/>
        <v>931745</v>
      </c>
      <c r="AG28" s="56">
        <v>1786.2656408718401</v>
      </c>
      <c r="AH28" s="16">
        <f t="shared" si="4"/>
        <v>2.1985278068138658E-2</v>
      </c>
      <c r="AI28" s="16">
        <f t="shared" si="5"/>
        <v>2.1999292192547371E-2</v>
      </c>
      <c r="AJ28" s="56"/>
      <c r="AK28" s="56">
        <v>903924.11918872898</v>
      </c>
      <c r="AL28" s="56">
        <v>1732.92971366862</v>
      </c>
      <c r="AM28" s="16">
        <f t="shared" si="11"/>
        <v>3.0777894096066571E-2</v>
      </c>
      <c r="AN28" s="58">
        <f t="shared" si="11"/>
        <v>3.0777894096066793E-2</v>
      </c>
      <c r="AP28" s="56">
        <f t="shared" si="12"/>
        <v>1</v>
      </c>
      <c r="AQ28" s="56">
        <f t="shared" si="6"/>
        <v>0</v>
      </c>
    </row>
    <row r="29" spans="1:43" x14ac:dyDescent="0.2">
      <c r="A29" s="156" t="s">
        <v>103</v>
      </c>
      <c r="B29" s="156" t="s">
        <v>104</v>
      </c>
      <c r="D29" s="68">
        <f>VLOOKUP(A29,'2016-17 disagg'!A29:BC237,43,FALSE)</f>
        <v>676216</v>
      </c>
      <c r="E29" s="73">
        <v>1803.0750728523917</v>
      </c>
      <c r="F29" s="55"/>
      <c r="G29" s="88">
        <v>655391.24375756236</v>
      </c>
      <c r="H29" s="81">
        <v>1743.8741334951276</v>
      </c>
      <c r="I29" s="90"/>
      <c r="J29" s="103">
        <f t="shared" si="7"/>
        <v>3.1774541452587624E-2</v>
      </c>
      <c r="K29" s="126">
        <f t="shared" si="7"/>
        <v>3.3947942813173038E-2</v>
      </c>
      <c r="L29" s="56">
        <v>691935</v>
      </c>
      <c r="M29" s="103">
        <v>1.3249675878074019E-2</v>
      </c>
      <c r="N29" s="97">
        <f>INDEX('Pace of change parameters'!$E$22:$I$22,1,$B$5)</f>
        <v>1.1119783131080974E-2</v>
      </c>
      <c r="O29" s="108">
        <f>MAX(IF(INDEX('Pace of change parameters'!$E$30:$I$30,1,$B$5)=1,(1+M29)*D29,D29),L29)</f>
        <v>691935</v>
      </c>
      <c r="P29" s="94">
        <f>IF(K29&lt;INDEX('Pace of change parameters'!$E$18:$I$18,1,$B$5),1,IF(K29&gt;INDEX('Pace of change parameters'!$E$19:$I$19,1,$B$5),0,(K29-INDEX('Pace of change parameters'!$E$19:$I$19,1,$B$5))/(INDEX('Pace of change parameters'!$E$18:$I$18,1,$B$5)-INDEX('Pace of change parameters'!$E$19:$I$19,1,$B$5))))</f>
        <v>0</v>
      </c>
      <c r="Q29" s="57">
        <v>1.3249675878074019E-2</v>
      </c>
      <c r="R29" s="57">
        <v>1.1119783131080974E-2</v>
      </c>
      <c r="S29" s="9">
        <f>MAX(IF(INDEX('Pace of change parameters'!$E$31:$I$31,1,$B$5)=1,D29*(1+Q29),D29),L29)</f>
        <v>691935</v>
      </c>
      <c r="T29" s="103">
        <f>IF(Q29&lt;INDEX('Pace of change parameters'!$E$24:$I$24,1,$B$5),INDEX('Pace of change parameters'!$E$24:$I$24,1,$B$5),Q29)</f>
        <v>1.9644681315626574E-2</v>
      </c>
      <c r="U29" s="132">
        <v>1.7501346002578355E-2</v>
      </c>
      <c r="V29" s="117">
        <f t="shared" si="8"/>
        <v>691935</v>
      </c>
      <c r="W29" s="131">
        <f>IF(J29&gt;INDEX('Pace of change parameters'!$E$26:$I$26,1,$B$5),0,IF(J29&lt;INDEX('Pace of change parameters'!$E$25:$I$25,1,$B$5),1,(J29-INDEX('Pace of change parameters'!$E$26:$I$26,1,$B$5))/(INDEX('Pace of change parameters'!$E$25:$I$25,1,$B$5)-INDEX('Pace of change parameters'!$E$26:$I$26,1,$B$5))))</f>
        <v>1</v>
      </c>
      <c r="X29" s="132">
        <f>MIN(T29, T29+(INDEX('Pace of change parameters'!$E$27:$I$27,1,$B$5)-T29)*(1-W29))</f>
        <v>1.9644681315626574E-2</v>
      </c>
      <c r="Y29" s="132">
        <v>1.7501346002578355E-2</v>
      </c>
      <c r="Z29" s="108">
        <f t="shared" si="9"/>
        <v>691935</v>
      </c>
      <c r="AA29" s="97">
        <f>MIN(VLOOKUP(A29,'2016-17 disagg'!$A$12:$BC$220,54,FALSE),MIN(0,VLOOKUP(A29,'2016-17 disagg'!$A$12:$BC$220,54,FALSE),-2.5%))</f>
        <v>-2.5000000000000001E-2</v>
      </c>
      <c r="AB29" s="99">
        <f t="shared" si="2"/>
        <v>655789.20370199322</v>
      </c>
      <c r="AC29" s="99">
        <f>MAX(IF(INDEX('Pace of change parameters'!$E$29:$I$29,1,$B$5)=1,MAX(AB29,Z29),Z29),L29)</f>
        <v>691935</v>
      </c>
      <c r="AD29" s="97">
        <f t="shared" si="3"/>
        <v>2.3245531013758924E-2</v>
      </c>
      <c r="AE29" s="146">
        <v>2.1094626565641983E-2</v>
      </c>
      <c r="AF29" s="56">
        <f t="shared" si="10"/>
        <v>691935</v>
      </c>
      <c r="AG29" s="56">
        <v>1841.1102681840307</v>
      </c>
      <c r="AH29" s="16">
        <f t="shared" si="4"/>
        <v>2.3245531013758924E-2</v>
      </c>
      <c r="AI29" s="16">
        <f t="shared" si="5"/>
        <v>2.1094626565641983E-2</v>
      </c>
      <c r="AJ29" s="56"/>
      <c r="AK29" s="56">
        <v>672604.31148922385</v>
      </c>
      <c r="AL29" s="56">
        <v>1789.6749034340801</v>
      </c>
      <c r="AM29" s="16">
        <f t="shared" si="11"/>
        <v>2.8740060360266995E-2</v>
      </c>
      <c r="AN29" s="58">
        <f t="shared" si="11"/>
        <v>2.8740060360266995E-2</v>
      </c>
      <c r="AP29" s="56">
        <f t="shared" si="12"/>
        <v>1</v>
      </c>
      <c r="AQ29" s="56">
        <f t="shared" si="6"/>
        <v>0</v>
      </c>
    </row>
    <row r="30" spans="1:43" x14ac:dyDescent="0.2">
      <c r="A30" s="156" t="s">
        <v>105</v>
      </c>
      <c r="B30" s="156" t="s">
        <v>106</v>
      </c>
      <c r="D30" s="68">
        <f>VLOOKUP(A30,'2016-17 disagg'!A30:BC238,43,FALSE)</f>
        <v>328990</v>
      </c>
      <c r="E30" s="73">
        <v>1588.4539823462833</v>
      </c>
      <c r="F30" s="55"/>
      <c r="G30" s="88">
        <v>327358.06388826412</v>
      </c>
      <c r="H30" s="81">
        <v>1573.3899853056594</v>
      </c>
      <c r="I30" s="90"/>
      <c r="J30" s="103">
        <f t="shared" si="7"/>
        <v>4.9851715652036166E-3</v>
      </c>
      <c r="K30" s="126">
        <f t="shared" si="7"/>
        <v>9.5742296451044595E-3</v>
      </c>
      <c r="L30" s="56">
        <v>337003</v>
      </c>
      <c r="M30" s="103">
        <v>1.5736853652926319E-2</v>
      </c>
      <c r="N30" s="97">
        <f>INDEX('Pace of change parameters'!$E$22:$I$22,1,$B$5)</f>
        <v>1.1119783131080974E-2</v>
      </c>
      <c r="O30" s="108">
        <f>MAX(IF(INDEX('Pace of change parameters'!$E$30:$I$30,1,$B$5)=1,(1+M30)*D30,D30),L30)</f>
        <v>337003</v>
      </c>
      <c r="P30" s="94">
        <f>IF(K30&lt;INDEX('Pace of change parameters'!$E$18:$I$18,1,$B$5),1,IF(K30&gt;INDEX('Pace of change parameters'!$E$19:$I$19,1,$B$5),0,(K30-INDEX('Pace of change parameters'!$E$19:$I$19,1,$B$5))/(INDEX('Pace of change parameters'!$E$18:$I$18,1,$B$5)-INDEX('Pace of change parameters'!$E$19:$I$19,1,$B$5))))</f>
        <v>0.24847287326814127</v>
      </c>
      <c r="Q30" s="57">
        <v>1.9201459517734776E-2</v>
      </c>
      <c r="R30" s="57">
        <v>1.456864049808626E-2</v>
      </c>
      <c r="S30" s="9">
        <f>MAX(IF(INDEX('Pace of change parameters'!$E$31:$I$31,1,$B$5)=1,D30*(1+Q30),D30),L30)</f>
        <v>337003</v>
      </c>
      <c r="T30" s="103">
        <f>IF(Q30&lt;INDEX('Pace of change parameters'!$E$24:$I$24,1,$B$5),INDEX('Pace of change parameters'!$E$24:$I$24,1,$B$5),Q30)</f>
        <v>1.9644681315626574E-2</v>
      </c>
      <c r="U30" s="132">
        <v>1.5009847614429139E-2</v>
      </c>
      <c r="V30" s="117">
        <f t="shared" si="8"/>
        <v>337003</v>
      </c>
      <c r="W30" s="131">
        <f>IF(J30&gt;INDEX('Pace of change parameters'!$E$26:$I$26,1,$B$5),0,IF(J30&lt;INDEX('Pace of change parameters'!$E$25:$I$25,1,$B$5),1,(J30-INDEX('Pace of change parameters'!$E$26:$I$26,1,$B$5))/(INDEX('Pace of change parameters'!$E$25:$I$25,1,$B$5)-INDEX('Pace of change parameters'!$E$26:$I$26,1,$B$5))))</f>
        <v>1</v>
      </c>
      <c r="X30" s="132">
        <f>MIN(T30, T30+(INDEX('Pace of change parameters'!$E$27:$I$27,1,$B$5)-T30)*(1-W30))</f>
        <v>1.9644681315626574E-2</v>
      </c>
      <c r="Y30" s="132">
        <v>1.5009847614429139E-2</v>
      </c>
      <c r="Z30" s="108">
        <f t="shared" si="9"/>
        <v>337003</v>
      </c>
      <c r="AA30" s="97">
        <f>MIN(VLOOKUP(A30,'2016-17 disagg'!$A$12:$BC$220,54,FALSE),MIN(0,VLOOKUP(A30,'2016-17 disagg'!$A$12:$BC$220,54,FALSE),-2.5%))</f>
        <v>-2.5000000000000001E-2</v>
      </c>
      <c r="AB30" s="99">
        <f t="shared" si="2"/>
        <v>327533.70226448367</v>
      </c>
      <c r="AC30" s="99">
        <f>MAX(IF(INDEX('Pace of change parameters'!$E$29:$I$29,1,$B$5)=1,MAX(AB30,Z30),Z30),L30)</f>
        <v>337003</v>
      </c>
      <c r="AD30" s="97">
        <f t="shared" si="3"/>
        <v>2.4356363415301452E-2</v>
      </c>
      <c r="AE30" s="146">
        <v>1.9700112583818319E-2</v>
      </c>
      <c r="AF30" s="56">
        <f t="shared" si="10"/>
        <v>337003</v>
      </c>
      <c r="AG30" s="56">
        <v>1619.7467046327197</v>
      </c>
      <c r="AH30" s="16">
        <f t="shared" si="4"/>
        <v>2.4356363415301452E-2</v>
      </c>
      <c r="AI30" s="16">
        <f t="shared" si="5"/>
        <v>1.9700112583818319E-2</v>
      </c>
      <c r="AJ30" s="56"/>
      <c r="AK30" s="56">
        <v>335932.00232254737</v>
      </c>
      <c r="AL30" s="56">
        <v>1614.5991393032621</v>
      </c>
      <c r="AM30" s="16">
        <f t="shared" si="11"/>
        <v>3.1881382840814876E-3</v>
      </c>
      <c r="AN30" s="58">
        <f t="shared" si="11"/>
        <v>3.1881382840814876E-3</v>
      </c>
      <c r="AP30" s="56">
        <f t="shared" si="12"/>
        <v>1</v>
      </c>
      <c r="AQ30" s="56">
        <f t="shared" si="6"/>
        <v>0</v>
      </c>
    </row>
    <row r="31" spans="1:43" x14ac:dyDescent="0.2">
      <c r="A31" s="156" t="s">
        <v>107</v>
      </c>
      <c r="B31" s="156" t="s">
        <v>108</v>
      </c>
      <c r="D31" s="68">
        <f>VLOOKUP(A31,'2016-17 disagg'!A31:BC239,43,FALSE)</f>
        <v>274519</v>
      </c>
      <c r="E31" s="73">
        <v>1812.9722353001141</v>
      </c>
      <c r="F31" s="55"/>
      <c r="G31" s="88">
        <v>265689.08879524237</v>
      </c>
      <c r="H31" s="81">
        <v>1748.5384160631704</v>
      </c>
      <c r="I31" s="90"/>
      <c r="J31" s="103">
        <f t="shared" si="7"/>
        <v>3.3234000104394701E-2</v>
      </c>
      <c r="K31" s="126">
        <f t="shared" si="7"/>
        <v>3.6850102145319807E-2</v>
      </c>
      <c r="L31" s="56">
        <v>280850</v>
      </c>
      <c r="M31" s="103">
        <v>1.4658490056163487E-2</v>
      </c>
      <c r="N31" s="97">
        <f>INDEX('Pace of change parameters'!$E$22:$I$22,1,$B$5)</f>
        <v>1.1119783131080974E-2</v>
      </c>
      <c r="O31" s="108">
        <f>MAX(IF(INDEX('Pace of change parameters'!$E$30:$I$30,1,$B$5)=1,(1+M31)*D31,D31),L31)</f>
        <v>280850</v>
      </c>
      <c r="P31" s="94">
        <f>IF(K31&lt;INDEX('Pace of change parameters'!$E$18:$I$18,1,$B$5),1,IF(K31&gt;INDEX('Pace of change parameters'!$E$19:$I$19,1,$B$5),0,(K31-INDEX('Pace of change parameters'!$E$19:$I$19,1,$B$5))/(INDEX('Pace of change parameters'!$E$18:$I$18,1,$B$5)-INDEX('Pace of change parameters'!$E$19:$I$19,1,$B$5))))</f>
        <v>0</v>
      </c>
      <c r="Q31" s="57">
        <v>1.4658490056163487E-2</v>
      </c>
      <c r="R31" s="57">
        <v>1.1119783131080974E-2</v>
      </c>
      <c r="S31" s="9">
        <f>MAX(IF(INDEX('Pace of change parameters'!$E$31:$I$31,1,$B$5)=1,D31*(1+Q31),D31),L31)</f>
        <v>280850</v>
      </c>
      <c r="T31" s="103">
        <f>IF(Q31&lt;INDEX('Pace of change parameters'!$E$24:$I$24,1,$B$5),INDEX('Pace of change parameters'!$E$24:$I$24,1,$B$5),Q31)</f>
        <v>1.9644681315626574E-2</v>
      </c>
      <c r="U31" s="132">
        <v>1.6088584628656255E-2</v>
      </c>
      <c r="V31" s="117">
        <f t="shared" si="8"/>
        <v>280850</v>
      </c>
      <c r="W31" s="131">
        <f>IF(J31&gt;INDEX('Pace of change parameters'!$E$26:$I$26,1,$B$5),0,IF(J31&lt;INDEX('Pace of change parameters'!$E$25:$I$25,1,$B$5),1,(J31-INDEX('Pace of change parameters'!$E$26:$I$26,1,$B$5))/(INDEX('Pace of change parameters'!$E$25:$I$25,1,$B$5)-INDEX('Pace of change parameters'!$E$26:$I$26,1,$B$5))))</f>
        <v>1</v>
      </c>
      <c r="X31" s="132">
        <f>MIN(T31, T31+(INDEX('Pace of change parameters'!$E$27:$I$27,1,$B$5)-T31)*(1-W31))</f>
        <v>1.9644681315626574E-2</v>
      </c>
      <c r="Y31" s="132">
        <v>1.6088584628656255E-2</v>
      </c>
      <c r="Z31" s="108">
        <f t="shared" si="9"/>
        <v>280850</v>
      </c>
      <c r="AA31" s="97">
        <f>MIN(VLOOKUP(A31,'2016-17 disagg'!$A$12:$BC$220,54,FALSE),MIN(0,VLOOKUP(A31,'2016-17 disagg'!$A$12:$BC$220,54,FALSE),-2.5%))</f>
        <v>-2.5000000000000001E-2</v>
      </c>
      <c r="AB31" s="99">
        <f t="shared" si="2"/>
        <v>265714.71099680563</v>
      </c>
      <c r="AC31" s="99">
        <f>MAX(IF(INDEX('Pace of change parameters'!$E$29:$I$29,1,$B$5)=1,MAX(AB31,Z31),Z31),L31)</f>
        <v>280850</v>
      </c>
      <c r="AD31" s="97">
        <f t="shared" si="3"/>
        <v>2.3062155989203026E-2</v>
      </c>
      <c r="AE31" s="146">
        <v>1.9494140571534313E-2</v>
      </c>
      <c r="AF31" s="56">
        <f t="shared" si="10"/>
        <v>280850</v>
      </c>
      <c r="AG31" s="56">
        <v>1848.3145709073433</v>
      </c>
      <c r="AH31" s="16">
        <f t="shared" si="4"/>
        <v>2.3062155989203026E-2</v>
      </c>
      <c r="AI31" s="16">
        <f t="shared" si="5"/>
        <v>1.9494140571534313E-2</v>
      </c>
      <c r="AJ31" s="56"/>
      <c r="AK31" s="56">
        <v>272527.90871467243</v>
      </c>
      <c r="AL31" s="56">
        <v>1793.5456815247835</v>
      </c>
      <c r="AM31" s="16">
        <f t="shared" si="11"/>
        <v>3.0536657051298599E-2</v>
      </c>
      <c r="AN31" s="58">
        <f t="shared" si="11"/>
        <v>3.0536657051298599E-2</v>
      </c>
      <c r="AP31" s="56">
        <f t="shared" si="12"/>
        <v>1</v>
      </c>
      <c r="AQ31" s="56">
        <f t="shared" si="6"/>
        <v>0</v>
      </c>
    </row>
    <row r="32" spans="1:43" x14ac:dyDescent="0.2">
      <c r="A32" s="156" t="s">
        <v>109</v>
      </c>
      <c r="B32" s="156" t="s">
        <v>110</v>
      </c>
      <c r="D32" s="68">
        <f>VLOOKUP(A32,'2016-17 disagg'!A32:BC240,43,FALSE)</f>
        <v>344624</v>
      </c>
      <c r="E32" s="73">
        <v>1630.275542701941</v>
      </c>
      <c r="F32" s="55"/>
      <c r="G32" s="88">
        <v>347292.73395933275</v>
      </c>
      <c r="H32" s="81">
        <v>1639.619383364329</v>
      </c>
      <c r="I32" s="90"/>
      <c r="J32" s="103">
        <f t="shared" si="7"/>
        <v>-7.6843933039072443E-3</v>
      </c>
      <c r="K32" s="126">
        <f t="shared" si="7"/>
        <v>-5.6987864117679088E-3</v>
      </c>
      <c r="L32" s="56">
        <v>354312</v>
      </c>
      <c r="M32" s="103">
        <v>1.3143016865001744E-2</v>
      </c>
      <c r="N32" s="97">
        <f>INDEX('Pace of change parameters'!$E$22:$I$22,1,$B$5)</f>
        <v>1.1119783131080974E-2</v>
      </c>
      <c r="O32" s="108">
        <f>MAX(IF(INDEX('Pace of change parameters'!$E$30:$I$30,1,$B$5)=1,(1+M32)*D32,D32),L32)</f>
        <v>354312</v>
      </c>
      <c r="P32" s="94">
        <f>IF(K32&lt;INDEX('Pace of change parameters'!$E$18:$I$18,1,$B$5),1,IF(K32&gt;INDEX('Pace of change parameters'!$E$19:$I$19,1,$B$5),0,(K32-INDEX('Pace of change parameters'!$E$19:$I$19,1,$B$5))/(INDEX('Pace of change parameters'!$E$18:$I$18,1,$B$5)-INDEX('Pace of change parameters'!$E$19:$I$19,1,$B$5))))</f>
        <v>0.47102754742875402</v>
      </c>
      <c r="Q32" s="57">
        <v>1.9694063731918066E-2</v>
      </c>
      <c r="R32" s="57">
        <v>1.7657747640627219E-2</v>
      </c>
      <c r="S32" s="9">
        <f>MAX(IF(INDEX('Pace of change parameters'!$E$31:$I$31,1,$B$5)=1,D32*(1+Q32),D32),L32)</f>
        <v>354312</v>
      </c>
      <c r="T32" s="103">
        <f>IF(Q32&lt;INDEX('Pace of change parameters'!$E$24:$I$24,1,$B$5),INDEX('Pace of change parameters'!$E$24:$I$24,1,$B$5),Q32)</f>
        <v>1.9694063731918066E-2</v>
      </c>
      <c r="U32" s="132">
        <v>1.7657747640627219E-2</v>
      </c>
      <c r="V32" s="117">
        <f t="shared" si="8"/>
        <v>354312</v>
      </c>
      <c r="W32" s="131">
        <f>IF(J32&gt;INDEX('Pace of change parameters'!$E$26:$I$26,1,$B$5),0,IF(J32&lt;INDEX('Pace of change parameters'!$E$25:$I$25,1,$B$5),1,(J32-INDEX('Pace of change parameters'!$E$26:$I$26,1,$B$5))/(INDEX('Pace of change parameters'!$E$25:$I$25,1,$B$5)-INDEX('Pace of change parameters'!$E$26:$I$26,1,$B$5))))</f>
        <v>1</v>
      </c>
      <c r="X32" s="132">
        <f>MIN(T32, T32+(INDEX('Pace of change parameters'!$E$27:$I$27,1,$B$5)-T32)*(1-W32))</f>
        <v>1.9694063731918066E-2</v>
      </c>
      <c r="Y32" s="132">
        <v>1.7657747640627219E-2</v>
      </c>
      <c r="Z32" s="108">
        <f t="shared" si="9"/>
        <v>354312</v>
      </c>
      <c r="AA32" s="97">
        <f>MIN(VLOOKUP(A32,'2016-17 disagg'!$A$12:$BC$220,54,FALSE),MIN(0,VLOOKUP(A32,'2016-17 disagg'!$A$12:$BC$220,54,FALSE),-2.5%))</f>
        <v>-2.5000000000000001E-2</v>
      </c>
      <c r="AB32" s="99">
        <f t="shared" si="2"/>
        <v>347545.3163060245</v>
      </c>
      <c r="AC32" s="99">
        <f>MAX(IF(INDEX('Pace of change parameters'!$E$29:$I$29,1,$B$5)=1,MAX(AB32,Z32),Z32),L32)</f>
        <v>354312</v>
      </c>
      <c r="AD32" s="97">
        <f t="shared" si="3"/>
        <v>2.8111797205069955E-2</v>
      </c>
      <c r="AE32" s="146">
        <v>2.6058671006970346E-2</v>
      </c>
      <c r="AF32" s="56">
        <f t="shared" si="10"/>
        <v>354312</v>
      </c>
      <c r="AG32" s="56">
        <v>1672.7583567199208</v>
      </c>
      <c r="AH32" s="16">
        <f t="shared" si="4"/>
        <v>2.8111797205069955E-2</v>
      </c>
      <c r="AI32" s="16">
        <f t="shared" si="5"/>
        <v>2.6058671006970346E-2</v>
      </c>
      <c r="AJ32" s="56"/>
      <c r="AK32" s="56">
        <v>356456.73467284563</v>
      </c>
      <c r="AL32" s="56">
        <v>1682.8839602754017</v>
      </c>
      <c r="AM32" s="16">
        <f t="shared" si="11"/>
        <v>-6.0168162478794196E-3</v>
      </c>
      <c r="AN32" s="58">
        <f t="shared" si="11"/>
        <v>-6.0168162478795306E-3</v>
      </c>
      <c r="AP32" s="56">
        <f t="shared" si="12"/>
        <v>1</v>
      </c>
      <c r="AQ32" s="56">
        <f t="shared" si="6"/>
        <v>0</v>
      </c>
    </row>
    <row r="33" spans="1:43" x14ac:dyDescent="0.2">
      <c r="A33" s="156" t="s">
        <v>111</v>
      </c>
      <c r="B33" s="156" t="s">
        <v>112</v>
      </c>
      <c r="D33" s="68">
        <f>VLOOKUP(A33,'2016-17 disagg'!A33:BC241,43,FALSE)</f>
        <v>242331</v>
      </c>
      <c r="E33" s="73">
        <v>1860.4670783811937</v>
      </c>
      <c r="F33" s="55"/>
      <c r="G33" s="88">
        <v>234487.77970824076</v>
      </c>
      <c r="H33" s="81">
        <v>1796.4485861483872</v>
      </c>
      <c r="I33" s="90"/>
      <c r="J33" s="103">
        <f t="shared" si="7"/>
        <v>3.3448311470721803E-2</v>
      </c>
      <c r="K33" s="126">
        <f t="shared" si="7"/>
        <v>3.5636139395485378E-2</v>
      </c>
      <c r="L33" s="56">
        <v>247906</v>
      </c>
      <c r="M33" s="103">
        <v>1.3260341175698409E-2</v>
      </c>
      <c r="N33" s="97">
        <f>INDEX('Pace of change parameters'!$E$22:$I$22,1,$B$5)</f>
        <v>1.1119783131080974E-2</v>
      </c>
      <c r="O33" s="108">
        <f>MAX(IF(INDEX('Pace of change parameters'!$E$30:$I$30,1,$B$5)=1,(1+M33)*D33,D33),L33)</f>
        <v>247906</v>
      </c>
      <c r="P33" s="94">
        <f>IF(K33&lt;INDEX('Pace of change parameters'!$E$18:$I$18,1,$B$5),1,IF(K33&gt;INDEX('Pace of change parameters'!$E$19:$I$19,1,$B$5),0,(K33-INDEX('Pace of change parameters'!$E$19:$I$19,1,$B$5))/(INDEX('Pace of change parameters'!$E$18:$I$18,1,$B$5)-INDEX('Pace of change parameters'!$E$19:$I$19,1,$B$5))))</f>
        <v>0</v>
      </c>
      <c r="Q33" s="57">
        <v>1.3260341175698409E-2</v>
      </c>
      <c r="R33" s="57">
        <v>1.1119783131080974E-2</v>
      </c>
      <c r="S33" s="9">
        <f>MAX(IF(INDEX('Pace of change parameters'!$E$31:$I$31,1,$B$5)=1,D33*(1+Q33),D33),L33)</f>
        <v>247906</v>
      </c>
      <c r="T33" s="103">
        <f>IF(Q33&lt;INDEX('Pace of change parameters'!$E$24:$I$24,1,$B$5),INDEX('Pace of change parameters'!$E$24:$I$24,1,$B$5),Q33)</f>
        <v>1.9644681315626574E-2</v>
      </c>
      <c r="U33" s="132">
        <v>1.7490636065311982E-2</v>
      </c>
      <c r="V33" s="117">
        <f t="shared" si="8"/>
        <v>247906</v>
      </c>
      <c r="W33" s="131">
        <f>IF(J33&gt;INDEX('Pace of change parameters'!$E$26:$I$26,1,$B$5),0,IF(J33&lt;INDEX('Pace of change parameters'!$E$25:$I$25,1,$B$5),1,(J33-INDEX('Pace of change parameters'!$E$26:$I$26,1,$B$5))/(INDEX('Pace of change parameters'!$E$25:$I$25,1,$B$5)-INDEX('Pace of change parameters'!$E$26:$I$26,1,$B$5))))</f>
        <v>1</v>
      </c>
      <c r="X33" s="132">
        <f>MIN(T33, T33+(INDEX('Pace of change parameters'!$E$27:$I$27,1,$B$5)-T33)*(1-W33))</f>
        <v>1.9644681315626574E-2</v>
      </c>
      <c r="Y33" s="132">
        <v>1.7490636065311982E-2</v>
      </c>
      <c r="Z33" s="108">
        <f t="shared" si="9"/>
        <v>247906</v>
      </c>
      <c r="AA33" s="97">
        <f>MIN(VLOOKUP(A33,'2016-17 disagg'!$A$12:$BC$220,54,FALSE),MIN(0,VLOOKUP(A33,'2016-17 disagg'!$A$12:$BC$220,54,FALSE),-2.5%))</f>
        <v>-2.5000000000000001E-2</v>
      </c>
      <c r="AB33" s="99">
        <f t="shared" si="2"/>
        <v>234520.17762763382</v>
      </c>
      <c r="AC33" s="99">
        <f>MAX(IF(INDEX('Pace of change parameters'!$E$29:$I$29,1,$B$5)=1,MAX(AB33,Z33),Z33),L33)</f>
        <v>247906</v>
      </c>
      <c r="AD33" s="97">
        <f t="shared" si="3"/>
        <v>2.3005723576430492E-2</v>
      </c>
      <c r="AE33" s="146">
        <v>2.0844577973168743E-2</v>
      </c>
      <c r="AF33" s="56">
        <f t="shared" si="10"/>
        <v>247906</v>
      </c>
      <c r="AG33" s="56">
        <v>1899.2477294630241</v>
      </c>
      <c r="AH33" s="16">
        <f t="shared" si="4"/>
        <v>2.3005723576430492E-2</v>
      </c>
      <c r="AI33" s="16">
        <f t="shared" si="5"/>
        <v>2.0844577973168965E-2</v>
      </c>
      <c r="AJ33" s="56"/>
      <c r="AK33" s="56">
        <v>240533.51551552187</v>
      </c>
      <c r="AL33" s="56">
        <v>1842.7659403266318</v>
      </c>
      <c r="AM33" s="16">
        <f t="shared" si="11"/>
        <v>3.0650549752607725E-2</v>
      </c>
      <c r="AN33" s="58">
        <f t="shared" si="11"/>
        <v>3.0650549752607725E-2</v>
      </c>
      <c r="AP33" s="56">
        <f t="shared" si="12"/>
        <v>1</v>
      </c>
      <c r="AQ33" s="56">
        <f t="shared" si="6"/>
        <v>0</v>
      </c>
    </row>
    <row r="34" spans="1:43" x14ac:dyDescent="0.2">
      <c r="A34" s="156" t="s">
        <v>113</v>
      </c>
      <c r="B34" s="156" t="s">
        <v>114</v>
      </c>
      <c r="D34" s="68">
        <f>VLOOKUP(A34,'2016-17 disagg'!A34:BC242,43,FALSE)</f>
        <v>406055</v>
      </c>
      <c r="E34" s="73">
        <v>1782.4791091434386</v>
      </c>
      <c r="F34" s="55"/>
      <c r="G34" s="88">
        <v>413833.71568745945</v>
      </c>
      <c r="H34" s="81">
        <v>1812.259431928489</v>
      </c>
      <c r="I34" s="90"/>
      <c r="J34" s="103">
        <f t="shared" si="7"/>
        <v>-1.8796718084067798E-2</v>
      </c>
      <c r="K34" s="126">
        <f t="shared" si="7"/>
        <v>-1.6432703982872998E-2</v>
      </c>
      <c r="L34" s="56">
        <v>415748</v>
      </c>
      <c r="M34" s="103">
        <v>1.3555875090182079E-2</v>
      </c>
      <c r="N34" s="97">
        <f>INDEX('Pace of change parameters'!$E$22:$I$22,1,$B$5)</f>
        <v>1.1119783131080974E-2</v>
      </c>
      <c r="O34" s="108">
        <f>MAX(IF(INDEX('Pace of change parameters'!$E$30:$I$30,1,$B$5)=1,(1+M34)*D34,D34),L34)</f>
        <v>415748</v>
      </c>
      <c r="P34" s="94">
        <f>IF(K34&lt;INDEX('Pace of change parameters'!$E$18:$I$18,1,$B$5),1,IF(K34&gt;INDEX('Pace of change parameters'!$E$19:$I$19,1,$B$5),0,(K34-INDEX('Pace of change parameters'!$E$19:$I$19,1,$B$5))/(INDEX('Pace of change parameters'!$E$18:$I$18,1,$B$5)-INDEX('Pace of change parameters'!$E$19:$I$19,1,$B$5))))</f>
        <v>0.62743958278631828</v>
      </c>
      <c r="Q34" s="57">
        <v>2.2285855168210134E-2</v>
      </c>
      <c r="R34" s="57">
        <v>1.9828780612299202E-2</v>
      </c>
      <c r="S34" s="9">
        <f>MAX(IF(INDEX('Pace of change parameters'!$E$31:$I$31,1,$B$5)=1,D34*(1+Q34),D34),L34)</f>
        <v>415748</v>
      </c>
      <c r="T34" s="103">
        <f>IF(Q34&lt;INDEX('Pace of change parameters'!$E$24:$I$24,1,$B$5),INDEX('Pace of change parameters'!$E$24:$I$24,1,$B$5),Q34)</f>
        <v>2.2285855168210134E-2</v>
      </c>
      <c r="U34" s="132">
        <v>1.9828780612299202E-2</v>
      </c>
      <c r="V34" s="117">
        <f t="shared" si="8"/>
        <v>415748</v>
      </c>
      <c r="W34" s="131">
        <f>IF(J34&gt;INDEX('Pace of change parameters'!$E$26:$I$26,1,$B$5),0,IF(J34&lt;INDEX('Pace of change parameters'!$E$25:$I$25,1,$B$5),1,(J34-INDEX('Pace of change parameters'!$E$26:$I$26,1,$B$5))/(INDEX('Pace of change parameters'!$E$25:$I$25,1,$B$5)-INDEX('Pace of change parameters'!$E$26:$I$26,1,$B$5))))</f>
        <v>1</v>
      </c>
      <c r="X34" s="132">
        <f>MIN(T34, T34+(INDEX('Pace of change parameters'!$E$27:$I$27,1,$B$5)-T34)*(1-W34))</f>
        <v>2.2285855168210134E-2</v>
      </c>
      <c r="Y34" s="132">
        <v>1.9828780612299202E-2</v>
      </c>
      <c r="Z34" s="108">
        <f t="shared" si="9"/>
        <v>415748</v>
      </c>
      <c r="AA34" s="97">
        <f>MIN(VLOOKUP(A34,'2016-17 disagg'!$A$12:$BC$220,54,FALSE),MIN(0,VLOOKUP(A34,'2016-17 disagg'!$A$12:$BC$220,54,FALSE),-2.5%))</f>
        <v>-2.5000000000000001E-2</v>
      </c>
      <c r="AB34" s="99">
        <f t="shared" si="2"/>
        <v>414163.43782749324</v>
      </c>
      <c r="AC34" s="99">
        <f>MAX(IF(INDEX('Pace of change parameters'!$E$29:$I$29,1,$B$5)=1,MAX(AB34,Z34),Z34),L34)</f>
        <v>415748</v>
      </c>
      <c r="AD34" s="97">
        <f t="shared" si="3"/>
        <v>2.3871150459913171E-2</v>
      </c>
      <c r="AE34" s="146">
        <v>2.1410265630481318E-2</v>
      </c>
      <c r="AF34" s="56">
        <f t="shared" si="10"/>
        <v>415748</v>
      </c>
      <c r="AG34" s="56">
        <v>1820.6424603509831</v>
      </c>
      <c r="AH34" s="16">
        <f t="shared" si="4"/>
        <v>2.3871150459913171E-2</v>
      </c>
      <c r="AI34" s="16">
        <f t="shared" si="5"/>
        <v>2.1410265630481318E-2</v>
      </c>
      <c r="AJ34" s="56"/>
      <c r="AK34" s="56">
        <v>424783.01315640332</v>
      </c>
      <c r="AL34" s="56">
        <v>1860.2085642946645</v>
      </c>
      <c r="AM34" s="16">
        <f t="shared" si="11"/>
        <v>-2.1269713892906217E-2</v>
      </c>
      <c r="AN34" s="58">
        <f t="shared" si="11"/>
        <v>-2.1269713892906217E-2</v>
      </c>
      <c r="AP34" s="56">
        <f t="shared" si="12"/>
        <v>1</v>
      </c>
      <c r="AQ34" s="56">
        <f t="shared" si="6"/>
        <v>0</v>
      </c>
    </row>
    <row r="35" spans="1:43" x14ac:dyDescent="0.2">
      <c r="A35" s="156" t="s">
        <v>115</v>
      </c>
      <c r="B35" s="156" t="s">
        <v>116</v>
      </c>
      <c r="D35" s="68">
        <f>VLOOKUP(A35,'2016-17 disagg'!A35:BC243,43,FALSE)</f>
        <v>339400</v>
      </c>
      <c r="E35" s="73">
        <v>2088.9870266385587</v>
      </c>
      <c r="F35" s="55"/>
      <c r="G35" s="88">
        <v>317301.66300743056</v>
      </c>
      <c r="H35" s="81">
        <v>1951.2388256179333</v>
      </c>
      <c r="I35" s="90"/>
      <c r="J35" s="103">
        <f t="shared" si="7"/>
        <v>6.9644567201817553E-2</v>
      </c>
      <c r="K35" s="126">
        <f t="shared" si="7"/>
        <v>7.0595254262123541E-2</v>
      </c>
      <c r="L35" s="56">
        <v>346677</v>
      </c>
      <c r="M35" s="103">
        <v>1.2018454076287322E-2</v>
      </c>
      <c r="N35" s="97">
        <f>INDEX('Pace of change parameters'!$E$22:$I$22,1,$B$5)</f>
        <v>1.1119783131080974E-2</v>
      </c>
      <c r="O35" s="108">
        <f>MAX(IF(INDEX('Pace of change parameters'!$E$30:$I$30,1,$B$5)=1,(1+M35)*D35,D35),L35)</f>
        <v>346677</v>
      </c>
      <c r="P35" s="94">
        <f>IF(K35&lt;INDEX('Pace of change parameters'!$E$18:$I$18,1,$B$5),1,IF(K35&gt;INDEX('Pace of change parameters'!$E$19:$I$19,1,$B$5),0,(K35-INDEX('Pace of change parameters'!$E$19:$I$19,1,$B$5))/(INDEX('Pace of change parameters'!$E$18:$I$18,1,$B$5)-INDEX('Pace of change parameters'!$E$19:$I$19,1,$B$5))))</f>
        <v>0</v>
      </c>
      <c r="Q35" s="57">
        <v>1.2018454076287322E-2</v>
      </c>
      <c r="R35" s="57">
        <v>1.1119783131080974E-2</v>
      </c>
      <c r="S35" s="9">
        <f>MAX(IF(INDEX('Pace of change parameters'!$E$31:$I$31,1,$B$5)=1,D35*(1+Q35),D35),L35)</f>
        <v>346677</v>
      </c>
      <c r="T35" s="103">
        <f>IF(Q35&lt;INDEX('Pace of change parameters'!$E$24:$I$24,1,$B$5),INDEX('Pace of change parameters'!$E$24:$I$24,1,$B$5),Q35)</f>
        <v>1.9644681315626574E-2</v>
      </c>
      <c r="U35" s="132">
        <v>1.873923829149815E-2</v>
      </c>
      <c r="V35" s="117">
        <f t="shared" si="8"/>
        <v>346677</v>
      </c>
      <c r="W35" s="131">
        <f>IF(J35&gt;INDEX('Pace of change parameters'!$E$26:$I$26,1,$B$5),0,IF(J35&lt;INDEX('Pace of change parameters'!$E$25:$I$25,1,$B$5),1,(J35-INDEX('Pace of change parameters'!$E$26:$I$26,1,$B$5))/(INDEX('Pace of change parameters'!$E$25:$I$25,1,$B$5)-INDEX('Pace of change parameters'!$E$26:$I$26,1,$B$5))))</f>
        <v>0.60710865596364905</v>
      </c>
      <c r="X35" s="132">
        <f>MIN(T35, T35+(INDEX('Pace of change parameters'!$E$27:$I$27,1,$B$5)-T35)*(1-W35))</f>
        <v>1.2415480585357717E-2</v>
      </c>
      <c r="Y35" s="132">
        <v>1.151645708117699E-2</v>
      </c>
      <c r="Z35" s="108">
        <f t="shared" si="9"/>
        <v>346677</v>
      </c>
      <c r="AA35" s="97">
        <f>MIN(VLOOKUP(A35,'2016-17 disagg'!$A$12:$BC$220,54,FALSE),MIN(0,VLOOKUP(A35,'2016-17 disagg'!$A$12:$BC$220,54,FALSE),-2.5%))</f>
        <v>-2.5000000000000001E-2</v>
      </c>
      <c r="AB35" s="99">
        <f t="shared" si="2"/>
        <v>317394.52286153473</v>
      </c>
      <c r="AC35" s="99">
        <f>MAX(IF(INDEX('Pace of change parameters'!$E$29:$I$29,1,$B$5)=1,MAX(AB35,Z35),Z35),L35)</f>
        <v>346677</v>
      </c>
      <c r="AD35" s="97">
        <f t="shared" si="3"/>
        <v>2.1440777843252823E-2</v>
      </c>
      <c r="AE35" s="146">
        <v>2.0533739887967029E-2</v>
      </c>
      <c r="AF35" s="56">
        <f t="shared" si="10"/>
        <v>346677</v>
      </c>
      <c r="AG35" s="56">
        <v>2131.8817428728926</v>
      </c>
      <c r="AH35" s="16">
        <f t="shared" si="4"/>
        <v>2.1440777843252823E-2</v>
      </c>
      <c r="AI35" s="16">
        <f t="shared" si="5"/>
        <v>2.0533739887967029E-2</v>
      </c>
      <c r="AJ35" s="56"/>
      <c r="AK35" s="56">
        <v>325532.84396054846</v>
      </c>
      <c r="AL35" s="56">
        <v>2001.8562718178116</v>
      </c>
      <c r="AM35" s="16">
        <f t="shared" si="11"/>
        <v>6.4952450825557895E-2</v>
      </c>
      <c r="AN35" s="58">
        <f t="shared" si="11"/>
        <v>6.4952450825557895E-2</v>
      </c>
      <c r="AP35" s="56">
        <f t="shared" si="12"/>
        <v>1</v>
      </c>
      <c r="AQ35" s="56">
        <f t="shared" si="6"/>
        <v>0</v>
      </c>
    </row>
    <row r="36" spans="1:43" x14ac:dyDescent="0.2">
      <c r="A36" s="156" t="s">
        <v>117</v>
      </c>
      <c r="B36" s="156" t="s">
        <v>118</v>
      </c>
      <c r="D36" s="68">
        <f>VLOOKUP(A36,'2016-17 disagg'!A36:BC244,43,FALSE)</f>
        <v>266750</v>
      </c>
      <c r="E36" s="73">
        <v>1685.5423832233573</v>
      </c>
      <c r="F36" s="55"/>
      <c r="G36" s="88">
        <v>258591.82140248033</v>
      </c>
      <c r="H36" s="81">
        <v>1629.9256248247873</v>
      </c>
      <c r="I36" s="90"/>
      <c r="J36" s="103">
        <f t="shared" si="7"/>
        <v>3.1548478808314684E-2</v>
      </c>
      <c r="K36" s="126">
        <f t="shared" si="7"/>
        <v>3.4122267636935044E-2</v>
      </c>
      <c r="L36" s="56">
        <v>272914</v>
      </c>
      <c r="M36" s="103">
        <v>1.3642600871286659E-2</v>
      </c>
      <c r="N36" s="97">
        <f>INDEX('Pace of change parameters'!$E$22:$I$22,1,$B$5)</f>
        <v>1.1119783131080974E-2</v>
      </c>
      <c r="O36" s="108">
        <f>MAX(IF(INDEX('Pace of change parameters'!$E$30:$I$30,1,$B$5)=1,(1+M36)*D36,D36),L36)</f>
        <v>272914</v>
      </c>
      <c r="P36" s="94">
        <f>IF(K36&lt;INDEX('Pace of change parameters'!$E$18:$I$18,1,$B$5),1,IF(K36&gt;INDEX('Pace of change parameters'!$E$19:$I$19,1,$B$5),0,(K36-INDEX('Pace of change parameters'!$E$19:$I$19,1,$B$5))/(INDEX('Pace of change parameters'!$E$18:$I$18,1,$B$5)-INDEX('Pace of change parameters'!$E$19:$I$19,1,$B$5))))</f>
        <v>0</v>
      </c>
      <c r="Q36" s="57">
        <v>1.3642600871286659E-2</v>
      </c>
      <c r="R36" s="57">
        <v>1.1119783131080974E-2</v>
      </c>
      <c r="S36" s="9">
        <f>MAX(IF(INDEX('Pace of change parameters'!$E$31:$I$31,1,$B$5)=1,D36*(1+Q36),D36),L36)</f>
        <v>272914</v>
      </c>
      <c r="T36" s="103">
        <f>IF(Q36&lt;INDEX('Pace of change parameters'!$E$24:$I$24,1,$B$5),INDEX('Pace of change parameters'!$E$24:$I$24,1,$B$5),Q36)</f>
        <v>1.9644681315626574E-2</v>
      </c>
      <c r="U36" s="132">
        <v>1.7106925218439928E-2</v>
      </c>
      <c r="V36" s="117">
        <f t="shared" si="8"/>
        <v>272914</v>
      </c>
      <c r="W36" s="131">
        <f>IF(J36&gt;INDEX('Pace of change parameters'!$E$26:$I$26,1,$B$5),0,IF(J36&lt;INDEX('Pace of change parameters'!$E$25:$I$25,1,$B$5),1,(J36-INDEX('Pace of change parameters'!$E$26:$I$26,1,$B$5))/(INDEX('Pace of change parameters'!$E$25:$I$25,1,$B$5)-INDEX('Pace of change parameters'!$E$26:$I$26,1,$B$5))))</f>
        <v>1</v>
      </c>
      <c r="X36" s="132">
        <f>MIN(T36, T36+(INDEX('Pace of change parameters'!$E$27:$I$27,1,$B$5)-T36)*(1-W36))</f>
        <v>1.9644681315626574E-2</v>
      </c>
      <c r="Y36" s="132">
        <v>1.7106925218439928E-2</v>
      </c>
      <c r="Z36" s="108">
        <f t="shared" si="9"/>
        <v>272914</v>
      </c>
      <c r="AA36" s="97">
        <f>MIN(VLOOKUP(A36,'2016-17 disagg'!$A$12:$BC$220,54,FALSE),MIN(0,VLOOKUP(A36,'2016-17 disagg'!$A$12:$BC$220,54,FALSE),-2.5%))</f>
        <v>-2.5000000000000001E-2</v>
      </c>
      <c r="AB36" s="99">
        <f t="shared" si="2"/>
        <v>258667.42984808059</v>
      </c>
      <c r="AC36" s="99">
        <f>MAX(IF(INDEX('Pace of change parameters'!$E$29:$I$29,1,$B$5)=1,MAX(AB36,Z36),Z36),L36)</f>
        <v>272914</v>
      </c>
      <c r="AD36" s="97">
        <f t="shared" si="3"/>
        <v>2.3107778819118963E-2</v>
      </c>
      <c r="AE36" s="146">
        <v>2.0561403546090151E-2</v>
      </c>
      <c r="AF36" s="56">
        <f t="shared" si="10"/>
        <v>272914</v>
      </c>
      <c r="AG36" s="56">
        <v>1720.1995003588513</v>
      </c>
      <c r="AH36" s="16">
        <f t="shared" si="4"/>
        <v>2.3107778819118963E-2</v>
      </c>
      <c r="AI36" s="16">
        <f t="shared" si="5"/>
        <v>2.0561403546090151E-2</v>
      </c>
      <c r="AJ36" s="56"/>
      <c r="AK36" s="56">
        <v>265299.92804931343</v>
      </c>
      <c r="AL36" s="56">
        <v>1672.2073754943615</v>
      </c>
      <c r="AM36" s="16">
        <f t="shared" si="11"/>
        <v>2.8699864363594063E-2</v>
      </c>
      <c r="AN36" s="58">
        <f t="shared" si="11"/>
        <v>2.8699864363594063E-2</v>
      </c>
      <c r="AP36" s="56">
        <f t="shared" si="12"/>
        <v>1</v>
      </c>
      <c r="AQ36" s="56">
        <f t="shared" si="6"/>
        <v>0</v>
      </c>
    </row>
    <row r="37" spans="1:43" x14ac:dyDescent="0.2">
      <c r="A37" s="156" t="s">
        <v>119</v>
      </c>
      <c r="B37" s="156" t="s">
        <v>120</v>
      </c>
      <c r="D37" s="68">
        <f>VLOOKUP(A37,'2016-17 disagg'!A37:BC245,43,FALSE)</f>
        <v>988161</v>
      </c>
      <c r="E37" s="73">
        <v>1946.8654669358641</v>
      </c>
      <c r="F37" s="55"/>
      <c r="G37" s="88">
        <v>946764.3306784142</v>
      </c>
      <c r="H37" s="81">
        <v>1861.6250270818182</v>
      </c>
      <c r="I37" s="90"/>
      <c r="J37" s="103">
        <f t="shared" si="7"/>
        <v>4.3724365166907475E-2</v>
      </c>
      <c r="K37" s="126">
        <f t="shared" si="7"/>
        <v>4.5788189680531E-2</v>
      </c>
      <c r="L37" s="56">
        <v>1013306</v>
      </c>
      <c r="M37" s="103">
        <v>1.311913647021834E-2</v>
      </c>
      <c r="N37" s="97">
        <f>INDEX('Pace of change parameters'!$E$22:$I$22,1,$B$5)</f>
        <v>1.1119783131080974E-2</v>
      </c>
      <c r="O37" s="108">
        <f>MAX(IF(INDEX('Pace of change parameters'!$E$30:$I$30,1,$B$5)=1,(1+M37)*D37,D37),L37)</f>
        <v>1013306</v>
      </c>
      <c r="P37" s="94">
        <f>IF(K37&lt;INDEX('Pace of change parameters'!$E$18:$I$18,1,$B$5),1,IF(K37&gt;INDEX('Pace of change parameters'!$E$19:$I$19,1,$B$5),0,(K37-INDEX('Pace of change parameters'!$E$19:$I$19,1,$B$5))/(INDEX('Pace of change parameters'!$E$18:$I$18,1,$B$5)-INDEX('Pace of change parameters'!$E$19:$I$19,1,$B$5))))</f>
        <v>0</v>
      </c>
      <c r="Q37" s="57">
        <v>1.311913647021834E-2</v>
      </c>
      <c r="R37" s="57">
        <v>1.1119783131080974E-2</v>
      </c>
      <c r="S37" s="9">
        <f>MAX(IF(INDEX('Pace of change parameters'!$E$31:$I$31,1,$B$5)=1,D37*(1+Q37),D37),L37)</f>
        <v>1013306</v>
      </c>
      <c r="T37" s="103">
        <f>IF(Q37&lt;INDEX('Pace of change parameters'!$E$24:$I$24,1,$B$5),INDEX('Pace of change parameters'!$E$24:$I$24,1,$B$5),Q37)</f>
        <v>1.9644681315626574E-2</v>
      </c>
      <c r="U37" s="132">
        <v>1.7632450053837623E-2</v>
      </c>
      <c r="V37" s="117">
        <f t="shared" si="8"/>
        <v>1013306</v>
      </c>
      <c r="W37" s="131">
        <f>IF(J37&gt;INDEX('Pace of change parameters'!$E$26:$I$26,1,$B$5),0,IF(J37&lt;INDEX('Pace of change parameters'!$E$25:$I$25,1,$B$5),1,(J37-INDEX('Pace of change parameters'!$E$26:$I$26,1,$B$5))/(INDEX('Pace of change parameters'!$E$25:$I$25,1,$B$5)-INDEX('Pace of change parameters'!$E$26:$I$26,1,$B$5))))</f>
        <v>1</v>
      </c>
      <c r="X37" s="132">
        <f>MIN(T37, T37+(INDEX('Pace of change parameters'!$E$27:$I$27,1,$B$5)-T37)*(1-W37))</f>
        <v>1.9644681315626574E-2</v>
      </c>
      <c r="Y37" s="132">
        <v>1.7632450053837623E-2</v>
      </c>
      <c r="Z37" s="108">
        <f t="shared" si="9"/>
        <v>1013306</v>
      </c>
      <c r="AA37" s="97">
        <f>MIN(VLOOKUP(A37,'2016-17 disagg'!$A$12:$BC$220,54,FALSE),MIN(0,VLOOKUP(A37,'2016-17 disagg'!$A$12:$BC$220,54,FALSE),-2.5%))</f>
        <v>-2.5000000000000001E-2</v>
      </c>
      <c r="AB37" s="99">
        <f t="shared" si="2"/>
        <v>947379.16919700149</v>
      </c>
      <c r="AC37" s="99">
        <f>MAX(IF(INDEX('Pace of change parameters'!$E$29:$I$29,1,$B$5)=1,MAX(AB37,Z37),Z37),L37)</f>
        <v>1013306</v>
      </c>
      <c r="AD37" s="97">
        <f t="shared" si="3"/>
        <v>2.5446258251438758E-2</v>
      </c>
      <c r="AE37" s="146">
        <v>2.3422577791029964E-2</v>
      </c>
      <c r="AF37" s="56">
        <f t="shared" si="10"/>
        <v>1013306</v>
      </c>
      <c r="AG37" s="56">
        <v>1992.4660747838395</v>
      </c>
      <c r="AH37" s="16">
        <f t="shared" si="4"/>
        <v>2.5446258251438758E-2</v>
      </c>
      <c r="AI37" s="16">
        <f t="shared" si="5"/>
        <v>2.3422577791030186E-2</v>
      </c>
      <c r="AJ37" s="56"/>
      <c r="AK37" s="56">
        <v>971670.94276615535</v>
      </c>
      <c r="AL37" s="56">
        <v>1910.5989595589035</v>
      </c>
      <c r="AM37" s="16">
        <f t="shared" si="11"/>
        <v>4.2848926937465004E-2</v>
      </c>
      <c r="AN37" s="58">
        <f t="shared" si="11"/>
        <v>4.2848926937465004E-2</v>
      </c>
      <c r="AP37" s="56">
        <f t="shared" si="12"/>
        <v>1</v>
      </c>
      <c r="AQ37" s="56">
        <f t="shared" si="6"/>
        <v>0</v>
      </c>
    </row>
    <row r="38" spans="1:43" x14ac:dyDescent="0.2">
      <c r="A38" s="156" t="s">
        <v>121</v>
      </c>
      <c r="B38" s="156" t="s">
        <v>122</v>
      </c>
      <c r="D38" s="68">
        <f>VLOOKUP(A38,'2016-17 disagg'!A38:BC246,43,FALSE)</f>
        <v>393117</v>
      </c>
      <c r="E38" s="73">
        <v>1917.2951956041718</v>
      </c>
      <c r="F38" s="55"/>
      <c r="G38" s="88">
        <v>409236.6939360305</v>
      </c>
      <c r="H38" s="81">
        <v>1980.7248055406881</v>
      </c>
      <c r="I38" s="90"/>
      <c r="J38" s="103">
        <f t="shared" si="7"/>
        <v>-3.9389659272709876E-2</v>
      </c>
      <c r="K38" s="126">
        <f t="shared" si="7"/>
        <v>-3.2023433926350764E-2</v>
      </c>
      <c r="L38" s="56">
        <v>406130</v>
      </c>
      <c r="M38" s="103">
        <v>1.8873328828981961E-2</v>
      </c>
      <c r="N38" s="97">
        <f>INDEX('Pace of change parameters'!$E$22:$I$22,1,$B$5)</f>
        <v>1.1119783131080974E-2</v>
      </c>
      <c r="O38" s="108">
        <f>MAX(IF(INDEX('Pace of change parameters'!$E$30:$I$30,1,$B$5)=1,(1+M38)*D38,D38),L38)</f>
        <v>406130</v>
      </c>
      <c r="P38" s="94">
        <f>IF(K38&lt;INDEX('Pace of change parameters'!$E$18:$I$18,1,$B$5),1,IF(K38&gt;INDEX('Pace of change parameters'!$E$19:$I$19,1,$B$5),0,(K38-INDEX('Pace of change parameters'!$E$19:$I$19,1,$B$5))/(INDEX('Pace of change parameters'!$E$18:$I$18,1,$B$5)-INDEX('Pace of change parameters'!$E$19:$I$19,1,$B$5))))</f>
        <v>0.85462390640493369</v>
      </c>
      <c r="Q38" s="57">
        <v>3.0826657882868425E-2</v>
      </c>
      <c r="R38" s="57">
        <v>2.2982148293344107E-2</v>
      </c>
      <c r="S38" s="9">
        <f>MAX(IF(INDEX('Pace of change parameters'!$E$31:$I$31,1,$B$5)=1,D38*(1+Q38),D38),L38)</f>
        <v>406130</v>
      </c>
      <c r="T38" s="103">
        <f>IF(Q38&lt;INDEX('Pace of change parameters'!$E$24:$I$24,1,$B$5),INDEX('Pace of change parameters'!$E$24:$I$24,1,$B$5),Q38)</f>
        <v>3.0826657882868425E-2</v>
      </c>
      <c r="U38" s="132">
        <v>2.2982148293344107E-2</v>
      </c>
      <c r="V38" s="117">
        <f t="shared" si="8"/>
        <v>406130</v>
      </c>
      <c r="W38" s="131">
        <f>IF(J38&gt;INDEX('Pace of change parameters'!$E$26:$I$26,1,$B$5),0,IF(J38&lt;INDEX('Pace of change parameters'!$E$25:$I$25,1,$B$5),1,(J38-INDEX('Pace of change parameters'!$E$26:$I$26,1,$B$5))/(INDEX('Pace of change parameters'!$E$25:$I$25,1,$B$5)-INDEX('Pace of change parameters'!$E$26:$I$26,1,$B$5))))</f>
        <v>1</v>
      </c>
      <c r="X38" s="132">
        <f>MIN(T38, T38+(INDEX('Pace of change parameters'!$E$27:$I$27,1,$B$5)-T38)*(1-W38))</f>
        <v>3.0826657882868425E-2</v>
      </c>
      <c r="Y38" s="132">
        <v>2.2982148293344107E-2</v>
      </c>
      <c r="Z38" s="108">
        <f t="shared" si="9"/>
        <v>406130</v>
      </c>
      <c r="AA38" s="97">
        <f>MIN(VLOOKUP(A38,'2016-17 disagg'!$A$12:$BC$220,54,FALSE),MIN(0,VLOOKUP(A38,'2016-17 disagg'!$A$12:$BC$220,54,FALSE),-2.5%))</f>
        <v>-3.8866434229680946E-2</v>
      </c>
      <c r="AB38" s="99">
        <f t="shared" si="2"/>
        <v>404128.60214893025</v>
      </c>
      <c r="AC38" s="99">
        <f>MAX(IF(INDEX('Pace of change parameters'!$E$29:$I$29,1,$B$5)=1,MAX(AB38,Z38),Z38),L38)</f>
        <v>406130</v>
      </c>
      <c r="AD38" s="97">
        <f t="shared" si="3"/>
        <v>3.310210446253925E-2</v>
      </c>
      <c r="AE38" s="146">
        <v>2.5240278903954527E-2</v>
      </c>
      <c r="AF38" s="56">
        <f t="shared" si="10"/>
        <v>406130</v>
      </c>
      <c r="AG38" s="56">
        <v>1965.688261082433</v>
      </c>
      <c r="AH38" s="16">
        <f t="shared" si="4"/>
        <v>3.310210446253925E-2</v>
      </c>
      <c r="AI38" s="16">
        <f t="shared" si="5"/>
        <v>2.5240278903954527E-2</v>
      </c>
      <c r="AJ38" s="56"/>
      <c r="AK38" s="56">
        <v>420470.80295758229</v>
      </c>
      <c r="AL38" s="56">
        <v>2035.0984204605033</v>
      </c>
      <c r="AM38" s="16">
        <f t="shared" si="11"/>
        <v>-3.4106536902703821E-2</v>
      </c>
      <c r="AN38" s="58">
        <f t="shared" si="11"/>
        <v>-3.4106536902703821E-2</v>
      </c>
      <c r="AP38" s="56">
        <f t="shared" si="12"/>
        <v>1</v>
      </c>
      <c r="AQ38" s="56">
        <f t="shared" si="6"/>
        <v>0</v>
      </c>
    </row>
    <row r="39" spans="1:43" x14ac:dyDescent="0.2">
      <c r="A39" s="156" t="s">
        <v>123</v>
      </c>
      <c r="B39" s="156" t="s">
        <v>124</v>
      </c>
      <c r="D39" s="68">
        <f>VLOOKUP(A39,'2016-17 disagg'!A39:BC247,43,FALSE)</f>
        <v>427303</v>
      </c>
      <c r="E39" s="73">
        <v>1716.9702550172542</v>
      </c>
      <c r="F39" s="55"/>
      <c r="G39" s="88">
        <v>421003.04951256129</v>
      </c>
      <c r="H39" s="81">
        <v>1684.5490170754986</v>
      </c>
      <c r="I39" s="90"/>
      <c r="J39" s="103">
        <f t="shared" si="7"/>
        <v>1.4964144546536717E-2</v>
      </c>
      <c r="K39" s="126">
        <f t="shared" si="7"/>
        <v>1.9246241939603115E-2</v>
      </c>
      <c r="L39" s="56">
        <v>437184</v>
      </c>
      <c r="M39" s="103">
        <v>1.5385661300952869E-2</v>
      </c>
      <c r="N39" s="97">
        <f>INDEX('Pace of change parameters'!$E$22:$I$22,1,$B$5)</f>
        <v>1.1119783131080974E-2</v>
      </c>
      <c r="O39" s="108">
        <f>MAX(IF(INDEX('Pace of change parameters'!$E$30:$I$30,1,$B$5)=1,(1+M39)*D39,D39),L39)</f>
        <v>437184</v>
      </c>
      <c r="P39" s="94">
        <f>IF(K39&lt;INDEX('Pace of change parameters'!$E$18:$I$18,1,$B$5),1,IF(K39&gt;INDEX('Pace of change parameters'!$E$19:$I$19,1,$B$5),0,(K39-INDEX('Pace of change parameters'!$E$19:$I$19,1,$B$5))/(INDEX('Pace of change parameters'!$E$18:$I$18,1,$B$5)-INDEX('Pace of change parameters'!$E$19:$I$19,1,$B$5))))</f>
        <v>0.10753466324701</v>
      </c>
      <c r="Q39" s="57">
        <v>1.6884562992477647E-2</v>
      </c>
      <c r="R39" s="57">
        <v>1.2612387577875639E-2</v>
      </c>
      <c r="S39" s="9">
        <f>MAX(IF(INDEX('Pace of change parameters'!$E$31:$I$31,1,$B$5)=1,D39*(1+Q39),D39),L39)</f>
        <v>437184</v>
      </c>
      <c r="T39" s="103">
        <f>IF(Q39&lt;INDEX('Pace of change parameters'!$E$24:$I$24,1,$B$5),INDEX('Pace of change parameters'!$E$24:$I$24,1,$B$5),Q39)</f>
        <v>1.9644681315626574E-2</v>
      </c>
      <c r="U39" s="132">
        <v>1.5360909983384907E-2</v>
      </c>
      <c r="V39" s="117">
        <f t="shared" si="8"/>
        <v>437184</v>
      </c>
      <c r="W39" s="131">
        <f>IF(J39&gt;INDEX('Pace of change parameters'!$E$26:$I$26,1,$B$5),0,IF(J39&lt;INDEX('Pace of change parameters'!$E$25:$I$25,1,$B$5),1,(J39-INDEX('Pace of change parameters'!$E$26:$I$26,1,$B$5))/(INDEX('Pace of change parameters'!$E$25:$I$25,1,$B$5)-INDEX('Pace of change parameters'!$E$26:$I$26,1,$B$5))))</f>
        <v>1</v>
      </c>
      <c r="X39" s="132">
        <f>MIN(T39, T39+(INDEX('Pace of change parameters'!$E$27:$I$27,1,$B$5)-T39)*(1-W39))</f>
        <v>1.9644681315626574E-2</v>
      </c>
      <c r="Y39" s="132">
        <v>1.5360909983384907E-2</v>
      </c>
      <c r="Z39" s="108">
        <f t="shared" si="9"/>
        <v>437184</v>
      </c>
      <c r="AA39" s="97">
        <f>MIN(VLOOKUP(A39,'2016-17 disagg'!$A$12:$BC$220,54,FALSE),MIN(0,VLOOKUP(A39,'2016-17 disagg'!$A$12:$BC$220,54,FALSE),-2.5%))</f>
        <v>-2.5000000000000001E-2</v>
      </c>
      <c r="AB39" s="99">
        <f t="shared" si="2"/>
        <v>421296.08595006744</v>
      </c>
      <c r="AC39" s="99">
        <f>MAX(IF(INDEX('Pace of change parameters'!$E$29:$I$29,1,$B$5)=1,MAX(AB39,Z39),Z39),L39)</f>
        <v>437184</v>
      </c>
      <c r="AD39" s="97">
        <f t="shared" si="3"/>
        <v>2.3124106313318737E-2</v>
      </c>
      <c r="AE39" s="146">
        <v>1.8825717083949867E-2</v>
      </c>
      <c r="AF39" s="56">
        <f t="shared" si="10"/>
        <v>437184</v>
      </c>
      <c r="AG39" s="56">
        <v>1749.2934512797665</v>
      </c>
      <c r="AH39" s="16">
        <f t="shared" si="4"/>
        <v>2.3124106313318737E-2</v>
      </c>
      <c r="AI39" s="16">
        <f t="shared" si="5"/>
        <v>1.8825717083950089E-2</v>
      </c>
      <c r="AJ39" s="56"/>
      <c r="AK39" s="56">
        <v>432098.54969237687</v>
      </c>
      <c r="AL39" s="56">
        <v>1728.9451656153005</v>
      </c>
      <c r="AM39" s="16">
        <f t="shared" si="11"/>
        <v>1.1769190873803126E-2</v>
      </c>
      <c r="AN39" s="58">
        <f t="shared" si="11"/>
        <v>1.1769190873803348E-2</v>
      </c>
      <c r="AP39" s="56">
        <f t="shared" si="12"/>
        <v>1</v>
      </c>
      <c r="AQ39" s="56">
        <f t="shared" si="6"/>
        <v>0</v>
      </c>
    </row>
    <row r="40" spans="1:43" x14ac:dyDescent="0.2">
      <c r="A40" s="156" t="s">
        <v>125</v>
      </c>
      <c r="B40" s="156" t="s">
        <v>126</v>
      </c>
      <c r="D40" s="68">
        <f>VLOOKUP(A40,'2016-17 disagg'!A40:BC248,43,FALSE)</f>
        <v>490855</v>
      </c>
      <c r="E40" s="73">
        <v>1867.2059999105061</v>
      </c>
      <c r="F40" s="55"/>
      <c r="G40" s="88">
        <v>498492.90651622054</v>
      </c>
      <c r="H40" s="81">
        <v>1877.4481127792844</v>
      </c>
      <c r="I40" s="90"/>
      <c r="J40" s="103">
        <f t="shared" si="7"/>
        <v>-1.5321996394289772E-2</v>
      </c>
      <c r="K40" s="126">
        <f t="shared" si="7"/>
        <v>-5.4553373800655391E-3</v>
      </c>
      <c r="L40" s="56">
        <v>505445</v>
      </c>
      <c r="M40" s="103">
        <v>2.1251393755223225E-2</v>
      </c>
      <c r="N40" s="97">
        <f>INDEX('Pace of change parameters'!$E$22:$I$22,1,$B$5)</f>
        <v>1.1119783131080974E-2</v>
      </c>
      <c r="O40" s="108">
        <f>MAX(IF(INDEX('Pace of change parameters'!$E$30:$I$30,1,$B$5)=1,(1+M40)*D40,D40),L40)</f>
        <v>505445</v>
      </c>
      <c r="P40" s="94">
        <f>IF(K40&lt;INDEX('Pace of change parameters'!$E$18:$I$18,1,$B$5),1,IF(K40&gt;INDEX('Pace of change parameters'!$E$19:$I$19,1,$B$5),0,(K40-INDEX('Pace of change parameters'!$E$19:$I$19,1,$B$5))/(INDEX('Pace of change parameters'!$E$18:$I$18,1,$B$5)-INDEX('Pace of change parameters'!$E$19:$I$19,1,$B$5))))</f>
        <v>0.46748006736826797</v>
      </c>
      <c r="Q40" s="57">
        <v>2.7805136715703727E-2</v>
      </c>
      <c r="R40" s="57">
        <v>1.7608507848049459E-2</v>
      </c>
      <c r="S40" s="9">
        <f>MAX(IF(INDEX('Pace of change parameters'!$E$31:$I$31,1,$B$5)=1,D40*(1+Q40),D40),L40)</f>
        <v>505445</v>
      </c>
      <c r="T40" s="103">
        <f>IF(Q40&lt;INDEX('Pace of change parameters'!$E$24:$I$24,1,$B$5),INDEX('Pace of change parameters'!$E$24:$I$24,1,$B$5),Q40)</f>
        <v>2.7805136715703727E-2</v>
      </c>
      <c r="U40" s="132">
        <v>1.7608507848049459E-2</v>
      </c>
      <c r="V40" s="117">
        <f t="shared" si="8"/>
        <v>505445</v>
      </c>
      <c r="W40" s="131">
        <f>IF(J40&gt;INDEX('Pace of change parameters'!$E$26:$I$26,1,$B$5),0,IF(J40&lt;INDEX('Pace of change parameters'!$E$25:$I$25,1,$B$5),1,(J40-INDEX('Pace of change parameters'!$E$26:$I$26,1,$B$5))/(INDEX('Pace of change parameters'!$E$25:$I$25,1,$B$5)-INDEX('Pace of change parameters'!$E$26:$I$26,1,$B$5))))</f>
        <v>1</v>
      </c>
      <c r="X40" s="132">
        <f>MIN(T40, T40+(INDEX('Pace of change parameters'!$E$27:$I$27,1,$B$5)-T40)*(1-W40))</f>
        <v>2.7805136715703727E-2</v>
      </c>
      <c r="Y40" s="132">
        <v>1.7608507848049459E-2</v>
      </c>
      <c r="Z40" s="108">
        <f t="shared" si="9"/>
        <v>505445</v>
      </c>
      <c r="AA40" s="97">
        <f>MIN(VLOOKUP(A40,'2016-17 disagg'!$A$12:$BC$220,54,FALSE),MIN(0,VLOOKUP(A40,'2016-17 disagg'!$A$12:$BC$220,54,FALSE),-2.5%))</f>
        <v>-2.5000000000000001E-2</v>
      </c>
      <c r="AB40" s="99">
        <f t="shared" si="2"/>
        <v>498989.37634070229</v>
      </c>
      <c r="AC40" s="99">
        <f>MAX(IF(INDEX('Pace of change parameters'!$E$29:$I$29,1,$B$5)=1,MAX(AB40,Z40),Z40),L40)</f>
        <v>505445</v>
      </c>
      <c r="AD40" s="97">
        <f t="shared" si="3"/>
        <v>2.9723645475751459E-2</v>
      </c>
      <c r="AE40" s="146">
        <v>1.9507983504343684E-2</v>
      </c>
      <c r="AF40" s="56">
        <f t="shared" si="10"/>
        <v>505445</v>
      </c>
      <c r="AG40" s="56">
        <v>1903.6314237559718</v>
      </c>
      <c r="AH40" s="16">
        <f t="shared" si="4"/>
        <v>2.9723645475751459E-2</v>
      </c>
      <c r="AI40" s="16">
        <f t="shared" si="5"/>
        <v>1.9507983504343684E-2</v>
      </c>
      <c r="AJ40" s="56"/>
      <c r="AK40" s="56">
        <v>511783.97573405365</v>
      </c>
      <c r="AL40" s="56">
        <v>1927.5055809872654</v>
      </c>
      <c r="AM40" s="16">
        <f t="shared" si="11"/>
        <v>-1.2386037927353266E-2</v>
      </c>
      <c r="AN40" s="58">
        <f t="shared" si="11"/>
        <v>-1.2386037927353377E-2</v>
      </c>
      <c r="AP40" s="56">
        <f t="shared" si="12"/>
        <v>1</v>
      </c>
      <c r="AQ40" s="56">
        <f t="shared" si="6"/>
        <v>0</v>
      </c>
    </row>
    <row r="41" spans="1:43" x14ac:dyDescent="0.2">
      <c r="A41" s="156" t="s">
        <v>127</v>
      </c>
      <c r="B41" s="156" t="s">
        <v>128</v>
      </c>
      <c r="D41" s="68">
        <f>VLOOKUP(A41,'2016-17 disagg'!A41:BC249,43,FALSE)</f>
        <v>282598</v>
      </c>
      <c r="E41" s="73">
        <v>1563.8077561465545</v>
      </c>
      <c r="F41" s="55"/>
      <c r="G41" s="88">
        <v>287115.68285356869</v>
      </c>
      <c r="H41" s="81">
        <v>1582.9913792082077</v>
      </c>
      <c r="I41" s="90"/>
      <c r="J41" s="103">
        <f t="shared" si="7"/>
        <v>-1.5734712951478658E-2</v>
      </c>
      <c r="K41" s="126">
        <f t="shared" si="7"/>
        <v>-1.2118589724252726E-2</v>
      </c>
      <c r="L41" s="56">
        <v>289182</v>
      </c>
      <c r="M41" s="103">
        <v>1.4834567936966137E-2</v>
      </c>
      <c r="N41" s="97">
        <f>INDEX('Pace of change parameters'!$E$22:$I$22,1,$B$5)</f>
        <v>1.1119783131080974E-2</v>
      </c>
      <c r="O41" s="108">
        <f>MAX(IF(INDEX('Pace of change parameters'!$E$30:$I$30,1,$B$5)=1,(1+M41)*D41,D41),L41)</f>
        <v>289182</v>
      </c>
      <c r="P41" s="94">
        <f>IF(K41&lt;INDEX('Pace of change parameters'!$E$18:$I$18,1,$B$5),1,IF(K41&gt;INDEX('Pace of change parameters'!$E$19:$I$19,1,$B$5),0,(K41-INDEX('Pace of change parameters'!$E$19:$I$19,1,$B$5))/(INDEX('Pace of change parameters'!$E$18:$I$18,1,$B$5)-INDEX('Pace of change parameters'!$E$19:$I$19,1,$B$5))))</f>
        <v>0.56457535940413561</v>
      </c>
      <c r="Q41" s="57">
        <v>2.2699786865469029E-2</v>
      </c>
      <c r="R41" s="57">
        <v>1.895621155845828E-2</v>
      </c>
      <c r="S41" s="9">
        <f>MAX(IF(INDEX('Pace of change parameters'!$E$31:$I$31,1,$B$5)=1,D41*(1+Q41),D41),L41)</f>
        <v>289182</v>
      </c>
      <c r="T41" s="103">
        <f>IF(Q41&lt;INDEX('Pace of change parameters'!$E$24:$I$24,1,$B$5),INDEX('Pace of change parameters'!$E$24:$I$24,1,$B$5),Q41)</f>
        <v>2.2699786865469029E-2</v>
      </c>
      <c r="U41" s="132">
        <v>1.895621155845828E-2</v>
      </c>
      <c r="V41" s="117">
        <f t="shared" si="8"/>
        <v>289182</v>
      </c>
      <c r="W41" s="131">
        <f>IF(J41&gt;INDEX('Pace of change parameters'!$E$26:$I$26,1,$B$5),0,IF(J41&lt;INDEX('Pace of change parameters'!$E$25:$I$25,1,$B$5),1,(J41-INDEX('Pace of change parameters'!$E$26:$I$26,1,$B$5))/(INDEX('Pace of change parameters'!$E$25:$I$25,1,$B$5)-INDEX('Pace of change parameters'!$E$26:$I$26,1,$B$5))))</f>
        <v>1</v>
      </c>
      <c r="X41" s="132">
        <f>MIN(T41, T41+(INDEX('Pace of change parameters'!$E$27:$I$27,1,$B$5)-T41)*(1-W41))</f>
        <v>2.2699786865469029E-2</v>
      </c>
      <c r="Y41" s="132">
        <v>1.895621155845828E-2</v>
      </c>
      <c r="Z41" s="108">
        <f t="shared" si="9"/>
        <v>289182</v>
      </c>
      <c r="AA41" s="97">
        <f>MIN(VLOOKUP(A41,'2016-17 disagg'!$A$12:$BC$220,54,FALSE),MIN(0,VLOOKUP(A41,'2016-17 disagg'!$A$12:$BC$220,54,FALSE),-2.5%))</f>
        <v>-2.5000000000000001E-2</v>
      </c>
      <c r="AB41" s="99">
        <f t="shared" si="2"/>
        <v>287089.4633894891</v>
      </c>
      <c r="AC41" s="99">
        <f>MAX(IF(INDEX('Pace of change parameters'!$E$29:$I$29,1,$B$5)=1,MAX(AB41,Z41),Z41),L41)</f>
        <v>289182</v>
      </c>
      <c r="AD41" s="97">
        <f t="shared" si="3"/>
        <v>2.3298112513181257E-2</v>
      </c>
      <c r="AE41" s="146">
        <v>1.9552347045236562E-2</v>
      </c>
      <c r="AF41" s="56">
        <f t="shared" si="10"/>
        <v>289182</v>
      </c>
      <c r="AG41" s="56">
        <v>1594.3838681067648</v>
      </c>
      <c r="AH41" s="16">
        <f t="shared" si="4"/>
        <v>2.3298112513181257E-2</v>
      </c>
      <c r="AI41" s="16">
        <f t="shared" si="5"/>
        <v>1.9552347045236562E-2</v>
      </c>
      <c r="AJ41" s="56"/>
      <c r="AK41" s="56">
        <v>294450.73168152728</v>
      </c>
      <c r="AL41" s="56">
        <v>1623.4326360052164</v>
      </c>
      <c r="AM41" s="16">
        <f t="shared" si="11"/>
        <v>-1.7893423634707917E-2</v>
      </c>
      <c r="AN41" s="58">
        <f t="shared" si="11"/>
        <v>-1.7893423634707695E-2</v>
      </c>
      <c r="AP41" s="56">
        <f t="shared" si="12"/>
        <v>1</v>
      </c>
      <c r="AQ41" s="56">
        <f t="shared" si="6"/>
        <v>0</v>
      </c>
    </row>
    <row r="42" spans="1:43" x14ac:dyDescent="0.2">
      <c r="A42" s="156" t="s">
        <v>129</v>
      </c>
      <c r="B42" s="156" t="s">
        <v>130</v>
      </c>
      <c r="D42" s="68">
        <f>VLOOKUP(A42,'2016-17 disagg'!A42:BC250,43,FALSE)</f>
        <v>304809</v>
      </c>
      <c r="E42" s="73">
        <v>1759.0227669152946</v>
      </c>
      <c r="F42" s="55"/>
      <c r="G42" s="88">
        <v>295466.37893691193</v>
      </c>
      <c r="H42" s="81">
        <v>1691.4786359545383</v>
      </c>
      <c r="I42" s="90"/>
      <c r="J42" s="103">
        <f t="shared" si="7"/>
        <v>3.1619912548773943E-2</v>
      </c>
      <c r="K42" s="126">
        <f t="shared" si="7"/>
        <v>3.99320035884696E-2</v>
      </c>
      <c r="L42" s="56">
        <v>313972</v>
      </c>
      <c r="M42" s="103">
        <v>1.9266698082206934E-2</v>
      </c>
      <c r="N42" s="97">
        <f>INDEX('Pace of change parameters'!$E$22:$I$22,1,$B$5)</f>
        <v>1.1119783131080974E-2</v>
      </c>
      <c r="O42" s="108">
        <f>MAX(IF(INDEX('Pace of change parameters'!$E$30:$I$30,1,$B$5)=1,(1+M42)*D42,D42),L42)</f>
        <v>313972</v>
      </c>
      <c r="P42" s="94">
        <f>IF(K42&lt;INDEX('Pace of change parameters'!$E$18:$I$18,1,$B$5),1,IF(K42&gt;INDEX('Pace of change parameters'!$E$19:$I$19,1,$B$5),0,(K42-INDEX('Pace of change parameters'!$E$19:$I$19,1,$B$5))/(INDEX('Pace of change parameters'!$E$18:$I$18,1,$B$5)-INDEX('Pace of change parameters'!$E$19:$I$19,1,$B$5))))</f>
        <v>0</v>
      </c>
      <c r="Q42" s="57">
        <v>1.9266698082206934E-2</v>
      </c>
      <c r="R42" s="57">
        <v>1.1119783131080974E-2</v>
      </c>
      <c r="S42" s="9">
        <f>MAX(IF(INDEX('Pace of change parameters'!$E$31:$I$31,1,$B$5)=1,D42*(1+Q42),D42),L42)</f>
        <v>313972</v>
      </c>
      <c r="T42" s="103">
        <f>IF(Q42&lt;INDEX('Pace of change parameters'!$E$24:$I$24,1,$B$5),INDEX('Pace of change parameters'!$E$24:$I$24,1,$B$5),Q42)</f>
        <v>1.9644681315626574E-2</v>
      </c>
      <c r="U42" s="132">
        <v>1.1494745175579801E-2</v>
      </c>
      <c r="V42" s="117">
        <f t="shared" si="8"/>
        <v>313972</v>
      </c>
      <c r="W42" s="131">
        <f>IF(J42&gt;INDEX('Pace of change parameters'!$E$26:$I$26,1,$B$5),0,IF(J42&lt;INDEX('Pace of change parameters'!$E$25:$I$25,1,$B$5),1,(J42-INDEX('Pace of change parameters'!$E$26:$I$26,1,$B$5))/(INDEX('Pace of change parameters'!$E$25:$I$25,1,$B$5)-INDEX('Pace of change parameters'!$E$26:$I$26,1,$B$5))))</f>
        <v>1</v>
      </c>
      <c r="X42" s="132">
        <f>MIN(T42, T42+(INDEX('Pace of change parameters'!$E$27:$I$27,1,$B$5)-T42)*(1-W42))</f>
        <v>1.9644681315626574E-2</v>
      </c>
      <c r="Y42" s="132">
        <v>1.1494745175579801E-2</v>
      </c>
      <c r="Z42" s="108">
        <f t="shared" si="9"/>
        <v>313972</v>
      </c>
      <c r="AA42" s="97">
        <f>MIN(VLOOKUP(A42,'2016-17 disagg'!$A$12:$BC$220,54,FALSE),MIN(0,VLOOKUP(A42,'2016-17 disagg'!$A$12:$BC$220,54,FALSE),-2.5%))</f>
        <v>-2.5000000000000001E-2</v>
      </c>
      <c r="AB42" s="99">
        <f t="shared" si="2"/>
        <v>295620.74200527207</v>
      </c>
      <c r="AC42" s="99">
        <f>MAX(IF(INDEX('Pace of change parameters'!$E$29:$I$29,1,$B$5)=1,MAX(AB42,Z42),Z42),L42)</f>
        <v>313972</v>
      </c>
      <c r="AD42" s="97">
        <f t="shared" si="3"/>
        <v>3.0061448316814898E-2</v>
      </c>
      <c r="AE42" s="146">
        <v>2.1828251814211219E-2</v>
      </c>
      <c r="AF42" s="56">
        <f t="shared" si="10"/>
        <v>313972</v>
      </c>
      <c r="AG42" s="56">
        <v>1797.4191588184522</v>
      </c>
      <c r="AH42" s="16">
        <f t="shared" si="4"/>
        <v>3.0061448316814898E-2</v>
      </c>
      <c r="AI42" s="16">
        <f t="shared" si="5"/>
        <v>2.1828251814211219E-2</v>
      </c>
      <c r="AJ42" s="56"/>
      <c r="AK42" s="56">
        <v>303200.76103104826</v>
      </c>
      <c r="AL42" s="56">
        <v>1735.7562357329355</v>
      </c>
      <c r="AM42" s="16">
        <f t="shared" si="11"/>
        <v>3.5525105320724393E-2</v>
      </c>
      <c r="AN42" s="58">
        <f t="shared" si="11"/>
        <v>3.5525105320724393E-2</v>
      </c>
      <c r="AP42" s="56">
        <f t="shared" si="12"/>
        <v>1</v>
      </c>
      <c r="AQ42" s="56">
        <f t="shared" si="6"/>
        <v>0</v>
      </c>
    </row>
    <row r="43" spans="1:43" x14ac:dyDescent="0.2">
      <c r="A43" s="156" t="s">
        <v>131</v>
      </c>
      <c r="B43" s="156" t="s">
        <v>132</v>
      </c>
      <c r="D43" s="68">
        <f>VLOOKUP(A43,'2016-17 disagg'!A43:BC251,43,FALSE)</f>
        <v>308470</v>
      </c>
      <c r="E43" s="73">
        <v>1991.9465274494935</v>
      </c>
      <c r="F43" s="55"/>
      <c r="G43" s="88">
        <v>290520.77864904527</v>
      </c>
      <c r="H43" s="81">
        <v>1875.3456234796818</v>
      </c>
      <c r="I43" s="90"/>
      <c r="J43" s="103">
        <f t="shared" si="7"/>
        <v>6.1782917677766891E-2</v>
      </c>
      <c r="K43" s="126">
        <f t="shared" si="7"/>
        <v>6.2175687782532574E-2</v>
      </c>
      <c r="L43" s="56">
        <v>315123</v>
      </c>
      <c r="M43" s="103">
        <v>1.1493812150138449E-2</v>
      </c>
      <c r="N43" s="97">
        <f>INDEX('Pace of change parameters'!$E$22:$I$22,1,$B$5)</f>
        <v>1.1119783131080974E-2</v>
      </c>
      <c r="O43" s="108">
        <f>MAX(IF(INDEX('Pace of change parameters'!$E$30:$I$30,1,$B$5)=1,(1+M43)*D43,D43),L43)</f>
        <v>315123</v>
      </c>
      <c r="P43" s="94">
        <f>IF(K43&lt;INDEX('Pace of change parameters'!$E$18:$I$18,1,$B$5),1,IF(K43&gt;INDEX('Pace of change parameters'!$E$19:$I$19,1,$B$5),0,(K43-INDEX('Pace of change parameters'!$E$19:$I$19,1,$B$5))/(INDEX('Pace of change parameters'!$E$18:$I$18,1,$B$5)-INDEX('Pace of change parameters'!$E$19:$I$19,1,$B$5))))</f>
        <v>0</v>
      </c>
      <c r="Q43" s="57">
        <v>1.1493812150138449E-2</v>
      </c>
      <c r="R43" s="57">
        <v>1.1119783131080974E-2</v>
      </c>
      <c r="S43" s="9">
        <f>MAX(IF(INDEX('Pace of change parameters'!$E$31:$I$31,1,$B$5)=1,D43*(1+Q43),D43),L43)</f>
        <v>315123</v>
      </c>
      <c r="T43" s="103">
        <f>IF(Q43&lt;INDEX('Pace of change parameters'!$E$24:$I$24,1,$B$5),INDEX('Pace of change parameters'!$E$24:$I$24,1,$B$5),Q43)</f>
        <v>1.9644681315626574E-2</v>
      </c>
      <c r="U43" s="132">
        <v>1.926763827753919E-2</v>
      </c>
      <c r="V43" s="117">
        <f t="shared" si="8"/>
        <v>315123</v>
      </c>
      <c r="W43" s="131">
        <f>IF(J43&gt;INDEX('Pace of change parameters'!$E$26:$I$26,1,$B$5),0,IF(J43&lt;INDEX('Pace of change parameters'!$E$25:$I$25,1,$B$5),1,(J43-INDEX('Pace of change parameters'!$E$26:$I$26,1,$B$5))/(INDEX('Pace of change parameters'!$E$25:$I$25,1,$B$5)-INDEX('Pace of change parameters'!$E$26:$I$26,1,$B$5))))</f>
        <v>0.76434164644466229</v>
      </c>
      <c r="X43" s="132">
        <f>MIN(T43, T43+(INDEX('Pace of change parameters'!$E$27:$I$27,1,$B$5)-T43)*(1-W43))</f>
        <v>1.5308567610208362E-2</v>
      </c>
      <c r="Y43" s="132">
        <v>1.493312797526225E-2</v>
      </c>
      <c r="Z43" s="108">
        <f t="shared" si="9"/>
        <v>315123</v>
      </c>
      <c r="AA43" s="97">
        <f>MIN(VLOOKUP(A43,'2016-17 disagg'!$A$12:$BC$220,54,FALSE),MIN(0,VLOOKUP(A43,'2016-17 disagg'!$A$12:$BC$220,54,FALSE),-2.5%))</f>
        <v>-2.5000000000000001E-2</v>
      </c>
      <c r="AB43" s="99">
        <f t="shared" si="2"/>
        <v>290720.23386082193</v>
      </c>
      <c r="AC43" s="99">
        <f>MAX(IF(INDEX('Pace of change parameters'!$E$29:$I$29,1,$B$5)=1,MAX(AB43,Z43),Z43),L43)</f>
        <v>315123</v>
      </c>
      <c r="AD43" s="97">
        <f t="shared" si="3"/>
        <v>2.1567737543359167E-2</v>
      </c>
      <c r="AE43" s="146">
        <v>2.1189983399750645E-2</v>
      </c>
      <c r="AF43" s="56">
        <f t="shared" si="10"/>
        <v>315123</v>
      </c>
      <c r="AG43" s="56">
        <v>2034.155841299339</v>
      </c>
      <c r="AH43" s="16">
        <f t="shared" si="4"/>
        <v>2.1567737543359167E-2</v>
      </c>
      <c r="AI43" s="16">
        <f t="shared" si="5"/>
        <v>2.1189983399750645E-2</v>
      </c>
      <c r="AJ43" s="56"/>
      <c r="AK43" s="56">
        <v>298174.59883161227</v>
      </c>
      <c r="AL43" s="56">
        <v>1924.7519284229054</v>
      </c>
      <c r="AM43" s="16">
        <f t="shared" si="11"/>
        <v>5.6840526439205341E-2</v>
      </c>
      <c r="AN43" s="58">
        <f t="shared" si="11"/>
        <v>5.6840526439205341E-2</v>
      </c>
      <c r="AP43" s="56">
        <f t="shared" si="12"/>
        <v>1</v>
      </c>
      <c r="AQ43" s="56">
        <f t="shared" si="6"/>
        <v>0</v>
      </c>
    </row>
    <row r="44" spans="1:43" x14ac:dyDescent="0.2">
      <c r="A44" s="156" t="s">
        <v>133</v>
      </c>
      <c r="B44" s="156" t="s">
        <v>134</v>
      </c>
      <c r="D44" s="68">
        <f>VLOOKUP(A44,'2016-17 disagg'!A44:BC252,43,FALSE)</f>
        <v>224703</v>
      </c>
      <c r="E44" s="73">
        <v>1810.9644584368129</v>
      </c>
      <c r="F44" s="55"/>
      <c r="G44" s="88">
        <v>219252.61107426506</v>
      </c>
      <c r="H44" s="81">
        <v>1764.0524025920035</v>
      </c>
      <c r="I44" s="90"/>
      <c r="J44" s="103">
        <f t="shared" si="7"/>
        <v>2.4858946486565614E-2</v>
      </c>
      <c r="K44" s="126">
        <f t="shared" si="7"/>
        <v>2.6593345966298587E-2</v>
      </c>
      <c r="L44" s="56">
        <v>229859</v>
      </c>
      <c r="M44" s="103">
        <v>1.2830931413312818E-2</v>
      </c>
      <c r="N44" s="97">
        <f>INDEX('Pace of change parameters'!$E$22:$I$22,1,$B$5)</f>
        <v>1.1119783131080974E-2</v>
      </c>
      <c r="O44" s="108">
        <f>MAX(IF(INDEX('Pace of change parameters'!$E$30:$I$30,1,$B$5)=1,(1+M44)*D44,D44),L44)</f>
        <v>229859</v>
      </c>
      <c r="P44" s="94">
        <f>IF(K44&lt;INDEX('Pace of change parameters'!$E$18:$I$18,1,$B$5),1,IF(K44&gt;INDEX('Pace of change parameters'!$E$19:$I$19,1,$B$5),0,(K44-INDEX('Pace of change parameters'!$E$19:$I$19,1,$B$5))/(INDEX('Pace of change parameters'!$E$18:$I$18,1,$B$5)-INDEX('Pace of change parameters'!$E$19:$I$19,1,$B$5))))</f>
        <v>4.7445087005915023E-4</v>
      </c>
      <c r="Q44" s="57">
        <v>1.2837528039089552E-2</v>
      </c>
      <c r="R44" s="57">
        <v>1.1126368612051074E-2</v>
      </c>
      <c r="S44" s="9">
        <f>MAX(IF(INDEX('Pace of change parameters'!$E$31:$I$31,1,$B$5)=1,D44*(1+Q44),D44),L44)</f>
        <v>229859</v>
      </c>
      <c r="T44" s="103">
        <f>IF(Q44&lt;INDEX('Pace of change parameters'!$E$24:$I$24,1,$B$5),INDEX('Pace of change parameters'!$E$24:$I$24,1,$B$5),Q44)</f>
        <v>1.9644681315626574E-2</v>
      </c>
      <c r="U44" s="132">
        <v>1.7922021401908017E-2</v>
      </c>
      <c r="V44" s="117">
        <f t="shared" si="8"/>
        <v>229859</v>
      </c>
      <c r="W44" s="131">
        <f>IF(J44&gt;INDEX('Pace of change parameters'!$E$26:$I$26,1,$B$5),0,IF(J44&lt;INDEX('Pace of change parameters'!$E$25:$I$25,1,$B$5),1,(J44-INDEX('Pace of change parameters'!$E$26:$I$26,1,$B$5))/(INDEX('Pace of change parameters'!$E$25:$I$25,1,$B$5)-INDEX('Pace of change parameters'!$E$26:$I$26,1,$B$5))))</f>
        <v>1</v>
      </c>
      <c r="X44" s="132">
        <f>MIN(T44, T44+(INDEX('Pace of change parameters'!$E$27:$I$27,1,$B$5)-T44)*(1-W44))</f>
        <v>1.9644681315626574E-2</v>
      </c>
      <c r="Y44" s="132">
        <v>1.7922021401908017E-2</v>
      </c>
      <c r="Z44" s="108">
        <f t="shared" si="9"/>
        <v>229859</v>
      </c>
      <c r="AA44" s="97">
        <f>MIN(VLOOKUP(A44,'2016-17 disagg'!$A$12:$BC$220,54,FALSE),MIN(0,VLOOKUP(A44,'2016-17 disagg'!$A$12:$BC$220,54,FALSE),-2.5%))</f>
        <v>-2.5000000000000001E-2</v>
      </c>
      <c r="AB44" s="99">
        <f t="shared" si="2"/>
        <v>219280.05630515784</v>
      </c>
      <c r="AC44" s="99">
        <f>MAX(IF(INDEX('Pace of change parameters'!$E$29:$I$29,1,$B$5)=1,MAX(AB44,Z44),Z44),L44)</f>
        <v>229859</v>
      </c>
      <c r="AD44" s="97">
        <f t="shared" si="3"/>
        <v>2.2945844069727661E-2</v>
      </c>
      <c r="AE44" s="146">
        <v>2.1217606937935507E-2</v>
      </c>
      <c r="AF44" s="56">
        <f t="shared" si="10"/>
        <v>229859</v>
      </c>
      <c r="AG44" s="56">
        <v>1849.3887904944966</v>
      </c>
      <c r="AH44" s="16">
        <f t="shared" si="4"/>
        <v>2.2945844069727661E-2</v>
      </c>
      <c r="AI44" s="16">
        <f t="shared" si="5"/>
        <v>2.1217606937935507E-2</v>
      </c>
      <c r="AJ44" s="56"/>
      <c r="AK44" s="56">
        <v>224902.62185144392</v>
      </c>
      <c r="AL44" s="56">
        <v>1809.5109950225269</v>
      </c>
      <c r="AM44" s="16">
        <f t="shared" si="11"/>
        <v>2.2037885142263569E-2</v>
      </c>
      <c r="AN44" s="58">
        <f t="shared" si="11"/>
        <v>2.2037885142263569E-2</v>
      </c>
      <c r="AP44" s="56">
        <f t="shared" si="12"/>
        <v>1</v>
      </c>
      <c r="AQ44" s="56">
        <f t="shared" si="6"/>
        <v>0</v>
      </c>
    </row>
    <row r="45" spans="1:43" x14ac:dyDescent="0.2">
      <c r="A45" s="156" t="s">
        <v>135</v>
      </c>
      <c r="B45" s="156" t="s">
        <v>136</v>
      </c>
      <c r="D45" s="68">
        <f>VLOOKUP(A45,'2016-17 disagg'!A45:BC253,43,FALSE)</f>
        <v>363817</v>
      </c>
      <c r="E45" s="73">
        <v>1854.2674980907243</v>
      </c>
      <c r="F45" s="55"/>
      <c r="G45" s="88">
        <v>359298.73651498178</v>
      </c>
      <c r="H45" s="81">
        <v>1823.5932678515758</v>
      </c>
      <c r="I45" s="90"/>
      <c r="J45" s="103">
        <f t="shared" si="7"/>
        <v>1.2575227869830785E-2</v>
      </c>
      <c r="K45" s="126">
        <f t="shared" si="7"/>
        <v>1.6820763039604003E-2</v>
      </c>
      <c r="L45" s="56">
        <v>372324</v>
      </c>
      <c r="M45" s="103">
        <v>1.535921589813305E-2</v>
      </c>
      <c r="N45" s="97">
        <f>INDEX('Pace of change parameters'!$E$22:$I$22,1,$B$5)</f>
        <v>1.1119783131080974E-2</v>
      </c>
      <c r="O45" s="108">
        <f>MAX(IF(INDEX('Pace of change parameters'!$E$30:$I$30,1,$B$5)=1,(1+M45)*D45,D45),L45)</f>
        <v>372324</v>
      </c>
      <c r="P45" s="94">
        <f>IF(K45&lt;INDEX('Pace of change parameters'!$E$18:$I$18,1,$B$5),1,IF(K45&gt;INDEX('Pace of change parameters'!$E$19:$I$19,1,$B$5),0,(K45-INDEX('Pace of change parameters'!$E$19:$I$19,1,$B$5))/(INDEX('Pace of change parameters'!$E$18:$I$18,1,$B$5)-INDEX('Pace of change parameters'!$E$19:$I$19,1,$B$5))))</f>
        <v>0.14287815167540396</v>
      </c>
      <c r="Q45" s="57">
        <v>1.7350710724298724E-2</v>
      </c>
      <c r="R45" s="57">
        <v>1.3102962862165946E-2</v>
      </c>
      <c r="S45" s="9">
        <f>MAX(IF(INDEX('Pace of change parameters'!$E$31:$I$31,1,$B$5)=1,D45*(1+Q45),D45),L45)</f>
        <v>372324</v>
      </c>
      <c r="T45" s="103">
        <f>IF(Q45&lt;INDEX('Pace of change parameters'!$E$24:$I$24,1,$B$5),INDEX('Pace of change parameters'!$E$24:$I$24,1,$B$5),Q45)</f>
        <v>1.9644681315626574E-2</v>
      </c>
      <c r="U45" s="132">
        <v>1.5387355430327876E-2</v>
      </c>
      <c r="V45" s="117">
        <f t="shared" si="8"/>
        <v>372324</v>
      </c>
      <c r="W45" s="131">
        <f>IF(J45&gt;INDEX('Pace of change parameters'!$E$26:$I$26,1,$B$5),0,IF(J45&lt;INDEX('Pace of change parameters'!$E$25:$I$25,1,$B$5),1,(J45-INDEX('Pace of change parameters'!$E$26:$I$26,1,$B$5))/(INDEX('Pace of change parameters'!$E$25:$I$25,1,$B$5)-INDEX('Pace of change parameters'!$E$26:$I$26,1,$B$5))))</f>
        <v>1</v>
      </c>
      <c r="X45" s="132">
        <f>MIN(T45, T45+(INDEX('Pace of change parameters'!$E$27:$I$27,1,$B$5)-T45)*(1-W45))</f>
        <v>1.9644681315626574E-2</v>
      </c>
      <c r="Y45" s="132">
        <v>1.5387355430327876E-2</v>
      </c>
      <c r="Z45" s="108">
        <f t="shared" si="9"/>
        <v>372324</v>
      </c>
      <c r="AA45" s="97">
        <f>MIN(VLOOKUP(A45,'2016-17 disagg'!$A$12:$BC$220,54,FALSE),MIN(0,VLOOKUP(A45,'2016-17 disagg'!$A$12:$BC$220,54,FALSE),-2.5%))</f>
        <v>-2.5000000000000001E-2</v>
      </c>
      <c r="AB45" s="99">
        <f t="shared" si="2"/>
        <v>359320.25501298584</v>
      </c>
      <c r="AC45" s="99">
        <f>MAX(IF(INDEX('Pace of change parameters'!$E$29:$I$29,1,$B$5)=1,MAX(AB45,Z45),Z45),L45)</f>
        <v>372324</v>
      </c>
      <c r="AD45" s="97">
        <f t="shared" si="3"/>
        <v>2.3382634676224479E-2</v>
      </c>
      <c r="AE45" s="146">
        <v>1.9109701701621296E-2</v>
      </c>
      <c r="AF45" s="56">
        <f t="shared" si="10"/>
        <v>372324</v>
      </c>
      <c r="AG45" s="56">
        <v>1889.70199685425</v>
      </c>
      <c r="AH45" s="16">
        <f t="shared" si="4"/>
        <v>2.3382634676224479E-2</v>
      </c>
      <c r="AI45" s="16">
        <f t="shared" si="5"/>
        <v>1.9109701701621518E-2</v>
      </c>
      <c r="AJ45" s="56"/>
      <c r="AK45" s="56">
        <v>368533.59488511371</v>
      </c>
      <c r="AL45" s="56">
        <v>1870.4640854800512</v>
      </c>
      <c r="AM45" s="16">
        <f t="shared" si="11"/>
        <v>1.0285100646164835E-2</v>
      </c>
      <c r="AN45" s="58">
        <f t="shared" si="11"/>
        <v>1.0285100646164835E-2</v>
      </c>
      <c r="AP45" s="56">
        <f t="shared" si="12"/>
        <v>1</v>
      </c>
      <c r="AQ45" s="56">
        <f t="shared" si="6"/>
        <v>0</v>
      </c>
    </row>
    <row r="46" spans="1:43" x14ac:dyDescent="0.2">
      <c r="A46" s="156" t="s">
        <v>137</v>
      </c>
      <c r="B46" s="156" t="s">
        <v>138</v>
      </c>
      <c r="D46" s="68">
        <f>VLOOKUP(A46,'2016-17 disagg'!A46:BC254,43,FALSE)</f>
        <v>510228</v>
      </c>
      <c r="E46" s="73">
        <v>1658.9231258931038</v>
      </c>
      <c r="F46" s="55"/>
      <c r="G46" s="88">
        <v>521329.82791511039</v>
      </c>
      <c r="H46" s="81">
        <v>1687.0227746968749</v>
      </c>
      <c r="I46" s="90"/>
      <c r="J46" s="103">
        <f t="shared" si="7"/>
        <v>-2.1295209521213332E-2</v>
      </c>
      <c r="K46" s="126">
        <f t="shared" si="7"/>
        <v>-1.6656354155515141E-2</v>
      </c>
      <c r="L46" s="56">
        <v>524464</v>
      </c>
      <c r="M46" s="103">
        <v>1.5912278760990661E-2</v>
      </c>
      <c r="N46" s="97">
        <f>INDEX('Pace of change parameters'!$E$22:$I$22,1,$B$5)</f>
        <v>1.1119783131080974E-2</v>
      </c>
      <c r="O46" s="108">
        <f>MAX(IF(INDEX('Pace of change parameters'!$E$30:$I$30,1,$B$5)=1,(1+M46)*D46,D46),L46)</f>
        <v>524464</v>
      </c>
      <c r="P46" s="94">
        <f>IF(K46&lt;INDEX('Pace of change parameters'!$E$18:$I$18,1,$B$5),1,IF(K46&gt;INDEX('Pace of change parameters'!$E$19:$I$19,1,$B$5),0,(K46-INDEX('Pace of change parameters'!$E$19:$I$19,1,$B$5))/(INDEX('Pace of change parameters'!$E$18:$I$18,1,$B$5)-INDEX('Pace of change parameters'!$E$19:$I$19,1,$B$5))))</f>
        <v>0.63069855868950542</v>
      </c>
      <c r="Q46" s="57">
        <v>2.4708004761144542E-2</v>
      </c>
      <c r="R46" s="57">
        <v>1.9874015904606024E-2</v>
      </c>
      <c r="S46" s="9">
        <f>MAX(IF(INDEX('Pace of change parameters'!$E$31:$I$31,1,$B$5)=1,D46*(1+Q46),D46),L46)</f>
        <v>524464</v>
      </c>
      <c r="T46" s="103">
        <f>IF(Q46&lt;INDEX('Pace of change parameters'!$E$24:$I$24,1,$B$5),INDEX('Pace of change parameters'!$E$24:$I$24,1,$B$5),Q46)</f>
        <v>2.4708004761144542E-2</v>
      </c>
      <c r="U46" s="132">
        <v>1.9874015904606024E-2</v>
      </c>
      <c r="V46" s="117">
        <f t="shared" si="8"/>
        <v>524464</v>
      </c>
      <c r="W46" s="131">
        <f>IF(J46&gt;INDEX('Pace of change parameters'!$E$26:$I$26,1,$B$5),0,IF(J46&lt;INDEX('Pace of change parameters'!$E$25:$I$25,1,$B$5),1,(J46-INDEX('Pace of change parameters'!$E$26:$I$26,1,$B$5))/(INDEX('Pace of change parameters'!$E$25:$I$25,1,$B$5)-INDEX('Pace of change parameters'!$E$26:$I$26,1,$B$5))))</f>
        <v>1</v>
      </c>
      <c r="X46" s="132">
        <f>MIN(T46, T46+(INDEX('Pace of change parameters'!$E$27:$I$27,1,$B$5)-T46)*(1-W46))</f>
        <v>2.4708004761144542E-2</v>
      </c>
      <c r="Y46" s="132">
        <v>1.9874015904606024E-2</v>
      </c>
      <c r="Z46" s="108">
        <f t="shared" si="9"/>
        <v>524464</v>
      </c>
      <c r="AA46" s="97">
        <f>MIN(VLOOKUP(A46,'2016-17 disagg'!$A$12:$BC$220,54,FALSE),MIN(0,VLOOKUP(A46,'2016-17 disagg'!$A$12:$BC$220,54,FALSE),-2.5%))</f>
        <v>-2.5000000000000001E-2</v>
      </c>
      <c r="AB46" s="99">
        <f t="shared" si="2"/>
        <v>521459.12659348524</v>
      </c>
      <c r="AC46" s="99">
        <f>MAX(IF(INDEX('Pace of change parameters'!$E$29:$I$29,1,$B$5)=1,MAX(AB46,Z46),Z46),L46)</f>
        <v>524464</v>
      </c>
      <c r="AD46" s="97">
        <f t="shared" si="3"/>
        <v>2.7901251989306708E-2</v>
      </c>
      <c r="AE46" s="146">
        <v>2.3052199210709112E-2</v>
      </c>
      <c r="AF46" s="56">
        <f t="shared" si="10"/>
        <v>524464</v>
      </c>
      <c r="AG46" s="56">
        <v>1697.1649522664438</v>
      </c>
      <c r="AH46" s="16">
        <f t="shared" si="4"/>
        <v>2.7901251989306708E-2</v>
      </c>
      <c r="AI46" s="16">
        <f t="shared" si="5"/>
        <v>2.3052199210709112E-2</v>
      </c>
      <c r="AJ46" s="56"/>
      <c r="AK46" s="56">
        <v>534829.87342921563</v>
      </c>
      <c r="AL46" s="56">
        <v>1730.7089077785377</v>
      </c>
      <c r="AM46" s="16">
        <f t="shared" si="11"/>
        <v>-1.9381627587015338E-2</v>
      </c>
      <c r="AN46" s="58">
        <f t="shared" si="11"/>
        <v>-1.9381627587015449E-2</v>
      </c>
      <c r="AP46" s="56">
        <f t="shared" si="12"/>
        <v>1</v>
      </c>
      <c r="AQ46" s="56">
        <f t="shared" si="6"/>
        <v>0</v>
      </c>
    </row>
    <row r="47" spans="1:43" x14ac:dyDescent="0.2">
      <c r="A47" s="156" t="s">
        <v>139</v>
      </c>
      <c r="B47" s="156" t="s">
        <v>140</v>
      </c>
      <c r="D47" s="68">
        <f>VLOOKUP(A47,'2016-17 disagg'!A47:BC255,43,FALSE)</f>
        <v>434102</v>
      </c>
      <c r="E47" s="73">
        <v>1770.1594157640327</v>
      </c>
      <c r="F47" s="55"/>
      <c r="G47" s="88">
        <v>433338.70417733811</v>
      </c>
      <c r="H47" s="81">
        <v>1756.988667316534</v>
      </c>
      <c r="I47" s="90"/>
      <c r="J47" s="103">
        <f t="shared" si="7"/>
        <v>1.7614300668364891E-3</v>
      </c>
      <c r="K47" s="126">
        <f t="shared" si="7"/>
        <v>7.496205691306157E-3</v>
      </c>
      <c r="L47" s="56">
        <v>445070</v>
      </c>
      <c r="M47" s="103">
        <v>1.6908132444282575E-2</v>
      </c>
      <c r="N47" s="97">
        <f>INDEX('Pace of change parameters'!$E$22:$I$22,1,$B$5)</f>
        <v>1.1119783131080974E-2</v>
      </c>
      <c r="O47" s="108">
        <f>MAX(IF(INDEX('Pace of change parameters'!$E$30:$I$30,1,$B$5)=1,(1+M47)*D47,D47),L47)</f>
        <v>445070</v>
      </c>
      <c r="P47" s="94">
        <f>IF(K47&lt;INDEX('Pace of change parameters'!$E$18:$I$18,1,$B$5),1,IF(K47&gt;INDEX('Pace of change parameters'!$E$19:$I$19,1,$B$5),0,(K47-INDEX('Pace of change parameters'!$E$19:$I$19,1,$B$5))/(INDEX('Pace of change parameters'!$E$18:$I$18,1,$B$5)-INDEX('Pace of change parameters'!$E$19:$I$19,1,$B$5))))</f>
        <v>0.27875333275390413</v>
      </c>
      <c r="Q47" s="57">
        <v>2.0799438886236254E-2</v>
      </c>
      <c r="R47" s="57">
        <v>1.4988939842639049E-2</v>
      </c>
      <c r="S47" s="9">
        <f>MAX(IF(INDEX('Pace of change parameters'!$E$31:$I$31,1,$B$5)=1,D47*(1+Q47),D47),L47)</f>
        <v>445070</v>
      </c>
      <c r="T47" s="103">
        <f>IF(Q47&lt;INDEX('Pace of change parameters'!$E$24:$I$24,1,$B$5),INDEX('Pace of change parameters'!$E$24:$I$24,1,$B$5),Q47)</f>
        <v>2.0799438886236254E-2</v>
      </c>
      <c r="U47" s="132">
        <v>1.4988939842639049E-2</v>
      </c>
      <c r="V47" s="117">
        <f t="shared" si="8"/>
        <v>445070</v>
      </c>
      <c r="W47" s="131">
        <f>IF(J47&gt;INDEX('Pace of change parameters'!$E$26:$I$26,1,$B$5),0,IF(J47&lt;INDEX('Pace of change parameters'!$E$25:$I$25,1,$B$5),1,(J47-INDEX('Pace of change parameters'!$E$26:$I$26,1,$B$5))/(INDEX('Pace of change parameters'!$E$25:$I$25,1,$B$5)-INDEX('Pace of change parameters'!$E$26:$I$26,1,$B$5))))</f>
        <v>1</v>
      </c>
      <c r="X47" s="132">
        <f>MIN(T47, T47+(INDEX('Pace of change parameters'!$E$27:$I$27,1,$B$5)-T47)*(1-W47))</f>
        <v>2.0799438886236254E-2</v>
      </c>
      <c r="Y47" s="132">
        <v>1.4988939842639049E-2</v>
      </c>
      <c r="Z47" s="108">
        <f t="shared" si="9"/>
        <v>445070</v>
      </c>
      <c r="AA47" s="97">
        <f>MIN(VLOOKUP(A47,'2016-17 disagg'!$A$12:$BC$220,54,FALSE),MIN(0,VLOOKUP(A47,'2016-17 disagg'!$A$12:$BC$220,54,FALSE),-2.5%))</f>
        <v>-2.5000000000000001E-2</v>
      </c>
      <c r="AB47" s="99">
        <f t="shared" si="2"/>
        <v>433463.45493640867</v>
      </c>
      <c r="AC47" s="99">
        <f>MAX(IF(INDEX('Pace of change parameters'!$E$29:$I$29,1,$B$5)=1,MAX(AB47,Z47),Z47),L47)</f>
        <v>445070</v>
      </c>
      <c r="AD47" s="97">
        <f t="shared" si="3"/>
        <v>2.5265951320196711E-2</v>
      </c>
      <c r="AE47" s="146">
        <v>1.9430028412481759E-2</v>
      </c>
      <c r="AF47" s="56">
        <f t="shared" si="10"/>
        <v>445070</v>
      </c>
      <c r="AG47" s="56">
        <v>1804.5536635069498</v>
      </c>
      <c r="AH47" s="16">
        <f t="shared" si="4"/>
        <v>2.5265951320196711E-2</v>
      </c>
      <c r="AI47" s="16">
        <f t="shared" si="5"/>
        <v>1.9430028412481537E-2</v>
      </c>
      <c r="AJ47" s="56"/>
      <c r="AK47" s="56">
        <v>444577.90249888069</v>
      </c>
      <c r="AL47" s="56">
        <v>1802.5584350070565</v>
      </c>
      <c r="AM47" s="16">
        <f t="shared" si="11"/>
        <v>1.1068870008008602E-3</v>
      </c>
      <c r="AN47" s="58">
        <f t="shared" si="11"/>
        <v>1.1068870008008602E-3</v>
      </c>
      <c r="AP47" s="56">
        <f t="shared" si="12"/>
        <v>1</v>
      </c>
      <c r="AQ47" s="56">
        <f t="shared" si="6"/>
        <v>0</v>
      </c>
    </row>
    <row r="48" spans="1:43" x14ac:dyDescent="0.2">
      <c r="A48" s="156" t="s">
        <v>141</v>
      </c>
      <c r="B48" s="156" t="s">
        <v>142</v>
      </c>
      <c r="D48" s="68">
        <f>VLOOKUP(A48,'2016-17 disagg'!A48:BC256,43,FALSE)</f>
        <v>389660</v>
      </c>
      <c r="E48" s="73">
        <v>1619.4415663281886</v>
      </c>
      <c r="F48" s="55"/>
      <c r="G48" s="88">
        <v>383173.22659807117</v>
      </c>
      <c r="H48" s="81">
        <v>1581.4648052874272</v>
      </c>
      <c r="I48" s="90"/>
      <c r="J48" s="103">
        <f t="shared" si="7"/>
        <v>1.6929088338244247E-2</v>
      </c>
      <c r="K48" s="126">
        <f t="shared" si="7"/>
        <v>2.40136618366662E-2</v>
      </c>
      <c r="L48" s="56">
        <v>399246</v>
      </c>
      <c r="M48" s="103">
        <v>1.8163885322125539E-2</v>
      </c>
      <c r="N48" s="97">
        <f>INDEX('Pace of change parameters'!$E$22:$I$22,1,$B$5)</f>
        <v>1.1119783131080974E-2</v>
      </c>
      <c r="O48" s="108">
        <f>MAX(IF(INDEX('Pace of change parameters'!$E$30:$I$30,1,$B$5)=1,(1+M48)*D48,D48),L48)</f>
        <v>399246</v>
      </c>
      <c r="P48" s="94">
        <f>IF(K48&lt;INDEX('Pace of change parameters'!$E$18:$I$18,1,$B$5),1,IF(K48&gt;INDEX('Pace of change parameters'!$E$19:$I$19,1,$B$5),0,(K48-INDEX('Pace of change parameters'!$E$19:$I$19,1,$B$5))/(INDEX('Pace of change parameters'!$E$18:$I$18,1,$B$5)-INDEX('Pace of change parameters'!$E$19:$I$19,1,$B$5))))</f>
        <v>3.8064980387593678E-2</v>
      </c>
      <c r="Q48" s="57">
        <v>1.869591632774692E-2</v>
      </c>
      <c r="R48" s="57">
        <v>1.1648133313971964E-2</v>
      </c>
      <c r="S48" s="9">
        <f>MAX(IF(INDEX('Pace of change parameters'!$E$31:$I$31,1,$B$5)=1,D48*(1+Q48),D48),L48)</f>
        <v>399246</v>
      </c>
      <c r="T48" s="103">
        <f>IF(Q48&lt;INDEX('Pace of change parameters'!$E$24:$I$24,1,$B$5),INDEX('Pace of change parameters'!$E$24:$I$24,1,$B$5),Q48)</f>
        <v>1.9644681315626574E-2</v>
      </c>
      <c r="U48" s="132">
        <v>1.2590334331525899E-2</v>
      </c>
      <c r="V48" s="117">
        <f t="shared" si="8"/>
        <v>399246</v>
      </c>
      <c r="W48" s="131">
        <f>IF(J48&gt;INDEX('Pace of change parameters'!$E$26:$I$26,1,$B$5),0,IF(J48&lt;INDEX('Pace of change parameters'!$E$25:$I$25,1,$B$5),1,(J48-INDEX('Pace of change parameters'!$E$26:$I$26,1,$B$5))/(INDEX('Pace of change parameters'!$E$25:$I$25,1,$B$5)-INDEX('Pace of change parameters'!$E$26:$I$26,1,$B$5))))</f>
        <v>1</v>
      </c>
      <c r="X48" s="132">
        <f>MIN(T48, T48+(INDEX('Pace of change parameters'!$E$27:$I$27,1,$B$5)-T48)*(1-W48))</f>
        <v>1.9644681315626574E-2</v>
      </c>
      <c r="Y48" s="132">
        <v>1.2590334331525899E-2</v>
      </c>
      <c r="Z48" s="108">
        <f t="shared" si="9"/>
        <v>399246</v>
      </c>
      <c r="AA48" s="97">
        <f>MIN(VLOOKUP(A48,'2016-17 disagg'!$A$12:$BC$220,54,FALSE),MIN(0,VLOOKUP(A48,'2016-17 disagg'!$A$12:$BC$220,54,FALSE),-2.5%))</f>
        <v>-2.5000000000000001E-2</v>
      </c>
      <c r="AB48" s="99">
        <f t="shared" si="2"/>
        <v>383434.54596153565</v>
      </c>
      <c r="AC48" s="99">
        <f>MAX(IF(INDEX('Pace of change parameters'!$E$29:$I$29,1,$B$5)=1,MAX(AB48,Z48),Z48),L48)</f>
        <v>399246</v>
      </c>
      <c r="AD48" s="97">
        <f t="shared" si="3"/>
        <v>2.4600934147718467E-2</v>
      </c>
      <c r="AE48" s="146">
        <v>1.7512297643102359E-2</v>
      </c>
      <c r="AF48" s="56">
        <f t="shared" si="10"/>
        <v>399246</v>
      </c>
      <c r="AG48" s="56">
        <v>1647.8017090533394</v>
      </c>
      <c r="AH48" s="16">
        <f t="shared" si="4"/>
        <v>2.4600934147718467E-2</v>
      </c>
      <c r="AI48" s="16">
        <f t="shared" si="5"/>
        <v>1.7512297643102137E-2</v>
      </c>
      <c r="AJ48" s="56"/>
      <c r="AK48" s="56">
        <v>393266.20098619041</v>
      </c>
      <c r="AL48" s="56">
        <v>1623.1213790443953</v>
      </c>
      <c r="AM48" s="16">
        <f t="shared" si="11"/>
        <v>1.520547404992878E-2</v>
      </c>
      <c r="AN48" s="58">
        <f t="shared" si="11"/>
        <v>1.520547404992878E-2</v>
      </c>
      <c r="AP48" s="56">
        <f t="shared" si="12"/>
        <v>1</v>
      </c>
      <c r="AQ48" s="56">
        <f t="shared" si="6"/>
        <v>0</v>
      </c>
    </row>
    <row r="49" spans="1:43" x14ac:dyDescent="0.2">
      <c r="A49" s="156" t="s">
        <v>143</v>
      </c>
      <c r="B49" s="156" t="s">
        <v>144</v>
      </c>
      <c r="D49" s="68">
        <f>VLOOKUP(A49,'2016-17 disagg'!A49:BC257,43,FALSE)</f>
        <v>163995</v>
      </c>
      <c r="E49" s="73">
        <v>1578.1060275683947</v>
      </c>
      <c r="F49" s="55"/>
      <c r="G49" s="88">
        <v>166384.32845903418</v>
      </c>
      <c r="H49" s="81">
        <v>1597.8994573730461</v>
      </c>
      <c r="I49" s="90"/>
      <c r="J49" s="103">
        <f t="shared" si="7"/>
        <v>-1.4360297518179133E-2</v>
      </c>
      <c r="K49" s="126">
        <f t="shared" si="7"/>
        <v>-1.2387155971122166E-2</v>
      </c>
      <c r="L49" s="56">
        <v>167787</v>
      </c>
      <c r="M49" s="103">
        <v>1.3143932978255002E-2</v>
      </c>
      <c r="N49" s="97">
        <f>INDEX('Pace of change parameters'!$E$22:$I$22,1,$B$5)</f>
        <v>1.1119783131080974E-2</v>
      </c>
      <c r="O49" s="108">
        <f>MAX(IF(INDEX('Pace of change parameters'!$E$30:$I$30,1,$B$5)=1,(1+M49)*D49,D49),L49)</f>
        <v>167787</v>
      </c>
      <c r="P49" s="94">
        <f>IF(K49&lt;INDEX('Pace of change parameters'!$E$18:$I$18,1,$B$5),1,IF(K49&gt;INDEX('Pace of change parameters'!$E$19:$I$19,1,$B$5),0,(K49-INDEX('Pace of change parameters'!$E$19:$I$19,1,$B$5))/(INDEX('Pace of change parameters'!$E$18:$I$18,1,$B$5)-INDEX('Pace of change parameters'!$E$19:$I$19,1,$B$5))))</f>
        <v>0.56848884141318989</v>
      </c>
      <c r="Q49" s="57">
        <v>2.1050477789217981E-2</v>
      </c>
      <c r="R49" s="57">
        <v>1.9010531537456465E-2</v>
      </c>
      <c r="S49" s="9">
        <f>MAX(IF(INDEX('Pace of change parameters'!$E$31:$I$31,1,$B$5)=1,D49*(1+Q49),D49),L49)</f>
        <v>167787</v>
      </c>
      <c r="T49" s="103">
        <f>IF(Q49&lt;INDEX('Pace of change parameters'!$E$24:$I$24,1,$B$5),INDEX('Pace of change parameters'!$E$24:$I$24,1,$B$5),Q49)</f>
        <v>2.1050477789217981E-2</v>
      </c>
      <c r="U49" s="132">
        <v>1.9010531537456465E-2</v>
      </c>
      <c r="V49" s="117">
        <f t="shared" si="8"/>
        <v>167787</v>
      </c>
      <c r="W49" s="131">
        <f>IF(J49&gt;INDEX('Pace of change parameters'!$E$26:$I$26,1,$B$5),0,IF(J49&lt;INDEX('Pace of change parameters'!$E$25:$I$25,1,$B$5),1,(J49-INDEX('Pace of change parameters'!$E$26:$I$26,1,$B$5))/(INDEX('Pace of change parameters'!$E$25:$I$25,1,$B$5)-INDEX('Pace of change parameters'!$E$26:$I$26,1,$B$5))))</f>
        <v>1</v>
      </c>
      <c r="X49" s="132">
        <f>MIN(T49, T49+(INDEX('Pace of change parameters'!$E$27:$I$27,1,$B$5)-T49)*(1-W49))</f>
        <v>2.1050477789217981E-2</v>
      </c>
      <c r="Y49" s="132">
        <v>1.9010531537456465E-2</v>
      </c>
      <c r="Z49" s="108">
        <f t="shared" si="9"/>
        <v>167787</v>
      </c>
      <c r="AA49" s="97">
        <f>MIN(VLOOKUP(A49,'2016-17 disagg'!$A$12:$BC$220,54,FALSE),MIN(0,VLOOKUP(A49,'2016-17 disagg'!$A$12:$BC$220,54,FALSE),-2.5%))</f>
        <v>-2.5000000000000001E-2</v>
      </c>
      <c r="AB49" s="99">
        <f t="shared" si="2"/>
        <v>166383.31059944979</v>
      </c>
      <c r="AC49" s="99">
        <f>MAX(IF(INDEX('Pace of change parameters'!$E$29:$I$29,1,$B$5)=1,MAX(AB49,Z49),Z49),L49)</f>
        <v>167787</v>
      </c>
      <c r="AD49" s="97">
        <f t="shared" si="3"/>
        <v>2.3122656178542034E-2</v>
      </c>
      <c r="AE49" s="146">
        <v>2.1078569942881265E-2</v>
      </c>
      <c r="AF49" s="56">
        <f t="shared" si="10"/>
        <v>167787</v>
      </c>
      <c r="AG49" s="56">
        <v>1611.3702458477776</v>
      </c>
      <c r="AH49" s="16">
        <f t="shared" si="4"/>
        <v>2.3122656178542034E-2</v>
      </c>
      <c r="AI49" s="16">
        <f t="shared" si="5"/>
        <v>2.1078569942881265E-2</v>
      </c>
      <c r="AJ49" s="56"/>
      <c r="AK49" s="56">
        <v>170649.54933276901</v>
      </c>
      <c r="AL49" s="56">
        <v>1638.861212502497</v>
      </c>
      <c r="AM49" s="16">
        <f t="shared" si="11"/>
        <v>-1.6774432419900509E-2</v>
      </c>
      <c r="AN49" s="58">
        <f t="shared" si="11"/>
        <v>-1.6774432419900509E-2</v>
      </c>
      <c r="AP49" s="56">
        <f t="shared" si="12"/>
        <v>1</v>
      </c>
      <c r="AQ49" s="56">
        <f t="shared" si="6"/>
        <v>0</v>
      </c>
    </row>
    <row r="50" spans="1:43" x14ac:dyDescent="0.2">
      <c r="A50" s="156" t="s">
        <v>145</v>
      </c>
      <c r="B50" s="156" t="s">
        <v>146</v>
      </c>
      <c r="D50" s="68">
        <f>VLOOKUP(A50,'2016-17 disagg'!A50:BC258,43,FALSE)</f>
        <v>344127</v>
      </c>
      <c r="E50" s="73">
        <v>1592.4392245439342</v>
      </c>
      <c r="F50" s="55"/>
      <c r="G50" s="88">
        <v>350478.81166734453</v>
      </c>
      <c r="H50" s="81">
        <v>1609.7554976103252</v>
      </c>
      <c r="I50" s="90"/>
      <c r="J50" s="103">
        <f t="shared" si="7"/>
        <v>-1.8123240138617325E-2</v>
      </c>
      <c r="K50" s="126">
        <f t="shared" si="7"/>
        <v>-1.0757082732189449E-2</v>
      </c>
      <c r="L50" s="56">
        <v>352398</v>
      </c>
      <c r="M50" s="103">
        <v>1.870532521107493E-2</v>
      </c>
      <c r="N50" s="97">
        <f>INDEX('Pace of change parameters'!$E$22:$I$22,1,$B$5)</f>
        <v>1.1119783131080974E-2</v>
      </c>
      <c r="O50" s="108">
        <f>MAX(IF(INDEX('Pace of change parameters'!$E$30:$I$30,1,$B$5)=1,(1+M50)*D50,D50),L50)</f>
        <v>352398</v>
      </c>
      <c r="P50" s="94">
        <f>IF(K50&lt;INDEX('Pace of change parameters'!$E$18:$I$18,1,$B$5),1,IF(K50&gt;INDEX('Pace of change parameters'!$E$19:$I$19,1,$B$5),0,(K50-INDEX('Pace of change parameters'!$E$19:$I$19,1,$B$5))/(INDEX('Pace of change parameters'!$E$18:$I$18,1,$B$5)-INDEX('Pace of change parameters'!$E$19:$I$19,1,$B$5))))</f>
        <v>0.54473581076110944</v>
      </c>
      <c r="Q50" s="57">
        <v>2.6323100315047698E-2</v>
      </c>
      <c r="R50" s="57">
        <v>1.8680834320711659E-2</v>
      </c>
      <c r="S50" s="9">
        <f>MAX(IF(INDEX('Pace of change parameters'!$E$31:$I$31,1,$B$5)=1,D50*(1+Q50),D50),L50)</f>
        <v>353185.48954211641</v>
      </c>
      <c r="T50" s="103">
        <f>IF(Q50&lt;INDEX('Pace of change parameters'!$E$24:$I$24,1,$B$5),INDEX('Pace of change parameters'!$E$24:$I$24,1,$B$5),Q50)</f>
        <v>2.6323100315047698E-2</v>
      </c>
      <c r="U50" s="132">
        <v>1.8680834320711659E-2</v>
      </c>
      <c r="V50" s="117">
        <f t="shared" si="8"/>
        <v>353185.48954211641</v>
      </c>
      <c r="W50" s="131">
        <f>IF(J50&gt;INDEX('Pace of change parameters'!$E$26:$I$26,1,$B$5),0,IF(J50&lt;INDEX('Pace of change parameters'!$E$25:$I$25,1,$B$5),1,(J50-INDEX('Pace of change parameters'!$E$26:$I$26,1,$B$5))/(INDEX('Pace of change parameters'!$E$25:$I$25,1,$B$5)-INDEX('Pace of change parameters'!$E$26:$I$26,1,$B$5))))</f>
        <v>1</v>
      </c>
      <c r="X50" s="132">
        <f>MIN(T50, T50+(INDEX('Pace of change parameters'!$E$27:$I$27,1,$B$5)-T50)*(1-W50))</f>
        <v>2.6323100315047698E-2</v>
      </c>
      <c r="Y50" s="132">
        <v>1.8680834320711659E-2</v>
      </c>
      <c r="Z50" s="108">
        <f t="shared" si="9"/>
        <v>353185.48954211641</v>
      </c>
      <c r="AA50" s="97">
        <f>MIN(VLOOKUP(A50,'2016-17 disagg'!$A$12:$BC$220,54,FALSE),MIN(0,VLOOKUP(A50,'2016-17 disagg'!$A$12:$BC$220,54,FALSE),-2.5%))</f>
        <v>-2.5000000000000001E-2</v>
      </c>
      <c r="AB50" s="99">
        <f t="shared" si="2"/>
        <v>350611.76368852315</v>
      </c>
      <c r="AC50" s="99">
        <f>MAX(IF(INDEX('Pace of change parameters'!$E$29:$I$29,1,$B$5)=1,MAX(AB50,Z50),Z50),L50)</f>
        <v>353185.48954211641</v>
      </c>
      <c r="AD50" s="97">
        <f t="shared" si="3"/>
        <v>2.6323100315047698E-2</v>
      </c>
      <c r="AE50" s="146">
        <v>1.8680834320711659E-2</v>
      </c>
      <c r="AF50" s="56">
        <f t="shared" si="10"/>
        <v>353185.48954211641</v>
      </c>
      <c r="AG50" s="56">
        <v>1622.1873178634416</v>
      </c>
      <c r="AH50" s="16">
        <f t="shared" si="4"/>
        <v>2.6323100315047698E-2</v>
      </c>
      <c r="AI50" s="16">
        <f t="shared" si="5"/>
        <v>1.8680834320711437E-2</v>
      </c>
      <c r="AJ50" s="56"/>
      <c r="AK50" s="56">
        <v>359601.80891130579</v>
      </c>
      <c r="AL50" s="56">
        <v>1651.6575883480941</v>
      </c>
      <c r="AM50" s="16">
        <f t="shared" si="11"/>
        <v>-1.7842845086388115E-2</v>
      </c>
      <c r="AN50" s="58">
        <f t="shared" si="11"/>
        <v>-1.7842845086388115E-2</v>
      </c>
      <c r="AP50" s="56">
        <f t="shared" si="12"/>
        <v>0</v>
      </c>
      <c r="AQ50" s="56">
        <f t="shared" si="6"/>
        <v>0</v>
      </c>
    </row>
    <row r="51" spans="1:43" x14ac:dyDescent="0.2">
      <c r="A51" s="156" t="s">
        <v>147</v>
      </c>
      <c r="B51" s="156" t="s">
        <v>148</v>
      </c>
      <c r="D51" s="68">
        <f>VLOOKUP(A51,'2016-17 disagg'!A51:BC259,43,FALSE)</f>
        <v>422294</v>
      </c>
      <c r="E51" s="73">
        <v>1623.5823645649866</v>
      </c>
      <c r="F51" s="55"/>
      <c r="G51" s="88">
        <v>423990.61512101733</v>
      </c>
      <c r="H51" s="81">
        <v>1625.9696852051466</v>
      </c>
      <c r="I51" s="90"/>
      <c r="J51" s="103">
        <f t="shared" si="7"/>
        <v>-4.0015393277822442E-3</v>
      </c>
      <c r="K51" s="126">
        <f t="shared" si="7"/>
        <v>-1.4682442494976522E-3</v>
      </c>
      <c r="L51" s="56">
        <v>432073</v>
      </c>
      <c r="M51" s="103">
        <v>1.3691538883025878E-2</v>
      </c>
      <c r="N51" s="97">
        <f>INDEX('Pace of change parameters'!$E$22:$I$22,1,$B$5)</f>
        <v>1.1119783131080974E-2</v>
      </c>
      <c r="O51" s="108">
        <f>MAX(IF(INDEX('Pace of change parameters'!$E$30:$I$30,1,$B$5)=1,(1+M51)*D51,D51),L51)</f>
        <v>432073</v>
      </c>
      <c r="P51" s="94">
        <f>IF(K51&lt;INDEX('Pace of change parameters'!$E$18:$I$18,1,$B$5),1,IF(K51&gt;INDEX('Pace of change parameters'!$E$19:$I$19,1,$B$5),0,(K51-INDEX('Pace of change parameters'!$E$19:$I$19,1,$B$5))/(INDEX('Pace of change parameters'!$E$18:$I$18,1,$B$5)-INDEX('Pace of change parameters'!$E$19:$I$19,1,$B$5))))</f>
        <v>0.40938111630206542</v>
      </c>
      <c r="Q51" s="57">
        <v>1.9388290331946667E-2</v>
      </c>
      <c r="R51" s="57">
        <v>1.6802081807393732E-2</v>
      </c>
      <c r="S51" s="9">
        <f>MAX(IF(INDEX('Pace of change parameters'!$E$31:$I$31,1,$B$5)=1,D51*(1+Q51),D51),L51)</f>
        <v>432073</v>
      </c>
      <c r="T51" s="103">
        <f>IF(Q51&lt;INDEX('Pace of change parameters'!$E$24:$I$24,1,$B$5),INDEX('Pace of change parameters'!$E$24:$I$24,1,$B$5),Q51)</f>
        <v>1.9644681315626574E-2</v>
      </c>
      <c r="U51" s="132">
        <v>1.7057822322009031E-2</v>
      </c>
      <c r="V51" s="117">
        <f t="shared" si="8"/>
        <v>432073</v>
      </c>
      <c r="W51" s="131">
        <f>IF(J51&gt;INDEX('Pace of change parameters'!$E$26:$I$26,1,$B$5),0,IF(J51&lt;INDEX('Pace of change parameters'!$E$25:$I$25,1,$B$5),1,(J51-INDEX('Pace of change parameters'!$E$26:$I$26,1,$B$5))/(INDEX('Pace of change parameters'!$E$25:$I$25,1,$B$5)-INDEX('Pace of change parameters'!$E$26:$I$26,1,$B$5))))</f>
        <v>1</v>
      </c>
      <c r="X51" s="132">
        <f>MIN(T51, T51+(INDEX('Pace of change parameters'!$E$27:$I$27,1,$B$5)-T51)*(1-W51))</f>
        <v>1.9644681315626574E-2</v>
      </c>
      <c r="Y51" s="132">
        <v>1.7057822322009031E-2</v>
      </c>
      <c r="Z51" s="108">
        <f t="shared" si="9"/>
        <v>432073</v>
      </c>
      <c r="AA51" s="97">
        <f>MIN(VLOOKUP(A51,'2016-17 disagg'!$A$12:$BC$220,54,FALSE),MIN(0,VLOOKUP(A51,'2016-17 disagg'!$A$12:$BC$220,54,FALSE),-2.5%))</f>
        <v>-2.5000000000000001E-2</v>
      </c>
      <c r="AB51" s="99">
        <f t="shared" si="2"/>
        <v>424011.86251240101</v>
      </c>
      <c r="AC51" s="99">
        <f>MAX(IF(INDEX('Pace of change parameters'!$E$29:$I$29,1,$B$5)=1,MAX(AB51,Z51),Z51),L51)</f>
        <v>432073</v>
      </c>
      <c r="AD51" s="97">
        <f t="shared" si="3"/>
        <v>2.3156852808706718E-2</v>
      </c>
      <c r="AE51" s="146">
        <v>2.0561083365615351E-2</v>
      </c>
      <c r="AF51" s="56">
        <f t="shared" si="10"/>
        <v>432073</v>
      </c>
      <c r="AG51" s="56">
        <v>1656.9649769137504</v>
      </c>
      <c r="AH51" s="16">
        <f t="shared" si="4"/>
        <v>2.3156852808706718E-2</v>
      </c>
      <c r="AI51" s="16">
        <f t="shared" si="5"/>
        <v>2.0561083365615573E-2</v>
      </c>
      <c r="AJ51" s="56"/>
      <c r="AK51" s="56">
        <v>434883.96155118052</v>
      </c>
      <c r="AL51" s="56">
        <v>1667.7447869036303</v>
      </c>
      <c r="AM51" s="16">
        <f t="shared" si="11"/>
        <v>-6.4637048033552302E-3</v>
      </c>
      <c r="AN51" s="58">
        <f t="shared" si="11"/>
        <v>-6.4637048033553413E-3</v>
      </c>
      <c r="AP51" s="56">
        <f t="shared" si="12"/>
        <v>1</v>
      </c>
      <c r="AQ51" s="56">
        <f t="shared" si="6"/>
        <v>0</v>
      </c>
    </row>
    <row r="52" spans="1:43" x14ac:dyDescent="0.2">
      <c r="A52" s="156" t="s">
        <v>149</v>
      </c>
      <c r="B52" s="156" t="s">
        <v>150</v>
      </c>
      <c r="D52" s="68">
        <f>VLOOKUP(A52,'2016-17 disagg'!A52:BC260,43,FALSE)</f>
        <v>185383</v>
      </c>
      <c r="E52" s="73">
        <v>1655.4075454194149</v>
      </c>
      <c r="F52" s="55"/>
      <c r="G52" s="88">
        <v>183416.60314519465</v>
      </c>
      <c r="H52" s="81">
        <v>1636.7631290344566</v>
      </c>
      <c r="I52" s="90"/>
      <c r="J52" s="103">
        <f t="shared" si="7"/>
        <v>1.0720931590084692E-2</v>
      </c>
      <c r="K52" s="126">
        <f t="shared" si="7"/>
        <v>1.1391029070869196E-2</v>
      </c>
      <c r="L52" s="56">
        <v>190235</v>
      </c>
      <c r="M52" s="103">
        <v>1.1790145046294942E-2</v>
      </c>
      <c r="N52" s="97">
        <f>INDEX('Pace of change parameters'!$E$22:$I$22,1,$B$5)</f>
        <v>1.1119783131080974E-2</v>
      </c>
      <c r="O52" s="108">
        <f>MAX(IF(INDEX('Pace of change parameters'!$E$30:$I$30,1,$B$5)=1,(1+M52)*D52,D52),L52)</f>
        <v>190235</v>
      </c>
      <c r="P52" s="94">
        <f>IF(K52&lt;INDEX('Pace of change parameters'!$E$18:$I$18,1,$B$5),1,IF(K52&gt;INDEX('Pace of change parameters'!$E$19:$I$19,1,$B$5),0,(K52-INDEX('Pace of change parameters'!$E$19:$I$19,1,$B$5))/(INDEX('Pace of change parameters'!$E$18:$I$18,1,$B$5)-INDEX('Pace of change parameters'!$E$19:$I$19,1,$B$5))))</f>
        <v>0.2219989140507462</v>
      </c>
      <c r="Q52" s="57">
        <v>1.4873581049588358E-2</v>
      </c>
      <c r="R52" s="57">
        <v>1.4201176202769838E-2</v>
      </c>
      <c r="S52" s="9">
        <f>MAX(IF(INDEX('Pace of change parameters'!$E$31:$I$31,1,$B$5)=1,D52*(1+Q52),D52),L52)</f>
        <v>190235</v>
      </c>
      <c r="T52" s="103">
        <f>IF(Q52&lt;INDEX('Pace of change parameters'!$E$24:$I$24,1,$B$5),INDEX('Pace of change parameters'!$E$24:$I$24,1,$B$5),Q52)</f>
        <v>1.9644681315626574E-2</v>
      </c>
      <c r="U52" s="132">
        <v>1.896911537465451E-2</v>
      </c>
      <c r="V52" s="117">
        <f t="shared" si="8"/>
        <v>190235</v>
      </c>
      <c r="W52" s="131">
        <f>IF(J52&gt;INDEX('Pace of change parameters'!$E$26:$I$26,1,$B$5),0,IF(J52&lt;INDEX('Pace of change parameters'!$E$25:$I$25,1,$B$5),1,(J52-INDEX('Pace of change parameters'!$E$26:$I$26,1,$B$5))/(INDEX('Pace of change parameters'!$E$25:$I$25,1,$B$5)-INDEX('Pace of change parameters'!$E$26:$I$26,1,$B$5))))</f>
        <v>1</v>
      </c>
      <c r="X52" s="132">
        <f>MIN(T52, T52+(INDEX('Pace of change parameters'!$E$27:$I$27,1,$B$5)-T52)*(1-W52))</f>
        <v>1.9644681315626574E-2</v>
      </c>
      <c r="Y52" s="132">
        <v>1.896911537465451E-2</v>
      </c>
      <c r="Z52" s="108">
        <f t="shared" si="9"/>
        <v>190235</v>
      </c>
      <c r="AA52" s="97">
        <f>MIN(VLOOKUP(A52,'2016-17 disagg'!$A$12:$BC$220,54,FALSE),MIN(0,VLOOKUP(A52,'2016-17 disagg'!$A$12:$BC$220,54,FALSE),-2.5%))</f>
        <v>-2.5000000000000001E-2</v>
      </c>
      <c r="AB52" s="99">
        <f t="shared" si="2"/>
        <v>183468.04663605051</v>
      </c>
      <c r="AC52" s="99">
        <f>MAX(IF(INDEX('Pace of change parameters'!$E$29:$I$29,1,$B$5)=1,MAX(AB52,Z52),Z52),L52)</f>
        <v>190235</v>
      </c>
      <c r="AD52" s="97">
        <f t="shared" si="3"/>
        <v>2.6172842169994048E-2</v>
      </c>
      <c r="AE52" s="146">
        <v>2.5492950993760033E-2</v>
      </c>
      <c r="AF52" s="56">
        <f t="shared" si="10"/>
        <v>190235</v>
      </c>
      <c r="AG52" s="56">
        <v>1697.6087688494924</v>
      </c>
      <c r="AH52" s="16">
        <f t="shared" si="4"/>
        <v>2.6172842169994048E-2</v>
      </c>
      <c r="AI52" s="16">
        <f t="shared" si="5"/>
        <v>2.5492950993760033E-2</v>
      </c>
      <c r="AJ52" s="56"/>
      <c r="AK52" s="56">
        <v>188172.35552415438</v>
      </c>
      <c r="AL52" s="56">
        <v>1679.2022540167093</v>
      </c>
      <c r="AM52" s="16">
        <f t="shared" si="11"/>
        <v>1.0961463866996368E-2</v>
      </c>
      <c r="AN52" s="58">
        <f t="shared" si="11"/>
        <v>1.0961463866996368E-2</v>
      </c>
      <c r="AP52" s="56">
        <f t="shared" si="12"/>
        <v>1</v>
      </c>
      <c r="AQ52" s="56">
        <f t="shared" si="6"/>
        <v>0</v>
      </c>
    </row>
    <row r="53" spans="1:43" x14ac:dyDescent="0.2">
      <c r="A53" s="156" t="s">
        <v>151</v>
      </c>
      <c r="B53" s="156" t="s">
        <v>152</v>
      </c>
      <c r="D53" s="68">
        <f>VLOOKUP(A53,'2016-17 disagg'!A53:BC261,43,FALSE)</f>
        <v>574883</v>
      </c>
      <c r="E53" s="73">
        <v>1767.2272701297388</v>
      </c>
      <c r="F53" s="55"/>
      <c r="G53" s="88">
        <v>571303.30749837752</v>
      </c>
      <c r="H53" s="81">
        <v>1746.4708385168706</v>
      </c>
      <c r="I53" s="90"/>
      <c r="J53" s="103">
        <f t="shared" si="7"/>
        <v>6.2658354233886548E-3</v>
      </c>
      <c r="K53" s="126">
        <f t="shared" si="7"/>
        <v>1.18847856804154E-2</v>
      </c>
      <c r="L53" s="56">
        <v>588366</v>
      </c>
      <c r="M53" s="103">
        <v>1.6765837647995774E-2</v>
      </c>
      <c r="N53" s="97">
        <f>INDEX('Pace of change parameters'!$E$22:$I$22,1,$B$5)</f>
        <v>1.1119783131080974E-2</v>
      </c>
      <c r="O53" s="108">
        <f>MAX(IF(INDEX('Pace of change parameters'!$E$30:$I$30,1,$B$5)=1,(1+M53)*D53,D53),L53)</f>
        <v>588366</v>
      </c>
      <c r="P53" s="94">
        <f>IF(K53&lt;INDEX('Pace of change parameters'!$E$18:$I$18,1,$B$5),1,IF(K53&gt;INDEX('Pace of change parameters'!$E$19:$I$19,1,$B$5),0,(K53-INDEX('Pace of change parameters'!$E$19:$I$19,1,$B$5))/(INDEX('Pace of change parameters'!$E$18:$I$18,1,$B$5)-INDEX('Pace of change parameters'!$E$19:$I$19,1,$B$5))))</f>
        <v>0.21480401286403802</v>
      </c>
      <c r="Q53" s="57">
        <v>1.9764012660535846E-2</v>
      </c>
      <c r="R53" s="57">
        <v>1.4101309413947938E-2</v>
      </c>
      <c r="S53" s="9">
        <f>MAX(IF(INDEX('Pace of change parameters'!$E$31:$I$31,1,$B$5)=1,D53*(1+Q53),D53),L53)</f>
        <v>588366</v>
      </c>
      <c r="T53" s="103">
        <f>IF(Q53&lt;INDEX('Pace of change parameters'!$E$24:$I$24,1,$B$5),INDEX('Pace of change parameters'!$E$24:$I$24,1,$B$5),Q53)</f>
        <v>1.9764012660535846E-2</v>
      </c>
      <c r="U53" s="132">
        <v>1.4101309413947938E-2</v>
      </c>
      <c r="V53" s="117">
        <f t="shared" si="8"/>
        <v>588366</v>
      </c>
      <c r="W53" s="131">
        <f>IF(J53&gt;INDEX('Pace of change parameters'!$E$26:$I$26,1,$B$5),0,IF(J53&lt;INDEX('Pace of change parameters'!$E$25:$I$25,1,$B$5),1,(J53-INDEX('Pace of change parameters'!$E$26:$I$26,1,$B$5))/(INDEX('Pace of change parameters'!$E$25:$I$25,1,$B$5)-INDEX('Pace of change parameters'!$E$26:$I$26,1,$B$5))))</f>
        <v>1</v>
      </c>
      <c r="X53" s="132">
        <f>MIN(T53, T53+(INDEX('Pace of change parameters'!$E$27:$I$27,1,$B$5)-T53)*(1-W53))</f>
        <v>1.9764012660535846E-2</v>
      </c>
      <c r="Y53" s="132">
        <v>1.4101309413947938E-2</v>
      </c>
      <c r="Z53" s="108">
        <f t="shared" si="9"/>
        <v>588366</v>
      </c>
      <c r="AA53" s="97">
        <f>MIN(VLOOKUP(A53,'2016-17 disagg'!$A$12:$BC$220,54,FALSE),MIN(0,VLOOKUP(A53,'2016-17 disagg'!$A$12:$BC$220,54,FALSE),-2.5%))</f>
        <v>-2.5000000000000001E-2</v>
      </c>
      <c r="AB53" s="99">
        <f t="shared" si="2"/>
        <v>571534.2614431181</v>
      </c>
      <c r="AC53" s="99">
        <f>MAX(IF(INDEX('Pace of change parameters'!$E$29:$I$29,1,$B$5)=1,MAX(AB53,Z53),Z53),L53)</f>
        <v>588366</v>
      </c>
      <c r="AD53" s="97">
        <f t="shared" si="3"/>
        <v>2.3453467923038263E-2</v>
      </c>
      <c r="AE53" s="146">
        <v>1.7770277298945425E-2</v>
      </c>
      <c r="AF53" s="56">
        <f t="shared" si="10"/>
        <v>588366</v>
      </c>
      <c r="AG53" s="56">
        <v>1798.6313887702026</v>
      </c>
      <c r="AH53" s="16">
        <f t="shared" si="4"/>
        <v>2.3453467923038263E-2</v>
      </c>
      <c r="AI53" s="16">
        <f t="shared" si="5"/>
        <v>1.7770277298945425E-2</v>
      </c>
      <c r="AJ53" s="56"/>
      <c r="AK53" s="56">
        <v>586188.98609550577</v>
      </c>
      <c r="AL53" s="56">
        <v>1791.9762701154664</v>
      </c>
      <c r="AM53" s="16">
        <f t="shared" si="11"/>
        <v>3.7138430713188342E-3</v>
      </c>
      <c r="AN53" s="58">
        <f t="shared" si="11"/>
        <v>3.7138430713188342E-3</v>
      </c>
      <c r="AP53" s="56">
        <f t="shared" si="12"/>
        <v>1</v>
      </c>
      <c r="AQ53" s="56">
        <f t="shared" si="6"/>
        <v>0</v>
      </c>
    </row>
    <row r="54" spans="1:43" x14ac:dyDescent="0.2">
      <c r="A54" s="156" t="s">
        <v>153</v>
      </c>
      <c r="B54" s="156" t="s">
        <v>154</v>
      </c>
      <c r="D54" s="68">
        <f>VLOOKUP(A54,'2016-17 disagg'!A54:BC262,43,FALSE)</f>
        <v>618707</v>
      </c>
      <c r="E54" s="73">
        <v>1846.4413918802809</v>
      </c>
      <c r="F54" s="55"/>
      <c r="G54" s="88">
        <v>621049.99797631311</v>
      </c>
      <c r="H54" s="81">
        <v>1849.9259074536133</v>
      </c>
      <c r="I54" s="90"/>
      <c r="J54" s="103">
        <f t="shared" si="7"/>
        <v>-3.7726398582204057E-3</v>
      </c>
      <c r="K54" s="126">
        <f t="shared" si="7"/>
        <v>-1.883597369652934E-3</v>
      </c>
      <c r="L54" s="56">
        <v>632950</v>
      </c>
      <c r="M54" s="103">
        <v>1.3037064574840995E-2</v>
      </c>
      <c r="N54" s="97">
        <f>INDEX('Pace of change parameters'!$E$22:$I$22,1,$B$5)</f>
        <v>1.1119783131080974E-2</v>
      </c>
      <c r="O54" s="108">
        <f>MAX(IF(INDEX('Pace of change parameters'!$E$30:$I$30,1,$B$5)=1,(1+M54)*D54,D54),L54)</f>
        <v>632950</v>
      </c>
      <c r="P54" s="94">
        <f>IF(K54&lt;INDEX('Pace of change parameters'!$E$18:$I$18,1,$B$5),1,IF(K54&gt;INDEX('Pace of change parameters'!$E$19:$I$19,1,$B$5),0,(K54-INDEX('Pace of change parameters'!$E$19:$I$19,1,$B$5))/(INDEX('Pace of change parameters'!$E$18:$I$18,1,$B$5)-INDEX('Pace of change parameters'!$E$19:$I$19,1,$B$5))))</f>
        <v>0.41543354091640072</v>
      </c>
      <c r="Q54" s="57">
        <v>1.8814306267756598E-2</v>
      </c>
      <c r="R54" s="57">
        <v>1.6886090773623463E-2</v>
      </c>
      <c r="S54" s="9">
        <f>MAX(IF(INDEX('Pace of change parameters'!$E$31:$I$31,1,$B$5)=1,D54*(1+Q54),D54),L54)</f>
        <v>632950</v>
      </c>
      <c r="T54" s="103">
        <f>IF(Q54&lt;INDEX('Pace of change parameters'!$E$24:$I$24,1,$B$5),INDEX('Pace of change parameters'!$E$24:$I$24,1,$B$5),Q54)</f>
        <v>1.9644681315626574E-2</v>
      </c>
      <c r="U54" s="132">
        <v>1.771489424753403E-2</v>
      </c>
      <c r="V54" s="117">
        <f t="shared" si="8"/>
        <v>632950</v>
      </c>
      <c r="W54" s="131">
        <f>IF(J54&gt;INDEX('Pace of change parameters'!$E$26:$I$26,1,$B$5),0,IF(J54&lt;INDEX('Pace of change parameters'!$E$25:$I$25,1,$B$5),1,(J54-INDEX('Pace of change parameters'!$E$26:$I$26,1,$B$5))/(INDEX('Pace of change parameters'!$E$25:$I$25,1,$B$5)-INDEX('Pace of change parameters'!$E$26:$I$26,1,$B$5))))</f>
        <v>1</v>
      </c>
      <c r="X54" s="132">
        <f>MIN(T54, T54+(INDEX('Pace of change parameters'!$E$27:$I$27,1,$B$5)-T54)*(1-W54))</f>
        <v>1.9644681315626574E-2</v>
      </c>
      <c r="Y54" s="132">
        <v>1.771489424753403E-2</v>
      </c>
      <c r="Z54" s="108">
        <f t="shared" si="9"/>
        <v>632950</v>
      </c>
      <c r="AA54" s="97">
        <f>MIN(VLOOKUP(A54,'2016-17 disagg'!$A$12:$BC$220,54,FALSE),MIN(0,VLOOKUP(A54,'2016-17 disagg'!$A$12:$BC$220,54,FALSE),-2.5%))</f>
        <v>-2.5000000000000001E-2</v>
      </c>
      <c r="AB54" s="99">
        <f t="shared" si="2"/>
        <v>621004.75011435547</v>
      </c>
      <c r="AC54" s="99">
        <f>MAX(IF(INDEX('Pace of change parameters'!$E$29:$I$29,1,$B$5)=1,MAX(AB54,Z54),Z54),L54)</f>
        <v>632950</v>
      </c>
      <c r="AD54" s="97">
        <f t="shared" si="3"/>
        <v>2.3020589713709461E-2</v>
      </c>
      <c r="AE54" s="146">
        <v>2.1084413376404765E-2</v>
      </c>
      <c r="AF54" s="56">
        <f t="shared" si="10"/>
        <v>632950</v>
      </c>
      <c r="AG54" s="56">
        <v>1885.3725254619887</v>
      </c>
      <c r="AH54" s="16">
        <f t="shared" si="4"/>
        <v>2.3020589713709461E-2</v>
      </c>
      <c r="AI54" s="16">
        <f t="shared" si="5"/>
        <v>2.1084413376404765E-2</v>
      </c>
      <c r="AJ54" s="56"/>
      <c r="AK54" s="56">
        <v>636927.94883523637</v>
      </c>
      <c r="AL54" s="56">
        <v>1897.2216690620332</v>
      </c>
      <c r="AM54" s="16">
        <f t="shared" si="11"/>
        <v>-6.2455240698903181E-3</v>
      </c>
      <c r="AN54" s="58">
        <f t="shared" si="11"/>
        <v>-6.2455240698903181E-3</v>
      </c>
      <c r="AP54" s="56">
        <f t="shared" si="12"/>
        <v>1</v>
      </c>
      <c r="AQ54" s="56">
        <f t="shared" si="6"/>
        <v>0</v>
      </c>
    </row>
    <row r="55" spans="1:43" x14ac:dyDescent="0.2">
      <c r="A55" s="156" t="s">
        <v>155</v>
      </c>
      <c r="B55" s="156" t="s">
        <v>156</v>
      </c>
      <c r="D55" s="68">
        <f>VLOOKUP(A55,'2016-17 disagg'!A55:BC263,43,FALSE)</f>
        <v>251689</v>
      </c>
      <c r="E55" s="73">
        <v>1582.5349837478022</v>
      </c>
      <c r="F55" s="55"/>
      <c r="G55" s="88">
        <v>256924.60247546618</v>
      </c>
      <c r="H55" s="81">
        <v>1606.3496170666499</v>
      </c>
      <c r="I55" s="90"/>
      <c r="J55" s="103">
        <f t="shared" si="7"/>
        <v>-2.0377972467491179E-2</v>
      </c>
      <c r="K55" s="126">
        <f t="shared" si="7"/>
        <v>-1.4825311417781872E-2</v>
      </c>
      <c r="L55" s="56">
        <v>258969</v>
      </c>
      <c r="M55" s="103">
        <v>1.6850978713242704E-2</v>
      </c>
      <c r="N55" s="97">
        <f>INDEX('Pace of change parameters'!$E$22:$I$22,1,$B$5)</f>
        <v>1.1119783131080974E-2</v>
      </c>
      <c r="O55" s="108">
        <f>MAX(IF(INDEX('Pace of change parameters'!$E$30:$I$30,1,$B$5)=1,(1+M55)*D55,D55),L55)</f>
        <v>258969</v>
      </c>
      <c r="P55" s="94">
        <f>IF(K55&lt;INDEX('Pace of change parameters'!$E$18:$I$18,1,$B$5),1,IF(K55&gt;INDEX('Pace of change parameters'!$E$19:$I$19,1,$B$5),0,(K55-INDEX('Pace of change parameters'!$E$19:$I$19,1,$B$5))/(INDEX('Pace of change parameters'!$E$18:$I$18,1,$B$5)-INDEX('Pace of change parameters'!$E$19:$I$19,1,$B$5))))</f>
        <v>0.60401704939540513</v>
      </c>
      <c r="Q55" s="57">
        <v>2.5282387624912639E-2</v>
      </c>
      <c r="R55" s="57">
        <v>1.9503670769213777E-2</v>
      </c>
      <c r="S55" s="9">
        <f>MAX(IF(INDEX('Pace of change parameters'!$E$31:$I$31,1,$B$5)=1,D55*(1+Q55),D55),L55)</f>
        <v>258969</v>
      </c>
      <c r="T55" s="103">
        <f>IF(Q55&lt;INDEX('Pace of change parameters'!$E$24:$I$24,1,$B$5),INDEX('Pace of change parameters'!$E$24:$I$24,1,$B$5),Q55)</f>
        <v>2.5282387624912639E-2</v>
      </c>
      <c r="U55" s="132">
        <v>1.9503670769213777E-2</v>
      </c>
      <c r="V55" s="117">
        <f t="shared" si="8"/>
        <v>258969</v>
      </c>
      <c r="W55" s="131">
        <f>IF(J55&gt;INDEX('Pace of change parameters'!$E$26:$I$26,1,$B$5),0,IF(J55&lt;INDEX('Pace of change parameters'!$E$25:$I$25,1,$B$5),1,(J55-INDEX('Pace of change parameters'!$E$26:$I$26,1,$B$5))/(INDEX('Pace of change parameters'!$E$25:$I$25,1,$B$5)-INDEX('Pace of change parameters'!$E$26:$I$26,1,$B$5))))</f>
        <v>1</v>
      </c>
      <c r="X55" s="132">
        <f>MIN(T55, T55+(INDEX('Pace of change parameters'!$E$27:$I$27,1,$B$5)-T55)*(1-W55))</f>
        <v>2.5282387624912639E-2</v>
      </c>
      <c r="Y55" s="132">
        <v>1.9503670769213777E-2</v>
      </c>
      <c r="Z55" s="108">
        <f t="shared" si="9"/>
        <v>258969</v>
      </c>
      <c r="AA55" s="97">
        <f>MIN(VLOOKUP(A55,'2016-17 disagg'!$A$12:$BC$220,54,FALSE),MIN(0,VLOOKUP(A55,'2016-17 disagg'!$A$12:$BC$220,54,FALSE),-2.5%))</f>
        <v>-2.5000000000000001E-2</v>
      </c>
      <c r="AB55" s="99">
        <f t="shared" si="2"/>
        <v>256911.26662755475</v>
      </c>
      <c r="AC55" s="99">
        <f>MAX(IF(INDEX('Pace of change parameters'!$E$29:$I$29,1,$B$5)=1,MAX(AB55,Z55),Z55),L55)</f>
        <v>258969</v>
      </c>
      <c r="AD55" s="97">
        <f t="shared" si="3"/>
        <v>2.8924585500359479E-2</v>
      </c>
      <c r="AE55" s="146">
        <v>2.3125340417014639E-2</v>
      </c>
      <c r="AF55" s="56">
        <f t="shared" si="10"/>
        <v>258969</v>
      </c>
      <c r="AG55" s="56">
        <v>1619.1316439688048</v>
      </c>
      <c r="AH55" s="16">
        <f t="shared" si="4"/>
        <v>2.8924585500359479E-2</v>
      </c>
      <c r="AI55" s="16">
        <f t="shared" si="5"/>
        <v>2.3125340417014639E-2</v>
      </c>
      <c r="AJ55" s="56"/>
      <c r="AK55" s="56">
        <v>263498.73500262026</v>
      </c>
      <c r="AL55" s="56">
        <v>1647.452552191548</v>
      </c>
      <c r="AM55" s="16">
        <f t="shared" si="11"/>
        <v>-1.7190727699604391E-2</v>
      </c>
      <c r="AN55" s="58">
        <f t="shared" si="11"/>
        <v>-1.7190727699604391E-2</v>
      </c>
      <c r="AP55" s="56">
        <f t="shared" si="12"/>
        <v>1</v>
      </c>
      <c r="AQ55" s="56">
        <f t="shared" si="6"/>
        <v>0</v>
      </c>
    </row>
    <row r="56" spans="1:43" x14ac:dyDescent="0.2">
      <c r="A56" s="156" t="s">
        <v>157</v>
      </c>
      <c r="B56" s="156" t="s">
        <v>158</v>
      </c>
      <c r="D56" s="68">
        <f>VLOOKUP(A56,'2016-17 disagg'!A56:BC264,43,FALSE)</f>
        <v>464203</v>
      </c>
      <c r="E56" s="73">
        <v>1804.8353238390564</v>
      </c>
      <c r="F56" s="55"/>
      <c r="G56" s="88">
        <v>439451.31826442282</v>
      </c>
      <c r="H56" s="81">
        <v>1697.8628001618715</v>
      </c>
      <c r="I56" s="90"/>
      <c r="J56" s="103">
        <f t="shared" si="7"/>
        <v>5.6324058449368053E-2</v>
      </c>
      <c r="K56" s="126">
        <f t="shared" si="7"/>
        <v>6.3004221346381062E-2</v>
      </c>
      <c r="L56" s="56">
        <v>473532</v>
      </c>
      <c r="M56" s="103">
        <v>1.7514075493997971E-2</v>
      </c>
      <c r="N56" s="97">
        <f>INDEX('Pace of change parameters'!$E$22:$I$22,1,$B$5)</f>
        <v>1.1119783131080974E-2</v>
      </c>
      <c r="O56" s="108">
        <f>MAX(IF(INDEX('Pace of change parameters'!$E$30:$I$30,1,$B$5)=1,(1+M56)*D56,D56),L56)</f>
        <v>473532</v>
      </c>
      <c r="P56" s="94">
        <f>IF(K56&lt;INDEX('Pace of change parameters'!$E$18:$I$18,1,$B$5),1,IF(K56&gt;INDEX('Pace of change parameters'!$E$19:$I$19,1,$B$5),0,(K56-INDEX('Pace of change parameters'!$E$19:$I$19,1,$B$5))/(INDEX('Pace of change parameters'!$E$18:$I$18,1,$B$5)-INDEX('Pace of change parameters'!$E$19:$I$19,1,$B$5))))</f>
        <v>0</v>
      </c>
      <c r="Q56" s="57">
        <v>1.7514075493997971E-2</v>
      </c>
      <c r="R56" s="57">
        <v>1.1119783131080974E-2</v>
      </c>
      <c r="S56" s="9">
        <f>MAX(IF(INDEX('Pace of change parameters'!$E$31:$I$31,1,$B$5)=1,D56*(1+Q56),D56),L56)</f>
        <v>473532</v>
      </c>
      <c r="T56" s="103">
        <f>IF(Q56&lt;INDEX('Pace of change parameters'!$E$24:$I$24,1,$B$5),INDEX('Pace of change parameters'!$E$24:$I$24,1,$B$5),Q56)</f>
        <v>1.9644681315626574E-2</v>
      </c>
      <c r="U56" s="132">
        <v>1.3236999735929622E-2</v>
      </c>
      <c r="V56" s="117">
        <f t="shared" si="8"/>
        <v>473532</v>
      </c>
      <c r="W56" s="131">
        <f>IF(J56&gt;INDEX('Pace of change parameters'!$E$26:$I$26,1,$B$5),0,IF(J56&lt;INDEX('Pace of change parameters'!$E$25:$I$25,1,$B$5),1,(J56-INDEX('Pace of change parameters'!$E$26:$I$26,1,$B$5))/(INDEX('Pace of change parameters'!$E$25:$I$25,1,$B$5)-INDEX('Pace of change parameters'!$E$26:$I$26,1,$B$5))))</f>
        <v>0.87351883101263905</v>
      </c>
      <c r="X56" s="132">
        <f>MIN(T56, T56+(INDEX('Pace of change parameters'!$E$27:$I$27,1,$B$5)-T56)*(1-W56))</f>
        <v>1.7317427806259132E-2</v>
      </c>
      <c r="Y56" s="132">
        <v>1.0924371222618579E-2</v>
      </c>
      <c r="Z56" s="108">
        <f t="shared" si="9"/>
        <v>473532</v>
      </c>
      <c r="AA56" s="97">
        <f>MIN(VLOOKUP(A56,'2016-17 disagg'!$A$12:$BC$220,54,FALSE),MIN(0,VLOOKUP(A56,'2016-17 disagg'!$A$12:$BC$220,54,FALSE),-2.5%))</f>
        <v>-2.5000000000000001E-2</v>
      </c>
      <c r="AB56" s="99">
        <f t="shared" si="2"/>
        <v>439517.56159021502</v>
      </c>
      <c r="AC56" s="99">
        <f>MAX(IF(INDEX('Pace of change parameters'!$E$29:$I$29,1,$B$5)=1,MAX(AB56,Z56),Z56),L56)</f>
        <v>473532</v>
      </c>
      <c r="AD56" s="97">
        <f t="shared" si="3"/>
        <v>2.009681109342254E-2</v>
      </c>
      <c r="AE56" s="146">
        <v>1.3686288226263388E-2</v>
      </c>
      <c r="AF56" s="56">
        <f t="shared" si="10"/>
        <v>473532</v>
      </c>
      <c r="AG56" s="56">
        <v>1829.5368202820594</v>
      </c>
      <c r="AH56" s="16">
        <f t="shared" si="4"/>
        <v>2.009681109342254E-2</v>
      </c>
      <c r="AI56" s="16">
        <f t="shared" si="5"/>
        <v>1.368628822626361E-2</v>
      </c>
      <c r="AJ56" s="56"/>
      <c r="AK56" s="56">
        <v>450787.24265663081</v>
      </c>
      <c r="AL56" s="56">
        <v>1741.6602437717609</v>
      </c>
      <c r="AM56" s="16">
        <f t="shared" si="11"/>
        <v>5.0455636697540829E-2</v>
      </c>
      <c r="AN56" s="58">
        <f t="shared" si="11"/>
        <v>5.0455636697540829E-2</v>
      </c>
      <c r="AP56" s="56">
        <f t="shared" si="12"/>
        <v>1</v>
      </c>
      <c r="AQ56" s="56">
        <f t="shared" si="6"/>
        <v>0</v>
      </c>
    </row>
    <row r="57" spans="1:43" x14ac:dyDescent="0.2">
      <c r="A57" s="156" t="s">
        <v>159</v>
      </c>
      <c r="B57" s="156" t="s">
        <v>160</v>
      </c>
      <c r="D57" s="68">
        <f>VLOOKUP(A57,'2016-17 disagg'!A57:BC265,43,FALSE)</f>
        <v>196134</v>
      </c>
      <c r="E57" s="73">
        <v>1710.2041543719829</v>
      </c>
      <c r="F57" s="55"/>
      <c r="G57" s="88">
        <v>191632.127989587</v>
      </c>
      <c r="H57" s="81">
        <v>1664.3668603892281</v>
      </c>
      <c r="I57" s="90"/>
      <c r="J57" s="103">
        <f t="shared" si="7"/>
        <v>2.3492261228021283E-2</v>
      </c>
      <c r="K57" s="126">
        <f t="shared" si="7"/>
        <v>2.7540378911435015E-2</v>
      </c>
      <c r="L57" s="56">
        <v>200548</v>
      </c>
      <c r="M57" s="103">
        <v>1.511896517592759E-2</v>
      </c>
      <c r="N57" s="97">
        <f>INDEX('Pace of change parameters'!$E$22:$I$22,1,$B$5)</f>
        <v>1.1119783131080974E-2</v>
      </c>
      <c r="O57" s="108">
        <f>MAX(IF(INDEX('Pace of change parameters'!$E$30:$I$30,1,$B$5)=1,(1+M57)*D57,D57),L57)</f>
        <v>200548</v>
      </c>
      <c r="P57" s="94">
        <f>IF(K57&lt;INDEX('Pace of change parameters'!$E$18:$I$18,1,$B$5),1,IF(K57&gt;INDEX('Pace of change parameters'!$E$19:$I$19,1,$B$5),0,(K57-INDEX('Pace of change parameters'!$E$19:$I$19,1,$B$5))/(INDEX('Pace of change parameters'!$E$18:$I$18,1,$B$5)-INDEX('Pace of change parameters'!$E$19:$I$19,1,$B$5))))</f>
        <v>0</v>
      </c>
      <c r="Q57" s="57">
        <v>1.511896517592759E-2</v>
      </c>
      <c r="R57" s="57">
        <v>1.1119783131080974E-2</v>
      </c>
      <c r="S57" s="9">
        <f>MAX(IF(INDEX('Pace of change parameters'!$E$31:$I$31,1,$B$5)=1,D57*(1+Q57),D57),L57)</f>
        <v>200548</v>
      </c>
      <c r="T57" s="103">
        <f>IF(Q57&lt;INDEX('Pace of change parameters'!$E$24:$I$24,1,$B$5),INDEX('Pace of change parameters'!$E$24:$I$24,1,$B$5),Q57)</f>
        <v>1.9644681315626574E-2</v>
      </c>
      <c r="U57" s="132">
        <v>1.5627669673120126E-2</v>
      </c>
      <c r="V57" s="117">
        <f t="shared" si="8"/>
        <v>200548</v>
      </c>
      <c r="W57" s="131">
        <f>IF(J57&gt;INDEX('Pace of change parameters'!$E$26:$I$26,1,$B$5),0,IF(J57&lt;INDEX('Pace of change parameters'!$E$25:$I$25,1,$B$5),1,(J57-INDEX('Pace of change parameters'!$E$26:$I$26,1,$B$5))/(INDEX('Pace of change parameters'!$E$25:$I$25,1,$B$5)-INDEX('Pace of change parameters'!$E$26:$I$26,1,$B$5))))</f>
        <v>1</v>
      </c>
      <c r="X57" s="132">
        <f>MIN(T57, T57+(INDEX('Pace of change parameters'!$E$27:$I$27,1,$B$5)-T57)*(1-W57))</f>
        <v>1.9644681315626574E-2</v>
      </c>
      <c r="Y57" s="132">
        <v>1.5627669673120126E-2</v>
      </c>
      <c r="Z57" s="108">
        <f t="shared" si="9"/>
        <v>200548</v>
      </c>
      <c r="AA57" s="97">
        <f>MIN(VLOOKUP(A57,'2016-17 disagg'!$A$12:$BC$220,54,FALSE),MIN(0,VLOOKUP(A57,'2016-17 disagg'!$A$12:$BC$220,54,FALSE),-2.5%))</f>
        <v>-2.5000000000000001E-2</v>
      </c>
      <c r="AB57" s="99">
        <f t="shared" si="2"/>
        <v>191683.45129738242</v>
      </c>
      <c r="AC57" s="99">
        <f>MAX(IF(INDEX('Pace of change parameters'!$E$29:$I$29,1,$B$5)=1,MAX(AB57,Z57),Z57),L57)</f>
        <v>200548</v>
      </c>
      <c r="AD57" s="97">
        <f t="shared" si="3"/>
        <v>2.2505022076743542E-2</v>
      </c>
      <c r="AE57" s="146">
        <v>1.8476741781196182E-2</v>
      </c>
      <c r="AF57" s="56">
        <f t="shared" si="10"/>
        <v>200548</v>
      </c>
      <c r="AG57" s="56">
        <v>1741.8031549254429</v>
      </c>
      <c r="AH57" s="16">
        <f t="shared" si="4"/>
        <v>2.2505022076743542E-2</v>
      </c>
      <c r="AI57" s="16">
        <f t="shared" si="5"/>
        <v>1.8476741781196182E-2</v>
      </c>
      <c r="AJ57" s="56"/>
      <c r="AK57" s="56">
        <v>196598.41158705889</v>
      </c>
      <c r="AL57" s="56">
        <v>1707.5001174565184</v>
      </c>
      <c r="AM57" s="16">
        <f t="shared" si="11"/>
        <v>2.0089625247008414E-2</v>
      </c>
      <c r="AN57" s="58">
        <f t="shared" si="11"/>
        <v>2.0089625247008414E-2</v>
      </c>
      <c r="AP57" s="56">
        <f t="shared" si="12"/>
        <v>1</v>
      </c>
      <c r="AQ57" s="56">
        <f t="shared" si="6"/>
        <v>0</v>
      </c>
    </row>
    <row r="58" spans="1:43" x14ac:dyDescent="0.2">
      <c r="A58" s="156" t="s">
        <v>161</v>
      </c>
      <c r="B58" s="156" t="s">
        <v>162</v>
      </c>
      <c r="D58" s="68">
        <f>VLOOKUP(A58,'2016-17 disagg'!A58:BC266,43,FALSE)</f>
        <v>174891</v>
      </c>
      <c r="E58" s="73">
        <v>1415.0375421161298</v>
      </c>
      <c r="F58" s="55"/>
      <c r="G58" s="88">
        <v>181567.55980294949</v>
      </c>
      <c r="H58" s="81">
        <v>1461.8441795335734</v>
      </c>
      <c r="I58" s="90"/>
      <c r="J58" s="103">
        <f t="shared" si="7"/>
        <v>-3.6771765893617636E-2</v>
      </c>
      <c r="K58" s="126">
        <f t="shared" si="7"/>
        <v>-3.2018896454735768E-2</v>
      </c>
      <c r="L58" s="56">
        <v>178997</v>
      </c>
      <c r="M58" s="103">
        <v>1.6108964455018082E-2</v>
      </c>
      <c r="N58" s="97">
        <f>INDEX('Pace of change parameters'!$E$22:$I$22,1,$B$5)</f>
        <v>1.1119783131080974E-2</v>
      </c>
      <c r="O58" s="108">
        <f>MAX(IF(INDEX('Pace of change parameters'!$E$30:$I$30,1,$B$5)=1,(1+M58)*D58,D58),L58)</f>
        <v>178997</v>
      </c>
      <c r="P58" s="94">
        <f>IF(K58&lt;INDEX('Pace of change parameters'!$E$18:$I$18,1,$B$5),1,IF(K58&gt;INDEX('Pace of change parameters'!$E$19:$I$19,1,$B$5),0,(K58-INDEX('Pace of change parameters'!$E$19:$I$19,1,$B$5))/(INDEX('Pace of change parameters'!$E$18:$I$18,1,$B$5)-INDEX('Pace of change parameters'!$E$19:$I$19,1,$B$5))))</f>
        <v>0.85455778747249578</v>
      </c>
      <c r="Q58" s="57">
        <v>2.8028939964395816E-2</v>
      </c>
      <c r="R58" s="57">
        <v>2.2981230548222875E-2</v>
      </c>
      <c r="S58" s="9">
        <f>MAX(IF(INDEX('Pace of change parameters'!$E$31:$I$31,1,$B$5)=1,D58*(1+Q58),D58),L58)</f>
        <v>179793.00933931314</v>
      </c>
      <c r="T58" s="103">
        <f>IF(Q58&lt;INDEX('Pace of change parameters'!$E$24:$I$24,1,$B$5),INDEX('Pace of change parameters'!$E$24:$I$24,1,$B$5),Q58)</f>
        <v>2.8028939964395816E-2</v>
      </c>
      <c r="U58" s="132">
        <v>2.2981230548222875E-2</v>
      </c>
      <c r="V58" s="117">
        <f t="shared" si="8"/>
        <v>179793.00933931314</v>
      </c>
      <c r="W58" s="131">
        <f>IF(J58&gt;INDEX('Pace of change parameters'!$E$26:$I$26,1,$B$5),0,IF(J58&lt;INDEX('Pace of change parameters'!$E$25:$I$25,1,$B$5),1,(J58-INDEX('Pace of change parameters'!$E$26:$I$26,1,$B$5))/(INDEX('Pace of change parameters'!$E$25:$I$25,1,$B$5)-INDEX('Pace of change parameters'!$E$26:$I$26,1,$B$5))))</f>
        <v>1</v>
      </c>
      <c r="X58" s="132">
        <f>MIN(T58, T58+(INDEX('Pace of change parameters'!$E$27:$I$27,1,$B$5)-T58)*(1-W58))</f>
        <v>2.8028939964395816E-2</v>
      </c>
      <c r="Y58" s="132">
        <v>2.2981230548222875E-2</v>
      </c>
      <c r="Z58" s="108">
        <f t="shared" si="9"/>
        <v>179793.00933931314</v>
      </c>
      <c r="AA58" s="97">
        <f>MIN(VLOOKUP(A58,'2016-17 disagg'!$A$12:$BC$220,54,FALSE),MIN(0,VLOOKUP(A58,'2016-17 disagg'!$A$12:$BC$220,54,FALSE),-2.5%))</f>
        <v>-3.8849056825273509E-2</v>
      </c>
      <c r="AB58" s="99">
        <f t="shared" si="2"/>
        <v>179122.87098164021</v>
      </c>
      <c r="AC58" s="99">
        <f>MAX(IF(INDEX('Pace of change parameters'!$E$29:$I$29,1,$B$5)=1,MAX(AB58,Z58),Z58),L58)</f>
        <v>179793.00933931314</v>
      </c>
      <c r="AD58" s="97">
        <f t="shared" si="3"/>
        <v>2.8028939964395816E-2</v>
      </c>
      <c r="AE58" s="146">
        <v>2.2981230548222875E-2</v>
      </c>
      <c r="AF58" s="56">
        <f t="shared" si="10"/>
        <v>179793.00933931314</v>
      </c>
      <c r="AG58" s="56">
        <v>1447.5568461058911</v>
      </c>
      <c r="AH58" s="16">
        <f t="shared" si="4"/>
        <v>2.8028939964395816E-2</v>
      </c>
      <c r="AI58" s="16">
        <f t="shared" si="5"/>
        <v>2.2981230548222875E-2</v>
      </c>
      <c r="AJ58" s="56"/>
      <c r="AK58" s="56">
        <v>186362.89362624876</v>
      </c>
      <c r="AL58" s="56">
        <v>1500.4525677617255</v>
      </c>
      <c r="AM58" s="16">
        <f t="shared" si="11"/>
        <v>-3.5253178135941199E-2</v>
      </c>
      <c r="AN58" s="58">
        <f t="shared" si="11"/>
        <v>-3.5253178135941199E-2</v>
      </c>
      <c r="AP58" s="56">
        <f t="shared" si="12"/>
        <v>0</v>
      </c>
      <c r="AQ58" s="56">
        <f t="shared" si="6"/>
        <v>0</v>
      </c>
    </row>
    <row r="59" spans="1:43" x14ac:dyDescent="0.2">
      <c r="A59" s="156" t="s">
        <v>163</v>
      </c>
      <c r="B59" s="156" t="s">
        <v>164</v>
      </c>
      <c r="D59" s="68">
        <f>VLOOKUP(A59,'2016-17 disagg'!A59:BC267,43,FALSE)</f>
        <v>551105</v>
      </c>
      <c r="E59" s="73">
        <v>1612.9248552482152</v>
      </c>
      <c r="F59" s="55"/>
      <c r="G59" s="88">
        <v>556236.3337242807</v>
      </c>
      <c r="H59" s="81">
        <v>1617.6720312689097</v>
      </c>
      <c r="I59" s="90"/>
      <c r="J59" s="103">
        <f t="shared" si="7"/>
        <v>-9.2250962642512757E-3</v>
      </c>
      <c r="K59" s="126">
        <f t="shared" si="7"/>
        <v>-2.9345726012032225E-3</v>
      </c>
      <c r="L59" s="56">
        <v>563529</v>
      </c>
      <c r="M59" s="103">
        <v>1.7539478359512639E-2</v>
      </c>
      <c r="N59" s="97">
        <f>INDEX('Pace of change parameters'!$E$22:$I$22,1,$B$5)</f>
        <v>1.1119783131080974E-2</v>
      </c>
      <c r="O59" s="108">
        <f>MAX(IF(INDEX('Pace of change parameters'!$E$30:$I$30,1,$B$5)=1,(1+M59)*D59,D59),L59)</f>
        <v>563529</v>
      </c>
      <c r="P59" s="94">
        <f>IF(K59&lt;INDEX('Pace of change parameters'!$E$18:$I$18,1,$B$5),1,IF(K59&gt;INDEX('Pace of change parameters'!$E$19:$I$19,1,$B$5),0,(K59-INDEX('Pace of change parameters'!$E$19:$I$19,1,$B$5))/(INDEX('Pace of change parameters'!$E$18:$I$18,1,$B$5)-INDEX('Pace of change parameters'!$E$19:$I$19,1,$B$5))))</f>
        <v>0.43074809629548061</v>
      </c>
      <c r="Q59" s="57">
        <v>2.3556315808028971E-2</v>
      </c>
      <c r="R59" s="57">
        <v>1.7098660123536336E-2</v>
      </c>
      <c r="S59" s="9">
        <f>MAX(IF(INDEX('Pace of change parameters'!$E$31:$I$31,1,$B$5)=1,D59*(1+Q59),D59),L59)</f>
        <v>564087.00342338381</v>
      </c>
      <c r="T59" s="103">
        <f>IF(Q59&lt;INDEX('Pace of change parameters'!$E$24:$I$24,1,$B$5),INDEX('Pace of change parameters'!$E$24:$I$24,1,$B$5),Q59)</f>
        <v>2.3556315808028971E-2</v>
      </c>
      <c r="U59" s="132">
        <v>1.7098660123536336E-2</v>
      </c>
      <c r="V59" s="117">
        <f t="shared" si="8"/>
        <v>564087.00342338381</v>
      </c>
      <c r="W59" s="131">
        <f>IF(J59&gt;INDEX('Pace of change parameters'!$E$26:$I$26,1,$B$5),0,IF(J59&lt;INDEX('Pace of change parameters'!$E$25:$I$25,1,$B$5),1,(J59-INDEX('Pace of change parameters'!$E$26:$I$26,1,$B$5))/(INDEX('Pace of change parameters'!$E$25:$I$25,1,$B$5)-INDEX('Pace of change parameters'!$E$26:$I$26,1,$B$5))))</f>
        <v>1</v>
      </c>
      <c r="X59" s="132">
        <f>MIN(T59, T59+(INDEX('Pace of change parameters'!$E$27:$I$27,1,$B$5)-T59)*(1-W59))</f>
        <v>2.3556315808028971E-2</v>
      </c>
      <c r="Y59" s="132">
        <v>1.7098660123536336E-2</v>
      </c>
      <c r="Z59" s="108">
        <f t="shared" si="9"/>
        <v>564087.00342338381</v>
      </c>
      <c r="AA59" s="97">
        <f>MIN(VLOOKUP(A59,'2016-17 disagg'!$A$12:$BC$220,54,FALSE),MIN(0,VLOOKUP(A59,'2016-17 disagg'!$A$12:$BC$220,54,FALSE),-2.5%))</f>
        <v>-2.5000000000000001E-2</v>
      </c>
      <c r="AB59" s="99">
        <f t="shared" si="2"/>
        <v>556259.41963791929</v>
      </c>
      <c r="AC59" s="99">
        <f>MAX(IF(INDEX('Pace of change parameters'!$E$29:$I$29,1,$B$5)=1,MAX(AB59,Z59),Z59),L59)</f>
        <v>564087.00342338381</v>
      </c>
      <c r="AD59" s="97">
        <f t="shared" si="3"/>
        <v>2.3556315808028971E-2</v>
      </c>
      <c r="AE59" s="146">
        <v>1.7098660123536336E-2</v>
      </c>
      <c r="AF59" s="56">
        <f t="shared" si="10"/>
        <v>564087.00342338381</v>
      </c>
      <c r="AG59" s="56">
        <v>1640.5037091529089</v>
      </c>
      <c r="AH59" s="16">
        <f t="shared" si="4"/>
        <v>2.3556315808028971E-2</v>
      </c>
      <c r="AI59" s="16">
        <f t="shared" si="5"/>
        <v>1.7098660123536558E-2</v>
      </c>
      <c r="AJ59" s="56"/>
      <c r="AK59" s="56">
        <v>570522.4816799172</v>
      </c>
      <c r="AL59" s="56">
        <v>1659.2196623408815</v>
      </c>
      <c r="AM59" s="16">
        <f t="shared" si="11"/>
        <v>-1.1279973117946152E-2</v>
      </c>
      <c r="AN59" s="58">
        <f t="shared" si="11"/>
        <v>-1.1279973117946041E-2</v>
      </c>
      <c r="AP59" s="56">
        <f t="shared" si="12"/>
        <v>0</v>
      </c>
      <c r="AQ59" s="56">
        <f t="shared" si="6"/>
        <v>0</v>
      </c>
    </row>
    <row r="60" spans="1:43" x14ac:dyDescent="0.2">
      <c r="A60" s="156" t="s">
        <v>165</v>
      </c>
      <c r="B60" s="156" t="s">
        <v>166</v>
      </c>
      <c r="D60" s="68">
        <f>VLOOKUP(A60,'2016-17 disagg'!A60:BC268,43,FALSE)</f>
        <v>346114</v>
      </c>
      <c r="E60" s="73">
        <v>1577.6860083771558</v>
      </c>
      <c r="F60" s="55"/>
      <c r="G60" s="88">
        <v>329117.50643704995</v>
      </c>
      <c r="H60" s="81">
        <v>1490.6648202762988</v>
      </c>
      <c r="I60" s="90"/>
      <c r="J60" s="103">
        <f t="shared" si="7"/>
        <v>5.1642629852632682E-2</v>
      </c>
      <c r="K60" s="126">
        <f t="shared" si="7"/>
        <v>5.8377434629957481E-2</v>
      </c>
      <c r="L60" s="56">
        <v>351838</v>
      </c>
      <c r="M60" s="103">
        <v>1.7595076308225321E-2</v>
      </c>
      <c r="N60" s="97">
        <f>INDEX('Pace of change parameters'!$E$22:$I$22,1,$B$5)</f>
        <v>1.1119783131080974E-2</v>
      </c>
      <c r="O60" s="108">
        <f>MAX(IF(INDEX('Pace of change parameters'!$E$30:$I$30,1,$B$5)=1,(1+M60)*D60,D60),L60)</f>
        <v>352203.90224134509</v>
      </c>
      <c r="P60" s="94">
        <f>IF(K60&lt;INDEX('Pace of change parameters'!$E$18:$I$18,1,$B$5),1,IF(K60&gt;INDEX('Pace of change parameters'!$E$19:$I$19,1,$B$5),0,(K60-INDEX('Pace of change parameters'!$E$19:$I$19,1,$B$5))/(INDEX('Pace of change parameters'!$E$18:$I$18,1,$B$5)-INDEX('Pace of change parameters'!$E$19:$I$19,1,$B$5))))</f>
        <v>0</v>
      </c>
      <c r="Q60" s="57">
        <v>1.7595076308225321E-2</v>
      </c>
      <c r="R60" s="57">
        <v>1.1119783131080974E-2</v>
      </c>
      <c r="S60" s="9">
        <f>MAX(IF(INDEX('Pace of change parameters'!$E$31:$I$31,1,$B$5)=1,D60*(1+Q60),D60),L60)</f>
        <v>352203.90224134509</v>
      </c>
      <c r="T60" s="103">
        <f>IF(Q60&lt;INDEX('Pace of change parameters'!$E$24:$I$24,1,$B$5),INDEX('Pace of change parameters'!$E$24:$I$24,1,$B$5),Q60)</f>
        <v>1.9644681315626574E-2</v>
      </c>
      <c r="U60" s="132">
        <v>1.3156345825651616E-2</v>
      </c>
      <c r="V60" s="117">
        <f t="shared" si="8"/>
        <v>352913.29922887677</v>
      </c>
      <c r="W60" s="131">
        <f>IF(J60&gt;INDEX('Pace of change parameters'!$E$26:$I$26,1,$B$5),0,IF(J60&lt;INDEX('Pace of change parameters'!$E$25:$I$25,1,$B$5),1,(J60-INDEX('Pace of change parameters'!$E$26:$I$26,1,$B$5))/(INDEX('Pace of change parameters'!$E$25:$I$25,1,$B$5)-INDEX('Pace of change parameters'!$E$26:$I$26,1,$B$5))))</f>
        <v>0.96714740294734647</v>
      </c>
      <c r="X60" s="132">
        <f>MIN(T60, T60+(INDEX('Pace of change parameters'!$E$27:$I$27,1,$B$5)-T60)*(1-W60))</f>
        <v>1.9040193529857748E-2</v>
      </c>
      <c r="Y60" s="132">
        <v>1.2555704595085038E-2</v>
      </c>
      <c r="Z60" s="108">
        <f t="shared" si="9"/>
        <v>352704.07754339313</v>
      </c>
      <c r="AA60" s="97">
        <f>MIN(VLOOKUP(A60,'2016-17 disagg'!$A$12:$BC$220,54,FALSE),MIN(0,VLOOKUP(A60,'2016-17 disagg'!$A$12:$BC$220,54,FALSE),-2.5%))</f>
        <v>-2.5000000000000001E-2</v>
      </c>
      <c r="AB60" s="99">
        <f t="shared" si="2"/>
        <v>329141.10528063687</v>
      </c>
      <c r="AC60" s="99">
        <f>MAX(IF(INDEX('Pace of change parameters'!$E$29:$I$29,1,$B$5)=1,MAX(AB60,Z60),Z60),L60)</f>
        <v>352704.07754339313</v>
      </c>
      <c r="AD60" s="97">
        <f t="shared" si="3"/>
        <v>1.9040193529857641E-2</v>
      </c>
      <c r="AE60" s="146">
        <v>1.2555704595085038E-2</v>
      </c>
      <c r="AF60" s="56">
        <f t="shared" si="10"/>
        <v>352704.07754339313</v>
      </c>
      <c r="AG60" s="56">
        <v>1597.4949678421385</v>
      </c>
      <c r="AH60" s="16">
        <f t="shared" si="4"/>
        <v>1.9040193529857641E-2</v>
      </c>
      <c r="AI60" s="16">
        <f t="shared" si="5"/>
        <v>1.255570459508526E-2</v>
      </c>
      <c r="AJ60" s="56"/>
      <c r="AK60" s="56">
        <v>337580.62080065318</v>
      </c>
      <c r="AL60" s="56">
        <v>1528.9966215480472</v>
      </c>
      <c r="AM60" s="16">
        <f t="shared" si="11"/>
        <v>4.4799540645642066E-2</v>
      </c>
      <c r="AN60" s="58">
        <f t="shared" si="11"/>
        <v>4.4799540645642288E-2</v>
      </c>
      <c r="AP60" s="56">
        <f t="shared" si="12"/>
        <v>0</v>
      </c>
      <c r="AQ60" s="56">
        <f t="shared" si="6"/>
        <v>0</v>
      </c>
    </row>
    <row r="61" spans="1:43" x14ac:dyDescent="0.2">
      <c r="A61" s="156" t="s">
        <v>167</v>
      </c>
      <c r="B61" s="156" t="s">
        <v>168</v>
      </c>
      <c r="D61" s="68">
        <f>VLOOKUP(A61,'2016-17 disagg'!A61:BC269,43,FALSE)</f>
        <v>559786</v>
      </c>
      <c r="E61" s="73">
        <v>1778.6745507696851</v>
      </c>
      <c r="F61" s="55"/>
      <c r="G61" s="88">
        <v>529212.27833449375</v>
      </c>
      <c r="H61" s="81">
        <v>1677.8628388060517</v>
      </c>
      <c r="I61" s="90"/>
      <c r="J61" s="103">
        <f t="shared" si="7"/>
        <v>5.7772132123854236E-2</v>
      </c>
      <c r="K61" s="126">
        <f t="shared" si="7"/>
        <v>6.0083404693180853E-2</v>
      </c>
      <c r="L61" s="56">
        <v>570930</v>
      </c>
      <c r="M61" s="103">
        <v>1.33291185333686E-2</v>
      </c>
      <c r="N61" s="97">
        <f>INDEX('Pace of change parameters'!$E$22:$I$22,1,$B$5)</f>
        <v>1.1119783131080974E-2</v>
      </c>
      <c r="O61" s="108">
        <f>MAX(IF(INDEX('Pace of change parameters'!$E$30:$I$30,1,$B$5)=1,(1+M61)*D61,D61),L61)</f>
        <v>570930</v>
      </c>
      <c r="P61" s="94">
        <f>IF(K61&lt;INDEX('Pace of change parameters'!$E$18:$I$18,1,$B$5),1,IF(K61&gt;INDEX('Pace of change parameters'!$E$19:$I$19,1,$B$5),0,(K61-INDEX('Pace of change parameters'!$E$19:$I$19,1,$B$5))/(INDEX('Pace of change parameters'!$E$18:$I$18,1,$B$5)-INDEX('Pace of change parameters'!$E$19:$I$19,1,$B$5))))</f>
        <v>0</v>
      </c>
      <c r="Q61" s="57">
        <v>1.33291185333686E-2</v>
      </c>
      <c r="R61" s="57">
        <v>1.1119783131080974E-2</v>
      </c>
      <c r="S61" s="9">
        <f>MAX(IF(INDEX('Pace of change parameters'!$E$31:$I$31,1,$B$5)=1,D61*(1+Q61),D61),L61)</f>
        <v>570930</v>
      </c>
      <c r="T61" s="103">
        <f>IF(Q61&lt;INDEX('Pace of change parameters'!$E$24:$I$24,1,$B$5),INDEX('Pace of change parameters'!$E$24:$I$24,1,$B$5),Q61)</f>
        <v>1.9644681315626574E-2</v>
      </c>
      <c r="U61" s="132">
        <v>1.7421576254315951E-2</v>
      </c>
      <c r="V61" s="117">
        <f t="shared" si="8"/>
        <v>570930</v>
      </c>
      <c r="W61" s="131">
        <f>IF(J61&gt;INDEX('Pace of change parameters'!$E$26:$I$26,1,$B$5),0,IF(J61&lt;INDEX('Pace of change parameters'!$E$25:$I$25,1,$B$5),1,(J61-INDEX('Pace of change parameters'!$E$26:$I$26,1,$B$5))/(INDEX('Pace of change parameters'!$E$25:$I$25,1,$B$5)-INDEX('Pace of change parameters'!$E$26:$I$26,1,$B$5))))</f>
        <v>0.84455735752291539</v>
      </c>
      <c r="X61" s="132">
        <f>MIN(T61, T61+(INDEX('Pace of change parameters'!$E$27:$I$27,1,$B$5)-T61)*(1-W61))</f>
        <v>1.6784536694048217E-2</v>
      </c>
      <c r="Y61" s="132">
        <v>1.4567667532459305E-2</v>
      </c>
      <c r="Z61" s="108">
        <f t="shared" si="9"/>
        <v>570930</v>
      </c>
      <c r="AA61" s="97">
        <f>MIN(VLOOKUP(A61,'2016-17 disagg'!$A$12:$BC$220,54,FALSE),MIN(0,VLOOKUP(A61,'2016-17 disagg'!$A$12:$BC$220,54,FALSE),-2.5%))</f>
        <v>-2.5000000000000001E-2</v>
      </c>
      <c r="AB61" s="99">
        <f t="shared" si="2"/>
        <v>529379.2470434719</v>
      </c>
      <c r="AC61" s="99">
        <f>MAX(IF(INDEX('Pace of change parameters'!$E$29:$I$29,1,$B$5)=1,MAX(AB61,Z61),Z61),L61)</f>
        <v>570930</v>
      </c>
      <c r="AD61" s="97">
        <f t="shared" si="3"/>
        <v>1.9907607550027961E-2</v>
      </c>
      <c r="AE61" s="146">
        <v>1.7683929237414242E-2</v>
      </c>
      <c r="AF61" s="56">
        <f t="shared" si="10"/>
        <v>570930</v>
      </c>
      <c r="AG61" s="56">
        <v>1810.1285056618858</v>
      </c>
      <c r="AH61" s="16">
        <f t="shared" si="4"/>
        <v>1.9907607550027961E-2</v>
      </c>
      <c r="AI61" s="16">
        <f t="shared" si="5"/>
        <v>1.7683929237414242E-2</v>
      </c>
      <c r="AJ61" s="56"/>
      <c r="AK61" s="56">
        <v>542953.0738907404</v>
      </c>
      <c r="AL61" s="56">
        <v>1721.4279093520631</v>
      </c>
      <c r="AM61" s="16">
        <f t="shared" si="11"/>
        <v>5.1527337176268562E-2</v>
      </c>
      <c r="AN61" s="58">
        <f t="shared" si="11"/>
        <v>5.1527337176268562E-2</v>
      </c>
      <c r="AP61" s="56">
        <f t="shared" si="12"/>
        <v>1</v>
      </c>
      <c r="AQ61" s="56">
        <f t="shared" si="6"/>
        <v>0</v>
      </c>
    </row>
    <row r="62" spans="1:43" x14ac:dyDescent="0.2">
      <c r="A62" s="156" t="s">
        <v>169</v>
      </c>
      <c r="B62" s="156" t="s">
        <v>170</v>
      </c>
      <c r="D62" s="68">
        <f>VLOOKUP(A62,'2016-17 disagg'!A62:BC270,43,FALSE)</f>
        <v>479423</v>
      </c>
      <c r="E62" s="73">
        <v>1583.0086966994802</v>
      </c>
      <c r="F62" s="55"/>
      <c r="G62" s="88">
        <v>480007.18740898464</v>
      </c>
      <c r="H62" s="81">
        <v>1577.6204477907859</v>
      </c>
      <c r="I62" s="90"/>
      <c r="J62" s="103">
        <f t="shared" si="7"/>
        <v>-1.21703887839264E-3</v>
      </c>
      <c r="K62" s="126">
        <f t="shared" si="7"/>
        <v>3.4154279099511964E-3</v>
      </c>
      <c r="L62" s="56">
        <v>492447</v>
      </c>
      <c r="M62" s="103">
        <v>1.5809469476082416E-2</v>
      </c>
      <c r="N62" s="97">
        <f>INDEX('Pace of change parameters'!$E$22:$I$22,1,$B$5)</f>
        <v>1.1119783131080974E-2</v>
      </c>
      <c r="O62" s="108">
        <f>MAX(IF(INDEX('Pace of change parameters'!$E$30:$I$30,1,$B$5)=1,(1+M62)*D62,D62),L62)</f>
        <v>492447</v>
      </c>
      <c r="P62" s="94">
        <f>IF(K62&lt;INDEX('Pace of change parameters'!$E$18:$I$18,1,$B$5),1,IF(K62&gt;INDEX('Pace of change parameters'!$E$19:$I$19,1,$B$5),0,(K62-INDEX('Pace of change parameters'!$E$19:$I$19,1,$B$5))/(INDEX('Pace of change parameters'!$E$18:$I$18,1,$B$5)-INDEX('Pace of change parameters'!$E$19:$I$19,1,$B$5))))</f>
        <v>0.33821743375854241</v>
      </c>
      <c r="Q62" s="57">
        <v>2.052577456548299E-2</v>
      </c>
      <c r="R62" s="57">
        <v>1.5814314460498746E-2</v>
      </c>
      <c r="S62" s="9">
        <f>MAX(IF(INDEX('Pace of change parameters'!$E$31:$I$31,1,$B$5)=1,D62*(1+Q62),D62),L62)</f>
        <v>492447</v>
      </c>
      <c r="T62" s="103">
        <f>IF(Q62&lt;INDEX('Pace of change parameters'!$E$24:$I$24,1,$B$5),INDEX('Pace of change parameters'!$E$24:$I$24,1,$B$5),Q62)</f>
        <v>2.052577456548299E-2</v>
      </c>
      <c r="U62" s="132">
        <v>1.5814314460498746E-2</v>
      </c>
      <c r="V62" s="117">
        <f t="shared" si="8"/>
        <v>492447</v>
      </c>
      <c r="W62" s="131">
        <f>IF(J62&gt;INDEX('Pace of change parameters'!$E$26:$I$26,1,$B$5),0,IF(J62&lt;INDEX('Pace of change parameters'!$E$25:$I$25,1,$B$5),1,(J62-INDEX('Pace of change parameters'!$E$26:$I$26,1,$B$5))/(INDEX('Pace of change parameters'!$E$25:$I$25,1,$B$5)-INDEX('Pace of change parameters'!$E$26:$I$26,1,$B$5))))</f>
        <v>1</v>
      </c>
      <c r="X62" s="132">
        <f>MIN(T62, T62+(INDEX('Pace of change parameters'!$E$27:$I$27,1,$B$5)-T62)*(1-W62))</f>
        <v>2.052577456548299E-2</v>
      </c>
      <c r="Y62" s="132">
        <v>1.5814314460498746E-2</v>
      </c>
      <c r="Z62" s="108">
        <f t="shared" si="9"/>
        <v>492447</v>
      </c>
      <c r="AA62" s="97">
        <f>MIN(VLOOKUP(A62,'2016-17 disagg'!$A$12:$BC$220,54,FALSE),MIN(0,VLOOKUP(A62,'2016-17 disagg'!$A$12:$BC$220,54,FALSE),-2.5%))</f>
        <v>-2.5000000000000001E-2</v>
      </c>
      <c r="AB62" s="99">
        <f t="shared" si="2"/>
        <v>480139.02475821122</v>
      </c>
      <c r="AC62" s="99">
        <f>MAX(IF(INDEX('Pace of change parameters'!$E$29:$I$29,1,$B$5)=1,MAX(AB62,Z62),Z62),L62)</f>
        <v>492447</v>
      </c>
      <c r="AD62" s="97">
        <f t="shared" si="3"/>
        <v>2.7165989116083367E-2</v>
      </c>
      <c r="AE62" s="146">
        <v>2.2423873140641426E-2</v>
      </c>
      <c r="AF62" s="56">
        <f t="shared" si="10"/>
        <v>492447</v>
      </c>
      <c r="AG62" s="56">
        <v>1618.5058828948015</v>
      </c>
      <c r="AH62" s="16">
        <f t="shared" si="4"/>
        <v>2.7165989116083367E-2</v>
      </c>
      <c r="AI62" s="16">
        <f t="shared" si="5"/>
        <v>2.2423873140641426E-2</v>
      </c>
      <c r="AJ62" s="56"/>
      <c r="AK62" s="56">
        <v>492450.28180329356</v>
      </c>
      <c r="AL62" s="56">
        <v>1618.5166690665867</v>
      </c>
      <c r="AM62" s="16">
        <f t="shared" si="11"/>
        <v>-6.6642327455346262E-6</v>
      </c>
      <c r="AN62" s="58">
        <f t="shared" si="11"/>
        <v>-6.6642327455346262E-6</v>
      </c>
      <c r="AP62" s="56">
        <f t="shared" si="12"/>
        <v>1</v>
      </c>
      <c r="AQ62" s="56">
        <f t="shared" si="6"/>
        <v>0</v>
      </c>
    </row>
    <row r="63" spans="1:43" x14ac:dyDescent="0.2">
      <c r="A63" s="156" t="s">
        <v>171</v>
      </c>
      <c r="B63" s="156" t="s">
        <v>172</v>
      </c>
      <c r="D63" s="68">
        <f>VLOOKUP(A63,'2016-17 disagg'!A63:BC271,43,FALSE)</f>
        <v>367114</v>
      </c>
      <c r="E63" s="73">
        <v>1490.5869880377431</v>
      </c>
      <c r="F63" s="55"/>
      <c r="G63" s="88">
        <v>355433.39518214727</v>
      </c>
      <c r="H63" s="81">
        <v>1433.8874499633469</v>
      </c>
      <c r="I63" s="90"/>
      <c r="J63" s="103">
        <f t="shared" si="7"/>
        <v>3.2862991987195889E-2</v>
      </c>
      <c r="K63" s="126">
        <f t="shared" si="7"/>
        <v>3.9542530395844988E-2</v>
      </c>
      <c r="L63" s="56">
        <v>375636</v>
      </c>
      <c r="M63" s="103">
        <v>1.7658707925137795E-2</v>
      </c>
      <c r="N63" s="97">
        <f>INDEX('Pace of change parameters'!$E$22:$I$22,1,$B$5)</f>
        <v>1.1119783131080974E-2</v>
      </c>
      <c r="O63" s="108">
        <f>MAX(IF(INDEX('Pace of change parameters'!$E$30:$I$30,1,$B$5)=1,(1+M63)*D63,D63),L63)</f>
        <v>375636</v>
      </c>
      <c r="P63" s="94">
        <f>IF(K63&lt;INDEX('Pace of change parameters'!$E$18:$I$18,1,$B$5),1,IF(K63&gt;INDEX('Pace of change parameters'!$E$19:$I$19,1,$B$5),0,(K63-INDEX('Pace of change parameters'!$E$19:$I$19,1,$B$5))/(INDEX('Pace of change parameters'!$E$18:$I$18,1,$B$5)-INDEX('Pace of change parameters'!$E$19:$I$19,1,$B$5))))</f>
        <v>0</v>
      </c>
      <c r="Q63" s="57">
        <v>1.7658707925137795E-2</v>
      </c>
      <c r="R63" s="57">
        <v>1.1119783131080974E-2</v>
      </c>
      <c r="S63" s="9">
        <f>MAX(IF(INDEX('Pace of change parameters'!$E$31:$I$31,1,$B$5)=1,D63*(1+Q63),D63),L63)</f>
        <v>375636</v>
      </c>
      <c r="T63" s="103">
        <f>IF(Q63&lt;INDEX('Pace of change parameters'!$E$24:$I$24,1,$B$5),INDEX('Pace of change parameters'!$E$24:$I$24,1,$B$5),Q63)</f>
        <v>1.9644681315626574E-2</v>
      </c>
      <c r="U63" s="132">
        <v>1.309299573001721E-2</v>
      </c>
      <c r="V63" s="117">
        <f t="shared" si="8"/>
        <v>375636</v>
      </c>
      <c r="W63" s="131">
        <f>IF(J63&gt;INDEX('Pace of change parameters'!$E$26:$I$26,1,$B$5),0,IF(J63&lt;INDEX('Pace of change parameters'!$E$25:$I$25,1,$B$5),1,(J63-INDEX('Pace of change parameters'!$E$26:$I$26,1,$B$5))/(INDEX('Pace of change parameters'!$E$25:$I$25,1,$B$5)-INDEX('Pace of change parameters'!$E$26:$I$26,1,$B$5))))</f>
        <v>1</v>
      </c>
      <c r="X63" s="132">
        <f>MIN(T63, T63+(INDEX('Pace of change parameters'!$E$27:$I$27,1,$B$5)-T63)*(1-W63))</f>
        <v>1.9644681315626574E-2</v>
      </c>
      <c r="Y63" s="132">
        <v>1.309299573001721E-2</v>
      </c>
      <c r="Z63" s="108">
        <f t="shared" si="9"/>
        <v>375636</v>
      </c>
      <c r="AA63" s="97">
        <f>MIN(VLOOKUP(A63,'2016-17 disagg'!$A$12:$BC$220,54,FALSE),MIN(0,VLOOKUP(A63,'2016-17 disagg'!$A$12:$BC$220,54,FALSE),-2.5%))</f>
        <v>-2.5000000000000001E-2</v>
      </c>
      <c r="AB63" s="99">
        <f t="shared" si="2"/>
        <v>355442.06500959891</v>
      </c>
      <c r="AC63" s="99">
        <f>MAX(IF(INDEX('Pace of change parameters'!$E$29:$I$29,1,$B$5)=1,MAX(AB63,Z63),Z63),L63)</f>
        <v>375636</v>
      </c>
      <c r="AD63" s="97">
        <f t="shared" si="3"/>
        <v>2.3213497714606346E-2</v>
      </c>
      <c r="AE63" s="146">
        <v>1.6638880843827364E-2</v>
      </c>
      <c r="AF63" s="56">
        <f t="shared" si="10"/>
        <v>375636</v>
      </c>
      <c r="AG63" s="56">
        <v>1515.3886873190627</v>
      </c>
      <c r="AH63" s="16">
        <f t="shared" si="4"/>
        <v>2.3213497714606346E-2</v>
      </c>
      <c r="AI63" s="16">
        <f t="shared" si="5"/>
        <v>1.6638880843827364E-2</v>
      </c>
      <c r="AJ63" s="56"/>
      <c r="AK63" s="56">
        <v>364555.96411240916</v>
      </c>
      <c r="AL63" s="56">
        <v>1470.6896674190946</v>
      </c>
      <c r="AM63" s="16">
        <f t="shared" si="11"/>
        <v>3.0393237193547584E-2</v>
      </c>
      <c r="AN63" s="58">
        <f t="shared" si="11"/>
        <v>3.0393237193547584E-2</v>
      </c>
      <c r="AP63" s="56">
        <f t="shared" si="12"/>
        <v>1</v>
      </c>
      <c r="AQ63" s="56">
        <f t="shared" si="6"/>
        <v>0</v>
      </c>
    </row>
    <row r="64" spans="1:43" x14ac:dyDescent="0.2">
      <c r="A64" s="156" t="s">
        <v>173</v>
      </c>
      <c r="B64" s="156" t="s">
        <v>174</v>
      </c>
      <c r="D64" s="68">
        <f>VLOOKUP(A64,'2016-17 disagg'!A64:BC272,43,FALSE)</f>
        <v>238935</v>
      </c>
      <c r="E64" s="73">
        <v>1661.9365625784187</v>
      </c>
      <c r="F64" s="55"/>
      <c r="G64" s="88">
        <v>223033.43499490491</v>
      </c>
      <c r="H64" s="81">
        <v>1548.6991033770682</v>
      </c>
      <c r="I64" s="90"/>
      <c r="J64" s="103">
        <f t="shared" si="7"/>
        <v>7.1296776671436524E-2</v>
      </c>
      <c r="K64" s="126">
        <f t="shared" si="7"/>
        <v>7.3117792187279429E-2</v>
      </c>
      <c r="L64" s="56">
        <v>243634</v>
      </c>
      <c r="M64" s="103">
        <v>1.2838508374685587E-2</v>
      </c>
      <c r="N64" s="97">
        <f>INDEX('Pace of change parameters'!$E$22:$I$22,1,$B$5)</f>
        <v>1.1119783131080974E-2</v>
      </c>
      <c r="O64" s="108">
        <f>MAX(IF(INDEX('Pace of change parameters'!$E$30:$I$30,1,$B$5)=1,(1+M64)*D64,D64),L64)</f>
        <v>243634</v>
      </c>
      <c r="P64" s="94">
        <f>IF(K64&lt;INDEX('Pace of change parameters'!$E$18:$I$18,1,$B$5),1,IF(K64&gt;INDEX('Pace of change parameters'!$E$19:$I$19,1,$B$5),0,(K64-INDEX('Pace of change parameters'!$E$19:$I$19,1,$B$5))/(INDEX('Pace of change parameters'!$E$18:$I$18,1,$B$5)-INDEX('Pace of change parameters'!$E$19:$I$19,1,$B$5))))</f>
        <v>0</v>
      </c>
      <c r="Q64" s="57">
        <v>1.2838508374685587E-2</v>
      </c>
      <c r="R64" s="57">
        <v>1.1119783131080974E-2</v>
      </c>
      <c r="S64" s="9">
        <f>MAX(IF(INDEX('Pace of change parameters'!$E$31:$I$31,1,$B$5)=1,D64*(1+Q64),D64),L64)</f>
        <v>243634</v>
      </c>
      <c r="T64" s="103">
        <f>IF(Q64&lt;INDEX('Pace of change parameters'!$E$24:$I$24,1,$B$5),INDEX('Pace of change parameters'!$E$24:$I$24,1,$B$5),Q64)</f>
        <v>1.9644681315626574E-2</v>
      </c>
      <c r="U64" s="132">
        <v>1.7914406411193351E-2</v>
      </c>
      <c r="V64" s="117">
        <f t="shared" si="8"/>
        <v>243634</v>
      </c>
      <c r="W64" s="131">
        <f>IF(J64&gt;INDEX('Pace of change parameters'!$E$26:$I$26,1,$B$5),0,IF(J64&lt;INDEX('Pace of change parameters'!$E$25:$I$25,1,$B$5),1,(J64-INDEX('Pace of change parameters'!$E$26:$I$26,1,$B$5))/(INDEX('Pace of change parameters'!$E$25:$I$25,1,$B$5)-INDEX('Pace of change parameters'!$E$26:$I$26,1,$B$5))))</f>
        <v>0.57406446657126964</v>
      </c>
      <c r="X64" s="132">
        <f>MIN(T64, T64+(INDEX('Pace of change parameters'!$E$27:$I$27,1,$B$5)-T64)*(1-W64))</f>
        <v>1.1807467500537936E-2</v>
      </c>
      <c r="Y64" s="132">
        <v>1.0090491870482721E-2</v>
      </c>
      <c r="Z64" s="108">
        <f t="shared" si="9"/>
        <v>243634</v>
      </c>
      <c r="AA64" s="97">
        <f>MIN(VLOOKUP(A64,'2016-17 disagg'!$A$12:$BC$220,54,FALSE),MIN(0,VLOOKUP(A64,'2016-17 disagg'!$A$12:$BC$220,54,FALSE),-2.5%))</f>
        <v>-2.5000000000000001E-2</v>
      </c>
      <c r="AB64" s="99">
        <f t="shared" si="2"/>
        <v>223106.92696106134</v>
      </c>
      <c r="AC64" s="99">
        <f>MAX(IF(INDEX('Pace of change parameters'!$E$29:$I$29,1,$B$5)=1,MAX(AB64,Z64),Z64),L64)</f>
        <v>243634</v>
      </c>
      <c r="AD64" s="97">
        <f t="shared" si="3"/>
        <v>1.9666436478540161E-2</v>
      </c>
      <c r="AE64" s="146">
        <v>1.793612465692096E-2</v>
      </c>
      <c r="AF64" s="56">
        <f t="shared" si="10"/>
        <v>243634</v>
      </c>
      <c r="AG64" s="56">
        <v>1691.7452639367198</v>
      </c>
      <c r="AH64" s="16">
        <f t="shared" si="4"/>
        <v>1.9666436478540161E-2</v>
      </c>
      <c r="AI64" s="16">
        <f t="shared" si="5"/>
        <v>1.7936124656920738E-2</v>
      </c>
      <c r="AJ64" s="56"/>
      <c r="AK64" s="56">
        <v>228827.61739596035</v>
      </c>
      <c r="AL64" s="56">
        <v>1588.9327351171828</v>
      </c>
      <c r="AM64" s="16">
        <f t="shared" si="11"/>
        <v>6.4705400390630663E-2</v>
      </c>
      <c r="AN64" s="58">
        <f t="shared" si="11"/>
        <v>6.4705400390630441E-2</v>
      </c>
      <c r="AP64" s="56">
        <f t="shared" si="12"/>
        <v>1</v>
      </c>
      <c r="AQ64" s="56">
        <f t="shared" si="6"/>
        <v>0</v>
      </c>
    </row>
    <row r="65" spans="1:43" x14ac:dyDescent="0.2">
      <c r="A65" s="156" t="s">
        <v>175</v>
      </c>
      <c r="B65" s="156" t="s">
        <v>176</v>
      </c>
      <c r="D65" s="68">
        <f>VLOOKUP(A65,'2016-17 disagg'!A65:BC273,43,FALSE)</f>
        <v>243090</v>
      </c>
      <c r="E65" s="73">
        <v>1497.1696781444434</v>
      </c>
      <c r="F65" s="55"/>
      <c r="G65" s="88">
        <v>237600.80614005818</v>
      </c>
      <c r="H65" s="81">
        <v>1459.0917784343453</v>
      </c>
      <c r="I65" s="90"/>
      <c r="J65" s="103">
        <f t="shared" si="7"/>
        <v>2.3102589377184568E-2</v>
      </c>
      <c r="K65" s="126">
        <f t="shared" si="7"/>
        <v>2.609698736768773E-2</v>
      </c>
      <c r="L65" s="56">
        <v>248663</v>
      </c>
      <c r="M65" s="103">
        <v>1.4079110062907851E-2</v>
      </c>
      <c r="N65" s="97">
        <f>INDEX('Pace of change parameters'!$E$22:$I$22,1,$B$5)</f>
        <v>1.1119783131080974E-2</v>
      </c>
      <c r="O65" s="108">
        <f>MAX(IF(INDEX('Pace of change parameters'!$E$30:$I$30,1,$B$5)=1,(1+M65)*D65,D65),L65)</f>
        <v>248663</v>
      </c>
      <c r="P65" s="94">
        <f>IF(K65&lt;INDEX('Pace of change parameters'!$E$18:$I$18,1,$B$5),1,IF(K65&gt;INDEX('Pace of change parameters'!$E$19:$I$19,1,$B$5),0,(K65-INDEX('Pace of change parameters'!$E$19:$I$19,1,$B$5))/(INDEX('Pace of change parameters'!$E$18:$I$18,1,$B$5)-INDEX('Pace of change parameters'!$E$19:$I$19,1,$B$5))))</f>
        <v>7.7072676083713692E-3</v>
      </c>
      <c r="Q65" s="57">
        <v>1.4186401711634877E-2</v>
      </c>
      <c r="R65" s="57">
        <v>1.1226761676951913E-2</v>
      </c>
      <c r="S65" s="9">
        <f>MAX(IF(INDEX('Pace of change parameters'!$E$31:$I$31,1,$B$5)=1,D65*(1+Q65),D65),L65)</f>
        <v>248663</v>
      </c>
      <c r="T65" s="103">
        <f>IF(Q65&lt;INDEX('Pace of change parameters'!$E$24:$I$24,1,$B$5),INDEX('Pace of change parameters'!$E$24:$I$24,1,$B$5),Q65)</f>
        <v>1.9644681315626574E-2</v>
      </c>
      <c r="U65" s="132">
        <v>1.6669112707252243E-2</v>
      </c>
      <c r="V65" s="117">
        <f t="shared" si="8"/>
        <v>248663</v>
      </c>
      <c r="W65" s="131">
        <f>IF(J65&gt;INDEX('Pace of change parameters'!$E$26:$I$26,1,$B$5),0,IF(J65&lt;INDEX('Pace of change parameters'!$E$25:$I$25,1,$B$5),1,(J65-INDEX('Pace of change parameters'!$E$26:$I$26,1,$B$5))/(INDEX('Pace of change parameters'!$E$25:$I$25,1,$B$5)-INDEX('Pace of change parameters'!$E$26:$I$26,1,$B$5))))</f>
        <v>1</v>
      </c>
      <c r="X65" s="132">
        <f>MIN(T65, T65+(INDEX('Pace of change parameters'!$E$27:$I$27,1,$B$5)-T65)*(1-W65))</f>
        <v>1.9644681315626574E-2</v>
      </c>
      <c r="Y65" s="132">
        <v>1.6669112707252243E-2</v>
      </c>
      <c r="Z65" s="108">
        <f t="shared" si="9"/>
        <v>248663</v>
      </c>
      <c r="AA65" s="97">
        <f>MIN(VLOOKUP(A65,'2016-17 disagg'!$A$12:$BC$220,54,FALSE),MIN(0,VLOOKUP(A65,'2016-17 disagg'!$A$12:$BC$220,54,FALSE),-2.5%))</f>
        <v>-2.5000000000000001E-2</v>
      </c>
      <c r="AB65" s="99">
        <f t="shared" si="2"/>
        <v>237684.17811008962</v>
      </c>
      <c r="AC65" s="99">
        <f>MAX(IF(INDEX('Pace of change parameters'!$E$29:$I$29,1,$B$5)=1,MAX(AB65,Z65),Z65),L65)</f>
        <v>248663</v>
      </c>
      <c r="AD65" s="97">
        <f t="shared" si="3"/>
        <v>2.2925665391418715E-2</v>
      </c>
      <c r="AE65" s="146">
        <v>1.9940522081778989E-2</v>
      </c>
      <c r="AF65" s="56">
        <f t="shared" si="10"/>
        <v>248663</v>
      </c>
      <c r="AG65" s="56">
        <v>1527.0240231716527</v>
      </c>
      <c r="AH65" s="16">
        <f t="shared" si="4"/>
        <v>2.2925665391418715E-2</v>
      </c>
      <c r="AI65" s="16">
        <f t="shared" si="5"/>
        <v>1.9940522081778989E-2</v>
      </c>
      <c r="AJ65" s="56"/>
      <c r="AK65" s="56">
        <v>243778.64421547652</v>
      </c>
      <c r="AL65" s="56">
        <v>1497.029497968125</v>
      </c>
      <c r="AM65" s="16">
        <f t="shared" si="11"/>
        <v>2.0036028177292664E-2</v>
      </c>
      <c r="AN65" s="58">
        <f t="shared" si="11"/>
        <v>2.0036028177292664E-2</v>
      </c>
      <c r="AP65" s="56">
        <f t="shared" si="12"/>
        <v>1</v>
      </c>
      <c r="AQ65" s="56">
        <f t="shared" si="6"/>
        <v>0</v>
      </c>
    </row>
    <row r="66" spans="1:43" x14ac:dyDescent="0.2">
      <c r="A66" s="156" t="s">
        <v>177</v>
      </c>
      <c r="B66" s="156" t="s">
        <v>178</v>
      </c>
      <c r="D66" s="68">
        <f>VLOOKUP(A66,'2016-17 disagg'!A66:BC274,43,FALSE)</f>
        <v>496739</v>
      </c>
      <c r="E66" s="73">
        <v>1700.2535749308884</v>
      </c>
      <c r="F66" s="55"/>
      <c r="G66" s="88">
        <v>487750.30263503414</v>
      </c>
      <c r="H66" s="81">
        <v>1665.0895415933369</v>
      </c>
      <c r="I66" s="90"/>
      <c r="J66" s="103">
        <f t="shared" si="7"/>
        <v>1.8428891415146476E-2</v>
      </c>
      <c r="K66" s="126">
        <f t="shared" si="7"/>
        <v>2.1118403821035692E-2</v>
      </c>
      <c r="L66" s="56">
        <v>508327</v>
      </c>
      <c r="M66" s="103">
        <v>1.3789993318060523E-2</v>
      </c>
      <c r="N66" s="97">
        <f>INDEX('Pace of change parameters'!$E$22:$I$22,1,$B$5)</f>
        <v>1.1119783131080974E-2</v>
      </c>
      <c r="O66" s="108">
        <f>MAX(IF(INDEX('Pace of change parameters'!$E$30:$I$30,1,$B$5)=1,(1+M66)*D66,D66),L66)</f>
        <v>508327</v>
      </c>
      <c r="P66" s="94">
        <f>IF(K66&lt;INDEX('Pace of change parameters'!$E$18:$I$18,1,$B$5),1,IF(K66&gt;INDEX('Pace of change parameters'!$E$19:$I$19,1,$B$5),0,(K66-INDEX('Pace of change parameters'!$E$19:$I$19,1,$B$5))/(INDEX('Pace of change parameters'!$E$18:$I$18,1,$B$5)-INDEX('Pace of change parameters'!$E$19:$I$19,1,$B$5))))</f>
        <v>8.0253975794929197E-2</v>
      </c>
      <c r="Q66" s="57">
        <v>1.490687765592158E-2</v>
      </c>
      <c r="R66" s="57">
        <v>1.22337257197076E-2</v>
      </c>
      <c r="S66" s="9">
        <f>MAX(IF(INDEX('Pace of change parameters'!$E$31:$I$31,1,$B$5)=1,D66*(1+Q66),D66),L66)</f>
        <v>508327</v>
      </c>
      <c r="T66" s="103">
        <f>IF(Q66&lt;INDEX('Pace of change parameters'!$E$24:$I$24,1,$B$5),INDEX('Pace of change parameters'!$E$24:$I$24,1,$B$5),Q66)</f>
        <v>1.9644681315626574E-2</v>
      </c>
      <c r="U66" s="132">
        <v>1.6959050531052178E-2</v>
      </c>
      <c r="V66" s="117">
        <f t="shared" si="8"/>
        <v>508327</v>
      </c>
      <c r="W66" s="131">
        <f>IF(J66&gt;INDEX('Pace of change parameters'!$E$26:$I$26,1,$B$5),0,IF(J66&lt;INDEX('Pace of change parameters'!$E$25:$I$25,1,$B$5),1,(J66-INDEX('Pace of change parameters'!$E$26:$I$26,1,$B$5))/(INDEX('Pace of change parameters'!$E$25:$I$25,1,$B$5)-INDEX('Pace of change parameters'!$E$26:$I$26,1,$B$5))))</f>
        <v>1</v>
      </c>
      <c r="X66" s="132">
        <f>MIN(T66, T66+(INDEX('Pace of change parameters'!$E$27:$I$27,1,$B$5)-T66)*(1-W66))</f>
        <v>1.9644681315626574E-2</v>
      </c>
      <c r="Y66" s="132">
        <v>1.6959050531052178E-2</v>
      </c>
      <c r="Z66" s="108">
        <f t="shared" si="9"/>
        <v>508327</v>
      </c>
      <c r="AA66" s="97">
        <f>MIN(VLOOKUP(A66,'2016-17 disagg'!$A$12:$BC$220,54,FALSE),MIN(0,VLOOKUP(A66,'2016-17 disagg'!$A$12:$BC$220,54,FALSE),-2.5%))</f>
        <v>-2.5000000000000001E-2</v>
      </c>
      <c r="AB66" s="99">
        <f t="shared" si="2"/>
        <v>488063.62335550267</v>
      </c>
      <c r="AC66" s="99">
        <f>MAX(IF(INDEX('Pace of change parameters'!$E$29:$I$29,1,$B$5)=1,MAX(AB66,Z66),Z66),L66)</f>
        <v>508327</v>
      </c>
      <c r="AD66" s="97">
        <f t="shared" si="3"/>
        <v>2.3328146169316222E-2</v>
      </c>
      <c r="AE66" s="146">
        <v>2.0632813547635021E-2</v>
      </c>
      <c r="AF66" s="56">
        <f t="shared" si="10"/>
        <v>508327</v>
      </c>
      <c r="AG66" s="56">
        <v>1735.3345899261369</v>
      </c>
      <c r="AH66" s="16">
        <f t="shared" si="4"/>
        <v>2.3328146169316222E-2</v>
      </c>
      <c r="AI66" s="16">
        <f t="shared" si="5"/>
        <v>2.0632813547634798E-2</v>
      </c>
      <c r="AJ66" s="56"/>
      <c r="AK66" s="56">
        <v>500578.07523641299</v>
      </c>
      <c r="AL66" s="56">
        <v>1708.8811904864303</v>
      </c>
      <c r="AM66" s="16">
        <f t="shared" si="11"/>
        <v>1.547995237291877E-2</v>
      </c>
      <c r="AN66" s="58">
        <f t="shared" si="11"/>
        <v>1.547995237291877E-2</v>
      </c>
      <c r="AP66" s="56">
        <f t="shared" si="12"/>
        <v>1</v>
      </c>
      <c r="AQ66" s="56">
        <f t="shared" si="6"/>
        <v>0</v>
      </c>
    </row>
    <row r="67" spans="1:43" x14ac:dyDescent="0.2">
      <c r="A67" s="156" t="s">
        <v>179</v>
      </c>
      <c r="B67" s="156" t="s">
        <v>180</v>
      </c>
      <c r="D67" s="68">
        <f>VLOOKUP(A67,'2016-17 disagg'!A67:BC275,43,FALSE)</f>
        <v>332507</v>
      </c>
      <c r="E67" s="73">
        <v>1557.9242609389321</v>
      </c>
      <c r="F67" s="55"/>
      <c r="G67" s="88">
        <v>321552.71767984063</v>
      </c>
      <c r="H67" s="81">
        <v>1495.4285746445983</v>
      </c>
      <c r="I67" s="90"/>
      <c r="J67" s="103">
        <f t="shared" si="7"/>
        <v>3.4066831713318591E-2</v>
      </c>
      <c r="K67" s="126">
        <f t="shared" si="7"/>
        <v>4.1791154291127786E-2</v>
      </c>
      <c r="L67" s="56">
        <v>340691</v>
      </c>
      <c r="M67" s="103">
        <v>1.8672694732324802E-2</v>
      </c>
      <c r="N67" s="97">
        <f>INDEX('Pace of change parameters'!$E$22:$I$22,1,$B$5)</f>
        <v>1.1119783131080974E-2</v>
      </c>
      <c r="O67" s="108">
        <f>MAX(IF(INDEX('Pace of change parameters'!$E$30:$I$30,1,$B$5)=1,(1+M67)*D67,D67),L67)</f>
        <v>340691</v>
      </c>
      <c r="P67" s="94">
        <f>IF(K67&lt;INDEX('Pace of change parameters'!$E$18:$I$18,1,$B$5),1,IF(K67&gt;INDEX('Pace of change parameters'!$E$19:$I$19,1,$B$5),0,(K67-INDEX('Pace of change parameters'!$E$19:$I$19,1,$B$5))/(INDEX('Pace of change parameters'!$E$18:$I$18,1,$B$5)-INDEX('Pace of change parameters'!$E$19:$I$19,1,$B$5))))</f>
        <v>0</v>
      </c>
      <c r="Q67" s="57">
        <v>1.8672694732324802E-2</v>
      </c>
      <c r="R67" s="57">
        <v>1.1119783131080974E-2</v>
      </c>
      <c r="S67" s="9">
        <f>MAX(IF(INDEX('Pace of change parameters'!$E$31:$I$31,1,$B$5)=1,D67*(1+Q67),D67),L67)</f>
        <v>340691</v>
      </c>
      <c r="T67" s="103">
        <f>IF(Q67&lt;INDEX('Pace of change parameters'!$E$24:$I$24,1,$B$5),INDEX('Pace of change parameters'!$E$24:$I$24,1,$B$5),Q67)</f>
        <v>1.9644681315626574E-2</v>
      </c>
      <c r="U67" s="132">
        <v>1.2084562955254619E-2</v>
      </c>
      <c r="V67" s="117">
        <f t="shared" si="8"/>
        <v>340691</v>
      </c>
      <c r="W67" s="131">
        <f>IF(J67&gt;INDEX('Pace of change parameters'!$E$26:$I$26,1,$B$5),0,IF(J67&lt;INDEX('Pace of change parameters'!$E$25:$I$25,1,$B$5),1,(J67-INDEX('Pace of change parameters'!$E$26:$I$26,1,$B$5))/(INDEX('Pace of change parameters'!$E$25:$I$25,1,$B$5)-INDEX('Pace of change parameters'!$E$26:$I$26,1,$B$5))))</f>
        <v>1</v>
      </c>
      <c r="X67" s="132">
        <f>MIN(T67, T67+(INDEX('Pace of change parameters'!$E$27:$I$27,1,$B$5)-T67)*(1-W67))</f>
        <v>1.9644681315626574E-2</v>
      </c>
      <c r="Y67" s="132">
        <v>1.2084562955254619E-2</v>
      </c>
      <c r="Z67" s="108">
        <f t="shared" si="9"/>
        <v>340691</v>
      </c>
      <c r="AA67" s="97">
        <f>MIN(VLOOKUP(A67,'2016-17 disagg'!$A$12:$BC$220,54,FALSE),MIN(0,VLOOKUP(A67,'2016-17 disagg'!$A$12:$BC$220,54,FALSE),-2.5%))</f>
        <v>-2.5000000000000001E-2</v>
      </c>
      <c r="AB67" s="99">
        <f t="shared" si="2"/>
        <v>321756.33705741528</v>
      </c>
      <c r="AC67" s="99">
        <f>MAX(IF(INDEX('Pace of change parameters'!$E$29:$I$29,1,$B$5)=1,MAX(AB67,Z67),Z67),L67)</f>
        <v>340691</v>
      </c>
      <c r="AD67" s="97">
        <f t="shared" si="3"/>
        <v>2.4613015665835514E-2</v>
      </c>
      <c r="AE67" s="146">
        <v>1.7016059771340464E-2</v>
      </c>
      <c r="AF67" s="56">
        <f t="shared" si="10"/>
        <v>340691</v>
      </c>
      <c r="AG67" s="56">
        <v>1584.4339932822904</v>
      </c>
      <c r="AH67" s="16">
        <f t="shared" si="4"/>
        <v>2.4613015665835514E-2</v>
      </c>
      <c r="AI67" s="16">
        <f t="shared" si="5"/>
        <v>1.7016059771340464E-2</v>
      </c>
      <c r="AJ67" s="56"/>
      <c r="AK67" s="56">
        <v>330006.49954606697</v>
      </c>
      <c r="AL67" s="56">
        <v>1534.7441402469842</v>
      </c>
      <c r="AM67" s="16">
        <f t="shared" si="11"/>
        <v>3.2376636425736516E-2</v>
      </c>
      <c r="AN67" s="58">
        <f t="shared" si="11"/>
        <v>3.2376636425736516E-2</v>
      </c>
      <c r="AP67" s="56">
        <f t="shared" si="12"/>
        <v>1</v>
      </c>
      <c r="AQ67" s="56">
        <f t="shared" si="6"/>
        <v>0</v>
      </c>
    </row>
    <row r="68" spans="1:43" x14ac:dyDescent="0.2">
      <c r="A68" s="156" t="s">
        <v>181</v>
      </c>
      <c r="B68" s="156" t="s">
        <v>182</v>
      </c>
      <c r="D68" s="68">
        <f>VLOOKUP(A68,'2016-17 disagg'!A68:BC276,43,FALSE)</f>
        <v>486851</v>
      </c>
      <c r="E68" s="73">
        <v>1771.3839134162779</v>
      </c>
      <c r="F68" s="55"/>
      <c r="G68" s="88">
        <v>482167.78079836804</v>
      </c>
      <c r="H68" s="81">
        <v>1742.0460336520659</v>
      </c>
      <c r="I68" s="90"/>
      <c r="J68" s="103">
        <f t="shared" si="7"/>
        <v>9.712841438466846E-3</v>
      </c>
      <c r="K68" s="126">
        <f t="shared" si="7"/>
        <v>1.6841047364694051E-2</v>
      </c>
      <c r="L68" s="56">
        <v>499381</v>
      </c>
      <c r="M68" s="103">
        <v>1.8257921554647893E-2</v>
      </c>
      <c r="N68" s="97">
        <f>INDEX('Pace of change parameters'!$E$22:$I$22,1,$B$5)</f>
        <v>1.1119783131080974E-2</v>
      </c>
      <c r="O68" s="108">
        <f>MAX(IF(INDEX('Pace of change parameters'!$E$30:$I$30,1,$B$5)=1,(1+M68)*D68,D68),L68)</f>
        <v>499381</v>
      </c>
      <c r="P68" s="94">
        <f>IF(K68&lt;INDEX('Pace of change parameters'!$E$18:$I$18,1,$B$5),1,IF(K68&gt;INDEX('Pace of change parameters'!$E$19:$I$19,1,$B$5),0,(K68-INDEX('Pace of change parameters'!$E$19:$I$19,1,$B$5))/(INDEX('Pace of change parameters'!$E$18:$I$18,1,$B$5)-INDEX('Pace of change parameters'!$E$19:$I$19,1,$B$5))))</f>
        <v>0.14258257342522906</v>
      </c>
      <c r="Q68" s="57">
        <v>2.0250970160613502E-2</v>
      </c>
      <c r="R68" s="57">
        <v>1.3098860171951721E-2</v>
      </c>
      <c r="S68" s="9">
        <f>MAX(IF(INDEX('Pace of change parameters'!$E$31:$I$31,1,$B$5)=1,D68*(1+Q68),D68),L68)</f>
        <v>499381</v>
      </c>
      <c r="T68" s="103">
        <f>IF(Q68&lt;INDEX('Pace of change parameters'!$E$24:$I$24,1,$B$5),INDEX('Pace of change parameters'!$E$24:$I$24,1,$B$5),Q68)</f>
        <v>2.0250970160613502E-2</v>
      </c>
      <c r="U68" s="132">
        <v>1.3098860171951721E-2</v>
      </c>
      <c r="V68" s="117">
        <f t="shared" si="8"/>
        <v>499381</v>
      </c>
      <c r="W68" s="131">
        <f>IF(J68&gt;INDEX('Pace of change parameters'!$E$26:$I$26,1,$B$5),0,IF(J68&lt;INDEX('Pace of change parameters'!$E$25:$I$25,1,$B$5),1,(J68-INDEX('Pace of change parameters'!$E$26:$I$26,1,$B$5))/(INDEX('Pace of change parameters'!$E$25:$I$25,1,$B$5)-INDEX('Pace of change parameters'!$E$26:$I$26,1,$B$5))))</f>
        <v>1</v>
      </c>
      <c r="X68" s="132">
        <f>MIN(T68, T68+(INDEX('Pace of change parameters'!$E$27:$I$27,1,$B$5)-T68)*(1-W68))</f>
        <v>2.0250970160613502E-2</v>
      </c>
      <c r="Y68" s="132">
        <v>1.3098860171951721E-2</v>
      </c>
      <c r="Z68" s="108">
        <f t="shared" si="9"/>
        <v>499381</v>
      </c>
      <c r="AA68" s="97">
        <f>MIN(VLOOKUP(A68,'2016-17 disagg'!$A$12:$BC$220,54,FALSE),MIN(0,VLOOKUP(A68,'2016-17 disagg'!$A$12:$BC$220,54,FALSE),-2.5%))</f>
        <v>-2.5000000000000001E-2</v>
      </c>
      <c r="AB68" s="99">
        <f t="shared" si="2"/>
        <v>482463.13591548585</v>
      </c>
      <c r="AC68" s="99">
        <f>MAX(IF(INDEX('Pace of change parameters'!$E$29:$I$29,1,$B$5)=1,MAX(AB68,Z68),Z68),L68)</f>
        <v>499381</v>
      </c>
      <c r="AD68" s="97">
        <f t="shared" si="3"/>
        <v>2.5736827078510771E-2</v>
      </c>
      <c r="AE68" s="146">
        <v>1.8546260422610983E-2</v>
      </c>
      <c r="AF68" s="56">
        <f t="shared" si="10"/>
        <v>499381</v>
      </c>
      <c r="AG68" s="56">
        <v>1804.2364607829199</v>
      </c>
      <c r="AH68" s="16">
        <f t="shared" si="4"/>
        <v>2.5736827078510771E-2</v>
      </c>
      <c r="AI68" s="16">
        <f t="shared" si="5"/>
        <v>1.8546260422610983E-2</v>
      </c>
      <c r="AJ68" s="56"/>
      <c r="AK68" s="56">
        <v>494833.98555434449</v>
      </c>
      <c r="AL68" s="56">
        <v>1787.8083442735647</v>
      </c>
      <c r="AM68" s="16">
        <f t="shared" si="11"/>
        <v>9.1889695906024471E-3</v>
      </c>
      <c r="AN68" s="58">
        <f t="shared" si="11"/>
        <v>9.1889695906024471E-3</v>
      </c>
      <c r="AP68" s="56">
        <f t="shared" si="12"/>
        <v>1</v>
      </c>
      <c r="AQ68" s="56">
        <f t="shared" si="6"/>
        <v>0</v>
      </c>
    </row>
    <row r="69" spans="1:43" x14ac:dyDescent="0.2">
      <c r="A69" s="156" t="s">
        <v>183</v>
      </c>
      <c r="B69" s="156" t="s">
        <v>184</v>
      </c>
      <c r="D69" s="68">
        <f>VLOOKUP(A69,'2016-17 disagg'!A69:BC277,43,FALSE)</f>
        <v>534487</v>
      </c>
      <c r="E69" s="73">
        <v>1447.6740472537283</v>
      </c>
      <c r="F69" s="55"/>
      <c r="G69" s="88">
        <v>520622.23321863392</v>
      </c>
      <c r="H69" s="81">
        <v>1401.9329239512469</v>
      </c>
      <c r="I69" s="90"/>
      <c r="J69" s="103">
        <f t="shared" si="7"/>
        <v>2.6631146149195706E-2</v>
      </c>
      <c r="K69" s="126">
        <f t="shared" si="7"/>
        <v>3.2627183883779054E-2</v>
      </c>
      <c r="L69" s="56">
        <v>548301</v>
      </c>
      <c r="M69" s="103">
        <v>1.7025226772235058E-2</v>
      </c>
      <c r="N69" s="97">
        <f>INDEX('Pace of change parameters'!$E$22:$I$22,1,$B$5)</f>
        <v>1.1119783131080974E-2</v>
      </c>
      <c r="O69" s="108">
        <f>MAX(IF(INDEX('Pace of change parameters'!$E$30:$I$30,1,$B$5)=1,(1+M69)*D69,D69),L69)</f>
        <v>548301</v>
      </c>
      <c r="P69" s="94">
        <f>IF(K69&lt;INDEX('Pace of change parameters'!$E$18:$I$18,1,$B$5),1,IF(K69&gt;INDEX('Pace of change parameters'!$E$19:$I$19,1,$B$5),0,(K69-INDEX('Pace of change parameters'!$E$19:$I$19,1,$B$5))/(INDEX('Pace of change parameters'!$E$18:$I$18,1,$B$5)-INDEX('Pace of change parameters'!$E$19:$I$19,1,$B$5))))</f>
        <v>0</v>
      </c>
      <c r="Q69" s="57">
        <v>1.7025226772235058E-2</v>
      </c>
      <c r="R69" s="57">
        <v>1.1119783131080974E-2</v>
      </c>
      <c r="S69" s="9">
        <f>MAX(IF(INDEX('Pace of change parameters'!$E$31:$I$31,1,$B$5)=1,D69*(1+Q69),D69),L69)</f>
        <v>548301</v>
      </c>
      <c r="T69" s="103">
        <f>IF(Q69&lt;INDEX('Pace of change parameters'!$E$24:$I$24,1,$B$5),INDEX('Pace of change parameters'!$E$24:$I$24,1,$B$5),Q69)</f>
        <v>1.9644681315626574E-2</v>
      </c>
      <c r="U69" s="132">
        <v>1.3724027588459364E-2</v>
      </c>
      <c r="V69" s="117">
        <f t="shared" si="8"/>
        <v>548301</v>
      </c>
      <c r="W69" s="131">
        <f>IF(J69&gt;INDEX('Pace of change parameters'!$E$26:$I$26,1,$B$5),0,IF(J69&lt;INDEX('Pace of change parameters'!$E$25:$I$25,1,$B$5),1,(J69-INDEX('Pace of change parameters'!$E$26:$I$26,1,$B$5))/(INDEX('Pace of change parameters'!$E$25:$I$25,1,$B$5)-INDEX('Pace of change parameters'!$E$26:$I$26,1,$B$5))))</f>
        <v>1</v>
      </c>
      <c r="X69" s="132">
        <f>MIN(T69, T69+(INDEX('Pace of change parameters'!$E$27:$I$27,1,$B$5)-T69)*(1-W69))</f>
        <v>1.9644681315626574E-2</v>
      </c>
      <c r="Y69" s="132">
        <v>1.3724027588459364E-2</v>
      </c>
      <c r="Z69" s="108">
        <f t="shared" si="9"/>
        <v>548301</v>
      </c>
      <c r="AA69" s="97">
        <f>MIN(VLOOKUP(A69,'2016-17 disagg'!$A$12:$BC$220,54,FALSE),MIN(0,VLOOKUP(A69,'2016-17 disagg'!$A$12:$BC$220,54,FALSE),-2.5%))</f>
        <v>-2.5000000000000001E-2</v>
      </c>
      <c r="AB69" s="99">
        <f t="shared" si="2"/>
        <v>520734.79681064835</v>
      </c>
      <c r="AC69" s="99">
        <f>MAX(IF(INDEX('Pace of change parameters'!$E$29:$I$29,1,$B$5)=1,MAX(AB69,Z69),Z69),L69)</f>
        <v>548301</v>
      </c>
      <c r="AD69" s="97">
        <f t="shared" si="3"/>
        <v>2.5845343291792E-2</v>
      </c>
      <c r="AE69" s="146">
        <v>1.9888684892494624E-2</v>
      </c>
      <c r="AF69" s="56">
        <f t="shared" si="10"/>
        <v>548301</v>
      </c>
      <c r="AG69" s="56">
        <v>1476.4663802066</v>
      </c>
      <c r="AH69" s="16">
        <f t="shared" si="4"/>
        <v>2.5845343291792E-2</v>
      </c>
      <c r="AI69" s="16">
        <f t="shared" si="5"/>
        <v>1.9888684892494624E-2</v>
      </c>
      <c r="AJ69" s="56"/>
      <c r="AK69" s="56">
        <v>534086.97108784446</v>
      </c>
      <c r="AL69" s="56">
        <v>1438.190805629712</v>
      </c>
      <c r="AM69" s="16">
        <f t="shared" si="11"/>
        <v>2.6613697172211515E-2</v>
      </c>
      <c r="AN69" s="58">
        <f t="shared" si="11"/>
        <v>2.6613697172211515E-2</v>
      </c>
      <c r="AP69" s="56">
        <f t="shared" si="12"/>
        <v>1</v>
      </c>
      <c r="AQ69" s="56">
        <f t="shared" si="6"/>
        <v>0</v>
      </c>
    </row>
    <row r="70" spans="1:43" x14ac:dyDescent="0.2">
      <c r="A70" s="156" t="s">
        <v>185</v>
      </c>
      <c r="B70" s="156" t="s">
        <v>186</v>
      </c>
      <c r="D70" s="68">
        <f>VLOOKUP(A70,'2016-17 disagg'!A70:BC278,43,FALSE)</f>
        <v>288388</v>
      </c>
      <c r="E70" s="73">
        <v>1704.8163205660017</v>
      </c>
      <c r="F70" s="55"/>
      <c r="G70" s="88">
        <v>279609.02820457052</v>
      </c>
      <c r="H70" s="81">
        <v>1650.8946245288053</v>
      </c>
      <c r="I70" s="90"/>
      <c r="J70" s="103">
        <f t="shared" si="7"/>
        <v>3.1397311638329928E-2</v>
      </c>
      <c r="K70" s="126">
        <f t="shared" si="7"/>
        <v>3.2662106494281362E-2</v>
      </c>
      <c r="L70" s="56">
        <v>294758</v>
      </c>
      <c r="M70" s="103">
        <v>1.2359711804565299E-2</v>
      </c>
      <c r="N70" s="97">
        <f>INDEX('Pace of change parameters'!$E$22:$I$22,1,$B$5)</f>
        <v>1.1119783131080974E-2</v>
      </c>
      <c r="O70" s="108">
        <f>MAX(IF(INDEX('Pace of change parameters'!$E$30:$I$30,1,$B$5)=1,(1+M70)*D70,D70),L70)</f>
        <v>294758</v>
      </c>
      <c r="P70" s="94">
        <f>IF(K70&lt;INDEX('Pace of change parameters'!$E$18:$I$18,1,$B$5),1,IF(K70&gt;INDEX('Pace of change parameters'!$E$19:$I$19,1,$B$5),0,(K70-INDEX('Pace of change parameters'!$E$19:$I$19,1,$B$5))/(INDEX('Pace of change parameters'!$E$18:$I$18,1,$B$5)-INDEX('Pace of change parameters'!$E$19:$I$19,1,$B$5))))</f>
        <v>0</v>
      </c>
      <c r="Q70" s="57">
        <v>1.2359711804565299E-2</v>
      </c>
      <c r="R70" s="57">
        <v>1.1119783131080974E-2</v>
      </c>
      <c r="S70" s="9">
        <f>MAX(IF(INDEX('Pace of change parameters'!$E$31:$I$31,1,$B$5)=1,D70*(1+Q70),D70),L70)</f>
        <v>294758</v>
      </c>
      <c r="T70" s="103">
        <f>IF(Q70&lt;INDEX('Pace of change parameters'!$E$24:$I$24,1,$B$5),INDEX('Pace of change parameters'!$E$24:$I$24,1,$B$5),Q70)</f>
        <v>1.9644681315626574E-2</v>
      </c>
      <c r="U70" s="132">
        <v>1.8395830079858344E-2</v>
      </c>
      <c r="V70" s="117">
        <f t="shared" si="8"/>
        <v>294758</v>
      </c>
      <c r="W70" s="131">
        <f>IF(J70&gt;INDEX('Pace of change parameters'!$E$26:$I$26,1,$B$5),0,IF(J70&lt;INDEX('Pace of change parameters'!$E$25:$I$25,1,$B$5),1,(J70-INDEX('Pace of change parameters'!$E$26:$I$26,1,$B$5))/(INDEX('Pace of change parameters'!$E$25:$I$25,1,$B$5)-INDEX('Pace of change parameters'!$E$26:$I$26,1,$B$5))))</f>
        <v>1</v>
      </c>
      <c r="X70" s="132">
        <f>MIN(T70, T70+(INDEX('Pace of change parameters'!$E$27:$I$27,1,$B$5)-T70)*(1-W70))</f>
        <v>1.9644681315626574E-2</v>
      </c>
      <c r="Y70" s="132">
        <v>1.8395830079858344E-2</v>
      </c>
      <c r="Z70" s="108">
        <f t="shared" si="9"/>
        <v>294758</v>
      </c>
      <c r="AA70" s="97">
        <f>MIN(VLOOKUP(A70,'2016-17 disagg'!$A$12:$BC$220,54,FALSE),MIN(0,VLOOKUP(A70,'2016-17 disagg'!$A$12:$BC$220,54,FALSE),-2.5%))</f>
        <v>-2.5000000000000001E-2</v>
      </c>
      <c r="AB70" s="99">
        <f t="shared" si="2"/>
        <v>279744.20920464012</v>
      </c>
      <c r="AC70" s="99">
        <f>MAX(IF(INDEX('Pace of change parameters'!$E$29:$I$29,1,$B$5)=1,MAX(AB70,Z70),Z70),L70)</f>
        <v>294758</v>
      </c>
      <c r="AD70" s="97">
        <f t="shared" si="3"/>
        <v>2.2088297710029625E-2</v>
      </c>
      <c r="AE70" s="146">
        <v>2.0836453555836076E-2</v>
      </c>
      <c r="AF70" s="56">
        <f t="shared" si="10"/>
        <v>294758</v>
      </c>
      <c r="AG70" s="56">
        <v>1740.3386466507068</v>
      </c>
      <c r="AH70" s="16">
        <f t="shared" si="4"/>
        <v>2.2088297710029625E-2</v>
      </c>
      <c r="AI70" s="16">
        <f t="shared" si="5"/>
        <v>2.0836453555836298E-2</v>
      </c>
      <c r="AJ70" s="56"/>
      <c r="AK70" s="56">
        <v>286917.13764578477</v>
      </c>
      <c r="AL70" s="56">
        <v>1694.0438699928739</v>
      </c>
      <c r="AM70" s="16">
        <f t="shared" si="11"/>
        <v>2.7327967992958335E-2</v>
      </c>
      <c r="AN70" s="58">
        <f t="shared" si="11"/>
        <v>2.7327967992958557E-2</v>
      </c>
      <c r="AP70" s="56">
        <f t="shared" si="12"/>
        <v>1</v>
      </c>
      <c r="AQ70" s="56">
        <f t="shared" si="6"/>
        <v>0</v>
      </c>
    </row>
    <row r="71" spans="1:43" x14ac:dyDescent="0.2">
      <c r="A71" s="156" t="s">
        <v>187</v>
      </c>
      <c r="B71" s="156" t="s">
        <v>188</v>
      </c>
      <c r="D71" s="68">
        <f>VLOOKUP(A71,'2016-17 disagg'!A71:BC279,43,FALSE)</f>
        <v>306081</v>
      </c>
      <c r="E71" s="73">
        <v>1599.3027820588304</v>
      </c>
      <c r="F71" s="55"/>
      <c r="G71" s="88">
        <v>291988.62748602591</v>
      </c>
      <c r="H71" s="81">
        <v>1515.6784418282198</v>
      </c>
      <c r="I71" s="90"/>
      <c r="J71" s="103">
        <f t="shared" si="7"/>
        <v>4.8263429419519221E-2</v>
      </c>
      <c r="K71" s="126">
        <f t="shared" si="7"/>
        <v>5.517287699212936E-2</v>
      </c>
      <c r="L71" s="56">
        <v>313008</v>
      </c>
      <c r="M71" s="103">
        <v>1.7784404766352235E-2</v>
      </c>
      <c r="N71" s="97">
        <f>INDEX('Pace of change parameters'!$E$22:$I$22,1,$B$5)</f>
        <v>1.1119783131080974E-2</v>
      </c>
      <c r="O71" s="108">
        <f>MAX(IF(INDEX('Pace of change parameters'!$E$30:$I$30,1,$B$5)=1,(1+M71)*D71,D71),L71)</f>
        <v>313008</v>
      </c>
      <c r="P71" s="94">
        <f>IF(K71&lt;INDEX('Pace of change parameters'!$E$18:$I$18,1,$B$5),1,IF(K71&gt;INDEX('Pace of change parameters'!$E$19:$I$19,1,$B$5),0,(K71-INDEX('Pace of change parameters'!$E$19:$I$19,1,$B$5))/(INDEX('Pace of change parameters'!$E$18:$I$18,1,$B$5)-INDEX('Pace of change parameters'!$E$19:$I$19,1,$B$5))))</f>
        <v>0</v>
      </c>
      <c r="Q71" s="57">
        <v>1.7784404766352235E-2</v>
      </c>
      <c r="R71" s="57">
        <v>1.1119783131080974E-2</v>
      </c>
      <c r="S71" s="9">
        <f>MAX(IF(INDEX('Pace of change parameters'!$E$31:$I$31,1,$B$5)=1,D71*(1+Q71),D71),L71)</f>
        <v>313008</v>
      </c>
      <c r="T71" s="103">
        <f>IF(Q71&lt;INDEX('Pace of change parameters'!$E$24:$I$24,1,$B$5),INDEX('Pace of change parameters'!$E$24:$I$24,1,$B$5),Q71)</f>
        <v>1.9644681315626574E-2</v>
      </c>
      <c r="U71" s="132">
        <v>1.2967878279972256E-2</v>
      </c>
      <c r="V71" s="117">
        <f t="shared" si="8"/>
        <v>313008</v>
      </c>
      <c r="W71" s="131">
        <f>IF(J71&gt;INDEX('Pace of change parameters'!$E$26:$I$26,1,$B$5),0,IF(J71&lt;INDEX('Pace of change parameters'!$E$25:$I$25,1,$B$5),1,(J71-INDEX('Pace of change parameters'!$E$26:$I$26,1,$B$5))/(INDEX('Pace of change parameters'!$E$25:$I$25,1,$B$5)-INDEX('Pace of change parameters'!$E$26:$I$26,1,$B$5))))</f>
        <v>1</v>
      </c>
      <c r="X71" s="132">
        <f>MIN(T71, T71+(INDEX('Pace of change parameters'!$E$27:$I$27,1,$B$5)-T71)*(1-W71))</f>
        <v>1.9644681315626574E-2</v>
      </c>
      <c r="Y71" s="132">
        <v>1.2967878279972256E-2</v>
      </c>
      <c r="Z71" s="108">
        <f t="shared" si="9"/>
        <v>313008</v>
      </c>
      <c r="AA71" s="97">
        <f>MIN(VLOOKUP(A71,'2016-17 disagg'!$A$12:$BC$220,54,FALSE),MIN(0,VLOOKUP(A71,'2016-17 disagg'!$A$12:$BC$220,54,FALSE),-2.5%))</f>
        <v>-2.5000000000000001E-2</v>
      </c>
      <c r="AB71" s="99">
        <f t="shared" si="2"/>
        <v>292136.20632676437</v>
      </c>
      <c r="AC71" s="99">
        <f>MAX(IF(INDEX('Pace of change parameters'!$E$29:$I$29,1,$B$5)=1,MAX(AB71,Z71),Z71),L71)</f>
        <v>313008</v>
      </c>
      <c r="AD71" s="97">
        <f t="shared" si="3"/>
        <v>2.2631264273182516E-2</v>
      </c>
      <c r="AE71" s="146">
        <v>1.5934904595373833E-2</v>
      </c>
      <c r="AF71" s="56">
        <f t="shared" si="10"/>
        <v>313008</v>
      </c>
      <c r="AG71" s="56">
        <v>1624.7875193100535</v>
      </c>
      <c r="AH71" s="16">
        <f t="shared" si="4"/>
        <v>2.2631264273182516E-2</v>
      </c>
      <c r="AI71" s="16">
        <f t="shared" si="5"/>
        <v>1.5934904595373611E-2</v>
      </c>
      <c r="AJ71" s="56"/>
      <c r="AK71" s="56">
        <v>299626.87828386092</v>
      </c>
      <c r="AL71" s="56">
        <v>1555.3276986065844</v>
      </c>
      <c r="AM71" s="16">
        <f t="shared" si="11"/>
        <v>4.4659283548861284E-2</v>
      </c>
      <c r="AN71" s="58">
        <f t="shared" si="11"/>
        <v>4.4659283548861284E-2</v>
      </c>
      <c r="AP71" s="56">
        <f t="shared" si="12"/>
        <v>1</v>
      </c>
      <c r="AQ71" s="56">
        <f t="shared" si="6"/>
        <v>0</v>
      </c>
    </row>
    <row r="72" spans="1:43" x14ac:dyDescent="0.2">
      <c r="A72" s="156" t="s">
        <v>189</v>
      </c>
      <c r="B72" s="156" t="s">
        <v>190</v>
      </c>
      <c r="D72" s="68">
        <f>VLOOKUP(A72,'2016-17 disagg'!A72:BC280,43,FALSE)</f>
        <v>274054</v>
      </c>
      <c r="E72" s="73">
        <v>1588.9825507968872</v>
      </c>
      <c r="F72" s="55"/>
      <c r="G72" s="88">
        <v>275333.61734511133</v>
      </c>
      <c r="H72" s="81">
        <v>1588.6552817757445</v>
      </c>
      <c r="I72" s="90"/>
      <c r="J72" s="103">
        <f t="shared" si="7"/>
        <v>-4.6475158298865393E-3</v>
      </c>
      <c r="K72" s="126">
        <f t="shared" si="7"/>
        <v>2.0600379761237519E-4</v>
      </c>
      <c r="L72" s="56">
        <v>280676</v>
      </c>
      <c r="M72" s="103">
        <v>1.605018697416849E-2</v>
      </c>
      <c r="N72" s="97">
        <f>INDEX('Pace of change parameters'!$E$22:$I$22,1,$B$5)</f>
        <v>1.1119783131080974E-2</v>
      </c>
      <c r="O72" s="108">
        <f>MAX(IF(INDEX('Pace of change parameters'!$E$30:$I$30,1,$B$5)=1,(1+M72)*D72,D72),L72)</f>
        <v>280676</v>
      </c>
      <c r="P72" s="94">
        <f>IF(K72&lt;INDEX('Pace of change parameters'!$E$18:$I$18,1,$B$5),1,IF(K72&gt;INDEX('Pace of change parameters'!$E$19:$I$19,1,$B$5),0,(K72-INDEX('Pace of change parameters'!$E$19:$I$19,1,$B$5))/(INDEX('Pace of change parameters'!$E$18:$I$18,1,$B$5)-INDEX('Pace of change parameters'!$E$19:$I$19,1,$B$5))))</f>
        <v>0.38498438109265332</v>
      </c>
      <c r="Q72" s="57">
        <v>2.1419910364975481E-2</v>
      </c>
      <c r="R72" s="57">
        <v>1.6463449831793486E-2</v>
      </c>
      <c r="S72" s="9">
        <f>MAX(IF(INDEX('Pace of change parameters'!$E$31:$I$31,1,$B$5)=1,D72*(1+Q72),D72),L72)</f>
        <v>280676</v>
      </c>
      <c r="T72" s="103">
        <f>IF(Q72&lt;INDEX('Pace of change parameters'!$E$24:$I$24,1,$B$5),INDEX('Pace of change parameters'!$E$24:$I$24,1,$B$5),Q72)</f>
        <v>2.1419910364975481E-2</v>
      </c>
      <c r="U72" s="132">
        <v>1.6463449831793486E-2</v>
      </c>
      <c r="V72" s="117">
        <f t="shared" si="8"/>
        <v>280676</v>
      </c>
      <c r="W72" s="131">
        <f>IF(J72&gt;INDEX('Pace of change parameters'!$E$26:$I$26,1,$B$5),0,IF(J72&lt;INDEX('Pace of change parameters'!$E$25:$I$25,1,$B$5),1,(J72-INDEX('Pace of change parameters'!$E$26:$I$26,1,$B$5))/(INDEX('Pace of change parameters'!$E$25:$I$25,1,$B$5)-INDEX('Pace of change parameters'!$E$26:$I$26,1,$B$5))))</f>
        <v>1</v>
      </c>
      <c r="X72" s="132">
        <f>MIN(T72, T72+(INDEX('Pace of change parameters'!$E$27:$I$27,1,$B$5)-T72)*(1-W72))</f>
        <v>2.1419910364975481E-2</v>
      </c>
      <c r="Y72" s="132">
        <v>1.6463449831793486E-2</v>
      </c>
      <c r="Z72" s="108">
        <f t="shared" si="9"/>
        <v>280676</v>
      </c>
      <c r="AA72" s="97">
        <f>MIN(VLOOKUP(A72,'2016-17 disagg'!$A$12:$BC$220,54,FALSE),MIN(0,VLOOKUP(A72,'2016-17 disagg'!$A$12:$BC$220,54,FALSE),-2.5%))</f>
        <v>-2.5000000000000001E-2</v>
      </c>
      <c r="AB72" s="99">
        <f t="shared" si="2"/>
        <v>275409.58243461314</v>
      </c>
      <c r="AC72" s="99">
        <f>MAX(IF(INDEX('Pace of change parameters'!$E$29:$I$29,1,$B$5)=1,MAX(AB72,Z72),Z72),L72)</f>
        <v>280676</v>
      </c>
      <c r="AD72" s="97">
        <f t="shared" si="3"/>
        <v>2.4163121136710375E-2</v>
      </c>
      <c r="AE72" s="146">
        <v>1.9193349118421965E-2</v>
      </c>
      <c r="AF72" s="56">
        <f t="shared" si="10"/>
        <v>280676</v>
      </c>
      <c r="AG72" s="56">
        <v>1619.4804476374122</v>
      </c>
      <c r="AH72" s="16">
        <f t="shared" si="4"/>
        <v>2.4163121136710375E-2</v>
      </c>
      <c r="AI72" s="16">
        <f t="shared" si="5"/>
        <v>1.9193349118421743E-2</v>
      </c>
      <c r="AJ72" s="56"/>
      <c r="AK72" s="56">
        <v>282471.36659960321</v>
      </c>
      <c r="AL72" s="56">
        <v>1629.8395845226419</v>
      </c>
      <c r="AM72" s="16">
        <f t="shared" si="11"/>
        <v>-6.3559242170838637E-3</v>
      </c>
      <c r="AN72" s="58">
        <f t="shared" si="11"/>
        <v>-6.3559242170840857E-3</v>
      </c>
      <c r="AP72" s="56">
        <f t="shared" si="12"/>
        <v>1</v>
      </c>
      <c r="AQ72" s="56">
        <f t="shared" si="6"/>
        <v>0</v>
      </c>
    </row>
    <row r="73" spans="1:43" x14ac:dyDescent="0.2">
      <c r="A73" s="156" t="s">
        <v>191</v>
      </c>
      <c r="B73" s="156" t="s">
        <v>192</v>
      </c>
      <c r="D73" s="68">
        <f>VLOOKUP(A73,'2016-17 disagg'!A73:BC281,43,FALSE)</f>
        <v>449554</v>
      </c>
      <c r="E73" s="73">
        <v>1727.7841127493334</v>
      </c>
      <c r="F73" s="55"/>
      <c r="G73" s="88">
        <v>426361.26237268816</v>
      </c>
      <c r="H73" s="81">
        <v>1632.7341657409959</v>
      </c>
      <c r="I73" s="90"/>
      <c r="J73" s="103">
        <f t="shared" si="7"/>
        <v>5.4396915653746047E-2</v>
      </c>
      <c r="K73" s="126">
        <f t="shared" si="7"/>
        <v>5.8215200614241125E-2</v>
      </c>
      <c r="L73" s="56">
        <v>458195</v>
      </c>
      <c r="M73" s="103">
        <v>1.4781348717883391E-2</v>
      </c>
      <c r="N73" s="97">
        <f>INDEX('Pace of change parameters'!$E$22:$I$22,1,$B$5)</f>
        <v>1.1119783131080974E-2</v>
      </c>
      <c r="O73" s="108">
        <f>MAX(IF(INDEX('Pace of change parameters'!$E$30:$I$30,1,$B$5)=1,(1+M73)*D73,D73),L73)</f>
        <v>458195</v>
      </c>
      <c r="P73" s="94">
        <f>IF(K73&lt;INDEX('Pace of change parameters'!$E$18:$I$18,1,$B$5),1,IF(K73&gt;INDEX('Pace of change parameters'!$E$19:$I$19,1,$B$5),0,(K73-INDEX('Pace of change parameters'!$E$19:$I$19,1,$B$5))/(INDEX('Pace of change parameters'!$E$18:$I$18,1,$B$5)-INDEX('Pace of change parameters'!$E$19:$I$19,1,$B$5))))</f>
        <v>0</v>
      </c>
      <c r="Q73" s="57">
        <v>1.4781348717883391E-2</v>
      </c>
      <c r="R73" s="57">
        <v>1.1119783131080974E-2</v>
      </c>
      <c r="S73" s="9">
        <f>MAX(IF(INDEX('Pace of change parameters'!$E$31:$I$31,1,$B$5)=1,D73*(1+Q73),D73),L73)</f>
        <v>458195</v>
      </c>
      <c r="T73" s="103">
        <f>IF(Q73&lt;INDEX('Pace of change parameters'!$E$24:$I$24,1,$B$5),INDEX('Pace of change parameters'!$E$24:$I$24,1,$B$5),Q73)</f>
        <v>1.9644681315626574E-2</v>
      </c>
      <c r="U73" s="132">
        <v>1.5965567701064609E-2</v>
      </c>
      <c r="V73" s="117">
        <f t="shared" si="8"/>
        <v>458385.34506416519</v>
      </c>
      <c r="W73" s="131">
        <f>IF(J73&gt;INDEX('Pace of change parameters'!$E$26:$I$26,1,$B$5),0,IF(J73&lt;INDEX('Pace of change parameters'!$E$25:$I$25,1,$B$5),1,(J73-INDEX('Pace of change parameters'!$E$26:$I$26,1,$B$5))/(INDEX('Pace of change parameters'!$E$25:$I$25,1,$B$5)-INDEX('Pace of change parameters'!$E$26:$I$26,1,$B$5))))</f>
        <v>0.91206168692507916</v>
      </c>
      <c r="X73" s="132">
        <f>MIN(T73, T73+(INDEX('Pace of change parameters'!$E$27:$I$27,1,$B$5)-T73)*(1-W73))</f>
        <v>1.8026616355048031E-2</v>
      </c>
      <c r="Y73" s="132">
        <v>1.4353341092742333E-2</v>
      </c>
      <c r="Z73" s="108">
        <f t="shared" si="9"/>
        <v>458195</v>
      </c>
      <c r="AA73" s="97">
        <f>MIN(VLOOKUP(A73,'2016-17 disagg'!$A$12:$BC$220,54,FALSE),MIN(0,VLOOKUP(A73,'2016-17 disagg'!$A$12:$BC$220,54,FALSE),-2.5%))</f>
        <v>-2.5000000000000001E-2</v>
      </c>
      <c r="AB73" s="99">
        <f t="shared" si="2"/>
        <v>426492.67707540246</v>
      </c>
      <c r="AC73" s="99">
        <f>MAX(IF(INDEX('Pace of change parameters'!$E$29:$I$29,1,$B$5)=1,MAX(AB73,Z73),Z73),L73)</f>
        <v>458195</v>
      </c>
      <c r="AD73" s="97">
        <f t="shared" si="3"/>
        <v>1.9221272639104559E-2</v>
      </c>
      <c r="AE73" s="146">
        <v>1.5543686780882471E-2</v>
      </c>
      <c r="AF73" s="56">
        <f t="shared" si="10"/>
        <v>458195</v>
      </c>
      <c r="AG73" s="56">
        <v>1754.6402478228943</v>
      </c>
      <c r="AH73" s="16">
        <f t="shared" si="4"/>
        <v>1.9221272639104559E-2</v>
      </c>
      <c r="AI73" s="16">
        <f t="shared" si="5"/>
        <v>1.5543686780882693E-2</v>
      </c>
      <c r="AJ73" s="56"/>
      <c r="AK73" s="56">
        <v>437428.38674400252</v>
      </c>
      <c r="AL73" s="56">
        <v>1675.1152957174684</v>
      </c>
      <c r="AM73" s="16">
        <f t="shared" si="11"/>
        <v>4.747431553442083E-2</v>
      </c>
      <c r="AN73" s="58">
        <f t="shared" si="11"/>
        <v>4.747431553442083E-2</v>
      </c>
      <c r="AP73" s="56">
        <f t="shared" si="12"/>
        <v>1</v>
      </c>
      <c r="AQ73" s="56">
        <f t="shared" si="6"/>
        <v>0</v>
      </c>
    </row>
    <row r="74" spans="1:43" x14ac:dyDescent="0.2">
      <c r="A74" s="156" t="s">
        <v>193</v>
      </c>
      <c r="B74" s="156" t="s">
        <v>194</v>
      </c>
      <c r="D74" s="68">
        <f>VLOOKUP(A74,'2016-17 disagg'!A74:BC282,43,FALSE)</f>
        <v>197523</v>
      </c>
      <c r="E74" s="73">
        <v>1658.7240509034805</v>
      </c>
      <c r="F74" s="55"/>
      <c r="G74" s="88">
        <v>193953.54195484097</v>
      </c>
      <c r="H74" s="81">
        <v>1627.4254830647828</v>
      </c>
      <c r="I74" s="90"/>
      <c r="J74" s="103">
        <f t="shared" si="7"/>
        <v>1.8403675484256476E-2</v>
      </c>
      <c r="K74" s="126">
        <f t="shared" si="7"/>
        <v>1.9231951425361604E-2</v>
      </c>
      <c r="L74" s="56">
        <v>201951</v>
      </c>
      <c r="M74" s="103">
        <v>1.194213502365904E-2</v>
      </c>
      <c r="N74" s="97">
        <f>INDEX('Pace of change parameters'!$E$22:$I$22,1,$B$5)</f>
        <v>1.1119783131080974E-2</v>
      </c>
      <c r="O74" s="108">
        <f>MAX(IF(INDEX('Pace of change parameters'!$E$30:$I$30,1,$B$5)=1,(1+M74)*D74,D74),L74)</f>
        <v>201951</v>
      </c>
      <c r="P74" s="94">
        <f>IF(K74&lt;INDEX('Pace of change parameters'!$E$18:$I$18,1,$B$5),1,IF(K74&gt;INDEX('Pace of change parameters'!$E$19:$I$19,1,$B$5),0,(K74-INDEX('Pace of change parameters'!$E$19:$I$19,1,$B$5))/(INDEX('Pace of change parameters'!$E$18:$I$18,1,$B$5)-INDEX('Pace of change parameters'!$E$19:$I$19,1,$B$5))))</f>
        <v>0.10774290114375312</v>
      </c>
      <c r="Q74" s="57">
        <v>1.343884615565738E-2</v>
      </c>
      <c r="R74" s="57">
        <v>1.2615277965042804E-2</v>
      </c>
      <c r="S74" s="9">
        <f>MAX(IF(INDEX('Pace of change parameters'!$E$31:$I$31,1,$B$5)=1,D74*(1+Q74),D74),L74)</f>
        <v>201951</v>
      </c>
      <c r="T74" s="103">
        <f>IF(Q74&lt;INDEX('Pace of change parameters'!$E$24:$I$24,1,$B$5),INDEX('Pace of change parameters'!$E$24:$I$24,1,$B$5),Q74)</f>
        <v>1.9644681315626574E-2</v>
      </c>
      <c r="U74" s="132">
        <v>1.8816069970752247E-2</v>
      </c>
      <c r="V74" s="117">
        <f t="shared" si="8"/>
        <v>201951</v>
      </c>
      <c r="W74" s="131">
        <f>IF(J74&gt;INDEX('Pace of change parameters'!$E$26:$I$26,1,$B$5),0,IF(J74&lt;INDEX('Pace of change parameters'!$E$25:$I$25,1,$B$5),1,(J74-INDEX('Pace of change parameters'!$E$26:$I$26,1,$B$5))/(INDEX('Pace of change parameters'!$E$25:$I$25,1,$B$5)-INDEX('Pace of change parameters'!$E$26:$I$26,1,$B$5))))</f>
        <v>1</v>
      </c>
      <c r="X74" s="132">
        <f>MIN(T74, T74+(INDEX('Pace of change parameters'!$E$27:$I$27,1,$B$5)-T74)*(1-W74))</f>
        <v>1.9644681315626574E-2</v>
      </c>
      <c r="Y74" s="132">
        <v>1.8816069970752247E-2</v>
      </c>
      <c r="Z74" s="108">
        <f t="shared" si="9"/>
        <v>201951</v>
      </c>
      <c r="AA74" s="97">
        <f>MIN(VLOOKUP(A74,'2016-17 disagg'!$A$12:$BC$220,54,FALSE),MIN(0,VLOOKUP(A74,'2016-17 disagg'!$A$12:$BC$220,54,FALSE),-2.5%))</f>
        <v>-2.5000000000000001E-2</v>
      </c>
      <c r="AB74" s="99">
        <f t="shared" si="2"/>
        <v>193904.22421468966</v>
      </c>
      <c r="AC74" s="99">
        <f>MAX(IF(INDEX('Pace of change parameters'!$E$29:$I$29,1,$B$5)=1,MAX(AB74,Z74),Z74),L74)</f>
        <v>201951</v>
      </c>
      <c r="AD74" s="97">
        <f t="shared" si="3"/>
        <v>2.2417642502392088E-2</v>
      </c>
      <c r="AE74" s="146">
        <v>2.1586777718510586E-2</v>
      </c>
      <c r="AF74" s="56">
        <f t="shared" si="10"/>
        <v>201951</v>
      </c>
      <c r="AG74" s="56">
        <v>1694.5305582866815</v>
      </c>
      <c r="AH74" s="16">
        <f t="shared" si="4"/>
        <v>2.2417642502392088E-2</v>
      </c>
      <c r="AI74" s="16">
        <f t="shared" si="5"/>
        <v>2.1586777718510586E-2</v>
      </c>
      <c r="AJ74" s="56"/>
      <c r="AK74" s="56">
        <v>198876.12739968172</v>
      </c>
      <c r="AL74" s="56">
        <v>1668.7299156353565</v>
      </c>
      <c r="AM74" s="16">
        <f t="shared" si="11"/>
        <v>1.5461245351679143E-2</v>
      </c>
      <c r="AN74" s="58">
        <f t="shared" si="11"/>
        <v>1.5461245351679143E-2</v>
      </c>
      <c r="AP74" s="56">
        <f t="shared" si="12"/>
        <v>1</v>
      </c>
      <c r="AQ74" s="56">
        <f t="shared" si="6"/>
        <v>0</v>
      </c>
    </row>
    <row r="75" spans="1:43" x14ac:dyDescent="0.2">
      <c r="A75" s="156" t="s">
        <v>195</v>
      </c>
      <c r="B75" s="156" t="s">
        <v>196</v>
      </c>
      <c r="D75" s="68">
        <f>VLOOKUP(A75,'2016-17 disagg'!A75:BC283,43,FALSE)</f>
        <v>990854</v>
      </c>
      <c r="E75" s="73">
        <v>1684.0405441885694</v>
      </c>
      <c r="F75" s="55"/>
      <c r="G75" s="88">
        <v>928223.53289519099</v>
      </c>
      <c r="H75" s="81">
        <v>1568.8311836757296</v>
      </c>
      <c r="I75" s="90"/>
      <c r="J75" s="103">
        <f t="shared" si="7"/>
        <v>6.7473474745313178E-2</v>
      </c>
      <c r="K75" s="126">
        <f t="shared" si="7"/>
        <v>7.3436429433348716E-2</v>
      </c>
      <c r="L75" s="56">
        <v>1012390</v>
      </c>
      <c r="M75" s="103">
        <v>1.6767943571250665E-2</v>
      </c>
      <c r="N75" s="97">
        <f>INDEX('Pace of change parameters'!$E$22:$I$22,1,$B$5)</f>
        <v>1.1119783131080974E-2</v>
      </c>
      <c r="O75" s="108">
        <f>MAX(IF(INDEX('Pace of change parameters'!$E$30:$I$30,1,$B$5)=1,(1+M75)*D75,D75),L75)</f>
        <v>1012390</v>
      </c>
      <c r="P75" s="94">
        <f>IF(K75&lt;INDEX('Pace of change parameters'!$E$18:$I$18,1,$B$5),1,IF(K75&gt;INDEX('Pace of change parameters'!$E$19:$I$19,1,$B$5),0,(K75-INDEX('Pace of change parameters'!$E$19:$I$19,1,$B$5))/(INDEX('Pace of change parameters'!$E$18:$I$18,1,$B$5)-INDEX('Pace of change parameters'!$E$19:$I$19,1,$B$5))))</f>
        <v>0</v>
      </c>
      <c r="Q75" s="57">
        <v>1.6767943571250665E-2</v>
      </c>
      <c r="R75" s="57">
        <v>1.1119783131080974E-2</v>
      </c>
      <c r="S75" s="9">
        <f>MAX(IF(INDEX('Pace of change parameters'!$E$31:$I$31,1,$B$5)=1,D75*(1+Q75),D75),L75)</f>
        <v>1012390</v>
      </c>
      <c r="T75" s="103">
        <f>IF(Q75&lt;INDEX('Pace of change parameters'!$E$24:$I$24,1,$B$5),INDEX('Pace of change parameters'!$E$24:$I$24,1,$B$5),Q75)</f>
        <v>1.9644681315626574E-2</v>
      </c>
      <c r="U75" s="132">
        <v>1.3980540556223442E-2</v>
      </c>
      <c r="V75" s="117">
        <f t="shared" si="8"/>
        <v>1012390</v>
      </c>
      <c r="W75" s="131">
        <f>IF(J75&gt;INDEX('Pace of change parameters'!$E$26:$I$26,1,$B$5),0,IF(J75&lt;INDEX('Pace of change parameters'!$E$25:$I$25,1,$B$5),1,(J75-INDEX('Pace of change parameters'!$E$26:$I$26,1,$B$5))/(INDEX('Pace of change parameters'!$E$25:$I$25,1,$B$5)-INDEX('Pace of change parameters'!$E$26:$I$26,1,$B$5))))</f>
        <v>0.65053050509373656</v>
      </c>
      <c r="X75" s="132">
        <f>MIN(T75, T75+(INDEX('Pace of change parameters'!$E$27:$I$27,1,$B$5)-T75)*(1-W75))</f>
        <v>1.3214442609351326E-2</v>
      </c>
      <c r="Y75" s="132">
        <v>7.5860219177485977E-3</v>
      </c>
      <c r="Z75" s="108">
        <f t="shared" si="9"/>
        <v>1012390</v>
      </c>
      <c r="AA75" s="97">
        <f>MIN(VLOOKUP(A75,'2016-17 disagg'!$A$12:$BC$220,54,FALSE),MIN(0,VLOOKUP(A75,'2016-17 disagg'!$A$12:$BC$220,54,FALSE),-2.5%))</f>
        <v>-2.5000000000000001E-2</v>
      </c>
      <c r="AB75" s="99">
        <f t="shared" si="2"/>
        <v>929232.64275308815</v>
      </c>
      <c r="AC75" s="99">
        <f>MAX(IF(INDEX('Pace of change parameters'!$E$29:$I$29,1,$B$5)=1,MAX(AB75,Z75),Z75),L75)</f>
        <v>1012390</v>
      </c>
      <c r="AD75" s="97">
        <f t="shared" si="3"/>
        <v>2.1734786356012004E-2</v>
      </c>
      <c r="AE75" s="146">
        <v>1.6059035033274771E-2</v>
      </c>
      <c r="AF75" s="56">
        <f t="shared" si="10"/>
        <v>1012390</v>
      </c>
      <c r="AG75" s="56">
        <v>1711.0846102851488</v>
      </c>
      <c r="AH75" s="16">
        <f t="shared" si="4"/>
        <v>2.1734786356012004E-2</v>
      </c>
      <c r="AI75" s="16">
        <f t="shared" si="5"/>
        <v>1.6059035033274771E-2</v>
      </c>
      <c r="AJ75" s="56"/>
      <c r="AK75" s="56">
        <v>953059.12077239808</v>
      </c>
      <c r="AL75" s="56">
        <v>1610.8068967942645</v>
      </c>
      <c r="AM75" s="16">
        <f t="shared" si="11"/>
        <v>6.2253094204185011E-2</v>
      </c>
      <c r="AN75" s="58">
        <f t="shared" si="11"/>
        <v>6.2253094204185011E-2</v>
      </c>
      <c r="AP75" s="56">
        <f t="shared" si="12"/>
        <v>1</v>
      </c>
      <c r="AQ75" s="56">
        <f t="shared" si="6"/>
        <v>0</v>
      </c>
    </row>
    <row r="76" spans="1:43" x14ac:dyDescent="0.2">
      <c r="A76" s="156" t="s">
        <v>197</v>
      </c>
      <c r="B76" s="156" t="s">
        <v>198</v>
      </c>
      <c r="D76" s="68">
        <f>VLOOKUP(A76,'2016-17 disagg'!A76:BC284,43,FALSE)</f>
        <v>505161</v>
      </c>
      <c r="E76" s="73">
        <v>1425.0023179581965</v>
      </c>
      <c r="F76" s="55"/>
      <c r="G76" s="88">
        <v>495175.6530146646</v>
      </c>
      <c r="H76" s="81">
        <v>1388.2084356191567</v>
      </c>
      <c r="I76" s="90"/>
      <c r="J76" s="103">
        <f t="shared" si="7"/>
        <v>2.0165262416566465E-2</v>
      </c>
      <c r="K76" s="126">
        <f t="shared" si="7"/>
        <v>2.6504580576640402E-2</v>
      </c>
      <c r="L76" s="56">
        <v>517174</v>
      </c>
      <c r="M76" s="103">
        <v>1.7402892583396001E-2</v>
      </c>
      <c r="N76" s="97">
        <f>INDEX('Pace of change parameters'!$E$22:$I$22,1,$B$5)</f>
        <v>1.1119783131080974E-2</v>
      </c>
      <c r="O76" s="108">
        <f>MAX(IF(INDEX('Pace of change parameters'!$E$30:$I$30,1,$B$5)=1,(1+M76)*D76,D76),L76)</f>
        <v>517174</v>
      </c>
      <c r="P76" s="94">
        <f>IF(K76&lt;INDEX('Pace of change parameters'!$E$18:$I$18,1,$B$5),1,IF(K76&gt;INDEX('Pace of change parameters'!$E$19:$I$19,1,$B$5),0,(K76-INDEX('Pace of change parameters'!$E$19:$I$19,1,$B$5))/(INDEX('Pace of change parameters'!$E$18:$I$18,1,$B$5)-INDEX('Pace of change parameters'!$E$19:$I$19,1,$B$5))))</f>
        <v>1.7679185321472846E-3</v>
      </c>
      <c r="Q76" s="57">
        <v>1.7427584162220233E-2</v>
      </c>
      <c r="R76" s="57">
        <v>1.1144322223713754E-2</v>
      </c>
      <c r="S76" s="9">
        <f>MAX(IF(INDEX('Pace of change parameters'!$E$31:$I$31,1,$B$5)=1,D76*(1+Q76),D76),L76)</f>
        <v>517174</v>
      </c>
      <c r="T76" s="103">
        <f>IF(Q76&lt;INDEX('Pace of change parameters'!$E$24:$I$24,1,$B$5),INDEX('Pace of change parameters'!$E$24:$I$24,1,$B$5),Q76)</f>
        <v>1.9644681315626574E-2</v>
      </c>
      <c r="U76" s="132">
        <v>1.334772739316481E-2</v>
      </c>
      <c r="V76" s="117">
        <f t="shared" si="8"/>
        <v>517174</v>
      </c>
      <c r="W76" s="131">
        <f>IF(J76&gt;INDEX('Pace of change parameters'!$E$26:$I$26,1,$B$5),0,IF(J76&lt;INDEX('Pace of change parameters'!$E$25:$I$25,1,$B$5),1,(J76-INDEX('Pace of change parameters'!$E$26:$I$26,1,$B$5))/(INDEX('Pace of change parameters'!$E$25:$I$25,1,$B$5)-INDEX('Pace of change parameters'!$E$26:$I$26,1,$B$5))))</f>
        <v>1</v>
      </c>
      <c r="X76" s="132">
        <f>MIN(T76, T76+(INDEX('Pace of change parameters'!$E$27:$I$27,1,$B$5)-T76)*(1-W76))</f>
        <v>1.9644681315626574E-2</v>
      </c>
      <c r="Y76" s="132">
        <v>1.334772739316481E-2</v>
      </c>
      <c r="Z76" s="108">
        <f t="shared" si="9"/>
        <v>517174</v>
      </c>
      <c r="AA76" s="97">
        <f>MIN(VLOOKUP(A76,'2016-17 disagg'!$A$12:$BC$220,54,FALSE),MIN(0,VLOOKUP(A76,'2016-17 disagg'!$A$12:$BC$220,54,FALSE),-2.5%))</f>
        <v>-2.5000000000000001E-2</v>
      </c>
      <c r="AB76" s="99">
        <f t="shared" ref="AB76:AB139" si="13">(1+AA76)*AK76</f>
        <v>495299.47018020332</v>
      </c>
      <c r="AC76" s="99">
        <f>MAX(IF(INDEX('Pace of change parameters'!$E$29:$I$29,1,$B$5)=1,MAX(AB76,Z76),Z76),L76)</f>
        <v>517174</v>
      </c>
      <c r="AD76" s="97">
        <f t="shared" ref="AD76:AD139" si="14">AC76/D76-1</f>
        <v>2.3780537294050719E-2</v>
      </c>
      <c r="AE76" s="146">
        <v>1.745804183245947E-2</v>
      </c>
      <c r="AF76" s="56">
        <f t="shared" si="10"/>
        <v>517174</v>
      </c>
      <c r="AG76" s="56">
        <v>1449.8800680364627</v>
      </c>
      <c r="AH76" s="16">
        <f t="shared" ref="AH76:AH139" si="15">AF76/D76 - 1</f>
        <v>2.3780537294050719E-2</v>
      </c>
      <c r="AI76" s="16">
        <f t="shared" ref="AI76:AI139" si="16">AG76/E76 - 1</f>
        <v>1.7458041832459692E-2</v>
      </c>
      <c r="AJ76" s="56"/>
      <c r="AK76" s="56">
        <v>507999.45659508032</v>
      </c>
      <c r="AL76" s="56">
        <v>1424.1595414513511</v>
      </c>
      <c r="AM76" s="16">
        <f t="shared" si="11"/>
        <v>1.8060144131675004E-2</v>
      </c>
      <c r="AN76" s="58">
        <f t="shared" si="11"/>
        <v>1.8060144131675004E-2</v>
      </c>
      <c r="AP76" s="56">
        <f t="shared" si="12"/>
        <v>1</v>
      </c>
      <c r="AQ76" s="56">
        <f t="shared" ref="AQ76:AQ139" si="17">IF(AB76=AF76,1,0)</f>
        <v>0</v>
      </c>
    </row>
    <row r="77" spans="1:43" x14ac:dyDescent="0.2">
      <c r="A77" s="156" t="s">
        <v>199</v>
      </c>
      <c r="B77" s="156" t="s">
        <v>200</v>
      </c>
      <c r="D77" s="68">
        <f>VLOOKUP(A77,'2016-17 disagg'!A77:BC285,43,FALSE)</f>
        <v>624512</v>
      </c>
      <c r="E77" s="73">
        <v>1710.2214414642988</v>
      </c>
      <c r="F77" s="55"/>
      <c r="G77" s="88">
        <v>600727.9365390403</v>
      </c>
      <c r="H77" s="81">
        <v>1636.5377100789397</v>
      </c>
      <c r="I77" s="90"/>
      <c r="J77" s="103">
        <f t="shared" ref="J77:K140" si="18">D77/G77-1</f>
        <v>3.959207157567235E-2</v>
      </c>
      <c r="K77" s="126">
        <f t="shared" si="18"/>
        <v>4.5024157360727735E-2</v>
      </c>
      <c r="L77" s="56">
        <v>638517</v>
      </c>
      <c r="M77" s="103">
        <v>1.6403095260048906E-2</v>
      </c>
      <c r="N77" s="97">
        <f>INDEX('Pace of change parameters'!$E$22:$I$22,1,$B$5)</f>
        <v>1.1119783131080974E-2</v>
      </c>
      <c r="O77" s="108">
        <f>MAX(IF(INDEX('Pace of change parameters'!$E$30:$I$30,1,$B$5)=1,(1+M77)*D77,D77),L77)</f>
        <v>638517</v>
      </c>
      <c r="P77" s="94">
        <f>IF(K77&lt;INDEX('Pace of change parameters'!$E$18:$I$18,1,$B$5),1,IF(K77&gt;INDEX('Pace of change parameters'!$E$19:$I$19,1,$B$5),0,(K77-INDEX('Pace of change parameters'!$E$19:$I$19,1,$B$5))/(INDEX('Pace of change parameters'!$E$18:$I$18,1,$B$5)-INDEX('Pace of change parameters'!$E$19:$I$19,1,$B$5))))</f>
        <v>0</v>
      </c>
      <c r="Q77" s="57">
        <v>1.6403095260048906E-2</v>
      </c>
      <c r="R77" s="57">
        <v>1.1119783131080974E-2</v>
      </c>
      <c r="S77" s="9">
        <f>MAX(IF(INDEX('Pace of change parameters'!$E$31:$I$31,1,$B$5)=1,D77*(1+Q77),D77),L77)</f>
        <v>638517</v>
      </c>
      <c r="T77" s="103">
        <f>IF(Q77&lt;INDEX('Pace of change parameters'!$E$24:$I$24,1,$B$5),INDEX('Pace of change parameters'!$E$24:$I$24,1,$B$5),Q77)</f>
        <v>1.9644681315626574E-2</v>
      </c>
      <c r="U77" s="132">
        <v>1.4344519266578315E-2</v>
      </c>
      <c r="V77" s="117">
        <f t="shared" ref="V77:V140" si="19">MAX(D77*(1+T77),L77)</f>
        <v>638517</v>
      </c>
      <c r="W77" s="131">
        <f>IF(J77&gt;INDEX('Pace of change parameters'!$E$26:$I$26,1,$B$5),0,IF(J77&lt;INDEX('Pace of change parameters'!$E$25:$I$25,1,$B$5),1,(J77-INDEX('Pace of change parameters'!$E$26:$I$26,1,$B$5))/(INDEX('Pace of change parameters'!$E$25:$I$25,1,$B$5)-INDEX('Pace of change parameters'!$E$26:$I$26,1,$B$5))))</f>
        <v>1</v>
      </c>
      <c r="X77" s="132">
        <f>MIN(T77, T77+(INDEX('Pace of change parameters'!$E$27:$I$27,1,$B$5)-T77)*(1-W77))</f>
        <v>1.9644681315626574E-2</v>
      </c>
      <c r="Y77" s="132">
        <v>1.4344519266578315E-2</v>
      </c>
      <c r="Z77" s="108">
        <f t="shared" ref="Z77:Z140" si="20">MAX(D77*(1+X77),L77)</f>
        <v>638517</v>
      </c>
      <c r="AA77" s="97">
        <f>MIN(VLOOKUP(A77,'2016-17 disagg'!$A$12:$BC$220,54,FALSE),MIN(0,VLOOKUP(A77,'2016-17 disagg'!$A$12:$BC$220,54,FALSE),-2.5%))</f>
        <v>-2.5000000000000001E-2</v>
      </c>
      <c r="AB77" s="99">
        <f t="shared" si="13"/>
        <v>600718.56388964248</v>
      </c>
      <c r="AC77" s="99">
        <f>MAX(IF(INDEX('Pace of change parameters'!$E$29:$I$29,1,$B$5)=1,MAX(AB77,Z77),Z77),L77)</f>
        <v>638517</v>
      </c>
      <c r="AD77" s="97">
        <f t="shared" si="14"/>
        <v>2.242550983808167E-2</v>
      </c>
      <c r="AE77" s="146">
        <v>1.7110892908750452E-2</v>
      </c>
      <c r="AF77" s="56">
        <f t="shared" ref="AF77:AF140" si="21">AC77</f>
        <v>638517</v>
      </c>
      <c r="AG77" s="56">
        <v>1739.4848573994432</v>
      </c>
      <c r="AH77" s="16">
        <f t="shared" si="15"/>
        <v>2.242550983808167E-2</v>
      </c>
      <c r="AI77" s="16">
        <f t="shared" si="16"/>
        <v>1.7110892908750452E-2</v>
      </c>
      <c r="AJ77" s="56"/>
      <c r="AK77" s="56">
        <v>616121.60398937692</v>
      </c>
      <c r="AL77" s="56">
        <v>1678.4740272477904</v>
      </c>
      <c r="AM77" s="16">
        <f t="shared" ref="AM77:AN140" si="22">AF77/AK77-1</f>
        <v>3.6348986735107669E-2</v>
      </c>
      <c r="AN77" s="58">
        <f t="shared" si="22"/>
        <v>3.6348986735107669E-2</v>
      </c>
      <c r="AP77" s="56">
        <f t="shared" ref="AP77:AP140" si="23">IF(AF77=L77,1,0)</f>
        <v>1</v>
      </c>
      <c r="AQ77" s="56">
        <f t="shared" si="17"/>
        <v>0</v>
      </c>
    </row>
    <row r="78" spans="1:43" x14ac:dyDescent="0.2">
      <c r="A78" s="156" t="s">
        <v>201</v>
      </c>
      <c r="B78" s="156" t="s">
        <v>202</v>
      </c>
      <c r="D78" s="68">
        <f>VLOOKUP(A78,'2016-17 disagg'!A78:BC286,43,FALSE)</f>
        <v>1221376</v>
      </c>
      <c r="E78" s="73">
        <v>1689.7481284651585</v>
      </c>
      <c r="F78" s="55"/>
      <c r="G78" s="88">
        <v>1224799.0087811821</v>
      </c>
      <c r="H78" s="81">
        <v>1682.1563930282136</v>
      </c>
      <c r="I78" s="90"/>
      <c r="J78" s="103">
        <f t="shared" si="18"/>
        <v>-2.7947514299414555E-3</v>
      </c>
      <c r="K78" s="126">
        <f t="shared" si="18"/>
        <v>4.5130972770481836E-3</v>
      </c>
      <c r="L78" s="56">
        <v>1257819</v>
      </c>
      <c r="M78" s="103">
        <v>1.8529602133098511E-2</v>
      </c>
      <c r="N78" s="97">
        <f>INDEX('Pace of change parameters'!$E$22:$I$22,1,$B$5)</f>
        <v>1.1119783131080974E-2</v>
      </c>
      <c r="O78" s="108">
        <f>MAX(IF(INDEX('Pace of change parameters'!$E$30:$I$30,1,$B$5)=1,(1+M78)*D78,D78),L78)</f>
        <v>1257819</v>
      </c>
      <c r="P78" s="94">
        <f>IF(K78&lt;INDEX('Pace of change parameters'!$E$18:$I$18,1,$B$5),1,IF(K78&gt;INDEX('Pace of change parameters'!$E$19:$I$19,1,$B$5),0,(K78-INDEX('Pace of change parameters'!$E$19:$I$19,1,$B$5))/(INDEX('Pace of change parameters'!$E$18:$I$18,1,$B$5)-INDEX('Pace of change parameters'!$E$19:$I$19,1,$B$5))))</f>
        <v>0.32222246279663913</v>
      </c>
      <c r="Q78" s="57">
        <v>2.3034895880184481E-2</v>
      </c>
      <c r="R78" s="57">
        <v>1.5592300794735614E-2</v>
      </c>
      <c r="S78" s="9">
        <f>MAX(IF(INDEX('Pace of change parameters'!$E$31:$I$31,1,$B$5)=1,D78*(1+Q78),D78),L78)</f>
        <v>1257819</v>
      </c>
      <c r="T78" s="103">
        <f>IF(Q78&lt;INDEX('Pace of change parameters'!$E$24:$I$24,1,$B$5),INDEX('Pace of change parameters'!$E$24:$I$24,1,$B$5),Q78)</f>
        <v>2.3034895880184481E-2</v>
      </c>
      <c r="U78" s="132">
        <v>1.5592300794735614E-2</v>
      </c>
      <c r="V78" s="117">
        <f t="shared" si="19"/>
        <v>1257819</v>
      </c>
      <c r="W78" s="131">
        <f>IF(J78&gt;INDEX('Pace of change parameters'!$E$26:$I$26,1,$B$5),0,IF(J78&lt;INDEX('Pace of change parameters'!$E$25:$I$25,1,$B$5),1,(J78-INDEX('Pace of change parameters'!$E$26:$I$26,1,$B$5))/(INDEX('Pace of change parameters'!$E$25:$I$25,1,$B$5)-INDEX('Pace of change parameters'!$E$26:$I$26,1,$B$5))))</f>
        <v>1</v>
      </c>
      <c r="X78" s="132">
        <f>MIN(T78, T78+(INDEX('Pace of change parameters'!$E$27:$I$27,1,$B$5)-T78)*(1-W78))</f>
        <v>2.3034895880184481E-2</v>
      </c>
      <c r="Y78" s="132">
        <v>1.5592300794735614E-2</v>
      </c>
      <c r="Z78" s="108">
        <f t="shared" si="20"/>
        <v>1257819</v>
      </c>
      <c r="AA78" s="97">
        <f>MIN(VLOOKUP(A78,'2016-17 disagg'!$A$12:$BC$220,54,FALSE),MIN(0,VLOOKUP(A78,'2016-17 disagg'!$A$12:$BC$220,54,FALSE),-2.5%))</f>
        <v>-2.5000000000000001E-2</v>
      </c>
      <c r="AB78" s="99">
        <f t="shared" si="13"/>
        <v>1226472.0697141883</v>
      </c>
      <c r="AC78" s="99">
        <f>MAX(IF(INDEX('Pace of change parameters'!$E$29:$I$29,1,$B$5)=1,MAX(AB78,Z78),Z78),L78)</f>
        <v>1257819</v>
      </c>
      <c r="AD78" s="97">
        <f t="shared" si="14"/>
        <v>2.9837658509746401E-2</v>
      </c>
      <c r="AE78" s="146">
        <v>2.2345573218324866E-2</v>
      </c>
      <c r="AF78" s="56">
        <f t="shared" si="21"/>
        <v>1257819</v>
      </c>
      <c r="AG78" s="56">
        <v>1727.5065189903041</v>
      </c>
      <c r="AH78" s="16">
        <f t="shared" si="15"/>
        <v>2.9837658509746401E-2</v>
      </c>
      <c r="AI78" s="16">
        <f t="shared" si="16"/>
        <v>2.2345573218324866E-2</v>
      </c>
      <c r="AJ78" s="56"/>
      <c r="AK78" s="56">
        <v>1257920.0715017316</v>
      </c>
      <c r="AL78" s="56">
        <v>1727.645332029482</v>
      </c>
      <c r="AM78" s="16">
        <f t="shared" si="22"/>
        <v>-8.0348111156980373E-5</v>
      </c>
      <c r="AN78" s="58">
        <f t="shared" si="22"/>
        <v>-8.0348111157091395E-5</v>
      </c>
      <c r="AP78" s="56">
        <f t="shared" si="23"/>
        <v>1</v>
      </c>
      <c r="AQ78" s="56">
        <f t="shared" si="17"/>
        <v>0</v>
      </c>
    </row>
    <row r="79" spans="1:43" x14ac:dyDescent="0.2">
      <c r="A79" s="156" t="s">
        <v>203</v>
      </c>
      <c r="B79" s="156" t="s">
        <v>204</v>
      </c>
      <c r="D79" s="68">
        <f>VLOOKUP(A79,'2016-17 disagg'!A79:BC287,43,FALSE)</f>
        <v>470741</v>
      </c>
      <c r="E79" s="73">
        <v>1593.9520461629691</v>
      </c>
      <c r="F79" s="55"/>
      <c r="G79" s="88">
        <v>480216.59148630244</v>
      </c>
      <c r="H79" s="81">
        <v>1614.410684851558</v>
      </c>
      <c r="I79" s="90"/>
      <c r="J79" s="103">
        <f t="shared" si="18"/>
        <v>-1.9731911921191281E-2</v>
      </c>
      <c r="K79" s="126">
        <f t="shared" si="18"/>
        <v>-1.2672511945416187E-2</v>
      </c>
      <c r="L79" s="56">
        <v>482613</v>
      </c>
      <c r="M79" s="103">
        <v>1.8401361567986552E-2</v>
      </c>
      <c r="N79" s="97">
        <f>INDEX('Pace of change parameters'!$E$22:$I$22,1,$B$5)</f>
        <v>1.1119783131080974E-2</v>
      </c>
      <c r="O79" s="108">
        <f>MAX(IF(INDEX('Pace of change parameters'!$E$30:$I$30,1,$B$5)=1,(1+M79)*D79,D79),L79)</f>
        <v>482613</v>
      </c>
      <c r="P79" s="94">
        <f>IF(K79&lt;INDEX('Pace of change parameters'!$E$18:$I$18,1,$B$5),1,IF(K79&gt;INDEX('Pace of change parameters'!$E$19:$I$19,1,$B$5),0,(K79-INDEX('Pace of change parameters'!$E$19:$I$19,1,$B$5))/(INDEX('Pace of change parameters'!$E$18:$I$18,1,$B$5)-INDEX('Pace of change parameters'!$E$19:$I$19,1,$B$5))))</f>
        <v>0.57264697924544949</v>
      </c>
      <c r="Q79" s="57">
        <v>2.6407066689266179E-2</v>
      </c>
      <c r="R79" s="57">
        <v>1.9068247392339144E-2</v>
      </c>
      <c r="S79" s="9">
        <f>MAX(IF(INDEX('Pace of change parameters'!$E$31:$I$31,1,$B$5)=1,D79*(1+Q79),D79),L79)</f>
        <v>483171.88898037188</v>
      </c>
      <c r="T79" s="103">
        <f>IF(Q79&lt;INDEX('Pace of change parameters'!$E$24:$I$24,1,$B$5),INDEX('Pace of change parameters'!$E$24:$I$24,1,$B$5),Q79)</f>
        <v>2.6407066689266179E-2</v>
      </c>
      <c r="U79" s="132">
        <v>1.9068247392339144E-2</v>
      </c>
      <c r="V79" s="117">
        <f t="shared" si="19"/>
        <v>483171.88898037188</v>
      </c>
      <c r="W79" s="131">
        <f>IF(J79&gt;INDEX('Pace of change parameters'!$E$26:$I$26,1,$B$5),0,IF(J79&lt;INDEX('Pace of change parameters'!$E$25:$I$25,1,$B$5),1,(J79-INDEX('Pace of change parameters'!$E$26:$I$26,1,$B$5))/(INDEX('Pace of change parameters'!$E$25:$I$25,1,$B$5)-INDEX('Pace of change parameters'!$E$26:$I$26,1,$B$5))))</f>
        <v>1</v>
      </c>
      <c r="X79" s="132">
        <f>MIN(T79, T79+(INDEX('Pace of change parameters'!$E$27:$I$27,1,$B$5)-T79)*(1-W79))</f>
        <v>2.6407066689266179E-2</v>
      </c>
      <c r="Y79" s="132">
        <v>1.9068247392339144E-2</v>
      </c>
      <c r="Z79" s="108">
        <f t="shared" si="20"/>
        <v>483171.88898037188</v>
      </c>
      <c r="AA79" s="97">
        <f>MIN(VLOOKUP(A79,'2016-17 disagg'!$A$12:$BC$220,54,FALSE),MIN(0,VLOOKUP(A79,'2016-17 disagg'!$A$12:$BC$220,54,FALSE),-2.5%))</f>
        <v>-2.5000000000000001E-2</v>
      </c>
      <c r="AB79" s="99">
        <f t="shared" si="13"/>
        <v>480872.64071386552</v>
      </c>
      <c r="AC79" s="99">
        <f>MAX(IF(INDEX('Pace of change parameters'!$E$29:$I$29,1,$B$5)=1,MAX(AB79,Z79),Z79),L79)</f>
        <v>483171.88898037188</v>
      </c>
      <c r="AD79" s="97">
        <f t="shared" si="14"/>
        <v>2.6407066689266179E-2</v>
      </c>
      <c r="AE79" s="146">
        <v>1.9068247392339144E-2</v>
      </c>
      <c r="AF79" s="56">
        <f t="shared" si="21"/>
        <v>483171.88898037188</v>
      </c>
      <c r="AG79" s="56">
        <v>1624.3459181107298</v>
      </c>
      <c r="AH79" s="16">
        <f t="shared" si="15"/>
        <v>2.6407066689266179E-2</v>
      </c>
      <c r="AI79" s="16">
        <f t="shared" si="16"/>
        <v>1.9068247392339144E-2</v>
      </c>
      <c r="AJ79" s="56"/>
      <c r="AK79" s="56">
        <v>493202.70842447749</v>
      </c>
      <c r="AL79" s="56">
        <v>1658.0679143421798</v>
      </c>
      <c r="AM79" s="16">
        <f t="shared" si="22"/>
        <v>-2.0338127250251303E-2</v>
      </c>
      <c r="AN79" s="58">
        <f t="shared" si="22"/>
        <v>-2.0338127250251303E-2</v>
      </c>
      <c r="AP79" s="56">
        <f t="shared" si="23"/>
        <v>0</v>
      </c>
      <c r="AQ79" s="56">
        <f t="shared" si="17"/>
        <v>0</v>
      </c>
    </row>
    <row r="80" spans="1:43" x14ac:dyDescent="0.2">
      <c r="A80" s="156" t="s">
        <v>205</v>
      </c>
      <c r="B80" s="156" t="s">
        <v>206</v>
      </c>
      <c r="D80" s="68">
        <f>VLOOKUP(A80,'2016-17 disagg'!A80:BC288,43,FALSE)</f>
        <v>210068</v>
      </c>
      <c r="E80" s="73">
        <v>1588.9937369279883</v>
      </c>
      <c r="F80" s="55"/>
      <c r="G80" s="88">
        <v>211033.37426489501</v>
      </c>
      <c r="H80" s="81">
        <v>1591.2832188303648</v>
      </c>
      <c r="I80" s="90"/>
      <c r="J80" s="103">
        <f t="shared" si="18"/>
        <v>-4.5745099241186749E-3</v>
      </c>
      <c r="K80" s="126">
        <f t="shared" si="18"/>
        <v>-1.4387645613830324E-3</v>
      </c>
      <c r="L80" s="56">
        <v>214817</v>
      </c>
      <c r="M80" s="103">
        <v>1.4304967961823012E-2</v>
      </c>
      <c r="N80" s="97">
        <f>INDEX('Pace of change parameters'!$E$22:$I$22,1,$B$5)</f>
        <v>1.1119783131080974E-2</v>
      </c>
      <c r="O80" s="108">
        <f>MAX(IF(INDEX('Pace of change parameters'!$E$30:$I$30,1,$B$5)=1,(1+M80)*D80,D80),L80)</f>
        <v>214817</v>
      </c>
      <c r="P80" s="94">
        <f>IF(K80&lt;INDEX('Pace of change parameters'!$E$18:$I$18,1,$B$5),1,IF(K80&gt;INDEX('Pace of change parameters'!$E$19:$I$19,1,$B$5),0,(K80-INDEX('Pace of change parameters'!$E$19:$I$19,1,$B$5))/(INDEX('Pace of change parameters'!$E$18:$I$18,1,$B$5)-INDEX('Pace of change parameters'!$E$19:$I$19,1,$B$5))))</f>
        <v>0.40895154545906526</v>
      </c>
      <c r="Q80" s="57">
        <v>1.9999185444784073E-2</v>
      </c>
      <c r="R80" s="57">
        <v>1.6796119270932497E-2</v>
      </c>
      <c r="S80" s="9">
        <f>MAX(IF(INDEX('Pace of change parameters'!$E$31:$I$31,1,$B$5)=1,D80*(1+Q80),D80),L80)</f>
        <v>214817</v>
      </c>
      <c r="T80" s="103">
        <f>IF(Q80&lt;INDEX('Pace of change parameters'!$E$24:$I$24,1,$B$5),INDEX('Pace of change parameters'!$E$24:$I$24,1,$B$5),Q80)</f>
        <v>1.9999185444784073E-2</v>
      </c>
      <c r="U80" s="132">
        <v>1.6796119270932497E-2</v>
      </c>
      <c r="V80" s="117">
        <f t="shared" si="19"/>
        <v>214817</v>
      </c>
      <c r="W80" s="131">
        <f>IF(J80&gt;INDEX('Pace of change parameters'!$E$26:$I$26,1,$B$5),0,IF(J80&lt;INDEX('Pace of change parameters'!$E$25:$I$25,1,$B$5),1,(J80-INDEX('Pace of change parameters'!$E$26:$I$26,1,$B$5))/(INDEX('Pace of change parameters'!$E$25:$I$25,1,$B$5)-INDEX('Pace of change parameters'!$E$26:$I$26,1,$B$5))))</f>
        <v>1</v>
      </c>
      <c r="X80" s="132">
        <f>MIN(T80, T80+(INDEX('Pace of change parameters'!$E$27:$I$27,1,$B$5)-T80)*(1-W80))</f>
        <v>1.9999185444784073E-2</v>
      </c>
      <c r="Y80" s="132">
        <v>1.6796119270932497E-2</v>
      </c>
      <c r="Z80" s="108">
        <f t="shared" si="20"/>
        <v>214817</v>
      </c>
      <c r="AA80" s="97">
        <f>MIN(VLOOKUP(A80,'2016-17 disagg'!$A$12:$BC$220,54,FALSE),MIN(0,VLOOKUP(A80,'2016-17 disagg'!$A$12:$BC$220,54,FALSE),-2.5%))</f>
        <v>-2.5000000000000001E-2</v>
      </c>
      <c r="AB80" s="99">
        <f t="shared" si="13"/>
        <v>211068.73187596549</v>
      </c>
      <c r="AC80" s="99">
        <f>MAX(IF(INDEX('Pace of change parameters'!$E$29:$I$29,1,$B$5)=1,MAX(AB80,Z80),Z80),L80)</f>
        <v>214817</v>
      </c>
      <c r="AD80" s="97">
        <f t="shared" si="14"/>
        <v>2.2606965363596521E-2</v>
      </c>
      <c r="AE80" s="146">
        <v>1.939571007374763E-2</v>
      </c>
      <c r="AF80" s="56">
        <f t="shared" si="21"/>
        <v>214817</v>
      </c>
      <c r="AG80" s="56">
        <v>1619.8133987584447</v>
      </c>
      <c r="AH80" s="16">
        <f t="shared" si="15"/>
        <v>2.2606965363596521E-2</v>
      </c>
      <c r="AI80" s="16">
        <f t="shared" si="16"/>
        <v>1.9395710073747852E-2</v>
      </c>
      <c r="AJ80" s="56"/>
      <c r="AK80" s="56">
        <v>216480.75064201589</v>
      </c>
      <c r="AL80" s="56">
        <v>1632.3588005754812</v>
      </c>
      <c r="AM80" s="16">
        <f t="shared" si="22"/>
        <v>-7.685443796188407E-3</v>
      </c>
      <c r="AN80" s="58">
        <f t="shared" si="22"/>
        <v>-7.685443796188407E-3</v>
      </c>
      <c r="AP80" s="56">
        <f t="shared" si="23"/>
        <v>1</v>
      </c>
      <c r="AQ80" s="56">
        <f t="shared" si="17"/>
        <v>0</v>
      </c>
    </row>
    <row r="81" spans="1:43" x14ac:dyDescent="0.2">
      <c r="A81" s="156" t="s">
        <v>207</v>
      </c>
      <c r="B81" s="156" t="s">
        <v>208</v>
      </c>
      <c r="D81" s="68">
        <f>VLOOKUP(A81,'2016-17 disagg'!A81:BC289,43,FALSE)</f>
        <v>765911</v>
      </c>
      <c r="E81" s="73">
        <v>1553.9123883320115</v>
      </c>
      <c r="F81" s="55"/>
      <c r="G81" s="88">
        <v>779897.89303456119</v>
      </c>
      <c r="H81" s="81">
        <v>1564.3771074768301</v>
      </c>
      <c r="I81" s="90"/>
      <c r="J81" s="103">
        <f t="shared" si="18"/>
        <v>-1.7934261855918843E-2</v>
      </c>
      <c r="K81" s="126">
        <f t="shared" si="18"/>
        <v>-6.6893839693787926E-3</v>
      </c>
      <c r="L81" s="56">
        <v>790806</v>
      </c>
      <c r="M81" s="103">
        <v>2.2697336494729381E-2</v>
      </c>
      <c r="N81" s="97">
        <f>INDEX('Pace of change parameters'!$E$22:$I$22,1,$B$5)</f>
        <v>1.1119783131080974E-2</v>
      </c>
      <c r="O81" s="108">
        <f>MAX(IF(INDEX('Pace of change parameters'!$E$30:$I$30,1,$B$5)=1,(1+M81)*D81,D81),L81)</f>
        <v>790806</v>
      </c>
      <c r="P81" s="94">
        <f>IF(K81&lt;INDEX('Pace of change parameters'!$E$18:$I$18,1,$B$5),1,IF(K81&gt;INDEX('Pace of change parameters'!$E$19:$I$19,1,$B$5),0,(K81-INDEX('Pace of change parameters'!$E$19:$I$19,1,$B$5))/(INDEX('Pace of change parameters'!$E$18:$I$18,1,$B$5)-INDEX('Pace of change parameters'!$E$19:$I$19,1,$B$5))))</f>
        <v>0.48546229403266317</v>
      </c>
      <c r="Q81" s="57">
        <v>2.9512813748679756E-2</v>
      </c>
      <c r="R81" s="57">
        <v>1.7858105053937257E-2</v>
      </c>
      <c r="S81" s="9">
        <f>MAX(IF(INDEX('Pace of change parameters'!$E$31:$I$31,1,$B$5)=1,D81*(1+Q81),D81),L81)</f>
        <v>790806</v>
      </c>
      <c r="T81" s="103">
        <f>IF(Q81&lt;INDEX('Pace of change parameters'!$E$24:$I$24,1,$B$5),INDEX('Pace of change parameters'!$E$24:$I$24,1,$B$5),Q81)</f>
        <v>2.9512813748679756E-2</v>
      </c>
      <c r="U81" s="132">
        <v>1.7858105053937257E-2</v>
      </c>
      <c r="V81" s="117">
        <f t="shared" si="19"/>
        <v>790806</v>
      </c>
      <c r="W81" s="131">
        <f>IF(J81&gt;INDEX('Pace of change parameters'!$E$26:$I$26,1,$B$5),0,IF(J81&lt;INDEX('Pace of change parameters'!$E$25:$I$25,1,$B$5),1,(J81-INDEX('Pace of change parameters'!$E$26:$I$26,1,$B$5))/(INDEX('Pace of change parameters'!$E$25:$I$25,1,$B$5)-INDEX('Pace of change parameters'!$E$26:$I$26,1,$B$5))))</f>
        <v>1</v>
      </c>
      <c r="X81" s="132">
        <f>MIN(T81, T81+(INDEX('Pace of change parameters'!$E$27:$I$27,1,$B$5)-T81)*(1-W81))</f>
        <v>2.9512813748679756E-2</v>
      </c>
      <c r="Y81" s="132">
        <v>1.7858105053937257E-2</v>
      </c>
      <c r="Z81" s="108">
        <f t="shared" si="20"/>
        <v>790806</v>
      </c>
      <c r="AA81" s="97">
        <f>MIN(VLOOKUP(A81,'2016-17 disagg'!$A$12:$BC$220,54,FALSE),MIN(0,VLOOKUP(A81,'2016-17 disagg'!$A$12:$BC$220,54,FALSE),-2.5%))</f>
        <v>-2.5000000000000001E-2</v>
      </c>
      <c r="AB81" s="99">
        <f t="shared" si="13"/>
        <v>780448.15300212021</v>
      </c>
      <c r="AC81" s="99">
        <f>MAX(IF(INDEX('Pace of change parameters'!$E$29:$I$29,1,$B$5)=1,MAX(AB81,Z81),Z81),L81)</f>
        <v>790806</v>
      </c>
      <c r="AD81" s="97">
        <f t="shared" si="14"/>
        <v>3.2503776548450158E-2</v>
      </c>
      <c r="AE81" s="146">
        <v>2.0815208342992664E-2</v>
      </c>
      <c r="AF81" s="56">
        <f t="shared" si="21"/>
        <v>790806</v>
      </c>
      <c r="AG81" s="56">
        <v>1586.2573984418998</v>
      </c>
      <c r="AH81" s="16">
        <f t="shared" si="15"/>
        <v>3.2503776548450158E-2</v>
      </c>
      <c r="AI81" s="16">
        <f t="shared" si="16"/>
        <v>2.0815208342992886E-2</v>
      </c>
      <c r="AJ81" s="56"/>
      <c r="AK81" s="56">
        <v>800459.64410473872</v>
      </c>
      <c r="AL81" s="56">
        <v>1605.6213946471219</v>
      </c>
      <c r="AM81" s="16">
        <f t="shared" si="22"/>
        <v>-1.206012592369432E-2</v>
      </c>
      <c r="AN81" s="58">
        <f t="shared" si="22"/>
        <v>-1.206012592369432E-2</v>
      </c>
      <c r="AP81" s="56">
        <f t="shared" si="23"/>
        <v>1</v>
      </c>
      <c r="AQ81" s="56">
        <f t="shared" si="17"/>
        <v>0</v>
      </c>
    </row>
    <row r="82" spans="1:43" x14ac:dyDescent="0.2">
      <c r="A82" s="156" t="s">
        <v>209</v>
      </c>
      <c r="B82" s="156" t="s">
        <v>210</v>
      </c>
      <c r="D82" s="68">
        <f>VLOOKUP(A82,'2016-17 disagg'!A82:BC290,43,FALSE)</f>
        <v>524222</v>
      </c>
      <c r="E82" s="73">
        <v>1657.0260760938404</v>
      </c>
      <c r="F82" s="55"/>
      <c r="G82" s="88">
        <v>534212.15387155476</v>
      </c>
      <c r="H82" s="81">
        <v>1683.7324926562696</v>
      </c>
      <c r="I82" s="90"/>
      <c r="J82" s="103">
        <f t="shared" si="18"/>
        <v>-1.8700723671586039E-2</v>
      </c>
      <c r="K82" s="126">
        <f t="shared" si="18"/>
        <v>-1.5861436824977426E-2</v>
      </c>
      <c r="L82" s="56">
        <v>536505</v>
      </c>
      <c r="M82" s="103">
        <v>1.4045352495945185E-2</v>
      </c>
      <c r="N82" s="97">
        <f>INDEX('Pace of change parameters'!$E$22:$I$22,1,$B$5)</f>
        <v>1.1119783131080974E-2</v>
      </c>
      <c r="O82" s="108">
        <f>MAX(IF(INDEX('Pace of change parameters'!$E$30:$I$30,1,$B$5)=1,(1+M82)*D82,D82),L82)</f>
        <v>536505</v>
      </c>
      <c r="P82" s="94">
        <f>IF(K82&lt;INDEX('Pace of change parameters'!$E$18:$I$18,1,$B$5),1,IF(K82&gt;INDEX('Pace of change parameters'!$E$19:$I$19,1,$B$5),0,(K82-INDEX('Pace of change parameters'!$E$19:$I$19,1,$B$5))/(INDEX('Pace of change parameters'!$E$18:$I$18,1,$B$5)-INDEX('Pace of change parameters'!$E$19:$I$19,1,$B$5))))</f>
        <v>0.61911521674684833</v>
      </c>
      <c r="Q82" s="57">
        <v>2.2663670230296473E-2</v>
      </c>
      <c r="R82" s="57">
        <v>1.9713236606375029E-2</v>
      </c>
      <c r="S82" s="9">
        <f>MAX(IF(INDEX('Pace of change parameters'!$E$31:$I$31,1,$B$5)=1,D82*(1+Q82),D82),L82)</f>
        <v>536505</v>
      </c>
      <c r="T82" s="103">
        <f>IF(Q82&lt;INDEX('Pace of change parameters'!$E$24:$I$24,1,$B$5),INDEX('Pace of change parameters'!$E$24:$I$24,1,$B$5),Q82)</f>
        <v>2.2663670230296473E-2</v>
      </c>
      <c r="U82" s="132">
        <v>1.9713236606375029E-2</v>
      </c>
      <c r="V82" s="117">
        <f t="shared" si="19"/>
        <v>536505</v>
      </c>
      <c r="W82" s="131">
        <f>IF(J82&gt;INDEX('Pace of change parameters'!$E$26:$I$26,1,$B$5),0,IF(J82&lt;INDEX('Pace of change parameters'!$E$25:$I$25,1,$B$5),1,(J82-INDEX('Pace of change parameters'!$E$26:$I$26,1,$B$5))/(INDEX('Pace of change parameters'!$E$25:$I$25,1,$B$5)-INDEX('Pace of change parameters'!$E$26:$I$26,1,$B$5))))</f>
        <v>1</v>
      </c>
      <c r="X82" s="132">
        <f>MIN(T82, T82+(INDEX('Pace of change parameters'!$E$27:$I$27,1,$B$5)-T82)*(1-W82))</f>
        <v>2.2663670230296473E-2</v>
      </c>
      <c r="Y82" s="132">
        <v>1.9713236606375029E-2</v>
      </c>
      <c r="Z82" s="108">
        <f t="shared" si="20"/>
        <v>536505</v>
      </c>
      <c r="AA82" s="97">
        <f>MIN(VLOOKUP(A82,'2016-17 disagg'!$A$12:$BC$220,54,FALSE),MIN(0,VLOOKUP(A82,'2016-17 disagg'!$A$12:$BC$220,54,FALSE),-2.5%))</f>
        <v>-2.5000000000000001E-2</v>
      </c>
      <c r="AB82" s="99">
        <f t="shared" si="13"/>
        <v>534399.07901407487</v>
      </c>
      <c r="AC82" s="99">
        <f>MAX(IF(INDEX('Pace of change parameters'!$E$29:$I$29,1,$B$5)=1,MAX(AB82,Z82),Z82),L82)</f>
        <v>536505</v>
      </c>
      <c r="AD82" s="97">
        <f t="shared" si="14"/>
        <v>2.3430912857529851E-2</v>
      </c>
      <c r="AE82" s="146">
        <v>2.0478265701915577E-2</v>
      </c>
      <c r="AF82" s="56">
        <f t="shared" si="21"/>
        <v>536505</v>
      </c>
      <c r="AG82" s="56">
        <v>1690.9590963550927</v>
      </c>
      <c r="AH82" s="16">
        <f t="shared" si="15"/>
        <v>2.3430912857529851E-2</v>
      </c>
      <c r="AI82" s="16">
        <f t="shared" si="16"/>
        <v>2.0478265701915577E-2</v>
      </c>
      <c r="AJ82" s="56"/>
      <c r="AK82" s="56">
        <v>548101.61950161529</v>
      </c>
      <c r="AL82" s="56">
        <v>1727.5093787070282</v>
      </c>
      <c r="AM82" s="16">
        <f t="shared" si="22"/>
        <v>-2.1157790980730895E-2</v>
      </c>
      <c r="AN82" s="58">
        <f t="shared" si="22"/>
        <v>-2.1157790980730784E-2</v>
      </c>
      <c r="AP82" s="56">
        <f t="shared" si="23"/>
        <v>1</v>
      </c>
      <c r="AQ82" s="56">
        <f t="shared" si="17"/>
        <v>0</v>
      </c>
    </row>
    <row r="83" spans="1:43" x14ac:dyDescent="0.2">
      <c r="A83" s="156" t="s">
        <v>211</v>
      </c>
      <c r="B83" s="156" t="s">
        <v>212</v>
      </c>
      <c r="D83" s="68">
        <f>VLOOKUP(A83,'2016-17 disagg'!A83:BC291,43,FALSE)</f>
        <v>200425</v>
      </c>
      <c r="E83" s="73">
        <v>1440.8048151389335</v>
      </c>
      <c r="F83" s="55"/>
      <c r="G83" s="88">
        <v>205833.40130149212</v>
      </c>
      <c r="H83" s="81">
        <v>1469.8359457568165</v>
      </c>
      <c r="I83" s="90"/>
      <c r="J83" s="103">
        <f t="shared" si="18"/>
        <v>-2.6275625176937267E-2</v>
      </c>
      <c r="K83" s="126">
        <f t="shared" si="18"/>
        <v>-1.9751272719714996E-2</v>
      </c>
      <c r="L83" s="56">
        <v>205151</v>
      </c>
      <c r="M83" s="103">
        <v>1.7894700152970122E-2</v>
      </c>
      <c r="N83" s="97">
        <f>INDEX('Pace of change parameters'!$E$22:$I$22,1,$B$5)</f>
        <v>1.1119783131080974E-2</v>
      </c>
      <c r="O83" s="108">
        <f>MAX(IF(INDEX('Pace of change parameters'!$E$30:$I$30,1,$B$5)=1,(1+M83)*D83,D83),L83)</f>
        <v>205151</v>
      </c>
      <c r="P83" s="94">
        <f>IF(K83&lt;INDEX('Pace of change parameters'!$E$18:$I$18,1,$B$5),1,IF(K83&gt;INDEX('Pace of change parameters'!$E$19:$I$19,1,$B$5),0,(K83-INDEX('Pace of change parameters'!$E$19:$I$19,1,$B$5))/(INDEX('Pace of change parameters'!$E$18:$I$18,1,$B$5)-INDEX('Pace of change parameters'!$E$19:$I$19,1,$B$5))))</f>
        <v>0.67579695903455039</v>
      </c>
      <c r="Q83" s="57">
        <v>2.7337759744779921E-2</v>
      </c>
      <c r="R83" s="57">
        <v>2.0499991481836455E-2</v>
      </c>
      <c r="S83" s="9">
        <f>MAX(IF(INDEX('Pace of change parameters'!$E$31:$I$31,1,$B$5)=1,D83*(1+Q83),D83),L83)</f>
        <v>205904.17049684751</v>
      </c>
      <c r="T83" s="103">
        <f>IF(Q83&lt;INDEX('Pace of change parameters'!$E$24:$I$24,1,$B$5),INDEX('Pace of change parameters'!$E$24:$I$24,1,$B$5),Q83)</f>
        <v>2.7337759744779921E-2</v>
      </c>
      <c r="U83" s="132">
        <v>2.0499991481836455E-2</v>
      </c>
      <c r="V83" s="117">
        <f t="shared" si="19"/>
        <v>205904.17049684751</v>
      </c>
      <c r="W83" s="131">
        <f>IF(J83&gt;INDEX('Pace of change parameters'!$E$26:$I$26,1,$B$5),0,IF(J83&lt;INDEX('Pace of change parameters'!$E$25:$I$25,1,$B$5),1,(J83-INDEX('Pace of change parameters'!$E$26:$I$26,1,$B$5))/(INDEX('Pace of change parameters'!$E$25:$I$25,1,$B$5)-INDEX('Pace of change parameters'!$E$26:$I$26,1,$B$5))))</f>
        <v>1</v>
      </c>
      <c r="X83" s="132">
        <f>MIN(T83, T83+(INDEX('Pace of change parameters'!$E$27:$I$27,1,$B$5)-T83)*(1-W83))</f>
        <v>2.7337759744779921E-2</v>
      </c>
      <c r="Y83" s="132">
        <v>2.0499991481836455E-2</v>
      </c>
      <c r="Z83" s="108">
        <f t="shared" si="20"/>
        <v>205904.17049684751</v>
      </c>
      <c r="AA83" s="97">
        <f>MIN(VLOOKUP(A83,'2016-17 disagg'!$A$12:$BC$220,54,FALSE),MIN(0,VLOOKUP(A83,'2016-17 disagg'!$A$12:$BC$220,54,FALSE),-2.5%))</f>
        <v>-2.6660840137272213E-2</v>
      </c>
      <c r="AB83" s="99">
        <f t="shared" si="13"/>
        <v>205522.73926410836</v>
      </c>
      <c r="AC83" s="99">
        <f>MAX(IF(INDEX('Pace of change parameters'!$E$29:$I$29,1,$B$5)=1,MAX(AB83,Z83),Z83),L83)</f>
        <v>205904.17049684751</v>
      </c>
      <c r="AD83" s="97">
        <f t="shared" si="14"/>
        <v>2.7337759744779921E-2</v>
      </c>
      <c r="AE83" s="146">
        <v>2.0499991481836455E-2</v>
      </c>
      <c r="AF83" s="56">
        <f t="shared" si="21"/>
        <v>205904.17049684751</v>
      </c>
      <c r="AG83" s="56">
        <v>1470.3413015762701</v>
      </c>
      <c r="AH83" s="16">
        <f t="shared" si="15"/>
        <v>2.7337759744779921E-2</v>
      </c>
      <c r="AI83" s="16">
        <f t="shared" si="16"/>
        <v>2.0499991481836233E-2</v>
      </c>
      <c r="AJ83" s="56"/>
      <c r="AK83" s="56">
        <v>211152.23525281125</v>
      </c>
      <c r="AL83" s="56">
        <v>1507.8172125567057</v>
      </c>
      <c r="AM83" s="16">
        <f t="shared" si="22"/>
        <v>-2.4854412503283574E-2</v>
      </c>
      <c r="AN83" s="58">
        <f t="shared" si="22"/>
        <v>-2.4854412503283574E-2</v>
      </c>
      <c r="AP83" s="56">
        <f t="shared" si="23"/>
        <v>0</v>
      </c>
      <c r="AQ83" s="56">
        <f t="shared" si="17"/>
        <v>0</v>
      </c>
    </row>
    <row r="84" spans="1:43" x14ac:dyDescent="0.2">
      <c r="A84" s="156" t="s">
        <v>213</v>
      </c>
      <c r="B84" s="156" t="s">
        <v>214</v>
      </c>
      <c r="D84" s="68">
        <f>VLOOKUP(A84,'2016-17 disagg'!A84:BC292,43,FALSE)</f>
        <v>293616</v>
      </c>
      <c r="E84" s="73">
        <v>1583.7271284502165</v>
      </c>
      <c r="F84" s="55"/>
      <c r="G84" s="88">
        <v>292309.62775394955</v>
      </c>
      <c r="H84" s="81">
        <v>1568.2675628832183</v>
      </c>
      <c r="I84" s="90"/>
      <c r="J84" s="103">
        <f t="shared" si="18"/>
        <v>4.469138618828028E-3</v>
      </c>
      <c r="K84" s="126">
        <f t="shared" si="18"/>
        <v>9.8577346958423906E-3</v>
      </c>
      <c r="L84" s="56">
        <v>300546</v>
      </c>
      <c r="M84" s="103">
        <v>1.65440573942639E-2</v>
      </c>
      <c r="N84" s="97">
        <f>INDEX('Pace of change parameters'!$E$22:$I$22,1,$B$5)</f>
        <v>1.1119783131080974E-2</v>
      </c>
      <c r="O84" s="108">
        <f>MAX(IF(INDEX('Pace of change parameters'!$E$30:$I$30,1,$B$5)=1,(1+M84)*D84,D84),L84)</f>
        <v>300546</v>
      </c>
      <c r="P84" s="94">
        <f>IF(K84&lt;INDEX('Pace of change parameters'!$E$18:$I$18,1,$B$5),1,IF(K84&gt;INDEX('Pace of change parameters'!$E$19:$I$19,1,$B$5),0,(K84-INDEX('Pace of change parameters'!$E$19:$I$19,1,$B$5))/(INDEX('Pace of change parameters'!$E$18:$I$18,1,$B$5)-INDEX('Pace of change parameters'!$E$19:$I$19,1,$B$5))))</f>
        <v>0.24434170664362395</v>
      </c>
      <c r="Q84" s="57">
        <v>1.9953767469368833E-2</v>
      </c>
      <c r="R84" s="57">
        <v>1.4511299009416279E-2</v>
      </c>
      <c r="S84" s="9">
        <f>MAX(IF(INDEX('Pace of change parameters'!$E$31:$I$31,1,$B$5)=1,D84*(1+Q84),D84),L84)</f>
        <v>300546</v>
      </c>
      <c r="T84" s="103">
        <f>IF(Q84&lt;INDEX('Pace of change parameters'!$E$24:$I$24,1,$B$5),INDEX('Pace of change parameters'!$E$24:$I$24,1,$B$5),Q84)</f>
        <v>1.9953767469368833E-2</v>
      </c>
      <c r="U84" s="132">
        <v>1.4511299009416279E-2</v>
      </c>
      <c r="V84" s="117">
        <f t="shared" si="19"/>
        <v>300546</v>
      </c>
      <c r="W84" s="131">
        <f>IF(J84&gt;INDEX('Pace of change parameters'!$E$26:$I$26,1,$B$5),0,IF(J84&lt;INDEX('Pace of change parameters'!$E$25:$I$25,1,$B$5),1,(J84-INDEX('Pace of change parameters'!$E$26:$I$26,1,$B$5))/(INDEX('Pace of change parameters'!$E$25:$I$25,1,$B$5)-INDEX('Pace of change parameters'!$E$26:$I$26,1,$B$5))))</f>
        <v>1</v>
      </c>
      <c r="X84" s="132">
        <f>MIN(T84, T84+(INDEX('Pace of change parameters'!$E$27:$I$27,1,$B$5)-T84)*(1-W84))</f>
        <v>1.9953767469368833E-2</v>
      </c>
      <c r="Y84" s="132">
        <v>1.4511299009416279E-2</v>
      </c>
      <c r="Z84" s="108">
        <f t="shared" si="20"/>
        <v>300546</v>
      </c>
      <c r="AA84" s="97">
        <f>MIN(VLOOKUP(A84,'2016-17 disagg'!$A$12:$BC$220,54,FALSE),MIN(0,VLOOKUP(A84,'2016-17 disagg'!$A$12:$BC$220,54,FALSE),-2.5%))</f>
        <v>-2.5000000000000001E-2</v>
      </c>
      <c r="AB84" s="99">
        <f t="shared" si="13"/>
        <v>292479.35601051227</v>
      </c>
      <c r="AC84" s="99">
        <f>MAX(IF(INDEX('Pace of change parameters'!$E$29:$I$29,1,$B$5)=1,MAX(AB84,Z84),Z84),L84)</f>
        <v>300546</v>
      </c>
      <c r="AD84" s="97">
        <f t="shared" si="14"/>
        <v>2.3602256007847044E-2</v>
      </c>
      <c r="AE84" s="146">
        <v>1.8140319230377955E-2</v>
      </c>
      <c r="AF84" s="56">
        <f t="shared" si="21"/>
        <v>300546</v>
      </c>
      <c r="AG84" s="56">
        <v>1612.4564441341131</v>
      </c>
      <c r="AH84" s="16">
        <f t="shared" si="15"/>
        <v>2.3602256007847044E-2</v>
      </c>
      <c r="AI84" s="16">
        <f t="shared" si="16"/>
        <v>1.8140319230377955E-2</v>
      </c>
      <c r="AJ84" s="56"/>
      <c r="AK84" s="56">
        <v>299978.82667744847</v>
      </c>
      <c r="AL84" s="56">
        <v>1609.4135080148862</v>
      </c>
      <c r="AM84" s="16">
        <f t="shared" si="22"/>
        <v>1.8907111839643331E-3</v>
      </c>
      <c r="AN84" s="58">
        <f t="shared" si="22"/>
        <v>1.8907111839643331E-3</v>
      </c>
      <c r="AP84" s="56">
        <f t="shared" si="23"/>
        <v>1</v>
      </c>
      <c r="AQ84" s="56">
        <f t="shared" si="17"/>
        <v>0</v>
      </c>
    </row>
    <row r="85" spans="1:43" x14ac:dyDescent="0.2">
      <c r="A85" s="156" t="s">
        <v>215</v>
      </c>
      <c r="B85" s="156" t="s">
        <v>216</v>
      </c>
      <c r="D85" s="68">
        <f>VLOOKUP(A85,'2016-17 disagg'!A85:BC293,43,FALSE)</f>
        <v>360313</v>
      </c>
      <c r="E85" s="73">
        <v>1661.9777438639135</v>
      </c>
      <c r="F85" s="55"/>
      <c r="G85" s="88">
        <v>352438.84720193903</v>
      </c>
      <c r="H85" s="81">
        <v>1622.4278275363579</v>
      </c>
      <c r="I85" s="90"/>
      <c r="J85" s="103">
        <f t="shared" si="18"/>
        <v>2.2341898064231369E-2</v>
      </c>
      <c r="K85" s="126">
        <f t="shared" si="18"/>
        <v>2.4376995793773837E-2</v>
      </c>
      <c r="L85" s="56">
        <v>368791</v>
      </c>
      <c r="M85" s="103">
        <v>1.3132541855771507E-2</v>
      </c>
      <c r="N85" s="97">
        <f>INDEX('Pace of change parameters'!$E$22:$I$22,1,$B$5)</f>
        <v>1.1119783131080974E-2</v>
      </c>
      <c r="O85" s="108">
        <f>MAX(IF(INDEX('Pace of change parameters'!$E$30:$I$30,1,$B$5)=1,(1+M85)*D85,D85),L85)</f>
        <v>368791</v>
      </c>
      <c r="P85" s="94">
        <f>IF(K85&lt;INDEX('Pace of change parameters'!$E$18:$I$18,1,$B$5),1,IF(K85&gt;INDEX('Pace of change parameters'!$E$19:$I$19,1,$B$5),0,(K85-INDEX('Pace of change parameters'!$E$19:$I$19,1,$B$5))/(INDEX('Pace of change parameters'!$E$18:$I$18,1,$B$5)-INDEX('Pace of change parameters'!$E$19:$I$19,1,$B$5))))</f>
        <v>3.2770566361282817E-2</v>
      </c>
      <c r="Q85" s="57">
        <v>1.3588309883865834E-2</v>
      </c>
      <c r="R85" s="57">
        <v>1.1574645699092834E-2</v>
      </c>
      <c r="S85" s="9">
        <f>MAX(IF(INDEX('Pace of change parameters'!$E$31:$I$31,1,$B$5)=1,D85*(1+Q85),D85),L85)</f>
        <v>368791</v>
      </c>
      <c r="T85" s="103">
        <f>IF(Q85&lt;INDEX('Pace of change parameters'!$E$24:$I$24,1,$B$5),INDEX('Pace of change parameters'!$E$24:$I$24,1,$B$5),Q85)</f>
        <v>1.9644681315626574E-2</v>
      </c>
      <c r="U85" s="132">
        <v>1.7618985127205722E-2</v>
      </c>
      <c r="V85" s="117">
        <f t="shared" si="19"/>
        <v>368791</v>
      </c>
      <c r="W85" s="131">
        <f>IF(J85&gt;INDEX('Pace of change parameters'!$E$26:$I$26,1,$B$5),0,IF(J85&lt;INDEX('Pace of change parameters'!$E$25:$I$25,1,$B$5),1,(J85-INDEX('Pace of change parameters'!$E$26:$I$26,1,$B$5))/(INDEX('Pace of change parameters'!$E$25:$I$25,1,$B$5)-INDEX('Pace of change parameters'!$E$26:$I$26,1,$B$5))))</f>
        <v>1</v>
      </c>
      <c r="X85" s="132">
        <f>MIN(T85, T85+(INDEX('Pace of change parameters'!$E$27:$I$27,1,$B$5)-T85)*(1-W85))</f>
        <v>1.9644681315626574E-2</v>
      </c>
      <c r="Y85" s="132">
        <v>1.7618985127205722E-2</v>
      </c>
      <c r="Z85" s="108">
        <f t="shared" si="20"/>
        <v>368791</v>
      </c>
      <c r="AA85" s="97">
        <f>MIN(VLOOKUP(A85,'2016-17 disagg'!$A$12:$BC$220,54,FALSE),MIN(0,VLOOKUP(A85,'2016-17 disagg'!$A$12:$BC$220,54,FALSE),-2.5%))</f>
        <v>-2.5000000000000001E-2</v>
      </c>
      <c r="AB85" s="99">
        <f t="shared" si="13"/>
        <v>352644.17328526394</v>
      </c>
      <c r="AC85" s="99">
        <f>MAX(IF(INDEX('Pace of change parameters'!$E$29:$I$29,1,$B$5)=1,MAX(AB85,Z85),Z85),L85)</f>
        <v>368791</v>
      </c>
      <c r="AD85" s="97">
        <f t="shared" si="14"/>
        <v>2.3529542370106071E-2</v>
      </c>
      <c r="AE85" s="146">
        <v>2.1496128249767654E-2</v>
      </c>
      <c r="AF85" s="56">
        <f t="shared" si="21"/>
        <v>368791</v>
      </c>
      <c r="AG85" s="56">
        <v>1697.7038305942713</v>
      </c>
      <c r="AH85" s="16">
        <f t="shared" si="15"/>
        <v>2.3529542370106071E-2</v>
      </c>
      <c r="AI85" s="16">
        <f t="shared" si="16"/>
        <v>2.1496128249767432E-2</v>
      </c>
      <c r="AJ85" s="56"/>
      <c r="AK85" s="56">
        <v>361686.3315746297</v>
      </c>
      <c r="AL85" s="56">
        <v>1664.9979814795877</v>
      </c>
      <c r="AM85" s="16">
        <f t="shared" si="22"/>
        <v>1.9643176435337084E-2</v>
      </c>
      <c r="AN85" s="58">
        <f t="shared" si="22"/>
        <v>1.9643176435337084E-2</v>
      </c>
      <c r="AP85" s="56">
        <f t="shared" si="23"/>
        <v>1</v>
      </c>
      <c r="AQ85" s="56">
        <f t="shared" si="17"/>
        <v>0</v>
      </c>
    </row>
    <row r="86" spans="1:43" x14ac:dyDescent="0.2">
      <c r="A86" s="156" t="s">
        <v>217</v>
      </c>
      <c r="B86" s="156" t="s">
        <v>218</v>
      </c>
      <c r="D86" s="68">
        <f>VLOOKUP(A86,'2016-17 disagg'!A86:BC294,43,FALSE)</f>
        <v>258720</v>
      </c>
      <c r="E86" s="73">
        <v>1478.1821299005996</v>
      </c>
      <c r="F86" s="55"/>
      <c r="G86" s="88">
        <v>261077.18045385476</v>
      </c>
      <c r="H86" s="81">
        <v>1485.4119806390229</v>
      </c>
      <c r="I86" s="90"/>
      <c r="J86" s="103">
        <f t="shared" si="18"/>
        <v>-9.0286728612476441E-3</v>
      </c>
      <c r="K86" s="126">
        <f t="shared" si="18"/>
        <v>-4.8672360480848109E-3</v>
      </c>
      <c r="L86" s="56">
        <v>264835</v>
      </c>
      <c r="M86" s="103">
        <v>1.5365830390781099E-2</v>
      </c>
      <c r="N86" s="97">
        <f>INDEX('Pace of change parameters'!$E$22:$I$22,1,$B$5)</f>
        <v>1.1119783131080974E-2</v>
      </c>
      <c r="O86" s="108">
        <f>MAX(IF(INDEX('Pace of change parameters'!$E$30:$I$30,1,$B$5)=1,(1+M86)*D86,D86),L86)</f>
        <v>264835</v>
      </c>
      <c r="P86" s="94">
        <f>IF(K86&lt;INDEX('Pace of change parameters'!$E$18:$I$18,1,$B$5),1,IF(K86&gt;INDEX('Pace of change parameters'!$E$19:$I$19,1,$B$5),0,(K86-INDEX('Pace of change parameters'!$E$19:$I$19,1,$B$5))/(INDEX('Pace of change parameters'!$E$18:$I$18,1,$B$5)-INDEX('Pace of change parameters'!$E$19:$I$19,1,$B$5))))</f>
        <v>0.45891039783966825</v>
      </c>
      <c r="Q86" s="57">
        <v>2.1762355163203573E-2</v>
      </c>
      <c r="R86" s="57">
        <v>1.7489558976497399E-2</v>
      </c>
      <c r="S86" s="9">
        <f>MAX(IF(INDEX('Pace of change parameters'!$E$31:$I$31,1,$B$5)=1,D86*(1+Q86),D86),L86)</f>
        <v>264835</v>
      </c>
      <c r="T86" s="103">
        <f>IF(Q86&lt;INDEX('Pace of change parameters'!$E$24:$I$24,1,$B$5),INDEX('Pace of change parameters'!$E$24:$I$24,1,$B$5),Q86)</f>
        <v>2.1762355163203573E-2</v>
      </c>
      <c r="U86" s="132">
        <v>1.7489558976497399E-2</v>
      </c>
      <c r="V86" s="117">
        <f t="shared" si="19"/>
        <v>264835</v>
      </c>
      <c r="W86" s="131">
        <f>IF(J86&gt;INDEX('Pace of change parameters'!$E$26:$I$26,1,$B$5),0,IF(J86&lt;INDEX('Pace of change parameters'!$E$25:$I$25,1,$B$5),1,(J86-INDEX('Pace of change parameters'!$E$26:$I$26,1,$B$5))/(INDEX('Pace of change parameters'!$E$25:$I$25,1,$B$5)-INDEX('Pace of change parameters'!$E$26:$I$26,1,$B$5))))</f>
        <v>1</v>
      </c>
      <c r="X86" s="132">
        <f>MIN(T86, T86+(INDEX('Pace of change parameters'!$E$27:$I$27,1,$B$5)-T86)*(1-W86))</f>
        <v>2.1762355163203573E-2</v>
      </c>
      <c r="Y86" s="132">
        <v>1.7489558976497399E-2</v>
      </c>
      <c r="Z86" s="108">
        <f t="shared" si="20"/>
        <v>264835</v>
      </c>
      <c r="AA86" s="97">
        <f>MIN(VLOOKUP(A86,'2016-17 disagg'!$A$12:$BC$220,54,FALSE),MIN(0,VLOOKUP(A86,'2016-17 disagg'!$A$12:$BC$220,54,FALSE),-2.5%))</f>
        <v>-2.5000000000000001E-2</v>
      </c>
      <c r="AB86" s="99">
        <f t="shared" si="13"/>
        <v>261236.13757922745</v>
      </c>
      <c r="AC86" s="99">
        <f>MAX(IF(INDEX('Pace of change parameters'!$E$29:$I$29,1,$B$5)=1,MAX(AB86,Z86),Z86),L86)</f>
        <v>264835</v>
      </c>
      <c r="AD86" s="97">
        <f t="shared" si="14"/>
        <v>2.363559059987641E-2</v>
      </c>
      <c r="AE86" s="146">
        <v>1.9354960934876431E-2</v>
      </c>
      <c r="AF86" s="56">
        <f t="shared" si="21"/>
        <v>264835</v>
      </c>
      <c r="AG86" s="56">
        <v>1506.7922872794579</v>
      </c>
      <c r="AH86" s="16">
        <f t="shared" si="15"/>
        <v>2.363559059987641E-2</v>
      </c>
      <c r="AI86" s="16">
        <f t="shared" si="16"/>
        <v>1.9354960934876209E-2</v>
      </c>
      <c r="AJ86" s="56"/>
      <c r="AK86" s="56">
        <v>267934.50008125894</v>
      </c>
      <c r="AL86" s="56">
        <v>1524.4270516303293</v>
      </c>
      <c r="AM86" s="16">
        <f t="shared" si="22"/>
        <v>-1.1568126091708764E-2</v>
      </c>
      <c r="AN86" s="58">
        <f t="shared" si="22"/>
        <v>-1.1568126091708653E-2</v>
      </c>
      <c r="AP86" s="56">
        <f t="shared" si="23"/>
        <v>1</v>
      </c>
      <c r="AQ86" s="56">
        <f t="shared" si="17"/>
        <v>0</v>
      </c>
    </row>
    <row r="87" spans="1:43" x14ac:dyDescent="0.2">
      <c r="A87" s="156" t="s">
        <v>219</v>
      </c>
      <c r="B87" s="156" t="s">
        <v>220</v>
      </c>
      <c r="D87" s="68">
        <f>VLOOKUP(A87,'2016-17 disagg'!A87:BC295,43,FALSE)</f>
        <v>906837</v>
      </c>
      <c r="E87" s="73">
        <v>1597.709471962736</v>
      </c>
      <c r="F87" s="55"/>
      <c r="G87" s="88">
        <v>926947.8400193227</v>
      </c>
      <c r="H87" s="81">
        <v>1619.5583449471087</v>
      </c>
      <c r="I87" s="90"/>
      <c r="J87" s="103">
        <f t="shared" si="18"/>
        <v>-2.1695762319165146E-2</v>
      </c>
      <c r="K87" s="126">
        <f t="shared" si="18"/>
        <v>-1.3490636538374456E-2</v>
      </c>
      <c r="L87" s="56">
        <v>929723</v>
      </c>
      <c r="M87" s="103">
        <v>1.9600135848047318E-2</v>
      </c>
      <c r="N87" s="97">
        <f>INDEX('Pace of change parameters'!$E$22:$I$22,1,$B$5)</f>
        <v>1.1119783131080974E-2</v>
      </c>
      <c r="O87" s="108">
        <f>MAX(IF(INDEX('Pace of change parameters'!$E$30:$I$30,1,$B$5)=1,(1+M87)*D87,D87),L87)</f>
        <v>929723</v>
      </c>
      <c r="P87" s="94">
        <f>IF(K87&lt;INDEX('Pace of change parameters'!$E$18:$I$18,1,$B$5),1,IF(K87&gt;INDEX('Pace of change parameters'!$E$19:$I$19,1,$B$5),0,(K87-INDEX('Pace of change parameters'!$E$19:$I$19,1,$B$5))/(INDEX('Pace of change parameters'!$E$18:$I$18,1,$B$5)-INDEX('Pace of change parameters'!$E$19:$I$19,1,$B$5))))</f>
        <v>0.58456849176993109</v>
      </c>
      <c r="Q87" s="57">
        <v>2.7782125612881403E-2</v>
      </c>
      <c r="R87" s="57">
        <v>1.9233720571584456E-2</v>
      </c>
      <c r="S87" s="9">
        <f>MAX(IF(INDEX('Pace of change parameters'!$E$31:$I$31,1,$B$5)=1,D87*(1+Q87),D87),L87)</f>
        <v>932030.85944440856</v>
      </c>
      <c r="T87" s="103">
        <f>IF(Q87&lt;INDEX('Pace of change parameters'!$E$24:$I$24,1,$B$5),INDEX('Pace of change parameters'!$E$24:$I$24,1,$B$5),Q87)</f>
        <v>2.7782125612881403E-2</v>
      </c>
      <c r="U87" s="132">
        <v>1.9233720571584456E-2</v>
      </c>
      <c r="V87" s="117">
        <f t="shared" si="19"/>
        <v>932030.85944440856</v>
      </c>
      <c r="W87" s="131">
        <f>IF(J87&gt;INDEX('Pace of change parameters'!$E$26:$I$26,1,$B$5),0,IF(J87&lt;INDEX('Pace of change parameters'!$E$25:$I$25,1,$B$5),1,(J87-INDEX('Pace of change parameters'!$E$26:$I$26,1,$B$5))/(INDEX('Pace of change parameters'!$E$25:$I$25,1,$B$5)-INDEX('Pace of change parameters'!$E$26:$I$26,1,$B$5))))</f>
        <v>1</v>
      </c>
      <c r="X87" s="132">
        <f>MIN(T87, T87+(INDEX('Pace of change parameters'!$E$27:$I$27,1,$B$5)-T87)*(1-W87))</f>
        <v>2.7782125612881403E-2</v>
      </c>
      <c r="Y87" s="132">
        <v>1.9233720571584456E-2</v>
      </c>
      <c r="Z87" s="108">
        <f t="shared" si="20"/>
        <v>932030.85944440856</v>
      </c>
      <c r="AA87" s="97">
        <f>MIN(VLOOKUP(A87,'2016-17 disagg'!$A$12:$BC$220,54,FALSE),MIN(0,VLOOKUP(A87,'2016-17 disagg'!$A$12:$BC$220,54,FALSE),-2.5%))</f>
        <v>-2.5000000000000001E-2</v>
      </c>
      <c r="AB87" s="99">
        <f t="shared" si="13"/>
        <v>927991.44704759424</v>
      </c>
      <c r="AC87" s="99">
        <f>MAX(IF(INDEX('Pace of change parameters'!$E$29:$I$29,1,$B$5)=1,MAX(AB87,Z87),Z87),L87)</f>
        <v>932030.85944440856</v>
      </c>
      <c r="AD87" s="97">
        <f t="shared" si="14"/>
        <v>2.7782125612881403E-2</v>
      </c>
      <c r="AE87" s="146">
        <v>1.9233720571584456E-2</v>
      </c>
      <c r="AF87" s="56">
        <f t="shared" si="21"/>
        <v>932030.85944440856</v>
      </c>
      <c r="AG87" s="56">
        <v>1628.439369501041</v>
      </c>
      <c r="AH87" s="16">
        <f t="shared" si="15"/>
        <v>2.7782125612881403E-2</v>
      </c>
      <c r="AI87" s="16">
        <f t="shared" si="16"/>
        <v>1.9233720571584456E-2</v>
      </c>
      <c r="AJ87" s="56"/>
      <c r="AK87" s="56">
        <v>951786.09953599412</v>
      </c>
      <c r="AL87" s="56">
        <v>1662.9556201091596</v>
      </c>
      <c r="AM87" s="16">
        <f t="shared" si="22"/>
        <v>-2.0755966178972796E-2</v>
      </c>
      <c r="AN87" s="58">
        <f t="shared" si="22"/>
        <v>-2.0755966178972796E-2</v>
      </c>
      <c r="AP87" s="56">
        <f t="shared" si="23"/>
        <v>0</v>
      </c>
      <c r="AQ87" s="56">
        <f t="shared" si="17"/>
        <v>0</v>
      </c>
    </row>
    <row r="88" spans="1:43" x14ac:dyDescent="0.2">
      <c r="A88" s="156" t="s">
        <v>221</v>
      </c>
      <c r="B88" s="156" t="s">
        <v>222</v>
      </c>
      <c r="D88" s="68">
        <f>VLOOKUP(A88,'2016-17 disagg'!A88:BC296,43,FALSE)</f>
        <v>494625</v>
      </c>
      <c r="E88" s="73">
        <v>1621.2802295284725</v>
      </c>
      <c r="F88" s="55"/>
      <c r="G88" s="88">
        <v>500272.81244322716</v>
      </c>
      <c r="H88" s="81">
        <v>1632.9989195182447</v>
      </c>
      <c r="I88" s="90"/>
      <c r="J88" s="103">
        <f t="shared" si="18"/>
        <v>-1.1289465073355487E-2</v>
      </c>
      <c r="K88" s="126">
        <f t="shared" si="18"/>
        <v>-7.1761774301903891E-3</v>
      </c>
      <c r="L88" s="56">
        <v>505958</v>
      </c>
      <c r="M88" s="103">
        <v>1.5326298954260409E-2</v>
      </c>
      <c r="N88" s="97">
        <f>INDEX('Pace of change parameters'!$E$22:$I$22,1,$B$5)</f>
        <v>1.1119783131080974E-2</v>
      </c>
      <c r="O88" s="108">
        <f>MAX(IF(INDEX('Pace of change parameters'!$E$30:$I$30,1,$B$5)=1,(1+M88)*D88,D88),L88)</f>
        <v>505958</v>
      </c>
      <c r="P88" s="94">
        <f>IF(K88&lt;INDEX('Pace of change parameters'!$E$18:$I$18,1,$B$5),1,IF(K88&gt;INDEX('Pace of change parameters'!$E$19:$I$19,1,$B$5),0,(K88-INDEX('Pace of change parameters'!$E$19:$I$19,1,$B$5))/(INDEX('Pace of change parameters'!$E$18:$I$18,1,$B$5)-INDEX('Pace of change parameters'!$E$19:$I$19,1,$B$5))))</f>
        <v>0.49255572991009705</v>
      </c>
      <c r="Q88" s="57">
        <v>2.2191522052983803E-2</v>
      </c>
      <c r="R88" s="57">
        <v>1.7956563482261823E-2</v>
      </c>
      <c r="S88" s="9">
        <f>MAX(IF(INDEX('Pace of change parameters'!$E$31:$I$31,1,$B$5)=1,D88*(1+Q88),D88),L88)</f>
        <v>505958</v>
      </c>
      <c r="T88" s="103">
        <f>IF(Q88&lt;INDEX('Pace of change parameters'!$E$24:$I$24,1,$B$5),INDEX('Pace of change parameters'!$E$24:$I$24,1,$B$5),Q88)</f>
        <v>2.2191522052983803E-2</v>
      </c>
      <c r="U88" s="132">
        <v>1.7956563482261823E-2</v>
      </c>
      <c r="V88" s="117">
        <f t="shared" si="19"/>
        <v>505958</v>
      </c>
      <c r="W88" s="131">
        <f>IF(J88&gt;INDEX('Pace of change parameters'!$E$26:$I$26,1,$B$5),0,IF(J88&lt;INDEX('Pace of change parameters'!$E$25:$I$25,1,$B$5),1,(J88-INDEX('Pace of change parameters'!$E$26:$I$26,1,$B$5))/(INDEX('Pace of change parameters'!$E$25:$I$25,1,$B$5)-INDEX('Pace of change parameters'!$E$26:$I$26,1,$B$5))))</f>
        <v>1</v>
      </c>
      <c r="X88" s="132">
        <f>MIN(T88, T88+(INDEX('Pace of change parameters'!$E$27:$I$27,1,$B$5)-T88)*(1-W88))</f>
        <v>2.2191522052983803E-2</v>
      </c>
      <c r="Y88" s="132">
        <v>1.7956563482261823E-2</v>
      </c>
      <c r="Z88" s="108">
        <f t="shared" si="20"/>
        <v>505958</v>
      </c>
      <c r="AA88" s="97">
        <f>MIN(VLOOKUP(A88,'2016-17 disagg'!$A$12:$BC$220,54,FALSE),MIN(0,VLOOKUP(A88,'2016-17 disagg'!$A$12:$BC$220,54,FALSE),-2.5%))</f>
        <v>-2.5000000000000001E-2</v>
      </c>
      <c r="AB88" s="99">
        <f t="shared" si="13"/>
        <v>500597.76854574145</v>
      </c>
      <c r="AC88" s="99">
        <f>MAX(IF(INDEX('Pace of change parameters'!$E$29:$I$29,1,$B$5)=1,MAX(AB88,Z88),Z88),L88)</f>
        <v>505958</v>
      </c>
      <c r="AD88" s="97">
        <f t="shared" si="14"/>
        <v>2.291230730351268E-2</v>
      </c>
      <c r="AE88" s="146">
        <v>1.8674362506033271E-2</v>
      </c>
      <c r="AF88" s="56">
        <f t="shared" si="21"/>
        <v>505958</v>
      </c>
      <c r="AG88" s="56">
        <v>1651.5566042585526</v>
      </c>
      <c r="AH88" s="16">
        <f t="shared" si="15"/>
        <v>2.291230730351268E-2</v>
      </c>
      <c r="AI88" s="16">
        <f t="shared" si="16"/>
        <v>1.8674362506033715E-2</v>
      </c>
      <c r="AJ88" s="56"/>
      <c r="AK88" s="56">
        <v>513433.60876486305</v>
      </c>
      <c r="AL88" s="56">
        <v>1675.9586119873813</v>
      </c>
      <c r="AM88" s="16">
        <f t="shared" si="22"/>
        <v>-1.456003003552242E-2</v>
      </c>
      <c r="AN88" s="58">
        <f t="shared" si="22"/>
        <v>-1.456003003552242E-2</v>
      </c>
      <c r="AP88" s="56">
        <f t="shared" si="23"/>
        <v>1</v>
      </c>
      <c r="AQ88" s="56">
        <f t="shared" si="17"/>
        <v>0</v>
      </c>
    </row>
    <row r="89" spans="1:43" x14ac:dyDescent="0.2">
      <c r="A89" s="156" t="s">
        <v>223</v>
      </c>
      <c r="B89" s="156" t="s">
        <v>224</v>
      </c>
      <c r="D89" s="68">
        <f>VLOOKUP(A89,'2016-17 disagg'!A89:BC297,43,FALSE)</f>
        <v>380988</v>
      </c>
      <c r="E89" s="73">
        <v>1558.8414455448988</v>
      </c>
      <c r="F89" s="55"/>
      <c r="G89" s="88">
        <v>390587.76871651004</v>
      </c>
      <c r="H89" s="81">
        <v>1589.471790185632</v>
      </c>
      <c r="I89" s="90"/>
      <c r="J89" s="103">
        <f t="shared" si="18"/>
        <v>-2.4577750470925697E-2</v>
      </c>
      <c r="K89" s="126">
        <f t="shared" si="18"/>
        <v>-1.9270769591422598E-2</v>
      </c>
      <c r="L89" s="56">
        <v>390963</v>
      </c>
      <c r="M89" s="103">
        <v>1.6620983619950902E-2</v>
      </c>
      <c r="N89" s="97">
        <f>INDEX('Pace of change parameters'!$E$22:$I$22,1,$B$5)</f>
        <v>1.1119783131080974E-2</v>
      </c>
      <c r="O89" s="108">
        <f>MAX(IF(INDEX('Pace of change parameters'!$E$30:$I$30,1,$B$5)=1,(1+M89)*D89,D89),L89)</f>
        <v>390963</v>
      </c>
      <c r="P89" s="94">
        <f>IF(K89&lt;INDEX('Pace of change parameters'!$E$18:$I$18,1,$B$5),1,IF(K89&gt;INDEX('Pace of change parameters'!$E$19:$I$19,1,$B$5),0,(K89-INDEX('Pace of change parameters'!$E$19:$I$19,1,$B$5))/(INDEX('Pace of change parameters'!$E$18:$I$18,1,$B$5)-INDEX('Pace of change parameters'!$E$19:$I$19,1,$B$5))))</f>
        <v>0.66879518435219154</v>
      </c>
      <c r="Q89" s="57">
        <v>2.5954511968489413E-2</v>
      </c>
      <c r="R89" s="57">
        <v>2.0402805330778095E-2</v>
      </c>
      <c r="S89" s="9">
        <f>MAX(IF(INDEX('Pace of change parameters'!$E$31:$I$31,1,$B$5)=1,D89*(1+Q89),D89),L89)</f>
        <v>390963</v>
      </c>
      <c r="T89" s="103">
        <f>IF(Q89&lt;INDEX('Pace of change parameters'!$E$24:$I$24,1,$B$5),INDEX('Pace of change parameters'!$E$24:$I$24,1,$B$5),Q89)</f>
        <v>2.5954511968489413E-2</v>
      </c>
      <c r="U89" s="132">
        <v>2.0402805330778095E-2</v>
      </c>
      <c r="V89" s="117">
        <f t="shared" si="19"/>
        <v>390963</v>
      </c>
      <c r="W89" s="131">
        <f>IF(J89&gt;INDEX('Pace of change parameters'!$E$26:$I$26,1,$B$5),0,IF(J89&lt;INDEX('Pace of change parameters'!$E$25:$I$25,1,$B$5),1,(J89-INDEX('Pace of change parameters'!$E$26:$I$26,1,$B$5))/(INDEX('Pace of change parameters'!$E$25:$I$25,1,$B$5)-INDEX('Pace of change parameters'!$E$26:$I$26,1,$B$5))))</f>
        <v>1</v>
      </c>
      <c r="X89" s="132">
        <f>MIN(T89, T89+(INDEX('Pace of change parameters'!$E$27:$I$27,1,$B$5)-T89)*(1-W89))</f>
        <v>2.5954511968489413E-2</v>
      </c>
      <c r="Y89" s="132">
        <v>2.0402805330778095E-2</v>
      </c>
      <c r="Z89" s="108">
        <f t="shared" si="20"/>
        <v>390963</v>
      </c>
      <c r="AA89" s="97">
        <f>MIN(VLOOKUP(A89,'2016-17 disagg'!$A$12:$BC$220,54,FALSE),MIN(0,VLOOKUP(A89,'2016-17 disagg'!$A$12:$BC$220,54,FALSE),-2.5%))</f>
        <v>-2.6187532743820685E-2</v>
      </c>
      <c r="AB89" s="99">
        <f t="shared" si="13"/>
        <v>390303.48743376759</v>
      </c>
      <c r="AC89" s="99">
        <f>MAX(IF(INDEX('Pace of change parameters'!$E$29:$I$29,1,$B$5)=1,MAX(AB89,Z89),Z89),L89)</f>
        <v>390963</v>
      </c>
      <c r="AD89" s="97">
        <f t="shared" si="14"/>
        <v>2.6181926989826465E-2</v>
      </c>
      <c r="AE89" s="146">
        <v>2.0628989750301141E-2</v>
      </c>
      <c r="AF89" s="56">
        <f t="shared" si="21"/>
        <v>390963</v>
      </c>
      <c r="AG89" s="56">
        <v>1590.9987697473891</v>
      </c>
      <c r="AH89" s="16">
        <f t="shared" si="15"/>
        <v>2.6181926989826465E-2</v>
      </c>
      <c r="AI89" s="16">
        <f t="shared" si="16"/>
        <v>2.0628989750301141E-2</v>
      </c>
      <c r="AJ89" s="56"/>
      <c r="AK89" s="56">
        <v>400799.43578201393</v>
      </c>
      <c r="AL89" s="56">
        <v>1631.0275121805182</v>
      </c>
      <c r="AM89" s="16">
        <f t="shared" si="22"/>
        <v>-2.4542039992700326E-2</v>
      </c>
      <c r="AN89" s="58">
        <f t="shared" si="22"/>
        <v>-2.4542039992700548E-2</v>
      </c>
      <c r="AP89" s="56">
        <f t="shared" si="23"/>
        <v>1</v>
      </c>
      <c r="AQ89" s="56">
        <f t="shared" si="17"/>
        <v>0</v>
      </c>
    </row>
    <row r="90" spans="1:43" x14ac:dyDescent="0.2">
      <c r="A90" s="156" t="s">
        <v>225</v>
      </c>
      <c r="B90" s="156" t="s">
        <v>226</v>
      </c>
      <c r="D90" s="68">
        <f>VLOOKUP(A90,'2016-17 disagg'!A90:BC298,43,FALSE)</f>
        <v>323573</v>
      </c>
      <c r="E90" s="73">
        <v>1487.5027921903661</v>
      </c>
      <c r="F90" s="55"/>
      <c r="G90" s="88">
        <v>333305.20995622437</v>
      </c>
      <c r="H90" s="81">
        <v>1525.9220647481018</v>
      </c>
      <c r="I90" s="90"/>
      <c r="J90" s="103">
        <f t="shared" si="18"/>
        <v>-2.9199093400017917E-2</v>
      </c>
      <c r="K90" s="126">
        <f t="shared" si="18"/>
        <v>-2.5177742327277985E-2</v>
      </c>
      <c r="L90" s="56">
        <v>331262</v>
      </c>
      <c r="M90" s="103">
        <v>1.5308147188963117E-2</v>
      </c>
      <c r="N90" s="97">
        <f>INDEX('Pace of change parameters'!$E$22:$I$22,1,$B$5)</f>
        <v>1.1119783131080974E-2</v>
      </c>
      <c r="O90" s="108">
        <f>MAX(IF(INDEX('Pace of change parameters'!$E$30:$I$30,1,$B$5)=1,(1+M90)*D90,D90),L90)</f>
        <v>331262</v>
      </c>
      <c r="P90" s="94">
        <f>IF(K90&lt;INDEX('Pace of change parameters'!$E$18:$I$18,1,$B$5),1,IF(K90&gt;INDEX('Pace of change parameters'!$E$19:$I$19,1,$B$5),0,(K90-INDEX('Pace of change parameters'!$E$19:$I$19,1,$B$5))/(INDEX('Pace of change parameters'!$E$18:$I$18,1,$B$5)-INDEX('Pace of change parameters'!$E$19:$I$19,1,$B$5))))</f>
        <v>0.75487015393309365</v>
      </c>
      <c r="Q90" s="57">
        <v>2.58293106913976E-2</v>
      </c>
      <c r="R90" s="57">
        <v>2.1597544575546523E-2</v>
      </c>
      <c r="S90" s="9">
        <f>MAX(IF(INDEX('Pace of change parameters'!$E$31:$I$31,1,$B$5)=1,D90*(1+Q90),D90),L90)</f>
        <v>331930.66754834761</v>
      </c>
      <c r="T90" s="103">
        <f>IF(Q90&lt;INDEX('Pace of change parameters'!$E$24:$I$24,1,$B$5),INDEX('Pace of change parameters'!$E$24:$I$24,1,$B$5),Q90)</f>
        <v>2.58293106913976E-2</v>
      </c>
      <c r="U90" s="132">
        <v>2.1597544575546523E-2</v>
      </c>
      <c r="V90" s="117">
        <f t="shared" si="19"/>
        <v>331930.66754834761</v>
      </c>
      <c r="W90" s="131">
        <f>IF(J90&gt;INDEX('Pace of change parameters'!$E$26:$I$26,1,$B$5),0,IF(J90&lt;INDEX('Pace of change parameters'!$E$25:$I$25,1,$B$5),1,(J90-INDEX('Pace of change parameters'!$E$26:$I$26,1,$B$5))/(INDEX('Pace of change parameters'!$E$25:$I$25,1,$B$5)-INDEX('Pace of change parameters'!$E$26:$I$26,1,$B$5))))</f>
        <v>1</v>
      </c>
      <c r="X90" s="132">
        <f>MIN(T90, T90+(INDEX('Pace of change parameters'!$E$27:$I$27,1,$B$5)-T90)*(1-W90))</f>
        <v>2.58293106913976E-2</v>
      </c>
      <c r="Y90" s="132">
        <v>2.1597544575546523E-2</v>
      </c>
      <c r="Z90" s="108">
        <f t="shared" si="20"/>
        <v>331930.66754834761</v>
      </c>
      <c r="AA90" s="97">
        <f>MIN(VLOOKUP(A90,'2016-17 disagg'!$A$12:$BC$220,54,FALSE),MIN(0,VLOOKUP(A90,'2016-17 disagg'!$A$12:$BC$220,54,FALSE),-2.5%))</f>
        <v>-3.2054804654679692E-2</v>
      </c>
      <c r="AB90" s="99">
        <f t="shared" si="13"/>
        <v>331106.65531050233</v>
      </c>
      <c r="AC90" s="99">
        <f>MAX(IF(INDEX('Pace of change parameters'!$E$29:$I$29,1,$B$5)=1,MAX(AB90,Z90),Z90),L90)</f>
        <v>331930.66754834761</v>
      </c>
      <c r="AD90" s="97">
        <f t="shared" si="14"/>
        <v>2.58293106913976E-2</v>
      </c>
      <c r="AE90" s="146">
        <v>2.1597544575546523E-2</v>
      </c>
      <c r="AF90" s="56">
        <f t="shared" si="21"/>
        <v>331930.66754834761</v>
      </c>
      <c r="AG90" s="56">
        <v>1519.6292000509472</v>
      </c>
      <c r="AH90" s="16">
        <f t="shared" si="15"/>
        <v>2.58293106913976E-2</v>
      </c>
      <c r="AI90" s="16">
        <f t="shared" si="16"/>
        <v>2.1597544575546301E-2</v>
      </c>
      <c r="AJ90" s="56"/>
      <c r="AK90" s="56">
        <v>342071.6967269805</v>
      </c>
      <c r="AL90" s="56">
        <v>1566.0563776668107</v>
      </c>
      <c r="AM90" s="16">
        <f t="shared" si="22"/>
        <v>-2.9645917144459966E-2</v>
      </c>
      <c r="AN90" s="58">
        <f t="shared" si="22"/>
        <v>-2.9645917144459966E-2</v>
      </c>
      <c r="AP90" s="56">
        <f t="shared" si="23"/>
        <v>0</v>
      </c>
      <c r="AQ90" s="56">
        <f t="shared" si="17"/>
        <v>0</v>
      </c>
    </row>
    <row r="91" spans="1:43" x14ac:dyDescent="0.2">
      <c r="A91" s="156" t="s">
        <v>227</v>
      </c>
      <c r="B91" s="156" t="s">
        <v>228</v>
      </c>
      <c r="D91" s="68">
        <f>VLOOKUP(A91,'2016-17 disagg'!A91:BC299,43,FALSE)</f>
        <v>420231</v>
      </c>
      <c r="E91" s="73">
        <v>1507.6321091373434</v>
      </c>
      <c r="F91" s="55"/>
      <c r="G91" s="88">
        <v>420375.70721404284</v>
      </c>
      <c r="H91" s="81">
        <v>1499.3840822926161</v>
      </c>
      <c r="I91" s="90"/>
      <c r="J91" s="103">
        <f t="shared" si="18"/>
        <v>-3.4423305523967329E-4</v>
      </c>
      <c r="K91" s="126">
        <f t="shared" si="18"/>
        <v>5.5009433154149523E-3</v>
      </c>
      <c r="L91" s="56">
        <v>430185</v>
      </c>
      <c r="M91" s="103">
        <v>1.7031991772984423E-2</v>
      </c>
      <c r="N91" s="97">
        <f>INDEX('Pace of change parameters'!$E$22:$I$22,1,$B$5)</f>
        <v>1.1119783131080974E-2</v>
      </c>
      <c r="O91" s="108">
        <f>MAX(IF(INDEX('Pace of change parameters'!$E$30:$I$30,1,$B$5)=1,(1+M91)*D91,D91),L91)</f>
        <v>430185</v>
      </c>
      <c r="P91" s="94">
        <f>IF(K91&lt;INDEX('Pace of change parameters'!$E$18:$I$18,1,$B$5),1,IF(K91&gt;INDEX('Pace of change parameters'!$E$19:$I$19,1,$B$5),0,(K91-INDEX('Pace of change parameters'!$E$19:$I$19,1,$B$5))/(INDEX('Pace of change parameters'!$E$18:$I$18,1,$B$5)-INDEX('Pace of change parameters'!$E$19:$I$19,1,$B$5))))</f>
        <v>0.30782781066172943</v>
      </c>
      <c r="Q91" s="57">
        <v>2.1329691926464278E-2</v>
      </c>
      <c r="R91" s="57">
        <v>1.5392499901350387E-2</v>
      </c>
      <c r="S91" s="9">
        <f>MAX(IF(INDEX('Pace of change parameters'!$E$31:$I$31,1,$B$5)=1,D91*(1+Q91),D91),L91)</f>
        <v>430185</v>
      </c>
      <c r="T91" s="103">
        <f>IF(Q91&lt;INDEX('Pace of change parameters'!$E$24:$I$24,1,$B$5),INDEX('Pace of change parameters'!$E$24:$I$24,1,$B$5),Q91)</f>
        <v>2.1329691926464278E-2</v>
      </c>
      <c r="U91" s="132">
        <v>1.5392499901350387E-2</v>
      </c>
      <c r="V91" s="117">
        <f t="shared" si="19"/>
        <v>430185</v>
      </c>
      <c r="W91" s="131">
        <f>IF(J91&gt;INDEX('Pace of change parameters'!$E$26:$I$26,1,$B$5),0,IF(J91&lt;INDEX('Pace of change parameters'!$E$25:$I$25,1,$B$5),1,(J91-INDEX('Pace of change parameters'!$E$26:$I$26,1,$B$5))/(INDEX('Pace of change parameters'!$E$25:$I$25,1,$B$5)-INDEX('Pace of change parameters'!$E$26:$I$26,1,$B$5))))</f>
        <v>1</v>
      </c>
      <c r="X91" s="132">
        <f>MIN(T91, T91+(INDEX('Pace of change parameters'!$E$27:$I$27,1,$B$5)-T91)*(1-W91))</f>
        <v>2.1329691926464278E-2</v>
      </c>
      <c r="Y91" s="132">
        <v>1.5392499901350387E-2</v>
      </c>
      <c r="Z91" s="108">
        <f t="shared" si="20"/>
        <v>430185</v>
      </c>
      <c r="AA91" s="97">
        <f>MIN(VLOOKUP(A91,'2016-17 disagg'!$A$12:$BC$220,54,FALSE),MIN(0,VLOOKUP(A91,'2016-17 disagg'!$A$12:$BC$220,54,FALSE),-2.5%))</f>
        <v>-2.5000000000000001E-2</v>
      </c>
      <c r="AB91" s="99">
        <f t="shared" si="13"/>
        <v>420488.92524007149</v>
      </c>
      <c r="AC91" s="99">
        <f>MAX(IF(INDEX('Pace of change parameters'!$E$29:$I$29,1,$B$5)=1,MAX(AB91,Z91),Z91),L91)</f>
        <v>430185</v>
      </c>
      <c r="AD91" s="97">
        <f t="shared" si="14"/>
        <v>2.3686972165309017E-2</v>
      </c>
      <c r="AE91" s="146">
        <v>1.7736076802726597E-2</v>
      </c>
      <c r="AF91" s="56">
        <f t="shared" si="21"/>
        <v>430185</v>
      </c>
      <c r="AG91" s="56">
        <v>1534.3715880152604</v>
      </c>
      <c r="AH91" s="16">
        <f t="shared" si="15"/>
        <v>2.3686972165309017E-2</v>
      </c>
      <c r="AI91" s="16">
        <f t="shared" si="16"/>
        <v>1.7736076802726819E-2</v>
      </c>
      <c r="AJ91" s="56"/>
      <c r="AK91" s="56">
        <v>431270.69255391951</v>
      </c>
      <c r="AL91" s="56">
        <v>1538.2440052498309</v>
      </c>
      <c r="AM91" s="16">
        <f t="shared" si="22"/>
        <v>-2.5174271580806762E-3</v>
      </c>
      <c r="AN91" s="58">
        <f t="shared" si="22"/>
        <v>-2.5174271580805652E-3</v>
      </c>
      <c r="AP91" s="56">
        <f t="shared" si="23"/>
        <v>1</v>
      </c>
      <c r="AQ91" s="56">
        <f t="shared" si="17"/>
        <v>0</v>
      </c>
    </row>
    <row r="92" spans="1:43" x14ac:dyDescent="0.2">
      <c r="A92" s="156" t="s">
        <v>229</v>
      </c>
      <c r="B92" s="156" t="s">
        <v>230</v>
      </c>
      <c r="D92" s="68">
        <f>VLOOKUP(A92,'2016-17 disagg'!A92:BC300,43,FALSE)</f>
        <v>448298</v>
      </c>
      <c r="E92" s="73">
        <v>1482.7748367646702</v>
      </c>
      <c r="F92" s="55"/>
      <c r="G92" s="88">
        <v>455862.74912090006</v>
      </c>
      <c r="H92" s="81">
        <v>1501.4747409151037</v>
      </c>
      <c r="I92" s="90"/>
      <c r="J92" s="103">
        <f t="shared" si="18"/>
        <v>-1.6594356822285161E-2</v>
      </c>
      <c r="K92" s="126">
        <f t="shared" si="18"/>
        <v>-1.2454358132615972E-2</v>
      </c>
      <c r="L92" s="56">
        <v>458477</v>
      </c>
      <c r="M92" s="103">
        <v>1.5376454430764186E-2</v>
      </c>
      <c r="N92" s="97">
        <f>INDEX('Pace of change parameters'!$E$22:$I$22,1,$B$5)</f>
        <v>1.1119783131080974E-2</v>
      </c>
      <c r="O92" s="108">
        <f>MAX(IF(INDEX('Pace of change parameters'!$E$30:$I$30,1,$B$5)=1,(1+M92)*D92,D92),L92)</f>
        <v>458477</v>
      </c>
      <c r="P92" s="94">
        <f>IF(K92&lt;INDEX('Pace of change parameters'!$E$18:$I$18,1,$B$5),1,IF(K92&gt;INDEX('Pace of change parameters'!$E$19:$I$19,1,$B$5),0,(K92-INDEX('Pace of change parameters'!$E$19:$I$19,1,$B$5))/(INDEX('Pace of change parameters'!$E$18:$I$18,1,$B$5)-INDEX('Pace of change parameters'!$E$19:$I$19,1,$B$5))))</f>
        <v>0.56946809496065232</v>
      </c>
      <c r="Q92" s="57">
        <v>2.3314071245127632E-2</v>
      </c>
      <c r="R92" s="57">
        <v>1.9024123789064928E-2</v>
      </c>
      <c r="S92" s="9">
        <f>MAX(IF(INDEX('Pace of change parameters'!$E$31:$I$31,1,$B$5)=1,D92*(1+Q92),D92),L92)</f>
        <v>458749.6515110482</v>
      </c>
      <c r="T92" s="103">
        <f>IF(Q92&lt;INDEX('Pace of change parameters'!$E$24:$I$24,1,$B$5),INDEX('Pace of change parameters'!$E$24:$I$24,1,$B$5),Q92)</f>
        <v>2.3314071245127632E-2</v>
      </c>
      <c r="U92" s="132">
        <v>1.9024123789064928E-2</v>
      </c>
      <c r="V92" s="117">
        <f t="shared" si="19"/>
        <v>458749.6515110482</v>
      </c>
      <c r="W92" s="131">
        <f>IF(J92&gt;INDEX('Pace of change parameters'!$E$26:$I$26,1,$B$5),0,IF(J92&lt;INDEX('Pace of change parameters'!$E$25:$I$25,1,$B$5),1,(J92-INDEX('Pace of change parameters'!$E$26:$I$26,1,$B$5))/(INDEX('Pace of change parameters'!$E$25:$I$25,1,$B$5)-INDEX('Pace of change parameters'!$E$26:$I$26,1,$B$5))))</f>
        <v>1</v>
      </c>
      <c r="X92" s="132">
        <f>MIN(T92, T92+(INDEX('Pace of change parameters'!$E$27:$I$27,1,$B$5)-T92)*(1-W92))</f>
        <v>2.3314071245127632E-2</v>
      </c>
      <c r="Y92" s="132">
        <v>1.9024123789064928E-2</v>
      </c>
      <c r="Z92" s="108">
        <f t="shared" si="20"/>
        <v>458749.6515110482</v>
      </c>
      <c r="AA92" s="97">
        <f>MIN(VLOOKUP(A92,'2016-17 disagg'!$A$12:$BC$220,54,FALSE),MIN(0,VLOOKUP(A92,'2016-17 disagg'!$A$12:$BC$220,54,FALSE),-2.5%))</f>
        <v>-2.5000000000000001E-2</v>
      </c>
      <c r="AB92" s="99">
        <f t="shared" si="13"/>
        <v>456194.07405105769</v>
      </c>
      <c r="AC92" s="99">
        <f>MAX(IF(INDEX('Pace of change parameters'!$E$29:$I$29,1,$B$5)=1,MAX(AB92,Z92),Z92),L92)</f>
        <v>458749.6515110482</v>
      </c>
      <c r="AD92" s="97">
        <f t="shared" si="14"/>
        <v>2.3314071245127632E-2</v>
      </c>
      <c r="AE92" s="146">
        <v>1.9024123789064928E-2</v>
      </c>
      <c r="AF92" s="56">
        <f t="shared" si="21"/>
        <v>458749.6515110482</v>
      </c>
      <c r="AG92" s="56">
        <v>1510.9833288105917</v>
      </c>
      <c r="AH92" s="16">
        <f t="shared" si="15"/>
        <v>2.3314071245127632E-2</v>
      </c>
      <c r="AI92" s="16">
        <f t="shared" si="16"/>
        <v>1.9024123789064928E-2</v>
      </c>
      <c r="AJ92" s="56"/>
      <c r="AK92" s="56">
        <v>467891.35800108482</v>
      </c>
      <c r="AL92" s="56">
        <v>1541.093359538304</v>
      </c>
      <c r="AM92" s="16">
        <f t="shared" si="22"/>
        <v>-1.9538096469854938E-2</v>
      </c>
      <c r="AN92" s="58">
        <f t="shared" si="22"/>
        <v>-1.9538096469854938E-2</v>
      </c>
      <c r="AP92" s="56">
        <f t="shared" si="23"/>
        <v>0</v>
      </c>
      <c r="AQ92" s="56">
        <f t="shared" si="17"/>
        <v>0</v>
      </c>
    </row>
    <row r="93" spans="1:43" x14ac:dyDescent="0.2">
      <c r="A93" s="156" t="s">
        <v>231</v>
      </c>
      <c r="B93" s="156" t="s">
        <v>232</v>
      </c>
      <c r="D93" s="68">
        <f>VLOOKUP(A93,'2016-17 disagg'!A93:BC301,43,FALSE)</f>
        <v>224036</v>
      </c>
      <c r="E93" s="73">
        <v>1522.5460959853151</v>
      </c>
      <c r="F93" s="55"/>
      <c r="G93" s="88">
        <v>224854.36233228524</v>
      </c>
      <c r="H93" s="81">
        <v>1522.7221571713699</v>
      </c>
      <c r="I93" s="90"/>
      <c r="J93" s="103">
        <f t="shared" si="18"/>
        <v>-3.6395217055023021E-3</v>
      </c>
      <c r="K93" s="126">
        <f t="shared" si="18"/>
        <v>-1.1562265986975184E-4</v>
      </c>
      <c r="L93" s="56">
        <v>229263</v>
      </c>
      <c r="M93" s="103">
        <v>1.4695882461009058E-2</v>
      </c>
      <c r="N93" s="97">
        <f>INDEX('Pace of change parameters'!$E$22:$I$22,1,$B$5)</f>
        <v>1.1119783131080974E-2</v>
      </c>
      <c r="O93" s="108">
        <f>MAX(IF(INDEX('Pace of change parameters'!$E$30:$I$30,1,$B$5)=1,(1+M93)*D93,D93),L93)</f>
        <v>229263</v>
      </c>
      <c r="P93" s="94">
        <f>IF(K93&lt;INDEX('Pace of change parameters'!$E$18:$I$18,1,$B$5),1,IF(K93&gt;INDEX('Pace of change parameters'!$E$19:$I$19,1,$B$5),0,(K93-INDEX('Pace of change parameters'!$E$19:$I$19,1,$B$5))/(INDEX('Pace of change parameters'!$E$18:$I$18,1,$B$5)-INDEX('Pace of change parameters'!$E$19:$I$19,1,$B$5))))</f>
        <v>0.38967104358157006</v>
      </c>
      <c r="Q93" s="57">
        <v>2.0123730453612376E-2</v>
      </c>
      <c r="R93" s="57">
        <v>1.6528501723531264E-2</v>
      </c>
      <c r="S93" s="9">
        <f>MAX(IF(INDEX('Pace of change parameters'!$E$31:$I$31,1,$B$5)=1,D93*(1+Q93),D93),L93)</f>
        <v>229263</v>
      </c>
      <c r="T93" s="103">
        <f>IF(Q93&lt;INDEX('Pace of change parameters'!$E$24:$I$24,1,$B$5),INDEX('Pace of change parameters'!$E$24:$I$24,1,$B$5),Q93)</f>
        <v>2.0123730453612376E-2</v>
      </c>
      <c r="U93" s="132">
        <v>1.6528501723531264E-2</v>
      </c>
      <c r="V93" s="117">
        <f t="shared" si="19"/>
        <v>229263</v>
      </c>
      <c r="W93" s="131">
        <f>IF(J93&gt;INDEX('Pace of change parameters'!$E$26:$I$26,1,$B$5),0,IF(J93&lt;INDEX('Pace of change parameters'!$E$25:$I$25,1,$B$5),1,(J93-INDEX('Pace of change parameters'!$E$26:$I$26,1,$B$5))/(INDEX('Pace of change parameters'!$E$25:$I$25,1,$B$5)-INDEX('Pace of change parameters'!$E$26:$I$26,1,$B$5))))</f>
        <v>1</v>
      </c>
      <c r="X93" s="132">
        <f>MIN(T93, T93+(INDEX('Pace of change parameters'!$E$27:$I$27,1,$B$5)-T93)*(1-W93))</f>
        <v>2.0123730453612376E-2</v>
      </c>
      <c r="Y93" s="132">
        <v>1.6528501723531264E-2</v>
      </c>
      <c r="Z93" s="108">
        <f t="shared" si="20"/>
        <v>229263</v>
      </c>
      <c r="AA93" s="97">
        <f>MIN(VLOOKUP(A93,'2016-17 disagg'!$A$12:$BC$220,54,FALSE),MIN(0,VLOOKUP(A93,'2016-17 disagg'!$A$12:$BC$220,54,FALSE),-2.5%))</f>
        <v>-2.5000000000000001E-2</v>
      </c>
      <c r="AB93" s="99">
        <f t="shared" si="13"/>
        <v>224996.27360170661</v>
      </c>
      <c r="AC93" s="99">
        <f>MAX(IF(INDEX('Pace of change parameters'!$E$29:$I$29,1,$B$5)=1,MAX(AB93,Z93),Z93),L93)</f>
        <v>229263</v>
      </c>
      <c r="AD93" s="97">
        <f t="shared" si="14"/>
        <v>2.333107179203342E-2</v>
      </c>
      <c r="AE93" s="146">
        <v>1.9724539407912189E-2</v>
      </c>
      <c r="AF93" s="56">
        <f t="shared" si="21"/>
        <v>229263</v>
      </c>
      <c r="AG93" s="56">
        <v>1552.5776164559402</v>
      </c>
      <c r="AH93" s="16">
        <f t="shared" si="15"/>
        <v>2.333107179203342E-2</v>
      </c>
      <c r="AI93" s="16">
        <f t="shared" si="16"/>
        <v>1.9724539407912189E-2</v>
      </c>
      <c r="AJ93" s="56"/>
      <c r="AK93" s="56">
        <v>230765.40882226318</v>
      </c>
      <c r="AL93" s="56">
        <v>1562.7519852298451</v>
      </c>
      <c r="AM93" s="16">
        <f t="shared" si="22"/>
        <v>-6.5105460559747863E-3</v>
      </c>
      <c r="AN93" s="58">
        <f t="shared" si="22"/>
        <v>-6.5105460559747863E-3</v>
      </c>
      <c r="AP93" s="56">
        <f t="shared" si="23"/>
        <v>1</v>
      </c>
      <c r="AQ93" s="56">
        <f t="shared" si="17"/>
        <v>0</v>
      </c>
    </row>
    <row r="94" spans="1:43" x14ac:dyDescent="0.2">
      <c r="A94" s="156" t="s">
        <v>233</v>
      </c>
      <c r="B94" s="156" t="s">
        <v>234</v>
      </c>
      <c r="D94" s="68">
        <f>VLOOKUP(A94,'2016-17 disagg'!A94:BC302,43,FALSE)</f>
        <v>497826</v>
      </c>
      <c r="E94" s="73">
        <v>1741.3883352654298</v>
      </c>
      <c r="F94" s="55"/>
      <c r="G94" s="88">
        <v>491977.31149528373</v>
      </c>
      <c r="H94" s="81">
        <v>1715.5618513678769</v>
      </c>
      <c r="I94" s="90"/>
      <c r="J94" s="103">
        <f t="shared" si="18"/>
        <v>1.1888126480751993E-2</v>
      </c>
      <c r="K94" s="126">
        <f t="shared" si="18"/>
        <v>1.5054242362034564E-2</v>
      </c>
      <c r="L94" s="56">
        <v>509644</v>
      </c>
      <c r="M94" s="103">
        <v>1.4283494928336804E-2</v>
      </c>
      <c r="N94" s="97">
        <f>INDEX('Pace of change parameters'!$E$22:$I$22,1,$B$5)</f>
        <v>1.1119783131080974E-2</v>
      </c>
      <c r="O94" s="108">
        <f>MAX(IF(INDEX('Pace of change parameters'!$E$30:$I$30,1,$B$5)=1,(1+M94)*D94,D94),L94)</f>
        <v>509644</v>
      </c>
      <c r="P94" s="94">
        <f>IF(K94&lt;INDEX('Pace of change parameters'!$E$18:$I$18,1,$B$5),1,IF(K94&gt;INDEX('Pace of change parameters'!$E$19:$I$19,1,$B$5),0,(K94-INDEX('Pace of change parameters'!$E$19:$I$19,1,$B$5))/(INDEX('Pace of change parameters'!$E$18:$I$18,1,$B$5)-INDEX('Pace of change parameters'!$E$19:$I$19,1,$B$5))))</f>
        <v>0.16861946120657198</v>
      </c>
      <c r="Q94" s="57">
        <v>1.6631292773690909E-2</v>
      </c>
      <c r="R94" s="57">
        <v>1.3460257820948396E-2</v>
      </c>
      <c r="S94" s="9">
        <f>MAX(IF(INDEX('Pace of change parameters'!$E$31:$I$31,1,$B$5)=1,D94*(1+Q94),D94),L94)</f>
        <v>509644</v>
      </c>
      <c r="T94" s="103">
        <f>IF(Q94&lt;INDEX('Pace of change parameters'!$E$24:$I$24,1,$B$5),INDEX('Pace of change parameters'!$E$24:$I$24,1,$B$5),Q94)</f>
        <v>1.9644681315626574E-2</v>
      </c>
      <c r="U94" s="132">
        <v>1.6464247123985531E-2</v>
      </c>
      <c r="V94" s="117">
        <f t="shared" si="19"/>
        <v>509644</v>
      </c>
      <c r="W94" s="131">
        <f>IF(J94&gt;INDEX('Pace of change parameters'!$E$26:$I$26,1,$B$5),0,IF(J94&lt;INDEX('Pace of change parameters'!$E$25:$I$25,1,$B$5),1,(J94-INDEX('Pace of change parameters'!$E$26:$I$26,1,$B$5))/(INDEX('Pace of change parameters'!$E$25:$I$25,1,$B$5)-INDEX('Pace of change parameters'!$E$26:$I$26,1,$B$5))))</f>
        <v>1</v>
      </c>
      <c r="X94" s="132">
        <f>MIN(T94, T94+(INDEX('Pace of change parameters'!$E$27:$I$27,1,$B$5)-T94)*(1-W94))</f>
        <v>1.9644681315626574E-2</v>
      </c>
      <c r="Y94" s="132">
        <v>1.6464247123985531E-2</v>
      </c>
      <c r="Z94" s="108">
        <f t="shared" si="20"/>
        <v>509644</v>
      </c>
      <c r="AA94" s="97">
        <f>MIN(VLOOKUP(A94,'2016-17 disagg'!$A$12:$BC$220,54,FALSE),MIN(0,VLOOKUP(A94,'2016-17 disagg'!$A$12:$BC$220,54,FALSE),-2.5%))</f>
        <v>-2.5000000000000001E-2</v>
      </c>
      <c r="AB94" s="99">
        <f t="shared" si="13"/>
        <v>492234.93274011009</v>
      </c>
      <c r="AC94" s="99">
        <f>MAX(IF(INDEX('Pace of change parameters'!$E$29:$I$29,1,$B$5)=1,MAX(AB94,Z94),Z94),L94)</f>
        <v>509644</v>
      </c>
      <c r="AD94" s="97">
        <f t="shared" si="14"/>
        <v>2.3739218120387484E-2</v>
      </c>
      <c r="AE94" s="146">
        <v>2.0546012416187587E-2</v>
      </c>
      <c r="AF94" s="56">
        <f t="shared" si="21"/>
        <v>509644</v>
      </c>
      <c r="AG94" s="56">
        <v>1777.1669216231976</v>
      </c>
      <c r="AH94" s="16">
        <f t="shared" si="15"/>
        <v>2.3739218120387484E-2</v>
      </c>
      <c r="AI94" s="16">
        <f t="shared" si="16"/>
        <v>2.0546012416187587E-2</v>
      </c>
      <c r="AJ94" s="56"/>
      <c r="AK94" s="56">
        <v>504856.34127190779</v>
      </c>
      <c r="AL94" s="56">
        <v>1760.4719959033107</v>
      </c>
      <c r="AM94" s="16">
        <f t="shared" si="22"/>
        <v>9.4832100474968595E-3</v>
      </c>
      <c r="AN94" s="58">
        <f t="shared" si="22"/>
        <v>9.4832100474966374E-3</v>
      </c>
      <c r="AP94" s="56">
        <f t="shared" si="23"/>
        <v>1</v>
      </c>
      <c r="AQ94" s="56">
        <f t="shared" si="17"/>
        <v>0</v>
      </c>
    </row>
    <row r="95" spans="1:43" x14ac:dyDescent="0.2">
      <c r="A95" s="156" t="s">
        <v>235</v>
      </c>
      <c r="B95" s="156" t="s">
        <v>236</v>
      </c>
      <c r="D95" s="68">
        <f>VLOOKUP(A95,'2016-17 disagg'!A95:BC303,43,FALSE)</f>
        <v>270476</v>
      </c>
      <c r="E95" s="73">
        <v>1505.9402281679695</v>
      </c>
      <c r="F95" s="55"/>
      <c r="G95" s="88">
        <v>276510.27301247104</v>
      </c>
      <c r="H95" s="81">
        <v>1533.3894508443866</v>
      </c>
      <c r="I95" s="90"/>
      <c r="J95" s="103">
        <f t="shared" si="18"/>
        <v>-2.1822961392103046E-2</v>
      </c>
      <c r="K95" s="126">
        <f t="shared" si="18"/>
        <v>-1.7901011814905665E-2</v>
      </c>
      <c r="L95" s="56">
        <v>276896</v>
      </c>
      <c r="M95" s="103">
        <v>1.5173814916155992E-2</v>
      </c>
      <c r="N95" s="97">
        <f>INDEX('Pace of change parameters'!$E$22:$I$22,1,$B$5)</f>
        <v>1.1119783131080974E-2</v>
      </c>
      <c r="O95" s="108">
        <f>MAX(IF(INDEX('Pace of change parameters'!$E$30:$I$30,1,$B$5)=1,(1+M95)*D95,D95),L95)</f>
        <v>276896</v>
      </c>
      <c r="P95" s="94">
        <f>IF(K95&lt;INDEX('Pace of change parameters'!$E$18:$I$18,1,$B$5),1,IF(K95&gt;INDEX('Pace of change parameters'!$E$19:$I$19,1,$B$5),0,(K95-INDEX('Pace of change parameters'!$E$19:$I$19,1,$B$5))/(INDEX('Pace of change parameters'!$E$18:$I$18,1,$B$5)-INDEX('Pace of change parameters'!$E$19:$I$19,1,$B$5))))</f>
        <v>0.64883540728546596</v>
      </c>
      <c r="Q95" s="57">
        <v>2.4215900071009155E-2</v>
      </c>
      <c r="R95" s="57">
        <v>2.0125759296436563E-2</v>
      </c>
      <c r="S95" s="9">
        <f>MAX(IF(INDEX('Pace of change parameters'!$E$31:$I$31,1,$B$5)=1,D95*(1+Q95),D95),L95)</f>
        <v>277025.81978760625</v>
      </c>
      <c r="T95" s="103">
        <f>IF(Q95&lt;INDEX('Pace of change parameters'!$E$24:$I$24,1,$B$5),INDEX('Pace of change parameters'!$E$24:$I$24,1,$B$5),Q95)</f>
        <v>2.4215900071009155E-2</v>
      </c>
      <c r="U95" s="132">
        <v>2.0125759296436563E-2</v>
      </c>
      <c r="V95" s="117">
        <f t="shared" si="19"/>
        <v>277025.81978760625</v>
      </c>
      <c r="W95" s="131">
        <f>IF(J95&gt;INDEX('Pace of change parameters'!$E$26:$I$26,1,$B$5),0,IF(J95&lt;INDEX('Pace of change parameters'!$E$25:$I$25,1,$B$5),1,(J95-INDEX('Pace of change parameters'!$E$26:$I$26,1,$B$5))/(INDEX('Pace of change parameters'!$E$25:$I$25,1,$B$5)-INDEX('Pace of change parameters'!$E$26:$I$26,1,$B$5))))</f>
        <v>1</v>
      </c>
      <c r="X95" s="132">
        <f>MIN(T95, T95+(INDEX('Pace of change parameters'!$E$27:$I$27,1,$B$5)-T95)*(1-W95))</f>
        <v>2.4215900071009155E-2</v>
      </c>
      <c r="Y95" s="132">
        <v>2.0125759296436563E-2</v>
      </c>
      <c r="Z95" s="108">
        <f t="shared" si="20"/>
        <v>277025.81978760625</v>
      </c>
      <c r="AA95" s="97">
        <f>MIN(VLOOKUP(A95,'2016-17 disagg'!$A$12:$BC$220,54,FALSE),MIN(0,VLOOKUP(A95,'2016-17 disagg'!$A$12:$BC$220,54,FALSE),-2.5%))</f>
        <v>-2.5000000000000001E-2</v>
      </c>
      <c r="AB95" s="99">
        <f t="shared" si="13"/>
        <v>276684.11438890139</v>
      </c>
      <c r="AC95" s="99">
        <f>MAX(IF(INDEX('Pace of change parameters'!$E$29:$I$29,1,$B$5)=1,MAX(AB95,Z95),Z95),L95)</f>
        <v>277025.81978760625</v>
      </c>
      <c r="AD95" s="97">
        <f t="shared" si="14"/>
        <v>2.4215900071009155E-2</v>
      </c>
      <c r="AE95" s="146">
        <v>2.0125759296436563E-2</v>
      </c>
      <c r="AF95" s="56">
        <f t="shared" si="21"/>
        <v>277025.81978760625</v>
      </c>
      <c r="AG95" s="56">
        <v>1536.2484187148987</v>
      </c>
      <c r="AH95" s="16">
        <f t="shared" si="15"/>
        <v>2.4215900071009155E-2</v>
      </c>
      <c r="AI95" s="16">
        <f t="shared" si="16"/>
        <v>2.0125759296436563E-2</v>
      </c>
      <c r="AJ95" s="56"/>
      <c r="AK95" s="56">
        <v>283778.57886041171</v>
      </c>
      <c r="AL95" s="56">
        <v>1573.6958864473781</v>
      </c>
      <c r="AM95" s="16">
        <f t="shared" si="22"/>
        <v>-2.3795873176625792E-2</v>
      </c>
      <c r="AN95" s="58">
        <f t="shared" si="22"/>
        <v>-2.3795873176625792E-2</v>
      </c>
      <c r="AP95" s="56">
        <f t="shared" si="23"/>
        <v>0</v>
      </c>
      <c r="AQ95" s="56">
        <f t="shared" si="17"/>
        <v>0</v>
      </c>
    </row>
    <row r="96" spans="1:43" x14ac:dyDescent="0.2">
      <c r="A96" s="156" t="s">
        <v>237</v>
      </c>
      <c r="B96" s="156" t="s">
        <v>238</v>
      </c>
      <c r="D96" s="68">
        <f>VLOOKUP(A96,'2016-17 disagg'!A96:BC304,43,FALSE)</f>
        <v>483511</v>
      </c>
      <c r="E96" s="73">
        <v>1729.1200128469989</v>
      </c>
      <c r="F96" s="55"/>
      <c r="G96" s="88">
        <v>459824.92417402088</v>
      </c>
      <c r="H96" s="81">
        <v>1636.0115697787378</v>
      </c>
      <c r="I96" s="90"/>
      <c r="J96" s="103">
        <f t="shared" si="18"/>
        <v>5.1511074282295954E-2</v>
      </c>
      <c r="K96" s="126">
        <f t="shared" si="18"/>
        <v>5.6911848784084951E-2</v>
      </c>
      <c r="L96" s="56">
        <v>492899</v>
      </c>
      <c r="M96" s="103">
        <v>1.6313099755649985E-2</v>
      </c>
      <c r="N96" s="97">
        <f>INDEX('Pace of change parameters'!$E$22:$I$22,1,$B$5)</f>
        <v>1.1119783131080974E-2</v>
      </c>
      <c r="O96" s="108">
        <f>MAX(IF(INDEX('Pace of change parameters'!$E$30:$I$30,1,$B$5)=1,(1+M96)*D96,D96),L96)</f>
        <v>492899</v>
      </c>
      <c r="P96" s="94">
        <f>IF(K96&lt;INDEX('Pace of change parameters'!$E$18:$I$18,1,$B$5),1,IF(K96&gt;INDEX('Pace of change parameters'!$E$19:$I$19,1,$B$5),0,(K96-INDEX('Pace of change parameters'!$E$19:$I$19,1,$B$5))/(INDEX('Pace of change parameters'!$E$18:$I$18,1,$B$5)-INDEX('Pace of change parameters'!$E$19:$I$19,1,$B$5))))</f>
        <v>0</v>
      </c>
      <c r="Q96" s="57">
        <v>1.6313099755649985E-2</v>
      </c>
      <c r="R96" s="57">
        <v>1.1119783131080974E-2</v>
      </c>
      <c r="S96" s="9">
        <f>MAX(IF(INDEX('Pace of change parameters'!$E$31:$I$31,1,$B$5)=1,D96*(1+Q96),D96),L96)</f>
        <v>492899</v>
      </c>
      <c r="T96" s="103">
        <f>IF(Q96&lt;INDEX('Pace of change parameters'!$E$24:$I$24,1,$B$5),INDEX('Pace of change parameters'!$E$24:$I$24,1,$B$5),Q96)</f>
        <v>1.9644681315626574E-2</v>
      </c>
      <c r="U96" s="132">
        <v>1.4434340451277672E-2</v>
      </c>
      <c r="V96" s="117">
        <f t="shared" si="19"/>
        <v>493009.4195075999</v>
      </c>
      <c r="W96" s="131">
        <f>IF(J96&gt;INDEX('Pace of change parameters'!$E$26:$I$26,1,$B$5),0,IF(J96&lt;INDEX('Pace of change parameters'!$E$25:$I$25,1,$B$5),1,(J96-INDEX('Pace of change parameters'!$E$26:$I$26,1,$B$5))/(INDEX('Pace of change parameters'!$E$25:$I$25,1,$B$5)-INDEX('Pace of change parameters'!$E$26:$I$26,1,$B$5))))</f>
        <v>0.96977851435408102</v>
      </c>
      <c r="X96" s="132">
        <f>MIN(T96, T96+(INDEX('Pace of change parameters'!$E$27:$I$27,1,$B$5)-T96)*(1-W96))</f>
        <v>1.9088605979741664E-2</v>
      </c>
      <c r="Y96" s="132">
        <v>1.3881106636659313E-2</v>
      </c>
      <c r="Z96" s="108">
        <f t="shared" si="20"/>
        <v>492899</v>
      </c>
      <c r="AA96" s="97">
        <f>MIN(VLOOKUP(A96,'2016-17 disagg'!$A$12:$BC$220,54,FALSE),MIN(0,VLOOKUP(A96,'2016-17 disagg'!$A$12:$BC$220,54,FALSE),-2.5%))</f>
        <v>-2.5000000000000001E-2</v>
      </c>
      <c r="AB96" s="99">
        <f t="shared" si="13"/>
        <v>460177.5098971962</v>
      </c>
      <c r="AC96" s="99">
        <f>MAX(IF(INDEX('Pace of change parameters'!$E$29:$I$29,1,$B$5)=1,MAX(AB96,Z96),Z96),L96)</f>
        <v>492899</v>
      </c>
      <c r="AD96" s="97">
        <f t="shared" si="14"/>
        <v>1.9416311107710138E-2</v>
      </c>
      <c r="AE96" s="146">
        <v>1.4207137205390685E-2</v>
      </c>
      <c r="AF96" s="56">
        <f t="shared" si="21"/>
        <v>492899</v>
      </c>
      <c r="AG96" s="56">
        <v>1753.6858581141028</v>
      </c>
      <c r="AH96" s="16">
        <f t="shared" si="15"/>
        <v>1.9416311107710138E-2</v>
      </c>
      <c r="AI96" s="16">
        <f t="shared" si="16"/>
        <v>1.4207137205390463E-2</v>
      </c>
      <c r="AJ96" s="56"/>
      <c r="AK96" s="56">
        <v>471976.93322789355</v>
      </c>
      <c r="AL96" s="56">
        <v>1679.2472152668622</v>
      </c>
      <c r="AM96" s="16">
        <f t="shared" si="22"/>
        <v>4.4328579002830715E-2</v>
      </c>
      <c r="AN96" s="58">
        <f t="shared" si="22"/>
        <v>4.4328579002830715E-2</v>
      </c>
      <c r="AP96" s="56">
        <f t="shared" si="23"/>
        <v>1</v>
      </c>
      <c r="AQ96" s="56">
        <f t="shared" si="17"/>
        <v>0</v>
      </c>
    </row>
    <row r="97" spans="1:43" x14ac:dyDescent="0.2">
      <c r="A97" s="156" t="s">
        <v>239</v>
      </c>
      <c r="B97" s="156" t="s">
        <v>240</v>
      </c>
      <c r="D97" s="68">
        <f>VLOOKUP(A97,'2016-17 disagg'!A97:BC305,43,FALSE)</f>
        <v>293681</v>
      </c>
      <c r="E97" s="73">
        <v>1568.4063144911236</v>
      </c>
      <c r="F97" s="55"/>
      <c r="G97" s="88">
        <v>300319.77384963032</v>
      </c>
      <c r="H97" s="81">
        <v>1595.9813134393253</v>
      </c>
      <c r="I97" s="90"/>
      <c r="J97" s="103">
        <f t="shared" si="18"/>
        <v>-2.2105683433799928E-2</v>
      </c>
      <c r="K97" s="126">
        <f t="shared" si="18"/>
        <v>-1.7277770557838079E-2</v>
      </c>
      <c r="L97" s="56">
        <v>301326</v>
      </c>
      <c r="M97" s="103">
        <v>1.6111731787925132E-2</v>
      </c>
      <c r="N97" s="97">
        <f>INDEX('Pace of change parameters'!$E$22:$I$22,1,$B$5)</f>
        <v>1.1119783131080974E-2</v>
      </c>
      <c r="O97" s="108">
        <f>MAX(IF(INDEX('Pace of change parameters'!$E$30:$I$30,1,$B$5)=1,(1+M97)*D97,D97),L97)</f>
        <v>301326</v>
      </c>
      <c r="P97" s="94">
        <f>IF(K97&lt;INDEX('Pace of change parameters'!$E$18:$I$18,1,$B$5),1,IF(K97&gt;INDEX('Pace of change parameters'!$E$19:$I$19,1,$B$5),0,(K97-INDEX('Pace of change parameters'!$E$19:$I$19,1,$B$5))/(INDEX('Pace of change parameters'!$E$18:$I$18,1,$B$5)-INDEX('Pace of change parameters'!$E$19:$I$19,1,$B$5))))</f>
        <v>0.63975368731780358</v>
      </c>
      <c r="Q97" s="57">
        <v>2.5035492316883401E-2</v>
      </c>
      <c r="R97" s="57">
        <v>1.9999703053742657E-2</v>
      </c>
      <c r="S97" s="9">
        <f>MAX(IF(INDEX('Pace of change parameters'!$E$31:$I$31,1,$B$5)=1,D97*(1+Q97),D97),L97)</f>
        <v>301326</v>
      </c>
      <c r="T97" s="103">
        <f>IF(Q97&lt;INDEX('Pace of change parameters'!$E$24:$I$24,1,$B$5),INDEX('Pace of change parameters'!$E$24:$I$24,1,$B$5),Q97)</f>
        <v>2.5035492316883401E-2</v>
      </c>
      <c r="U97" s="132">
        <v>1.9999703053742657E-2</v>
      </c>
      <c r="V97" s="117">
        <f t="shared" si="19"/>
        <v>301326</v>
      </c>
      <c r="W97" s="131">
        <f>IF(J97&gt;INDEX('Pace of change parameters'!$E$26:$I$26,1,$B$5),0,IF(J97&lt;INDEX('Pace of change parameters'!$E$25:$I$25,1,$B$5),1,(J97-INDEX('Pace of change parameters'!$E$26:$I$26,1,$B$5))/(INDEX('Pace of change parameters'!$E$25:$I$25,1,$B$5)-INDEX('Pace of change parameters'!$E$26:$I$26,1,$B$5))))</f>
        <v>1</v>
      </c>
      <c r="X97" s="132">
        <f>MIN(T97, T97+(INDEX('Pace of change parameters'!$E$27:$I$27,1,$B$5)-T97)*(1-W97))</f>
        <v>2.5035492316883401E-2</v>
      </c>
      <c r="Y97" s="132">
        <v>1.9999703053742657E-2</v>
      </c>
      <c r="Z97" s="108">
        <f t="shared" si="20"/>
        <v>301326</v>
      </c>
      <c r="AA97" s="97">
        <f>MIN(VLOOKUP(A97,'2016-17 disagg'!$A$12:$BC$220,54,FALSE),MIN(0,VLOOKUP(A97,'2016-17 disagg'!$A$12:$BC$220,54,FALSE),-2.5%))</f>
        <v>-2.5000000000000001E-2</v>
      </c>
      <c r="AB97" s="99">
        <f t="shared" si="13"/>
        <v>300416.36382945033</v>
      </c>
      <c r="AC97" s="99">
        <f>MAX(IF(INDEX('Pace of change parameters'!$E$29:$I$29,1,$B$5)=1,MAX(AB97,Z97),Z97),L97)</f>
        <v>301326</v>
      </c>
      <c r="AD97" s="97">
        <f t="shared" si="14"/>
        <v>2.6031646582516332E-2</v>
      </c>
      <c r="AE97" s="146">
        <v>2.0990963417659048E-2</v>
      </c>
      <c r="AF97" s="56">
        <f t="shared" si="21"/>
        <v>301326</v>
      </c>
      <c r="AG97" s="56">
        <v>1601.3286740626324</v>
      </c>
      <c r="AH97" s="16">
        <f t="shared" si="15"/>
        <v>2.6031646582516332E-2</v>
      </c>
      <c r="AI97" s="16">
        <f t="shared" si="16"/>
        <v>2.099096341765927E-2</v>
      </c>
      <c r="AJ97" s="56"/>
      <c r="AK97" s="56">
        <v>308119.34751738497</v>
      </c>
      <c r="AL97" s="56">
        <v>1637.4303784374979</v>
      </c>
      <c r="AM97" s="16">
        <f t="shared" si="22"/>
        <v>-2.2047779771446119E-2</v>
      </c>
      <c r="AN97" s="58">
        <f t="shared" si="22"/>
        <v>-2.2047779771446008E-2</v>
      </c>
      <c r="AP97" s="56">
        <f t="shared" si="23"/>
        <v>1</v>
      </c>
      <c r="AQ97" s="56">
        <f t="shared" si="17"/>
        <v>0</v>
      </c>
    </row>
    <row r="98" spans="1:43" x14ac:dyDescent="0.2">
      <c r="A98" s="156" t="s">
        <v>241</v>
      </c>
      <c r="B98" s="156" t="s">
        <v>242</v>
      </c>
      <c r="D98" s="68">
        <f>VLOOKUP(A98,'2016-17 disagg'!A98:BC306,43,FALSE)</f>
        <v>445273</v>
      </c>
      <c r="E98" s="73">
        <v>1655.9324348382104</v>
      </c>
      <c r="F98" s="55"/>
      <c r="G98" s="88">
        <v>453912.51885980263</v>
      </c>
      <c r="H98" s="81">
        <v>1682.1790965219182</v>
      </c>
      <c r="I98" s="90"/>
      <c r="J98" s="103">
        <f t="shared" si="18"/>
        <v>-1.9033444773685737E-2</v>
      </c>
      <c r="K98" s="126">
        <f t="shared" si="18"/>
        <v>-1.5602774840072331E-2</v>
      </c>
      <c r="L98" s="56">
        <v>456905</v>
      </c>
      <c r="M98" s="103">
        <v>1.4655905969100935E-2</v>
      </c>
      <c r="N98" s="97">
        <f>INDEX('Pace of change parameters'!$E$22:$I$22,1,$B$5)</f>
        <v>1.1119783131080974E-2</v>
      </c>
      <c r="O98" s="108">
        <f>MAX(IF(INDEX('Pace of change parameters'!$E$30:$I$30,1,$B$5)=1,(1+M98)*D98,D98),L98)</f>
        <v>456905</v>
      </c>
      <c r="P98" s="94">
        <f>IF(K98&lt;INDEX('Pace of change parameters'!$E$18:$I$18,1,$B$5),1,IF(K98&gt;INDEX('Pace of change parameters'!$E$19:$I$19,1,$B$5),0,(K98-INDEX('Pace of change parameters'!$E$19:$I$19,1,$B$5))/(INDEX('Pace of change parameters'!$E$18:$I$18,1,$B$5)-INDEX('Pace of change parameters'!$E$19:$I$19,1,$B$5))))</f>
        <v>0.61534605723349944</v>
      </c>
      <c r="Q98" s="57">
        <v>2.3226913049678943E-2</v>
      </c>
      <c r="R98" s="57">
        <v>1.9660919854916248E-2</v>
      </c>
      <c r="S98" s="9">
        <f>MAX(IF(INDEX('Pace of change parameters'!$E$31:$I$31,1,$B$5)=1,D98*(1+Q98),D98),L98)</f>
        <v>456905</v>
      </c>
      <c r="T98" s="103">
        <f>IF(Q98&lt;INDEX('Pace of change parameters'!$E$24:$I$24,1,$B$5),INDEX('Pace of change parameters'!$E$24:$I$24,1,$B$5),Q98)</f>
        <v>2.3226913049678943E-2</v>
      </c>
      <c r="U98" s="132">
        <v>1.9660919854916248E-2</v>
      </c>
      <c r="V98" s="117">
        <f t="shared" si="19"/>
        <v>456905</v>
      </c>
      <c r="W98" s="131">
        <f>IF(J98&gt;INDEX('Pace of change parameters'!$E$26:$I$26,1,$B$5),0,IF(J98&lt;INDEX('Pace of change parameters'!$E$25:$I$25,1,$B$5),1,(J98-INDEX('Pace of change parameters'!$E$26:$I$26,1,$B$5))/(INDEX('Pace of change parameters'!$E$25:$I$25,1,$B$5)-INDEX('Pace of change parameters'!$E$26:$I$26,1,$B$5))))</f>
        <v>1</v>
      </c>
      <c r="X98" s="132">
        <f>MIN(T98, T98+(INDEX('Pace of change parameters'!$E$27:$I$27,1,$B$5)-T98)*(1-W98))</f>
        <v>2.3226913049678943E-2</v>
      </c>
      <c r="Y98" s="132">
        <v>1.9660919854916248E-2</v>
      </c>
      <c r="Z98" s="108">
        <f t="shared" si="20"/>
        <v>456905</v>
      </c>
      <c r="AA98" s="97">
        <f>MIN(VLOOKUP(A98,'2016-17 disagg'!$A$12:$BC$220,54,FALSE),MIN(0,VLOOKUP(A98,'2016-17 disagg'!$A$12:$BC$220,54,FALSE),-2.5%))</f>
        <v>-2.5000000000000001E-2</v>
      </c>
      <c r="AB98" s="99">
        <f t="shared" si="13"/>
        <v>454295.44714752259</v>
      </c>
      <c r="AC98" s="99">
        <f>MAX(IF(INDEX('Pace of change parameters'!$E$29:$I$29,1,$B$5)=1,MAX(AB98,Z98),Z98),L98)</f>
        <v>456905</v>
      </c>
      <c r="AD98" s="97">
        <f t="shared" si="14"/>
        <v>2.6123299638648678E-2</v>
      </c>
      <c r="AE98" s="146">
        <v>2.2547212402443284E-2</v>
      </c>
      <c r="AF98" s="56">
        <f t="shared" si="21"/>
        <v>456905</v>
      </c>
      <c r="AG98" s="56">
        <v>1693.2690951706024</v>
      </c>
      <c r="AH98" s="16">
        <f t="shared" si="15"/>
        <v>2.6123299638648678E-2</v>
      </c>
      <c r="AI98" s="16">
        <f t="shared" si="16"/>
        <v>2.2547212402443284E-2</v>
      </c>
      <c r="AJ98" s="56"/>
      <c r="AK98" s="56">
        <v>465944.04835643346</v>
      </c>
      <c r="AL98" s="56">
        <v>1726.7673961997034</v>
      </c>
      <c r="AM98" s="16">
        <f t="shared" si="22"/>
        <v>-1.9399428726083578E-2</v>
      </c>
      <c r="AN98" s="58">
        <f t="shared" si="22"/>
        <v>-1.9399428726083467E-2</v>
      </c>
      <c r="AP98" s="56">
        <f t="shared" si="23"/>
        <v>1</v>
      </c>
      <c r="AQ98" s="56">
        <f t="shared" si="17"/>
        <v>0</v>
      </c>
    </row>
    <row r="99" spans="1:43" x14ac:dyDescent="0.2">
      <c r="A99" s="156" t="s">
        <v>243</v>
      </c>
      <c r="B99" s="156" t="s">
        <v>244</v>
      </c>
      <c r="D99" s="68">
        <f>VLOOKUP(A99,'2016-17 disagg'!A99:BC307,43,FALSE)</f>
        <v>176301</v>
      </c>
      <c r="E99" s="73">
        <v>1541.3509285603627</v>
      </c>
      <c r="F99" s="55"/>
      <c r="G99" s="88">
        <v>179648.68418061125</v>
      </c>
      <c r="H99" s="81">
        <v>1567.8145760803145</v>
      </c>
      <c r="I99" s="90"/>
      <c r="J99" s="103">
        <f t="shared" si="18"/>
        <v>-1.8634615643750685E-2</v>
      </c>
      <c r="K99" s="126">
        <f t="shared" si="18"/>
        <v>-1.6879322289574228E-2</v>
      </c>
      <c r="L99" s="56">
        <v>180290</v>
      </c>
      <c r="M99" s="103">
        <v>1.2928295907156384E-2</v>
      </c>
      <c r="N99" s="97">
        <f>INDEX('Pace of change parameters'!$E$22:$I$22,1,$B$5)</f>
        <v>1.1119783131080974E-2</v>
      </c>
      <c r="O99" s="108">
        <f>MAX(IF(INDEX('Pace of change parameters'!$E$30:$I$30,1,$B$5)=1,(1+M99)*D99,D99),L99)</f>
        <v>180290</v>
      </c>
      <c r="P99" s="94">
        <f>IF(K99&lt;INDEX('Pace of change parameters'!$E$18:$I$18,1,$B$5),1,IF(K99&gt;INDEX('Pace of change parameters'!$E$19:$I$19,1,$B$5),0,(K99-INDEX('Pace of change parameters'!$E$19:$I$19,1,$B$5))/(INDEX('Pace of change parameters'!$E$18:$I$18,1,$B$5)-INDEX('Pace of change parameters'!$E$19:$I$19,1,$B$5))))</f>
        <v>0.63394759609239559</v>
      </c>
      <c r="Q99" s="57">
        <v>2.1743364714565727E-2</v>
      </c>
      <c r="R99" s="57">
        <v>1.9919113248373366E-2</v>
      </c>
      <c r="S99" s="9">
        <f>MAX(IF(INDEX('Pace of change parameters'!$E$31:$I$31,1,$B$5)=1,D99*(1+Q99),D99),L99)</f>
        <v>180290</v>
      </c>
      <c r="T99" s="103">
        <f>IF(Q99&lt;INDEX('Pace of change parameters'!$E$24:$I$24,1,$B$5),INDEX('Pace of change parameters'!$E$24:$I$24,1,$B$5),Q99)</f>
        <v>2.1743364714565727E-2</v>
      </c>
      <c r="U99" s="132">
        <v>1.9919113248373366E-2</v>
      </c>
      <c r="V99" s="117">
        <f t="shared" si="19"/>
        <v>180290</v>
      </c>
      <c r="W99" s="131">
        <f>IF(J99&gt;INDEX('Pace of change parameters'!$E$26:$I$26,1,$B$5),0,IF(J99&lt;INDEX('Pace of change parameters'!$E$25:$I$25,1,$B$5),1,(J99-INDEX('Pace of change parameters'!$E$26:$I$26,1,$B$5))/(INDEX('Pace of change parameters'!$E$25:$I$25,1,$B$5)-INDEX('Pace of change parameters'!$E$26:$I$26,1,$B$5))))</f>
        <v>1</v>
      </c>
      <c r="X99" s="132">
        <f>MIN(T99, T99+(INDEX('Pace of change parameters'!$E$27:$I$27,1,$B$5)-T99)*(1-W99))</f>
        <v>2.1743364714565727E-2</v>
      </c>
      <c r="Y99" s="132">
        <v>1.9919113248373366E-2</v>
      </c>
      <c r="Z99" s="108">
        <f t="shared" si="20"/>
        <v>180290</v>
      </c>
      <c r="AA99" s="97">
        <f>MIN(VLOOKUP(A99,'2016-17 disagg'!$A$12:$BC$220,54,FALSE),MIN(0,VLOOKUP(A99,'2016-17 disagg'!$A$12:$BC$220,54,FALSE),-2.5%))</f>
        <v>-2.5000000000000001E-2</v>
      </c>
      <c r="AB99" s="99">
        <f t="shared" si="13"/>
        <v>179728.09160352455</v>
      </c>
      <c r="AC99" s="99">
        <f>MAX(IF(INDEX('Pace of change parameters'!$E$29:$I$29,1,$B$5)=1,MAX(AB99,Z99),Z99),L99)</f>
        <v>180290</v>
      </c>
      <c r="AD99" s="97">
        <f t="shared" si="14"/>
        <v>2.2626076993323974E-2</v>
      </c>
      <c r="AE99" s="146">
        <v>2.0800249505965818E-2</v>
      </c>
      <c r="AF99" s="56">
        <f t="shared" si="21"/>
        <v>180290</v>
      </c>
      <c r="AG99" s="56">
        <v>1573.4114124506702</v>
      </c>
      <c r="AH99" s="16">
        <f t="shared" si="15"/>
        <v>2.2626076993323974E-2</v>
      </c>
      <c r="AI99" s="16">
        <f t="shared" si="16"/>
        <v>2.0800249505965818E-2</v>
      </c>
      <c r="AJ99" s="56"/>
      <c r="AK99" s="56">
        <v>184336.50420874314</v>
      </c>
      <c r="AL99" s="56">
        <v>1608.7257166415077</v>
      </c>
      <c r="AM99" s="16">
        <f t="shared" si="22"/>
        <v>-2.1951724787841576E-2</v>
      </c>
      <c r="AN99" s="58">
        <f t="shared" si="22"/>
        <v>-2.1951724787841465E-2</v>
      </c>
      <c r="AP99" s="56">
        <f t="shared" si="23"/>
        <v>1</v>
      </c>
      <c r="AQ99" s="56">
        <f t="shared" si="17"/>
        <v>0</v>
      </c>
    </row>
    <row r="100" spans="1:43" x14ac:dyDescent="0.2">
      <c r="A100" s="156" t="s">
        <v>245</v>
      </c>
      <c r="B100" s="156" t="s">
        <v>246</v>
      </c>
      <c r="D100" s="68">
        <f>VLOOKUP(A100,'2016-17 disagg'!A100:BC308,43,FALSE)</f>
        <v>114684</v>
      </c>
      <c r="E100" s="73">
        <v>1513.5654690501667</v>
      </c>
      <c r="F100" s="55"/>
      <c r="G100" s="88">
        <v>121479.23949243072</v>
      </c>
      <c r="H100" s="81">
        <v>1579.6485976969161</v>
      </c>
      <c r="I100" s="90"/>
      <c r="J100" s="103">
        <f t="shared" si="18"/>
        <v>-5.5937454999083425E-2</v>
      </c>
      <c r="K100" s="126">
        <f t="shared" si="18"/>
        <v>-4.1834069136070351E-2</v>
      </c>
      <c r="L100" s="56">
        <v>118754</v>
      </c>
      <c r="M100" s="103">
        <v>2.6224939596333874E-2</v>
      </c>
      <c r="N100" s="97">
        <f>INDEX('Pace of change parameters'!$E$22:$I$22,1,$B$5)</f>
        <v>1.1119783131080974E-2</v>
      </c>
      <c r="O100" s="108">
        <f>MAX(IF(INDEX('Pace of change parameters'!$E$30:$I$30,1,$B$5)=1,(1+M100)*D100,D100),L100)</f>
        <v>118754</v>
      </c>
      <c r="P100" s="94">
        <f>IF(K100&lt;INDEX('Pace of change parameters'!$E$18:$I$18,1,$B$5),1,IF(K100&gt;INDEX('Pace of change parameters'!$E$19:$I$19,1,$B$5),0,(K100-INDEX('Pace of change parameters'!$E$19:$I$19,1,$B$5))/(INDEX('Pace of change parameters'!$E$18:$I$18,1,$B$5)-INDEX('Pace of change parameters'!$E$19:$I$19,1,$B$5))))</f>
        <v>0.99758209582065915</v>
      </c>
      <c r="Q100" s="57">
        <v>4.0278451143117122E-2</v>
      </c>
      <c r="R100" s="57">
        <v>2.4966438965622562E-2</v>
      </c>
      <c r="S100" s="9">
        <f>MAX(IF(INDEX('Pace of change parameters'!$E$31:$I$31,1,$B$5)=1,D100*(1+Q100),D100),L100)</f>
        <v>119303.29389089724</v>
      </c>
      <c r="T100" s="103">
        <f>IF(Q100&lt;INDEX('Pace of change parameters'!$E$24:$I$24,1,$B$5),INDEX('Pace of change parameters'!$E$24:$I$24,1,$B$5),Q100)</f>
        <v>4.0278451143117122E-2</v>
      </c>
      <c r="U100" s="132">
        <v>2.4966438965622562E-2</v>
      </c>
      <c r="V100" s="117">
        <f t="shared" si="19"/>
        <v>119303.29389089724</v>
      </c>
      <c r="W100" s="131">
        <f>IF(J100&gt;INDEX('Pace of change parameters'!$E$26:$I$26,1,$B$5),0,IF(J100&lt;INDEX('Pace of change parameters'!$E$25:$I$25,1,$B$5),1,(J100-INDEX('Pace of change parameters'!$E$26:$I$26,1,$B$5))/(INDEX('Pace of change parameters'!$E$25:$I$25,1,$B$5)-INDEX('Pace of change parameters'!$E$26:$I$26,1,$B$5))))</f>
        <v>1</v>
      </c>
      <c r="X100" s="132">
        <f>MIN(T100, T100+(INDEX('Pace of change parameters'!$E$27:$I$27,1,$B$5)-T100)*(1-W100))</f>
        <v>4.0278451143117122E-2</v>
      </c>
      <c r="Y100" s="132">
        <v>2.4966438965622562E-2</v>
      </c>
      <c r="Z100" s="108">
        <f t="shared" si="20"/>
        <v>119303.29389089724</v>
      </c>
      <c r="AA100" s="97">
        <f>MIN(VLOOKUP(A100,'2016-17 disagg'!$A$12:$BC$220,54,FALSE),MIN(0,VLOOKUP(A100,'2016-17 disagg'!$A$12:$BC$220,54,FALSE),-2.5%))</f>
        <v>-4.8579910736021525E-2</v>
      </c>
      <c r="AB100" s="99">
        <f t="shared" si="13"/>
        <v>118488.25112519809</v>
      </c>
      <c r="AC100" s="99">
        <f>MAX(IF(INDEX('Pace of change parameters'!$E$29:$I$29,1,$B$5)=1,MAX(AB100,Z100),Z100),L100)</f>
        <v>119303.29389089724</v>
      </c>
      <c r="AD100" s="97">
        <f t="shared" si="14"/>
        <v>4.0278451143117122E-2</v>
      </c>
      <c r="AE100" s="146">
        <v>2.4966438965622562E-2</v>
      </c>
      <c r="AF100" s="56">
        <f t="shared" si="21"/>
        <v>119303.29389089724</v>
      </c>
      <c r="AG100" s="56">
        <v>1551.3538089536814</v>
      </c>
      <c r="AH100" s="16">
        <f t="shared" si="15"/>
        <v>4.0278451143117122E-2</v>
      </c>
      <c r="AI100" s="16">
        <f t="shared" si="16"/>
        <v>2.4966438965622562E-2</v>
      </c>
      <c r="AJ100" s="56"/>
      <c r="AK100" s="56">
        <v>124538.3111647989</v>
      </c>
      <c r="AL100" s="56">
        <v>1619.4270676453705</v>
      </c>
      <c r="AM100" s="16">
        <f t="shared" si="22"/>
        <v>-4.2035396376736367E-2</v>
      </c>
      <c r="AN100" s="58">
        <f t="shared" si="22"/>
        <v>-4.2035396376736367E-2</v>
      </c>
      <c r="AP100" s="56">
        <f t="shared" si="23"/>
        <v>0</v>
      </c>
      <c r="AQ100" s="56">
        <f t="shared" si="17"/>
        <v>0</v>
      </c>
    </row>
    <row r="101" spans="1:43" x14ac:dyDescent="0.2">
      <c r="A101" s="156" t="s">
        <v>247</v>
      </c>
      <c r="B101" s="156" t="s">
        <v>248</v>
      </c>
      <c r="D101" s="68">
        <f>VLOOKUP(A101,'2016-17 disagg'!A101:BC309,43,FALSE)</f>
        <v>467261</v>
      </c>
      <c r="E101" s="73">
        <v>1433.7762170022986</v>
      </c>
      <c r="F101" s="55"/>
      <c r="G101" s="88">
        <v>473093.7618679654</v>
      </c>
      <c r="H101" s="81">
        <v>1444.1300358168721</v>
      </c>
      <c r="I101" s="90"/>
      <c r="J101" s="103">
        <f t="shared" si="18"/>
        <v>-1.2328976490696641E-2</v>
      </c>
      <c r="K101" s="126">
        <f t="shared" si="18"/>
        <v>-7.1695889966839621E-3</v>
      </c>
      <c r="L101" s="56">
        <v>477966</v>
      </c>
      <c r="M101" s="103">
        <v>1.6401662056210853E-2</v>
      </c>
      <c r="N101" s="97">
        <f>INDEX('Pace of change parameters'!$E$22:$I$22,1,$B$5)</f>
        <v>1.1119783131080974E-2</v>
      </c>
      <c r="O101" s="108">
        <f>MAX(IF(INDEX('Pace of change parameters'!$E$30:$I$30,1,$B$5)=1,(1+M101)*D101,D101),L101)</f>
        <v>477966</v>
      </c>
      <c r="P101" s="94">
        <f>IF(K101&lt;INDEX('Pace of change parameters'!$E$18:$I$18,1,$B$5),1,IF(K101&gt;INDEX('Pace of change parameters'!$E$19:$I$19,1,$B$5),0,(K101-INDEX('Pace of change parameters'!$E$19:$I$19,1,$B$5))/(INDEX('Pace of change parameters'!$E$18:$I$18,1,$B$5)-INDEX('Pace of change parameters'!$E$19:$I$19,1,$B$5))))</f>
        <v>0.49245972485996209</v>
      </c>
      <c r="Q101" s="57">
        <v>2.3272816790465223E-2</v>
      </c>
      <c r="R101" s="57">
        <v>1.7955230911345543E-2</v>
      </c>
      <c r="S101" s="9">
        <f>MAX(IF(INDEX('Pace of change parameters'!$E$31:$I$31,1,$B$5)=1,D101*(1+Q101),D101),L101)</f>
        <v>478135.47964632959</v>
      </c>
      <c r="T101" s="103">
        <f>IF(Q101&lt;INDEX('Pace of change parameters'!$E$24:$I$24,1,$B$5),INDEX('Pace of change parameters'!$E$24:$I$24,1,$B$5),Q101)</f>
        <v>2.3272816790465223E-2</v>
      </c>
      <c r="U101" s="132">
        <v>1.7955230911345543E-2</v>
      </c>
      <c r="V101" s="117">
        <f t="shared" si="19"/>
        <v>478135.47964632959</v>
      </c>
      <c r="W101" s="131">
        <f>IF(J101&gt;INDEX('Pace of change parameters'!$E$26:$I$26,1,$B$5),0,IF(J101&lt;INDEX('Pace of change parameters'!$E$25:$I$25,1,$B$5),1,(J101-INDEX('Pace of change parameters'!$E$26:$I$26,1,$B$5))/(INDEX('Pace of change parameters'!$E$25:$I$25,1,$B$5)-INDEX('Pace of change parameters'!$E$26:$I$26,1,$B$5))))</f>
        <v>1</v>
      </c>
      <c r="X101" s="132">
        <f>MIN(T101, T101+(INDEX('Pace of change parameters'!$E$27:$I$27,1,$B$5)-T101)*(1-W101))</f>
        <v>2.3272816790465223E-2</v>
      </c>
      <c r="Y101" s="132">
        <v>1.7955230911345543E-2</v>
      </c>
      <c r="Z101" s="108">
        <f t="shared" si="20"/>
        <v>478135.47964632959</v>
      </c>
      <c r="AA101" s="97">
        <f>MIN(VLOOKUP(A101,'2016-17 disagg'!$A$12:$BC$220,54,FALSE),MIN(0,VLOOKUP(A101,'2016-17 disagg'!$A$12:$BC$220,54,FALSE),-2.5%))</f>
        <v>-2.5000000000000001E-2</v>
      </c>
      <c r="AB101" s="99">
        <f t="shared" si="13"/>
        <v>473357.88638603012</v>
      </c>
      <c r="AC101" s="99">
        <f>MAX(IF(INDEX('Pace of change parameters'!$E$29:$I$29,1,$B$5)=1,MAX(AB101,Z101),Z101),L101)</f>
        <v>478135.47964632959</v>
      </c>
      <c r="AD101" s="97">
        <f t="shared" si="14"/>
        <v>2.3272816790465223E-2</v>
      </c>
      <c r="AE101" s="146">
        <v>1.7955230911345543E-2</v>
      </c>
      <c r="AF101" s="56">
        <f t="shared" si="21"/>
        <v>478135.47964632959</v>
      </c>
      <c r="AG101" s="56">
        <v>1459.5200000537704</v>
      </c>
      <c r="AH101" s="16">
        <f t="shared" si="15"/>
        <v>2.3272816790465223E-2</v>
      </c>
      <c r="AI101" s="16">
        <f t="shared" si="16"/>
        <v>1.7955230911345543E-2</v>
      </c>
      <c r="AJ101" s="56"/>
      <c r="AK101" s="56">
        <v>485495.26808823604</v>
      </c>
      <c r="AL101" s="56">
        <v>1481.9859304948091</v>
      </c>
      <c r="AM101" s="16">
        <f t="shared" si="22"/>
        <v>-1.5159341245255642E-2</v>
      </c>
      <c r="AN101" s="58">
        <f t="shared" si="22"/>
        <v>-1.5159341245255753E-2</v>
      </c>
      <c r="AP101" s="56">
        <f t="shared" si="23"/>
        <v>0</v>
      </c>
      <c r="AQ101" s="56">
        <f t="shared" si="17"/>
        <v>0</v>
      </c>
    </row>
    <row r="102" spans="1:43" x14ac:dyDescent="0.2">
      <c r="A102" s="156" t="s">
        <v>249</v>
      </c>
      <c r="B102" s="156" t="s">
        <v>250</v>
      </c>
      <c r="D102" s="68">
        <f>VLOOKUP(A102,'2016-17 disagg'!A102:BC310,43,FALSE)</f>
        <v>158118</v>
      </c>
      <c r="E102" s="73">
        <v>1615.3488591256366</v>
      </c>
      <c r="F102" s="55"/>
      <c r="G102" s="88">
        <v>157171.49477377473</v>
      </c>
      <c r="H102" s="81">
        <v>1596.9976395654483</v>
      </c>
      <c r="I102" s="90"/>
      <c r="J102" s="103">
        <f t="shared" si="18"/>
        <v>6.0221176084609418E-3</v>
      </c>
      <c r="K102" s="126">
        <f t="shared" si="18"/>
        <v>1.1491074943092539E-2</v>
      </c>
      <c r="L102" s="56">
        <v>161777</v>
      </c>
      <c r="M102" s="103">
        <v>1.6616452495857414E-2</v>
      </c>
      <c r="N102" s="97">
        <f>INDEX('Pace of change parameters'!$E$22:$I$22,1,$B$5)</f>
        <v>1.1119783131080974E-2</v>
      </c>
      <c r="O102" s="108">
        <f>MAX(IF(INDEX('Pace of change parameters'!$E$30:$I$30,1,$B$5)=1,(1+M102)*D102,D102),L102)</f>
        <v>161777</v>
      </c>
      <c r="P102" s="94">
        <f>IF(K102&lt;INDEX('Pace of change parameters'!$E$18:$I$18,1,$B$5),1,IF(K102&gt;INDEX('Pace of change parameters'!$E$19:$I$19,1,$B$5),0,(K102-INDEX('Pace of change parameters'!$E$19:$I$19,1,$B$5))/(INDEX('Pace of change parameters'!$E$18:$I$18,1,$B$5)-INDEX('Pace of change parameters'!$E$19:$I$19,1,$B$5))))</f>
        <v>0.22054106994118269</v>
      </c>
      <c r="Q102" s="57">
        <v>1.9694251502156757E-2</v>
      </c>
      <c r="R102" s="57">
        <v>1.4180941010367931E-2</v>
      </c>
      <c r="S102" s="9">
        <f>MAX(IF(INDEX('Pace of change parameters'!$E$31:$I$31,1,$B$5)=1,D102*(1+Q102),D102),L102)</f>
        <v>161777</v>
      </c>
      <c r="T102" s="103">
        <f>IF(Q102&lt;INDEX('Pace of change parameters'!$E$24:$I$24,1,$B$5),INDEX('Pace of change parameters'!$E$24:$I$24,1,$B$5),Q102)</f>
        <v>1.9694251502156757E-2</v>
      </c>
      <c r="U102" s="132">
        <v>1.4180941010367931E-2</v>
      </c>
      <c r="V102" s="117">
        <f t="shared" si="19"/>
        <v>161777</v>
      </c>
      <c r="W102" s="131">
        <f>IF(J102&gt;INDEX('Pace of change parameters'!$E$26:$I$26,1,$B$5),0,IF(J102&lt;INDEX('Pace of change parameters'!$E$25:$I$25,1,$B$5),1,(J102-INDEX('Pace of change parameters'!$E$26:$I$26,1,$B$5))/(INDEX('Pace of change parameters'!$E$25:$I$25,1,$B$5)-INDEX('Pace of change parameters'!$E$26:$I$26,1,$B$5))))</f>
        <v>1</v>
      </c>
      <c r="X102" s="132">
        <f>MIN(T102, T102+(INDEX('Pace of change parameters'!$E$27:$I$27,1,$B$5)-T102)*(1-W102))</f>
        <v>1.9694251502156757E-2</v>
      </c>
      <c r="Y102" s="132">
        <v>1.4180941010367931E-2</v>
      </c>
      <c r="Z102" s="108">
        <f t="shared" si="20"/>
        <v>161777</v>
      </c>
      <c r="AA102" s="97">
        <f>MIN(VLOOKUP(A102,'2016-17 disagg'!$A$12:$BC$220,54,FALSE),MIN(0,VLOOKUP(A102,'2016-17 disagg'!$A$12:$BC$220,54,FALSE),-2.5%))</f>
        <v>-2.5000000000000001E-2</v>
      </c>
      <c r="AB102" s="99">
        <f t="shared" si="13"/>
        <v>157195.01691492286</v>
      </c>
      <c r="AC102" s="99">
        <f>MAX(IF(INDEX('Pace of change parameters'!$E$29:$I$29,1,$B$5)=1,MAX(AB102,Z102),Z102),L102)</f>
        <v>161777</v>
      </c>
      <c r="AD102" s="97">
        <f t="shared" si="14"/>
        <v>2.3140945369913624E-2</v>
      </c>
      <c r="AE102" s="146">
        <v>1.7608999200386055E-2</v>
      </c>
      <c r="AF102" s="56">
        <f t="shared" si="21"/>
        <v>161777</v>
      </c>
      <c r="AG102" s="56">
        <v>1643.7935358943246</v>
      </c>
      <c r="AH102" s="16">
        <f t="shared" si="15"/>
        <v>2.3140945369913624E-2</v>
      </c>
      <c r="AI102" s="16">
        <f t="shared" si="16"/>
        <v>1.7608999200386055E-2</v>
      </c>
      <c r="AJ102" s="56"/>
      <c r="AK102" s="56">
        <v>161225.65837427985</v>
      </c>
      <c r="AL102" s="56">
        <v>1638.1914305244127</v>
      </c>
      <c r="AM102" s="16">
        <f t="shared" si="22"/>
        <v>3.4196890946491809E-3</v>
      </c>
      <c r="AN102" s="58">
        <f t="shared" si="22"/>
        <v>3.4196890946491809E-3</v>
      </c>
      <c r="AP102" s="56">
        <f t="shared" si="23"/>
        <v>1</v>
      </c>
      <c r="AQ102" s="56">
        <f t="shared" si="17"/>
        <v>0</v>
      </c>
    </row>
    <row r="103" spans="1:43" x14ac:dyDescent="0.2">
      <c r="A103" s="156" t="s">
        <v>251</v>
      </c>
      <c r="B103" s="156" t="s">
        <v>252</v>
      </c>
      <c r="D103" s="68">
        <f>VLOOKUP(A103,'2016-17 disagg'!A103:BC311,43,FALSE)</f>
        <v>176898</v>
      </c>
      <c r="E103" s="73">
        <v>1718.857156757173</v>
      </c>
      <c r="F103" s="55"/>
      <c r="G103" s="88">
        <v>174839.86980479924</v>
      </c>
      <c r="H103" s="81">
        <v>1691.7678957962401</v>
      </c>
      <c r="I103" s="90"/>
      <c r="J103" s="103">
        <f t="shared" si="18"/>
        <v>1.1771515258496734E-2</v>
      </c>
      <c r="K103" s="126">
        <f t="shared" si="18"/>
        <v>1.6012398053093069E-2</v>
      </c>
      <c r="L103" s="56">
        <v>180922</v>
      </c>
      <c r="M103" s="103">
        <v>1.5357934163096276E-2</v>
      </c>
      <c r="N103" s="97">
        <f>INDEX('Pace of change parameters'!$E$22:$I$22,1,$B$5)</f>
        <v>1.1119783131080974E-2</v>
      </c>
      <c r="O103" s="108">
        <f>MAX(IF(INDEX('Pace of change parameters'!$E$30:$I$30,1,$B$5)=1,(1+M103)*D103,D103),L103)</f>
        <v>180922</v>
      </c>
      <c r="P103" s="94">
        <f>IF(K103&lt;INDEX('Pace of change parameters'!$E$18:$I$18,1,$B$5),1,IF(K103&gt;INDEX('Pace of change parameters'!$E$19:$I$19,1,$B$5),0,(K103-INDEX('Pace of change parameters'!$E$19:$I$19,1,$B$5))/(INDEX('Pace of change parameters'!$E$18:$I$18,1,$B$5)-INDEX('Pace of change parameters'!$E$19:$I$19,1,$B$5))))</f>
        <v>0.15465744958918029</v>
      </c>
      <c r="Q103" s="57">
        <v>1.7513610998715512E-2</v>
      </c>
      <c r="R103" s="57">
        <v>1.3266462071772622E-2</v>
      </c>
      <c r="S103" s="9">
        <f>MAX(IF(INDEX('Pace of change parameters'!$E$31:$I$31,1,$B$5)=1,D103*(1+Q103),D103),L103)</f>
        <v>180922</v>
      </c>
      <c r="T103" s="103">
        <f>IF(Q103&lt;INDEX('Pace of change parameters'!$E$24:$I$24,1,$B$5),INDEX('Pace of change parameters'!$E$24:$I$24,1,$B$5),Q103)</f>
        <v>1.9644681315626574E-2</v>
      </c>
      <c r="U103" s="132">
        <v>1.5388637202504496E-2</v>
      </c>
      <c r="V103" s="117">
        <f t="shared" si="19"/>
        <v>180922</v>
      </c>
      <c r="W103" s="131">
        <f>IF(J103&gt;INDEX('Pace of change parameters'!$E$26:$I$26,1,$B$5),0,IF(J103&lt;INDEX('Pace of change parameters'!$E$25:$I$25,1,$B$5),1,(J103-INDEX('Pace of change parameters'!$E$26:$I$26,1,$B$5))/(INDEX('Pace of change parameters'!$E$25:$I$25,1,$B$5)-INDEX('Pace of change parameters'!$E$26:$I$26,1,$B$5))))</f>
        <v>1</v>
      </c>
      <c r="X103" s="132">
        <f>MIN(T103, T103+(INDEX('Pace of change parameters'!$E$27:$I$27,1,$B$5)-T103)*(1-W103))</f>
        <v>1.9644681315626574E-2</v>
      </c>
      <c r="Y103" s="132">
        <v>1.5388637202504496E-2</v>
      </c>
      <c r="Z103" s="108">
        <f t="shared" si="20"/>
        <v>180922</v>
      </c>
      <c r="AA103" s="97">
        <f>MIN(VLOOKUP(A103,'2016-17 disagg'!$A$12:$BC$220,54,FALSE),MIN(0,VLOOKUP(A103,'2016-17 disagg'!$A$12:$BC$220,54,FALSE),-2.5%))</f>
        <v>-2.5000000000000001E-2</v>
      </c>
      <c r="AB103" s="99">
        <f t="shared" si="13"/>
        <v>174802.47157207603</v>
      </c>
      <c r="AC103" s="99">
        <f>MAX(IF(INDEX('Pace of change parameters'!$E$29:$I$29,1,$B$5)=1,MAX(AB103,Z103),Z103),L103)</f>
        <v>180922</v>
      </c>
      <c r="AD103" s="97">
        <f t="shared" si="14"/>
        <v>2.2747572047168374E-2</v>
      </c>
      <c r="AE103" s="146">
        <v>1.8478576324457485E-2</v>
      </c>
      <c r="AF103" s="56">
        <f t="shared" si="21"/>
        <v>180922</v>
      </c>
      <c r="AG103" s="56">
        <v>1750.6191899191504</v>
      </c>
      <c r="AH103" s="16">
        <f t="shared" si="15"/>
        <v>2.2747572047168374E-2</v>
      </c>
      <c r="AI103" s="16">
        <f t="shared" si="16"/>
        <v>1.8478576324457485E-2</v>
      </c>
      <c r="AJ103" s="56"/>
      <c r="AK103" s="56">
        <v>179284.58622777028</v>
      </c>
      <c r="AL103" s="56">
        <v>1734.7754120949871</v>
      </c>
      <c r="AM103" s="16">
        <f t="shared" si="22"/>
        <v>9.1330426484599325E-3</v>
      </c>
      <c r="AN103" s="58">
        <f t="shared" si="22"/>
        <v>9.1330426484599325E-3</v>
      </c>
      <c r="AP103" s="56">
        <f t="shared" si="23"/>
        <v>1</v>
      </c>
      <c r="AQ103" s="56">
        <f t="shared" si="17"/>
        <v>0</v>
      </c>
    </row>
    <row r="104" spans="1:43" x14ac:dyDescent="0.2">
      <c r="A104" s="156" t="s">
        <v>253</v>
      </c>
      <c r="B104" s="156" t="s">
        <v>254</v>
      </c>
      <c r="D104" s="68">
        <f>VLOOKUP(A104,'2016-17 disagg'!A104:BC312,43,FALSE)</f>
        <v>567926</v>
      </c>
      <c r="E104" s="73">
        <v>1462.2959058293695</v>
      </c>
      <c r="F104" s="55"/>
      <c r="G104" s="88">
        <v>579459.28461920156</v>
      </c>
      <c r="H104" s="81">
        <v>1483.2332492929504</v>
      </c>
      <c r="I104" s="90"/>
      <c r="J104" s="103">
        <f t="shared" si="18"/>
        <v>-1.9903528902433187E-2</v>
      </c>
      <c r="K104" s="126">
        <f t="shared" si="18"/>
        <v>-1.4116015450409858E-2</v>
      </c>
      <c r="L104" s="56">
        <v>581752</v>
      </c>
      <c r="M104" s="103">
        <v>1.7090490626767263E-2</v>
      </c>
      <c r="N104" s="97">
        <f>INDEX('Pace of change parameters'!$E$22:$I$22,1,$B$5)</f>
        <v>1.1119783131080974E-2</v>
      </c>
      <c r="O104" s="108">
        <f>MAX(IF(INDEX('Pace of change parameters'!$E$30:$I$30,1,$B$5)=1,(1+M104)*D104,D104),L104)</f>
        <v>581752</v>
      </c>
      <c r="P104" s="94">
        <f>IF(K104&lt;INDEX('Pace of change parameters'!$E$18:$I$18,1,$B$5),1,IF(K104&gt;INDEX('Pace of change parameters'!$E$19:$I$19,1,$B$5),0,(K104-INDEX('Pace of change parameters'!$E$19:$I$19,1,$B$5))/(INDEX('Pace of change parameters'!$E$18:$I$18,1,$B$5)-INDEX('Pace of change parameters'!$E$19:$I$19,1,$B$5))))</f>
        <v>0.59368136112570769</v>
      </c>
      <c r="Q104" s="57">
        <v>2.5379576754191779E-2</v>
      </c>
      <c r="R104" s="57">
        <v>1.9360209174540843E-2</v>
      </c>
      <c r="S104" s="9">
        <f>MAX(IF(INDEX('Pace of change parameters'!$E$31:$I$31,1,$B$5)=1,D104*(1+Q104),D104),L104)</f>
        <v>582339.72150770109</v>
      </c>
      <c r="T104" s="103">
        <f>IF(Q104&lt;INDEX('Pace of change parameters'!$E$24:$I$24,1,$B$5),INDEX('Pace of change parameters'!$E$24:$I$24,1,$B$5),Q104)</f>
        <v>2.5379576754191779E-2</v>
      </c>
      <c r="U104" s="132">
        <v>1.9360209174540843E-2</v>
      </c>
      <c r="V104" s="117">
        <f t="shared" si="19"/>
        <v>582339.72150770109</v>
      </c>
      <c r="W104" s="131">
        <f>IF(J104&gt;INDEX('Pace of change parameters'!$E$26:$I$26,1,$B$5),0,IF(J104&lt;INDEX('Pace of change parameters'!$E$25:$I$25,1,$B$5),1,(J104-INDEX('Pace of change parameters'!$E$26:$I$26,1,$B$5))/(INDEX('Pace of change parameters'!$E$25:$I$25,1,$B$5)-INDEX('Pace of change parameters'!$E$26:$I$26,1,$B$5))))</f>
        <v>1</v>
      </c>
      <c r="X104" s="132">
        <f>MIN(T104, T104+(INDEX('Pace of change parameters'!$E$27:$I$27,1,$B$5)-T104)*(1-W104))</f>
        <v>2.5379576754191779E-2</v>
      </c>
      <c r="Y104" s="132">
        <v>1.9360209174540843E-2</v>
      </c>
      <c r="Z104" s="108">
        <f t="shared" si="20"/>
        <v>582339.72150770109</v>
      </c>
      <c r="AA104" s="97">
        <f>MIN(VLOOKUP(A104,'2016-17 disagg'!$A$12:$BC$220,54,FALSE),MIN(0,VLOOKUP(A104,'2016-17 disagg'!$A$12:$BC$220,54,FALSE),-2.5%))</f>
        <v>-2.5000000000000001E-2</v>
      </c>
      <c r="AB104" s="99">
        <f t="shared" si="13"/>
        <v>580051.83846455079</v>
      </c>
      <c r="AC104" s="99">
        <f>MAX(IF(INDEX('Pace of change parameters'!$E$29:$I$29,1,$B$5)=1,MAX(AB104,Z104),Z104),L104)</f>
        <v>582339.72150770109</v>
      </c>
      <c r="AD104" s="97">
        <f t="shared" si="14"/>
        <v>2.5379576754191779E-2</v>
      </c>
      <c r="AE104" s="146">
        <v>1.9360209174540843E-2</v>
      </c>
      <c r="AF104" s="56">
        <f t="shared" si="21"/>
        <v>582339.72150770109</v>
      </c>
      <c r="AG104" s="56">
        <v>1490.6062604413007</v>
      </c>
      <c r="AH104" s="16">
        <f t="shared" si="15"/>
        <v>2.5379576754191779E-2</v>
      </c>
      <c r="AI104" s="16">
        <f t="shared" si="16"/>
        <v>1.9360209174540843E-2</v>
      </c>
      <c r="AJ104" s="56"/>
      <c r="AK104" s="56">
        <v>594924.96252774447</v>
      </c>
      <c r="AL104" s="56">
        <v>1522.8205133263177</v>
      </c>
      <c r="AM104" s="16">
        <f t="shared" si="22"/>
        <v>-2.1154333424791338E-2</v>
      </c>
      <c r="AN104" s="58">
        <f t="shared" si="22"/>
        <v>-2.1154333424791449E-2</v>
      </c>
      <c r="AP104" s="56">
        <f t="shared" si="23"/>
        <v>0</v>
      </c>
      <c r="AQ104" s="56">
        <f t="shared" si="17"/>
        <v>0</v>
      </c>
    </row>
    <row r="105" spans="1:43" x14ac:dyDescent="0.2">
      <c r="A105" s="156" t="s">
        <v>255</v>
      </c>
      <c r="B105" s="156" t="s">
        <v>256</v>
      </c>
      <c r="D105" s="68">
        <f>VLOOKUP(A105,'2016-17 disagg'!A105:BC313,43,FALSE)</f>
        <v>426678</v>
      </c>
      <c r="E105" s="73">
        <v>1724.498607653743</v>
      </c>
      <c r="F105" s="55"/>
      <c r="G105" s="88">
        <v>435121.63157367322</v>
      </c>
      <c r="H105" s="81">
        <v>1746.7119983663313</v>
      </c>
      <c r="I105" s="90"/>
      <c r="J105" s="103">
        <f t="shared" si="18"/>
        <v>-1.940522134727185E-2</v>
      </c>
      <c r="K105" s="126">
        <f t="shared" si="18"/>
        <v>-1.271726004823015E-2</v>
      </c>
      <c r="L105" s="56">
        <v>436411</v>
      </c>
      <c r="M105" s="103">
        <v>1.8015934452187743E-2</v>
      </c>
      <c r="N105" s="97">
        <f>INDEX('Pace of change parameters'!$E$22:$I$22,1,$B$5)</f>
        <v>1.1119783131080974E-2</v>
      </c>
      <c r="O105" s="108">
        <f>MAX(IF(INDEX('Pace of change parameters'!$E$30:$I$30,1,$B$5)=1,(1+M105)*D105,D105),L105)</f>
        <v>436411</v>
      </c>
      <c r="P105" s="94">
        <f>IF(K105&lt;INDEX('Pace of change parameters'!$E$18:$I$18,1,$B$5),1,IF(K105&gt;INDEX('Pace of change parameters'!$E$19:$I$19,1,$B$5),0,(K105-INDEX('Pace of change parameters'!$E$19:$I$19,1,$B$5))/(INDEX('Pace of change parameters'!$E$18:$I$18,1,$B$5)-INDEX('Pace of change parameters'!$E$19:$I$19,1,$B$5))))</f>
        <v>0.57329903771274782</v>
      </c>
      <c r="Q105" s="57">
        <v>2.6027722152837107E-2</v>
      </c>
      <c r="R105" s="57">
        <v>1.9077298105276475E-2</v>
      </c>
      <c r="S105" s="9">
        <f>MAX(IF(INDEX('Pace of change parameters'!$E$31:$I$31,1,$B$5)=1,D105*(1+Q105),D105),L105)</f>
        <v>437783.45643272821</v>
      </c>
      <c r="T105" s="103">
        <f>IF(Q105&lt;INDEX('Pace of change parameters'!$E$24:$I$24,1,$B$5),INDEX('Pace of change parameters'!$E$24:$I$24,1,$B$5),Q105)</f>
        <v>2.6027722152837107E-2</v>
      </c>
      <c r="U105" s="132">
        <v>1.9077298105276475E-2</v>
      </c>
      <c r="V105" s="117">
        <f t="shared" si="19"/>
        <v>437783.45643272821</v>
      </c>
      <c r="W105" s="131">
        <f>IF(J105&gt;INDEX('Pace of change parameters'!$E$26:$I$26,1,$B$5),0,IF(J105&lt;INDEX('Pace of change parameters'!$E$25:$I$25,1,$B$5),1,(J105-INDEX('Pace of change parameters'!$E$26:$I$26,1,$B$5))/(INDEX('Pace of change parameters'!$E$25:$I$25,1,$B$5)-INDEX('Pace of change parameters'!$E$26:$I$26,1,$B$5))))</f>
        <v>1</v>
      </c>
      <c r="X105" s="132">
        <f>MIN(T105, T105+(INDEX('Pace of change parameters'!$E$27:$I$27,1,$B$5)-T105)*(1-W105))</f>
        <v>2.6027722152837107E-2</v>
      </c>
      <c r="Y105" s="132">
        <v>1.9077298105276475E-2</v>
      </c>
      <c r="Z105" s="108">
        <f t="shared" si="20"/>
        <v>437783.45643272821</v>
      </c>
      <c r="AA105" s="97">
        <f>MIN(VLOOKUP(A105,'2016-17 disagg'!$A$12:$BC$220,54,FALSE),MIN(0,VLOOKUP(A105,'2016-17 disagg'!$A$12:$BC$220,54,FALSE),-2.5%))</f>
        <v>-2.5000000000000001E-2</v>
      </c>
      <c r="AB105" s="99">
        <f t="shared" si="13"/>
        <v>435350.21387273009</v>
      </c>
      <c r="AC105" s="99">
        <f>MAX(IF(INDEX('Pace of change parameters'!$E$29:$I$29,1,$B$5)=1,MAX(AB105,Z105),Z105),L105)</f>
        <v>437783.45643272821</v>
      </c>
      <c r="AD105" s="97">
        <f t="shared" si="14"/>
        <v>2.6027722152837107E-2</v>
      </c>
      <c r="AE105" s="146">
        <v>1.9077298105276475E-2</v>
      </c>
      <c r="AF105" s="56">
        <f t="shared" si="21"/>
        <v>437783.45643272821</v>
      </c>
      <c r="AG105" s="56">
        <v>1757.3973816740877</v>
      </c>
      <c r="AH105" s="16">
        <f t="shared" si="15"/>
        <v>2.6027722152837107E-2</v>
      </c>
      <c r="AI105" s="16">
        <f t="shared" si="16"/>
        <v>1.9077298105276475E-2</v>
      </c>
      <c r="AJ105" s="56"/>
      <c r="AK105" s="56">
        <v>446513.0398694668</v>
      </c>
      <c r="AL105" s="56">
        <v>1792.4406133207071</v>
      </c>
      <c r="AM105" s="16">
        <f t="shared" si="22"/>
        <v>-1.9550567748907399E-2</v>
      </c>
      <c r="AN105" s="58">
        <f t="shared" si="22"/>
        <v>-1.9550567748907288E-2</v>
      </c>
      <c r="AP105" s="56">
        <f t="shared" si="23"/>
        <v>0</v>
      </c>
      <c r="AQ105" s="56">
        <f t="shared" si="17"/>
        <v>0</v>
      </c>
    </row>
    <row r="106" spans="1:43" x14ac:dyDescent="0.2">
      <c r="A106" s="156" t="s">
        <v>257</v>
      </c>
      <c r="B106" s="156" t="s">
        <v>258</v>
      </c>
      <c r="D106" s="68">
        <f>VLOOKUP(A106,'2016-17 disagg'!A106:BC314,43,FALSE)</f>
        <v>364396</v>
      </c>
      <c r="E106" s="73">
        <v>1547.3635351749053</v>
      </c>
      <c r="F106" s="55"/>
      <c r="G106" s="88">
        <v>366148.33565231145</v>
      </c>
      <c r="H106" s="81">
        <v>1546.3203521498638</v>
      </c>
      <c r="I106" s="90"/>
      <c r="J106" s="103">
        <f t="shared" si="18"/>
        <v>-4.7858626728142228E-3</v>
      </c>
      <c r="K106" s="126">
        <f t="shared" si="18"/>
        <v>6.746228383991415E-4</v>
      </c>
      <c r="L106" s="56">
        <v>373092</v>
      </c>
      <c r="M106" s="103">
        <v>1.6667538854001407E-2</v>
      </c>
      <c r="N106" s="97">
        <f>INDEX('Pace of change parameters'!$E$22:$I$22,1,$B$5)</f>
        <v>1.1119783131080974E-2</v>
      </c>
      <c r="O106" s="108">
        <f>MAX(IF(INDEX('Pace of change parameters'!$E$30:$I$30,1,$B$5)=1,(1+M106)*D106,D106),L106)</f>
        <v>373092</v>
      </c>
      <c r="P106" s="94">
        <f>IF(K106&lt;INDEX('Pace of change parameters'!$E$18:$I$18,1,$B$5),1,IF(K106&gt;INDEX('Pace of change parameters'!$E$19:$I$19,1,$B$5),0,(K106-INDEX('Pace of change parameters'!$E$19:$I$19,1,$B$5))/(INDEX('Pace of change parameters'!$E$18:$I$18,1,$B$5)-INDEX('Pace of change parameters'!$E$19:$I$19,1,$B$5))))</f>
        <v>0.37815577844210946</v>
      </c>
      <c r="Q106" s="57">
        <v>2.1945222354645022E-2</v>
      </c>
      <c r="R106" s="57">
        <v>1.6368667346092325E-2</v>
      </c>
      <c r="S106" s="9">
        <f>MAX(IF(INDEX('Pace of change parameters'!$E$31:$I$31,1,$B$5)=1,D106*(1+Q106),D106),L106)</f>
        <v>373092</v>
      </c>
      <c r="T106" s="103">
        <f>IF(Q106&lt;INDEX('Pace of change parameters'!$E$24:$I$24,1,$B$5),INDEX('Pace of change parameters'!$E$24:$I$24,1,$B$5),Q106)</f>
        <v>2.1945222354645022E-2</v>
      </c>
      <c r="U106" s="132">
        <v>1.6368667346092325E-2</v>
      </c>
      <c r="V106" s="117">
        <f t="shared" si="19"/>
        <v>373092</v>
      </c>
      <c r="W106" s="131">
        <f>IF(J106&gt;INDEX('Pace of change parameters'!$E$26:$I$26,1,$B$5),0,IF(J106&lt;INDEX('Pace of change parameters'!$E$25:$I$25,1,$B$5),1,(J106-INDEX('Pace of change parameters'!$E$26:$I$26,1,$B$5))/(INDEX('Pace of change parameters'!$E$25:$I$25,1,$B$5)-INDEX('Pace of change parameters'!$E$26:$I$26,1,$B$5))))</f>
        <v>1</v>
      </c>
      <c r="X106" s="132">
        <f>MIN(T106, T106+(INDEX('Pace of change parameters'!$E$27:$I$27,1,$B$5)-T106)*(1-W106))</f>
        <v>2.1945222354645022E-2</v>
      </c>
      <c r="Y106" s="132">
        <v>1.6368667346092325E-2</v>
      </c>
      <c r="Z106" s="108">
        <f t="shared" si="20"/>
        <v>373092</v>
      </c>
      <c r="AA106" s="97">
        <f>MIN(VLOOKUP(A106,'2016-17 disagg'!$A$12:$BC$220,54,FALSE),MIN(0,VLOOKUP(A106,'2016-17 disagg'!$A$12:$BC$220,54,FALSE),-2.5%))</f>
        <v>-2.5000000000000001E-2</v>
      </c>
      <c r="AB106" s="99">
        <f t="shared" si="13"/>
        <v>366506.12237461942</v>
      </c>
      <c r="AC106" s="99">
        <f>MAX(IF(INDEX('Pace of change parameters'!$E$29:$I$29,1,$B$5)=1,MAX(AB106,Z106),Z106),L106)</f>
        <v>373092</v>
      </c>
      <c r="AD106" s="97">
        <f t="shared" si="14"/>
        <v>2.3864147795255697E-2</v>
      </c>
      <c r="AE106" s="146">
        <v>1.8277121586248501E-2</v>
      </c>
      <c r="AF106" s="56">
        <f t="shared" si="21"/>
        <v>373092</v>
      </c>
      <c r="AG106" s="56">
        <v>1575.6448866454241</v>
      </c>
      <c r="AH106" s="16">
        <f t="shared" si="15"/>
        <v>2.3864147795255697E-2</v>
      </c>
      <c r="AI106" s="16">
        <f t="shared" si="16"/>
        <v>1.8277121586248279E-2</v>
      </c>
      <c r="AJ106" s="56"/>
      <c r="AK106" s="56">
        <v>375903.7152560199</v>
      </c>
      <c r="AL106" s="56">
        <v>1587.5193432562619</v>
      </c>
      <c r="AM106" s="16">
        <f t="shared" si="22"/>
        <v>-7.479881527919785E-3</v>
      </c>
      <c r="AN106" s="58">
        <f t="shared" si="22"/>
        <v>-7.479881527919785E-3</v>
      </c>
      <c r="AP106" s="56">
        <f t="shared" si="23"/>
        <v>1</v>
      </c>
      <c r="AQ106" s="56">
        <f t="shared" si="17"/>
        <v>0</v>
      </c>
    </row>
    <row r="107" spans="1:43" x14ac:dyDescent="0.2">
      <c r="A107" s="156" t="s">
        <v>259</v>
      </c>
      <c r="B107" s="156" t="s">
        <v>260</v>
      </c>
      <c r="D107" s="68">
        <f>VLOOKUP(A107,'2016-17 disagg'!A107:BC315,43,FALSE)</f>
        <v>323825</v>
      </c>
      <c r="E107" s="73">
        <v>1701.5017099534414</v>
      </c>
      <c r="F107" s="55"/>
      <c r="G107" s="88">
        <v>329652.95847300778</v>
      </c>
      <c r="H107" s="81">
        <v>1723.9521397407325</v>
      </c>
      <c r="I107" s="90"/>
      <c r="J107" s="103">
        <f t="shared" si="18"/>
        <v>-1.7679072258303341E-2</v>
      </c>
      <c r="K107" s="126">
        <f t="shared" si="18"/>
        <v>-1.302265258400237E-2</v>
      </c>
      <c r="L107" s="56">
        <v>331421</v>
      </c>
      <c r="M107" s="103">
        <v>1.5912715785046272E-2</v>
      </c>
      <c r="N107" s="97">
        <f>INDEX('Pace of change parameters'!$E$22:$I$22,1,$B$5)</f>
        <v>1.1119783131080974E-2</v>
      </c>
      <c r="O107" s="108">
        <f>MAX(IF(INDEX('Pace of change parameters'!$E$30:$I$30,1,$B$5)=1,(1+M107)*D107,D107),L107)</f>
        <v>331421</v>
      </c>
      <c r="P107" s="94">
        <f>IF(K107&lt;INDEX('Pace of change parameters'!$E$18:$I$18,1,$B$5),1,IF(K107&gt;INDEX('Pace of change parameters'!$E$19:$I$19,1,$B$5),0,(K107-INDEX('Pace of change parameters'!$E$19:$I$19,1,$B$5))/(INDEX('Pace of change parameters'!$E$18:$I$18,1,$B$5)-INDEX('Pace of change parameters'!$E$19:$I$19,1,$B$5))))</f>
        <v>0.57774914344410977</v>
      </c>
      <c r="Q107" s="57">
        <v>2.3970012378790262E-2</v>
      </c>
      <c r="R107" s="57">
        <v>1.9139066537917415E-2</v>
      </c>
      <c r="S107" s="9">
        <f>MAX(IF(INDEX('Pace of change parameters'!$E$31:$I$31,1,$B$5)=1,D107*(1+Q107),D107),L107)</f>
        <v>331587.08925856178</v>
      </c>
      <c r="T107" s="103">
        <f>IF(Q107&lt;INDEX('Pace of change parameters'!$E$24:$I$24,1,$B$5),INDEX('Pace of change parameters'!$E$24:$I$24,1,$B$5),Q107)</f>
        <v>2.3970012378790262E-2</v>
      </c>
      <c r="U107" s="132">
        <v>1.9139066537917415E-2</v>
      </c>
      <c r="V107" s="117">
        <f t="shared" si="19"/>
        <v>331587.08925856178</v>
      </c>
      <c r="W107" s="131">
        <f>IF(J107&gt;INDEX('Pace of change parameters'!$E$26:$I$26,1,$B$5),0,IF(J107&lt;INDEX('Pace of change parameters'!$E$25:$I$25,1,$B$5),1,(J107-INDEX('Pace of change parameters'!$E$26:$I$26,1,$B$5))/(INDEX('Pace of change parameters'!$E$25:$I$25,1,$B$5)-INDEX('Pace of change parameters'!$E$26:$I$26,1,$B$5))))</f>
        <v>1</v>
      </c>
      <c r="X107" s="132">
        <f>MIN(T107, T107+(INDEX('Pace of change parameters'!$E$27:$I$27,1,$B$5)-T107)*(1-W107))</f>
        <v>2.3970012378790262E-2</v>
      </c>
      <c r="Y107" s="132">
        <v>1.9139066537917415E-2</v>
      </c>
      <c r="Z107" s="108">
        <f t="shared" si="20"/>
        <v>331587.08925856178</v>
      </c>
      <c r="AA107" s="97">
        <f>MIN(VLOOKUP(A107,'2016-17 disagg'!$A$12:$BC$220,54,FALSE),MIN(0,VLOOKUP(A107,'2016-17 disagg'!$A$12:$BC$220,54,FALSE),-2.5%))</f>
        <v>-2.5000000000000001E-2</v>
      </c>
      <c r="AB107" s="99">
        <f t="shared" si="13"/>
        <v>329811.35410198476</v>
      </c>
      <c r="AC107" s="99">
        <f>MAX(IF(INDEX('Pace of change parameters'!$E$29:$I$29,1,$B$5)=1,MAX(AB107,Z107),Z107),L107)</f>
        <v>331587.08925856178</v>
      </c>
      <c r="AD107" s="97">
        <f t="shared" si="14"/>
        <v>2.3970012378790262E-2</v>
      </c>
      <c r="AE107" s="146">
        <v>1.9139066537917415E-2</v>
      </c>
      <c r="AF107" s="56">
        <f t="shared" si="21"/>
        <v>331587.08925856178</v>
      </c>
      <c r="AG107" s="56">
        <v>1734.066864394621</v>
      </c>
      <c r="AH107" s="16">
        <f t="shared" si="15"/>
        <v>2.3970012378790262E-2</v>
      </c>
      <c r="AI107" s="16">
        <f t="shared" si="16"/>
        <v>1.9139066537917637E-2</v>
      </c>
      <c r="AJ107" s="56"/>
      <c r="AK107" s="56">
        <v>338268.05548921513</v>
      </c>
      <c r="AL107" s="56">
        <v>1769.0056256974822</v>
      </c>
      <c r="AM107" s="16">
        <f t="shared" si="22"/>
        <v>-1.9750508870815753E-2</v>
      </c>
      <c r="AN107" s="58">
        <f t="shared" si="22"/>
        <v>-1.9750508870815753E-2</v>
      </c>
      <c r="AP107" s="56">
        <f t="shared" si="23"/>
        <v>0</v>
      </c>
      <c r="AQ107" s="56">
        <f t="shared" si="17"/>
        <v>0</v>
      </c>
    </row>
    <row r="108" spans="1:43" x14ac:dyDescent="0.2">
      <c r="A108" s="156" t="s">
        <v>261</v>
      </c>
      <c r="B108" s="156" t="s">
        <v>262</v>
      </c>
      <c r="D108" s="68">
        <f>VLOOKUP(A108,'2016-17 disagg'!A108:BC316,43,FALSE)</f>
        <v>400829</v>
      </c>
      <c r="E108" s="73">
        <v>1398.5227122280771</v>
      </c>
      <c r="F108" s="55"/>
      <c r="G108" s="88">
        <v>415833.94854453055</v>
      </c>
      <c r="H108" s="81">
        <v>1431.6900252525681</v>
      </c>
      <c r="I108" s="90"/>
      <c r="J108" s="103">
        <f t="shared" si="18"/>
        <v>-3.6083991211034339E-2</v>
      </c>
      <c r="K108" s="126">
        <f t="shared" si="18"/>
        <v>-2.3166546137415422E-2</v>
      </c>
      <c r="L108" s="56">
        <v>415049</v>
      </c>
      <c r="M108" s="103">
        <v>2.4669806309816966E-2</v>
      </c>
      <c r="N108" s="97">
        <f>INDEX('Pace of change parameters'!$E$22:$I$22,1,$B$5)</f>
        <v>1.1119783131080974E-2</v>
      </c>
      <c r="O108" s="108">
        <f>MAX(IF(INDEX('Pace of change parameters'!$E$30:$I$30,1,$B$5)=1,(1+M108)*D108,D108),L108)</f>
        <v>415049</v>
      </c>
      <c r="P108" s="94">
        <f>IF(K108&lt;INDEX('Pace of change parameters'!$E$18:$I$18,1,$B$5),1,IF(K108&gt;INDEX('Pace of change parameters'!$E$19:$I$19,1,$B$5),0,(K108-INDEX('Pace of change parameters'!$E$19:$I$19,1,$B$5))/(INDEX('Pace of change parameters'!$E$18:$I$18,1,$B$5)-INDEX('Pace of change parameters'!$E$19:$I$19,1,$B$5))))</f>
        <v>0.72556349236466533</v>
      </c>
      <c r="Q108" s="57">
        <v>3.4875746189951373E-2</v>
      </c>
      <c r="R108" s="57">
        <v>2.1190761757272858E-2</v>
      </c>
      <c r="S108" s="9">
        <f>MAX(IF(INDEX('Pace of change parameters'!$E$31:$I$31,1,$B$5)=1,D108*(1+Q108),D108),L108)</f>
        <v>415049</v>
      </c>
      <c r="T108" s="103">
        <f>IF(Q108&lt;INDEX('Pace of change parameters'!$E$24:$I$24,1,$B$5),INDEX('Pace of change parameters'!$E$24:$I$24,1,$B$5),Q108)</f>
        <v>3.4875746189951373E-2</v>
      </c>
      <c r="U108" s="132">
        <v>2.1190761757272858E-2</v>
      </c>
      <c r="V108" s="117">
        <f t="shared" si="19"/>
        <v>415049</v>
      </c>
      <c r="W108" s="131">
        <f>IF(J108&gt;INDEX('Pace of change parameters'!$E$26:$I$26,1,$B$5),0,IF(J108&lt;INDEX('Pace of change parameters'!$E$25:$I$25,1,$B$5),1,(J108-INDEX('Pace of change parameters'!$E$26:$I$26,1,$B$5))/(INDEX('Pace of change parameters'!$E$25:$I$25,1,$B$5)-INDEX('Pace of change parameters'!$E$26:$I$26,1,$B$5))))</f>
        <v>1</v>
      </c>
      <c r="X108" s="132">
        <f>MIN(T108, T108+(INDEX('Pace of change parameters'!$E$27:$I$27,1,$B$5)-T108)*(1-W108))</f>
        <v>3.4875746189951373E-2</v>
      </c>
      <c r="Y108" s="132">
        <v>2.1190761757272858E-2</v>
      </c>
      <c r="Z108" s="108">
        <f t="shared" si="20"/>
        <v>415049</v>
      </c>
      <c r="AA108" s="97">
        <f>MIN(VLOOKUP(A108,'2016-17 disagg'!$A$12:$BC$220,54,FALSE),MIN(0,VLOOKUP(A108,'2016-17 disagg'!$A$12:$BC$220,54,FALSE),-2.5%))</f>
        <v>-3.0064769813314296E-2</v>
      </c>
      <c r="AB108" s="99">
        <f t="shared" si="13"/>
        <v>414165.40588350251</v>
      </c>
      <c r="AC108" s="99">
        <f>MAX(IF(INDEX('Pace of change parameters'!$E$29:$I$29,1,$B$5)=1,MAX(AB108,Z108),Z108),L108)</f>
        <v>415049</v>
      </c>
      <c r="AD108" s="97">
        <f t="shared" si="14"/>
        <v>3.5476475005550956E-2</v>
      </c>
      <c r="AE108" s="146">
        <v>2.1783546658330044E-2</v>
      </c>
      <c r="AF108" s="56">
        <f t="shared" si="21"/>
        <v>415049</v>
      </c>
      <c r="AG108" s="56">
        <v>1428.9874969826315</v>
      </c>
      <c r="AH108" s="16">
        <f t="shared" si="15"/>
        <v>3.5476475005550956E-2</v>
      </c>
      <c r="AI108" s="16">
        <f t="shared" si="16"/>
        <v>2.1783546658329822E-2</v>
      </c>
      <c r="AJ108" s="56"/>
      <c r="AK108" s="56">
        <v>427003.15752402059</v>
      </c>
      <c r="AL108" s="56">
        <v>1470.1449064422045</v>
      </c>
      <c r="AM108" s="16">
        <f t="shared" si="22"/>
        <v>-2.7995478050646727E-2</v>
      </c>
      <c r="AN108" s="58">
        <f t="shared" si="22"/>
        <v>-2.7995478050646838E-2</v>
      </c>
      <c r="AP108" s="56">
        <f t="shared" si="23"/>
        <v>1</v>
      </c>
      <c r="AQ108" s="56">
        <f t="shared" si="17"/>
        <v>0</v>
      </c>
    </row>
    <row r="109" spans="1:43" x14ac:dyDescent="0.2">
      <c r="A109" s="156" t="s">
        <v>263</v>
      </c>
      <c r="B109" s="156" t="s">
        <v>264</v>
      </c>
      <c r="D109" s="68">
        <f>VLOOKUP(A109,'2016-17 disagg'!A109:BC317,43,FALSE)</f>
        <v>988410</v>
      </c>
      <c r="E109" s="73">
        <v>1484.8220854493372</v>
      </c>
      <c r="F109" s="55"/>
      <c r="G109" s="88">
        <v>1017600.9662588586</v>
      </c>
      <c r="H109" s="81">
        <v>1516.7414907779246</v>
      </c>
      <c r="I109" s="90"/>
      <c r="J109" s="103">
        <f t="shared" si="18"/>
        <v>-2.8686063817507157E-2</v>
      </c>
      <c r="K109" s="126">
        <f t="shared" si="18"/>
        <v>-2.1044723522540498E-2</v>
      </c>
      <c r="L109" s="56">
        <v>1012393</v>
      </c>
      <c r="M109" s="103">
        <v>1.9074276579660321E-2</v>
      </c>
      <c r="N109" s="97">
        <f>INDEX('Pace of change parameters'!$E$22:$I$22,1,$B$5)</f>
        <v>1.1119783131080974E-2</v>
      </c>
      <c r="O109" s="108">
        <f>MAX(IF(INDEX('Pace of change parameters'!$E$30:$I$30,1,$B$5)=1,(1+M109)*D109,D109),L109)</f>
        <v>1012393</v>
      </c>
      <c r="P109" s="94">
        <f>IF(K109&lt;INDEX('Pace of change parameters'!$E$18:$I$18,1,$B$5),1,IF(K109&gt;INDEX('Pace of change parameters'!$E$19:$I$19,1,$B$5),0,(K109-INDEX('Pace of change parameters'!$E$19:$I$19,1,$B$5))/(INDEX('Pace of change parameters'!$E$18:$I$18,1,$B$5)-INDEX('Pace of change parameters'!$E$19:$I$19,1,$B$5))))</f>
        <v>0.69464480944560802</v>
      </c>
      <c r="Q109" s="57">
        <v>2.8791949518904625E-2</v>
      </c>
      <c r="R109" s="57">
        <v>2.0761603733054912E-2</v>
      </c>
      <c r="S109" s="9">
        <f>MAX(IF(INDEX('Pace of change parameters'!$E$31:$I$31,1,$B$5)=1,D109*(1+Q109),D109),L109)</f>
        <v>1016868.2508239805</v>
      </c>
      <c r="T109" s="103">
        <f>IF(Q109&lt;INDEX('Pace of change parameters'!$E$24:$I$24,1,$B$5),INDEX('Pace of change parameters'!$E$24:$I$24,1,$B$5),Q109)</f>
        <v>2.8791949518904625E-2</v>
      </c>
      <c r="U109" s="132">
        <v>2.0761603733054912E-2</v>
      </c>
      <c r="V109" s="117">
        <f t="shared" si="19"/>
        <v>1016868.2508239805</v>
      </c>
      <c r="W109" s="131">
        <f>IF(J109&gt;INDEX('Pace of change parameters'!$E$26:$I$26,1,$B$5),0,IF(J109&lt;INDEX('Pace of change parameters'!$E$25:$I$25,1,$B$5),1,(J109-INDEX('Pace of change parameters'!$E$26:$I$26,1,$B$5))/(INDEX('Pace of change parameters'!$E$25:$I$25,1,$B$5)-INDEX('Pace of change parameters'!$E$26:$I$26,1,$B$5))))</f>
        <v>1</v>
      </c>
      <c r="X109" s="132">
        <f>MIN(T109, T109+(INDEX('Pace of change parameters'!$E$27:$I$27,1,$B$5)-T109)*(1-W109))</f>
        <v>2.8791949518904625E-2</v>
      </c>
      <c r="Y109" s="132">
        <v>2.0761603733054912E-2</v>
      </c>
      <c r="Z109" s="108">
        <f t="shared" si="20"/>
        <v>1016868.2508239805</v>
      </c>
      <c r="AA109" s="97">
        <f>MIN(VLOOKUP(A109,'2016-17 disagg'!$A$12:$BC$220,54,FALSE),MIN(0,VLOOKUP(A109,'2016-17 disagg'!$A$12:$BC$220,54,FALSE),-2.5%))</f>
        <v>-2.795004914582655E-2</v>
      </c>
      <c r="AB109" s="99">
        <f t="shared" si="13"/>
        <v>1015104.7284216931</v>
      </c>
      <c r="AC109" s="99">
        <f>MAX(IF(INDEX('Pace of change parameters'!$E$29:$I$29,1,$B$5)=1,MAX(AB109,Z109),Z109),L109)</f>
        <v>1016868.2508239805</v>
      </c>
      <c r="AD109" s="97">
        <f t="shared" si="14"/>
        <v>2.8791949518904625E-2</v>
      </c>
      <c r="AE109" s="146">
        <v>2.0761603733054912E-2</v>
      </c>
      <c r="AF109" s="56">
        <f t="shared" si="21"/>
        <v>1016868.2508239805</v>
      </c>
      <c r="AG109" s="56">
        <v>1515.6493732015247</v>
      </c>
      <c r="AH109" s="16">
        <f t="shared" si="15"/>
        <v>2.8791949518904625E-2</v>
      </c>
      <c r="AI109" s="16">
        <f t="shared" si="16"/>
        <v>2.0761603733054912E-2</v>
      </c>
      <c r="AJ109" s="56"/>
      <c r="AK109" s="56">
        <v>1044292.7624549397</v>
      </c>
      <c r="AL109" s="56">
        <v>1556.5258031914859</v>
      </c>
      <c r="AM109" s="16">
        <f t="shared" si="22"/>
        <v>-2.6261325000940472E-2</v>
      </c>
      <c r="AN109" s="58">
        <f t="shared" si="22"/>
        <v>-2.626132500094025E-2</v>
      </c>
      <c r="AP109" s="56">
        <f t="shared" si="23"/>
        <v>0</v>
      </c>
      <c r="AQ109" s="56">
        <f t="shared" si="17"/>
        <v>0</v>
      </c>
    </row>
    <row r="110" spans="1:43" x14ac:dyDescent="0.2">
      <c r="A110" s="156" t="s">
        <v>265</v>
      </c>
      <c r="B110" s="156" t="s">
        <v>266</v>
      </c>
      <c r="D110" s="68">
        <f>VLOOKUP(A110,'2016-17 disagg'!A110:BC318,43,FALSE)</f>
        <v>207285</v>
      </c>
      <c r="E110" s="73">
        <v>1571.5917943244713</v>
      </c>
      <c r="F110" s="55"/>
      <c r="G110" s="88">
        <v>211511.09784520417</v>
      </c>
      <c r="H110" s="81">
        <v>1594.2397265877908</v>
      </c>
      <c r="I110" s="90"/>
      <c r="J110" s="103">
        <f t="shared" si="18"/>
        <v>-1.9980501677018703E-2</v>
      </c>
      <c r="K110" s="126">
        <f t="shared" si="18"/>
        <v>-1.4206102059565184E-2</v>
      </c>
      <c r="L110" s="56">
        <v>212110</v>
      </c>
      <c r="M110" s="103">
        <v>1.7077429584955617E-2</v>
      </c>
      <c r="N110" s="97">
        <f>INDEX('Pace of change parameters'!$E$22:$I$22,1,$B$5)</f>
        <v>1.1119783131080974E-2</v>
      </c>
      <c r="O110" s="108">
        <f>MAX(IF(INDEX('Pace of change parameters'!$E$30:$I$30,1,$B$5)=1,(1+M110)*D110,D110),L110)</f>
        <v>212110</v>
      </c>
      <c r="P110" s="94">
        <f>IF(K110&lt;INDEX('Pace of change parameters'!$E$18:$I$18,1,$B$5),1,IF(K110&gt;INDEX('Pace of change parameters'!$E$19:$I$19,1,$B$5),0,(K110-INDEX('Pace of change parameters'!$E$19:$I$19,1,$B$5))/(INDEX('Pace of change parameters'!$E$18:$I$18,1,$B$5)-INDEX('Pace of change parameters'!$E$19:$I$19,1,$B$5))))</f>
        <v>0.59499408127686459</v>
      </c>
      <c r="Q110" s="57">
        <v>2.5384737467372132E-2</v>
      </c>
      <c r="R110" s="57">
        <v>1.9378430014927117E-2</v>
      </c>
      <c r="S110" s="9">
        <f>MAX(IF(INDEX('Pace of change parameters'!$E$31:$I$31,1,$B$5)=1,D110*(1+Q110),D110),L110)</f>
        <v>212546.87530592424</v>
      </c>
      <c r="T110" s="103">
        <f>IF(Q110&lt;INDEX('Pace of change parameters'!$E$24:$I$24,1,$B$5),INDEX('Pace of change parameters'!$E$24:$I$24,1,$B$5),Q110)</f>
        <v>2.5384737467372132E-2</v>
      </c>
      <c r="U110" s="132">
        <v>1.9378430014927117E-2</v>
      </c>
      <c r="V110" s="117">
        <f t="shared" si="19"/>
        <v>212546.87530592424</v>
      </c>
      <c r="W110" s="131">
        <f>IF(J110&gt;INDEX('Pace of change parameters'!$E$26:$I$26,1,$B$5),0,IF(J110&lt;INDEX('Pace of change parameters'!$E$25:$I$25,1,$B$5),1,(J110-INDEX('Pace of change parameters'!$E$26:$I$26,1,$B$5))/(INDEX('Pace of change parameters'!$E$25:$I$25,1,$B$5)-INDEX('Pace of change parameters'!$E$26:$I$26,1,$B$5))))</f>
        <v>1</v>
      </c>
      <c r="X110" s="132">
        <f>MIN(T110, T110+(INDEX('Pace of change parameters'!$E$27:$I$27,1,$B$5)-T110)*(1-W110))</f>
        <v>2.5384737467372132E-2</v>
      </c>
      <c r="Y110" s="132">
        <v>1.9378430014927117E-2</v>
      </c>
      <c r="Z110" s="108">
        <f t="shared" si="20"/>
        <v>212546.87530592424</v>
      </c>
      <c r="AA110" s="97">
        <f>MIN(VLOOKUP(A110,'2016-17 disagg'!$A$12:$BC$220,54,FALSE),MIN(0,VLOOKUP(A110,'2016-17 disagg'!$A$12:$BC$220,54,FALSE),-2.5%))</f>
        <v>-2.5000000000000001E-2</v>
      </c>
      <c r="AB110" s="99">
        <f t="shared" si="13"/>
        <v>211550.96466278378</v>
      </c>
      <c r="AC110" s="99">
        <f>MAX(IF(INDEX('Pace of change parameters'!$E$29:$I$29,1,$B$5)=1,MAX(AB110,Z110),Z110),L110)</f>
        <v>212546.87530592424</v>
      </c>
      <c r="AD110" s="97">
        <f t="shared" si="14"/>
        <v>2.5384737467372132E-2</v>
      </c>
      <c r="AE110" s="146">
        <v>1.9378430014927117E-2</v>
      </c>
      <c r="AF110" s="56">
        <f t="shared" si="21"/>
        <v>212546.87530592424</v>
      </c>
      <c r="AG110" s="56">
        <v>1602.046775922822</v>
      </c>
      <c r="AH110" s="16">
        <f t="shared" si="15"/>
        <v>2.5384737467372132E-2</v>
      </c>
      <c r="AI110" s="16">
        <f t="shared" si="16"/>
        <v>1.9378430014927339E-2</v>
      </c>
      <c r="AJ110" s="56"/>
      <c r="AK110" s="56">
        <v>216975.34837208592</v>
      </c>
      <c r="AL110" s="56">
        <v>1635.425864595351</v>
      </c>
      <c r="AM110" s="16">
        <f t="shared" si="22"/>
        <v>-2.0410028601808738E-2</v>
      </c>
      <c r="AN110" s="58">
        <f t="shared" si="22"/>
        <v>-2.0410028601808738E-2</v>
      </c>
      <c r="AP110" s="56">
        <f t="shared" si="23"/>
        <v>0</v>
      </c>
      <c r="AQ110" s="56">
        <f t="shared" si="17"/>
        <v>0</v>
      </c>
    </row>
    <row r="111" spans="1:43" x14ac:dyDescent="0.2">
      <c r="A111" s="156" t="s">
        <v>267</v>
      </c>
      <c r="B111" s="156" t="s">
        <v>268</v>
      </c>
      <c r="D111" s="68">
        <f>VLOOKUP(A111,'2016-17 disagg'!A111:BC319,43,FALSE)</f>
        <v>498492</v>
      </c>
      <c r="E111" s="73">
        <v>1705.7182346118182</v>
      </c>
      <c r="F111" s="55"/>
      <c r="G111" s="88">
        <v>465415.87525778823</v>
      </c>
      <c r="H111" s="81">
        <v>1586.9126808407846</v>
      </c>
      <c r="I111" s="90"/>
      <c r="J111" s="103">
        <f t="shared" si="18"/>
        <v>7.1067891106832759E-2</v>
      </c>
      <c r="K111" s="126">
        <f t="shared" si="18"/>
        <v>7.4865841835788594E-2</v>
      </c>
      <c r="L111" s="56">
        <v>506887</v>
      </c>
      <c r="M111" s="103">
        <v>1.4705161004220368E-2</v>
      </c>
      <c r="N111" s="97">
        <f>INDEX('Pace of change parameters'!$E$22:$I$22,1,$B$5)</f>
        <v>1.1119783131080974E-2</v>
      </c>
      <c r="O111" s="108">
        <f>MAX(IF(INDEX('Pace of change parameters'!$E$30:$I$30,1,$B$5)=1,(1+M111)*D111,D111),L111)</f>
        <v>506887</v>
      </c>
      <c r="P111" s="94">
        <f>IF(K111&lt;INDEX('Pace of change parameters'!$E$18:$I$18,1,$B$5),1,IF(K111&gt;INDEX('Pace of change parameters'!$E$19:$I$19,1,$B$5),0,(K111-INDEX('Pace of change parameters'!$E$19:$I$19,1,$B$5))/(INDEX('Pace of change parameters'!$E$18:$I$18,1,$B$5)-INDEX('Pace of change parameters'!$E$19:$I$19,1,$B$5))))</f>
        <v>0</v>
      </c>
      <c r="Q111" s="57">
        <v>1.4705161004220368E-2</v>
      </c>
      <c r="R111" s="57">
        <v>1.1119783131080974E-2</v>
      </c>
      <c r="S111" s="9">
        <f>MAX(IF(INDEX('Pace of change parameters'!$E$31:$I$31,1,$B$5)=1,D111*(1+Q111),D111),L111)</f>
        <v>506887</v>
      </c>
      <c r="T111" s="103">
        <f>IF(Q111&lt;INDEX('Pace of change parameters'!$E$24:$I$24,1,$B$5),INDEX('Pace of change parameters'!$E$24:$I$24,1,$B$5),Q111)</f>
        <v>1.9644681315626574E-2</v>
      </c>
      <c r="U111" s="132">
        <v>1.6041850050596551E-2</v>
      </c>
      <c r="V111" s="117">
        <f t="shared" si="19"/>
        <v>508284.71647838934</v>
      </c>
      <c r="W111" s="131">
        <f>IF(J111&gt;INDEX('Pace of change parameters'!$E$26:$I$26,1,$B$5),0,IF(J111&lt;INDEX('Pace of change parameters'!$E$25:$I$25,1,$B$5),1,(J111-INDEX('Pace of change parameters'!$E$26:$I$26,1,$B$5))/(INDEX('Pace of change parameters'!$E$25:$I$25,1,$B$5)-INDEX('Pace of change parameters'!$E$26:$I$26,1,$B$5))))</f>
        <v>0.57864217786334493</v>
      </c>
      <c r="X111" s="132">
        <f>MIN(T111, T111+(INDEX('Pace of change parameters'!$E$27:$I$27,1,$B$5)-T111)*(1-W111))</f>
        <v>1.1891697388312122E-2</v>
      </c>
      <c r="Y111" s="132">
        <v>8.316260659243957E-3</v>
      </c>
      <c r="Z111" s="108">
        <f t="shared" si="20"/>
        <v>506887</v>
      </c>
      <c r="AA111" s="97">
        <f>MIN(VLOOKUP(A111,'2016-17 disagg'!$A$12:$BC$220,54,FALSE),MIN(0,VLOOKUP(A111,'2016-17 disagg'!$A$12:$BC$220,54,FALSE),-2.5%))</f>
        <v>-2.5000000000000001E-2</v>
      </c>
      <c r="AB111" s="99">
        <f t="shared" si="13"/>
        <v>465530.53981453582</v>
      </c>
      <c r="AC111" s="99">
        <f>MAX(IF(INDEX('Pace of change parameters'!$E$29:$I$29,1,$B$5)=1,MAX(AB111,Z111),Z111),L111)</f>
        <v>506887</v>
      </c>
      <c r="AD111" s="97">
        <f t="shared" si="14"/>
        <v>1.6840791828153678E-2</v>
      </c>
      <c r="AE111" s="146">
        <v>1.3247867877793418E-2</v>
      </c>
      <c r="AF111" s="56">
        <f t="shared" si="21"/>
        <v>506887</v>
      </c>
      <c r="AG111" s="56">
        <v>1728.3153644206989</v>
      </c>
      <c r="AH111" s="16">
        <f t="shared" si="15"/>
        <v>1.6840791828153678E-2</v>
      </c>
      <c r="AI111" s="16">
        <f t="shared" si="16"/>
        <v>1.324786787779364E-2</v>
      </c>
      <c r="AJ111" s="56"/>
      <c r="AK111" s="56">
        <v>477467.22032260086</v>
      </c>
      <c r="AL111" s="56">
        <v>1628.003742236029</v>
      </c>
      <c r="AM111" s="16">
        <f t="shared" si="22"/>
        <v>6.1616333907742682E-2</v>
      </c>
      <c r="AN111" s="58">
        <f t="shared" si="22"/>
        <v>6.1616333907742682E-2</v>
      </c>
      <c r="AP111" s="56">
        <f t="shared" si="23"/>
        <v>1</v>
      </c>
      <c r="AQ111" s="56">
        <f t="shared" si="17"/>
        <v>0</v>
      </c>
    </row>
    <row r="112" spans="1:43" x14ac:dyDescent="0.2">
      <c r="A112" s="156" t="s">
        <v>269</v>
      </c>
      <c r="B112" s="156" t="s">
        <v>270</v>
      </c>
      <c r="D112" s="68">
        <f>VLOOKUP(A112,'2016-17 disagg'!A112:BC320,43,FALSE)</f>
        <v>572406</v>
      </c>
      <c r="E112" s="73">
        <v>1601.2093535517499</v>
      </c>
      <c r="F112" s="55"/>
      <c r="G112" s="88">
        <v>573890.13299973053</v>
      </c>
      <c r="H112" s="81">
        <v>1597.5833702032269</v>
      </c>
      <c r="I112" s="90"/>
      <c r="J112" s="103">
        <f t="shared" si="18"/>
        <v>-2.5860925539404889E-3</v>
      </c>
      <c r="K112" s="126">
        <f t="shared" si="18"/>
        <v>2.2696676844238262E-3</v>
      </c>
      <c r="L112" s="56">
        <v>587137</v>
      </c>
      <c r="M112" s="103">
        <v>1.6042268372662649E-2</v>
      </c>
      <c r="N112" s="97">
        <f>INDEX('Pace of change parameters'!$E$22:$I$22,1,$B$5)</f>
        <v>1.1119783131080974E-2</v>
      </c>
      <c r="O112" s="108">
        <f>MAX(IF(INDEX('Pace of change parameters'!$E$30:$I$30,1,$B$5)=1,(1+M112)*D112,D112),L112)</f>
        <v>587137</v>
      </c>
      <c r="P112" s="94">
        <f>IF(K112&lt;INDEX('Pace of change parameters'!$E$18:$I$18,1,$B$5),1,IF(K112&gt;INDEX('Pace of change parameters'!$E$19:$I$19,1,$B$5),0,(K112-INDEX('Pace of change parameters'!$E$19:$I$19,1,$B$5))/(INDEX('Pace of change parameters'!$E$18:$I$18,1,$B$5)-INDEX('Pace of change parameters'!$E$19:$I$19,1,$B$5))))</f>
        <v>0.35491317300931696</v>
      </c>
      <c r="Q112" s="57">
        <v>2.0992523000234797E-2</v>
      </c>
      <c r="R112" s="57">
        <v>1.6046054942086441E-2</v>
      </c>
      <c r="S112" s="9">
        <f>MAX(IF(INDEX('Pace of change parameters'!$E$31:$I$31,1,$B$5)=1,D112*(1+Q112),D112),L112)</f>
        <v>587137</v>
      </c>
      <c r="T112" s="103">
        <f>IF(Q112&lt;INDEX('Pace of change parameters'!$E$24:$I$24,1,$B$5),INDEX('Pace of change parameters'!$E$24:$I$24,1,$B$5),Q112)</f>
        <v>2.0992523000234797E-2</v>
      </c>
      <c r="U112" s="132">
        <v>1.6046054942086441E-2</v>
      </c>
      <c r="V112" s="117">
        <f t="shared" si="19"/>
        <v>587137</v>
      </c>
      <c r="W112" s="131">
        <f>IF(J112&gt;INDEX('Pace of change parameters'!$E$26:$I$26,1,$B$5),0,IF(J112&lt;INDEX('Pace of change parameters'!$E$25:$I$25,1,$B$5),1,(J112-INDEX('Pace of change parameters'!$E$26:$I$26,1,$B$5))/(INDEX('Pace of change parameters'!$E$25:$I$25,1,$B$5)-INDEX('Pace of change parameters'!$E$26:$I$26,1,$B$5))))</f>
        <v>1</v>
      </c>
      <c r="X112" s="132">
        <f>MIN(T112, T112+(INDEX('Pace of change parameters'!$E$27:$I$27,1,$B$5)-T112)*(1-W112))</f>
        <v>2.0992523000234797E-2</v>
      </c>
      <c r="Y112" s="132">
        <v>1.6046054942086441E-2</v>
      </c>
      <c r="Z112" s="108">
        <f t="shared" si="20"/>
        <v>587137</v>
      </c>
      <c r="AA112" s="97">
        <f>MIN(VLOOKUP(A112,'2016-17 disagg'!$A$12:$BC$220,54,FALSE),MIN(0,VLOOKUP(A112,'2016-17 disagg'!$A$12:$BC$220,54,FALSE),-2.5%))</f>
        <v>-2.5000000000000001E-2</v>
      </c>
      <c r="AB112" s="99">
        <f t="shared" si="13"/>
        <v>574747.47575976397</v>
      </c>
      <c r="AC112" s="99">
        <f>MAX(IF(INDEX('Pace of change parameters'!$E$29:$I$29,1,$B$5)=1,MAX(AB112,Z112),Z112),L112)</f>
        <v>587137</v>
      </c>
      <c r="AD112" s="97">
        <f t="shared" si="14"/>
        <v>2.5735229889274347E-2</v>
      </c>
      <c r="AE112" s="146">
        <v>2.0765784534419796E-2</v>
      </c>
      <c r="AF112" s="56">
        <f t="shared" si="21"/>
        <v>587137</v>
      </c>
      <c r="AG112" s="56">
        <v>1634.4597219821035</v>
      </c>
      <c r="AH112" s="16">
        <f t="shared" si="15"/>
        <v>2.5735229889274347E-2</v>
      </c>
      <c r="AI112" s="16">
        <f t="shared" si="16"/>
        <v>2.0765784534420018E-2</v>
      </c>
      <c r="AJ112" s="56"/>
      <c r="AK112" s="56">
        <v>589484.5905228348</v>
      </c>
      <c r="AL112" s="56">
        <v>1640.9948954650902</v>
      </c>
      <c r="AM112" s="16">
        <f t="shared" si="22"/>
        <v>-3.9824459546137225E-3</v>
      </c>
      <c r="AN112" s="58">
        <f t="shared" si="22"/>
        <v>-3.9824459546137225E-3</v>
      </c>
      <c r="AP112" s="56">
        <f t="shared" si="23"/>
        <v>1</v>
      </c>
      <c r="AQ112" s="56">
        <f t="shared" si="17"/>
        <v>0</v>
      </c>
    </row>
    <row r="113" spans="1:43" x14ac:dyDescent="0.2">
      <c r="A113" s="156" t="s">
        <v>271</v>
      </c>
      <c r="B113" s="156" t="s">
        <v>272</v>
      </c>
      <c r="D113" s="68">
        <f>VLOOKUP(A113,'2016-17 disagg'!A113:BC321,43,FALSE)</f>
        <v>234801</v>
      </c>
      <c r="E113" s="73">
        <v>1554.5637268831067</v>
      </c>
      <c r="F113" s="55"/>
      <c r="G113" s="88">
        <v>240376.04441891413</v>
      </c>
      <c r="H113" s="81">
        <v>1582.0036587674074</v>
      </c>
      <c r="I113" s="90"/>
      <c r="J113" s="103">
        <f t="shared" si="18"/>
        <v>-2.3193011734556457E-2</v>
      </c>
      <c r="K113" s="126">
        <f t="shared" si="18"/>
        <v>-1.7345049571933391E-2</v>
      </c>
      <c r="L113" s="56">
        <v>240371</v>
      </c>
      <c r="M113" s="103">
        <v>1.7173169628786233E-2</v>
      </c>
      <c r="N113" s="97">
        <f>INDEX('Pace of change parameters'!$E$22:$I$22,1,$B$5)</f>
        <v>1.1119783131080974E-2</v>
      </c>
      <c r="O113" s="108">
        <f>MAX(IF(INDEX('Pace of change parameters'!$E$30:$I$30,1,$B$5)=1,(1+M113)*D113,D113),L113)</f>
        <v>240371</v>
      </c>
      <c r="P113" s="94">
        <f>IF(K113&lt;INDEX('Pace of change parameters'!$E$18:$I$18,1,$B$5),1,IF(K113&gt;INDEX('Pace of change parameters'!$E$19:$I$19,1,$B$5),0,(K113-INDEX('Pace of change parameters'!$E$19:$I$19,1,$B$5))/(INDEX('Pace of change parameters'!$E$18:$I$18,1,$B$5)-INDEX('Pace of change parameters'!$E$19:$I$19,1,$B$5))))</f>
        <v>0.64073406074267736</v>
      </c>
      <c r="Q113" s="57">
        <v>2.6119941247184197E-2</v>
      </c>
      <c r="R113" s="57">
        <v>2.0013310849492427E-2</v>
      </c>
      <c r="S113" s="9">
        <f>MAX(IF(INDEX('Pace of change parameters'!$E$31:$I$31,1,$B$5)=1,D113*(1+Q113),D113),L113)</f>
        <v>240933.9883247801</v>
      </c>
      <c r="T113" s="103">
        <f>IF(Q113&lt;INDEX('Pace of change parameters'!$E$24:$I$24,1,$B$5),INDEX('Pace of change parameters'!$E$24:$I$24,1,$B$5),Q113)</f>
        <v>2.6119941247184197E-2</v>
      </c>
      <c r="U113" s="132">
        <v>2.0013310849492427E-2</v>
      </c>
      <c r="V113" s="117">
        <f t="shared" si="19"/>
        <v>240933.9883247801</v>
      </c>
      <c r="W113" s="131">
        <f>IF(J113&gt;INDEX('Pace of change parameters'!$E$26:$I$26,1,$B$5),0,IF(J113&lt;INDEX('Pace of change parameters'!$E$25:$I$25,1,$B$5),1,(J113-INDEX('Pace of change parameters'!$E$26:$I$26,1,$B$5))/(INDEX('Pace of change parameters'!$E$25:$I$25,1,$B$5)-INDEX('Pace of change parameters'!$E$26:$I$26,1,$B$5))))</f>
        <v>1</v>
      </c>
      <c r="X113" s="132">
        <f>MIN(T113, T113+(INDEX('Pace of change parameters'!$E$27:$I$27,1,$B$5)-T113)*(1-W113))</f>
        <v>2.6119941247184197E-2</v>
      </c>
      <c r="Y113" s="132">
        <v>2.0013310849492427E-2</v>
      </c>
      <c r="Z113" s="108">
        <f t="shared" si="20"/>
        <v>240933.9883247801</v>
      </c>
      <c r="AA113" s="97">
        <f>MIN(VLOOKUP(A113,'2016-17 disagg'!$A$12:$BC$220,54,FALSE),MIN(0,VLOOKUP(A113,'2016-17 disagg'!$A$12:$BC$220,54,FALSE),-2.5%))</f>
        <v>-2.5000000000000001E-2</v>
      </c>
      <c r="AB113" s="99">
        <f t="shared" si="13"/>
        <v>240490.46434695856</v>
      </c>
      <c r="AC113" s="99">
        <f>MAX(IF(INDEX('Pace of change parameters'!$E$29:$I$29,1,$B$5)=1,MAX(AB113,Z113),Z113),L113)</f>
        <v>240933.9883247801</v>
      </c>
      <c r="AD113" s="97">
        <f t="shared" si="14"/>
        <v>2.6119941247184197E-2</v>
      </c>
      <c r="AE113" s="146">
        <v>2.0013310849492427E-2</v>
      </c>
      <c r="AF113" s="56">
        <f t="shared" si="21"/>
        <v>240933.9883247801</v>
      </c>
      <c r="AG113" s="56">
        <v>1585.6756939845636</v>
      </c>
      <c r="AH113" s="16">
        <f t="shared" si="15"/>
        <v>2.6119941247184197E-2</v>
      </c>
      <c r="AI113" s="16">
        <f t="shared" si="16"/>
        <v>2.0013310849492427E-2</v>
      </c>
      <c r="AJ113" s="56"/>
      <c r="AK113" s="56">
        <v>246656.88650970109</v>
      </c>
      <c r="AL113" s="56">
        <v>1623.3402037288047</v>
      </c>
      <c r="AM113" s="16">
        <f t="shared" si="22"/>
        <v>-2.3201858524618535E-2</v>
      </c>
      <c r="AN113" s="58">
        <f t="shared" si="22"/>
        <v>-2.3201858524618424E-2</v>
      </c>
      <c r="AP113" s="56">
        <f t="shared" si="23"/>
        <v>0</v>
      </c>
      <c r="AQ113" s="56">
        <f t="shared" si="17"/>
        <v>0</v>
      </c>
    </row>
    <row r="114" spans="1:43" x14ac:dyDescent="0.2">
      <c r="A114" s="156" t="s">
        <v>273</v>
      </c>
      <c r="B114" s="156" t="s">
        <v>274</v>
      </c>
      <c r="D114" s="68">
        <f>VLOOKUP(A114,'2016-17 disagg'!A114:BC322,43,FALSE)</f>
        <v>150446</v>
      </c>
      <c r="E114" s="73">
        <v>1578.3894438847001</v>
      </c>
      <c r="F114" s="55"/>
      <c r="G114" s="88">
        <v>149896.93088934454</v>
      </c>
      <c r="H114" s="81">
        <v>1562.1285857731655</v>
      </c>
      <c r="I114" s="90"/>
      <c r="J114" s="103">
        <f t="shared" si="18"/>
        <v>3.662977670041645E-3</v>
      </c>
      <c r="K114" s="126">
        <f t="shared" si="18"/>
        <v>1.040942356450536E-2</v>
      </c>
      <c r="L114" s="56">
        <v>153998</v>
      </c>
      <c r="M114" s="103">
        <v>1.7916352359480081E-2</v>
      </c>
      <c r="N114" s="97">
        <f>INDEX('Pace of change parameters'!$E$22:$I$22,1,$B$5)</f>
        <v>1.1119783131080974E-2</v>
      </c>
      <c r="O114" s="108">
        <f>MAX(IF(INDEX('Pace of change parameters'!$E$30:$I$30,1,$B$5)=1,(1+M114)*D114,D114),L114)</f>
        <v>153998</v>
      </c>
      <c r="P114" s="94">
        <f>IF(K114&lt;INDEX('Pace of change parameters'!$E$18:$I$18,1,$B$5),1,IF(K114&gt;INDEX('Pace of change parameters'!$E$19:$I$19,1,$B$5),0,(K114-INDEX('Pace of change parameters'!$E$19:$I$19,1,$B$5))/(INDEX('Pace of change parameters'!$E$18:$I$18,1,$B$5)-INDEX('Pace of change parameters'!$E$19:$I$19,1,$B$5))))</f>
        <v>0.23630263067158785</v>
      </c>
      <c r="Q114" s="57">
        <v>2.1218331243934019E-2</v>
      </c>
      <c r="R114" s="57">
        <v>1.4399714891498716E-2</v>
      </c>
      <c r="S114" s="9">
        <f>MAX(IF(INDEX('Pace of change parameters'!$E$31:$I$31,1,$B$5)=1,D114*(1+Q114),D114),L114)</f>
        <v>153998</v>
      </c>
      <c r="T114" s="103">
        <f>IF(Q114&lt;INDEX('Pace of change parameters'!$E$24:$I$24,1,$B$5),INDEX('Pace of change parameters'!$E$24:$I$24,1,$B$5),Q114)</f>
        <v>2.1218331243934019E-2</v>
      </c>
      <c r="U114" s="132">
        <v>1.4399714891498716E-2</v>
      </c>
      <c r="V114" s="117">
        <f t="shared" si="19"/>
        <v>153998</v>
      </c>
      <c r="W114" s="131">
        <f>IF(J114&gt;INDEX('Pace of change parameters'!$E$26:$I$26,1,$B$5),0,IF(J114&lt;INDEX('Pace of change parameters'!$E$25:$I$25,1,$B$5),1,(J114-INDEX('Pace of change parameters'!$E$26:$I$26,1,$B$5))/(INDEX('Pace of change parameters'!$E$25:$I$25,1,$B$5)-INDEX('Pace of change parameters'!$E$26:$I$26,1,$B$5))))</f>
        <v>1</v>
      </c>
      <c r="X114" s="132">
        <f>MIN(T114, T114+(INDEX('Pace of change parameters'!$E$27:$I$27,1,$B$5)-T114)*(1-W114))</f>
        <v>2.1218331243934019E-2</v>
      </c>
      <c r="Y114" s="132">
        <v>1.4399714891498716E-2</v>
      </c>
      <c r="Z114" s="108">
        <f t="shared" si="20"/>
        <v>153998</v>
      </c>
      <c r="AA114" s="97">
        <f>MIN(VLOOKUP(A114,'2016-17 disagg'!$A$12:$BC$220,54,FALSE),MIN(0,VLOOKUP(A114,'2016-17 disagg'!$A$12:$BC$220,54,FALSE),-2.5%))</f>
        <v>-2.5000000000000001E-2</v>
      </c>
      <c r="AB114" s="99">
        <f t="shared" si="13"/>
        <v>149967.36036742647</v>
      </c>
      <c r="AC114" s="99">
        <f>MAX(IF(INDEX('Pace of change parameters'!$E$29:$I$29,1,$B$5)=1,MAX(AB114,Z114),Z114),L114)</f>
        <v>153998</v>
      </c>
      <c r="AD114" s="97">
        <f t="shared" si="14"/>
        <v>2.3609800194089647E-2</v>
      </c>
      <c r="AE114" s="146">
        <v>1.6775216140340055E-2</v>
      </c>
      <c r="AF114" s="56">
        <f t="shared" si="21"/>
        <v>153998</v>
      </c>
      <c r="AG114" s="56">
        <v>1604.8672679594972</v>
      </c>
      <c r="AH114" s="16">
        <f t="shared" si="15"/>
        <v>2.3609800194089647E-2</v>
      </c>
      <c r="AI114" s="16">
        <f t="shared" si="16"/>
        <v>1.6775216140340055E-2</v>
      </c>
      <c r="AJ114" s="56"/>
      <c r="AK114" s="56">
        <v>153812.6772999246</v>
      </c>
      <c r="AL114" s="56">
        <v>1602.9359549855569</v>
      </c>
      <c r="AM114" s="16">
        <f t="shared" si="22"/>
        <v>1.2048597250149395E-3</v>
      </c>
      <c r="AN114" s="58">
        <f t="shared" si="22"/>
        <v>1.2048597250149395E-3</v>
      </c>
      <c r="AP114" s="56">
        <f t="shared" si="23"/>
        <v>1</v>
      </c>
      <c r="AQ114" s="56">
        <f t="shared" si="17"/>
        <v>0</v>
      </c>
    </row>
    <row r="115" spans="1:43" x14ac:dyDescent="0.2">
      <c r="A115" s="156" t="s">
        <v>275</v>
      </c>
      <c r="B115" s="156" t="s">
        <v>276</v>
      </c>
      <c r="D115" s="68">
        <f>VLOOKUP(A115,'2016-17 disagg'!A115:BC323,43,FALSE)</f>
        <v>176601</v>
      </c>
      <c r="E115" s="73">
        <v>1413.1755962452587</v>
      </c>
      <c r="F115" s="55"/>
      <c r="G115" s="88">
        <v>179834.97348039213</v>
      </c>
      <c r="H115" s="81">
        <v>1428.8503188740422</v>
      </c>
      <c r="I115" s="90"/>
      <c r="J115" s="103">
        <f t="shared" si="18"/>
        <v>-1.7983006407509161E-2</v>
      </c>
      <c r="K115" s="126">
        <f t="shared" si="18"/>
        <v>-1.0970164209457178E-2</v>
      </c>
      <c r="L115" s="56">
        <v>180667</v>
      </c>
      <c r="M115" s="103">
        <v>1.8340456020341955E-2</v>
      </c>
      <c r="N115" s="97">
        <f>INDEX('Pace of change parameters'!$E$22:$I$22,1,$B$5)</f>
        <v>1.1119783131080974E-2</v>
      </c>
      <c r="O115" s="108">
        <f>MAX(IF(INDEX('Pace of change parameters'!$E$30:$I$30,1,$B$5)=1,(1+M115)*D115,D115),L115)</f>
        <v>180667</v>
      </c>
      <c r="P115" s="94">
        <f>IF(K115&lt;INDEX('Pace of change parameters'!$E$18:$I$18,1,$B$5),1,IF(K115&gt;INDEX('Pace of change parameters'!$E$19:$I$19,1,$B$5),0,(K115-INDEX('Pace of change parameters'!$E$19:$I$19,1,$B$5))/(INDEX('Pace of change parameters'!$E$18:$I$18,1,$B$5)-INDEX('Pace of change parameters'!$E$19:$I$19,1,$B$5))))</f>
        <v>0.54784078220659183</v>
      </c>
      <c r="Q115" s="57">
        <v>2.5998908118418651E-2</v>
      </c>
      <c r="R115" s="57">
        <v>1.8723931997746801E-2</v>
      </c>
      <c r="S115" s="9">
        <f>MAX(IF(INDEX('Pace of change parameters'!$E$31:$I$31,1,$B$5)=1,D115*(1+Q115),D115),L115)</f>
        <v>181192.43317262086</v>
      </c>
      <c r="T115" s="103">
        <f>IF(Q115&lt;INDEX('Pace of change parameters'!$E$24:$I$24,1,$B$5),INDEX('Pace of change parameters'!$E$24:$I$24,1,$B$5),Q115)</f>
        <v>2.5998908118418651E-2</v>
      </c>
      <c r="U115" s="132">
        <v>1.8723931997746801E-2</v>
      </c>
      <c r="V115" s="117">
        <f t="shared" si="19"/>
        <v>181192.43317262086</v>
      </c>
      <c r="W115" s="131">
        <f>IF(J115&gt;INDEX('Pace of change parameters'!$E$26:$I$26,1,$B$5),0,IF(J115&lt;INDEX('Pace of change parameters'!$E$25:$I$25,1,$B$5),1,(J115-INDEX('Pace of change parameters'!$E$26:$I$26,1,$B$5))/(INDEX('Pace of change parameters'!$E$25:$I$25,1,$B$5)-INDEX('Pace of change parameters'!$E$26:$I$26,1,$B$5))))</f>
        <v>1</v>
      </c>
      <c r="X115" s="132">
        <f>MIN(T115, T115+(INDEX('Pace of change parameters'!$E$27:$I$27,1,$B$5)-T115)*(1-W115))</f>
        <v>2.5998908118418651E-2</v>
      </c>
      <c r="Y115" s="132">
        <v>1.8723931997746801E-2</v>
      </c>
      <c r="Z115" s="108">
        <f t="shared" si="20"/>
        <v>181192.43317262086</v>
      </c>
      <c r="AA115" s="97">
        <f>MIN(VLOOKUP(A115,'2016-17 disagg'!$A$12:$BC$220,54,FALSE),MIN(0,VLOOKUP(A115,'2016-17 disagg'!$A$12:$BC$220,54,FALSE),-2.5%))</f>
        <v>-2.5000000000000001E-2</v>
      </c>
      <c r="AB115" s="99">
        <f t="shared" si="13"/>
        <v>179898.01048570831</v>
      </c>
      <c r="AC115" s="99">
        <f>MAX(IF(INDEX('Pace of change parameters'!$E$29:$I$29,1,$B$5)=1,MAX(AB115,Z115),Z115),L115)</f>
        <v>181192.43317262086</v>
      </c>
      <c r="AD115" s="97">
        <f t="shared" si="14"/>
        <v>2.5998908118418651E-2</v>
      </c>
      <c r="AE115" s="146">
        <v>1.8723931997746801E-2</v>
      </c>
      <c r="AF115" s="56">
        <f t="shared" si="21"/>
        <v>181192.43317262086</v>
      </c>
      <c r="AG115" s="56">
        <v>1439.6358000102305</v>
      </c>
      <c r="AH115" s="16">
        <f t="shared" si="15"/>
        <v>2.5998908118418651E-2</v>
      </c>
      <c r="AI115" s="16">
        <f t="shared" si="16"/>
        <v>1.8723931997747023E-2</v>
      </c>
      <c r="AJ115" s="56"/>
      <c r="AK115" s="56">
        <v>184510.77998534185</v>
      </c>
      <c r="AL115" s="56">
        <v>1466.0011994079623</v>
      </c>
      <c r="AM115" s="16">
        <f t="shared" si="22"/>
        <v>-1.7984568776873711E-2</v>
      </c>
      <c r="AN115" s="58">
        <f t="shared" si="22"/>
        <v>-1.7984568776873711E-2</v>
      </c>
      <c r="AP115" s="56">
        <f t="shared" si="23"/>
        <v>0</v>
      </c>
      <c r="AQ115" s="56">
        <f t="shared" si="17"/>
        <v>0</v>
      </c>
    </row>
    <row r="116" spans="1:43" x14ac:dyDescent="0.2">
      <c r="A116" s="156" t="s">
        <v>277</v>
      </c>
      <c r="B116" s="156" t="s">
        <v>278</v>
      </c>
      <c r="D116" s="68">
        <f>VLOOKUP(A116,'2016-17 disagg'!A116:BC324,43,FALSE)</f>
        <v>247972</v>
      </c>
      <c r="E116" s="73">
        <v>1506.3210697269526</v>
      </c>
      <c r="F116" s="55"/>
      <c r="G116" s="88">
        <v>252952.61360925582</v>
      </c>
      <c r="H116" s="81">
        <v>1523.5376739292419</v>
      </c>
      <c r="I116" s="90"/>
      <c r="J116" s="103">
        <f t="shared" si="18"/>
        <v>-1.9689907679505292E-2</v>
      </c>
      <c r="K116" s="126">
        <f t="shared" si="18"/>
        <v>-1.1300412518114644E-2</v>
      </c>
      <c r="L116" s="56">
        <v>253476</v>
      </c>
      <c r="M116" s="103">
        <v>1.9772947670155583E-2</v>
      </c>
      <c r="N116" s="97">
        <f>INDEX('Pace of change parameters'!$E$22:$I$22,1,$B$5)</f>
        <v>1.1119783131080974E-2</v>
      </c>
      <c r="O116" s="108">
        <f>MAX(IF(INDEX('Pace of change parameters'!$E$30:$I$30,1,$B$5)=1,(1+M116)*D116,D116),L116)</f>
        <v>253476</v>
      </c>
      <c r="P116" s="94">
        <f>IF(K116&lt;INDEX('Pace of change parameters'!$E$18:$I$18,1,$B$5),1,IF(K116&gt;INDEX('Pace of change parameters'!$E$19:$I$19,1,$B$5),0,(K116-INDEX('Pace of change parameters'!$E$19:$I$19,1,$B$5))/(INDEX('Pace of change parameters'!$E$18:$I$18,1,$B$5)-INDEX('Pace of change parameters'!$E$19:$I$19,1,$B$5))))</f>
        <v>0.55265308021319826</v>
      </c>
      <c r="Q116" s="57">
        <v>2.7509540231621443E-2</v>
      </c>
      <c r="R116" s="57">
        <v>1.8790727737716173E-2</v>
      </c>
      <c r="S116" s="9">
        <f>MAX(IF(INDEX('Pace of change parameters'!$E$31:$I$31,1,$B$5)=1,D116*(1+Q116),D116),L116)</f>
        <v>254793.59571031563</v>
      </c>
      <c r="T116" s="103">
        <f>IF(Q116&lt;INDEX('Pace of change parameters'!$E$24:$I$24,1,$B$5),INDEX('Pace of change parameters'!$E$24:$I$24,1,$B$5),Q116)</f>
        <v>2.7509540231621443E-2</v>
      </c>
      <c r="U116" s="132">
        <v>1.8790727737716173E-2</v>
      </c>
      <c r="V116" s="117">
        <f t="shared" si="19"/>
        <v>254793.59571031563</v>
      </c>
      <c r="W116" s="131">
        <f>IF(J116&gt;INDEX('Pace of change parameters'!$E$26:$I$26,1,$B$5),0,IF(J116&lt;INDEX('Pace of change parameters'!$E$25:$I$25,1,$B$5),1,(J116-INDEX('Pace of change parameters'!$E$26:$I$26,1,$B$5))/(INDEX('Pace of change parameters'!$E$25:$I$25,1,$B$5)-INDEX('Pace of change parameters'!$E$26:$I$26,1,$B$5))))</f>
        <v>1</v>
      </c>
      <c r="X116" s="132">
        <f>MIN(T116, T116+(INDEX('Pace of change parameters'!$E$27:$I$27,1,$B$5)-T116)*(1-W116))</f>
        <v>2.7509540231621443E-2</v>
      </c>
      <c r="Y116" s="132">
        <v>1.8790727737716173E-2</v>
      </c>
      <c r="Z116" s="108">
        <f t="shared" si="20"/>
        <v>254793.59571031563</v>
      </c>
      <c r="AA116" s="97">
        <f>MIN(VLOOKUP(A116,'2016-17 disagg'!$A$12:$BC$220,54,FALSE),MIN(0,VLOOKUP(A116,'2016-17 disagg'!$A$12:$BC$220,54,FALSE),-2.5%))</f>
        <v>-2.5000000000000001E-2</v>
      </c>
      <c r="AB116" s="99">
        <f t="shared" si="13"/>
        <v>252976.32880997652</v>
      </c>
      <c r="AC116" s="99">
        <f>MAX(IF(INDEX('Pace of change parameters'!$E$29:$I$29,1,$B$5)=1,MAX(AB116,Z116),Z116),L116)</f>
        <v>254793.59571031563</v>
      </c>
      <c r="AD116" s="97">
        <f t="shared" si="14"/>
        <v>2.7509540231621443E-2</v>
      </c>
      <c r="AE116" s="146">
        <v>1.8790727737716173E-2</v>
      </c>
      <c r="AF116" s="56">
        <f t="shared" si="21"/>
        <v>254793.59571031563</v>
      </c>
      <c r="AG116" s="56">
        <v>1534.6259388337771</v>
      </c>
      <c r="AH116" s="16">
        <f t="shared" si="15"/>
        <v>2.7509540231621443E-2</v>
      </c>
      <c r="AI116" s="16">
        <f t="shared" si="16"/>
        <v>1.8790727737716173E-2</v>
      </c>
      <c r="AJ116" s="56"/>
      <c r="AK116" s="56">
        <v>259462.90134356567</v>
      </c>
      <c r="AL116" s="56">
        <v>1562.7492420163073</v>
      </c>
      <c r="AM116" s="16">
        <f t="shared" si="22"/>
        <v>-1.7996043399927997E-2</v>
      </c>
      <c r="AN116" s="58">
        <f t="shared" si="22"/>
        <v>-1.7996043399928108E-2</v>
      </c>
      <c r="AP116" s="56">
        <f t="shared" si="23"/>
        <v>0</v>
      </c>
      <c r="AQ116" s="56">
        <f t="shared" si="17"/>
        <v>0</v>
      </c>
    </row>
    <row r="117" spans="1:43" x14ac:dyDescent="0.2">
      <c r="A117" s="156" t="s">
        <v>279</v>
      </c>
      <c r="B117" s="156" t="s">
        <v>280</v>
      </c>
      <c r="D117" s="68">
        <f>VLOOKUP(A117,'2016-17 disagg'!A117:BC325,43,FALSE)</f>
        <v>202632</v>
      </c>
      <c r="E117" s="73">
        <v>1521.209688124221</v>
      </c>
      <c r="F117" s="55"/>
      <c r="G117" s="88">
        <v>201499.40071854129</v>
      </c>
      <c r="H117" s="81">
        <v>1500.8125691143186</v>
      </c>
      <c r="I117" s="90"/>
      <c r="J117" s="103">
        <f t="shared" si="18"/>
        <v>5.6208568234936696E-3</v>
      </c>
      <c r="K117" s="126">
        <f t="shared" si="18"/>
        <v>1.3590717075310232E-2</v>
      </c>
      <c r="L117" s="56">
        <v>207269</v>
      </c>
      <c r="M117" s="103">
        <v>1.9133224096154811E-2</v>
      </c>
      <c r="N117" s="97">
        <f>INDEX('Pace of change parameters'!$E$22:$I$22,1,$B$5)</f>
        <v>1.1119783131080974E-2</v>
      </c>
      <c r="O117" s="108">
        <f>MAX(IF(INDEX('Pace of change parameters'!$E$30:$I$30,1,$B$5)=1,(1+M117)*D117,D117),L117)</f>
        <v>207269</v>
      </c>
      <c r="P117" s="94">
        <f>IF(K117&lt;INDEX('Pace of change parameters'!$E$18:$I$18,1,$B$5),1,IF(K117&gt;INDEX('Pace of change parameters'!$E$19:$I$19,1,$B$5),0,(K117-INDEX('Pace of change parameters'!$E$19:$I$19,1,$B$5))/(INDEX('Pace of change parameters'!$E$18:$I$18,1,$B$5)-INDEX('Pace of change parameters'!$E$19:$I$19,1,$B$5))))</f>
        <v>0.18994559561904711</v>
      </c>
      <c r="Q117" s="57">
        <v>2.1790605134422769E-2</v>
      </c>
      <c r="R117" s="57">
        <v>1.3756269191569359E-2</v>
      </c>
      <c r="S117" s="9">
        <f>MAX(IF(INDEX('Pace of change parameters'!$E$31:$I$31,1,$B$5)=1,D117*(1+Q117),D117),L117)</f>
        <v>207269</v>
      </c>
      <c r="T117" s="103">
        <f>IF(Q117&lt;INDEX('Pace of change parameters'!$E$24:$I$24,1,$B$5),INDEX('Pace of change parameters'!$E$24:$I$24,1,$B$5),Q117)</f>
        <v>2.1790605134422769E-2</v>
      </c>
      <c r="U117" s="132">
        <v>1.3756269191569359E-2</v>
      </c>
      <c r="V117" s="117">
        <f t="shared" si="19"/>
        <v>207269</v>
      </c>
      <c r="W117" s="131">
        <f>IF(J117&gt;INDEX('Pace of change parameters'!$E$26:$I$26,1,$B$5),0,IF(J117&lt;INDEX('Pace of change parameters'!$E$25:$I$25,1,$B$5),1,(J117-INDEX('Pace of change parameters'!$E$26:$I$26,1,$B$5))/(INDEX('Pace of change parameters'!$E$25:$I$25,1,$B$5)-INDEX('Pace of change parameters'!$E$26:$I$26,1,$B$5))))</f>
        <v>1</v>
      </c>
      <c r="X117" s="132">
        <f>MIN(T117, T117+(INDEX('Pace of change parameters'!$E$27:$I$27,1,$B$5)-T117)*(1-W117))</f>
        <v>2.1790605134422769E-2</v>
      </c>
      <c r="Y117" s="132">
        <v>1.3756269191569359E-2</v>
      </c>
      <c r="Z117" s="108">
        <f t="shared" si="20"/>
        <v>207269</v>
      </c>
      <c r="AA117" s="97">
        <f>MIN(VLOOKUP(A117,'2016-17 disagg'!$A$12:$BC$220,54,FALSE),MIN(0,VLOOKUP(A117,'2016-17 disagg'!$A$12:$BC$220,54,FALSE),-2.5%))</f>
        <v>-2.5000000000000001E-2</v>
      </c>
      <c r="AB117" s="99">
        <f t="shared" si="13"/>
        <v>201613.76287084894</v>
      </c>
      <c r="AC117" s="99">
        <f>MAX(IF(INDEX('Pace of change parameters'!$E$29:$I$29,1,$B$5)=1,MAX(AB117,Z117),Z117),L117)</f>
        <v>207269</v>
      </c>
      <c r="AD117" s="97">
        <f t="shared" si="14"/>
        <v>2.2883848553042041E-2</v>
      </c>
      <c r="AE117" s="146">
        <v>1.4840916441024143E-2</v>
      </c>
      <c r="AF117" s="56">
        <f t="shared" si="21"/>
        <v>207269</v>
      </c>
      <c r="AG117" s="56">
        <v>1543.7858339949491</v>
      </c>
      <c r="AH117" s="16">
        <f t="shared" si="15"/>
        <v>2.2883848553042041E-2</v>
      </c>
      <c r="AI117" s="16">
        <f t="shared" si="16"/>
        <v>1.4840916441024365E-2</v>
      </c>
      <c r="AJ117" s="56"/>
      <c r="AK117" s="56">
        <v>206783.34653420403</v>
      </c>
      <c r="AL117" s="56">
        <v>1540.1685784443055</v>
      </c>
      <c r="AM117" s="16">
        <f t="shared" si="22"/>
        <v>2.3486101464929021E-3</v>
      </c>
      <c r="AN117" s="58">
        <f t="shared" si="22"/>
        <v>2.3486101464929021E-3</v>
      </c>
      <c r="AP117" s="56">
        <f t="shared" si="23"/>
        <v>1</v>
      </c>
      <c r="AQ117" s="56">
        <f t="shared" si="17"/>
        <v>0</v>
      </c>
    </row>
    <row r="118" spans="1:43" x14ac:dyDescent="0.2">
      <c r="A118" s="156" t="s">
        <v>281</v>
      </c>
      <c r="B118" s="156" t="s">
        <v>282</v>
      </c>
      <c r="D118" s="68">
        <f>VLOOKUP(A118,'2016-17 disagg'!A118:BC326,43,FALSE)</f>
        <v>841908</v>
      </c>
      <c r="E118" s="73">
        <v>1537.1371599886816</v>
      </c>
      <c r="F118" s="55"/>
      <c r="G118" s="88">
        <v>848673.60153340036</v>
      </c>
      <c r="H118" s="81">
        <v>1538.6690543266918</v>
      </c>
      <c r="I118" s="90"/>
      <c r="J118" s="103">
        <f t="shared" si="18"/>
        <v>-7.9719712280152955E-3</v>
      </c>
      <c r="K118" s="126">
        <f t="shared" si="18"/>
        <v>-9.955970282905513E-4</v>
      </c>
      <c r="L118" s="56">
        <v>861687</v>
      </c>
      <c r="M118" s="103">
        <v>1.823041888257193E-2</v>
      </c>
      <c r="N118" s="97">
        <f>INDEX('Pace of change parameters'!$E$22:$I$22,1,$B$5)</f>
        <v>1.1119783131080974E-2</v>
      </c>
      <c r="O118" s="108">
        <f>MAX(IF(INDEX('Pace of change parameters'!$E$30:$I$30,1,$B$5)=1,(1+M118)*D118,D118),L118)</f>
        <v>861687</v>
      </c>
      <c r="P118" s="94">
        <f>IF(K118&lt;INDEX('Pace of change parameters'!$E$18:$I$18,1,$B$5),1,IF(K118&gt;INDEX('Pace of change parameters'!$E$19:$I$19,1,$B$5),0,(K118-INDEX('Pace of change parameters'!$E$19:$I$19,1,$B$5))/(INDEX('Pace of change parameters'!$E$18:$I$18,1,$B$5)-INDEX('Pace of change parameters'!$E$19:$I$19,1,$B$5))))</f>
        <v>0.40249381598646511</v>
      </c>
      <c r="Q118" s="57">
        <v>2.3856408460541711E-2</v>
      </c>
      <c r="R118" s="57">
        <v>1.6706484585371939E-2</v>
      </c>
      <c r="S118" s="9">
        <f>MAX(IF(INDEX('Pace of change parameters'!$E$31:$I$31,1,$B$5)=1,D118*(1+Q118),D118),L118)</f>
        <v>861992.90113419772</v>
      </c>
      <c r="T118" s="103">
        <f>IF(Q118&lt;INDEX('Pace of change parameters'!$E$24:$I$24,1,$B$5),INDEX('Pace of change parameters'!$E$24:$I$24,1,$B$5),Q118)</f>
        <v>2.3856408460541711E-2</v>
      </c>
      <c r="U118" s="132">
        <v>1.6706484585371939E-2</v>
      </c>
      <c r="V118" s="117">
        <f t="shared" si="19"/>
        <v>861992.90113419772</v>
      </c>
      <c r="W118" s="131">
        <f>IF(J118&gt;INDEX('Pace of change parameters'!$E$26:$I$26,1,$B$5),0,IF(J118&lt;INDEX('Pace of change parameters'!$E$25:$I$25,1,$B$5),1,(J118-INDEX('Pace of change parameters'!$E$26:$I$26,1,$B$5))/(INDEX('Pace of change parameters'!$E$25:$I$25,1,$B$5)-INDEX('Pace of change parameters'!$E$26:$I$26,1,$B$5))))</f>
        <v>1</v>
      </c>
      <c r="X118" s="132">
        <f>MIN(T118, T118+(INDEX('Pace of change parameters'!$E$27:$I$27,1,$B$5)-T118)*(1-W118))</f>
        <v>2.3856408460541711E-2</v>
      </c>
      <c r="Y118" s="132">
        <v>1.6706484585371939E-2</v>
      </c>
      <c r="Z118" s="108">
        <f t="shared" si="20"/>
        <v>861992.90113419772</v>
      </c>
      <c r="AA118" s="97">
        <f>MIN(VLOOKUP(A118,'2016-17 disagg'!$A$12:$BC$220,54,FALSE),MIN(0,VLOOKUP(A118,'2016-17 disagg'!$A$12:$BC$220,54,FALSE),-2.5%))</f>
        <v>-2.5000000000000001E-2</v>
      </c>
      <c r="AB118" s="99">
        <f t="shared" si="13"/>
        <v>848811.72391069622</v>
      </c>
      <c r="AC118" s="99">
        <f>MAX(IF(INDEX('Pace of change parameters'!$E$29:$I$29,1,$B$5)=1,MAX(AB118,Z118),Z118),L118)</f>
        <v>861992.90113419772</v>
      </c>
      <c r="AD118" s="97">
        <f t="shared" si="14"/>
        <v>2.3856408460541711E-2</v>
      </c>
      <c r="AE118" s="146">
        <v>1.6706484585371939E-2</v>
      </c>
      <c r="AF118" s="56">
        <f t="shared" si="21"/>
        <v>861992.90113419772</v>
      </c>
      <c r="AG118" s="56">
        <v>1562.817318257635</v>
      </c>
      <c r="AH118" s="16">
        <f t="shared" si="15"/>
        <v>2.3856408460541711E-2</v>
      </c>
      <c r="AI118" s="16">
        <f t="shared" si="16"/>
        <v>1.6706484585371939E-2</v>
      </c>
      <c r="AJ118" s="56"/>
      <c r="AK118" s="56">
        <v>870576.12708789355</v>
      </c>
      <c r="AL118" s="56">
        <v>1578.3789477667694</v>
      </c>
      <c r="AM118" s="16">
        <f t="shared" si="22"/>
        <v>-9.859248015916755E-3</v>
      </c>
      <c r="AN118" s="58">
        <f t="shared" si="22"/>
        <v>-9.8592480159168661E-3</v>
      </c>
      <c r="AP118" s="56">
        <f t="shared" si="23"/>
        <v>0</v>
      </c>
      <c r="AQ118" s="56">
        <f t="shared" si="17"/>
        <v>0</v>
      </c>
    </row>
    <row r="119" spans="1:43" x14ac:dyDescent="0.2">
      <c r="A119" s="156" t="s">
        <v>283</v>
      </c>
      <c r="B119" s="156" t="s">
        <v>284</v>
      </c>
      <c r="D119" s="68">
        <f>VLOOKUP(A119,'2016-17 disagg'!A119:BC327,43,FALSE)</f>
        <v>532095</v>
      </c>
      <c r="E119" s="73">
        <v>1396.0179234498705</v>
      </c>
      <c r="F119" s="55"/>
      <c r="G119" s="88">
        <v>540512.11392528669</v>
      </c>
      <c r="H119" s="81">
        <v>1408.3877432500531</v>
      </c>
      <c r="I119" s="90"/>
      <c r="J119" s="103">
        <f t="shared" si="18"/>
        <v>-1.5572479706625342E-2</v>
      </c>
      <c r="K119" s="126">
        <f t="shared" si="18"/>
        <v>-8.7829646767852987E-3</v>
      </c>
      <c r="L119" s="56">
        <v>544717</v>
      </c>
      <c r="M119" s="103">
        <v>1.8093392485775794E-2</v>
      </c>
      <c r="N119" s="97">
        <f>INDEX('Pace of change parameters'!$E$22:$I$22,1,$B$5)</f>
        <v>1.1119783131080974E-2</v>
      </c>
      <c r="O119" s="108">
        <f>MAX(IF(INDEX('Pace of change parameters'!$E$30:$I$30,1,$B$5)=1,(1+M119)*D119,D119),L119)</f>
        <v>544717</v>
      </c>
      <c r="P119" s="94">
        <f>IF(K119&lt;INDEX('Pace of change parameters'!$E$18:$I$18,1,$B$5),1,IF(K119&gt;INDEX('Pace of change parameters'!$E$19:$I$19,1,$B$5),0,(K119-INDEX('Pace of change parameters'!$E$19:$I$19,1,$B$5))/(INDEX('Pace of change parameters'!$E$18:$I$18,1,$B$5)-INDEX('Pace of change parameters'!$E$19:$I$19,1,$B$5))))</f>
        <v>0.51596944274715328</v>
      </c>
      <c r="Q119" s="57">
        <v>2.5304554367621357E-2</v>
      </c>
      <c r="R119" s="57">
        <v>1.8281550894146736E-2</v>
      </c>
      <c r="S119" s="9">
        <f>MAX(IF(INDEX('Pace of change parameters'!$E$31:$I$31,1,$B$5)=1,D119*(1+Q119),D119),L119)</f>
        <v>545559.42685623944</v>
      </c>
      <c r="T119" s="103">
        <f>IF(Q119&lt;INDEX('Pace of change parameters'!$E$24:$I$24,1,$B$5),INDEX('Pace of change parameters'!$E$24:$I$24,1,$B$5),Q119)</f>
        <v>2.5304554367621357E-2</v>
      </c>
      <c r="U119" s="132">
        <v>1.8281550894146736E-2</v>
      </c>
      <c r="V119" s="117">
        <f t="shared" si="19"/>
        <v>545559.42685623944</v>
      </c>
      <c r="W119" s="131">
        <f>IF(J119&gt;INDEX('Pace of change parameters'!$E$26:$I$26,1,$B$5),0,IF(J119&lt;INDEX('Pace of change parameters'!$E$25:$I$25,1,$B$5),1,(J119-INDEX('Pace of change parameters'!$E$26:$I$26,1,$B$5))/(INDEX('Pace of change parameters'!$E$25:$I$25,1,$B$5)-INDEX('Pace of change parameters'!$E$26:$I$26,1,$B$5))))</f>
        <v>1</v>
      </c>
      <c r="X119" s="132">
        <f>MIN(T119, T119+(INDEX('Pace of change parameters'!$E$27:$I$27,1,$B$5)-T119)*(1-W119))</f>
        <v>2.5304554367621357E-2</v>
      </c>
      <c r="Y119" s="132">
        <v>1.8281550894146736E-2</v>
      </c>
      <c r="Z119" s="108">
        <f t="shared" si="20"/>
        <v>545559.42685623944</v>
      </c>
      <c r="AA119" s="97">
        <f>MIN(VLOOKUP(A119,'2016-17 disagg'!$A$12:$BC$220,54,FALSE),MIN(0,VLOOKUP(A119,'2016-17 disagg'!$A$12:$BC$220,54,FALSE),-2.5%))</f>
        <v>-2.5000000000000001E-2</v>
      </c>
      <c r="AB119" s="99">
        <f t="shared" si="13"/>
        <v>540738.88772720227</v>
      </c>
      <c r="AC119" s="99">
        <f>MAX(IF(INDEX('Pace of change parameters'!$E$29:$I$29,1,$B$5)=1,MAX(AB119,Z119),Z119),L119)</f>
        <v>545559.42685623944</v>
      </c>
      <c r="AD119" s="97">
        <f t="shared" si="14"/>
        <v>2.5304554367621357E-2</v>
      </c>
      <c r="AE119" s="146">
        <v>1.8281550894146736E-2</v>
      </c>
      <c r="AF119" s="56">
        <f t="shared" si="21"/>
        <v>545559.42685623944</v>
      </c>
      <c r="AG119" s="56">
        <v>1421.53929616656</v>
      </c>
      <c r="AH119" s="16">
        <f t="shared" si="15"/>
        <v>2.5304554367621357E-2</v>
      </c>
      <c r="AI119" s="16">
        <f t="shared" si="16"/>
        <v>1.8281550894146514E-2</v>
      </c>
      <c r="AJ119" s="56"/>
      <c r="AK119" s="56">
        <v>554603.98741251521</v>
      </c>
      <c r="AL119" s="56">
        <v>1445.1062947635653</v>
      </c>
      <c r="AM119" s="16">
        <f t="shared" si="22"/>
        <v>-1.6308141956340449E-2</v>
      </c>
      <c r="AN119" s="58">
        <f t="shared" si="22"/>
        <v>-1.6308141956340338E-2</v>
      </c>
      <c r="AP119" s="56">
        <f t="shared" si="23"/>
        <v>0</v>
      </c>
      <c r="AQ119" s="56">
        <f t="shared" si="17"/>
        <v>0</v>
      </c>
    </row>
    <row r="120" spans="1:43" x14ac:dyDescent="0.2">
      <c r="A120" s="156" t="s">
        <v>285</v>
      </c>
      <c r="B120" s="156" t="s">
        <v>286</v>
      </c>
      <c r="D120" s="68">
        <f>VLOOKUP(A120,'2016-17 disagg'!A120:BC328,43,FALSE)</f>
        <v>423157</v>
      </c>
      <c r="E120" s="73">
        <v>1537.6736252630144</v>
      </c>
      <c r="F120" s="55"/>
      <c r="G120" s="88">
        <v>435541.82499338477</v>
      </c>
      <c r="H120" s="81">
        <v>1572.0521945348592</v>
      </c>
      <c r="I120" s="90"/>
      <c r="J120" s="103">
        <f t="shared" si="18"/>
        <v>-2.8435443584718612E-2</v>
      </c>
      <c r="K120" s="126">
        <f t="shared" si="18"/>
        <v>-2.1868592780417639E-2</v>
      </c>
      <c r="L120" s="56">
        <v>434527</v>
      </c>
      <c r="M120" s="103">
        <v>1.7953989584224672E-2</v>
      </c>
      <c r="N120" s="97">
        <f>INDEX('Pace of change parameters'!$E$22:$I$22,1,$B$5)</f>
        <v>1.1119783131080974E-2</v>
      </c>
      <c r="O120" s="108">
        <f>MAX(IF(INDEX('Pace of change parameters'!$E$30:$I$30,1,$B$5)=1,(1+M120)*D120,D120),L120)</f>
        <v>434527</v>
      </c>
      <c r="P120" s="94">
        <f>IF(K120&lt;INDEX('Pace of change parameters'!$E$18:$I$18,1,$B$5),1,IF(K120&gt;INDEX('Pace of change parameters'!$E$19:$I$19,1,$B$5),0,(K120-INDEX('Pace of change parameters'!$E$19:$I$19,1,$B$5))/(INDEX('Pace of change parameters'!$E$18:$I$18,1,$B$5)-INDEX('Pace of change parameters'!$E$19:$I$19,1,$B$5))))</f>
        <v>0.70665003182964981</v>
      </c>
      <c r="Q120" s="57">
        <v>2.7828741092538412E-2</v>
      </c>
      <c r="R120" s="57">
        <v>2.0928238823304968E-2</v>
      </c>
      <c r="S120" s="9">
        <f>MAX(IF(INDEX('Pace of change parameters'!$E$31:$I$31,1,$B$5)=1,D120*(1+Q120),D120),L120)</f>
        <v>434932.92659449525</v>
      </c>
      <c r="T120" s="103">
        <f>IF(Q120&lt;INDEX('Pace of change parameters'!$E$24:$I$24,1,$B$5),INDEX('Pace of change parameters'!$E$24:$I$24,1,$B$5),Q120)</f>
        <v>2.7828741092538412E-2</v>
      </c>
      <c r="U120" s="132">
        <v>2.0928238823304968E-2</v>
      </c>
      <c r="V120" s="117">
        <f t="shared" si="19"/>
        <v>434932.92659449525</v>
      </c>
      <c r="W120" s="131">
        <f>IF(J120&gt;INDEX('Pace of change parameters'!$E$26:$I$26,1,$B$5),0,IF(J120&lt;INDEX('Pace of change parameters'!$E$25:$I$25,1,$B$5),1,(J120-INDEX('Pace of change parameters'!$E$26:$I$26,1,$B$5))/(INDEX('Pace of change parameters'!$E$25:$I$25,1,$B$5)-INDEX('Pace of change parameters'!$E$26:$I$26,1,$B$5))))</f>
        <v>1</v>
      </c>
      <c r="X120" s="132">
        <f>MIN(T120, T120+(INDEX('Pace of change parameters'!$E$27:$I$27,1,$B$5)-T120)*(1-W120))</f>
        <v>2.7828741092538412E-2</v>
      </c>
      <c r="Y120" s="132">
        <v>2.0928238823304968E-2</v>
      </c>
      <c r="Z120" s="108">
        <f t="shared" si="20"/>
        <v>434932.92659449525</v>
      </c>
      <c r="AA120" s="97">
        <f>MIN(VLOOKUP(A120,'2016-17 disagg'!$A$12:$BC$220,54,FALSE),MIN(0,VLOOKUP(A120,'2016-17 disagg'!$A$12:$BC$220,54,FALSE),-2.5%))</f>
        <v>-2.8769438122401847E-2</v>
      </c>
      <c r="AB120" s="99">
        <f t="shared" si="13"/>
        <v>434152.26291222527</v>
      </c>
      <c r="AC120" s="99">
        <f>MAX(IF(INDEX('Pace of change parameters'!$E$29:$I$29,1,$B$5)=1,MAX(AB120,Z120),Z120),L120)</f>
        <v>434932.92659449525</v>
      </c>
      <c r="AD120" s="97">
        <f t="shared" si="14"/>
        <v>2.7828741092538412E-2</v>
      </c>
      <c r="AE120" s="146">
        <v>2.0928238823304968E-2</v>
      </c>
      <c r="AF120" s="56">
        <f t="shared" si="21"/>
        <v>434932.92659449525</v>
      </c>
      <c r="AG120" s="56">
        <v>1569.854426124816</v>
      </c>
      <c r="AH120" s="16">
        <f t="shared" si="15"/>
        <v>2.7828741092538412E-2</v>
      </c>
      <c r="AI120" s="16">
        <f t="shared" si="16"/>
        <v>2.0928238823304968E-2</v>
      </c>
      <c r="AJ120" s="56"/>
      <c r="AK120" s="56">
        <v>447012.56318882236</v>
      </c>
      <c r="AL120" s="56">
        <v>1613.4548753298582</v>
      </c>
      <c r="AM120" s="16">
        <f t="shared" si="22"/>
        <v>-2.7023036015264235E-2</v>
      </c>
      <c r="AN120" s="58">
        <f t="shared" si="22"/>
        <v>-2.7023036015264124E-2</v>
      </c>
      <c r="AP120" s="56">
        <f t="shared" si="23"/>
        <v>0</v>
      </c>
      <c r="AQ120" s="56">
        <f t="shared" si="17"/>
        <v>0</v>
      </c>
    </row>
    <row r="121" spans="1:43" x14ac:dyDescent="0.2">
      <c r="A121" s="156" t="s">
        <v>287</v>
      </c>
      <c r="B121" s="156" t="s">
        <v>288</v>
      </c>
      <c r="D121" s="68">
        <f>VLOOKUP(A121,'2016-17 disagg'!A121:BC329,43,FALSE)</f>
        <v>682821</v>
      </c>
      <c r="E121" s="73">
        <v>1457.2186939275175</v>
      </c>
      <c r="F121" s="55"/>
      <c r="G121" s="88">
        <v>721426.94787091622</v>
      </c>
      <c r="H121" s="81">
        <v>1521.9859431605751</v>
      </c>
      <c r="I121" s="90"/>
      <c r="J121" s="103">
        <f t="shared" si="18"/>
        <v>-5.3513315499026715E-2</v>
      </c>
      <c r="K121" s="126">
        <f t="shared" si="18"/>
        <v>-4.2554433254857194E-2</v>
      </c>
      <c r="L121" s="56">
        <v>701257</v>
      </c>
      <c r="M121" s="103">
        <v>2.2827018763166063E-2</v>
      </c>
      <c r="N121" s="97">
        <f>INDEX('Pace of change parameters'!$E$22:$I$22,1,$B$5)</f>
        <v>1.1119783131080974E-2</v>
      </c>
      <c r="O121" s="108">
        <f>MAX(IF(INDEX('Pace of change parameters'!$E$30:$I$30,1,$B$5)=1,(1+M121)*D121,D121),L121)</f>
        <v>701257</v>
      </c>
      <c r="P121" s="94">
        <f>IF(K121&lt;INDEX('Pace of change parameters'!$E$18:$I$18,1,$B$5),1,IF(K121&gt;INDEX('Pace of change parameters'!$E$19:$I$19,1,$B$5),0,(K121-INDEX('Pace of change parameters'!$E$19:$I$19,1,$B$5))/(INDEX('Pace of change parameters'!$E$18:$I$18,1,$B$5)-INDEX('Pace of change parameters'!$E$19:$I$19,1,$B$5))))</f>
        <v>1</v>
      </c>
      <c r="Q121" s="57">
        <v>3.686794752025091E-2</v>
      </c>
      <c r="R121" s="57">
        <v>2.4999999999999911E-2</v>
      </c>
      <c r="S121" s="9">
        <f>MAX(IF(INDEX('Pace of change parameters'!$E$31:$I$31,1,$B$5)=1,D121*(1+Q121),D121),L121)</f>
        <v>707995.20879372524</v>
      </c>
      <c r="T121" s="103">
        <f>IF(Q121&lt;INDEX('Pace of change parameters'!$E$24:$I$24,1,$B$5),INDEX('Pace of change parameters'!$E$24:$I$24,1,$B$5),Q121)</f>
        <v>3.686794752025091E-2</v>
      </c>
      <c r="U121" s="132">
        <v>2.4999999999999911E-2</v>
      </c>
      <c r="V121" s="117">
        <f t="shared" si="19"/>
        <v>707995.20879372524</v>
      </c>
      <c r="W121" s="131">
        <f>IF(J121&gt;INDEX('Pace of change parameters'!$E$26:$I$26,1,$B$5),0,IF(J121&lt;INDEX('Pace of change parameters'!$E$25:$I$25,1,$B$5),1,(J121-INDEX('Pace of change parameters'!$E$26:$I$26,1,$B$5))/(INDEX('Pace of change parameters'!$E$25:$I$25,1,$B$5)-INDEX('Pace of change parameters'!$E$26:$I$26,1,$B$5))))</f>
        <v>1</v>
      </c>
      <c r="X121" s="132">
        <f>MIN(T121, T121+(INDEX('Pace of change parameters'!$E$27:$I$27,1,$B$5)-T121)*(1-W121))</f>
        <v>3.686794752025091E-2</v>
      </c>
      <c r="Y121" s="132">
        <v>2.4999999999999911E-2</v>
      </c>
      <c r="Z121" s="108">
        <f t="shared" si="20"/>
        <v>707995.20879372524</v>
      </c>
      <c r="AA121" s="97">
        <f>MIN(VLOOKUP(A121,'2016-17 disagg'!$A$12:$BC$220,54,FALSE),MIN(0,VLOOKUP(A121,'2016-17 disagg'!$A$12:$BC$220,54,FALSE),-2.5%))</f>
        <v>-4.9309956337865835E-2</v>
      </c>
      <c r="AB121" s="99">
        <f t="shared" si="13"/>
        <v>703951.17976686242</v>
      </c>
      <c r="AC121" s="99">
        <f>MAX(IF(INDEX('Pace of change parameters'!$E$29:$I$29,1,$B$5)=1,MAX(AB121,Z121),Z121),L121)</f>
        <v>707995.20879372524</v>
      </c>
      <c r="AD121" s="97">
        <f t="shared" si="14"/>
        <v>3.686794752025091E-2</v>
      </c>
      <c r="AE121" s="146">
        <v>2.4999999999999911E-2</v>
      </c>
      <c r="AF121" s="56">
        <f t="shared" si="21"/>
        <v>707995.20879372524</v>
      </c>
      <c r="AG121" s="56">
        <v>1493.6491612757056</v>
      </c>
      <c r="AH121" s="16">
        <f t="shared" si="15"/>
        <v>3.686794752025091E-2</v>
      </c>
      <c r="AI121" s="16">
        <f t="shared" si="16"/>
        <v>2.5000000000000133E-2</v>
      </c>
      <c r="AJ121" s="56"/>
      <c r="AK121" s="56">
        <v>740463.39757086977</v>
      </c>
      <c r="AL121" s="56">
        <v>1562.1469170977405</v>
      </c>
      <c r="AM121" s="16">
        <f t="shared" si="22"/>
        <v>-4.3848472299452212E-2</v>
      </c>
      <c r="AN121" s="58">
        <f t="shared" si="22"/>
        <v>-4.3848472299452101E-2</v>
      </c>
      <c r="AP121" s="56">
        <f t="shared" si="23"/>
        <v>0</v>
      </c>
      <c r="AQ121" s="56">
        <f t="shared" si="17"/>
        <v>0</v>
      </c>
    </row>
    <row r="122" spans="1:43" x14ac:dyDescent="0.2">
      <c r="A122" s="156" t="s">
        <v>289</v>
      </c>
      <c r="B122" s="156" t="s">
        <v>290</v>
      </c>
      <c r="D122" s="68">
        <f>VLOOKUP(A122,'2016-17 disagg'!A122:BC330,43,FALSE)</f>
        <v>1291366</v>
      </c>
      <c r="E122" s="73">
        <v>1385.9053734166584</v>
      </c>
      <c r="F122" s="55"/>
      <c r="G122" s="88">
        <v>1324614.5623586779</v>
      </c>
      <c r="H122" s="81">
        <v>1408.6057006679241</v>
      </c>
      <c r="I122" s="90"/>
      <c r="J122" s="103">
        <f t="shared" si="18"/>
        <v>-2.5100556270099994E-2</v>
      </c>
      <c r="K122" s="126">
        <f t="shared" si="18"/>
        <v>-1.6115458882852596E-2</v>
      </c>
      <c r="L122" s="56">
        <v>1322102</v>
      </c>
      <c r="M122" s="103">
        <v>2.0438702923307739E-2</v>
      </c>
      <c r="N122" s="97">
        <f>INDEX('Pace of change parameters'!$E$22:$I$22,1,$B$5)</f>
        <v>1.1119783131080974E-2</v>
      </c>
      <c r="O122" s="108">
        <f>MAX(IF(INDEX('Pace of change parameters'!$E$30:$I$30,1,$B$5)=1,(1+M122)*D122,D122),L122)</f>
        <v>1322102</v>
      </c>
      <c r="P122" s="94">
        <f>IF(K122&lt;INDEX('Pace of change parameters'!$E$18:$I$18,1,$B$5),1,IF(K122&gt;INDEX('Pace of change parameters'!$E$19:$I$19,1,$B$5),0,(K122-INDEX('Pace of change parameters'!$E$19:$I$19,1,$B$5))/(INDEX('Pace of change parameters'!$E$18:$I$18,1,$B$5)-INDEX('Pace of change parameters'!$E$19:$I$19,1,$B$5))))</f>
        <v>0.62281676437237954</v>
      </c>
      <c r="Q122" s="57">
        <v>2.916320921267701E-2</v>
      </c>
      <c r="R122" s="57">
        <v>1.9764614890168009E-2</v>
      </c>
      <c r="S122" s="9">
        <f>MAX(IF(INDEX('Pace of change parameters'!$E$31:$I$31,1,$B$5)=1,D122*(1+Q122),D122),L122)</f>
        <v>1329026.3768281378</v>
      </c>
      <c r="T122" s="103">
        <f>IF(Q122&lt;INDEX('Pace of change parameters'!$E$24:$I$24,1,$B$5),INDEX('Pace of change parameters'!$E$24:$I$24,1,$B$5),Q122)</f>
        <v>2.916320921267701E-2</v>
      </c>
      <c r="U122" s="132">
        <v>1.9764614890168009E-2</v>
      </c>
      <c r="V122" s="117">
        <f t="shared" si="19"/>
        <v>1329026.3768281378</v>
      </c>
      <c r="W122" s="131">
        <f>IF(J122&gt;INDEX('Pace of change parameters'!$E$26:$I$26,1,$B$5),0,IF(J122&lt;INDEX('Pace of change parameters'!$E$25:$I$25,1,$B$5),1,(J122-INDEX('Pace of change parameters'!$E$26:$I$26,1,$B$5))/(INDEX('Pace of change parameters'!$E$25:$I$25,1,$B$5)-INDEX('Pace of change parameters'!$E$26:$I$26,1,$B$5))))</f>
        <v>1</v>
      </c>
      <c r="X122" s="132">
        <f>MIN(T122, T122+(INDEX('Pace of change parameters'!$E$27:$I$27,1,$B$5)-T122)*(1-W122))</f>
        <v>2.916320921267701E-2</v>
      </c>
      <c r="Y122" s="132">
        <v>1.9764614890168009E-2</v>
      </c>
      <c r="Z122" s="108">
        <f t="shared" si="20"/>
        <v>1329026.3768281378</v>
      </c>
      <c r="AA122" s="97">
        <f>MIN(VLOOKUP(A122,'2016-17 disagg'!$A$12:$BC$220,54,FALSE),MIN(0,VLOOKUP(A122,'2016-17 disagg'!$A$12:$BC$220,54,FALSE),-2.5%))</f>
        <v>-2.5000000000000001E-2</v>
      </c>
      <c r="AB122" s="99">
        <f t="shared" si="13"/>
        <v>1325606.7472800785</v>
      </c>
      <c r="AC122" s="99">
        <f>MAX(IF(INDEX('Pace of change parameters'!$E$29:$I$29,1,$B$5)=1,MAX(AB122,Z122),Z122),L122)</f>
        <v>1329026.3768281378</v>
      </c>
      <c r="AD122" s="97">
        <f t="shared" si="14"/>
        <v>2.916320921267701E-2</v>
      </c>
      <c r="AE122" s="146">
        <v>1.9764614890168009E-2</v>
      </c>
      <c r="AF122" s="56">
        <f t="shared" si="21"/>
        <v>1329026.3768281378</v>
      </c>
      <c r="AG122" s="56">
        <v>1413.2972593964532</v>
      </c>
      <c r="AH122" s="16">
        <f t="shared" si="15"/>
        <v>2.916320921267701E-2</v>
      </c>
      <c r="AI122" s="16">
        <f t="shared" si="16"/>
        <v>1.9764614890168009E-2</v>
      </c>
      <c r="AJ122" s="56"/>
      <c r="AK122" s="56">
        <v>1359596.6638770036</v>
      </c>
      <c r="AL122" s="56">
        <v>1445.8059467019964</v>
      </c>
      <c r="AM122" s="16">
        <f t="shared" si="22"/>
        <v>-2.2484820580312426E-2</v>
      </c>
      <c r="AN122" s="58">
        <f t="shared" si="22"/>
        <v>-2.2484820580312426E-2</v>
      </c>
      <c r="AP122" s="56">
        <f t="shared" si="23"/>
        <v>0</v>
      </c>
      <c r="AQ122" s="56">
        <f t="shared" si="17"/>
        <v>0</v>
      </c>
    </row>
    <row r="123" spans="1:43" x14ac:dyDescent="0.2">
      <c r="A123" s="156" t="s">
        <v>291</v>
      </c>
      <c r="B123" s="156" t="s">
        <v>292</v>
      </c>
      <c r="D123" s="68">
        <f>VLOOKUP(A123,'2016-17 disagg'!A123:BC331,43,FALSE)</f>
        <v>282891</v>
      </c>
      <c r="E123" s="73">
        <v>1538.5657469377338</v>
      </c>
      <c r="F123" s="55"/>
      <c r="G123" s="88">
        <v>291160.71937337227</v>
      </c>
      <c r="H123" s="81">
        <v>1576.683642965136</v>
      </c>
      <c r="I123" s="90"/>
      <c r="J123" s="103">
        <f t="shared" si="18"/>
        <v>-2.8402592874375743E-2</v>
      </c>
      <c r="K123" s="126">
        <f t="shared" si="18"/>
        <v>-2.4175995100524483E-2</v>
      </c>
      <c r="L123" s="56">
        <v>289352</v>
      </c>
      <c r="M123" s="103">
        <v>1.5518309303687472E-2</v>
      </c>
      <c r="N123" s="97">
        <f>INDEX('Pace of change parameters'!$E$22:$I$22,1,$B$5)</f>
        <v>1.1119783131080974E-2</v>
      </c>
      <c r="O123" s="108">
        <f>MAX(IF(INDEX('Pace of change parameters'!$E$30:$I$30,1,$B$5)=1,(1+M123)*D123,D123),L123)</f>
        <v>289352</v>
      </c>
      <c r="P123" s="94">
        <f>IF(K123&lt;INDEX('Pace of change parameters'!$E$18:$I$18,1,$B$5),1,IF(K123&gt;INDEX('Pace of change parameters'!$E$19:$I$19,1,$B$5),0,(K123-INDEX('Pace of change parameters'!$E$19:$I$19,1,$B$5))/(INDEX('Pace of change parameters'!$E$18:$I$18,1,$B$5)-INDEX('Pace of change parameters'!$E$19:$I$19,1,$B$5))))</f>
        <v>0.74027293706307629</v>
      </c>
      <c r="Q123" s="57">
        <v>2.583815668637901E-2</v>
      </c>
      <c r="R123" s="57">
        <v>2.1394932039708214E-2</v>
      </c>
      <c r="S123" s="9">
        <f>MAX(IF(INDEX('Pace of change parameters'!$E$31:$I$31,1,$B$5)=1,D123*(1+Q123),D123),L123)</f>
        <v>290200.38198316644</v>
      </c>
      <c r="T123" s="103">
        <f>IF(Q123&lt;INDEX('Pace of change parameters'!$E$24:$I$24,1,$B$5),INDEX('Pace of change parameters'!$E$24:$I$24,1,$B$5),Q123)</f>
        <v>2.583815668637901E-2</v>
      </c>
      <c r="U123" s="132">
        <v>2.1394932039708214E-2</v>
      </c>
      <c r="V123" s="117">
        <f t="shared" si="19"/>
        <v>290200.38198316644</v>
      </c>
      <c r="W123" s="131">
        <f>IF(J123&gt;INDEX('Pace of change parameters'!$E$26:$I$26,1,$B$5),0,IF(J123&lt;INDEX('Pace of change parameters'!$E$25:$I$25,1,$B$5),1,(J123-INDEX('Pace of change parameters'!$E$26:$I$26,1,$B$5))/(INDEX('Pace of change parameters'!$E$25:$I$25,1,$B$5)-INDEX('Pace of change parameters'!$E$26:$I$26,1,$B$5))))</f>
        <v>1</v>
      </c>
      <c r="X123" s="132">
        <f>MIN(T123, T123+(INDEX('Pace of change parameters'!$E$27:$I$27,1,$B$5)-T123)*(1-W123))</f>
        <v>2.583815668637901E-2</v>
      </c>
      <c r="Y123" s="132">
        <v>2.1394932039708214E-2</v>
      </c>
      <c r="Z123" s="108">
        <f t="shared" si="20"/>
        <v>290200.38198316644</v>
      </c>
      <c r="AA123" s="97">
        <f>MIN(VLOOKUP(A123,'2016-17 disagg'!$A$12:$BC$220,54,FALSE),MIN(0,VLOOKUP(A123,'2016-17 disagg'!$A$12:$BC$220,54,FALSE),-2.5%))</f>
        <v>-3.1059072220291362E-2</v>
      </c>
      <c r="AB123" s="99">
        <f t="shared" si="13"/>
        <v>289513.93184942327</v>
      </c>
      <c r="AC123" s="99">
        <f>MAX(IF(INDEX('Pace of change parameters'!$E$29:$I$29,1,$B$5)=1,MAX(AB123,Z123),Z123),L123)</f>
        <v>290200.38198316644</v>
      </c>
      <c r="AD123" s="97">
        <f t="shared" si="14"/>
        <v>2.583815668637901E-2</v>
      </c>
      <c r="AE123" s="146">
        <v>2.1394932039708214E-2</v>
      </c>
      <c r="AF123" s="56">
        <f t="shared" si="21"/>
        <v>290200.38198316644</v>
      </c>
      <c r="AG123" s="56">
        <v>1571.4832565320894</v>
      </c>
      <c r="AH123" s="16">
        <f t="shared" si="15"/>
        <v>2.583815668637901E-2</v>
      </c>
      <c r="AI123" s="16">
        <f t="shared" si="16"/>
        <v>2.1394932039708214E-2</v>
      </c>
      <c r="AJ123" s="56"/>
      <c r="AK123" s="56">
        <v>298794.20256592263</v>
      </c>
      <c r="AL123" s="56">
        <v>1618.0202220010926</v>
      </c>
      <c r="AM123" s="16">
        <f t="shared" si="22"/>
        <v>-2.8761671106587672E-2</v>
      </c>
      <c r="AN123" s="58">
        <f t="shared" si="22"/>
        <v>-2.8761671106587561E-2</v>
      </c>
      <c r="AP123" s="56">
        <f t="shared" si="23"/>
        <v>0</v>
      </c>
      <c r="AQ123" s="56">
        <f t="shared" si="17"/>
        <v>0</v>
      </c>
    </row>
    <row r="124" spans="1:43" x14ac:dyDescent="0.2">
      <c r="A124" s="156" t="s">
        <v>293</v>
      </c>
      <c r="B124" s="156" t="s">
        <v>294</v>
      </c>
      <c r="D124" s="68">
        <f>VLOOKUP(A124,'2016-17 disagg'!A124:BC332,43,FALSE)</f>
        <v>884955</v>
      </c>
      <c r="E124" s="73">
        <v>1495.4639797179561</v>
      </c>
      <c r="F124" s="55"/>
      <c r="G124" s="88">
        <v>919407.04214454722</v>
      </c>
      <c r="H124" s="81">
        <v>1538.9910186903369</v>
      </c>
      <c r="I124" s="90"/>
      <c r="J124" s="103">
        <f t="shared" si="18"/>
        <v>-3.7472023342552063E-2</v>
      </c>
      <c r="K124" s="126">
        <f t="shared" si="18"/>
        <v>-2.8282841448562634E-2</v>
      </c>
      <c r="L124" s="56">
        <v>908527</v>
      </c>
      <c r="M124" s="103">
        <v>2.0772867331364298E-2</v>
      </c>
      <c r="N124" s="97">
        <f>INDEX('Pace of change parameters'!$E$22:$I$22,1,$B$5)</f>
        <v>1.1119783131080974E-2</v>
      </c>
      <c r="O124" s="108">
        <f>MAX(IF(INDEX('Pace of change parameters'!$E$30:$I$30,1,$B$5)=1,(1+M124)*D124,D124),L124)</f>
        <v>908527</v>
      </c>
      <c r="P124" s="94">
        <f>IF(K124&lt;INDEX('Pace of change parameters'!$E$18:$I$18,1,$B$5),1,IF(K124&gt;INDEX('Pace of change parameters'!$E$19:$I$19,1,$B$5),0,(K124-INDEX('Pace of change parameters'!$E$19:$I$19,1,$B$5))/(INDEX('Pace of change parameters'!$E$18:$I$18,1,$B$5)-INDEX('Pace of change parameters'!$E$19:$I$19,1,$B$5))))</f>
        <v>0.80011690287911841</v>
      </c>
      <c r="Q124" s="57">
        <v>3.198468966067658E-2</v>
      </c>
      <c r="R124" s="57">
        <v>2.2225579263530859E-2</v>
      </c>
      <c r="S124" s="9">
        <f>MAX(IF(INDEX('Pace of change parameters'!$E$31:$I$31,1,$B$5)=1,D124*(1+Q124),D124),L124)</f>
        <v>913260.01103866403</v>
      </c>
      <c r="T124" s="103">
        <f>IF(Q124&lt;INDEX('Pace of change parameters'!$E$24:$I$24,1,$B$5),INDEX('Pace of change parameters'!$E$24:$I$24,1,$B$5),Q124)</f>
        <v>3.198468966067658E-2</v>
      </c>
      <c r="U124" s="132">
        <v>2.2225579263530859E-2</v>
      </c>
      <c r="V124" s="117">
        <f t="shared" si="19"/>
        <v>913260.01103866403</v>
      </c>
      <c r="W124" s="131">
        <f>IF(J124&gt;INDEX('Pace of change parameters'!$E$26:$I$26,1,$B$5),0,IF(J124&lt;INDEX('Pace of change parameters'!$E$25:$I$25,1,$B$5),1,(J124-INDEX('Pace of change parameters'!$E$26:$I$26,1,$B$5))/(INDEX('Pace of change parameters'!$E$25:$I$25,1,$B$5)-INDEX('Pace of change parameters'!$E$26:$I$26,1,$B$5))))</f>
        <v>1</v>
      </c>
      <c r="X124" s="132">
        <f>MIN(T124, T124+(INDEX('Pace of change parameters'!$E$27:$I$27,1,$B$5)-T124)*(1-W124))</f>
        <v>3.198468966067658E-2</v>
      </c>
      <c r="Y124" s="132">
        <v>2.2225579263530859E-2</v>
      </c>
      <c r="Z124" s="108">
        <f t="shared" si="20"/>
        <v>913260.01103866403</v>
      </c>
      <c r="AA124" s="97">
        <f>MIN(VLOOKUP(A124,'2016-17 disagg'!$A$12:$BC$220,54,FALSE),MIN(0,VLOOKUP(A124,'2016-17 disagg'!$A$12:$BC$220,54,FALSE),-2.5%))</f>
        <v>-3.5136185066343084E-2</v>
      </c>
      <c r="AB124" s="99">
        <f t="shared" si="13"/>
        <v>910305.46916998166</v>
      </c>
      <c r="AC124" s="99">
        <f>MAX(IF(INDEX('Pace of change parameters'!$E$29:$I$29,1,$B$5)=1,MAX(AB124,Z124),Z124),L124)</f>
        <v>913260.01103866403</v>
      </c>
      <c r="AD124" s="97">
        <f t="shared" si="14"/>
        <v>3.198468966067658E-2</v>
      </c>
      <c r="AE124" s="146">
        <v>2.2225579263530859E-2</v>
      </c>
      <c r="AF124" s="56">
        <f t="shared" si="21"/>
        <v>913260.01103866403</v>
      </c>
      <c r="AG124" s="56">
        <v>1528.7015329349329</v>
      </c>
      <c r="AH124" s="16">
        <f t="shared" si="15"/>
        <v>3.198468966067658E-2</v>
      </c>
      <c r="AI124" s="16">
        <f t="shared" si="16"/>
        <v>2.2225579263530859E-2</v>
      </c>
      <c r="AJ124" s="56"/>
      <c r="AK124" s="56">
        <v>943454.87423276762</v>
      </c>
      <c r="AL124" s="56">
        <v>1579.2445689746796</v>
      </c>
      <c r="AM124" s="16">
        <f t="shared" si="22"/>
        <v>-3.200456536796048E-2</v>
      </c>
      <c r="AN124" s="58">
        <f t="shared" si="22"/>
        <v>-3.200456536796048E-2</v>
      </c>
      <c r="AP124" s="56">
        <f t="shared" si="23"/>
        <v>0</v>
      </c>
      <c r="AQ124" s="56">
        <f t="shared" si="17"/>
        <v>0</v>
      </c>
    </row>
    <row r="125" spans="1:43" x14ac:dyDescent="0.2">
      <c r="A125" s="156" t="s">
        <v>295</v>
      </c>
      <c r="B125" s="156" t="s">
        <v>296</v>
      </c>
      <c r="D125" s="68">
        <f>VLOOKUP(A125,'2016-17 disagg'!A125:BC333,43,FALSE)</f>
        <v>398319</v>
      </c>
      <c r="E125" s="73">
        <v>1678.2316657574943</v>
      </c>
      <c r="F125" s="55"/>
      <c r="G125" s="88">
        <v>405424.47585059656</v>
      </c>
      <c r="H125" s="81">
        <v>1701.8187098125775</v>
      </c>
      <c r="I125" s="90"/>
      <c r="J125" s="103">
        <f t="shared" si="18"/>
        <v>-1.752601600011694E-2</v>
      </c>
      <c r="K125" s="126">
        <f t="shared" si="18"/>
        <v>-1.3859904065622208E-2</v>
      </c>
      <c r="L125" s="56">
        <v>407366</v>
      </c>
      <c r="M125" s="103">
        <v>1.4892787164275667E-2</v>
      </c>
      <c r="N125" s="97">
        <f>INDEX('Pace of change parameters'!$E$22:$I$22,1,$B$5)</f>
        <v>1.1119783131080974E-2</v>
      </c>
      <c r="O125" s="108">
        <f>MAX(IF(INDEX('Pace of change parameters'!$E$30:$I$30,1,$B$5)=1,(1+M125)*D125,D125),L125)</f>
        <v>407366</v>
      </c>
      <c r="P125" s="94">
        <f>IF(K125&lt;INDEX('Pace of change parameters'!$E$18:$I$18,1,$B$5),1,IF(K125&gt;INDEX('Pace of change parameters'!$E$19:$I$19,1,$B$5),0,(K125-INDEX('Pace of change parameters'!$E$19:$I$19,1,$B$5))/(INDEX('Pace of change parameters'!$E$18:$I$18,1,$B$5)-INDEX('Pace of change parameters'!$E$19:$I$19,1,$B$5))))</f>
        <v>0.58994936833672673</v>
      </c>
      <c r="Q125" s="57">
        <v>2.3111968278849426E-2</v>
      </c>
      <c r="R125" s="57">
        <v>1.9308408305276581E-2</v>
      </c>
      <c r="S125" s="9">
        <f>MAX(IF(INDEX('Pace of change parameters'!$E$31:$I$31,1,$B$5)=1,D125*(1+Q125),D125),L125)</f>
        <v>407524.93609286303</v>
      </c>
      <c r="T125" s="103">
        <f>IF(Q125&lt;INDEX('Pace of change parameters'!$E$24:$I$24,1,$B$5),INDEX('Pace of change parameters'!$E$24:$I$24,1,$B$5),Q125)</f>
        <v>2.3111968278849426E-2</v>
      </c>
      <c r="U125" s="132">
        <v>1.9308408305276581E-2</v>
      </c>
      <c r="V125" s="117">
        <f t="shared" si="19"/>
        <v>407524.93609286303</v>
      </c>
      <c r="W125" s="131">
        <f>IF(J125&gt;INDEX('Pace of change parameters'!$E$26:$I$26,1,$B$5),0,IF(J125&lt;INDEX('Pace of change parameters'!$E$25:$I$25,1,$B$5),1,(J125-INDEX('Pace of change parameters'!$E$26:$I$26,1,$B$5))/(INDEX('Pace of change parameters'!$E$25:$I$25,1,$B$5)-INDEX('Pace of change parameters'!$E$26:$I$26,1,$B$5))))</f>
        <v>1</v>
      </c>
      <c r="X125" s="132">
        <f>MIN(T125, T125+(INDEX('Pace of change parameters'!$E$27:$I$27,1,$B$5)-T125)*(1-W125))</f>
        <v>2.3111968278849426E-2</v>
      </c>
      <c r="Y125" s="132">
        <v>1.9308408305276581E-2</v>
      </c>
      <c r="Z125" s="108">
        <f t="shared" si="20"/>
        <v>407524.93609286303</v>
      </c>
      <c r="AA125" s="97">
        <f>MIN(VLOOKUP(A125,'2016-17 disagg'!$A$12:$BC$220,54,FALSE),MIN(0,VLOOKUP(A125,'2016-17 disagg'!$A$12:$BC$220,54,FALSE),-2.5%))</f>
        <v>-2.5000000000000001E-2</v>
      </c>
      <c r="AB125" s="99">
        <f t="shared" si="13"/>
        <v>405548.92450299324</v>
      </c>
      <c r="AC125" s="99">
        <f>MAX(IF(INDEX('Pace of change parameters'!$E$29:$I$29,1,$B$5)=1,MAX(AB125,Z125),Z125),L125)</f>
        <v>407524.93609286303</v>
      </c>
      <c r="AD125" s="97">
        <f t="shared" si="14"/>
        <v>2.3111968278849426E-2</v>
      </c>
      <c r="AE125" s="146">
        <v>1.9308408305276581E-2</v>
      </c>
      <c r="AF125" s="56">
        <f t="shared" si="21"/>
        <v>407524.93609286303</v>
      </c>
      <c r="AG125" s="56">
        <v>1710.6356479907843</v>
      </c>
      <c r="AH125" s="16">
        <f t="shared" si="15"/>
        <v>2.3111968278849426E-2</v>
      </c>
      <c r="AI125" s="16">
        <f t="shared" si="16"/>
        <v>1.9308408305276581E-2</v>
      </c>
      <c r="AJ125" s="56"/>
      <c r="AK125" s="56">
        <v>415947.61487486487</v>
      </c>
      <c r="AL125" s="56">
        <v>1745.9908699661698</v>
      </c>
      <c r="AM125" s="16">
        <f t="shared" si="22"/>
        <v>-2.0249373913433177E-2</v>
      </c>
      <c r="AN125" s="58">
        <f t="shared" si="22"/>
        <v>-2.0249373913433288E-2</v>
      </c>
      <c r="AP125" s="56">
        <f t="shared" si="23"/>
        <v>0</v>
      </c>
      <c r="AQ125" s="56">
        <f t="shared" si="17"/>
        <v>0</v>
      </c>
    </row>
    <row r="126" spans="1:43" x14ac:dyDescent="0.2">
      <c r="A126" s="156" t="s">
        <v>297</v>
      </c>
      <c r="B126" s="156" t="s">
        <v>298</v>
      </c>
      <c r="D126" s="68">
        <f>VLOOKUP(A126,'2016-17 disagg'!A126:BC334,43,FALSE)</f>
        <v>949465</v>
      </c>
      <c r="E126" s="73">
        <v>1487.5160037782334</v>
      </c>
      <c r="F126" s="55"/>
      <c r="G126" s="88">
        <v>986747.22927952185</v>
      </c>
      <c r="H126" s="81">
        <v>1529.5381345667302</v>
      </c>
      <c r="I126" s="90"/>
      <c r="J126" s="103">
        <f t="shared" si="18"/>
        <v>-3.7782958161173275E-2</v>
      </c>
      <c r="K126" s="126">
        <f t="shared" si="18"/>
        <v>-2.7473738535064518E-2</v>
      </c>
      <c r="L126" s="56">
        <v>976490</v>
      </c>
      <c r="M126" s="103">
        <v>2.1952948060982358E-2</v>
      </c>
      <c r="N126" s="97">
        <f>INDEX('Pace of change parameters'!$E$22:$I$22,1,$B$5)</f>
        <v>1.1119783131080974E-2</v>
      </c>
      <c r="O126" s="108">
        <f>MAX(IF(INDEX('Pace of change parameters'!$E$30:$I$30,1,$B$5)=1,(1+M126)*D126,D126),L126)</f>
        <v>976490</v>
      </c>
      <c r="P126" s="94">
        <f>IF(K126&lt;INDEX('Pace of change parameters'!$E$18:$I$18,1,$B$5),1,IF(K126&gt;INDEX('Pace of change parameters'!$E$19:$I$19,1,$B$5),0,(K126-INDEX('Pace of change parameters'!$E$19:$I$19,1,$B$5))/(INDEX('Pace of change parameters'!$E$18:$I$18,1,$B$5)-INDEX('Pace of change parameters'!$E$19:$I$19,1,$B$5))))</f>
        <v>0.78832685207281739</v>
      </c>
      <c r="Q126" s="57">
        <v>3.3012330199880147E-2</v>
      </c>
      <c r="R126" s="57">
        <v>2.206193080144403E-2</v>
      </c>
      <c r="S126" s="9">
        <f>MAX(IF(INDEX('Pace of change parameters'!$E$31:$I$31,1,$B$5)=1,D126*(1+Q126),D126),L126)</f>
        <v>980809.05209322926</v>
      </c>
      <c r="T126" s="103">
        <f>IF(Q126&lt;INDEX('Pace of change parameters'!$E$24:$I$24,1,$B$5),INDEX('Pace of change parameters'!$E$24:$I$24,1,$B$5),Q126)</f>
        <v>3.3012330199880147E-2</v>
      </c>
      <c r="U126" s="132">
        <v>2.206193080144403E-2</v>
      </c>
      <c r="V126" s="117">
        <f t="shared" si="19"/>
        <v>980809.05209322926</v>
      </c>
      <c r="W126" s="131">
        <f>IF(J126&gt;INDEX('Pace of change parameters'!$E$26:$I$26,1,$B$5),0,IF(J126&lt;INDEX('Pace of change parameters'!$E$25:$I$25,1,$B$5),1,(J126-INDEX('Pace of change parameters'!$E$26:$I$26,1,$B$5))/(INDEX('Pace of change parameters'!$E$25:$I$25,1,$B$5)-INDEX('Pace of change parameters'!$E$26:$I$26,1,$B$5))))</f>
        <v>1</v>
      </c>
      <c r="X126" s="132">
        <f>MIN(T126, T126+(INDEX('Pace of change parameters'!$E$27:$I$27,1,$B$5)-T126)*(1-W126))</f>
        <v>3.3012330199880147E-2</v>
      </c>
      <c r="Y126" s="132">
        <v>2.206193080144403E-2</v>
      </c>
      <c r="Z126" s="108">
        <f t="shared" si="20"/>
        <v>980809.05209322926</v>
      </c>
      <c r="AA126" s="97">
        <f>MIN(VLOOKUP(A126,'2016-17 disagg'!$A$12:$BC$220,54,FALSE),MIN(0,VLOOKUP(A126,'2016-17 disagg'!$A$12:$BC$220,54,FALSE),-2.5%))</f>
        <v>-3.4335121291459658E-2</v>
      </c>
      <c r="AB126" s="99">
        <f t="shared" si="13"/>
        <v>977968.8788360625</v>
      </c>
      <c r="AC126" s="99">
        <f>MAX(IF(INDEX('Pace of change parameters'!$E$29:$I$29,1,$B$5)=1,MAX(AB126,Z126),Z126),L126)</f>
        <v>980809.05209322926</v>
      </c>
      <c r="AD126" s="97">
        <f t="shared" si="14"/>
        <v>3.3012330199880147E-2</v>
      </c>
      <c r="AE126" s="146">
        <v>2.206193080144403E-2</v>
      </c>
      <c r="AF126" s="56">
        <f t="shared" si="21"/>
        <v>980809.05209322926</v>
      </c>
      <c r="AG126" s="56">
        <v>1520.3334789196297</v>
      </c>
      <c r="AH126" s="16">
        <f t="shared" si="15"/>
        <v>3.3012330199880147E-2</v>
      </c>
      <c r="AI126" s="16">
        <f t="shared" si="16"/>
        <v>2.2061930801444252E-2</v>
      </c>
      <c r="AJ126" s="56"/>
      <c r="AK126" s="56">
        <v>1012741.4804025774</v>
      </c>
      <c r="AL126" s="56">
        <v>1569.8313294118252</v>
      </c>
      <c r="AM126" s="16">
        <f t="shared" si="22"/>
        <v>-3.1530680758385277E-2</v>
      </c>
      <c r="AN126" s="58">
        <f t="shared" si="22"/>
        <v>-3.1530680758385055E-2</v>
      </c>
      <c r="AP126" s="56">
        <f t="shared" si="23"/>
        <v>0</v>
      </c>
      <c r="AQ126" s="56">
        <f t="shared" si="17"/>
        <v>0</v>
      </c>
    </row>
    <row r="127" spans="1:43" x14ac:dyDescent="0.2">
      <c r="A127" s="156" t="s">
        <v>299</v>
      </c>
      <c r="B127" s="156" t="s">
        <v>300</v>
      </c>
      <c r="D127" s="68">
        <f>VLOOKUP(A127,'2016-17 disagg'!A127:BC335,43,FALSE)</f>
        <v>592588</v>
      </c>
      <c r="E127" s="73">
        <v>1475.3279014399614</v>
      </c>
      <c r="F127" s="55"/>
      <c r="G127" s="88">
        <v>610068.495296765</v>
      </c>
      <c r="H127" s="81">
        <v>1510.8091992852626</v>
      </c>
      <c r="I127" s="90"/>
      <c r="J127" s="103">
        <f t="shared" si="18"/>
        <v>-2.8653332259456654E-2</v>
      </c>
      <c r="K127" s="126">
        <f t="shared" si="18"/>
        <v>-2.3484962801448961E-2</v>
      </c>
      <c r="L127" s="56">
        <v>606002</v>
      </c>
      <c r="M127" s="103">
        <v>1.6499778532391041E-2</v>
      </c>
      <c r="N127" s="97">
        <f>INDEX('Pace of change parameters'!$E$22:$I$22,1,$B$5)</f>
        <v>1.1119783131080974E-2</v>
      </c>
      <c r="O127" s="108">
        <f>MAX(IF(INDEX('Pace of change parameters'!$E$30:$I$30,1,$B$5)=1,(1+M127)*D127,D127),L127)</f>
        <v>606002</v>
      </c>
      <c r="P127" s="94">
        <f>IF(K127&lt;INDEX('Pace of change parameters'!$E$18:$I$18,1,$B$5),1,IF(K127&gt;INDEX('Pace of change parameters'!$E$19:$I$19,1,$B$5),0,(K127-INDEX('Pace of change parameters'!$E$19:$I$19,1,$B$5))/(INDEX('Pace of change parameters'!$E$18:$I$18,1,$B$5)-INDEX('Pace of change parameters'!$E$19:$I$19,1,$B$5))))</f>
        <v>0.73020338252437</v>
      </c>
      <c r="Q127" s="57">
        <v>2.66890884704023E-2</v>
      </c>
      <c r="R127" s="57">
        <v>2.125516443893738E-2</v>
      </c>
      <c r="S127" s="9">
        <f>MAX(IF(INDEX('Pace of change parameters'!$E$31:$I$31,1,$B$5)=1,D127*(1+Q127),D127),L127)</f>
        <v>608403.63355849881</v>
      </c>
      <c r="T127" s="103">
        <f>IF(Q127&lt;INDEX('Pace of change parameters'!$E$24:$I$24,1,$B$5),INDEX('Pace of change parameters'!$E$24:$I$24,1,$B$5),Q127)</f>
        <v>2.66890884704023E-2</v>
      </c>
      <c r="U127" s="132">
        <v>2.125516443893738E-2</v>
      </c>
      <c r="V127" s="117">
        <f t="shared" si="19"/>
        <v>608403.63355849881</v>
      </c>
      <c r="W127" s="131">
        <f>IF(J127&gt;INDEX('Pace of change parameters'!$E$26:$I$26,1,$B$5),0,IF(J127&lt;INDEX('Pace of change parameters'!$E$25:$I$25,1,$B$5),1,(J127-INDEX('Pace of change parameters'!$E$26:$I$26,1,$B$5))/(INDEX('Pace of change parameters'!$E$25:$I$25,1,$B$5)-INDEX('Pace of change parameters'!$E$26:$I$26,1,$B$5))))</f>
        <v>1</v>
      </c>
      <c r="X127" s="132">
        <f>MIN(T127, T127+(INDEX('Pace of change parameters'!$E$27:$I$27,1,$B$5)-T127)*(1-W127))</f>
        <v>2.66890884704023E-2</v>
      </c>
      <c r="Y127" s="132">
        <v>2.125516443893738E-2</v>
      </c>
      <c r="Z127" s="108">
        <f t="shared" si="20"/>
        <v>608403.63355849881</v>
      </c>
      <c r="AA127" s="97">
        <f>MIN(VLOOKUP(A127,'2016-17 disagg'!$A$12:$BC$220,54,FALSE),MIN(0,VLOOKUP(A127,'2016-17 disagg'!$A$12:$BC$220,54,FALSE),-2.5%))</f>
        <v>-3.0370883840793339E-2</v>
      </c>
      <c r="AB127" s="99">
        <f t="shared" si="13"/>
        <v>606952.51197239826</v>
      </c>
      <c r="AC127" s="99">
        <f>MAX(IF(INDEX('Pace of change parameters'!$E$29:$I$29,1,$B$5)=1,MAX(AB127,Z127),Z127),L127)</f>
        <v>608403.63355849881</v>
      </c>
      <c r="AD127" s="97">
        <f t="shared" si="14"/>
        <v>2.66890884704023E-2</v>
      </c>
      <c r="AE127" s="146">
        <v>2.125516443893738E-2</v>
      </c>
      <c r="AF127" s="56">
        <f t="shared" si="21"/>
        <v>608403.63355849881</v>
      </c>
      <c r="AG127" s="56">
        <v>1506.6862385864204</v>
      </c>
      <c r="AH127" s="16">
        <f t="shared" si="15"/>
        <v>2.66890884704023E-2</v>
      </c>
      <c r="AI127" s="16">
        <f t="shared" si="16"/>
        <v>2.1255164438937602E-2</v>
      </c>
      <c r="AJ127" s="56"/>
      <c r="AK127" s="56">
        <v>625963.57912249479</v>
      </c>
      <c r="AL127" s="56">
        <v>1550.1727118292786</v>
      </c>
      <c r="AM127" s="16">
        <f t="shared" si="22"/>
        <v>-2.8052663365195074E-2</v>
      </c>
      <c r="AN127" s="58">
        <f t="shared" si="22"/>
        <v>-2.8052663365194963E-2</v>
      </c>
      <c r="AP127" s="56">
        <f t="shared" si="23"/>
        <v>0</v>
      </c>
      <c r="AQ127" s="56">
        <f t="shared" si="17"/>
        <v>0</v>
      </c>
    </row>
    <row r="128" spans="1:43" x14ac:dyDescent="0.2">
      <c r="A128" s="156" t="s">
        <v>301</v>
      </c>
      <c r="B128" s="156" t="s">
        <v>302</v>
      </c>
      <c r="D128" s="68">
        <f>VLOOKUP(A128,'2016-17 disagg'!A128:BC336,43,FALSE)</f>
        <v>348100</v>
      </c>
      <c r="E128" s="73">
        <v>1514.7315723094241</v>
      </c>
      <c r="F128" s="55"/>
      <c r="G128" s="88">
        <v>363462.61622005043</v>
      </c>
      <c r="H128" s="81">
        <v>1563.1833199930472</v>
      </c>
      <c r="I128" s="90"/>
      <c r="J128" s="103">
        <f t="shared" si="18"/>
        <v>-4.2267390192199272E-2</v>
      </c>
      <c r="K128" s="126">
        <f t="shared" si="18"/>
        <v>-3.0995563389096703E-2</v>
      </c>
      <c r="L128" s="56">
        <v>358888</v>
      </c>
      <c r="M128" s="103">
        <v>2.3019938723497724E-2</v>
      </c>
      <c r="N128" s="97">
        <f>INDEX('Pace of change parameters'!$E$22:$I$22,1,$B$5)</f>
        <v>1.1119783131080974E-2</v>
      </c>
      <c r="O128" s="108">
        <f>MAX(IF(INDEX('Pace of change parameters'!$E$30:$I$30,1,$B$5)=1,(1+M128)*D128,D128),L128)</f>
        <v>358888</v>
      </c>
      <c r="P128" s="94">
        <f>IF(K128&lt;INDEX('Pace of change parameters'!$E$18:$I$18,1,$B$5),1,IF(K128&gt;INDEX('Pace of change parameters'!$E$19:$I$19,1,$B$5),0,(K128-INDEX('Pace of change parameters'!$E$19:$I$19,1,$B$5))/(INDEX('Pace of change parameters'!$E$18:$I$18,1,$B$5)-INDEX('Pace of change parameters'!$E$19:$I$19,1,$B$5))))</f>
        <v>0.83964602700992463</v>
      </c>
      <c r="Q128" s="57">
        <v>3.4811572423059989E-2</v>
      </c>
      <c r="R128" s="57">
        <v>2.2774252079104995E-2</v>
      </c>
      <c r="S128" s="9">
        <f>MAX(IF(INDEX('Pace of change parameters'!$E$31:$I$31,1,$B$5)=1,D128*(1+Q128),D128),L128)</f>
        <v>360217.90836046718</v>
      </c>
      <c r="T128" s="103">
        <f>IF(Q128&lt;INDEX('Pace of change parameters'!$E$24:$I$24,1,$B$5),INDEX('Pace of change parameters'!$E$24:$I$24,1,$B$5),Q128)</f>
        <v>3.4811572423059989E-2</v>
      </c>
      <c r="U128" s="132">
        <v>2.2774252079104995E-2</v>
      </c>
      <c r="V128" s="117">
        <f t="shared" si="19"/>
        <v>360217.90836046718</v>
      </c>
      <c r="W128" s="131">
        <f>IF(J128&gt;INDEX('Pace of change parameters'!$E$26:$I$26,1,$B$5),0,IF(J128&lt;INDEX('Pace of change parameters'!$E$25:$I$25,1,$B$5),1,(J128-INDEX('Pace of change parameters'!$E$26:$I$26,1,$B$5))/(INDEX('Pace of change parameters'!$E$25:$I$25,1,$B$5)-INDEX('Pace of change parameters'!$E$26:$I$26,1,$B$5))))</f>
        <v>1</v>
      </c>
      <c r="X128" s="132">
        <f>MIN(T128, T128+(INDEX('Pace of change parameters'!$E$27:$I$27,1,$B$5)-T128)*(1-W128))</f>
        <v>3.4811572423059989E-2</v>
      </c>
      <c r="Y128" s="132">
        <v>2.2774252079104995E-2</v>
      </c>
      <c r="Z128" s="108">
        <f t="shared" si="20"/>
        <v>360217.90836046718</v>
      </c>
      <c r="AA128" s="97">
        <f>MIN(VLOOKUP(A128,'2016-17 disagg'!$A$12:$BC$220,54,FALSE),MIN(0,VLOOKUP(A128,'2016-17 disagg'!$A$12:$BC$220,54,FALSE),-2.5%))</f>
        <v>-3.7835263778136063E-2</v>
      </c>
      <c r="AB128" s="99">
        <f t="shared" si="13"/>
        <v>359012.73437336495</v>
      </c>
      <c r="AC128" s="99">
        <f>MAX(IF(INDEX('Pace of change parameters'!$E$29:$I$29,1,$B$5)=1,MAX(AB128,Z128),Z128),L128)</f>
        <v>360217.90836046718</v>
      </c>
      <c r="AD128" s="97">
        <f t="shared" si="14"/>
        <v>3.4811572423059989E-2</v>
      </c>
      <c r="AE128" s="146">
        <v>2.2774252079104995E-2</v>
      </c>
      <c r="AF128" s="56">
        <f t="shared" si="21"/>
        <v>360217.90836046718</v>
      </c>
      <c r="AG128" s="56">
        <v>1549.2284509693782</v>
      </c>
      <c r="AH128" s="16">
        <f t="shared" si="15"/>
        <v>3.4811572423059989E-2</v>
      </c>
      <c r="AI128" s="16">
        <f t="shared" si="16"/>
        <v>2.2774252079105217E-2</v>
      </c>
      <c r="AJ128" s="56"/>
      <c r="AK128" s="56">
        <v>373130.2144610929</v>
      </c>
      <c r="AL128" s="56">
        <v>1604.7618142876086</v>
      </c>
      <c r="AM128" s="16">
        <f t="shared" si="22"/>
        <v>-3.4605361882244723E-2</v>
      </c>
      <c r="AN128" s="58">
        <f t="shared" si="22"/>
        <v>-3.4605361882244834E-2</v>
      </c>
      <c r="AP128" s="56">
        <f t="shared" si="23"/>
        <v>0</v>
      </c>
      <c r="AQ128" s="56">
        <f t="shared" si="17"/>
        <v>0</v>
      </c>
    </row>
    <row r="129" spans="1:43" x14ac:dyDescent="0.2">
      <c r="A129" s="156" t="s">
        <v>303</v>
      </c>
      <c r="B129" s="156" t="s">
        <v>304</v>
      </c>
      <c r="D129" s="68">
        <f>VLOOKUP(A129,'2016-17 disagg'!A129:BC337,43,FALSE)</f>
        <v>561220</v>
      </c>
      <c r="E129" s="73">
        <v>1455.1915034886213</v>
      </c>
      <c r="F129" s="55"/>
      <c r="G129" s="88">
        <v>576031.82181635173</v>
      </c>
      <c r="H129" s="81">
        <v>1483.0628334258838</v>
      </c>
      <c r="I129" s="90"/>
      <c r="J129" s="103">
        <f t="shared" si="18"/>
        <v>-2.5713547855128693E-2</v>
      </c>
      <c r="K129" s="126">
        <f t="shared" si="18"/>
        <v>-1.879308772972188E-2</v>
      </c>
      <c r="L129" s="56">
        <v>574420</v>
      </c>
      <c r="M129" s="103">
        <v>1.8301874317676159E-2</v>
      </c>
      <c r="N129" s="97">
        <f>INDEX('Pace of change parameters'!$E$22:$I$22,1,$B$5)</f>
        <v>1.1119783131080974E-2</v>
      </c>
      <c r="O129" s="108">
        <f>MAX(IF(INDEX('Pace of change parameters'!$E$30:$I$30,1,$B$5)=1,(1+M129)*D129,D129),L129)</f>
        <v>574420</v>
      </c>
      <c r="P129" s="94">
        <f>IF(K129&lt;INDEX('Pace of change parameters'!$E$18:$I$18,1,$B$5),1,IF(K129&gt;INDEX('Pace of change parameters'!$E$19:$I$19,1,$B$5),0,(K129-INDEX('Pace of change parameters'!$E$19:$I$19,1,$B$5))/(INDEX('Pace of change parameters'!$E$18:$I$18,1,$B$5)-INDEX('Pace of change parameters'!$E$19:$I$19,1,$B$5))))</f>
        <v>0.66183452048021174</v>
      </c>
      <c r="Q129" s="57">
        <v>2.7553533015365339E-2</v>
      </c>
      <c r="R129" s="57">
        <v>2.0306189806683417E-2</v>
      </c>
      <c r="S129" s="9">
        <f>MAX(IF(INDEX('Pace of change parameters'!$E$31:$I$31,1,$B$5)=1,D129*(1+Q129),D129),L129)</f>
        <v>576683.59379888338</v>
      </c>
      <c r="T129" s="103">
        <f>IF(Q129&lt;INDEX('Pace of change parameters'!$E$24:$I$24,1,$B$5),INDEX('Pace of change parameters'!$E$24:$I$24,1,$B$5),Q129)</f>
        <v>2.7553533015365339E-2</v>
      </c>
      <c r="U129" s="132">
        <v>2.0306189806683417E-2</v>
      </c>
      <c r="V129" s="117">
        <f t="shared" si="19"/>
        <v>576683.59379888338</v>
      </c>
      <c r="W129" s="131">
        <f>IF(J129&gt;INDEX('Pace of change parameters'!$E$26:$I$26,1,$B$5),0,IF(J129&lt;INDEX('Pace of change parameters'!$E$25:$I$25,1,$B$5),1,(J129-INDEX('Pace of change parameters'!$E$26:$I$26,1,$B$5))/(INDEX('Pace of change parameters'!$E$25:$I$25,1,$B$5)-INDEX('Pace of change parameters'!$E$26:$I$26,1,$B$5))))</f>
        <v>1</v>
      </c>
      <c r="X129" s="132">
        <f>MIN(T129, T129+(INDEX('Pace of change parameters'!$E$27:$I$27,1,$B$5)-T129)*(1-W129))</f>
        <v>2.7553533015365339E-2</v>
      </c>
      <c r="Y129" s="132">
        <v>2.0306189806683417E-2</v>
      </c>
      <c r="Z129" s="108">
        <f t="shared" si="20"/>
        <v>576683.59379888338</v>
      </c>
      <c r="AA129" s="97">
        <f>MIN(VLOOKUP(A129,'2016-17 disagg'!$A$12:$BC$220,54,FALSE),MIN(0,VLOOKUP(A129,'2016-17 disagg'!$A$12:$BC$220,54,FALSE),-2.5%))</f>
        <v>-2.5711848430962192E-2</v>
      </c>
      <c r="AB129" s="99">
        <f t="shared" si="13"/>
        <v>575832.48209348053</v>
      </c>
      <c r="AC129" s="99">
        <f>MAX(IF(INDEX('Pace of change parameters'!$E$29:$I$29,1,$B$5)=1,MAX(AB129,Z129),Z129),L129)</f>
        <v>576683.59379888338</v>
      </c>
      <c r="AD129" s="97">
        <f t="shared" si="14"/>
        <v>2.7553533015365339E-2</v>
      </c>
      <c r="AE129" s="146">
        <v>2.0306189806683417E-2</v>
      </c>
      <c r="AF129" s="56">
        <f t="shared" si="21"/>
        <v>576683.59379888338</v>
      </c>
      <c r="AG129" s="56">
        <v>1484.7408983635341</v>
      </c>
      <c r="AH129" s="16">
        <f t="shared" si="15"/>
        <v>2.7553533015365339E-2</v>
      </c>
      <c r="AI129" s="16">
        <f t="shared" si="16"/>
        <v>2.0306189806683417E-2</v>
      </c>
      <c r="AJ129" s="56"/>
      <c r="AK129" s="56">
        <v>591028.9283166728</v>
      </c>
      <c r="AL129" s="56">
        <v>1521.674678149016</v>
      </c>
      <c r="AM129" s="16">
        <f t="shared" si="22"/>
        <v>-2.427179758975051E-2</v>
      </c>
      <c r="AN129" s="58">
        <f t="shared" si="22"/>
        <v>-2.4271797589750621E-2</v>
      </c>
      <c r="AP129" s="56">
        <f t="shared" si="23"/>
        <v>0</v>
      </c>
      <c r="AQ129" s="56">
        <f t="shared" si="17"/>
        <v>0</v>
      </c>
    </row>
    <row r="130" spans="1:43" x14ac:dyDescent="0.2">
      <c r="A130" s="156" t="s">
        <v>305</v>
      </c>
      <c r="B130" s="156" t="s">
        <v>306</v>
      </c>
      <c r="D130" s="68">
        <f>VLOOKUP(A130,'2016-17 disagg'!A130:BC338,43,FALSE)</f>
        <v>560924</v>
      </c>
      <c r="E130" s="73">
        <v>1641.6349025521656</v>
      </c>
      <c r="F130" s="55"/>
      <c r="G130" s="88">
        <v>577167.73206071323</v>
      </c>
      <c r="H130" s="81">
        <v>1674.6886625856353</v>
      </c>
      <c r="I130" s="90"/>
      <c r="J130" s="103">
        <f t="shared" si="18"/>
        <v>-2.8143867299574743E-2</v>
      </c>
      <c r="K130" s="126">
        <f t="shared" si="18"/>
        <v>-1.9737256704441042E-2</v>
      </c>
      <c r="L130" s="56">
        <v>574242</v>
      </c>
      <c r="M130" s="103">
        <v>1.9866026526387248E-2</v>
      </c>
      <c r="N130" s="97">
        <f>INDEX('Pace of change parameters'!$E$22:$I$22,1,$B$5)</f>
        <v>1.1119783131080974E-2</v>
      </c>
      <c r="O130" s="108">
        <f>MAX(IF(INDEX('Pace of change parameters'!$E$30:$I$30,1,$B$5)=1,(1+M130)*D130,D130),L130)</f>
        <v>574242</v>
      </c>
      <c r="P130" s="94">
        <f>IF(K130&lt;INDEX('Pace of change parameters'!$E$18:$I$18,1,$B$5),1,IF(K130&gt;INDEX('Pace of change parameters'!$E$19:$I$19,1,$B$5),0,(K130-INDEX('Pace of change parameters'!$E$19:$I$19,1,$B$5))/(INDEX('Pace of change parameters'!$E$18:$I$18,1,$B$5)-INDEX('Pace of change parameters'!$E$19:$I$19,1,$B$5))))</f>
        <v>0.67559272106997881</v>
      </c>
      <c r="Q130" s="57">
        <v>2.9324514821681635E-2</v>
      </c>
      <c r="R130" s="57">
        <v>2.0497156614595502E-2</v>
      </c>
      <c r="S130" s="9">
        <f>MAX(IF(INDEX('Pace of change parameters'!$E$31:$I$31,1,$B$5)=1,D130*(1+Q130),D130),L130)</f>
        <v>577372.82415183692</v>
      </c>
      <c r="T130" s="103">
        <f>IF(Q130&lt;INDEX('Pace of change parameters'!$E$24:$I$24,1,$B$5),INDEX('Pace of change parameters'!$E$24:$I$24,1,$B$5),Q130)</f>
        <v>2.9324514821681635E-2</v>
      </c>
      <c r="U130" s="132">
        <v>2.0497156614595502E-2</v>
      </c>
      <c r="V130" s="117">
        <f t="shared" si="19"/>
        <v>577372.82415183692</v>
      </c>
      <c r="W130" s="131">
        <f>IF(J130&gt;INDEX('Pace of change parameters'!$E$26:$I$26,1,$B$5),0,IF(J130&lt;INDEX('Pace of change parameters'!$E$25:$I$25,1,$B$5),1,(J130-INDEX('Pace of change parameters'!$E$26:$I$26,1,$B$5))/(INDEX('Pace of change parameters'!$E$25:$I$25,1,$B$5)-INDEX('Pace of change parameters'!$E$26:$I$26,1,$B$5))))</f>
        <v>1</v>
      </c>
      <c r="X130" s="132">
        <f>MIN(T130, T130+(INDEX('Pace of change parameters'!$E$27:$I$27,1,$B$5)-T130)*(1-W130))</f>
        <v>2.9324514821681635E-2</v>
      </c>
      <c r="Y130" s="132">
        <v>2.0497156614595502E-2</v>
      </c>
      <c r="Z130" s="108">
        <f t="shared" si="20"/>
        <v>577372.82415183692</v>
      </c>
      <c r="AA130" s="97">
        <f>MIN(VLOOKUP(A130,'2016-17 disagg'!$A$12:$BC$220,54,FALSE),MIN(0,VLOOKUP(A130,'2016-17 disagg'!$A$12:$BC$220,54,FALSE),-2.5%))</f>
        <v>-2.6646372094949577E-2</v>
      </c>
      <c r="AB130" s="99">
        <f t="shared" si="13"/>
        <v>576280.65601538436</v>
      </c>
      <c r="AC130" s="99">
        <f>MAX(IF(INDEX('Pace of change parameters'!$E$29:$I$29,1,$B$5)=1,MAX(AB130,Z130),Z130),L130)</f>
        <v>577372.82415183692</v>
      </c>
      <c r="AD130" s="97">
        <f t="shared" si="14"/>
        <v>2.9324514821681635E-2</v>
      </c>
      <c r="AE130" s="146">
        <v>2.0497156614595502E-2</v>
      </c>
      <c r="AF130" s="56">
        <f t="shared" si="21"/>
        <v>577372.82415183692</v>
      </c>
      <c r="AG130" s="56">
        <v>1675.2837502537634</v>
      </c>
      <c r="AH130" s="16">
        <f t="shared" si="15"/>
        <v>2.9324514821681635E-2</v>
      </c>
      <c r="AI130" s="16">
        <f t="shared" si="16"/>
        <v>2.0497156614595502E-2</v>
      </c>
      <c r="AJ130" s="56"/>
      <c r="AK130" s="56">
        <v>592056.8224065837</v>
      </c>
      <c r="AL130" s="56">
        <v>1717.8902994987322</v>
      </c>
      <c r="AM130" s="16">
        <f t="shared" si="22"/>
        <v>-2.4801670547532018E-2</v>
      </c>
      <c r="AN130" s="58">
        <f t="shared" si="22"/>
        <v>-2.4801670547532129E-2</v>
      </c>
      <c r="AP130" s="56">
        <f t="shared" si="23"/>
        <v>0</v>
      </c>
      <c r="AQ130" s="56">
        <f t="shared" si="17"/>
        <v>0</v>
      </c>
    </row>
    <row r="131" spans="1:43" x14ac:dyDescent="0.2">
      <c r="A131" s="156" t="s">
        <v>307</v>
      </c>
      <c r="B131" s="156" t="s">
        <v>308</v>
      </c>
      <c r="D131" s="68">
        <f>VLOOKUP(A131,'2016-17 disagg'!A131:BC339,43,FALSE)</f>
        <v>295227</v>
      </c>
      <c r="E131" s="73">
        <v>1715.9061295803945</v>
      </c>
      <c r="F131" s="55"/>
      <c r="G131" s="88">
        <v>290377.04327845655</v>
      </c>
      <c r="H131" s="81">
        <v>1679.5027977368525</v>
      </c>
      <c r="I131" s="90"/>
      <c r="J131" s="103">
        <f t="shared" si="18"/>
        <v>1.6702273247174659E-2</v>
      </c>
      <c r="K131" s="126">
        <f t="shared" si="18"/>
        <v>2.1675064723081006E-2</v>
      </c>
      <c r="L131" s="56">
        <v>301904</v>
      </c>
      <c r="M131" s="103">
        <v>1.606527009514136E-2</v>
      </c>
      <c r="N131" s="97">
        <f>INDEX('Pace of change parameters'!$E$22:$I$22,1,$B$5)</f>
        <v>1.1119783131080974E-2</v>
      </c>
      <c r="O131" s="108">
        <f>MAX(IF(INDEX('Pace of change parameters'!$E$30:$I$30,1,$B$5)=1,(1+M131)*D131,D131),L131)</f>
        <v>301904</v>
      </c>
      <c r="P131" s="94">
        <f>IF(K131&lt;INDEX('Pace of change parameters'!$E$18:$I$18,1,$B$5),1,IF(K131&gt;INDEX('Pace of change parameters'!$E$19:$I$19,1,$B$5),0,(K131-INDEX('Pace of change parameters'!$E$19:$I$19,1,$B$5))/(INDEX('Pace of change parameters'!$E$18:$I$18,1,$B$5)-INDEX('Pace of change parameters'!$E$19:$I$19,1,$B$5))))</f>
        <v>7.2142448562107206E-2</v>
      </c>
      <c r="Q131" s="57">
        <v>1.7071520642474969E-2</v>
      </c>
      <c r="R131" s="57">
        <v>1.2121135962577911E-2</v>
      </c>
      <c r="S131" s="9">
        <f>MAX(IF(INDEX('Pace of change parameters'!$E$31:$I$31,1,$B$5)=1,D131*(1+Q131),D131),L131)</f>
        <v>301904</v>
      </c>
      <c r="T131" s="103">
        <f>IF(Q131&lt;INDEX('Pace of change parameters'!$E$24:$I$24,1,$B$5),INDEX('Pace of change parameters'!$E$24:$I$24,1,$B$5),Q131)</f>
        <v>1.9644681315626574E-2</v>
      </c>
      <c r="U131" s="132">
        <v>1.4681772309842023E-2</v>
      </c>
      <c r="V131" s="117">
        <f t="shared" si="19"/>
        <v>301904</v>
      </c>
      <c r="W131" s="131">
        <f>IF(J131&gt;INDEX('Pace of change parameters'!$E$26:$I$26,1,$B$5),0,IF(J131&lt;INDEX('Pace of change parameters'!$E$25:$I$25,1,$B$5),1,(J131-INDEX('Pace of change parameters'!$E$26:$I$26,1,$B$5))/(INDEX('Pace of change parameters'!$E$25:$I$25,1,$B$5)-INDEX('Pace of change parameters'!$E$26:$I$26,1,$B$5))))</f>
        <v>1</v>
      </c>
      <c r="X131" s="132">
        <f>MIN(T131, T131+(INDEX('Pace of change parameters'!$E$27:$I$27,1,$B$5)-T131)*(1-W131))</f>
        <v>1.9644681315626574E-2</v>
      </c>
      <c r="Y131" s="132">
        <v>1.4681772309842023E-2</v>
      </c>
      <c r="Z131" s="108">
        <f t="shared" si="20"/>
        <v>301904</v>
      </c>
      <c r="AA131" s="97">
        <f>MIN(VLOOKUP(A131,'2016-17 disagg'!$A$12:$BC$220,54,FALSE),MIN(0,VLOOKUP(A131,'2016-17 disagg'!$A$12:$BC$220,54,FALSE),-2.5%))</f>
        <v>-2.5000000000000001E-2</v>
      </c>
      <c r="AB131" s="99">
        <f t="shared" si="13"/>
        <v>290620.00567749469</v>
      </c>
      <c r="AC131" s="99">
        <f>MAX(IF(INDEX('Pace of change parameters'!$E$29:$I$29,1,$B$5)=1,MAX(AB131,Z131),Z131),L131)</f>
        <v>301904</v>
      </c>
      <c r="AD131" s="97">
        <f t="shared" si="14"/>
        <v>2.2616495103767509E-2</v>
      </c>
      <c r="AE131" s="146">
        <v>1.7639121410741421E-2</v>
      </c>
      <c r="AF131" s="56">
        <f t="shared" si="21"/>
        <v>301904</v>
      </c>
      <c r="AG131" s="56">
        <v>1746.1732061294988</v>
      </c>
      <c r="AH131" s="16">
        <f t="shared" si="15"/>
        <v>2.2616495103767509E-2</v>
      </c>
      <c r="AI131" s="16">
        <f t="shared" si="16"/>
        <v>1.7639121410741643E-2</v>
      </c>
      <c r="AJ131" s="56"/>
      <c r="AK131" s="56">
        <v>298071.80069486634</v>
      </c>
      <c r="AL131" s="56">
        <v>1724.0082671185137</v>
      </c>
      <c r="AM131" s="16">
        <f t="shared" si="22"/>
        <v>1.2856631510260286E-2</v>
      </c>
      <c r="AN131" s="58">
        <f t="shared" si="22"/>
        <v>1.2856631510260286E-2</v>
      </c>
      <c r="AP131" s="56">
        <f t="shared" si="23"/>
        <v>1</v>
      </c>
      <c r="AQ131" s="56">
        <f t="shared" si="17"/>
        <v>0</v>
      </c>
    </row>
    <row r="132" spans="1:43" x14ac:dyDescent="0.2">
      <c r="A132" s="156" t="s">
        <v>309</v>
      </c>
      <c r="B132" s="156" t="s">
        <v>310</v>
      </c>
      <c r="D132" s="68">
        <f>VLOOKUP(A132,'2016-17 disagg'!A132:BC340,43,FALSE)</f>
        <v>312397</v>
      </c>
      <c r="E132" s="73">
        <v>1436.6908022753091</v>
      </c>
      <c r="F132" s="55"/>
      <c r="G132" s="88">
        <v>317550.98449393926</v>
      </c>
      <c r="H132" s="81">
        <v>1450.2222375790727</v>
      </c>
      <c r="I132" s="90"/>
      <c r="J132" s="103">
        <f t="shared" si="18"/>
        <v>-1.6230415730415171E-2</v>
      </c>
      <c r="K132" s="126">
        <f t="shared" si="18"/>
        <v>-9.3305942724697388E-3</v>
      </c>
      <c r="L132" s="56">
        <v>319579</v>
      </c>
      <c r="M132" s="103">
        <v>1.8211429475667673E-2</v>
      </c>
      <c r="N132" s="97">
        <f>INDEX('Pace of change parameters'!$E$22:$I$22,1,$B$5)</f>
        <v>1.1119783131080974E-2</v>
      </c>
      <c r="O132" s="108">
        <f>MAX(IF(INDEX('Pace of change parameters'!$E$30:$I$30,1,$B$5)=1,(1+M132)*D132,D132),L132)</f>
        <v>319579</v>
      </c>
      <c r="P132" s="94">
        <f>IF(K132&lt;INDEX('Pace of change parameters'!$E$18:$I$18,1,$B$5),1,IF(K132&gt;INDEX('Pace of change parameters'!$E$19:$I$19,1,$B$5),0,(K132-INDEX('Pace of change parameters'!$E$19:$I$19,1,$B$5))/(INDEX('Pace of change parameters'!$E$18:$I$18,1,$B$5)-INDEX('Pace of change parameters'!$E$19:$I$19,1,$B$5))))</f>
        <v>0.5239493679809395</v>
      </c>
      <c r="Q132" s="57">
        <v>2.5534967361327432E-2</v>
      </c>
      <c r="R132" s="57">
        <v>1.8392313986989484E-2</v>
      </c>
      <c r="S132" s="9">
        <f>MAX(IF(INDEX('Pace of change parameters'!$E$31:$I$31,1,$B$5)=1,D132*(1+Q132),D132),L132)</f>
        <v>320374.04719877662</v>
      </c>
      <c r="T132" s="103">
        <f>IF(Q132&lt;INDEX('Pace of change parameters'!$E$24:$I$24,1,$B$5),INDEX('Pace of change parameters'!$E$24:$I$24,1,$B$5),Q132)</f>
        <v>2.5534967361327432E-2</v>
      </c>
      <c r="U132" s="132">
        <v>1.8392313986989484E-2</v>
      </c>
      <c r="V132" s="117">
        <f t="shared" si="19"/>
        <v>320374.04719877662</v>
      </c>
      <c r="W132" s="131">
        <f>IF(J132&gt;INDEX('Pace of change parameters'!$E$26:$I$26,1,$B$5),0,IF(J132&lt;INDEX('Pace of change parameters'!$E$25:$I$25,1,$B$5),1,(J132-INDEX('Pace of change parameters'!$E$26:$I$26,1,$B$5))/(INDEX('Pace of change parameters'!$E$25:$I$25,1,$B$5)-INDEX('Pace of change parameters'!$E$26:$I$26,1,$B$5))))</f>
        <v>1</v>
      </c>
      <c r="X132" s="132">
        <f>MIN(T132, T132+(INDEX('Pace of change parameters'!$E$27:$I$27,1,$B$5)-T132)*(1-W132))</f>
        <v>2.5534967361327432E-2</v>
      </c>
      <c r="Y132" s="132">
        <v>1.8392313986989484E-2</v>
      </c>
      <c r="Z132" s="108">
        <f t="shared" si="20"/>
        <v>320374.04719877662</v>
      </c>
      <c r="AA132" s="97">
        <f>MIN(VLOOKUP(A132,'2016-17 disagg'!$A$12:$BC$220,54,FALSE),MIN(0,VLOOKUP(A132,'2016-17 disagg'!$A$12:$BC$220,54,FALSE),-2.5%))</f>
        <v>-2.5000000000000001E-2</v>
      </c>
      <c r="AB132" s="99">
        <f t="shared" si="13"/>
        <v>317828.85996848741</v>
      </c>
      <c r="AC132" s="99">
        <f>MAX(IF(INDEX('Pace of change parameters'!$E$29:$I$29,1,$B$5)=1,MAX(AB132,Z132),Z132),L132)</f>
        <v>320374.04719877662</v>
      </c>
      <c r="AD132" s="97">
        <f t="shared" si="14"/>
        <v>2.5534967361327432E-2</v>
      </c>
      <c r="AE132" s="146">
        <v>1.8392313986989484E-2</v>
      </c>
      <c r="AF132" s="56">
        <f t="shared" si="21"/>
        <v>320374.04719877662</v>
      </c>
      <c r="AG132" s="56">
        <v>1463.1148706129766</v>
      </c>
      <c r="AH132" s="16">
        <f t="shared" si="15"/>
        <v>2.5534967361327432E-2</v>
      </c>
      <c r="AI132" s="16">
        <f t="shared" si="16"/>
        <v>1.8392313986989484E-2</v>
      </c>
      <c r="AJ132" s="56"/>
      <c r="AK132" s="56">
        <v>325978.31791639735</v>
      </c>
      <c r="AL132" s="56">
        <v>1488.7089906660412</v>
      </c>
      <c r="AM132" s="16">
        <f t="shared" si="22"/>
        <v>-1.7192157912349404E-2</v>
      </c>
      <c r="AN132" s="58">
        <f t="shared" si="22"/>
        <v>-1.7192157912349293E-2</v>
      </c>
      <c r="AP132" s="56">
        <f t="shared" si="23"/>
        <v>0</v>
      </c>
      <c r="AQ132" s="56">
        <f t="shared" si="17"/>
        <v>0</v>
      </c>
    </row>
    <row r="133" spans="1:43" x14ac:dyDescent="0.2">
      <c r="A133" s="156" t="s">
        <v>311</v>
      </c>
      <c r="B133" s="156" t="s">
        <v>312</v>
      </c>
      <c r="D133" s="68">
        <f>VLOOKUP(A133,'2016-17 disagg'!A133:BC341,43,FALSE)</f>
        <v>346649</v>
      </c>
      <c r="E133" s="73">
        <v>1469.9279230341294</v>
      </c>
      <c r="F133" s="55"/>
      <c r="G133" s="88">
        <v>353641.12942293868</v>
      </c>
      <c r="H133" s="81">
        <v>1485.3475462406666</v>
      </c>
      <c r="I133" s="90"/>
      <c r="J133" s="103">
        <f t="shared" si="18"/>
        <v>-1.977182188720028E-2</v>
      </c>
      <c r="K133" s="126">
        <f t="shared" si="18"/>
        <v>-1.0381155067420655E-2</v>
      </c>
      <c r="L133" s="56">
        <v>354918</v>
      </c>
      <c r="M133" s="103">
        <v>2.0806394075639334E-2</v>
      </c>
      <c r="N133" s="97">
        <f>INDEX('Pace of change parameters'!$E$22:$I$22,1,$B$5)</f>
        <v>1.1119783131080974E-2</v>
      </c>
      <c r="O133" s="108">
        <f>MAX(IF(INDEX('Pace of change parameters'!$E$30:$I$30,1,$B$5)=1,(1+M133)*D133,D133),L133)</f>
        <v>354918</v>
      </c>
      <c r="P133" s="94">
        <f>IF(K133&lt;INDEX('Pace of change parameters'!$E$18:$I$18,1,$B$5),1,IF(K133&gt;INDEX('Pace of change parameters'!$E$19:$I$19,1,$B$5),0,(K133-INDEX('Pace of change parameters'!$E$19:$I$19,1,$B$5))/(INDEX('Pace of change parameters'!$E$18:$I$18,1,$B$5)-INDEX('Pace of change parameters'!$E$19:$I$19,1,$B$5))))</f>
        <v>0.53925788429072297</v>
      </c>
      <c r="Q133" s="57">
        <v>2.8363117532359983E-2</v>
      </c>
      <c r="R133" s="57">
        <v>1.8604799513310732E-2</v>
      </c>
      <c r="S133" s="9">
        <f>MAX(IF(INDEX('Pace of change parameters'!$E$31:$I$31,1,$B$5)=1,D133*(1+Q133),D133),L133)</f>
        <v>356481.04632947507</v>
      </c>
      <c r="T133" s="103">
        <f>IF(Q133&lt;INDEX('Pace of change parameters'!$E$24:$I$24,1,$B$5),INDEX('Pace of change parameters'!$E$24:$I$24,1,$B$5),Q133)</f>
        <v>2.8363117532359983E-2</v>
      </c>
      <c r="U133" s="132">
        <v>1.8604799513310732E-2</v>
      </c>
      <c r="V133" s="117">
        <f t="shared" si="19"/>
        <v>356481.04632947507</v>
      </c>
      <c r="W133" s="131">
        <f>IF(J133&gt;INDEX('Pace of change parameters'!$E$26:$I$26,1,$B$5),0,IF(J133&lt;INDEX('Pace of change parameters'!$E$25:$I$25,1,$B$5),1,(J133-INDEX('Pace of change parameters'!$E$26:$I$26,1,$B$5))/(INDEX('Pace of change parameters'!$E$25:$I$25,1,$B$5)-INDEX('Pace of change parameters'!$E$26:$I$26,1,$B$5))))</f>
        <v>1</v>
      </c>
      <c r="X133" s="132">
        <f>MIN(T133, T133+(INDEX('Pace of change parameters'!$E$27:$I$27,1,$B$5)-T133)*(1-W133))</f>
        <v>2.8363117532359983E-2</v>
      </c>
      <c r="Y133" s="132">
        <v>1.8604799513310732E-2</v>
      </c>
      <c r="Z133" s="108">
        <f t="shared" si="20"/>
        <v>356481.04632947507</v>
      </c>
      <c r="AA133" s="97">
        <f>MIN(VLOOKUP(A133,'2016-17 disagg'!$A$12:$BC$220,54,FALSE),MIN(0,VLOOKUP(A133,'2016-17 disagg'!$A$12:$BC$220,54,FALSE),-2.5%))</f>
        <v>-2.5000000000000001E-2</v>
      </c>
      <c r="AB133" s="99">
        <f t="shared" si="13"/>
        <v>353947.01116576092</v>
      </c>
      <c r="AC133" s="99">
        <f>MAX(IF(INDEX('Pace of change parameters'!$E$29:$I$29,1,$B$5)=1,MAX(AB133,Z133),Z133),L133)</f>
        <v>356481.04632947507</v>
      </c>
      <c r="AD133" s="97">
        <f t="shared" si="14"/>
        <v>2.8363117532359983E-2</v>
      </c>
      <c r="AE133" s="146">
        <v>1.8604799513310732E-2</v>
      </c>
      <c r="AF133" s="56">
        <f t="shared" si="21"/>
        <v>356481.04632947507</v>
      </c>
      <c r="AG133" s="56">
        <v>1497.2756373411967</v>
      </c>
      <c r="AH133" s="16">
        <f t="shared" si="15"/>
        <v>2.8363117532359983E-2</v>
      </c>
      <c r="AI133" s="16">
        <f t="shared" si="16"/>
        <v>1.8604799513310732E-2</v>
      </c>
      <c r="AJ133" s="56"/>
      <c r="AK133" s="56">
        <v>363022.57555462659</v>
      </c>
      <c r="AL133" s="56">
        <v>1524.7510738072419</v>
      </c>
      <c r="AM133" s="16">
        <f t="shared" si="22"/>
        <v>-1.801962099783283E-2</v>
      </c>
      <c r="AN133" s="58">
        <f t="shared" si="22"/>
        <v>-1.8019620997832941E-2</v>
      </c>
      <c r="AP133" s="56">
        <f t="shared" si="23"/>
        <v>0</v>
      </c>
      <c r="AQ133" s="56">
        <f t="shared" si="17"/>
        <v>0</v>
      </c>
    </row>
    <row r="134" spans="1:43" x14ac:dyDescent="0.2">
      <c r="A134" s="156" t="s">
        <v>313</v>
      </c>
      <c r="B134" s="156" t="s">
        <v>314</v>
      </c>
      <c r="D134" s="68">
        <f>VLOOKUP(A134,'2016-17 disagg'!A134:BC342,43,FALSE)</f>
        <v>301771</v>
      </c>
      <c r="E134" s="73">
        <v>1616.6700766844294</v>
      </c>
      <c r="F134" s="55"/>
      <c r="G134" s="88">
        <v>308425.22819434316</v>
      </c>
      <c r="H134" s="81">
        <v>1640.006814877333</v>
      </c>
      <c r="I134" s="90"/>
      <c r="J134" s="103">
        <f t="shared" si="18"/>
        <v>-2.1574850518227495E-2</v>
      </c>
      <c r="K134" s="126">
        <f t="shared" si="18"/>
        <v>-1.4229659280195817E-2</v>
      </c>
      <c r="L134" s="56">
        <v>308910</v>
      </c>
      <c r="M134" s="103">
        <v>1.8710418117914962E-2</v>
      </c>
      <c r="N134" s="97">
        <f>INDEX('Pace of change parameters'!$E$22:$I$22,1,$B$5)</f>
        <v>1.1119783131080974E-2</v>
      </c>
      <c r="O134" s="108">
        <f>MAX(IF(INDEX('Pace of change parameters'!$E$30:$I$30,1,$B$5)=1,(1+M134)*D134,D134),L134)</f>
        <v>308910</v>
      </c>
      <c r="P134" s="94">
        <f>IF(K134&lt;INDEX('Pace of change parameters'!$E$18:$I$18,1,$B$5),1,IF(K134&gt;INDEX('Pace of change parameters'!$E$19:$I$19,1,$B$5),0,(K134-INDEX('Pace of change parameters'!$E$19:$I$19,1,$B$5))/(INDEX('Pace of change parameters'!$E$18:$I$18,1,$B$5)-INDEX('Pace of change parameters'!$E$19:$I$19,1,$B$5))))</f>
        <v>0.59533735136458377</v>
      </c>
      <c r="Q134" s="57">
        <v>2.7035864393100573E-2</v>
      </c>
      <c r="R134" s="57">
        <v>1.9383194678189275E-2</v>
      </c>
      <c r="S134" s="9">
        <f>MAX(IF(INDEX('Pace of change parameters'!$E$31:$I$31,1,$B$5)=1,D134*(1+Q134),D134),L134)</f>
        <v>309929.63983377034</v>
      </c>
      <c r="T134" s="103">
        <f>IF(Q134&lt;INDEX('Pace of change parameters'!$E$24:$I$24,1,$B$5),INDEX('Pace of change parameters'!$E$24:$I$24,1,$B$5),Q134)</f>
        <v>2.7035864393100573E-2</v>
      </c>
      <c r="U134" s="132">
        <v>1.9383194678189275E-2</v>
      </c>
      <c r="V134" s="117">
        <f t="shared" si="19"/>
        <v>309929.63983377034</v>
      </c>
      <c r="W134" s="131">
        <f>IF(J134&gt;INDEX('Pace of change parameters'!$E$26:$I$26,1,$B$5),0,IF(J134&lt;INDEX('Pace of change parameters'!$E$25:$I$25,1,$B$5),1,(J134-INDEX('Pace of change parameters'!$E$26:$I$26,1,$B$5))/(INDEX('Pace of change parameters'!$E$25:$I$25,1,$B$5)-INDEX('Pace of change parameters'!$E$26:$I$26,1,$B$5))))</f>
        <v>1</v>
      </c>
      <c r="X134" s="132">
        <f>MIN(T134, T134+(INDEX('Pace of change parameters'!$E$27:$I$27,1,$B$5)-T134)*(1-W134))</f>
        <v>2.7035864393100573E-2</v>
      </c>
      <c r="Y134" s="132">
        <v>1.9383194678189275E-2</v>
      </c>
      <c r="Z134" s="108">
        <f t="shared" si="20"/>
        <v>309929.63983377034</v>
      </c>
      <c r="AA134" s="97">
        <f>MIN(VLOOKUP(A134,'2016-17 disagg'!$A$12:$BC$220,54,FALSE),MIN(0,VLOOKUP(A134,'2016-17 disagg'!$A$12:$BC$220,54,FALSE),-2.5%))</f>
        <v>-2.5000000000000001E-2</v>
      </c>
      <c r="AB134" s="99">
        <f t="shared" si="13"/>
        <v>308538.41965841758</v>
      </c>
      <c r="AC134" s="99">
        <f>MAX(IF(INDEX('Pace of change parameters'!$E$29:$I$29,1,$B$5)=1,MAX(AB134,Z134),Z134),L134)</f>
        <v>309929.63983377034</v>
      </c>
      <c r="AD134" s="97">
        <f t="shared" si="14"/>
        <v>2.7035864393100573E-2</v>
      </c>
      <c r="AE134" s="146">
        <v>1.9383194678189275E-2</v>
      </c>
      <c r="AF134" s="56">
        <f t="shared" si="21"/>
        <v>309929.63983377034</v>
      </c>
      <c r="AG134" s="56">
        <v>1648.0063075112064</v>
      </c>
      <c r="AH134" s="16">
        <f t="shared" si="15"/>
        <v>2.7035864393100573E-2</v>
      </c>
      <c r="AI134" s="16">
        <f t="shared" si="16"/>
        <v>1.9383194678189053E-2</v>
      </c>
      <c r="AJ134" s="56"/>
      <c r="AK134" s="56">
        <v>316449.6611881206</v>
      </c>
      <c r="AL134" s="56">
        <v>1682.6755838115953</v>
      </c>
      <c r="AM134" s="16">
        <f t="shared" si="22"/>
        <v>-2.0603660404851176E-2</v>
      </c>
      <c r="AN134" s="58">
        <f t="shared" si="22"/>
        <v>-2.0603660404851287E-2</v>
      </c>
      <c r="AP134" s="56">
        <f t="shared" si="23"/>
        <v>0</v>
      </c>
      <c r="AQ134" s="56">
        <f t="shared" si="17"/>
        <v>0</v>
      </c>
    </row>
    <row r="135" spans="1:43" x14ac:dyDescent="0.2">
      <c r="A135" s="156" t="s">
        <v>315</v>
      </c>
      <c r="B135" s="156" t="s">
        <v>316</v>
      </c>
      <c r="D135" s="68">
        <f>VLOOKUP(A135,'2016-17 disagg'!A135:BC343,43,FALSE)</f>
        <v>256884</v>
      </c>
      <c r="E135" s="73">
        <v>1490.7031874221154</v>
      </c>
      <c r="F135" s="55"/>
      <c r="G135" s="88">
        <v>263334.64476660889</v>
      </c>
      <c r="H135" s="81">
        <v>1512.394896118089</v>
      </c>
      <c r="I135" s="90"/>
      <c r="J135" s="103">
        <f t="shared" si="18"/>
        <v>-2.449599737370689E-2</v>
      </c>
      <c r="K135" s="126">
        <f t="shared" si="18"/>
        <v>-1.4342622255371529E-2</v>
      </c>
      <c r="L135" s="56">
        <v>263510</v>
      </c>
      <c r="M135" s="103">
        <v>2.1643859321502257E-2</v>
      </c>
      <c r="N135" s="97">
        <f>INDEX('Pace of change parameters'!$E$22:$I$22,1,$B$5)</f>
        <v>1.1119783131080974E-2</v>
      </c>
      <c r="O135" s="108">
        <f>MAX(IF(INDEX('Pace of change parameters'!$E$30:$I$30,1,$B$5)=1,(1+M135)*D135,D135),L135)</f>
        <v>263510</v>
      </c>
      <c r="P135" s="94">
        <f>IF(K135&lt;INDEX('Pace of change parameters'!$E$18:$I$18,1,$B$5),1,IF(K135&gt;INDEX('Pace of change parameters'!$E$19:$I$19,1,$B$5),0,(K135-INDEX('Pace of change parameters'!$E$19:$I$19,1,$B$5))/(INDEX('Pace of change parameters'!$E$18:$I$18,1,$B$5)-INDEX('Pace of change parameters'!$E$19:$I$19,1,$B$5))))</f>
        <v>0.5969834203557266</v>
      </c>
      <c r="Q135" s="57">
        <v>3.0016364848952648E-2</v>
      </c>
      <c r="R135" s="57">
        <v>1.940604247276756E-2</v>
      </c>
      <c r="S135" s="9">
        <f>MAX(IF(INDEX('Pace of change parameters'!$E$31:$I$31,1,$B$5)=1,D135*(1+Q135),D135),L135)</f>
        <v>264594.72386785835</v>
      </c>
      <c r="T135" s="103">
        <f>IF(Q135&lt;INDEX('Pace of change parameters'!$E$24:$I$24,1,$B$5),INDEX('Pace of change parameters'!$E$24:$I$24,1,$B$5),Q135)</f>
        <v>3.0016364848952648E-2</v>
      </c>
      <c r="U135" s="132">
        <v>1.940604247276756E-2</v>
      </c>
      <c r="V135" s="117">
        <f t="shared" si="19"/>
        <v>264594.72386785835</v>
      </c>
      <c r="W135" s="131">
        <f>IF(J135&gt;INDEX('Pace of change parameters'!$E$26:$I$26,1,$B$5),0,IF(J135&lt;INDEX('Pace of change parameters'!$E$25:$I$25,1,$B$5),1,(J135-INDEX('Pace of change parameters'!$E$26:$I$26,1,$B$5))/(INDEX('Pace of change parameters'!$E$25:$I$25,1,$B$5)-INDEX('Pace of change parameters'!$E$26:$I$26,1,$B$5))))</f>
        <v>1</v>
      </c>
      <c r="X135" s="132">
        <f>MIN(T135, T135+(INDEX('Pace of change parameters'!$E$27:$I$27,1,$B$5)-T135)*(1-W135))</f>
        <v>3.0016364848952648E-2</v>
      </c>
      <c r="Y135" s="132">
        <v>1.940604247276756E-2</v>
      </c>
      <c r="Z135" s="108">
        <f t="shared" si="20"/>
        <v>264594.72386785835</v>
      </c>
      <c r="AA135" s="97">
        <f>MIN(VLOOKUP(A135,'2016-17 disagg'!$A$12:$BC$220,54,FALSE),MIN(0,VLOOKUP(A135,'2016-17 disagg'!$A$12:$BC$220,54,FALSE),-2.5%))</f>
        <v>-2.5000000000000001E-2</v>
      </c>
      <c r="AB135" s="99">
        <f t="shared" si="13"/>
        <v>263497.79707969946</v>
      </c>
      <c r="AC135" s="99">
        <f>MAX(IF(INDEX('Pace of change parameters'!$E$29:$I$29,1,$B$5)=1,MAX(AB135,Z135),Z135),L135)</f>
        <v>264594.72386785835</v>
      </c>
      <c r="AD135" s="97">
        <f t="shared" si="14"/>
        <v>3.0016364848952648E-2</v>
      </c>
      <c r="AE135" s="146">
        <v>1.940604247276756E-2</v>
      </c>
      <c r="AF135" s="56">
        <f t="shared" si="21"/>
        <v>264594.72386785835</v>
      </c>
      <c r="AG135" s="56">
        <v>1519.6318367915192</v>
      </c>
      <c r="AH135" s="16">
        <f t="shared" si="15"/>
        <v>3.0016364848952648E-2</v>
      </c>
      <c r="AI135" s="16">
        <f t="shared" si="16"/>
        <v>1.9406042472767782E-2</v>
      </c>
      <c r="AJ135" s="56"/>
      <c r="AK135" s="56">
        <v>270254.15085097379</v>
      </c>
      <c r="AL135" s="56">
        <v>1552.1353020754084</v>
      </c>
      <c r="AM135" s="16">
        <f t="shared" si="22"/>
        <v>-2.0941128805219367E-2</v>
      </c>
      <c r="AN135" s="58">
        <f t="shared" si="22"/>
        <v>-2.0941128805219367E-2</v>
      </c>
      <c r="AP135" s="56">
        <f t="shared" si="23"/>
        <v>0</v>
      </c>
      <c r="AQ135" s="56">
        <f t="shared" si="17"/>
        <v>0</v>
      </c>
    </row>
    <row r="136" spans="1:43" x14ac:dyDescent="0.2">
      <c r="A136" s="156" t="s">
        <v>317</v>
      </c>
      <c r="B136" s="156" t="s">
        <v>318</v>
      </c>
      <c r="D136" s="68">
        <f>VLOOKUP(A136,'2016-17 disagg'!A136:BC344,43,FALSE)</f>
        <v>475449</v>
      </c>
      <c r="E136" s="73">
        <v>1552.4336086348212</v>
      </c>
      <c r="F136" s="55"/>
      <c r="G136" s="88">
        <v>493531.17114720441</v>
      </c>
      <c r="H136" s="81">
        <v>1594.8705964786973</v>
      </c>
      <c r="I136" s="90"/>
      <c r="J136" s="103">
        <f t="shared" si="18"/>
        <v>-3.6638356813760597E-2</v>
      </c>
      <c r="K136" s="126">
        <f t="shared" si="18"/>
        <v>-2.6608420731796256E-2</v>
      </c>
      <c r="L136" s="56">
        <v>487675</v>
      </c>
      <c r="M136" s="103">
        <v>2.1646947947890904E-2</v>
      </c>
      <c r="N136" s="97">
        <f>INDEX('Pace of change parameters'!$E$22:$I$22,1,$B$5)</f>
        <v>1.1119783131080974E-2</v>
      </c>
      <c r="O136" s="108">
        <f>MAX(IF(INDEX('Pace of change parameters'!$E$30:$I$30,1,$B$5)=1,(1+M136)*D136,D136),L136)</f>
        <v>487675</v>
      </c>
      <c r="P136" s="94">
        <f>IF(K136&lt;INDEX('Pace of change parameters'!$E$18:$I$18,1,$B$5),1,IF(K136&gt;INDEX('Pace of change parameters'!$E$19:$I$19,1,$B$5),0,(K136-INDEX('Pace of change parameters'!$E$19:$I$19,1,$B$5))/(INDEX('Pace of change parameters'!$E$18:$I$18,1,$B$5)-INDEX('Pace of change parameters'!$E$19:$I$19,1,$B$5))))</f>
        <v>0.77571765156948336</v>
      </c>
      <c r="Q136" s="57">
        <v>3.2526177988095206E-2</v>
      </c>
      <c r="R136" s="57">
        <v>2.1886912363914046E-2</v>
      </c>
      <c r="S136" s="9">
        <f>MAX(IF(INDEX('Pace of change parameters'!$E$31:$I$31,1,$B$5)=1,D136*(1+Q136),D136),L136)</f>
        <v>490913.5387982619</v>
      </c>
      <c r="T136" s="103">
        <f>IF(Q136&lt;INDEX('Pace of change parameters'!$E$24:$I$24,1,$B$5),INDEX('Pace of change parameters'!$E$24:$I$24,1,$B$5),Q136)</f>
        <v>3.2526177988095206E-2</v>
      </c>
      <c r="U136" s="132">
        <v>2.1886912363914046E-2</v>
      </c>
      <c r="V136" s="117">
        <f t="shared" si="19"/>
        <v>490913.5387982619</v>
      </c>
      <c r="W136" s="131">
        <f>IF(J136&gt;INDEX('Pace of change parameters'!$E$26:$I$26,1,$B$5),0,IF(J136&lt;INDEX('Pace of change parameters'!$E$25:$I$25,1,$B$5),1,(J136-INDEX('Pace of change parameters'!$E$26:$I$26,1,$B$5))/(INDEX('Pace of change parameters'!$E$25:$I$25,1,$B$5)-INDEX('Pace of change parameters'!$E$26:$I$26,1,$B$5))))</f>
        <v>1</v>
      </c>
      <c r="X136" s="132">
        <f>MIN(T136, T136+(INDEX('Pace of change parameters'!$E$27:$I$27,1,$B$5)-T136)*(1-W136))</f>
        <v>3.2526177988095206E-2</v>
      </c>
      <c r="Y136" s="132">
        <v>2.1886912363914046E-2</v>
      </c>
      <c r="Z136" s="108">
        <f t="shared" si="20"/>
        <v>490913.5387982619</v>
      </c>
      <c r="AA136" s="97">
        <f>MIN(VLOOKUP(A136,'2016-17 disagg'!$A$12:$BC$220,54,FALSE),MIN(0,VLOOKUP(A136,'2016-17 disagg'!$A$12:$BC$220,54,FALSE),-2.5%))</f>
        <v>-3.3476743726073233E-2</v>
      </c>
      <c r="AB136" s="99">
        <f t="shared" si="13"/>
        <v>489607.39608635928</v>
      </c>
      <c r="AC136" s="99">
        <f>MAX(IF(INDEX('Pace of change parameters'!$E$29:$I$29,1,$B$5)=1,MAX(AB136,Z136),Z136),L136)</f>
        <v>490913.5387982619</v>
      </c>
      <c r="AD136" s="97">
        <f t="shared" si="14"/>
        <v>3.2526177988095206E-2</v>
      </c>
      <c r="AE136" s="146">
        <v>2.1886912363914046E-2</v>
      </c>
      <c r="AF136" s="56">
        <f t="shared" si="21"/>
        <v>490913.5387982619</v>
      </c>
      <c r="AG136" s="56">
        <v>1586.4115869778066</v>
      </c>
      <c r="AH136" s="16">
        <f t="shared" si="15"/>
        <v>3.2526177988095206E-2</v>
      </c>
      <c r="AI136" s="16">
        <f t="shared" si="16"/>
        <v>2.1886912363914268E-2</v>
      </c>
      <c r="AJ136" s="56"/>
      <c r="AK136" s="56">
        <v>506565.56157154421</v>
      </c>
      <c r="AL136" s="56">
        <v>1636.991879279298</v>
      </c>
      <c r="AM136" s="16">
        <f t="shared" si="22"/>
        <v>-3.0898315954847488E-2</v>
      </c>
      <c r="AN136" s="58">
        <f t="shared" si="22"/>
        <v>-3.0898315954847599E-2</v>
      </c>
      <c r="AP136" s="56">
        <f t="shared" si="23"/>
        <v>0</v>
      </c>
      <c r="AQ136" s="56">
        <f t="shared" si="17"/>
        <v>0</v>
      </c>
    </row>
    <row r="137" spans="1:43" x14ac:dyDescent="0.2">
      <c r="A137" s="156" t="s">
        <v>319</v>
      </c>
      <c r="B137" s="156" t="s">
        <v>320</v>
      </c>
      <c r="D137" s="68">
        <f>VLOOKUP(A137,'2016-17 disagg'!A137:BC345,43,FALSE)</f>
        <v>295925</v>
      </c>
      <c r="E137" s="73">
        <v>1711.2077866876252</v>
      </c>
      <c r="F137" s="55"/>
      <c r="G137" s="88">
        <v>302867.95615791617</v>
      </c>
      <c r="H137" s="81">
        <v>1740.3890842922763</v>
      </c>
      <c r="I137" s="90"/>
      <c r="J137" s="103">
        <f t="shared" si="18"/>
        <v>-2.2924036751831522E-2</v>
      </c>
      <c r="K137" s="126">
        <f t="shared" si="18"/>
        <v>-1.6767111370683874E-2</v>
      </c>
      <c r="L137" s="56">
        <v>302478</v>
      </c>
      <c r="M137" s="103">
        <v>1.7491231503881766E-2</v>
      </c>
      <c r="N137" s="97">
        <f>INDEX('Pace of change parameters'!$E$22:$I$22,1,$B$5)</f>
        <v>1.1119783131080974E-2</v>
      </c>
      <c r="O137" s="108">
        <f>MAX(IF(INDEX('Pace of change parameters'!$E$30:$I$30,1,$B$5)=1,(1+M137)*D137,D137),L137)</f>
        <v>302478</v>
      </c>
      <c r="P137" s="94">
        <f>IF(K137&lt;INDEX('Pace of change parameters'!$E$18:$I$18,1,$B$5),1,IF(K137&gt;INDEX('Pace of change parameters'!$E$19:$I$19,1,$B$5),0,(K137-INDEX('Pace of change parameters'!$E$19:$I$19,1,$B$5))/(INDEX('Pace of change parameters'!$E$18:$I$18,1,$B$5)-INDEX('Pace of change parameters'!$E$19:$I$19,1,$B$5))))</f>
        <v>0.6323124858824728</v>
      </c>
      <c r="Q137" s="57">
        <v>2.6323170831596965E-2</v>
      </c>
      <c r="R137" s="57">
        <v>1.9896417564055024E-2</v>
      </c>
      <c r="S137" s="9">
        <f>MAX(IF(INDEX('Pace of change parameters'!$E$31:$I$31,1,$B$5)=1,D137*(1+Q137),D137),L137)</f>
        <v>303714.68432834034</v>
      </c>
      <c r="T137" s="103">
        <f>IF(Q137&lt;INDEX('Pace of change parameters'!$E$24:$I$24,1,$B$5),INDEX('Pace of change parameters'!$E$24:$I$24,1,$B$5),Q137)</f>
        <v>2.6323170831596965E-2</v>
      </c>
      <c r="U137" s="132">
        <v>1.9896417564055024E-2</v>
      </c>
      <c r="V137" s="117">
        <f t="shared" si="19"/>
        <v>303714.68432834034</v>
      </c>
      <c r="W137" s="131">
        <f>IF(J137&gt;INDEX('Pace of change parameters'!$E$26:$I$26,1,$B$5),0,IF(J137&lt;INDEX('Pace of change parameters'!$E$25:$I$25,1,$B$5),1,(J137-INDEX('Pace of change parameters'!$E$26:$I$26,1,$B$5))/(INDEX('Pace of change parameters'!$E$25:$I$25,1,$B$5)-INDEX('Pace of change parameters'!$E$26:$I$26,1,$B$5))))</f>
        <v>1</v>
      </c>
      <c r="X137" s="132">
        <f>MIN(T137, T137+(INDEX('Pace of change parameters'!$E$27:$I$27,1,$B$5)-T137)*(1-W137))</f>
        <v>2.6323170831596965E-2</v>
      </c>
      <c r="Y137" s="132">
        <v>1.9896417564055024E-2</v>
      </c>
      <c r="Z137" s="108">
        <f t="shared" si="20"/>
        <v>303714.68432834034</v>
      </c>
      <c r="AA137" s="97">
        <f>MIN(VLOOKUP(A137,'2016-17 disagg'!$A$12:$BC$220,54,FALSE),MIN(0,VLOOKUP(A137,'2016-17 disagg'!$A$12:$BC$220,54,FALSE),-2.5%))</f>
        <v>-2.5000000000000001E-2</v>
      </c>
      <c r="AB137" s="99">
        <f t="shared" si="13"/>
        <v>302981.01578631083</v>
      </c>
      <c r="AC137" s="99">
        <f>MAX(IF(INDEX('Pace of change parameters'!$E$29:$I$29,1,$B$5)=1,MAX(AB137,Z137),Z137),L137)</f>
        <v>303714.68432834034</v>
      </c>
      <c r="AD137" s="97">
        <f t="shared" si="14"/>
        <v>2.6323170831596965E-2</v>
      </c>
      <c r="AE137" s="146">
        <v>1.9896417564055024E-2</v>
      </c>
      <c r="AF137" s="56">
        <f t="shared" si="21"/>
        <v>303714.68432834034</v>
      </c>
      <c r="AG137" s="56">
        <v>1745.2546913504248</v>
      </c>
      <c r="AH137" s="16">
        <f t="shared" si="15"/>
        <v>2.6323170831596965E-2</v>
      </c>
      <c r="AI137" s="16">
        <f t="shared" si="16"/>
        <v>1.9896417564055024E-2</v>
      </c>
      <c r="AJ137" s="56"/>
      <c r="AK137" s="56">
        <v>310749.75978083163</v>
      </c>
      <c r="AL137" s="56">
        <v>1785.6807855467498</v>
      </c>
      <c r="AM137" s="16">
        <f t="shared" si="22"/>
        <v>-2.2639037460408851E-2</v>
      </c>
      <c r="AN137" s="58">
        <f t="shared" si="22"/>
        <v>-2.263903746040874E-2</v>
      </c>
      <c r="AP137" s="56">
        <f t="shared" si="23"/>
        <v>0</v>
      </c>
      <c r="AQ137" s="56">
        <f t="shared" si="17"/>
        <v>0</v>
      </c>
    </row>
    <row r="138" spans="1:43" x14ac:dyDescent="0.2">
      <c r="A138" s="156" t="s">
        <v>321</v>
      </c>
      <c r="B138" s="156" t="s">
        <v>322</v>
      </c>
      <c r="D138" s="68">
        <f>VLOOKUP(A138,'2016-17 disagg'!A138:BC346,43,FALSE)</f>
        <v>388511</v>
      </c>
      <c r="E138" s="73">
        <v>1571.6442154861143</v>
      </c>
      <c r="F138" s="55"/>
      <c r="G138" s="88">
        <v>399319.34856141265</v>
      </c>
      <c r="H138" s="81">
        <v>1603.6545804121695</v>
      </c>
      <c r="I138" s="90"/>
      <c r="J138" s="103">
        <f t="shared" si="18"/>
        <v>-2.7066929264386475E-2</v>
      </c>
      <c r="K138" s="126">
        <f t="shared" si="18"/>
        <v>-1.9960885166322995E-2</v>
      </c>
      <c r="L138" s="56">
        <v>397790</v>
      </c>
      <c r="M138" s="103">
        <v>1.8504732808987789E-2</v>
      </c>
      <c r="N138" s="97">
        <f>INDEX('Pace of change parameters'!$E$22:$I$22,1,$B$5)</f>
        <v>1.1119783131080974E-2</v>
      </c>
      <c r="O138" s="108">
        <f>MAX(IF(INDEX('Pace of change parameters'!$E$30:$I$30,1,$B$5)=1,(1+M138)*D138,D138),L138)</f>
        <v>397790</v>
      </c>
      <c r="P138" s="94">
        <f>IF(K138&lt;INDEX('Pace of change parameters'!$E$18:$I$18,1,$B$5),1,IF(K138&gt;INDEX('Pace of change parameters'!$E$19:$I$19,1,$B$5),0,(K138-INDEX('Pace of change parameters'!$E$19:$I$19,1,$B$5))/(INDEX('Pace of change parameters'!$E$18:$I$18,1,$B$5)-INDEX('Pace of change parameters'!$E$19:$I$19,1,$B$5))))</f>
        <v>0.67885138060925043</v>
      </c>
      <c r="Q138" s="57">
        <v>2.7996157387196963E-2</v>
      </c>
      <c r="R138" s="57">
        <v>2.0542387515702476E-2</v>
      </c>
      <c r="S138" s="9">
        <f>MAX(IF(INDEX('Pace of change parameters'!$E$31:$I$31,1,$B$5)=1,D138*(1+Q138),D138),L138)</f>
        <v>399387.8151026573</v>
      </c>
      <c r="T138" s="103">
        <f>IF(Q138&lt;INDEX('Pace of change parameters'!$E$24:$I$24,1,$B$5),INDEX('Pace of change parameters'!$E$24:$I$24,1,$B$5),Q138)</f>
        <v>2.7996157387196963E-2</v>
      </c>
      <c r="U138" s="132">
        <v>2.0542387515702476E-2</v>
      </c>
      <c r="V138" s="117">
        <f t="shared" si="19"/>
        <v>399387.8151026573</v>
      </c>
      <c r="W138" s="131">
        <f>IF(J138&gt;INDEX('Pace of change parameters'!$E$26:$I$26,1,$B$5),0,IF(J138&lt;INDEX('Pace of change parameters'!$E$25:$I$25,1,$B$5),1,(J138-INDEX('Pace of change parameters'!$E$26:$I$26,1,$B$5))/(INDEX('Pace of change parameters'!$E$25:$I$25,1,$B$5)-INDEX('Pace of change parameters'!$E$26:$I$26,1,$B$5))))</f>
        <v>1</v>
      </c>
      <c r="X138" s="132">
        <f>MIN(T138, T138+(INDEX('Pace of change parameters'!$E$27:$I$27,1,$B$5)-T138)*(1-W138))</f>
        <v>2.7996157387196963E-2</v>
      </c>
      <c r="Y138" s="132">
        <v>2.0542387515702476E-2</v>
      </c>
      <c r="Z138" s="108">
        <f t="shared" si="20"/>
        <v>399387.8151026573</v>
      </c>
      <c r="AA138" s="97">
        <f>MIN(VLOOKUP(A138,'2016-17 disagg'!$A$12:$BC$220,54,FALSE),MIN(0,VLOOKUP(A138,'2016-17 disagg'!$A$12:$BC$220,54,FALSE),-2.5%))</f>
        <v>-2.6882324443081695E-2</v>
      </c>
      <c r="AB138" s="99">
        <f t="shared" si="13"/>
        <v>399039.99794838019</v>
      </c>
      <c r="AC138" s="99">
        <f>MAX(IF(INDEX('Pace of change parameters'!$E$29:$I$29,1,$B$5)=1,MAX(AB138,Z138),Z138),L138)</f>
        <v>399387.8151026573</v>
      </c>
      <c r="AD138" s="97">
        <f t="shared" si="14"/>
        <v>2.7996157387196963E-2</v>
      </c>
      <c r="AE138" s="146">
        <v>2.0542387515702476E-2</v>
      </c>
      <c r="AF138" s="56">
        <f t="shared" si="21"/>
        <v>399387.8151026573</v>
      </c>
      <c r="AG138" s="56">
        <v>1603.9295399974426</v>
      </c>
      <c r="AH138" s="16">
        <f t="shared" si="15"/>
        <v>2.7996157387196963E-2</v>
      </c>
      <c r="AI138" s="16">
        <f t="shared" si="16"/>
        <v>2.0542387515702698E-2</v>
      </c>
      <c r="AJ138" s="56"/>
      <c r="AK138" s="56">
        <v>410063.45683733298</v>
      </c>
      <c r="AL138" s="56">
        <v>1646.8025984363301</v>
      </c>
      <c r="AM138" s="16">
        <f t="shared" si="22"/>
        <v>-2.6034121199223548E-2</v>
      </c>
      <c r="AN138" s="58">
        <f t="shared" si="22"/>
        <v>-2.6034121199223437E-2</v>
      </c>
      <c r="AP138" s="56">
        <f t="shared" si="23"/>
        <v>0</v>
      </c>
      <c r="AQ138" s="56">
        <f t="shared" si="17"/>
        <v>0</v>
      </c>
    </row>
    <row r="139" spans="1:43" x14ac:dyDescent="0.2">
      <c r="A139" s="156" t="s">
        <v>323</v>
      </c>
      <c r="B139" s="156" t="s">
        <v>324</v>
      </c>
      <c r="D139" s="68">
        <f>VLOOKUP(A139,'2016-17 disagg'!A139:BC347,43,FALSE)</f>
        <v>342290</v>
      </c>
      <c r="E139" s="73">
        <v>1568.4699951330435</v>
      </c>
      <c r="F139" s="55"/>
      <c r="G139" s="88">
        <v>348860.53509025899</v>
      </c>
      <c r="H139" s="81">
        <v>1568.6869174714323</v>
      </c>
      <c r="I139" s="90"/>
      <c r="J139" s="103">
        <f t="shared" si="18"/>
        <v>-1.8834274529100914E-2</v>
      </c>
      <c r="K139" s="126">
        <f t="shared" si="18"/>
        <v>-1.3828274843930011E-4</v>
      </c>
      <c r="L139" s="56">
        <v>354211</v>
      </c>
      <c r="M139" s="103">
        <v>3.0386545782834062E-2</v>
      </c>
      <c r="N139" s="97">
        <f>INDEX('Pace of change parameters'!$E$22:$I$22,1,$B$5)</f>
        <v>1.1119783131080974E-2</v>
      </c>
      <c r="O139" s="108">
        <f>MAX(IF(INDEX('Pace of change parameters'!$E$30:$I$30,1,$B$5)=1,(1+M139)*D139,D139),L139)</f>
        <v>354211</v>
      </c>
      <c r="P139" s="94">
        <f>IF(K139&lt;INDEX('Pace of change parameters'!$E$18:$I$18,1,$B$5),1,IF(K139&gt;INDEX('Pace of change parameters'!$E$19:$I$19,1,$B$5),0,(K139-INDEX('Pace of change parameters'!$E$19:$I$19,1,$B$5))/(INDEX('Pace of change parameters'!$E$18:$I$18,1,$B$5)-INDEX('Pace of change parameters'!$E$19:$I$19,1,$B$5))))</f>
        <v>0.39000124087916127</v>
      </c>
      <c r="Q139" s="57">
        <v>3.590299738299696E-2</v>
      </c>
      <c r="R139" s="57">
        <v>1.6533084933631148E-2</v>
      </c>
      <c r="S139" s="9">
        <f>MAX(IF(INDEX('Pace of change parameters'!$E$31:$I$31,1,$B$5)=1,D139*(1+Q139),D139),L139)</f>
        <v>354579.23697422602</v>
      </c>
      <c r="T139" s="103">
        <f>IF(Q139&lt;INDEX('Pace of change parameters'!$E$24:$I$24,1,$B$5),INDEX('Pace of change parameters'!$E$24:$I$24,1,$B$5),Q139)</f>
        <v>3.590299738299696E-2</v>
      </c>
      <c r="U139" s="132">
        <v>1.6533084933631148E-2</v>
      </c>
      <c r="V139" s="117">
        <f t="shared" si="19"/>
        <v>354579.23697422602</v>
      </c>
      <c r="W139" s="131">
        <f>IF(J139&gt;INDEX('Pace of change parameters'!$E$26:$I$26,1,$B$5),0,IF(J139&lt;INDEX('Pace of change parameters'!$E$25:$I$25,1,$B$5),1,(J139-INDEX('Pace of change parameters'!$E$26:$I$26,1,$B$5))/(INDEX('Pace of change parameters'!$E$25:$I$25,1,$B$5)-INDEX('Pace of change parameters'!$E$26:$I$26,1,$B$5))))</f>
        <v>1</v>
      </c>
      <c r="X139" s="132">
        <f>MIN(T139, T139+(INDEX('Pace of change parameters'!$E$27:$I$27,1,$B$5)-T139)*(1-W139))</f>
        <v>3.590299738299696E-2</v>
      </c>
      <c r="Y139" s="132">
        <v>1.6533084933631148E-2</v>
      </c>
      <c r="Z139" s="108">
        <f t="shared" si="20"/>
        <v>354579.23697422602</v>
      </c>
      <c r="AA139" s="97">
        <f>MIN(VLOOKUP(A139,'2016-17 disagg'!$A$12:$BC$220,54,FALSE),MIN(0,VLOOKUP(A139,'2016-17 disagg'!$A$12:$BC$220,54,FALSE),-2.5%))</f>
        <v>-2.5000000000000001E-2</v>
      </c>
      <c r="AB139" s="99">
        <f t="shared" si="13"/>
        <v>349226.297921405</v>
      </c>
      <c r="AC139" s="99">
        <f>MAX(IF(INDEX('Pace of change parameters'!$E$29:$I$29,1,$B$5)=1,MAX(AB139,Z139),Z139),L139)</f>
        <v>354579.23697422602</v>
      </c>
      <c r="AD139" s="97">
        <f t="shared" si="14"/>
        <v>3.590299738299696E-2</v>
      </c>
      <c r="AE139" s="146">
        <v>1.6533084933631148E-2</v>
      </c>
      <c r="AF139" s="56">
        <f t="shared" si="21"/>
        <v>354579.23697422602</v>
      </c>
      <c r="AG139" s="56">
        <v>1594.4016427784304</v>
      </c>
      <c r="AH139" s="16">
        <f t="shared" si="15"/>
        <v>3.590299738299696E-2</v>
      </c>
      <c r="AI139" s="16">
        <f t="shared" si="16"/>
        <v>1.653308493363137E-2</v>
      </c>
      <c r="AJ139" s="56"/>
      <c r="AK139" s="56">
        <v>358180.81838092819</v>
      </c>
      <c r="AL139" s="56">
        <v>1610.5965202914181</v>
      </c>
      <c r="AM139" s="16">
        <f t="shared" si="22"/>
        <v>-1.0055204583490185E-2</v>
      </c>
      <c r="AN139" s="58">
        <f t="shared" si="22"/>
        <v>-1.0055204583490185E-2</v>
      </c>
      <c r="AP139" s="56">
        <f t="shared" si="23"/>
        <v>0</v>
      </c>
      <c r="AQ139" s="56">
        <f t="shared" si="17"/>
        <v>0</v>
      </c>
    </row>
    <row r="140" spans="1:43" x14ac:dyDescent="0.2">
      <c r="A140" s="156" t="s">
        <v>325</v>
      </c>
      <c r="B140" s="156" t="s">
        <v>326</v>
      </c>
      <c r="D140" s="68">
        <f>VLOOKUP(A140,'2016-17 disagg'!A140:BC348,43,FALSE)</f>
        <v>622033</v>
      </c>
      <c r="E140" s="73">
        <v>1526.1183068495209</v>
      </c>
      <c r="F140" s="55"/>
      <c r="G140" s="88">
        <v>639377.41701918526</v>
      </c>
      <c r="H140" s="81">
        <v>1544.7361652271813</v>
      </c>
      <c r="I140" s="90"/>
      <c r="J140" s="103">
        <f t="shared" si="18"/>
        <v>-2.7127040395086066E-2</v>
      </c>
      <c r="K140" s="126">
        <f t="shared" si="18"/>
        <v>-1.2052451931118258E-2</v>
      </c>
      <c r="L140" s="56">
        <v>643545</v>
      </c>
      <c r="M140" s="103">
        <v>2.6787003057378023E-2</v>
      </c>
      <c r="N140" s="97">
        <f>INDEX('Pace of change parameters'!$E$22:$I$22,1,$B$5)</f>
        <v>1.1119783131080974E-2</v>
      </c>
      <c r="O140" s="108">
        <f>MAX(IF(INDEX('Pace of change parameters'!$E$30:$I$30,1,$B$5)=1,(1+M140)*D140,D140),L140)</f>
        <v>643545</v>
      </c>
      <c r="P140" s="94">
        <f>IF(K140&lt;INDEX('Pace of change parameters'!$E$18:$I$18,1,$B$5),1,IF(K140&gt;INDEX('Pace of change parameters'!$E$19:$I$19,1,$B$5),0,(K140-INDEX('Pace of change parameters'!$E$19:$I$19,1,$B$5))/(INDEX('Pace of change parameters'!$E$18:$I$18,1,$B$5)-INDEX('Pace of change parameters'!$E$19:$I$19,1,$B$5))))</f>
        <v>0.56361161557345196</v>
      </c>
      <c r="Q140" s="57">
        <v>3.4731272066084173E-2</v>
      </c>
      <c r="R140" s="57">
        <v>1.8942834585082391E-2</v>
      </c>
      <c r="S140" s="9">
        <f>MAX(IF(INDEX('Pace of change parameters'!$E$31:$I$31,1,$B$5)=1,D140*(1+Q140),D140),L140)</f>
        <v>643636.99735708255</v>
      </c>
      <c r="T140" s="103">
        <f>IF(Q140&lt;INDEX('Pace of change parameters'!$E$24:$I$24,1,$B$5),INDEX('Pace of change parameters'!$E$24:$I$24,1,$B$5),Q140)</f>
        <v>3.4731272066084173E-2</v>
      </c>
      <c r="U140" s="132">
        <v>1.8942834585082391E-2</v>
      </c>
      <c r="V140" s="117">
        <f t="shared" si="19"/>
        <v>643636.99735708255</v>
      </c>
      <c r="W140" s="131">
        <f>IF(J140&gt;INDEX('Pace of change parameters'!$E$26:$I$26,1,$B$5),0,IF(J140&lt;INDEX('Pace of change parameters'!$E$25:$I$25,1,$B$5),1,(J140-INDEX('Pace of change parameters'!$E$26:$I$26,1,$B$5))/(INDEX('Pace of change parameters'!$E$25:$I$25,1,$B$5)-INDEX('Pace of change parameters'!$E$26:$I$26,1,$B$5))))</f>
        <v>1</v>
      </c>
      <c r="X140" s="132">
        <f>MIN(T140, T140+(INDEX('Pace of change parameters'!$E$27:$I$27,1,$B$5)-T140)*(1-W140))</f>
        <v>3.4731272066084173E-2</v>
      </c>
      <c r="Y140" s="132">
        <v>1.8942834585082391E-2</v>
      </c>
      <c r="Z140" s="108">
        <f t="shared" si="20"/>
        <v>643636.99735708255</v>
      </c>
      <c r="AA140" s="97">
        <f>MIN(VLOOKUP(A140,'2016-17 disagg'!$A$12:$BC$220,54,FALSE),MIN(0,VLOOKUP(A140,'2016-17 disagg'!$A$12:$BC$220,54,FALSE),-2.5%))</f>
        <v>-2.5000000000000001E-2</v>
      </c>
      <c r="AB140" s="99">
        <f t="shared" ref="AB140:AB203" si="24">(1+AA140)*AK140</f>
        <v>640461.91708590207</v>
      </c>
      <c r="AC140" s="99">
        <f>MAX(IF(INDEX('Pace of change parameters'!$E$29:$I$29,1,$B$5)=1,MAX(AB140,Z140),Z140),L140)</f>
        <v>643636.99735708255</v>
      </c>
      <c r="AD140" s="97">
        <f t="shared" ref="AD140:AD203" si="25">AC140/D140-1</f>
        <v>3.4731272066084173E-2</v>
      </c>
      <c r="AE140" s="146">
        <v>1.8942834585082391E-2</v>
      </c>
      <c r="AF140" s="56">
        <f t="shared" si="21"/>
        <v>643636.99735708255</v>
      </c>
      <c r="AG140" s="56">
        <v>1555.0273134934378</v>
      </c>
      <c r="AH140" s="16">
        <f t="shared" ref="AH140:AH203" si="26">AF140/D140 - 1</f>
        <v>3.4731272066084173E-2</v>
      </c>
      <c r="AI140" s="16">
        <f t="shared" ref="AI140:AI203" si="27">AG140/E140 - 1</f>
        <v>1.8942834585082613E-2</v>
      </c>
      <c r="AJ140" s="56"/>
      <c r="AK140" s="56">
        <v>656884.01752400212</v>
      </c>
      <c r="AL140" s="56">
        <v>1587.0321209649539</v>
      </c>
      <c r="AM140" s="16">
        <f t="shared" si="22"/>
        <v>-2.0166452240460431E-2</v>
      </c>
      <c r="AN140" s="58">
        <f t="shared" si="22"/>
        <v>-2.016645224046032E-2</v>
      </c>
      <c r="AP140" s="56">
        <f t="shared" si="23"/>
        <v>0</v>
      </c>
      <c r="AQ140" s="56">
        <f t="shared" ref="AQ140:AQ203" si="28">IF(AB140=AF140,1,0)</f>
        <v>0</v>
      </c>
    </row>
    <row r="141" spans="1:43" x14ac:dyDescent="0.2">
      <c r="A141" s="156" t="s">
        <v>327</v>
      </c>
      <c r="B141" s="156" t="s">
        <v>328</v>
      </c>
      <c r="D141" s="68">
        <f>VLOOKUP(A141,'2016-17 disagg'!A141:BC349,43,FALSE)</f>
        <v>387635</v>
      </c>
      <c r="E141" s="73">
        <v>1638.003992250432</v>
      </c>
      <c r="F141" s="55"/>
      <c r="G141" s="88">
        <v>400086.41594797047</v>
      </c>
      <c r="H141" s="81">
        <v>1674.4134351387338</v>
      </c>
      <c r="I141" s="90"/>
      <c r="J141" s="103">
        <f t="shared" ref="J141:K204" si="29">D141/G141-1</f>
        <v>-3.112181631677724E-2</v>
      </c>
      <c r="K141" s="126">
        <f t="shared" si="29"/>
        <v>-2.174459552475172E-2</v>
      </c>
      <c r="L141" s="56">
        <v>397700</v>
      </c>
      <c r="M141" s="103">
        <v>2.0905836334963457E-2</v>
      </c>
      <c r="N141" s="97">
        <f>INDEX('Pace of change parameters'!$E$22:$I$22,1,$B$5)</f>
        <v>1.1119783131080974E-2</v>
      </c>
      <c r="O141" s="108">
        <f>MAX(IF(INDEX('Pace of change parameters'!$E$30:$I$30,1,$B$5)=1,(1+M141)*D141,D141),L141)</f>
        <v>397700</v>
      </c>
      <c r="P141" s="94">
        <f>IF(K141&lt;INDEX('Pace of change parameters'!$E$18:$I$18,1,$B$5),1,IF(K141&gt;INDEX('Pace of change parameters'!$E$19:$I$19,1,$B$5),0,(K141-INDEX('Pace of change parameters'!$E$19:$I$19,1,$B$5))/(INDEX('Pace of change parameters'!$E$18:$I$18,1,$B$5)-INDEX('Pace of change parameters'!$E$19:$I$19,1,$B$5))))</f>
        <v>0.70484317398776852</v>
      </c>
      <c r="Q141" s="57">
        <v>3.0783900180605395E-2</v>
      </c>
      <c r="R141" s="57">
        <v>2.0903159244608505E-2</v>
      </c>
      <c r="S141" s="9">
        <f>MAX(IF(INDEX('Pace of change parameters'!$E$31:$I$31,1,$B$5)=1,D141*(1+Q141),D141),L141)</f>
        <v>399567.91714650899</v>
      </c>
      <c r="T141" s="103">
        <f>IF(Q141&lt;INDEX('Pace of change parameters'!$E$24:$I$24,1,$B$5),INDEX('Pace of change parameters'!$E$24:$I$24,1,$B$5),Q141)</f>
        <v>3.0783900180605395E-2</v>
      </c>
      <c r="U141" s="132">
        <v>2.0903159244608505E-2</v>
      </c>
      <c r="V141" s="117">
        <f t="shared" ref="V141:V204" si="30">MAX(D141*(1+T141),L141)</f>
        <v>399567.91714650899</v>
      </c>
      <c r="W141" s="131">
        <f>IF(J141&gt;INDEX('Pace of change parameters'!$E$26:$I$26,1,$B$5),0,IF(J141&lt;INDEX('Pace of change parameters'!$E$25:$I$25,1,$B$5),1,(J141-INDEX('Pace of change parameters'!$E$26:$I$26,1,$B$5))/(INDEX('Pace of change parameters'!$E$25:$I$25,1,$B$5)-INDEX('Pace of change parameters'!$E$26:$I$26,1,$B$5))))</f>
        <v>1</v>
      </c>
      <c r="X141" s="132">
        <f>MIN(T141, T141+(INDEX('Pace of change parameters'!$E$27:$I$27,1,$B$5)-T141)*(1-W141))</f>
        <v>3.0783900180605395E-2</v>
      </c>
      <c r="Y141" s="132">
        <v>2.0903159244608505E-2</v>
      </c>
      <c r="Z141" s="108">
        <f t="shared" ref="Z141:Z204" si="31">MAX(D141*(1+X141),L141)</f>
        <v>399567.91714650899</v>
      </c>
      <c r="AA141" s="97">
        <f>MIN(VLOOKUP(A141,'2016-17 disagg'!$A$12:$BC$220,54,FALSE),MIN(0,VLOOKUP(A141,'2016-17 disagg'!$A$12:$BC$220,54,FALSE),-2.5%))</f>
        <v>-2.8650123831349683E-2</v>
      </c>
      <c r="AB141" s="99">
        <f t="shared" si="24"/>
        <v>398977.41463768505</v>
      </c>
      <c r="AC141" s="99">
        <f>MAX(IF(INDEX('Pace of change parameters'!$E$29:$I$29,1,$B$5)=1,MAX(AB141,Z141),Z141),L141)</f>
        <v>399567.91714650899</v>
      </c>
      <c r="AD141" s="97">
        <f t="shared" si="25"/>
        <v>3.0783900180605395E-2</v>
      </c>
      <c r="AE141" s="146">
        <v>2.0903159244608505E-2</v>
      </c>
      <c r="AF141" s="56">
        <f t="shared" ref="AF141:AF204" si="32">AC141</f>
        <v>399567.91714650899</v>
      </c>
      <c r="AG141" s="56">
        <v>1672.2434505437475</v>
      </c>
      <c r="AH141" s="16">
        <f t="shared" si="26"/>
        <v>3.0783900180605395E-2</v>
      </c>
      <c r="AI141" s="16">
        <f t="shared" si="27"/>
        <v>2.0903159244608727E-2</v>
      </c>
      <c r="AJ141" s="56"/>
      <c r="AK141" s="56">
        <v>410745.31888694316</v>
      </c>
      <c r="AL141" s="56">
        <v>1719.0223235524224</v>
      </c>
      <c r="AM141" s="16">
        <f t="shared" ref="AM141:AN163" si="33">AF141/AK141-1</f>
        <v>-2.7212487218900572E-2</v>
      </c>
      <c r="AN141" s="58">
        <f t="shared" si="33"/>
        <v>-2.7212487218900572E-2</v>
      </c>
      <c r="AP141" s="56">
        <f t="shared" ref="AP141:AP204" si="34">IF(AF141=L141,1,0)</f>
        <v>0</v>
      </c>
      <c r="AQ141" s="56">
        <f t="shared" si="28"/>
        <v>0</v>
      </c>
    </row>
    <row r="142" spans="1:43" x14ac:dyDescent="0.2">
      <c r="A142" s="156" t="s">
        <v>329</v>
      </c>
      <c r="B142" s="156" t="s">
        <v>330</v>
      </c>
      <c r="D142" s="68">
        <f>VLOOKUP(A142,'2016-17 disagg'!A142:BC350,43,FALSE)</f>
        <v>550531</v>
      </c>
      <c r="E142" s="73">
        <v>1475.1443102752196</v>
      </c>
      <c r="F142" s="55"/>
      <c r="G142" s="88">
        <v>554656.23375811893</v>
      </c>
      <c r="H142" s="81">
        <v>1473.5965700412971</v>
      </c>
      <c r="I142" s="90"/>
      <c r="J142" s="103">
        <f t="shared" si="29"/>
        <v>-7.4374603710266607E-3</v>
      </c>
      <c r="K142" s="126">
        <f t="shared" si="29"/>
        <v>1.0503147641549582E-3</v>
      </c>
      <c r="L142" s="56">
        <v>567730</v>
      </c>
      <c r="M142" s="103">
        <v>1.9766248226527949E-2</v>
      </c>
      <c r="N142" s="97">
        <f>INDEX('Pace of change parameters'!$E$22:$I$22,1,$B$5)</f>
        <v>1.1119783131080974E-2</v>
      </c>
      <c r="O142" s="108">
        <f>MAX(IF(INDEX('Pace of change parameters'!$E$30:$I$30,1,$B$5)=1,(1+M142)*D142,D142),L142)</f>
        <v>567730</v>
      </c>
      <c r="P142" s="94">
        <f>IF(K142&lt;INDEX('Pace of change parameters'!$E$18:$I$18,1,$B$5),1,IF(K142&gt;INDEX('Pace of change parameters'!$E$19:$I$19,1,$B$5),0,(K142-INDEX('Pace of change parameters'!$E$19:$I$19,1,$B$5))/(INDEX('Pace of change parameters'!$E$18:$I$18,1,$B$5)-INDEX('Pace of change parameters'!$E$19:$I$19,1,$B$5))))</f>
        <v>0.37268128710326637</v>
      </c>
      <c r="Q142" s="57">
        <v>2.4983380700721369E-2</v>
      </c>
      <c r="R142" s="57">
        <v>1.6292680219062161E-2</v>
      </c>
      <c r="S142" s="9">
        <f>MAX(IF(INDEX('Pace of change parameters'!$E$31:$I$31,1,$B$5)=1,D142*(1+Q142),D142),L142)</f>
        <v>567730</v>
      </c>
      <c r="T142" s="103">
        <f>IF(Q142&lt;INDEX('Pace of change parameters'!$E$24:$I$24,1,$B$5),INDEX('Pace of change parameters'!$E$24:$I$24,1,$B$5),Q142)</f>
        <v>2.4983380700721369E-2</v>
      </c>
      <c r="U142" s="132">
        <v>1.6292680219062161E-2</v>
      </c>
      <c r="V142" s="117">
        <f t="shared" si="30"/>
        <v>567730</v>
      </c>
      <c r="W142" s="131">
        <f>IF(J142&gt;INDEX('Pace of change parameters'!$E$26:$I$26,1,$B$5),0,IF(J142&lt;INDEX('Pace of change parameters'!$E$25:$I$25,1,$B$5),1,(J142-INDEX('Pace of change parameters'!$E$26:$I$26,1,$B$5))/(INDEX('Pace of change parameters'!$E$25:$I$25,1,$B$5)-INDEX('Pace of change parameters'!$E$26:$I$26,1,$B$5))))</f>
        <v>1</v>
      </c>
      <c r="X142" s="132">
        <f>MIN(T142, T142+(INDEX('Pace of change parameters'!$E$27:$I$27,1,$B$5)-T142)*(1-W142))</f>
        <v>2.4983380700721369E-2</v>
      </c>
      <c r="Y142" s="132">
        <v>1.6292680219062161E-2</v>
      </c>
      <c r="Z142" s="108">
        <f t="shared" si="31"/>
        <v>567730</v>
      </c>
      <c r="AA142" s="97">
        <f>MIN(VLOOKUP(A142,'2016-17 disagg'!$A$12:$BC$220,54,FALSE),MIN(0,VLOOKUP(A142,'2016-17 disagg'!$A$12:$BC$220,54,FALSE),-2.5%))</f>
        <v>-2.5000000000000001E-2</v>
      </c>
      <c r="AB142" s="99">
        <f t="shared" si="24"/>
        <v>555612.03058980952</v>
      </c>
      <c r="AC142" s="99">
        <f>MAX(IF(INDEX('Pace of change parameters'!$E$29:$I$29,1,$B$5)=1,MAX(AB142,Z142),Z142),L142)</f>
        <v>567730</v>
      </c>
      <c r="AD142" s="97">
        <f t="shared" si="25"/>
        <v>3.1240747569164951E-2</v>
      </c>
      <c r="AE142" s="146">
        <v>2.2496991689455959E-2</v>
      </c>
      <c r="AF142" s="56">
        <f t="shared" si="32"/>
        <v>567730</v>
      </c>
      <c r="AG142" s="56">
        <v>1508.3306195642294</v>
      </c>
      <c r="AH142" s="16">
        <f t="shared" si="26"/>
        <v>3.1240747569164951E-2</v>
      </c>
      <c r="AI142" s="16">
        <f t="shared" si="27"/>
        <v>2.2496991689455959E-2</v>
      </c>
      <c r="AJ142" s="56"/>
      <c r="AK142" s="56">
        <v>569858.4929126252</v>
      </c>
      <c r="AL142" s="56">
        <v>1513.9855453804414</v>
      </c>
      <c r="AM142" s="16">
        <f t="shared" si="33"/>
        <v>-3.73512536725773E-3</v>
      </c>
      <c r="AN142" s="58">
        <f t="shared" si="33"/>
        <v>-3.73512536725773E-3</v>
      </c>
      <c r="AP142" s="56">
        <f t="shared" si="34"/>
        <v>1</v>
      </c>
      <c r="AQ142" s="56">
        <f t="shared" si="28"/>
        <v>0</v>
      </c>
    </row>
    <row r="143" spans="1:43" x14ac:dyDescent="0.2">
      <c r="A143" s="156" t="s">
        <v>331</v>
      </c>
      <c r="B143" s="156" t="s">
        <v>332</v>
      </c>
      <c r="D143" s="68">
        <f>VLOOKUP(A143,'2016-17 disagg'!A143:BC351,43,FALSE)</f>
        <v>554246</v>
      </c>
      <c r="E143" s="73">
        <v>1611.8299727468498</v>
      </c>
      <c r="F143" s="55"/>
      <c r="G143" s="88">
        <v>569181.54543982563</v>
      </c>
      <c r="H143" s="81">
        <v>1637.1515560455628</v>
      </c>
      <c r="I143" s="90"/>
      <c r="J143" s="103">
        <f t="shared" si="29"/>
        <v>-2.6240389484666893E-2</v>
      </c>
      <c r="K143" s="126">
        <f t="shared" si="29"/>
        <v>-1.5466853514695789E-2</v>
      </c>
      <c r="L143" s="56">
        <v>571486</v>
      </c>
      <c r="M143" s="103">
        <v>2.2306666665659947E-2</v>
      </c>
      <c r="N143" s="97">
        <f>INDEX('Pace of change parameters'!$E$22:$I$22,1,$B$5)</f>
        <v>1.1119783131080974E-2</v>
      </c>
      <c r="O143" s="108">
        <f>MAX(IF(INDEX('Pace of change parameters'!$E$30:$I$30,1,$B$5)=1,(1+M143)*D143,D143),L143)</f>
        <v>571486</v>
      </c>
      <c r="P143" s="94">
        <f>IF(K143&lt;INDEX('Pace of change parameters'!$E$18:$I$18,1,$B$5),1,IF(K143&gt;INDEX('Pace of change parameters'!$E$19:$I$19,1,$B$5),0,(K143-INDEX('Pace of change parameters'!$E$19:$I$19,1,$B$5))/(INDEX('Pace of change parameters'!$E$18:$I$18,1,$B$5)-INDEX('Pace of change parameters'!$E$19:$I$19,1,$B$5))))</f>
        <v>0.61336544474883936</v>
      </c>
      <c r="Q143" s="57">
        <v>3.0914505804119585E-2</v>
      </c>
      <c r="R143" s="57">
        <v>1.9633428524095775E-2</v>
      </c>
      <c r="S143" s="9">
        <f>MAX(IF(INDEX('Pace of change parameters'!$E$31:$I$31,1,$B$5)=1,D143*(1+Q143),D143),L143)</f>
        <v>571486</v>
      </c>
      <c r="T143" s="103">
        <f>IF(Q143&lt;INDEX('Pace of change parameters'!$E$24:$I$24,1,$B$5),INDEX('Pace of change parameters'!$E$24:$I$24,1,$B$5),Q143)</f>
        <v>3.0914505804119585E-2</v>
      </c>
      <c r="U143" s="132">
        <v>1.9633428524095775E-2</v>
      </c>
      <c r="V143" s="117">
        <f t="shared" si="30"/>
        <v>571486</v>
      </c>
      <c r="W143" s="131">
        <f>IF(J143&gt;INDEX('Pace of change parameters'!$E$26:$I$26,1,$B$5),0,IF(J143&lt;INDEX('Pace of change parameters'!$E$25:$I$25,1,$B$5),1,(J143-INDEX('Pace of change parameters'!$E$26:$I$26,1,$B$5))/(INDEX('Pace of change parameters'!$E$25:$I$25,1,$B$5)-INDEX('Pace of change parameters'!$E$26:$I$26,1,$B$5))))</f>
        <v>1</v>
      </c>
      <c r="X143" s="132">
        <f>MIN(T143, T143+(INDEX('Pace of change parameters'!$E$27:$I$27,1,$B$5)-T143)*(1-W143))</f>
        <v>3.0914505804119585E-2</v>
      </c>
      <c r="Y143" s="132">
        <v>1.9633428524095775E-2</v>
      </c>
      <c r="Z143" s="108">
        <f t="shared" si="31"/>
        <v>571486</v>
      </c>
      <c r="AA143" s="97">
        <f>MIN(VLOOKUP(A143,'2016-17 disagg'!$A$12:$BC$220,54,FALSE),MIN(0,VLOOKUP(A143,'2016-17 disagg'!$A$12:$BC$220,54,FALSE),-2.5%))</f>
        <v>-2.5000000000000001E-2</v>
      </c>
      <c r="AB143" s="99">
        <f t="shared" si="24"/>
        <v>569728.64957060467</v>
      </c>
      <c r="AC143" s="99">
        <f>MAX(IF(INDEX('Pace of change parameters'!$E$29:$I$29,1,$B$5)=1,MAX(AB143,Z143),Z143),L143)</f>
        <v>571486</v>
      </c>
      <c r="AD143" s="97">
        <f t="shared" si="25"/>
        <v>3.1105321463754443E-2</v>
      </c>
      <c r="AE143" s="146">
        <v>1.9822156128717072E-2</v>
      </c>
      <c r="AF143" s="56">
        <f t="shared" si="32"/>
        <v>571486</v>
      </c>
      <c r="AG143" s="56">
        <v>1643.7799181195833</v>
      </c>
      <c r="AH143" s="16">
        <f t="shared" si="26"/>
        <v>3.1105321463754443E-2</v>
      </c>
      <c r="AI143" s="16">
        <f t="shared" si="27"/>
        <v>1.982215612871685E-2</v>
      </c>
      <c r="AJ143" s="56"/>
      <c r="AK143" s="56">
        <v>584337.07648267143</v>
      </c>
      <c r="AL143" s="56">
        <v>1680.7438007841351</v>
      </c>
      <c r="AM143" s="16">
        <f t="shared" si="33"/>
        <v>-2.1992574149199196E-2</v>
      </c>
      <c r="AN143" s="58">
        <f t="shared" si="33"/>
        <v>-2.1992574149199084E-2</v>
      </c>
      <c r="AP143" s="56">
        <f t="shared" si="34"/>
        <v>1</v>
      </c>
      <c r="AQ143" s="56">
        <f t="shared" si="28"/>
        <v>0</v>
      </c>
    </row>
    <row r="144" spans="1:43" x14ac:dyDescent="0.2">
      <c r="A144" s="156" t="s">
        <v>333</v>
      </c>
      <c r="B144" s="156" t="s">
        <v>334</v>
      </c>
      <c r="D144" s="68">
        <f>VLOOKUP(A144,'2016-17 disagg'!A144:BC352,43,FALSE)</f>
        <v>487099</v>
      </c>
      <c r="E144" s="73">
        <v>1845.4830146422571</v>
      </c>
      <c r="F144" s="55"/>
      <c r="G144" s="88">
        <v>434523.01452064613</v>
      </c>
      <c r="H144" s="81">
        <v>1625.8858288902811</v>
      </c>
      <c r="I144" s="90"/>
      <c r="J144" s="103">
        <f t="shared" si="29"/>
        <v>0.12099700987611506</v>
      </c>
      <c r="K144" s="126">
        <f t="shared" si="29"/>
        <v>0.13506310335569993</v>
      </c>
      <c r="L144" s="56">
        <v>493683</v>
      </c>
      <c r="M144" s="103">
        <v>2.380715451858495E-2</v>
      </c>
      <c r="N144" s="97">
        <f>INDEX('Pace of change parameters'!$E$22:$I$22,1,$B$5)</f>
        <v>1.1119783131080974E-2</v>
      </c>
      <c r="O144" s="108">
        <f>MAX(IF(INDEX('Pace of change parameters'!$E$30:$I$30,1,$B$5)=1,(1+M144)*D144,D144),L144)</f>
        <v>498695.44115884823</v>
      </c>
      <c r="P144" s="94">
        <f>IF(K144&lt;INDEX('Pace of change parameters'!$E$18:$I$18,1,$B$5),1,IF(K144&gt;INDEX('Pace of change parameters'!$E$19:$I$19,1,$B$5),0,(K144-INDEX('Pace of change parameters'!$E$19:$I$19,1,$B$5))/(INDEX('Pace of change parameters'!$E$18:$I$18,1,$B$5)-INDEX('Pace of change parameters'!$E$19:$I$19,1,$B$5))))</f>
        <v>0</v>
      </c>
      <c r="Q144" s="57">
        <v>2.380715451858495E-2</v>
      </c>
      <c r="R144" s="57">
        <v>1.1119783131080974E-2</v>
      </c>
      <c r="S144" s="9">
        <f>MAX(IF(INDEX('Pace of change parameters'!$E$31:$I$31,1,$B$5)=1,D144*(1+Q144),D144),L144)</f>
        <v>498695.44115884823</v>
      </c>
      <c r="T144" s="103">
        <f>IF(Q144&lt;INDEX('Pace of change parameters'!$E$24:$I$24,1,$B$5),INDEX('Pace of change parameters'!$E$24:$I$24,1,$B$5),Q144)</f>
        <v>2.380715451858495E-2</v>
      </c>
      <c r="U144" s="132">
        <v>1.1119783131080974E-2</v>
      </c>
      <c r="V144" s="117">
        <f t="shared" si="30"/>
        <v>498695.44115884823</v>
      </c>
      <c r="W144" s="131">
        <f>IF(J144&gt;INDEX('Pace of change parameters'!$E$26:$I$26,1,$B$5),0,IF(J144&lt;INDEX('Pace of change parameters'!$E$25:$I$25,1,$B$5),1,(J144-INDEX('Pace of change parameters'!$E$26:$I$26,1,$B$5))/(INDEX('Pace of change parameters'!$E$25:$I$25,1,$B$5)-INDEX('Pace of change parameters'!$E$26:$I$26,1,$B$5))))</f>
        <v>0</v>
      </c>
      <c r="X144" s="132">
        <f>MIN(T144, T144+(INDEX('Pace of change parameters'!$E$27:$I$27,1,$B$5)-T144)*(1-W144))</f>
        <v>1.2446813156265744E-3</v>
      </c>
      <c r="Y144" s="132">
        <v>-1.1163088121760922E-2</v>
      </c>
      <c r="Z144" s="108">
        <f t="shared" si="31"/>
        <v>493683</v>
      </c>
      <c r="AA144" s="97">
        <f>MIN(VLOOKUP(A144,'2016-17 disagg'!$A$12:$BC$220,54,FALSE),MIN(0,VLOOKUP(A144,'2016-17 disagg'!$A$12:$BC$220,54,FALSE),-2.5%))</f>
        <v>-2.5000000000000001E-2</v>
      </c>
      <c r="AB144" s="99">
        <f t="shared" si="24"/>
        <v>435664.1825056994</v>
      </c>
      <c r="AC144" s="99">
        <f>MAX(IF(INDEX('Pace of change parameters'!$E$29:$I$29,1,$B$5)=1,MAX(AB144,Z144),Z144),L144)</f>
        <v>493683</v>
      </c>
      <c r="AD144" s="97">
        <f t="shared" si="25"/>
        <v>1.3516759426728475E-2</v>
      </c>
      <c r="AE144" s="146">
        <v>9.569101645372502E-4</v>
      </c>
      <c r="AF144" s="56">
        <f t="shared" si="32"/>
        <v>493683</v>
      </c>
      <c r="AG144" s="56">
        <v>1847.248976097449</v>
      </c>
      <c r="AH144" s="16">
        <f t="shared" si="26"/>
        <v>1.3516759426728475E-2</v>
      </c>
      <c r="AI144" s="16">
        <f t="shared" si="27"/>
        <v>9.569101645372502E-4</v>
      </c>
      <c r="AJ144" s="56"/>
      <c r="AK144" s="56">
        <v>446835.05898020451</v>
      </c>
      <c r="AL144" s="56">
        <v>1671.9546858725662</v>
      </c>
      <c r="AM144" s="16">
        <f t="shared" si="33"/>
        <v>0.10484392412429511</v>
      </c>
      <c r="AN144" s="58">
        <f t="shared" si="33"/>
        <v>0.10484392412429511</v>
      </c>
      <c r="AP144" s="56">
        <f t="shared" si="34"/>
        <v>1</v>
      </c>
      <c r="AQ144" s="56">
        <f t="shared" si="28"/>
        <v>0</v>
      </c>
    </row>
    <row r="145" spans="1:43" x14ac:dyDescent="0.2">
      <c r="A145" s="156" t="s">
        <v>335</v>
      </c>
      <c r="B145" s="156" t="s">
        <v>336</v>
      </c>
      <c r="D145" s="68">
        <f>VLOOKUP(A145,'2016-17 disagg'!A145:BC353,43,FALSE)</f>
        <v>355570</v>
      </c>
      <c r="E145" s="73">
        <v>1665.5304701790301</v>
      </c>
      <c r="F145" s="55"/>
      <c r="G145" s="88">
        <v>311927.53446713835</v>
      </c>
      <c r="H145" s="81">
        <v>1444.1910031605489</v>
      </c>
      <c r="I145" s="90"/>
      <c r="J145" s="103">
        <f t="shared" si="29"/>
        <v>0.13991219341189454</v>
      </c>
      <c r="K145" s="126">
        <f t="shared" si="29"/>
        <v>0.15326190686279673</v>
      </c>
      <c r="L145" s="56">
        <v>360024</v>
      </c>
      <c r="M145" s="103">
        <v>2.2961185870125966E-2</v>
      </c>
      <c r="N145" s="97">
        <f>INDEX('Pace of change parameters'!$E$22:$I$22,1,$B$5)</f>
        <v>1.1119783131080974E-2</v>
      </c>
      <c r="O145" s="108">
        <f>MAX(IF(INDEX('Pace of change parameters'!$E$30:$I$30,1,$B$5)=1,(1+M145)*D145,D145),L145)</f>
        <v>363734.30885984068</v>
      </c>
      <c r="P145" s="94">
        <f>IF(K145&lt;INDEX('Pace of change parameters'!$E$18:$I$18,1,$B$5),1,IF(K145&gt;INDEX('Pace of change parameters'!$E$19:$I$19,1,$B$5),0,(K145-INDEX('Pace of change parameters'!$E$19:$I$19,1,$B$5))/(INDEX('Pace of change parameters'!$E$18:$I$18,1,$B$5)-INDEX('Pace of change parameters'!$E$19:$I$19,1,$B$5))))</f>
        <v>0</v>
      </c>
      <c r="Q145" s="57">
        <v>2.2961185870125966E-2</v>
      </c>
      <c r="R145" s="57">
        <v>1.1119783131080974E-2</v>
      </c>
      <c r="S145" s="9">
        <f>MAX(IF(INDEX('Pace of change parameters'!$E$31:$I$31,1,$B$5)=1,D145*(1+Q145),D145),L145)</f>
        <v>363734.30885984068</v>
      </c>
      <c r="T145" s="103">
        <f>IF(Q145&lt;INDEX('Pace of change parameters'!$E$24:$I$24,1,$B$5),INDEX('Pace of change parameters'!$E$24:$I$24,1,$B$5),Q145)</f>
        <v>2.2961185870125966E-2</v>
      </c>
      <c r="U145" s="132">
        <v>1.1119783131080974E-2</v>
      </c>
      <c r="V145" s="117">
        <f t="shared" si="30"/>
        <v>363734.30885984068</v>
      </c>
      <c r="W145" s="131">
        <f>IF(J145&gt;INDEX('Pace of change parameters'!$E$26:$I$26,1,$B$5),0,IF(J145&lt;INDEX('Pace of change parameters'!$E$25:$I$25,1,$B$5),1,(J145-INDEX('Pace of change parameters'!$E$26:$I$26,1,$B$5))/(INDEX('Pace of change parameters'!$E$25:$I$25,1,$B$5)-INDEX('Pace of change parameters'!$E$26:$I$26,1,$B$5))))</f>
        <v>0</v>
      </c>
      <c r="X145" s="132">
        <f>MIN(T145, T145+(INDEX('Pace of change parameters'!$E$27:$I$27,1,$B$5)-T145)*(1-W145))</f>
        <v>1.2446813156265744E-3</v>
      </c>
      <c r="Y145" s="132">
        <v>-1.0345339572311985E-2</v>
      </c>
      <c r="Z145" s="108">
        <f t="shared" si="31"/>
        <v>360024</v>
      </c>
      <c r="AA145" s="97">
        <f>MIN(VLOOKUP(A145,'2016-17 disagg'!$A$12:$BC$220,54,FALSE),MIN(0,VLOOKUP(A145,'2016-17 disagg'!$A$12:$BC$220,54,FALSE),-2.5%))</f>
        <v>-2.5000000000000001E-2</v>
      </c>
      <c r="AB145" s="99">
        <f t="shared" si="24"/>
        <v>312499.34243415482</v>
      </c>
      <c r="AC145" s="99">
        <f>MAX(IF(INDEX('Pace of change parameters'!$E$29:$I$29,1,$B$5)=1,MAX(AB145,Z145),Z145),L145)</f>
        <v>360024</v>
      </c>
      <c r="AD145" s="97">
        <f t="shared" si="25"/>
        <v>1.2526366116376586E-2</v>
      </c>
      <c r="AE145" s="146">
        <v>8.0575281188699499E-4</v>
      </c>
      <c r="AF145" s="56">
        <f t="shared" si="32"/>
        <v>360024</v>
      </c>
      <c r="AG145" s="56">
        <v>1666.8724760386604</v>
      </c>
      <c r="AH145" s="16">
        <f t="shared" si="26"/>
        <v>1.2526366116376586E-2</v>
      </c>
      <c r="AI145" s="16">
        <f t="shared" si="27"/>
        <v>8.0575281188699499E-4</v>
      </c>
      <c r="AJ145" s="56"/>
      <c r="AK145" s="56">
        <v>320512.14608631266</v>
      </c>
      <c r="AL145" s="56">
        <v>1483.9368335093127</v>
      </c>
      <c r="AM145" s="16">
        <f t="shared" si="33"/>
        <v>0.12327724361200021</v>
      </c>
      <c r="AN145" s="58">
        <f t="shared" si="33"/>
        <v>0.12327724361200021</v>
      </c>
      <c r="AP145" s="56">
        <f t="shared" si="34"/>
        <v>1</v>
      </c>
      <c r="AQ145" s="56">
        <f t="shared" si="28"/>
        <v>0</v>
      </c>
    </row>
    <row r="146" spans="1:43" x14ac:dyDescent="0.2">
      <c r="A146" s="156" t="s">
        <v>337</v>
      </c>
      <c r="B146" s="156" t="s">
        <v>338</v>
      </c>
      <c r="D146" s="68">
        <f>VLOOKUP(A146,'2016-17 disagg'!A146:BC354,43,FALSE)</f>
        <v>508346</v>
      </c>
      <c r="E146" s="73">
        <v>1682.88513487877</v>
      </c>
      <c r="F146" s="55"/>
      <c r="G146" s="88">
        <v>497358.0298595468</v>
      </c>
      <c r="H146" s="81">
        <v>1624.7623413497586</v>
      </c>
      <c r="I146" s="90"/>
      <c r="J146" s="103">
        <f t="shared" si="29"/>
        <v>2.2092676665049993E-2</v>
      </c>
      <c r="K146" s="126">
        <f t="shared" si="29"/>
        <v>3.5773104810348011E-2</v>
      </c>
      <c r="L146" s="56">
        <v>525140</v>
      </c>
      <c r="M146" s="103">
        <v>2.4653342127460842E-2</v>
      </c>
      <c r="N146" s="97">
        <f>INDEX('Pace of change parameters'!$E$22:$I$22,1,$B$5)</f>
        <v>1.1119783131080974E-2</v>
      </c>
      <c r="O146" s="108">
        <f>MAX(IF(INDEX('Pace of change parameters'!$E$30:$I$30,1,$B$5)=1,(1+M146)*D146,D146),L146)</f>
        <v>525140</v>
      </c>
      <c r="P146" s="94">
        <f>IF(K146&lt;INDEX('Pace of change parameters'!$E$18:$I$18,1,$B$5),1,IF(K146&gt;INDEX('Pace of change parameters'!$E$19:$I$19,1,$B$5),0,(K146-INDEX('Pace of change parameters'!$E$19:$I$19,1,$B$5))/(INDEX('Pace of change parameters'!$E$18:$I$18,1,$B$5)-INDEX('Pace of change parameters'!$E$19:$I$19,1,$B$5))))</f>
        <v>0</v>
      </c>
      <c r="Q146" s="57">
        <v>2.4653342127460842E-2</v>
      </c>
      <c r="R146" s="57">
        <v>1.1119783131080974E-2</v>
      </c>
      <c r="S146" s="9">
        <f>MAX(IF(INDEX('Pace of change parameters'!$E$31:$I$31,1,$B$5)=1,D146*(1+Q146),D146),L146)</f>
        <v>525140</v>
      </c>
      <c r="T146" s="103">
        <f>IF(Q146&lt;INDEX('Pace of change parameters'!$E$24:$I$24,1,$B$5),INDEX('Pace of change parameters'!$E$24:$I$24,1,$B$5),Q146)</f>
        <v>2.4653342127460842E-2</v>
      </c>
      <c r="U146" s="132">
        <v>1.1119783131080974E-2</v>
      </c>
      <c r="V146" s="117">
        <f t="shared" si="30"/>
        <v>525140</v>
      </c>
      <c r="W146" s="131">
        <f>IF(J146&gt;INDEX('Pace of change parameters'!$E$26:$I$26,1,$B$5),0,IF(J146&lt;INDEX('Pace of change parameters'!$E$25:$I$25,1,$B$5),1,(J146-INDEX('Pace of change parameters'!$E$26:$I$26,1,$B$5))/(INDEX('Pace of change parameters'!$E$25:$I$25,1,$B$5)-INDEX('Pace of change parameters'!$E$26:$I$26,1,$B$5))))</f>
        <v>1</v>
      </c>
      <c r="X146" s="132">
        <f>MIN(T146, T146+(INDEX('Pace of change parameters'!$E$27:$I$27,1,$B$5)-T146)*(1-W146))</f>
        <v>2.4653342127460842E-2</v>
      </c>
      <c r="Y146" s="132">
        <v>1.1119783131080974E-2</v>
      </c>
      <c r="Z146" s="108">
        <f t="shared" si="31"/>
        <v>525140</v>
      </c>
      <c r="AA146" s="97">
        <f>MIN(VLOOKUP(A146,'2016-17 disagg'!$A$12:$BC$220,54,FALSE),MIN(0,VLOOKUP(A146,'2016-17 disagg'!$A$12:$BC$220,54,FALSE),-2.5%))</f>
        <v>-2.5000000000000001E-2</v>
      </c>
      <c r="AB146" s="99">
        <f t="shared" si="24"/>
        <v>498340.57669028873</v>
      </c>
      <c r="AC146" s="99">
        <f>MAX(IF(INDEX('Pace of change parameters'!$E$29:$I$29,1,$B$5)=1,MAX(AB146,Z146),Z146),L146)</f>
        <v>525140</v>
      </c>
      <c r="AD146" s="97">
        <f t="shared" si="25"/>
        <v>3.303655384324844E-2</v>
      </c>
      <c r="AE146" s="146">
        <v>1.9392269896614467E-2</v>
      </c>
      <c r="AF146" s="56">
        <f t="shared" si="32"/>
        <v>525140</v>
      </c>
      <c r="AG146" s="56">
        <v>1715.5200976193398</v>
      </c>
      <c r="AH146" s="16">
        <f t="shared" si="26"/>
        <v>3.303655384324844E-2</v>
      </c>
      <c r="AI146" s="16">
        <f t="shared" si="27"/>
        <v>1.9392269896614689E-2</v>
      </c>
      <c r="AJ146" s="56"/>
      <c r="AK146" s="56">
        <v>511118.54019516794</v>
      </c>
      <c r="AL146" s="56">
        <v>1669.714986423942</v>
      </c>
      <c r="AM146" s="16">
        <f t="shared" si="33"/>
        <v>2.7432892180898172E-2</v>
      </c>
      <c r="AN146" s="58">
        <f t="shared" si="33"/>
        <v>2.7432892180898172E-2</v>
      </c>
      <c r="AP146" s="56">
        <f t="shared" si="34"/>
        <v>1</v>
      </c>
      <c r="AQ146" s="56">
        <f t="shared" si="28"/>
        <v>0</v>
      </c>
    </row>
    <row r="147" spans="1:43" x14ac:dyDescent="0.2">
      <c r="A147" s="156" t="s">
        <v>339</v>
      </c>
      <c r="B147" s="156" t="s">
        <v>340</v>
      </c>
      <c r="D147" s="68">
        <f>VLOOKUP(A147,'2016-17 disagg'!A147:BC355,43,FALSE)</f>
        <v>633372</v>
      </c>
      <c r="E147" s="73">
        <v>1565.62548232718</v>
      </c>
      <c r="F147" s="55"/>
      <c r="G147" s="88">
        <v>655958.91777596576</v>
      </c>
      <c r="H147" s="81">
        <v>1603.5239532775759</v>
      </c>
      <c r="I147" s="90"/>
      <c r="J147" s="103">
        <f t="shared" si="29"/>
        <v>-3.4433433503041511E-2</v>
      </c>
      <c r="K147" s="126">
        <f t="shared" si="29"/>
        <v>-2.3634490069781688E-2</v>
      </c>
      <c r="L147" s="56">
        <v>652380</v>
      </c>
      <c r="M147" s="103">
        <v>2.2428195954337982E-2</v>
      </c>
      <c r="N147" s="97">
        <f>INDEX('Pace of change parameters'!$E$22:$I$22,1,$B$5)</f>
        <v>1.1119783131080974E-2</v>
      </c>
      <c r="O147" s="108">
        <f>MAX(IF(INDEX('Pace of change parameters'!$E$30:$I$30,1,$B$5)=1,(1+M147)*D147,D147),L147)</f>
        <v>652380</v>
      </c>
      <c r="P147" s="94">
        <f>IF(K147&lt;INDEX('Pace of change parameters'!$E$18:$I$18,1,$B$5),1,IF(K147&gt;INDEX('Pace of change parameters'!$E$19:$I$19,1,$B$5),0,(K147-INDEX('Pace of change parameters'!$E$19:$I$19,1,$B$5))/(INDEX('Pace of change parameters'!$E$18:$I$18,1,$B$5)-INDEX('Pace of change parameters'!$E$19:$I$19,1,$B$5))))</f>
        <v>0.73238225749955499</v>
      </c>
      <c r="Q147" s="57">
        <v>3.2707513358849694E-2</v>
      </c>
      <c r="R147" s="57">
        <v>2.1285407696123304E-2</v>
      </c>
      <c r="S147" s="9">
        <f>MAX(IF(INDEX('Pace of change parameters'!$E$31:$I$31,1,$B$5)=1,D147*(1+Q147),D147),L147)</f>
        <v>654088.02315112134</v>
      </c>
      <c r="T147" s="103">
        <f>IF(Q147&lt;INDEX('Pace of change parameters'!$E$24:$I$24,1,$B$5),INDEX('Pace of change parameters'!$E$24:$I$24,1,$B$5),Q147)</f>
        <v>3.2707513358849694E-2</v>
      </c>
      <c r="U147" s="132">
        <v>2.1285407696123304E-2</v>
      </c>
      <c r="V147" s="117">
        <f t="shared" si="30"/>
        <v>654088.02315112134</v>
      </c>
      <c r="W147" s="131">
        <f>IF(J147&gt;INDEX('Pace of change parameters'!$E$26:$I$26,1,$B$5),0,IF(J147&lt;INDEX('Pace of change parameters'!$E$25:$I$25,1,$B$5),1,(J147-INDEX('Pace of change parameters'!$E$26:$I$26,1,$B$5))/(INDEX('Pace of change parameters'!$E$25:$I$25,1,$B$5)-INDEX('Pace of change parameters'!$E$26:$I$26,1,$B$5))))</f>
        <v>1</v>
      </c>
      <c r="X147" s="132">
        <f>MIN(T147, T147+(INDEX('Pace of change parameters'!$E$27:$I$27,1,$B$5)-T147)*(1-W147))</f>
        <v>3.2707513358849694E-2</v>
      </c>
      <c r="Y147" s="132">
        <v>2.1285407696123304E-2</v>
      </c>
      <c r="Z147" s="108">
        <f t="shared" si="31"/>
        <v>654088.02315112134</v>
      </c>
      <c r="AA147" s="97">
        <f>MIN(VLOOKUP(A147,'2016-17 disagg'!$A$12:$BC$220,54,FALSE),MIN(0,VLOOKUP(A147,'2016-17 disagg'!$A$12:$BC$220,54,FALSE),-2.5%))</f>
        <v>-3.0530631242116968E-2</v>
      </c>
      <c r="AB147" s="99">
        <f t="shared" si="24"/>
        <v>653075.41359382018</v>
      </c>
      <c r="AC147" s="99">
        <f>MAX(IF(INDEX('Pace of change parameters'!$E$29:$I$29,1,$B$5)=1,MAX(AB147,Z147),Z147),L147)</f>
        <v>654088.02315112134</v>
      </c>
      <c r="AD147" s="97">
        <f t="shared" si="25"/>
        <v>3.2707513358849694E-2</v>
      </c>
      <c r="AE147" s="146">
        <v>2.1285407696123304E-2</v>
      </c>
      <c r="AF147" s="56">
        <f t="shared" si="32"/>
        <v>654088.02315112134</v>
      </c>
      <c r="AG147" s="56">
        <v>1598.9504590179538</v>
      </c>
      <c r="AH147" s="16">
        <f t="shared" si="26"/>
        <v>3.2707513358849694E-2</v>
      </c>
      <c r="AI147" s="16">
        <f t="shared" si="27"/>
        <v>2.1285407696123304E-2</v>
      </c>
      <c r="AJ147" s="56"/>
      <c r="AK147" s="56">
        <v>673642.13315018138</v>
      </c>
      <c r="AL147" s="56">
        <v>1646.7514461206649</v>
      </c>
      <c r="AM147" s="16">
        <f t="shared" si="33"/>
        <v>-2.9027445043584676E-2</v>
      </c>
      <c r="AN147" s="58">
        <f t="shared" si="33"/>
        <v>-2.9027445043584676E-2</v>
      </c>
      <c r="AP147" s="56">
        <f t="shared" si="34"/>
        <v>0</v>
      </c>
      <c r="AQ147" s="56">
        <f t="shared" si="28"/>
        <v>0</v>
      </c>
    </row>
    <row r="148" spans="1:43" x14ac:dyDescent="0.2">
      <c r="A148" s="156" t="s">
        <v>341</v>
      </c>
      <c r="B148" s="156" t="s">
        <v>342</v>
      </c>
      <c r="D148" s="68">
        <f>VLOOKUP(A148,'2016-17 disagg'!A148:BC356,43,FALSE)</f>
        <v>642576</v>
      </c>
      <c r="E148" s="73">
        <v>1491.5299976188862</v>
      </c>
      <c r="F148" s="55"/>
      <c r="G148" s="88">
        <v>656581.35726583609</v>
      </c>
      <c r="H148" s="81">
        <v>1508.736917977179</v>
      </c>
      <c r="I148" s="90"/>
      <c r="J148" s="103">
        <f t="shared" si="29"/>
        <v>-2.1330726361402985E-2</v>
      </c>
      <c r="K148" s="126">
        <f t="shared" si="29"/>
        <v>-1.140485140468539E-2</v>
      </c>
      <c r="L148" s="56">
        <v>663610</v>
      </c>
      <c r="M148" s="103">
        <v>2.137477815744826E-2</v>
      </c>
      <c r="N148" s="97">
        <f>INDEX('Pace of change parameters'!$E$22:$I$22,1,$B$5)</f>
        <v>1.1119783131080974E-2</v>
      </c>
      <c r="O148" s="108">
        <f>MAX(IF(INDEX('Pace of change parameters'!$E$30:$I$30,1,$B$5)=1,(1+M148)*D148,D148),L148)</f>
        <v>663610</v>
      </c>
      <c r="P148" s="94">
        <f>IF(K148&lt;INDEX('Pace of change parameters'!$E$18:$I$18,1,$B$5),1,IF(K148&gt;INDEX('Pace of change parameters'!$E$19:$I$19,1,$B$5),0,(K148-INDEX('Pace of change parameters'!$E$19:$I$19,1,$B$5))/(INDEX('Pace of change parameters'!$E$18:$I$18,1,$B$5)-INDEX('Pace of change parameters'!$E$19:$I$19,1,$B$5))))</f>
        <v>0.55417493825904185</v>
      </c>
      <c r="Q148" s="57">
        <v>2.9144861100612873E-2</v>
      </c>
      <c r="R148" s="57">
        <v>1.8811851457436246E-2</v>
      </c>
      <c r="S148" s="9">
        <f>MAX(IF(INDEX('Pace of change parameters'!$E$31:$I$31,1,$B$5)=1,D148*(1+Q148),D148),L148)</f>
        <v>663610</v>
      </c>
      <c r="T148" s="103">
        <f>IF(Q148&lt;INDEX('Pace of change parameters'!$E$24:$I$24,1,$B$5),INDEX('Pace of change parameters'!$E$24:$I$24,1,$B$5),Q148)</f>
        <v>2.9144861100612873E-2</v>
      </c>
      <c r="U148" s="132">
        <v>1.8811851457436246E-2</v>
      </c>
      <c r="V148" s="117">
        <f t="shared" si="30"/>
        <v>663610</v>
      </c>
      <c r="W148" s="131">
        <f>IF(J148&gt;INDEX('Pace of change parameters'!$E$26:$I$26,1,$B$5),0,IF(J148&lt;INDEX('Pace of change parameters'!$E$25:$I$25,1,$B$5),1,(J148-INDEX('Pace of change parameters'!$E$26:$I$26,1,$B$5))/(INDEX('Pace of change parameters'!$E$25:$I$25,1,$B$5)-INDEX('Pace of change parameters'!$E$26:$I$26,1,$B$5))))</f>
        <v>1</v>
      </c>
      <c r="X148" s="132">
        <f>MIN(T148, T148+(INDEX('Pace of change parameters'!$E$27:$I$27,1,$B$5)-T148)*(1-W148))</f>
        <v>2.9144861100612873E-2</v>
      </c>
      <c r="Y148" s="132">
        <v>1.8811851457436246E-2</v>
      </c>
      <c r="Z148" s="108">
        <f t="shared" si="31"/>
        <v>663610</v>
      </c>
      <c r="AA148" s="97">
        <f>MIN(VLOOKUP(A148,'2016-17 disagg'!$A$12:$BC$220,54,FALSE),MIN(0,VLOOKUP(A148,'2016-17 disagg'!$A$12:$BC$220,54,FALSE),-2.5%))</f>
        <v>-2.5000000000000001E-2</v>
      </c>
      <c r="AB148" s="99">
        <f t="shared" si="24"/>
        <v>657391.90409662528</v>
      </c>
      <c r="AC148" s="99">
        <f>MAX(IF(INDEX('Pace of change parameters'!$E$29:$I$29,1,$B$5)=1,MAX(AB148,Z148),Z148),L148)</f>
        <v>663610</v>
      </c>
      <c r="AD148" s="97">
        <f t="shared" si="25"/>
        <v>3.2733871168546536E-2</v>
      </c>
      <c r="AE148" s="146">
        <v>2.2364826485947287E-2</v>
      </c>
      <c r="AF148" s="56">
        <f t="shared" si="32"/>
        <v>663610</v>
      </c>
      <c r="AG148" s="56">
        <v>1524.8878072142179</v>
      </c>
      <c r="AH148" s="16">
        <f t="shared" si="26"/>
        <v>3.2733871168546536E-2</v>
      </c>
      <c r="AI148" s="16">
        <f t="shared" si="27"/>
        <v>2.2364826485947287E-2</v>
      </c>
      <c r="AJ148" s="56"/>
      <c r="AK148" s="56">
        <v>674248.10676576954</v>
      </c>
      <c r="AL148" s="56">
        <v>1549.3327663000739</v>
      </c>
      <c r="AM148" s="16">
        <f t="shared" si="33"/>
        <v>-1.5777733239472291E-2</v>
      </c>
      <c r="AN148" s="58">
        <f t="shared" si="33"/>
        <v>-1.577773323947218E-2</v>
      </c>
      <c r="AP148" s="56">
        <f t="shared" si="34"/>
        <v>1</v>
      </c>
      <c r="AQ148" s="56">
        <f t="shared" si="28"/>
        <v>0</v>
      </c>
    </row>
    <row r="149" spans="1:43" x14ac:dyDescent="0.2">
      <c r="A149" s="156" t="s">
        <v>343</v>
      </c>
      <c r="B149" s="156" t="s">
        <v>344</v>
      </c>
      <c r="D149" s="68">
        <f>VLOOKUP(A149,'2016-17 disagg'!A149:BC357,43,FALSE)</f>
        <v>529121</v>
      </c>
      <c r="E149" s="73">
        <v>1608.1107361729041</v>
      </c>
      <c r="F149" s="55"/>
      <c r="G149" s="88">
        <v>547317.33136803284</v>
      </c>
      <c r="H149" s="81">
        <v>1640.1020185926727</v>
      </c>
      <c r="I149" s="90"/>
      <c r="J149" s="103">
        <f t="shared" si="29"/>
        <v>-3.324640080837693E-2</v>
      </c>
      <c r="K149" s="126">
        <f t="shared" si="29"/>
        <v>-1.9505666145828826E-2</v>
      </c>
      <c r="L149" s="56">
        <v>546430</v>
      </c>
      <c r="M149" s="103">
        <v>2.5491106562071764E-2</v>
      </c>
      <c r="N149" s="97">
        <f>INDEX('Pace of change parameters'!$E$22:$I$22,1,$B$5)</f>
        <v>1.1119783131080974E-2</v>
      </c>
      <c r="O149" s="108">
        <f>MAX(IF(INDEX('Pace of change parameters'!$E$30:$I$30,1,$B$5)=1,(1+M149)*D149,D149),L149)</f>
        <v>546430</v>
      </c>
      <c r="P149" s="94">
        <f>IF(K149&lt;INDEX('Pace of change parameters'!$E$18:$I$18,1,$B$5),1,IF(K149&gt;INDEX('Pace of change parameters'!$E$19:$I$19,1,$B$5),0,(K149-INDEX('Pace of change parameters'!$E$19:$I$19,1,$B$5))/(INDEX('Pace of change parameters'!$E$18:$I$18,1,$B$5)-INDEX('Pace of change parameters'!$E$19:$I$19,1,$B$5))))</f>
        <v>0.67221803979427719</v>
      </c>
      <c r="Q149" s="57">
        <v>3.4954256156358054E-2</v>
      </c>
      <c r="R149" s="57">
        <v>2.0450315306625111E-2</v>
      </c>
      <c r="S149" s="9">
        <f>MAX(IF(INDEX('Pace of change parameters'!$E$31:$I$31,1,$B$5)=1,D149*(1+Q149),D149),L149)</f>
        <v>547616.03097170836</v>
      </c>
      <c r="T149" s="103">
        <f>IF(Q149&lt;INDEX('Pace of change parameters'!$E$24:$I$24,1,$B$5),INDEX('Pace of change parameters'!$E$24:$I$24,1,$B$5),Q149)</f>
        <v>3.4954256156358054E-2</v>
      </c>
      <c r="U149" s="132">
        <v>2.0450315306625111E-2</v>
      </c>
      <c r="V149" s="117">
        <f t="shared" si="30"/>
        <v>547616.03097170836</v>
      </c>
      <c r="W149" s="131">
        <f>IF(J149&gt;INDEX('Pace of change parameters'!$E$26:$I$26,1,$B$5),0,IF(J149&lt;INDEX('Pace of change parameters'!$E$25:$I$25,1,$B$5),1,(J149-INDEX('Pace of change parameters'!$E$26:$I$26,1,$B$5))/(INDEX('Pace of change parameters'!$E$25:$I$25,1,$B$5)-INDEX('Pace of change parameters'!$E$26:$I$26,1,$B$5))))</f>
        <v>1</v>
      </c>
      <c r="X149" s="132">
        <f>MIN(T149, T149+(INDEX('Pace of change parameters'!$E$27:$I$27,1,$B$5)-T149)*(1-W149))</f>
        <v>3.4954256156358054E-2</v>
      </c>
      <c r="Y149" s="132">
        <v>2.0450315306625111E-2</v>
      </c>
      <c r="Z149" s="108">
        <f t="shared" si="31"/>
        <v>547616.03097170836</v>
      </c>
      <c r="AA149" s="97">
        <f>MIN(VLOOKUP(A149,'2016-17 disagg'!$A$12:$BC$220,54,FALSE),MIN(0,VLOOKUP(A149,'2016-17 disagg'!$A$12:$BC$220,54,FALSE),-2.5%))</f>
        <v>-2.6436858751956671E-2</v>
      </c>
      <c r="AB149" s="99">
        <f t="shared" si="24"/>
        <v>547462.76732092327</v>
      </c>
      <c r="AC149" s="99">
        <f>MAX(IF(INDEX('Pace of change parameters'!$E$29:$I$29,1,$B$5)=1,MAX(AB149,Z149),Z149),L149)</f>
        <v>547616.03097170836</v>
      </c>
      <c r="AD149" s="97">
        <f t="shared" si="25"/>
        <v>3.4954256156358054E-2</v>
      </c>
      <c r="AE149" s="146">
        <v>2.0450315306625111E-2</v>
      </c>
      <c r="AF149" s="56">
        <f t="shared" si="32"/>
        <v>547616.03097170836</v>
      </c>
      <c r="AG149" s="56">
        <v>1640.997107775609</v>
      </c>
      <c r="AH149" s="16">
        <f t="shared" si="26"/>
        <v>3.4954256156358054E-2</v>
      </c>
      <c r="AI149" s="16">
        <f t="shared" si="27"/>
        <v>2.0450315306625111E-2</v>
      </c>
      <c r="AJ149" s="56"/>
      <c r="AK149" s="56">
        <v>562328.97911388916</v>
      </c>
      <c r="AL149" s="56">
        <v>1685.086221283352</v>
      </c>
      <c r="AM149" s="16">
        <f t="shared" si="33"/>
        <v>-2.6164307173650037E-2</v>
      </c>
      <c r="AN149" s="58">
        <f t="shared" si="33"/>
        <v>-2.6164307173650037E-2</v>
      </c>
      <c r="AP149" s="56">
        <f t="shared" si="34"/>
        <v>0</v>
      </c>
      <c r="AQ149" s="56">
        <f t="shared" si="28"/>
        <v>0</v>
      </c>
    </row>
    <row r="150" spans="1:43" x14ac:dyDescent="0.2">
      <c r="A150" s="156" t="s">
        <v>345</v>
      </c>
      <c r="B150" s="156" t="s">
        <v>346</v>
      </c>
      <c r="D150" s="68">
        <f>VLOOKUP(A150,'2016-17 disagg'!A150:BC358,43,FALSE)</f>
        <v>489651</v>
      </c>
      <c r="E150" s="73">
        <v>1693.0174537745211</v>
      </c>
      <c r="F150" s="55"/>
      <c r="G150" s="88">
        <v>502651.30837408238</v>
      </c>
      <c r="H150" s="81">
        <v>1718.2969083885891</v>
      </c>
      <c r="I150" s="90"/>
      <c r="J150" s="103">
        <f t="shared" si="29"/>
        <v>-2.5863472664846454E-2</v>
      </c>
      <c r="K150" s="126">
        <f t="shared" si="29"/>
        <v>-1.4711924633429629E-2</v>
      </c>
      <c r="L150" s="56">
        <v>504693</v>
      </c>
      <c r="M150" s="103">
        <v>2.2694701544157203E-2</v>
      </c>
      <c r="N150" s="97">
        <f>INDEX('Pace of change parameters'!$E$22:$I$22,1,$B$5)</f>
        <v>1.1119783131080974E-2</v>
      </c>
      <c r="O150" s="108">
        <f>MAX(IF(INDEX('Pace of change parameters'!$E$30:$I$30,1,$B$5)=1,(1+M150)*D150,D150),L150)</f>
        <v>504693</v>
      </c>
      <c r="P150" s="94">
        <f>IF(K150&lt;INDEX('Pace of change parameters'!$E$18:$I$18,1,$B$5),1,IF(K150&gt;INDEX('Pace of change parameters'!$E$19:$I$19,1,$B$5),0,(K150-INDEX('Pace of change parameters'!$E$19:$I$19,1,$B$5))/(INDEX('Pace of change parameters'!$E$18:$I$18,1,$B$5)-INDEX('Pace of change parameters'!$E$19:$I$19,1,$B$5))))</f>
        <v>0.60236480476005172</v>
      </c>
      <c r="Q150" s="57">
        <v>3.1151368721877626E-2</v>
      </c>
      <c r="R150" s="57">
        <v>1.9480737255354486E-2</v>
      </c>
      <c r="S150" s="9">
        <f>MAX(IF(INDEX('Pace of change parameters'!$E$31:$I$31,1,$B$5)=1,D150*(1+Q150),D150),L150)</f>
        <v>504904.29884603608</v>
      </c>
      <c r="T150" s="103">
        <f>IF(Q150&lt;INDEX('Pace of change parameters'!$E$24:$I$24,1,$B$5),INDEX('Pace of change parameters'!$E$24:$I$24,1,$B$5),Q150)</f>
        <v>3.1151368721877626E-2</v>
      </c>
      <c r="U150" s="132">
        <v>1.9480737255354486E-2</v>
      </c>
      <c r="V150" s="117">
        <f t="shared" si="30"/>
        <v>504904.29884603608</v>
      </c>
      <c r="W150" s="131">
        <f>IF(J150&gt;INDEX('Pace of change parameters'!$E$26:$I$26,1,$B$5),0,IF(J150&lt;INDEX('Pace of change parameters'!$E$25:$I$25,1,$B$5),1,(J150-INDEX('Pace of change parameters'!$E$26:$I$26,1,$B$5))/(INDEX('Pace of change parameters'!$E$25:$I$25,1,$B$5)-INDEX('Pace of change parameters'!$E$26:$I$26,1,$B$5))))</f>
        <v>1</v>
      </c>
      <c r="X150" s="132">
        <f>MIN(T150, T150+(INDEX('Pace of change parameters'!$E$27:$I$27,1,$B$5)-T150)*(1-W150))</f>
        <v>3.1151368721877626E-2</v>
      </c>
      <c r="Y150" s="132">
        <v>1.9480737255354486E-2</v>
      </c>
      <c r="Z150" s="108">
        <f t="shared" si="31"/>
        <v>504904.29884603608</v>
      </c>
      <c r="AA150" s="97">
        <f>MIN(VLOOKUP(A150,'2016-17 disagg'!$A$12:$BC$220,54,FALSE),MIN(0,VLOOKUP(A150,'2016-17 disagg'!$A$12:$BC$220,54,FALSE),-2.5%))</f>
        <v>-2.5000000000000001E-2</v>
      </c>
      <c r="AB150" s="99">
        <f t="shared" si="24"/>
        <v>503450.22210834571</v>
      </c>
      <c r="AC150" s="99">
        <f>MAX(IF(INDEX('Pace of change parameters'!$E$29:$I$29,1,$B$5)=1,MAX(AB150,Z150),Z150),L150)</f>
        <v>504904.29884603608</v>
      </c>
      <c r="AD150" s="97">
        <f t="shared" si="25"/>
        <v>3.1151368721877626E-2</v>
      </c>
      <c r="AE150" s="146">
        <v>1.9480737255354486E-2</v>
      </c>
      <c r="AF150" s="56">
        <f t="shared" si="32"/>
        <v>504904.29884603608</v>
      </c>
      <c r="AG150" s="56">
        <v>1725.9986819602316</v>
      </c>
      <c r="AH150" s="16">
        <f t="shared" si="26"/>
        <v>3.1151368721877626E-2</v>
      </c>
      <c r="AI150" s="16">
        <f t="shared" si="27"/>
        <v>1.9480737255354263E-2</v>
      </c>
      <c r="AJ150" s="56"/>
      <c r="AK150" s="56">
        <v>516359.20216240588</v>
      </c>
      <c r="AL150" s="56">
        <v>1765.1568908945255</v>
      </c>
      <c r="AM150" s="16">
        <f t="shared" si="33"/>
        <v>-2.2183982135689728E-2</v>
      </c>
      <c r="AN150" s="58">
        <f t="shared" si="33"/>
        <v>-2.2183982135689839E-2</v>
      </c>
      <c r="AP150" s="56">
        <f t="shared" si="34"/>
        <v>0</v>
      </c>
      <c r="AQ150" s="56">
        <f t="shared" si="28"/>
        <v>0</v>
      </c>
    </row>
    <row r="151" spans="1:43" x14ac:dyDescent="0.2">
      <c r="A151" s="156" t="s">
        <v>347</v>
      </c>
      <c r="B151" s="156" t="s">
        <v>348</v>
      </c>
      <c r="D151" s="68">
        <f>VLOOKUP(A151,'2016-17 disagg'!A151:BC359,43,FALSE)</f>
        <v>344046</v>
      </c>
      <c r="E151" s="73">
        <v>1634.0665819298458</v>
      </c>
      <c r="F151" s="55"/>
      <c r="G151" s="88">
        <v>326293.16647918872</v>
      </c>
      <c r="H151" s="81">
        <v>1544.9304691230732</v>
      </c>
      <c r="I151" s="90"/>
      <c r="J151" s="103">
        <f t="shared" si="29"/>
        <v>5.4407616660717251E-2</v>
      </c>
      <c r="K151" s="126">
        <f t="shared" si="29"/>
        <v>5.7695873431357514E-2</v>
      </c>
      <c r="L151" s="56">
        <v>350782</v>
      </c>
      <c r="M151" s="103">
        <v>1.4273043236825433E-2</v>
      </c>
      <c r="N151" s="97">
        <f>INDEX('Pace of change parameters'!$E$22:$I$22,1,$B$5)</f>
        <v>1.1119783131080974E-2</v>
      </c>
      <c r="O151" s="108">
        <f>MAX(IF(INDEX('Pace of change parameters'!$E$30:$I$30,1,$B$5)=1,(1+M151)*D151,D151),L151)</f>
        <v>350782</v>
      </c>
      <c r="P151" s="94">
        <f>IF(K151&lt;INDEX('Pace of change parameters'!$E$18:$I$18,1,$B$5),1,IF(K151&gt;INDEX('Pace of change parameters'!$E$19:$I$19,1,$B$5),0,(K151-INDEX('Pace of change parameters'!$E$19:$I$19,1,$B$5))/(INDEX('Pace of change parameters'!$E$18:$I$18,1,$B$5)-INDEX('Pace of change parameters'!$E$19:$I$19,1,$B$5))))</f>
        <v>0</v>
      </c>
      <c r="Q151" s="57">
        <v>1.4273043236825433E-2</v>
      </c>
      <c r="R151" s="57">
        <v>1.1119783131080974E-2</v>
      </c>
      <c r="S151" s="9">
        <f>MAX(IF(INDEX('Pace of change parameters'!$E$31:$I$31,1,$B$5)=1,D151*(1+Q151),D151),L151)</f>
        <v>350782</v>
      </c>
      <c r="T151" s="103">
        <f>IF(Q151&lt;INDEX('Pace of change parameters'!$E$24:$I$24,1,$B$5),INDEX('Pace of change parameters'!$E$24:$I$24,1,$B$5),Q151)</f>
        <v>1.9644681315626574E-2</v>
      </c>
      <c r="U151" s="132">
        <v>1.6474721395005609E-2</v>
      </c>
      <c r="V151" s="117">
        <f t="shared" si="30"/>
        <v>350804.67402791604</v>
      </c>
      <c r="W151" s="131">
        <f>IF(J151&gt;INDEX('Pace of change parameters'!$E$26:$I$26,1,$B$5),0,IF(J151&lt;INDEX('Pace of change parameters'!$E$25:$I$25,1,$B$5),1,(J151-INDEX('Pace of change parameters'!$E$26:$I$26,1,$B$5))/(INDEX('Pace of change parameters'!$E$25:$I$25,1,$B$5)-INDEX('Pace of change parameters'!$E$26:$I$26,1,$B$5))))</f>
        <v>0.9118476667856551</v>
      </c>
      <c r="X151" s="132">
        <f>MIN(T151, T151+(INDEX('Pace of change parameters'!$E$27:$I$27,1,$B$5)-T151)*(1-W151))</f>
        <v>1.8022678384482627E-2</v>
      </c>
      <c r="Y151" s="132">
        <v>1.485776108741188E-2</v>
      </c>
      <c r="Z151" s="108">
        <f t="shared" si="31"/>
        <v>350782</v>
      </c>
      <c r="AA151" s="97">
        <f>MIN(VLOOKUP(A151,'2016-17 disagg'!$A$12:$BC$220,54,FALSE),MIN(0,VLOOKUP(A151,'2016-17 disagg'!$A$12:$BC$220,54,FALSE),-2.5%))</f>
        <v>-2.5000000000000001E-2</v>
      </c>
      <c r="AB151" s="99">
        <f t="shared" si="24"/>
        <v>326767.50230030267</v>
      </c>
      <c r="AC151" s="99">
        <f>MAX(IF(INDEX('Pace of change parameters'!$E$29:$I$29,1,$B$5)=1,MAX(AB151,Z151),Z151),L151)</f>
        <v>350782</v>
      </c>
      <c r="AD151" s="97">
        <f t="shared" si="25"/>
        <v>1.9578777256529678E-2</v>
      </c>
      <c r="AE151" s="146">
        <v>1.6409022224169956E-2</v>
      </c>
      <c r="AF151" s="56">
        <f t="shared" si="32"/>
        <v>350782</v>
      </c>
      <c r="AG151" s="56">
        <v>1660.8800167885063</v>
      </c>
      <c r="AH151" s="16">
        <f t="shared" si="26"/>
        <v>1.9578777256529678E-2</v>
      </c>
      <c r="AI151" s="16">
        <f t="shared" si="27"/>
        <v>1.6409022224170178E-2</v>
      </c>
      <c r="AJ151" s="56"/>
      <c r="AK151" s="56">
        <v>335146.15620543866</v>
      </c>
      <c r="AL151" s="56">
        <v>1586.8475393409362</v>
      </c>
      <c r="AM151" s="16">
        <f t="shared" si="33"/>
        <v>4.6653806123251096E-2</v>
      </c>
      <c r="AN151" s="58">
        <f t="shared" si="33"/>
        <v>4.6653806123251096E-2</v>
      </c>
      <c r="AP151" s="56">
        <f t="shared" si="34"/>
        <v>1</v>
      </c>
      <c r="AQ151" s="56">
        <f t="shared" si="28"/>
        <v>0</v>
      </c>
    </row>
    <row r="152" spans="1:43" x14ac:dyDescent="0.2">
      <c r="A152" s="156" t="s">
        <v>349</v>
      </c>
      <c r="B152" s="156" t="s">
        <v>350</v>
      </c>
      <c r="D152" s="68">
        <f>VLOOKUP(A152,'2016-17 disagg'!A152:BC360,43,FALSE)</f>
        <v>482418</v>
      </c>
      <c r="E152" s="73">
        <v>1576.9896476480617</v>
      </c>
      <c r="F152" s="55"/>
      <c r="G152" s="88">
        <v>496362.68810759817</v>
      </c>
      <c r="H152" s="81">
        <v>1602.313142333317</v>
      </c>
      <c r="I152" s="90"/>
      <c r="J152" s="103">
        <f t="shared" si="29"/>
        <v>-2.8093747660128954E-2</v>
      </c>
      <c r="K152" s="126">
        <f t="shared" si="29"/>
        <v>-1.5804335629662769E-2</v>
      </c>
      <c r="L152" s="56">
        <v>499598</v>
      </c>
      <c r="M152" s="103">
        <v>2.3905036438318872E-2</v>
      </c>
      <c r="N152" s="97">
        <f>INDEX('Pace of change parameters'!$E$22:$I$22,1,$B$5)</f>
        <v>1.1119783131080974E-2</v>
      </c>
      <c r="O152" s="108">
        <f>MAX(IF(INDEX('Pace of change parameters'!$E$30:$I$30,1,$B$5)=1,(1+M152)*D152,D152),L152)</f>
        <v>499598</v>
      </c>
      <c r="P152" s="94">
        <f>IF(K152&lt;INDEX('Pace of change parameters'!$E$18:$I$18,1,$B$5),1,IF(K152&gt;INDEX('Pace of change parameters'!$E$19:$I$19,1,$B$5),0,(K152-INDEX('Pace of change parameters'!$E$19:$I$19,1,$B$5))/(INDEX('Pace of change parameters'!$E$18:$I$18,1,$B$5)-INDEX('Pace of change parameters'!$E$19:$I$19,1,$B$5))))</f>
        <v>0.61828315202105255</v>
      </c>
      <c r="Q152" s="57">
        <v>3.2595455829306452E-2</v>
      </c>
      <c r="R152" s="57">
        <v>1.9701687367531973E-2</v>
      </c>
      <c r="S152" s="9">
        <f>MAX(IF(INDEX('Pace of change parameters'!$E$31:$I$31,1,$B$5)=1,D152*(1+Q152),D152),L152)</f>
        <v>499598</v>
      </c>
      <c r="T152" s="103">
        <f>IF(Q152&lt;INDEX('Pace of change parameters'!$E$24:$I$24,1,$B$5),INDEX('Pace of change parameters'!$E$24:$I$24,1,$B$5),Q152)</f>
        <v>3.2595455829306452E-2</v>
      </c>
      <c r="U152" s="132">
        <v>1.9701687367531973E-2</v>
      </c>
      <c r="V152" s="117">
        <f t="shared" si="30"/>
        <v>499598</v>
      </c>
      <c r="W152" s="131">
        <f>IF(J152&gt;INDEX('Pace of change parameters'!$E$26:$I$26,1,$B$5),0,IF(J152&lt;INDEX('Pace of change parameters'!$E$25:$I$25,1,$B$5),1,(J152-INDEX('Pace of change parameters'!$E$26:$I$26,1,$B$5))/(INDEX('Pace of change parameters'!$E$25:$I$25,1,$B$5)-INDEX('Pace of change parameters'!$E$26:$I$26,1,$B$5))))</f>
        <v>1</v>
      </c>
      <c r="X152" s="132">
        <f>MIN(T152, T152+(INDEX('Pace of change parameters'!$E$27:$I$27,1,$B$5)-T152)*(1-W152))</f>
        <v>3.2595455829306452E-2</v>
      </c>
      <c r="Y152" s="132">
        <v>1.9701687367531973E-2</v>
      </c>
      <c r="Z152" s="108">
        <f t="shared" si="31"/>
        <v>499598</v>
      </c>
      <c r="AA152" s="97">
        <f>MIN(VLOOKUP(A152,'2016-17 disagg'!$A$12:$BC$220,54,FALSE),MIN(0,VLOOKUP(A152,'2016-17 disagg'!$A$12:$BC$220,54,FALSE),-2.5%))</f>
        <v>-2.5000000000000001E-2</v>
      </c>
      <c r="AB152" s="99">
        <f t="shared" si="24"/>
        <v>497403.58266195067</v>
      </c>
      <c r="AC152" s="99">
        <f>MAX(IF(INDEX('Pace of change parameters'!$E$29:$I$29,1,$B$5)=1,MAX(AB152,Z152),Z152),L152)</f>
        <v>499598</v>
      </c>
      <c r="AD152" s="97">
        <f t="shared" si="25"/>
        <v>3.5612269857260737E-2</v>
      </c>
      <c r="AE152" s="146">
        <v>2.2680831172022575E-2</v>
      </c>
      <c r="AF152" s="56">
        <f t="shared" si="32"/>
        <v>499598</v>
      </c>
      <c r="AG152" s="56">
        <v>1612.7570836063946</v>
      </c>
      <c r="AH152" s="16">
        <f t="shared" si="26"/>
        <v>3.5612269857260737E-2</v>
      </c>
      <c r="AI152" s="16">
        <f t="shared" si="27"/>
        <v>2.2680831172022575E-2</v>
      </c>
      <c r="AJ152" s="56"/>
      <c r="AK152" s="56">
        <v>510157.52067892376</v>
      </c>
      <c r="AL152" s="56">
        <v>1646.8443733361826</v>
      </c>
      <c r="AM152" s="16">
        <f t="shared" si="33"/>
        <v>-2.0698549469330585E-2</v>
      </c>
      <c r="AN152" s="58">
        <f t="shared" si="33"/>
        <v>-2.0698549469330696E-2</v>
      </c>
      <c r="AP152" s="56">
        <f t="shared" si="34"/>
        <v>1</v>
      </c>
      <c r="AQ152" s="56">
        <f t="shared" si="28"/>
        <v>0</v>
      </c>
    </row>
    <row r="153" spans="1:43" x14ac:dyDescent="0.2">
      <c r="A153" s="156" t="s">
        <v>351</v>
      </c>
      <c r="B153" s="156" t="s">
        <v>352</v>
      </c>
      <c r="D153" s="68">
        <f>VLOOKUP(A153,'2016-17 disagg'!A153:BC361,43,FALSE)</f>
        <v>382096</v>
      </c>
      <c r="E153" s="73">
        <v>1455.8156488981163</v>
      </c>
      <c r="F153" s="55"/>
      <c r="G153" s="88">
        <v>396400.13341194077</v>
      </c>
      <c r="H153" s="81">
        <v>1493.062038744742</v>
      </c>
      <c r="I153" s="90"/>
      <c r="J153" s="103">
        <f t="shared" si="29"/>
        <v>-3.6085087279917327E-2</v>
      </c>
      <c r="K153" s="126">
        <f t="shared" si="29"/>
        <v>-2.4946310923516513E-2</v>
      </c>
      <c r="L153" s="56">
        <v>393047</v>
      </c>
      <c r="M153" s="103">
        <v>2.2804047981852316E-2</v>
      </c>
      <c r="N153" s="97">
        <f>INDEX('Pace of change parameters'!$E$22:$I$22,1,$B$5)</f>
        <v>1.1119783131080974E-2</v>
      </c>
      <c r="O153" s="108">
        <f>MAX(IF(INDEX('Pace of change parameters'!$E$30:$I$30,1,$B$5)=1,(1+M153)*D153,D153),L153)</f>
        <v>393047</v>
      </c>
      <c r="P153" s="94">
        <f>IF(K153&lt;INDEX('Pace of change parameters'!$E$18:$I$18,1,$B$5),1,IF(K153&gt;INDEX('Pace of change parameters'!$E$19:$I$19,1,$B$5),0,(K153-INDEX('Pace of change parameters'!$E$19:$I$19,1,$B$5))/(INDEX('Pace of change parameters'!$E$18:$I$18,1,$B$5)-INDEX('Pace of change parameters'!$E$19:$I$19,1,$B$5))))</f>
        <v>0.75149779182315579</v>
      </c>
      <c r="Q153" s="57">
        <v>3.3355537965900739E-2</v>
      </c>
      <c r="R153" s="57">
        <v>2.1550735458100156E-2</v>
      </c>
      <c r="S153" s="9">
        <f>MAX(IF(INDEX('Pace of change parameters'!$E$31:$I$31,1,$B$5)=1,D153*(1+Q153),D153),L153)</f>
        <v>394841.01763461879</v>
      </c>
      <c r="T153" s="103">
        <f>IF(Q153&lt;INDEX('Pace of change parameters'!$E$24:$I$24,1,$B$5),INDEX('Pace of change parameters'!$E$24:$I$24,1,$B$5),Q153)</f>
        <v>3.3355537965900739E-2</v>
      </c>
      <c r="U153" s="132">
        <v>2.1550735458100156E-2</v>
      </c>
      <c r="V153" s="117">
        <f t="shared" si="30"/>
        <v>394841.01763461879</v>
      </c>
      <c r="W153" s="131">
        <f>IF(J153&gt;INDEX('Pace of change parameters'!$E$26:$I$26,1,$B$5),0,IF(J153&lt;INDEX('Pace of change parameters'!$E$25:$I$25,1,$B$5),1,(J153-INDEX('Pace of change parameters'!$E$26:$I$26,1,$B$5))/(INDEX('Pace of change parameters'!$E$25:$I$25,1,$B$5)-INDEX('Pace of change parameters'!$E$26:$I$26,1,$B$5))))</f>
        <v>1</v>
      </c>
      <c r="X153" s="132">
        <f>MIN(T153, T153+(INDEX('Pace of change parameters'!$E$27:$I$27,1,$B$5)-T153)*(1-W153))</f>
        <v>3.3355537965900739E-2</v>
      </c>
      <c r="Y153" s="132">
        <v>2.1550735458100156E-2</v>
      </c>
      <c r="Z153" s="108">
        <f t="shared" si="31"/>
        <v>394841.01763461879</v>
      </c>
      <c r="AA153" s="97">
        <f>MIN(VLOOKUP(A153,'2016-17 disagg'!$A$12:$BC$220,54,FALSE),MIN(0,VLOOKUP(A153,'2016-17 disagg'!$A$12:$BC$220,54,FALSE),-2.5%))</f>
        <v>-3.1836725830024393E-2</v>
      </c>
      <c r="AB153" s="99">
        <f t="shared" si="24"/>
        <v>394234.85474206333</v>
      </c>
      <c r="AC153" s="99">
        <f>MAX(IF(INDEX('Pace of change parameters'!$E$29:$I$29,1,$B$5)=1,MAX(AB153,Z153),Z153),L153)</f>
        <v>394841.01763461879</v>
      </c>
      <c r="AD153" s="97">
        <f t="shared" si="25"/>
        <v>3.3355537965900739E-2</v>
      </c>
      <c r="AE153" s="146">
        <v>2.1550735458100156E-2</v>
      </c>
      <c r="AF153" s="56">
        <f t="shared" si="32"/>
        <v>394841.01763461879</v>
      </c>
      <c r="AG153" s="56">
        <v>1487.1895468232819</v>
      </c>
      <c r="AH153" s="16">
        <f t="shared" si="26"/>
        <v>3.3355537965900739E-2</v>
      </c>
      <c r="AI153" s="16">
        <f t="shared" si="27"/>
        <v>2.1550735458100156E-2</v>
      </c>
      <c r="AJ153" s="56"/>
      <c r="AK153" s="56">
        <v>407198.72903674043</v>
      </c>
      <c r="AL153" s="56">
        <v>1533.7355195036105</v>
      </c>
      <c r="AM153" s="16">
        <f t="shared" si="33"/>
        <v>-3.0348108972134469E-2</v>
      </c>
      <c r="AN153" s="58">
        <f t="shared" si="33"/>
        <v>-3.0348108972134247E-2</v>
      </c>
      <c r="AP153" s="56">
        <f t="shared" si="34"/>
        <v>0</v>
      </c>
      <c r="AQ153" s="56">
        <f t="shared" si="28"/>
        <v>0</v>
      </c>
    </row>
    <row r="154" spans="1:43" x14ac:dyDescent="0.2">
      <c r="A154" s="156" t="s">
        <v>353</v>
      </c>
      <c r="B154" s="156" t="s">
        <v>354</v>
      </c>
      <c r="D154" s="68">
        <f>VLOOKUP(A154,'2016-17 disagg'!A154:BC362,43,FALSE)</f>
        <v>442882</v>
      </c>
      <c r="E154" s="73">
        <v>1643.2784933132966</v>
      </c>
      <c r="F154" s="55"/>
      <c r="G154" s="88">
        <v>461114.73945689469</v>
      </c>
      <c r="H154" s="81">
        <v>1692.1327307474446</v>
      </c>
      <c r="I154" s="90"/>
      <c r="J154" s="103">
        <f t="shared" si="29"/>
        <v>-3.9540569616944743E-2</v>
      </c>
      <c r="K154" s="126">
        <f t="shared" si="29"/>
        <v>-2.887139793848692E-2</v>
      </c>
      <c r="L154" s="56">
        <v>454792</v>
      </c>
      <c r="M154" s="103">
        <v>2.2351710490478238E-2</v>
      </c>
      <c r="N154" s="97">
        <f>INDEX('Pace of change parameters'!$E$22:$I$22,1,$B$5)</f>
        <v>1.1119783131080974E-2</v>
      </c>
      <c r="O154" s="108">
        <f>MAX(IF(INDEX('Pace of change parameters'!$E$30:$I$30,1,$B$5)=1,(1+M154)*D154,D154),L154)</f>
        <v>454792</v>
      </c>
      <c r="P154" s="94">
        <f>IF(K154&lt;INDEX('Pace of change parameters'!$E$18:$I$18,1,$B$5),1,IF(K154&gt;INDEX('Pace of change parameters'!$E$19:$I$19,1,$B$5),0,(K154-INDEX('Pace of change parameters'!$E$19:$I$19,1,$B$5))/(INDEX('Pace of change parameters'!$E$18:$I$18,1,$B$5)-INDEX('Pace of change parameters'!$E$19:$I$19,1,$B$5))))</f>
        <v>0.8086932048585348</v>
      </c>
      <c r="Q154" s="57">
        <v>3.3701237582783428E-2</v>
      </c>
      <c r="R154" s="57">
        <v>2.2344620194938658E-2</v>
      </c>
      <c r="S154" s="9">
        <f>MAX(IF(INDEX('Pace of change parameters'!$E$31:$I$31,1,$B$5)=1,D154*(1+Q154),D154),L154)</f>
        <v>457807.67150313826</v>
      </c>
      <c r="T154" s="103">
        <f>IF(Q154&lt;INDEX('Pace of change parameters'!$E$24:$I$24,1,$B$5),INDEX('Pace of change parameters'!$E$24:$I$24,1,$B$5),Q154)</f>
        <v>3.3701237582783428E-2</v>
      </c>
      <c r="U154" s="132">
        <v>2.2344620194938658E-2</v>
      </c>
      <c r="V154" s="117">
        <f t="shared" si="30"/>
        <v>457807.67150313826</v>
      </c>
      <c r="W154" s="131">
        <f>IF(J154&gt;INDEX('Pace of change parameters'!$E$26:$I$26,1,$B$5),0,IF(J154&lt;INDEX('Pace of change parameters'!$E$25:$I$25,1,$B$5),1,(J154-INDEX('Pace of change parameters'!$E$26:$I$26,1,$B$5))/(INDEX('Pace of change parameters'!$E$25:$I$25,1,$B$5)-INDEX('Pace of change parameters'!$E$26:$I$26,1,$B$5))))</f>
        <v>1</v>
      </c>
      <c r="X154" s="132">
        <f>MIN(T154, T154+(INDEX('Pace of change parameters'!$E$27:$I$27,1,$B$5)-T154)*(1-W154))</f>
        <v>3.3701237582783428E-2</v>
      </c>
      <c r="Y154" s="132">
        <v>2.2344620194938658E-2</v>
      </c>
      <c r="Z154" s="108">
        <f t="shared" si="31"/>
        <v>457807.67150313826</v>
      </c>
      <c r="AA154" s="97">
        <f>MIN(VLOOKUP(A154,'2016-17 disagg'!$A$12:$BC$220,54,FALSE),MIN(0,VLOOKUP(A154,'2016-17 disagg'!$A$12:$BC$220,54,FALSE),-2.5%))</f>
        <v>-3.5725447445842495E-2</v>
      </c>
      <c r="AB154" s="99">
        <f t="shared" si="24"/>
        <v>456445.15868037561</v>
      </c>
      <c r="AC154" s="99">
        <f>MAX(IF(INDEX('Pace of change parameters'!$E$29:$I$29,1,$B$5)=1,MAX(AB154,Z154),Z154),L154)</f>
        <v>457807.67150313826</v>
      </c>
      <c r="AD154" s="97">
        <f t="shared" si="25"/>
        <v>3.3701237582783428E-2</v>
      </c>
      <c r="AE154" s="146">
        <v>2.2344620194938658E-2</v>
      </c>
      <c r="AF154" s="56">
        <f t="shared" si="32"/>
        <v>457807.67150313826</v>
      </c>
      <c r="AG154" s="56">
        <v>1679.9969271208931</v>
      </c>
      <c r="AH154" s="16">
        <f t="shared" si="26"/>
        <v>3.3701237582783428E-2</v>
      </c>
      <c r="AI154" s="16">
        <f t="shared" si="27"/>
        <v>2.2344620194938658E-2</v>
      </c>
      <c r="AJ154" s="56"/>
      <c r="AK154" s="56">
        <v>473356.01408473321</v>
      </c>
      <c r="AL154" s="56">
        <v>1737.0540045463058</v>
      </c>
      <c r="AM154" s="16">
        <f t="shared" si="33"/>
        <v>-3.2847037153755698E-2</v>
      </c>
      <c r="AN154" s="58">
        <f t="shared" si="33"/>
        <v>-3.2847037153755698E-2</v>
      </c>
      <c r="AP154" s="56">
        <f t="shared" si="34"/>
        <v>0</v>
      </c>
      <c r="AQ154" s="56">
        <f t="shared" si="28"/>
        <v>0</v>
      </c>
    </row>
    <row r="155" spans="1:43" x14ac:dyDescent="0.2">
      <c r="A155" s="156" t="s">
        <v>355</v>
      </c>
      <c r="B155" s="156" t="s">
        <v>356</v>
      </c>
      <c r="D155" s="68">
        <f>VLOOKUP(A155,'2016-17 disagg'!A155:BC363,43,FALSE)</f>
        <v>461158</v>
      </c>
      <c r="E155" s="73">
        <v>1490.6645674677895</v>
      </c>
      <c r="F155" s="55"/>
      <c r="G155" s="88">
        <v>478356.54220518359</v>
      </c>
      <c r="H155" s="81">
        <v>1523.5675970489158</v>
      </c>
      <c r="I155" s="90"/>
      <c r="J155" s="103">
        <f t="shared" si="29"/>
        <v>-3.5953396029454798E-2</v>
      </c>
      <c r="K155" s="126">
        <f t="shared" si="29"/>
        <v>-2.1596041846031588E-2</v>
      </c>
      <c r="L155" s="56">
        <v>477946</v>
      </c>
      <c r="M155" s="103">
        <v>2.6178188802019386E-2</v>
      </c>
      <c r="N155" s="97">
        <f>INDEX('Pace of change parameters'!$E$22:$I$22,1,$B$5)</f>
        <v>1.1119783131080974E-2</v>
      </c>
      <c r="O155" s="108">
        <f>MAX(IF(INDEX('Pace of change parameters'!$E$30:$I$30,1,$B$5)=1,(1+M155)*D155,D155),L155)</f>
        <v>477946</v>
      </c>
      <c r="P155" s="94">
        <f>IF(K155&lt;INDEX('Pace of change parameters'!$E$18:$I$18,1,$B$5),1,IF(K155&gt;INDEX('Pace of change parameters'!$E$19:$I$19,1,$B$5),0,(K155-INDEX('Pace of change parameters'!$E$19:$I$19,1,$B$5))/(INDEX('Pace of change parameters'!$E$18:$I$18,1,$B$5)-INDEX('Pace of change parameters'!$E$19:$I$19,1,$B$5))))</f>
        <v>0.70267848592355064</v>
      </c>
      <c r="Q155" s="57">
        <v>3.6076772974722227E-2</v>
      </c>
      <c r="R155" s="57">
        <v>2.0873112904823632E-2</v>
      </c>
      <c r="S155" s="9">
        <f>MAX(IF(INDEX('Pace of change parameters'!$E$31:$I$31,1,$B$5)=1,D155*(1+Q155),D155),L155)</f>
        <v>477946</v>
      </c>
      <c r="T155" s="103">
        <f>IF(Q155&lt;INDEX('Pace of change parameters'!$E$24:$I$24,1,$B$5),INDEX('Pace of change parameters'!$E$24:$I$24,1,$B$5),Q155)</f>
        <v>3.6076772974722227E-2</v>
      </c>
      <c r="U155" s="132">
        <v>2.0873112904823632E-2</v>
      </c>
      <c r="V155" s="117">
        <f t="shared" si="30"/>
        <v>477946</v>
      </c>
      <c r="W155" s="131">
        <f>IF(J155&gt;INDEX('Pace of change parameters'!$E$26:$I$26,1,$B$5),0,IF(J155&lt;INDEX('Pace of change parameters'!$E$25:$I$25,1,$B$5),1,(J155-INDEX('Pace of change parameters'!$E$26:$I$26,1,$B$5))/(INDEX('Pace of change parameters'!$E$25:$I$25,1,$B$5)-INDEX('Pace of change parameters'!$E$26:$I$26,1,$B$5))))</f>
        <v>1</v>
      </c>
      <c r="X155" s="132">
        <f>MIN(T155, T155+(INDEX('Pace of change parameters'!$E$27:$I$27,1,$B$5)-T155)*(1-W155))</f>
        <v>3.6076772974722227E-2</v>
      </c>
      <c r="Y155" s="132">
        <v>2.0873112904823632E-2</v>
      </c>
      <c r="Z155" s="108">
        <f t="shared" si="31"/>
        <v>477946</v>
      </c>
      <c r="AA155" s="97">
        <f>MIN(VLOOKUP(A155,'2016-17 disagg'!$A$12:$BC$220,54,FALSE),MIN(0,VLOOKUP(A155,'2016-17 disagg'!$A$12:$BC$220,54,FALSE),-2.5%))</f>
        <v>-2.850415587152566E-2</v>
      </c>
      <c r="AB155" s="99">
        <f t="shared" si="24"/>
        <v>477159.06803339667</v>
      </c>
      <c r="AC155" s="99">
        <f>MAX(IF(INDEX('Pace of change parameters'!$E$29:$I$29,1,$B$5)=1,MAX(AB155,Z155),Z155),L155)</f>
        <v>477946</v>
      </c>
      <c r="AD155" s="97">
        <f t="shared" si="25"/>
        <v>3.6404009038117024E-2</v>
      </c>
      <c r="AE155" s="146">
        <v>2.1195547021103822E-2</v>
      </c>
      <c r="AF155" s="56">
        <f t="shared" si="32"/>
        <v>477946</v>
      </c>
      <c r="AG155" s="56">
        <v>1522.2600184002467</v>
      </c>
      <c r="AH155" s="16">
        <f t="shared" si="26"/>
        <v>3.6404009038117024E-2</v>
      </c>
      <c r="AI155" s="16">
        <f t="shared" si="27"/>
        <v>2.1195547021104044E-2</v>
      </c>
      <c r="AJ155" s="56"/>
      <c r="AK155" s="56">
        <v>491159.1448561002</v>
      </c>
      <c r="AL155" s="56">
        <v>1564.3439402905278</v>
      </c>
      <c r="AM155" s="16">
        <f t="shared" si="33"/>
        <v>-2.6901962417846037E-2</v>
      </c>
      <c r="AN155" s="58">
        <f t="shared" si="33"/>
        <v>-2.6901962417846148E-2</v>
      </c>
      <c r="AP155" s="56">
        <f t="shared" si="34"/>
        <v>1</v>
      </c>
      <c r="AQ155" s="56">
        <f t="shared" si="28"/>
        <v>0</v>
      </c>
    </row>
    <row r="156" spans="1:43" x14ac:dyDescent="0.2">
      <c r="A156" s="156" t="s">
        <v>357</v>
      </c>
      <c r="B156" s="156" t="s">
        <v>358</v>
      </c>
      <c r="D156" s="68">
        <f>VLOOKUP(A156,'2016-17 disagg'!A156:BC364,43,FALSE)</f>
        <v>441426</v>
      </c>
      <c r="E156" s="73">
        <v>1421.0594578278237</v>
      </c>
      <c r="F156" s="55"/>
      <c r="G156" s="88">
        <v>456170.88472373853</v>
      </c>
      <c r="H156" s="81">
        <v>1446.9592383682734</v>
      </c>
      <c r="I156" s="90"/>
      <c r="J156" s="103">
        <f t="shared" si="29"/>
        <v>-3.2323160503038628E-2</v>
      </c>
      <c r="K156" s="126">
        <f t="shared" si="29"/>
        <v>-1.7899454147482841E-2</v>
      </c>
      <c r="L156" s="56">
        <v>456916</v>
      </c>
      <c r="M156" s="103">
        <v>2.6191028248157E-2</v>
      </c>
      <c r="N156" s="97">
        <f>INDEX('Pace of change parameters'!$E$22:$I$22,1,$B$5)</f>
        <v>1.1119783131080974E-2</v>
      </c>
      <c r="O156" s="108">
        <f>MAX(IF(INDEX('Pace of change parameters'!$E$30:$I$30,1,$B$5)=1,(1+M156)*D156,D156),L156)</f>
        <v>456916</v>
      </c>
      <c r="P156" s="94">
        <f>IF(K156&lt;INDEX('Pace of change parameters'!$E$18:$I$18,1,$B$5),1,IF(K156&gt;INDEX('Pace of change parameters'!$E$19:$I$19,1,$B$5),0,(K156-INDEX('Pace of change parameters'!$E$19:$I$19,1,$B$5))/(INDEX('Pace of change parameters'!$E$18:$I$18,1,$B$5)-INDEX('Pace of change parameters'!$E$19:$I$19,1,$B$5))))</f>
        <v>0.64881270933475044</v>
      </c>
      <c r="Q156" s="57">
        <v>3.5330923235534328E-2</v>
      </c>
      <c r="R156" s="57">
        <v>2.0125444243958235E-2</v>
      </c>
      <c r="S156" s="9">
        <f>MAX(IF(INDEX('Pace of change parameters'!$E$31:$I$31,1,$B$5)=1,D156*(1+Q156),D156),L156)</f>
        <v>457021.98812016897</v>
      </c>
      <c r="T156" s="103">
        <f>IF(Q156&lt;INDEX('Pace of change parameters'!$E$24:$I$24,1,$B$5),INDEX('Pace of change parameters'!$E$24:$I$24,1,$B$5),Q156)</f>
        <v>3.5330923235534328E-2</v>
      </c>
      <c r="U156" s="132">
        <v>2.0125444243958235E-2</v>
      </c>
      <c r="V156" s="117">
        <f t="shared" si="30"/>
        <v>457021.98812016897</v>
      </c>
      <c r="W156" s="131">
        <f>IF(J156&gt;INDEX('Pace of change parameters'!$E$26:$I$26,1,$B$5),0,IF(J156&lt;INDEX('Pace of change parameters'!$E$25:$I$25,1,$B$5),1,(J156-INDEX('Pace of change parameters'!$E$26:$I$26,1,$B$5))/(INDEX('Pace of change parameters'!$E$25:$I$25,1,$B$5)-INDEX('Pace of change parameters'!$E$26:$I$26,1,$B$5))))</f>
        <v>1</v>
      </c>
      <c r="X156" s="132">
        <f>MIN(T156, T156+(INDEX('Pace of change parameters'!$E$27:$I$27,1,$B$5)-T156)*(1-W156))</f>
        <v>3.5330923235534328E-2</v>
      </c>
      <c r="Y156" s="132">
        <v>2.0125444243958235E-2</v>
      </c>
      <c r="Z156" s="108">
        <f t="shared" si="31"/>
        <v>457021.98812016897</v>
      </c>
      <c r="AA156" s="97">
        <f>MIN(VLOOKUP(A156,'2016-17 disagg'!$A$12:$BC$220,54,FALSE),MIN(0,VLOOKUP(A156,'2016-17 disagg'!$A$12:$BC$220,54,FALSE),-2.5%))</f>
        <v>-2.5000000000000001E-2</v>
      </c>
      <c r="AB156" s="99">
        <f t="shared" si="24"/>
        <v>456606.99353354325</v>
      </c>
      <c r="AC156" s="99">
        <f>MAX(IF(INDEX('Pace of change parameters'!$E$29:$I$29,1,$B$5)=1,MAX(AB156,Z156),Z156),L156)</f>
        <v>457021.98812016897</v>
      </c>
      <c r="AD156" s="97">
        <f t="shared" si="25"/>
        <v>3.5330923235534328E-2</v>
      </c>
      <c r="AE156" s="146">
        <v>2.0125444243958235E-2</v>
      </c>
      <c r="AF156" s="56">
        <f t="shared" si="32"/>
        <v>457021.98812016897</v>
      </c>
      <c r="AG156" s="56">
        <v>1449.6589107136872</v>
      </c>
      <c r="AH156" s="16">
        <f t="shared" si="26"/>
        <v>3.5330923235534328E-2</v>
      </c>
      <c r="AI156" s="16">
        <f t="shared" si="27"/>
        <v>2.0125444243958235E-2</v>
      </c>
      <c r="AJ156" s="56"/>
      <c r="AK156" s="56">
        <v>468314.86516260845</v>
      </c>
      <c r="AL156" s="56">
        <v>1485.4795501089668</v>
      </c>
      <c r="AM156" s="16">
        <f t="shared" si="33"/>
        <v>-2.4113855618310032E-2</v>
      </c>
      <c r="AN156" s="58">
        <f t="shared" si="33"/>
        <v>-2.4113855618309921E-2</v>
      </c>
      <c r="AP156" s="56">
        <f t="shared" si="34"/>
        <v>0</v>
      </c>
      <c r="AQ156" s="56">
        <f t="shared" si="28"/>
        <v>0</v>
      </c>
    </row>
    <row r="157" spans="1:43" x14ac:dyDescent="0.2">
      <c r="A157" s="156" t="s">
        <v>359</v>
      </c>
      <c r="B157" s="156" t="s">
        <v>360</v>
      </c>
      <c r="D157" s="68">
        <f>VLOOKUP(A157,'2016-17 disagg'!A157:BC365,43,FALSE)</f>
        <v>447201</v>
      </c>
      <c r="E157" s="73">
        <v>1874.5997996140516</v>
      </c>
      <c r="F157" s="55"/>
      <c r="G157" s="88">
        <v>436522.65223753784</v>
      </c>
      <c r="H157" s="81">
        <v>1801.2746806455436</v>
      </c>
      <c r="I157" s="90"/>
      <c r="J157" s="103">
        <f t="shared" si="29"/>
        <v>2.4462299282126176E-2</v>
      </c>
      <c r="K157" s="126">
        <f t="shared" si="29"/>
        <v>4.0707350054034919E-2</v>
      </c>
      <c r="L157" s="56">
        <v>464690</v>
      </c>
      <c r="M157" s="103">
        <v>2.7153259643545757E-2</v>
      </c>
      <c r="N157" s="97">
        <f>INDEX('Pace of change parameters'!$E$22:$I$22,1,$B$5)</f>
        <v>1.1119783131080974E-2</v>
      </c>
      <c r="O157" s="108">
        <f>MAX(IF(INDEX('Pace of change parameters'!$E$30:$I$30,1,$B$5)=1,(1+M157)*D157,D157),L157)</f>
        <v>464690</v>
      </c>
      <c r="P157" s="94">
        <f>IF(K157&lt;INDEX('Pace of change parameters'!$E$18:$I$18,1,$B$5),1,IF(K157&gt;INDEX('Pace of change parameters'!$E$19:$I$19,1,$B$5),0,(K157-INDEX('Pace of change parameters'!$E$19:$I$19,1,$B$5))/(INDEX('Pace of change parameters'!$E$18:$I$18,1,$B$5)-INDEX('Pace of change parameters'!$E$19:$I$19,1,$B$5))))</f>
        <v>0</v>
      </c>
      <c r="Q157" s="57">
        <v>2.7153259643545757E-2</v>
      </c>
      <c r="R157" s="57">
        <v>1.1119783131080974E-2</v>
      </c>
      <c r="S157" s="9">
        <f>MAX(IF(INDEX('Pace of change parameters'!$E$31:$I$31,1,$B$5)=1,D157*(1+Q157),D157),L157)</f>
        <v>464690</v>
      </c>
      <c r="T157" s="103">
        <f>IF(Q157&lt;INDEX('Pace of change parameters'!$E$24:$I$24,1,$B$5),INDEX('Pace of change parameters'!$E$24:$I$24,1,$B$5),Q157)</f>
        <v>2.7153259643545757E-2</v>
      </c>
      <c r="U157" s="132">
        <v>1.1119783131080974E-2</v>
      </c>
      <c r="V157" s="117">
        <f t="shared" si="30"/>
        <v>464690</v>
      </c>
      <c r="W157" s="131">
        <f>IF(J157&gt;INDEX('Pace of change parameters'!$E$26:$I$26,1,$B$5),0,IF(J157&lt;INDEX('Pace of change parameters'!$E$25:$I$25,1,$B$5),1,(J157-INDEX('Pace of change parameters'!$E$26:$I$26,1,$B$5))/(INDEX('Pace of change parameters'!$E$25:$I$25,1,$B$5)-INDEX('Pace of change parameters'!$E$26:$I$26,1,$B$5))))</f>
        <v>1</v>
      </c>
      <c r="X157" s="132">
        <f>MIN(T157, T157+(INDEX('Pace of change parameters'!$E$27:$I$27,1,$B$5)-T157)*(1-W157))</f>
        <v>2.7153259643545757E-2</v>
      </c>
      <c r="Y157" s="132">
        <v>1.1119783131080974E-2</v>
      </c>
      <c r="Z157" s="108">
        <f t="shared" si="31"/>
        <v>464690</v>
      </c>
      <c r="AA157" s="97">
        <f>MIN(VLOOKUP(A157,'2016-17 disagg'!$A$12:$BC$220,54,FALSE),MIN(0,VLOOKUP(A157,'2016-17 disagg'!$A$12:$BC$220,54,FALSE),-2.5%))</f>
        <v>-2.5000000000000001E-2</v>
      </c>
      <c r="AB157" s="99">
        <f t="shared" si="24"/>
        <v>437381.80674256617</v>
      </c>
      <c r="AC157" s="99">
        <f>MAX(IF(INDEX('Pace of change parameters'!$E$29:$I$29,1,$B$5)=1,MAX(AB157,Z157),Z157),L157)</f>
        <v>464690</v>
      </c>
      <c r="AD157" s="97">
        <f t="shared" si="25"/>
        <v>3.9107694303009088E-2</v>
      </c>
      <c r="AE157" s="146">
        <v>2.2887613556431541E-2</v>
      </c>
      <c r="AF157" s="56">
        <f t="shared" si="32"/>
        <v>464690</v>
      </c>
      <c r="AG157" s="56">
        <v>1917.5049154005819</v>
      </c>
      <c r="AH157" s="16">
        <f t="shared" si="26"/>
        <v>3.9107694303009088E-2</v>
      </c>
      <c r="AI157" s="16">
        <f t="shared" si="27"/>
        <v>2.2887613556431541E-2</v>
      </c>
      <c r="AJ157" s="56"/>
      <c r="AK157" s="56">
        <v>448596.72486417042</v>
      </c>
      <c r="AL157" s="56">
        <v>1851.0973443793696</v>
      </c>
      <c r="AM157" s="16">
        <f t="shared" si="33"/>
        <v>3.5874704927242762E-2</v>
      </c>
      <c r="AN157" s="58">
        <f t="shared" si="33"/>
        <v>3.587470492724254E-2</v>
      </c>
      <c r="AP157" s="56">
        <f t="shared" si="34"/>
        <v>1</v>
      </c>
      <c r="AQ157" s="56">
        <f t="shared" si="28"/>
        <v>0</v>
      </c>
    </row>
    <row r="158" spans="1:43" x14ac:dyDescent="0.2">
      <c r="A158" s="156" t="s">
        <v>361</v>
      </c>
      <c r="B158" s="156" t="s">
        <v>362</v>
      </c>
      <c r="D158" s="68">
        <f>VLOOKUP(A158,'2016-17 disagg'!A158:BC366,43,FALSE)</f>
        <v>291169</v>
      </c>
      <c r="E158" s="73">
        <v>1413.590845940322</v>
      </c>
      <c r="F158" s="55"/>
      <c r="G158" s="88">
        <v>294294.70177530398</v>
      </c>
      <c r="H158" s="81">
        <v>1407.0649762363962</v>
      </c>
      <c r="I158" s="90"/>
      <c r="J158" s="103">
        <f t="shared" si="29"/>
        <v>-1.0620992346951907E-2</v>
      </c>
      <c r="K158" s="126">
        <f t="shared" si="29"/>
        <v>4.6379305960562167E-3</v>
      </c>
      <c r="L158" s="56">
        <v>300408</v>
      </c>
      <c r="M158" s="103">
        <v>2.671400813242486E-2</v>
      </c>
      <c r="N158" s="97">
        <f>INDEX('Pace of change parameters'!$E$22:$I$22,1,$B$5)</f>
        <v>1.1119783131080974E-2</v>
      </c>
      <c r="O158" s="108">
        <f>MAX(IF(INDEX('Pace of change parameters'!$E$30:$I$30,1,$B$5)=1,(1+M158)*D158,D158),L158)</f>
        <v>300408</v>
      </c>
      <c r="P158" s="94">
        <f>IF(K158&lt;INDEX('Pace of change parameters'!$E$18:$I$18,1,$B$5),1,IF(K158&gt;INDEX('Pace of change parameters'!$E$19:$I$19,1,$B$5),0,(K158-INDEX('Pace of change parameters'!$E$19:$I$19,1,$B$5))/(INDEX('Pace of change parameters'!$E$18:$I$18,1,$B$5)-INDEX('Pace of change parameters'!$E$19:$I$19,1,$B$5))))</f>
        <v>0.32040342204314504</v>
      </c>
      <c r="Q158" s="57">
        <v>3.1229866134090623E-2</v>
      </c>
      <c r="R158" s="57">
        <v>1.5567052114583646E-2</v>
      </c>
      <c r="S158" s="9">
        <f>MAX(IF(INDEX('Pace of change parameters'!$E$31:$I$31,1,$B$5)=1,D158*(1+Q158),D158),L158)</f>
        <v>300408</v>
      </c>
      <c r="T158" s="103">
        <f>IF(Q158&lt;INDEX('Pace of change parameters'!$E$24:$I$24,1,$B$5),INDEX('Pace of change parameters'!$E$24:$I$24,1,$B$5),Q158)</f>
        <v>3.1229866134090623E-2</v>
      </c>
      <c r="U158" s="132">
        <v>1.5567052114583646E-2</v>
      </c>
      <c r="V158" s="117">
        <f t="shared" si="30"/>
        <v>300408</v>
      </c>
      <c r="W158" s="131">
        <f>IF(J158&gt;INDEX('Pace of change parameters'!$E$26:$I$26,1,$B$5),0,IF(J158&lt;INDEX('Pace of change parameters'!$E$25:$I$25,1,$B$5),1,(J158-INDEX('Pace of change parameters'!$E$26:$I$26,1,$B$5))/(INDEX('Pace of change parameters'!$E$25:$I$25,1,$B$5)-INDEX('Pace of change parameters'!$E$26:$I$26,1,$B$5))))</f>
        <v>1</v>
      </c>
      <c r="X158" s="132">
        <f>MIN(T158, T158+(INDEX('Pace of change parameters'!$E$27:$I$27,1,$B$5)-T158)*(1-W158))</f>
        <v>3.1229866134090623E-2</v>
      </c>
      <c r="Y158" s="132">
        <v>1.5567052114583646E-2</v>
      </c>
      <c r="Z158" s="108">
        <f t="shared" si="31"/>
        <v>300408</v>
      </c>
      <c r="AA158" s="97">
        <f>MIN(VLOOKUP(A158,'2016-17 disagg'!$A$12:$BC$220,54,FALSE),MIN(0,VLOOKUP(A158,'2016-17 disagg'!$A$12:$BC$220,54,FALSE),-2.5%))</f>
        <v>-2.5000000000000001E-2</v>
      </c>
      <c r="AB158" s="99">
        <f t="shared" si="24"/>
        <v>294621.66834998451</v>
      </c>
      <c r="AC158" s="99">
        <f>MAX(IF(INDEX('Pace of change parameters'!$E$29:$I$29,1,$B$5)=1,MAX(AB158,Z158),Z158),L158)</f>
        <v>300408</v>
      </c>
      <c r="AD158" s="97">
        <f t="shared" si="25"/>
        <v>3.1730713091022711E-2</v>
      </c>
      <c r="AE158" s="146">
        <v>1.6060291967613605E-2</v>
      </c>
      <c r="AF158" s="56">
        <f t="shared" si="32"/>
        <v>300408</v>
      </c>
      <c r="AG158" s="56">
        <v>1436.2935276488695</v>
      </c>
      <c r="AH158" s="16">
        <f t="shared" si="26"/>
        <v>3.1730713091022711E-2</v>
      </c>
      <c r="AI158" s="16">
        <f t="shared" si="27"/>
        <v>1.6060291967613605E-2</v>
      </c>
      <c r="AJ158" s="56"/>
      <c r="AK158" s="56">
        <v>302176.07010254823</v>
      </c>
      <c r="AL158" s="56">
        <v>1444.7469231800121</v>
      </c>
      <c r="AM158" s="16">
        <f t="shared" si="33"/>
        <v>-5.851125477766006E-3</v>
      </c>
      <c r="AN158" s="58">
        <f t="shared" si="33"/>
        <v>-5.851125477766006E-3</v>
      </c>
      <c r="AP158" s="56">
        <f t="shared" si="34"/>
        <v>1</v>
      </c>
      <c r="AQ158" s="56">
        <f t="shared" si="28"/>
        <v>0</v>
      </c>
    </row>
    <row r="159" spans="1:43" x14ac:dyDescent="0.2">
      <c r="A159" s="156" t="s">
        <v>363</v>
      </c>
      <c r="B159" s="156" t="s">
        <v>364</v>
      </c>
      <c r="D159" s="68">
        <f>VLOOKUP(A159,'2016-17 disagg'!A159:BC367,43,FALSE)</f>
        <v>659772</v>
      </c>
      <c r="E159" s="73">
        <v>1698.4599708988089</v>
      </c>
      <c r="F159" s="55"/>
      <c r="G159" s="88">
        <v>665492.05204488477</v>
      </c>
      <c r="H159" s="81">
        <v>1694.8945152696474</v>
      </c>
      <c r="I159" s="90"/>
      <c r="J159" s="103">
        <f t="shared" si="29"/>
        <v>-8.5952221777984006E-3</v>
      </c>
      <c r="K159" s="126">
        <f t="shared" si="29"/>
        <v>2.1036445613811239E-3</v>
      </c>
      <c r="L159" s="56">
        <v>678892</v>
      </c>
      <c r="M159" s="103">
        <v>2.2031406777711871E-2</v>
      </c>
      <c r="N159" s="97">
        <f>INDEX('Pace of change parameters'!$E$22:$I$22,1,$B$5)</f>
        <v>1.1119783131080974E-2</v>
      </c>
      <c r="O159" s="108">
        <f>MAX(IF(INDEX('Pace of change parameters'!$E$30:$I$30,1,$B$5)=1,(1+M159)*D159,D159),L159)</f>
        <v>678892</v>
      </c>
      <c r="P159" s="94">
        <f>IF(K159&lt;INDEX('Pace of change parameters'!$E$18:$I$18,1,$B$5),1,IF(K159&gt;INDEX('Pace of change parameters'!$E$19:$I$19,1,$B$5),0,(K159-INDEX('Pace of change parameters'!$E$19:$I$19,1,$B$5))/(INDEX('Pace of change parameters'!$E$18:$I$18,1,$B$5)-INDEX('Pace of change parameters'!$E$19:$I$19,1,$B$5))))</f>
        <v>0.35733242156600725</v>
      </c>
      <c r="Q159" s="57">
        <v>2.7044783131611849E-2</v>
      </c>
      <c r="R159" s="57">
        <v>1.6079634636713136E-2</v>
      </c>
      <c r="S159" s="9">
        <f>MAX(IF(INDEX('Pace of change parameters'!$E$31:$I$31,1,$B$5)=1,D159*(1+Q159),D159),L159)</f>
        <v>678892</v>
      </c>
      <c r="T159" s="103">
        <f>IF(Q159&lt;INDEX('Pace of change parameters'!$E$24:$I$24,1,$B$5),INDEX('Pace of change parameters'!$E$24:$I$24,1,$B$5),Q159)</f>
        <v>2.7044783131611849E-2</v>
      </c>
      <c r="U159" s="132">
        <v>1.6079634636713136E-2</v>
      </c>
      <c r="V159" s="117">
        <f t="shared" si="30"/>
        <v>678892</v>
      </c>
      <c r="W159" s="131">
        <f>IF(J159&gt;INDEX('Pace of change parameters'!$E$26:$I$26,1,$B$5),0,IF(J159&lt;INDEX('Pace of change parameters'!$E$25:$I$25,1,$B$5),1,(J159-INDEX('Pace of change parameters'!$E$26:$I$26,1,$B$5))/(INDEX('Pace of change parameters'!$E$25:$I$25,1,$B$5)-INDEX('Pace of change parameters'!$E$26:$I$26,1,$B$5))))</f>
        <v>1</v>
      </c>
      <c r="X159" s="132">
        <f>MIN(T159, T159+(INDEX('Pace of change parameters'!$E$27:$I$27,1,$B$5)-T159)*(1-W159))</f>
        <v>2.7044783131611849E-2</v>
      </c>
      <c r="Y159" s="132">
        <v>1.6079634636713136E-2</v>
      </c>
      <c r="Z159" s="108">
        <f t="shared" si="31"/>
        <v>678892</v>
      </c>
      <c r="AA159" s="97">
        <f>MIN(VLOOKUP(A159,'2016-17 disagg'!$A$12:$BC$220,54,FALSE),MIN(0,VLOOKUP(A159,'2016-17 disagg'!$A$12:$BC$220,54,FALSE),-2.5%))</f>
        <v>-2.5000000000000001E-2</v>
      </c>
      <c r="AB159" s="99">
        <f t="shared" si="24"/>
        <v>667205.5955586182</v>
      </c>
      <c r="AC159" s="99">
        <f>MAX(IF(INDEX('Pace of change parameters'!$E$29:$I$29,1,$B$5)=1,MAX(AB159,Z159),Z159),L159)</f>
        <v>678892</v>
      </c>
      <c r="AD159" s="97">
        <f t="shared" si="25"/>
        <v>2.8979708141600335E-2</v>
      </c>
      <c r="AE159" s="146">
        <v>1.7993901599059114E-2</v>
      </c>
      <c r="AF159" s="56">
        <f t="shared" si="32"/>
        <v>678892</v>
      </c>
      <c r="AG159" s="56">
        <v>1729.0218924851031</v>
      </c>
      <c r="AH159" s="16">
        <f t="shared" si="26"/>
        <v>2.8979708141600335E-2</v>
      </c>
      <c r="AI159" s="16">
        <f t="shared" si="27"/>
        <v>1.7993901599059114E-2</v>
      </c>
      <c r="AJ159" s="56"/>
      <c r="AK159" s="56">
        <v>684313.43134217255</v>
      </c>
      <c r="AL159" s="56">
        <v>1742.8293515201501</v>
      </c>
      <c r="AM159" s="16">
        <f t="shared" si="33"/>
        <v>-7.9224388911076637E-3</v>
      </c>
      <c r="AN159" s="58">
        <f t="shared" si="33"/>
        <v>-7.9224388911075527E-3</v>
      </c>
      <c r="AP159" s="56">
        <f t="shared" si="34"/>
        <v>1</v>
      </c>
      <c r="AQ159" s="56">
        <f t="shared" si="28"/>
        <v>0</v>
      </c>
    </row>
    <row r="160" spans="1:43" x14ac:dyDescent="0.2">
      <c r="A160" s="156" t="s">
        <v>365</v>
      </c>
      <c r="B160" s="156" t="s">
        <v>366</v>
      </c>
      <c r="D160" s="68">
        <f>VLOOKUP(A160,'2016-17 disagg'!A160:BC368,43,FALSE)</f>
        <v>554889</v>
      </c>
      <c r="E160" s="73">
        <v>1748.3690585356007</v>
      </c>
      <c r="F160" s="55"/>
      <c r="G160" s="88">
        <v>552004.08598171314</v>
      </c>
      <c r="H160" s="81">
        <v>1715.3286398546863</v>
      </c>
      <c r="I160" s="90"/>
      <c r="J160" s="103">
        <f t="shared" si="29"/>
        <v>5.2262548259152108E-3</v>
      </c>
      <c r="K160" s="126">
        <f t="shared" si="29"/>
        <v>1.9261859164033668E-2</v>
      </c>
      <c r="L160" s="56">
        <v>573644</v>
      </c>
      <c r="M160" s="103">
        <v>2.5237676636488793E-2</v>
      </c>
      <c r="N160" s="97">
        <f>INDEX('Pace of change parameters'!$E$22:$I$22,1,$B$5)</f>
        <v>1.1119783131080974E-2</v>
      </c>
      <c r="O160" s="108">
        <f>MAX(IF(INDEX('Pace of change parameters'!$E$30:$I$30,1,$B$5)=1,(1+M160)*D160,D160),L160)</f>
        <v>573644</v>
      </c>
      <c r="P160" s="94">
        <f>IF(K160&lt;INDEX('Pace of change parameters'!$E$18:$I$18,1,$B$5),1,IF(K160&gt;INDEX('Pace of change parameters'!$E$19:$I$19,1,$B$5),0,(K160-INDEX('Pace of change parameters'!$E$19:$I$19,1,$B$5))/(INDEX('Pace of change parameters'!$E$18:$I$18,1,$B$5)-INDEX('Pace of change parameters'!$E$19:$I$19,1,$B$5))))</f>
        <v>0.10730709285217165</v>
      </c>
      <c r="Q160" s="57">
        <v>2.6747918939424187E-2</v>
      </c>
      <c r="R160" s="57">
        <v>1.2609228851442333E-2</v>
      </c>
      <c r="S160" s="9">
        <f>MAX(IF(INDEX('Pace of change parameters'!$E$31:$I$31,1,$B$5)=1,D160*(1+Q160),D160),L160)</f>
        <v>573644</v>
      </c>
      <c r="T160" s="103">
        <f>IF(Q160&lt;INDEX('Pace of change parameters'!$E$24:$I$24,1,$B$5),INDEX('Pace of change parameters'!$E$24:$I$24,1,$B$5),Q160)</f>
        <v>2.6747918939424187E-2</v>
      </c>
      <c r="U160" s="132">
        <v>1.2609228851442333E-2</v>
      </c>
      <c r="V160" s="117">
        <f t="shared" si="30"/>
        <v>573644</v>
      </c>
      <c r="W160" s="131">
        <f>IF(J160&gt;INDEX('Pace of change parameters'!$E$26:$I$26,1,$B$5),0,IF(J160&lt;INDEX('Pace of change parameters'!$E$25:$I$25,1,$B$5),1,(J160-INDEX('Pace of change parameters'!$E$26:$I$26,1,$B$5))/(INDEX('Pace of change parameters'!$E$25:$I$25,1,$B$5)-INDEX('Pace of change parameters'!$E$26:$I$26,1,$B$5))))</f>
        <v>1</v>
      </c>
      <c r="X160" s="132">
        <f>MIN(T160, T160+(INDEX('Pace of change parameters'!$E$27:$I$27,1,$B$5)-T160)*(1-W160))</f>
        <v>2.6747918939424187E-2</v>
      </c>
      <c r="Y160" s="132">
        <v>1.2609228851442333E-2</v>
      </c>
      <c r="Z160" s="108">
        <f t="shared" si="31"/>
        <v>573644</v>
      </c>
      <c r="AA160" s="97">
        <f>MIN(VLOOKUP(A160,'2016-17 disagg'!$A$12:$BC$220,54,FALSE),MIN(0,VLOOKUP(A160,'2016-17 disagg'!$A$12:$BC$220,54,FALSE),-2.5%))</f>
        <v>-2.5000000000000001E-2</v>
      </c>
      <c r="AB160" s="99">
        <f t="shared" si="24"/>
        <v>553008.13871348707</v>
      </c>
      <c r="AC160" s="99">
        <f>MAX(IF(INDEX('Pace of change parameters'!$E$29:$I$29,1,$B$5)=1,MAX(AB160,Z160),Z160),L160)</f>
        <v>573644</v>
      </c>
      <c r="AD160" s="97">
        <f t="shared" si="25"/>
        <v>3.3799552703333458E-2</v>
      </c>
      <c r="AE160" s="146">
        <v>1.9563759068743192E-2</v>
      </c>
      <c r="AF160" s="56">
        <f t="shared" si="32"/>
        <v>573644</v>
      </c>
      <c r="AG160" s="56">
        <v>1782.5737295600368</v>
      </c>
      <c r="AH160" s="16">
        <f t="shared" si="26"/>
        <v>3.3799552703333458E-2</v>
      </c>
      <c r="AI160" s="16">
        <f t="shared" si="27"/>
        <v>1.9563759068743192E-2</v>
      </c>
      <c r="AJ160" s="56"/>
      <c r="AK160" s="56">
        <v>567187.83457793551</v>
      </c>
      <c r="AL160" s="56">
        <v>1762.5114768823025</v>
      </c>
      <c r="AM160" s="16">
        <f t="shared" si="33"/>
        <v>1.1382764277496848E-2</v>
      </c>
      <c r="AN160" s="58">
        <f t="shared" si="33"/>
        <v>1.1382764277496848E-2</v>
      </c>
      <c r="AP160" s="56">
        <f t="shared" si="34"/>
        <v>1</v>
      </c>
      <c r="AQ160" s="56">
        <f t="shared" si="28"/>
        <v>0</v>
      </c>
    </row>
    <row r="161" spans="1:43" x14ac:dyDescent="0.2">
      <c r="A161" s="156" t="s">
        <v>367</v>
      </c>
      <c r="B161" s="156" t="s">
        <v>368</v>
      </c>
      <c r="D161" s="68">
        <f>VLOOKUP(A161,'2016-17 disagg'!A161:BC369,43,FALSE)</f>
        <v>321937</v>
      </c>
      <c r="E161" s="73">
        <v>1439.3486170714043</v>
      </c>
      <c r="F161" s="55"/>
      <c r="G161" s="88">
        <v>322815.24988827854</v>
      </c>
      <c r="H161" s="81">
        <v>1425.0334841819215</v>
      </c>
      <c r="I161" s="90"/>
      <c r="J161" s="103">
        <f t="shared" si="29"/>
        <v>-2.7205960331256884E-3</v>
      </c>
      <c r="K161" s="126">
        <f t="shared" si="29"/>
        <v>1.0045471245681448E-2</v>
      </c>
      <c r="L161" s="56">
        <v>331157</v>
      </c>
      <c r="M161" s="103">
        <v>2.4063019627332816E-2</v>
      </c>
      <c r="N161" s="97">
        <f>INDEX('Pace of change parameters'!$E$22:$I$22,1,$B$5)</f>
        <v>1.1119783131080974E-2</v>
      </c>
      <c r="O161" s="108">
        <f>MAX(IF(INDEX('Pace of change parameters'!$E$30:$I$30,1,$B$5)=1,(1+M161)*D161,D161),L161)</f>
        <v>331157</v>
      </c>
      <c r="P161" s="94">
        <f>IF(K161&lt;INDEX('Pace of change parameters'!$E$18:$I$18,1,$B$5),1,IF(K161&gt;INDEX('Pace of change parameters'!$E$19:$I$19,1,$B$5),0,(K161-INDEX('Pace of change parameters'!$E$19:$I$19,1,$B$5))/(INDEX('Pace of change parameters'!$E$18:$I$18,1,$B$5)-INDEX('Pace of change parameters'!$E$19:$I$19,1,$B$5))))</f>
        <v>0.24160605531438512</v>
      </c>
      <c r="Q161" s="57">
        <v>2.7459492436681776E-2</v>
      </c>
      <c r="R161" s="57">
        <v>1.4473327575688755E-2</v>
      </c>
      <c r="S161" s="9">
        <f>MAX(IF(INDEX('Pace of change parameters'!$E$31:$I$31,1,$B$5)=1,D161*(1+Q161),D161),L161)</f>
        <v>331157</v>
      </c>
      <c r="T161" s="103">
        <f>IF(Q161&lt;INDEX('Pace of change parameters'!$E$24:$I$24,1,$B$5),INDEX('Pace of change parameters'!$E$24:$I$24,1,$B$5),Q161)</f>
        <v>2.7459492436681776E-2</v>
      </c>
      <c r="U161" s="132">
        <v>1.4473327575688755E-2</v>
      </c>
      <c r="V161" s="117">
        <f t="shared" si="30"/>
        <v>331157</v>
      </c>
      <c r="W161" s="131">
        <f>IF(J161&gt;INDEX('Pace of change parameters'!$E$26:$I$26,1,$B$5),0,IF(J161&lt;INDEX('Pace of change parameters'!$E$25:$I$25,1,$B$5),1,(J161-INDEX('Pace of change parameters'!$E$26:$I$26,1,$B$5))/(INDEX('Pace of change parameters'!$E$25:$I$25,1,$B$5)-INDEX('Pace of change parameters'!$E$26:$I$26,1,$B$5))))</f>
        <v>1</v>
      </c>
      <c r="X161" s="132">
        <f>MIN(T161, T161+(INDEX('Pace of change parameters'!$E$27:$I$27,1,$B$5)-T161)*(1-W161))</f>
        <v>2.7459492436681776E-2</v>
      </c>
      <c r="Y161" s="132">
        <v>1.4473327575688755E-2</v>
      </c>
      <c r="Z161" s="108">
        <f t="shared" si="31"/>
        <v>331157</v>
      </c>
      <c r="AA161" s="97">
        <f>MIN(VLOOKUP(A161,'2016-17 disagg'!$A$12:$BC$220,54,FALSE),MIN(0,VLOOKUP(A161,'2016-17 disagg'!$A$12:$BC$220,54,FALSE),-2.5%))</f>
        <v>-2.5000000000000001E-2</v>
      </c>
      <c r="AB161" s="99">
        <f t="shared" si="24"/>
        <v>323234.50077458459</v>
      </c>
      <c r="AC161" s="99">
        <f>MAX(IF(INDEX('Pace of change parameters'!$E$29:$I$29,1,$B$5)=1,MAX(AB161,Z161),Z161),L161)</f>
        <v>331157</v>
      </c>
      <c r="AD161" s="97">
        <f t="shared" si="25"/>
        <v>2.8639143683391488E-2</v>
      </c>
      <c r="AE161" s="146">
        <v>1.5638069090500473E-2</v>
      </c>
      <c r="AF161" s="56">
        <f t="shared" si="32"/>
        <v>331157</v>
      </c>
      <c r="AG161" s="56">
        <v>1461.8572501904835</v>
      </c>
      <c r="AH161" s="16">
        <f t="shared" si="26"/>
        <v>2.8639143683391488E-2</v>
      </c>
      <c r="AI161" s="16">
        <f t="shared" si="27"/>
        <v>1.5638069090500695E-2</v>
      </c>
      <c r="AJ161" s="56"/>
      <c r="AK161" s="56">
        <v>331522.56489700987</v>
      </c>
      <c r="AL161" s="56">
        <v>1463.4709974315472</v>
      </c>
      <c r="AM161" s="16">
        <f t="shared" si="33"/>
        <v>-1.102684811585708E-3</v>
      </c>
      <c r="AN161" s="58">
        <f t="shared" si="33"/>
        <v>-1.1026848115855969E-3</v>
      </c>
      <c r="AP161" s="56">
        <f t="shared" si="34"/>
        <v>1</v>
      </c>
      <c r="AQ161" s="56">
        <f t="shared" si="28"/>
        <v>0</v>
      </c>
    </row>
    <row r="162" spans="1:43" x14ac:dyDescent="0.2">
      <c r="A162" s="156" t="s">
        <v>369</v>
      </c>
      <c r="B162" s="156" t="s">
        <v>370</v>
      </c>
      <c r="D162" s="68">
        <f>VLOOKUP(A162,'2016-17 disagg'!A162:BC370,43,FALSE)</f>
        <v>562436</v>
      </c>
      <c r="E162" s="73">
        <v>1489.1003799020571</v>
      </c>
      <c r="F162" s="55"/>
      <c r="G162" s="88">
        <v>550963.91043957381</v>
      </c>
      <c r="H162" s="81">
        <v>1436.8229572570849</v>
      </c>
      <c r="I162" s="90"/>
      <c r="J162" s="103">
        <f t="shared" si="29"/>
        <v>2.0821853016240954E-2</v>
      </c>
      <c r="K162" s="126">
        <f t="shared" si="29"/>
        <v>3.6384039091893694E-2</v>
      </c>
      <c r="L162" s="56">
        <v>580139</v>
      </c>
      <c r="M162" s="103">
        <v>2.6534063461548296E-2</v>
      </c>
      <c r="N162" s="97">
        <f>INDEX('Pace of change parameters'!$E$22:$I$22,1,$B$5)</f>
        <v>1.1119783131080974E-2</v>
      </c>
      <c r="O162" s="108">
        <f>MAX(IF(INDEX('Pace of change parameters'!$E$30:$I$30,1,$B$5)=1,(1+M162)*D162,D162),L162)</f>
        <v>580139</v>
      </c>
      <c r="P162" s="94">
        <f>IF(K162&lt;INDEX('Pace of change parameters'!$E$18:$I$18,1,$B$5),1,IF(K162&gt;INDEX('Pace of change parameters'!$E$19:$I$19,1,$B$5),0,(K162-INDEX('Pace of change parameters'!$E$19:$I$19,1,$B$5))/(INDEX('Pace of change parameters'!$E$18:$I$18,1,$B$5)-INDEX('Pace of change parameters'!$E$19:$I$19,1,$B$5))))</f>
        <v>0</v>
      </c>
      <c r="Q162" s="57">
        <v>2.6534063461548296E-2</v>
      </c>
      <c r="R162" s="57">
        <v>1.1119783131080974E-2</v>
      </c>
      <c r="S162" s="9">
        <f>MAX(IF(INDEX('Pace of change parameters'!$E$31:$I$31,1,$B$5)=1,D162*(1+Q162),D162),L162)</f>
        <v>580139</v>
      </c>
      <c r="T162" s="103">
        <f>IF(Q162&lt;INDEX('Pace of change parameters'!$E$24:$I$24,1,$B$5),INDEX('Pace of change parameters'!$E$24:$I$24,1,$B$5),Q162)</f>
        <v>2.6534063461548296E-2</v>
      </c>
      <c r="U162" s="132">
        <v>1.1119783131080974E-2</v>
      </c>
      <c r="V162" s="117">
        <f t="shared" si="30"/>
        <v>580139</v>
      </c>
      <c r="W162" s="131">
        <f>IF(J162&gt;INDEX('Pace of change parameters'!$E$26:$I$26,1,$B$5),0,IF(J162&lt;INDEX('Pace of change parameters'!$E$25:$I$25,1,$B$5),1,(J162-INDEX('Pace of change parameters'!$E$26:$I$26,1,$B$5))/(INDEX('Pace of change parameters'!$E$25:$I$25,1,$B$5)-INDEX('Pace of change parameters'!$E$26:$I$26,1,$B$5))))</f>
        <v>1</v>
      </c>
      <c r="X162" s="132">
        <f>MIN(T162, T162+(INDEX('Pace of change parameters'!$E$27:$I$27,1,$B$5)-T162)*(1-W162))</f>
        <v>2.6534063461548296E-2</v>
      </c>
      <c r="Y162" s="132">
        <v>1.1119783131080974E-2</v>
      </c>
      <c r="Z162" s="108">
        <f t="shared" si="31"/>
        <v>580139</v>
      </c>
      <c r="AA162" s="97">
        <f>MIN(VLOOKUP(A162,'2016-17 disagg'!$A$12:$BC$220,54,FALSE),MIN(0,VLOOKUP(A162,'2016-17 disagg'!$A$12:$BC$220,54,FALSE),-2.5%))</f>
        <v>-2.5000000000000001E-2</v>
      </c>
      <c r="AB162" s="99">
        <f t="shared" si="24"/>
        <v>551683.43499368581</v>
      </c>
      <c r="AC162" s="99">
        <f>MAX(IF(INDEX('Pace of change parameters'!$E$29:$I$29,1,$B$5)=1,MAX(AB162,Z162),Z162),L162)</f>
        <v>580139</v>
      </c>
      <c r="AD162" s="97">
        <f t="shared" si="25"/>
        <v>3.1475581221685589E-2</v>
      </c>
      <c r="AE162" s="146">
        <v>1.5987099807470484E-2</v>
      </c>
      <c r="AF162" s="56">
        <f t="shared" si="32"/>
        <v>580139</v>
      </c>
      <c r="AG162" s="56">
        <v>1512.9067762988939</v>
      </c>
      <c r="AH162" s="16">
        <f t="shared" si="26"/>
        <v>3.1475581221685589E-2</v>
      </c>
      <c r="AI162" s="16">
        <f t="shared" si="27"/>
        <v>1.5987099807470706E-2</v>
      </c>
      <c r="AJ162" s="56"/>
      <c r="AK162" s="56">
        <v>565829.16409608803</v>
      </c>
      <c r="AL162" s="56">
        <v>1475.5890856993071</v>
      </c>
      <c r="AM162" s="16">
        <f t="shared" si="33"/>
        <v>2.5290028884905391E-2</v>
      </c>
      <c r="AN162" s="58">
        <f t="shared" si="33"/>
        <v>2.5290028884905391E-2</v>
      </c>
      <c r="AP162" s="56">
        <f t="shared" si="34"/>
        <v>1</v>
      </c>
      <c r="AQ162" s="56">
        <f t="shared" si="28"/>
        <v>0</v>
      </c>
    </row>
    <row r="163" spans="1:43" x14ac:dyDescent="0.2">
      <c r="A163" s="156" t="s">
        <v>371</v>
      </c>
      <c r="B163" s="156" t="s">
        <v>372</v>
      </c>
      <c r="D163" s="68">
        <f>VLOOKUP(A163,'2016-17 disagg'!A163:BC371,43,FALSE)</f>
        <v>442154</v>
      </c>
      <c r="E163" s="73">
        <v>1443.1379183323238</v>
      </c>
      <c r="F163" s="55"/>
      <c r="G163" s="88">
        <v>458073.80214413744</v>
      </c>
      <c r="H163" s="81">
        <v>1469.096805509334</v>
      </c>
      <c r="I163" s="90"/>
      <c r="J163" s="103">
        <f t="shared" si="29"/>
        <v>-3.4753793099759345E-2</v>
      </c>
      <c r="K163" s="126">
        <f t="shared" si="29"/>
        <v>-1.7669963667241273E-2</v>
      </c>
      <c r="L163" s="56">
        <v>459221</v>
      </c>
      <c r="M163" s="103">
        <v>2.901552598650059E-2</v>
      </c>
      <c r="N163" s="97">
        <f>INDEX('Pace of change parameters'!$E$22:$I$22,1,$B$5)</f>
        <v>1.1119783131080974E-2</v>
      </c>
      <c r="O163" s="108">
        <f>MAX(IF(INDEX('Pace of change parameters'!$E$30:$I$30,1,$B$5)=1,(1+M163)*D163,D163),L163)</f>
        <v>459221</v>
      </c>
      <c r="P163" s="94">
        <f>IF(K163&lt;INDEX('Pace of change parameters'!$E$18:$I$18,1,$B$5),1,IF(K163&gt;INDEX('Pace of change parameters'!$E$19:$I$19,1,$B$5),0,(K163-INDEX('Pace of change parameters'!$E$19:$I$19,1,$B$5))/(INDEX('Pace of change parameters'!$E$18:$I$18,1,$B$5)-INDEX('Pace of change parameters'!$E$19:$I$19,1,$B$5))))</f>
        <v>0.64546862989013132</v>
      </c>
      <c r="Q163" s="57">
        <v>3.8133339634557784E-2</v>
      </c>
      <c r="R163" s="57">
        <v>2.0079027696040086E-2</v>
      </c>
      <c r="S163" s="9">
        <f>MAX(IF(INDEX('Pace of change parameters'!$E$31:$I$31,1,$B$5)=1,D163*(1+Q163),D163),L163)</f>
        <v>459221</v>
      </c>
      <c r="T163" s="103">
        <f>IF(Q163&lt;INDEX('Pace of change parameters'!$E$24:$I$24,1,$B$5),INDEX('Pace of change parameters'!$E$24:$I$24,1,$B$5),Q163)</f>
        <v>3.8133339634557784E-2</v>
      </c>
      <c r="U163" s="132">
        <v>2.0079027696040086E-2</v>
      </c>
      <c r="V163" s="117">
        <f t="shared" si="30"/>
        <v>459221</v>
      </c>
      <c r="W163" s="131">
        <f>IF(J163&gt;INDEX('Pace of change parameters'!$E$26:$I$26,1,$B$5),0,IF(J163&lt;INDEX('Pace of change parameters'!$E$25:$I$25,1,$B$5),1,(J163-INDEX('Pace of change parameters'!$E$26:$I$26,1,$B$5))/(INDEX('Pace of change parameters'!$E$25:$I$25,1,$B$5)-INDEX('Pace of change parameters'!$E$26:$I$26,1,$B$5))))</f>
        <v>1</v>
      </c>
      <c r="X163" s="132">
        <f>MIN(T163, T163+(INDEX('Pace of change parameters'!$E$27:$I$27,1,$B$5)-T163)*(1-W163))</f>
        <v>3.8133339634557784E-2</v>
      </c>
      <c r="Y163" s="132">
        <v>2.0079027696040086E-2</v>
      </c>
      <c r="Z163" s="108">
        <f t="shared" si="31"/>
        <v>459221</v>
      </c>
      <c r="AA163" s="97">
        <f>MIN(VLOOKUP(A163,'2016-17 disagg'!$A$12:$BC$220,54,FALSE),MIN(0,VLOOKUP(A163,'2016-17 disagg'!$A$12:$BC$220,54,FALSE),-2.5%))</f>
        <v>-2.5000000000000001E-2</v>
      </c>
      <c r="AB163" s="99">
        <f t="shared" si="24"/>
        <v>458553.55255700601</v>
      </c>
      <c r="AC163" s="99">
        <f>MAX(IF(INDEX('Pace of change parameters'!$E$29:$I$29,1,$B$5)=1,MAX(AB163,Z163),Z163),L163)</f>
        <v>459221</v>
      </c>
      <c r="AD163" s="97">
        <f t="shared" si="25"/>
        <v>3.859967341695425E-2</v>
      </c>
      <c r="AE163" s="146">
        <v>2.0537251406971491E-2</v>
      </c>
      <c r="AF163" s="56">
        <f t="shared" si="32"/>
        <v>459221</v>
      </c>
      <c r="AG163" s="56">
        <v>1472.7760045760481</v>
      </c>
      <c r="AH163" s="16">
        <f t="shared" si="26"/>
        <v>3.859967341695425E-2</v>
      </c>
      <c r="AI163" s="16">
        <f t="shared" si="27"/>
        <v>2.0537251406971491E-2</v>
      </c>
      <c r="AJ163" s="56"/>
      <c r="AK163" s="56">
        <v>470311.33595590363</v>
      </c>
      <c r="AL163" s="56">
        <v>1508.3440223246741</v>
      </c>
      <c r="AM163" s="16">
        <f t="shared" si="33"/>
        <v>-2.3580839133640286E-2</v>
      </c>
      <c r="AN163" s="58">
        <f t="shared" si="33"/>
        <v>-2.3580839133640286E-2</v>
      </c>
      <c r="AP163" s="56">
        <f t="shared" si="34"/>
        <v>1</v>
      </c>
      <c r="AQ163" s="56">
        <f t="shared" si="28"/>
        <v>0</v>
      </c>
    </row>
    <row r="164" spans="1:43" x14ac:dyDescent="0.2">
      <c r="A164" s="156" t="s">
        <v>373</v>
      </c>
      <c r="B164" s="156" t="s">
        <v>374</v>
      </c>
      <c r="D164" s="68">
        <f>VLOOKUP(A164,'2016-17 disagg'!A164:BC372,43,FALSE)</f>
        <v>298854</v>
      </c>
      <c r="E164" s="73">
        <v>1405.8447033187867</v>
      </c>
      <c r="F164" s="55"/>
      <c r="G164" s="88">
        <v>294196.52362387214</v>
      </c>
      <c r="H164" s="81">
        <v>1366.599081999178</v>
      </c>
      <c r="I164" s="90"/>
      <c r="J164" s="103">
        <f t="shared" si="29"/>
        <v>1.5831174069488307E-2</v>
      </c>
      <c r="K164" s="126">
        <f t="shared" si="29"/>
        <v>2.8717728437367862E-2</v>
      </c>
      <c r="L164" s="56">
        <v>307992</v>
      </c>
      <c r="M164" s="103">
        <v>2.3946570091712527E-2</v>
      </c>
      <c r="N164" s="97">
        <f>INDEX('Pace of change parameters'!$E$22:$I$22,1,$B$5)</f>
        <v>1.1119783131080974E-2</v>
      </c>
      <c r="O164" s="108">
        <f>MAX(IF(INDEX('Pace of change parameters'!$E$30:$I$30,1,$B$5)=1,(1+M164)*D164,D164),L164)</f>
        <v>307992</v>
      </c>
      <c r="P164" s="94">
        <f>IF(K164&lt;INDEX('Pace of change parameters'!$E$18:$I$18,1,$B$5),1,IF(K164&gt;INDEX('Pace of change parameters'!$E$19:$I$19,1,$B$5),0,(K164-INDEX('Pace of change parameters'!$E$19:$I$19,1,$B$5))/(INDEX('Pace of change parameters'!$E$18:$I$18,1,$B$5)-INDEX('Pace of change parameters'!$E$19:$I$19,1,$B$5))))</f>
        <v>0</v>
      </c>
      <c r="Q164" s="57">
        <v>2.3946570091712527E-2</v>
      </c>
      <c r="R164" s="57">
        <v>1.1119783131080974E-2</v>
      </c>
      <c r="S164" s="9">
        <f>MAX(IF(INDEX('Pace of change parameters'!$E$31:$I$31,1,$B$5)=1,D164*(1+Q164),D164),L164)</f>
        <v>307992</v>
      </c>
      <c r="T164" s="103">
        <f>IF(Q164&lt;INDEX('Pace of change parameters'!$E$24:$I$24,1,$B$5),INDEX('Pace of change parameters'!$E$24:$I$24,1,$B$5),Q164)</f>
        <v>2.3946570091712527E-2</v>
      </c>
      <c r="U164" s="132">
        <v>1.1119783131080974E-2</v>
      </c>
      <c r="V164" s="117">
        <f t="shared" si="30"/>
        <v>307992</v>
      </c>
      <c r="W164" s="131">
        <f>IF(J164&gt;INDEX('Pace of change parameters'!$E$26:$I$26,1,$B$5),0,IF(J164&lt;INDEX('Pace of change parameters'!$E$25:$I$25,1,$B$5),1,(J164-INDEX('Pace of change parameters'!$E$26:$I$26,1,$B$5))/(INDEX('Pace of change parameters'!$E$25:$I$25,1,$B$5)-INDEX('Pace of change parameters'!$E$26:$I$26,1,$B$5))))</f>
        <v>1</v>
      </c>
      <c r="X164" s="132">
        <f>MIN(T164, T164+(INDEX('Pace of change parameters'!$E$27:$I$27,1,$B$5)-T164)*(1-W164))</f>
        <v>2.3946570091712527E-2</v>
      </c>
      <c r="Y164" s="132">
        <v>1.1119783131080974E-2</v>
      </c>
      <c r="Z164" s="108">
        <f t="shared" si="31"/>
        <v>307992</v>
      </c>
      <c r="AA164" s="97">
        <f>MIN(VLOOKUP(A164,'2016-17 disagg'!$A$12:$BC$220,54,FALSE),MIN(0,VLOOKUP(A164,'2016-17 disagg'!$A$12:$BC$220,54,FALSE),-2.5%))</f>
        <v>-2.5000000000000001E-2</v>
      </c>
      <c r="AB164" s="99">
        <f t="shared" si="24"/>
        <v>294490.85369437764</v>
      </c>
      <c r="AC164" s="99">
        <f>MAX(IF(INDEX('Pace of change parameters'!$E$29:$I$29,1,$B$5)=1,MAX(AB164,Z164),Z164),L164)</f>
        <v>307992</v>
      </c>
      <c r="AD164" s="97">
        <f t="shared" si="25"/>
        <v>3.057680338894575E-2</v>
      </c>
      <c r="AE164" s="146">
        <v>1.7666960737239279E-2</v>
      </c>
      <c r="AF164" s="56">
        <f t="shared" si="32"/>
        <v>307992</v>
      </c>
      <c r="AG164" s="56">
        <v>1430.6817064949757</v>
      </c>
      <c r="AH164" s="16">
        <f t="shared" si="26"/>
        <v>3.057680338894575E-2</v>
      </c>
      <c r="AI164" s="16">
        <f t="shared" si="27"/>
        <v>1.7666960737239501E-2</v>
      </c>
      <c r="AJ164" s="56"/>
      <c r="AK164" s="56">
        <v>302041.90122500272</v>
      </c>
      <c r="AL164" s="56">
        <v>1403.0423604430432</v>
      </c>
      <c r="AM164" s="16">
        <f t="shared" ref="AM164:AN220" si="35">AF164/AK164-1</f>
        <v>1.969958059085597E-2</v>
      </c>
      <c r="AN164" s="58">
        <f t="shared" si="35"/>
        <v>1.969958059085597E-2</v>
      </c>
      <c r="AP164" s="56">
        <f t="shared" si="34"/>
        <v>1</v>
      </c>
      <c r="AQ164" s="56">
        <f t="shared" si="28"/>
        <v>0</v>
      </c>
    </row>
    <row r="165" spans="1:43" x14ac:dyDescent="0.2">
      <c r="A165" s="156" t="s">
        <v>375</v>
      </c>
      <c r="B165" s="156" t="s">
        <v>376</v>
      </c>
      <c r="D165" s="68">
        <f>VLOOKUP(A165,'2016-17 disagg'!A165:BC373,43,FALSE)</f>
        <v>550520</v>
      </c>
      <c r="E165" s="73">
        <v>1737.9002282799329</v>
      </c>
      <c r="F165" s="55"/>
      <c r="G165" s="88">
        <v>543573.95294101082</v>
      </c>
      <c r="H165" s="81">
        <v>1693.4993857097497</v>
      </c>
      <c r="I165" s="90"/>
      <c r="J165" s="103">
        <f t="shared" si="29"/>
        <v>1.2778476638565017E-2</v>
      </c>
      <c r="K165" s="126">
        <f t="shared" si="29"/>
        <v>2.6218398981925128E-2</v>
      </c>
      <c r="L165" s="56">
        <v>567420</v>
      </c>
      <c r="M165" s="103">
        <v>2.4537694035171587E-2</v>
      </c>
      <c r="N165" s="97">
        <f>INDEX('Pace of change parameters'!$E$22:$I$22,1,$B$5)</f>
        <v>1.1119783131080974E-2</v>
      </c>
      <c r="O165" s="108">
        <f>MAX(IF(INDEX('Pace of change parameters'!$E$30:$I$30,1,$B$5)=1,(1+M165)*D165,D165),L165)</f>
        <v>567420</v>
      </c>
      <c r="P165" s="94">
        <f>IF(K165&lt;INDEX('Pace of change parameters'!$E$18:$I$18,1,$B$5),1,IF(K165&gt;INDEX('Pace of change parameters'!$E$19:$I$19,1,$B$5),0,(K165-INDEX('Pace of change parameters'!$E$19:$I$19,1,$B$5))/(INDEX('Pace of change parameters'!$E$18:$I$18,1,$B$5)-INDEX('Pace of change parameters'!$E$19:$I$19,1,$B$5))))</f>
        <v>5.9380871043176299E-3</v>
      </c>
      <c r="Q165" s="57">
        <v>2.4621209739710492E-2</v>
      </c>
      <c r="R165" s="57">
        <v>1.1202205067875504E-2</v>
      </c>
      <c r="S165" s="9">
        <f>MAX(IF(INDEX('Pace of change parameters'!$E$31:$I$31,1,$B$5)=1,D165*(1+Q165),D165),L165)</f>
        <v>567420</v>
      </c>
      <c r="T165" s="103">
        <f>IF(Q165&lt;INDEX('Pace of change parameters'!$E$24:$I$24,1,$B$5),INDEX('Pace of change parameters'!$E$24:$I$24,1,$B$5),Q165)</f>
        <v>2.4621209739710492E-2</v>
      </c>
      <c r="U165" s="132">
        <v>1.1202205067875504E-2</v>
      </c>
      <c r="V165" s="117">
        <f t="shared" si="30"/>
        <v>567420</v>
      </c>
      <c r="W165" s="131">
        <f>IF(J165&gt;INDEX('Pace of change parameters'!$E$26:$I$26,1,$B$5),0,IF(J165&lt;INDEX('Pace of change parameters'!$E$25:$I$25,1,$B$5),1,(J165-INDEX('Pace of change parameters'!$E$26:$I$26,1,$B$5))/(INDEX('Pace of change parameters'!$E$25:$I$25,1,$B$5)-INDEX('Pace of change parameters'!$E$26:$I$26,1,$B$5))))</f>
        <v>1</v>
      </c>
      <c r="X165" s="132">
        <f>MIN(T165, T165+(INDEX('Pace of change parameters'!$E$27:$I$27,1,$B$5)-T165)*(1-W165))</f>
        <v>2.4621209739710492E-2</v>
      </c>
      <c r="Y165" s="132">
        <v>1.1202205067875504E-2</v>
      </c>
      <c r="Z165" s="108">
        <f t="shared" si="31"/>
        <v>567420</v>
      </c>
      <c r="AA165" s="97">
        <f>MIN(VLOOKUP(A165,'2016-17 disagg'!$A$12:$BC$220,54,FALSE),MIN(0,VLOOKUP(A165,'2016-17 disagg'!$A$12:$BC$220,54,FALSE),-2.5%))</f>
        <v>-2.5000000000000001E-2</v>
      </c>
      <c r="AB165" s="99">
        <f t="shared" si="24"/>
        <v>544719.55683811824</v>
      </c>
      <c r="AC165" s="99">
        <f>MAX(IF(INDEX('Pace of change parameters'!$E$29:$I$29,1,$B$5)=1,MAX(AB165,Z165),Z165),L165)</f>
        <v>567420</v>
      </c>
      <c r="AD165" s="97">
        <f t="shared" si="25"/>
        <v>3.0698248928285876E-2</v>
      </c>
      <c r="AE165" s="146">
        <v>1.7199655998383134E-2</v>
      </c>
      <c r="AF165" s="56">
        <f t="shared" si="32"/>
        <v>567420</v>
      </c>
      <c r="AG165" s="56">
        <v>1767.7915143658597</v>
      </c>
      <c r="AH165" s="16">
        <f t="shared" si="26"/>
        <v>3.0698248928285876E-2</v>
      </c>
      <c r="AI165" s="16">
        <f t="shared" si="27"/>
        <v>1.7199655998383356E-2</v>
      </c>
      <c r="AJ165" s="56"/>
      <c r="AK165" s="56">
        <v>558686.72496217256</v>
      </c>
      <c r="AL165" s="56">
        <v>1740.5830805699156</v>
      </c>
      <c r="AM165" s="16">
        <f t="shared" si="35"/>
        <v>1.5631792644471343E-2</v>
      </c>
      <c r="AN165" s="58">
        <f t="shared" si="35"/>
        <v>1.5631792644471343E-2</v>
      </c>
      <c r="AP165" s="56">
        <f t="shared" si="34"/>
        <v>1</v>
      </c>
      <c r="AQ165" s="56">
        <f t="shared" si="28"/>
        <v>0</v>
      </c>
    </row>
    <row r="166" spans="1:43" x14ac:dyDescent="0.2">
      <c r="A166" s="156" t="s">
        <v>377</v>
      </c>
      <c r="B166" s="156" t="s">
        <v>378</v>
      </c>
      <c r="D166" s="68">
        <f>VLOOKUP(A166,'2016-17 disagg'!A166:BC374,43,FALSE)</f>
        <v>311575</v>
      </c>
      <c r="E166" s="73">
        <v>1613.7006095019967</v>
      </c>
      <c r="F166" s="55"/>
      <c r="G166" s="88">
        <v>315463.42735064955</v>
      </c>
      <c r="H166" s="81">
        <v>1611.7296085957275</v>
      </c>
      <c r="I166" s="90"/>
      <c r="J166" s="103">
        <f t="shared" si="29"/>
        <v>-1.2326079708528059E-2</v>
      </c>
      <c r="K166" s="126">
        <f t="shared" si="29"/>
        <v>1.2229104036789451E-3</v>
      </c>
      <c r="L166" s="56">
        <v>320906</v>
      </c>
      <c r="M166" s="103">
        <v>2.4990405471556398E-2</v>
      </c>
      <c r="N166" s="97">
        <f>INDEX('Pace of change parameters'!$E$22:$I$22,1,$B$5)</f>
        <v>1.1119783131080974E-2</v>
      </c>
      <c r="O166" s="108">
        <f>MAX(IF(INDEX('Pace of change parameters'!$E$30:$I$30,1,$B$5)=1,(1+M166)*D166,D166),L166)</f>
        <v>320906</v>
      </c>
      <c r="P166" s="94">
        <f>IF(K166&lt;INDEX('Pace of change parameters'!$E$18:$I$18,1,$B$5),1,IF(K166&gt;INDEX('Pace of change parameters'!$E$19:$I$19,1,$B$5),0,(K166-INDEX('Pace of change parameters'!$E$19:$I$19,1,$B$5))/(INDEX('Pace of change parameters'!$E$18:$I$18,1,$B$5)-INDEX('Pace of change parameters'!$E$19:$I$19,1,$B$5))))</f>
        <v>0.37016626543545905</v>
      </c>
      <c r="Q166" s="57">
        <v>3.0198876845706213E-2</v>
      </c>
      <c r="R166" s="57">
        <v>1.6257771172883073E-2</v>
      </c>
      <c r="S166" s="9">
        <f>MAX(IF(INDEX('Pace of change parameters'!$E$31:$I$31,1,$B$5)=1,D166*(1+Q166),D166),L166)</f>
        <v>320984.2150532009</v>
      </c>
      <c r="T166" s="103">
        <f>IF(Q166&lt;INDEX('Pace of change parameters'!$E$24:$I$24,1,$B$5),INDEX('Pace of change parameters'!$E$24:$I$24,1,$B$5),Q166)</f>
        <v>3.0198876845706213E-2</v>
      </c>
      <c r="U166" s="132">
        <v>1.6257771172883073E-2</v>
      </c>
      <c r="V166" s="117">
        <f t="shared" si="30"/>
        <v>320984.2150532009</v>
      </c>
      <c r="W166" s="131">
        <f>IF(J166&gt;INDEX('Pace of change parameters'!$E$26:$I$26,1,$B$5),0,IF(J166&lt;INDEX('Pace of change parameters'!$E$25:$I$25,1,$B$5),1,(J166-INDEX('Pace of change parameters'!$E$26:$I$26,1,$B$5))/(INDEX('Pace of change parameters'!$E$25:$I$25,1,$B$5)-INDEX('Pace of change parameters'!$E$26:$I$26,1,$B$5))))</f>
        <v>1</v>
      </c>
      <c r="X166" s="132">
        <f>MIN(T166, T166+(INDEX('Pace of change parameters'!$E$27:$I$27,1,$B$5)-T166)*(1-W166))</f>
        <v>3.0198876845706213E-2</v>
      </c>
      <c r="Y166" s="132">
        <v>1.6257771172883073E-2</v>
      </c>
      <c r="Z166" s="108">
        <f t="shared" si="31"/>
        <v>320984.2150532009</v>
      </c>
      <c r="AA166" s="97">
        <f>MIN(VLOOKUP(A166,'2016-17 disagg'!$A$12:$BC$220,54,FALSE),MIN(0,VLOOKUP(A166,'2016-17 disagg'!$A$12:$BC$220,54,FALSE),-2.5%))</f>
        <v>-2.5000000000000001E-2</v>
      </c>
      <c r="AB166" s="99">
        <f t="shared" si="24"/>
        <v>315736.84993648494</v>
      </c>
      <c r="AC166" s="99">
        <f>MAX(IF(INDEX('Pace of change parameters'!$E$29:$I$29,1,$B$5)=1,MAX(AB166,Z166),Z166),L166)</f>
        <v>320984.2150532009</v>
      </c>
      <c r="AD166" s="97">
        <f t="shared" si="25"/>
        <v>3.0198876845706213E-2</v>
      </c>
      <c r="AE166" s="146">
        <v>1.6257771172883073E-2</v>
      </c>
      <c r="AF166" s="56">
        <f t="shared" si="32"/>
        <v>320984.2150532009</v>
      </c>
      <c r="AG166" s="56">
        <v>1639.9357847528222</v>
      </c>
      <c r="AH166" s="16">
        <f t="shared" si="26"/>
        <v>3.0198876845706213E-2</v>
      </c>
      <c r="AI166" s="16">
        <f t="shared" si="27"/>
        <v>1.6257771172883073E-2</v>
      </c>
      <c r="AJ166" s="56"/>
      <c r="AK166" s="56">
        <v>323832.666601523</v>
      </c>
      <c r="AL166" s="56">
        <v>1654.4887671306433</v>
      </c>
      <c r="AM166" s="16">
        <f t="shared" si="35"/>
        <v>-8.7960599473033696E-3</v>
      </c>
      <c r="AN166" s="58">
        <f t="shared" si="35"/>
        <v>-8.7960599473032586E-3</v>
      </c>
      <c r="AP166" s="56">
        <f t="shared" si="34"/>
        <v>0</v>
      </c>
      <c r="AQ166" s="56">
        <f t="shared" si="28"/>
        <v>0</v>
      </c>
    </row>
    <row r="167" spans="1:43" x14ac:dyDescent="0.2">
      <c r="A167" s="156" t="s">
        <v>379</v>
      </c>
      <c r="B167" s="156" t="s">
        <v>380</v>
      </c>
      <c r="D167" s="68">
        <f>VLOOKUP(A167,'2016-17 disagg'!A167:BC375,43,FALSE)</f>
        <v>518419</v>
      </c>
      <c r="E167" s="73">
        <v>1719.4948753510462</v>
      </c>
      <c r="F167" s="55"/>
      <c r="G167" s="88">
        <v>486086.83814234793</v>
      </c>
      <c r="H167" s="81">
        <v>1579.5249340108999</v>
      </c>
      <c r="I167" s="90"/>
      <c r="J167" s="103">
        <f t="shared" si="29"/>
        <v>6.6515197122419822E-2</v>
      </c>
      <c r="K167" s="126">
        <f t="shared" si="29"/>
        <v>8.8615214819508736E-2</v>
      </c>
      <c r="L167" s="56">
        <v>538698</v>
      </c>
      <c r="M167" s="103">
        <v>3.2071913172326383E-2</v>
      </c>
      <c r="N167" s="97">
        <f>INDEX('Pace of change parameters'!$E$22:$I$22,1,$B$5)</f>
        <v>1.1119783131080974E-2</v>
      </c>
      <c r="O167" s="108">
        <f>MAX(IF(INDEX('Pace of change parameters'!$E$30:$I$30,1,$B$5)=1,(1+M167)*D167,D167),L167)</f>
        <v>538698</v>
      </c>
      <c r="P167" s="94">
        <f>IF(K167&lt;INDEX('Pace of change parameters'!$E$18:$I$18,1,$B$5),1,IF(K167&gt;INDEX('Pace of change parameters'!$E$19:$I$19,1,$B$5),0,(K167-INDEX('Pace of change parameters'!$E$19:$I$19,1,$B$5))/(INDEX('Pace of change parameters'!$E$18:$I$18,1,$B$5)-INDEX('Pace of change parameters'!$E$19:$I$19,1,$B$5))))</f>
        <v>0</v>
      </c>
      <c r="Q167" s="57">
        <v>3.2071913172326383E-2</v>
      </c>
      <c r="R167" s="57">
        <v>1.1119783131080974E-2</v>
      </c>
      <c r="S167" s="9">
        <f>MAX(IF(INDEX('Pace of change parameters'!$E$31:$I$31,1,$B$5)=1,D167*(1+Q167),D167),L167)</f>
        <v>538698</v>
      </c>
      <c r="T167" s="103">
        <f>IF(Q167&lt;INDEX('Pace of change parameters'!$E$24:$I$24,1,$B$5),INDEX('Pace of change parameters'!$E$24:$I$24,1,$B$5),Q167)</f>
        <v>3.2071913172326383E-2</v>
      </c>
      <c r="U167" s="132">
        <v>1.1119783131080974E-2</v>
      </c>
      <c r="V167" s="117">
        <f t="shared" si="30"/>
        <v>538698</v>
      </c>
      <c r="W167" s="131">
        <f>IF(J167&gt;INDEX('Pace of change parameters'!$E$26:$I$26,1,$B$5),0,IF(J167&lt;INDEX('Pace of change parameters'!$E$25:$I$25,1,$B$5),1,(J167-INDEX('Pace of change parameters'!$E$26:$I$26,1,$B$5))/(INDEX('Pace of change parameters'!$E$25:$I$25,1,$B$5)-INDEX('Pace of change parameters'!$E$26:$I$26,1,$B$5))))</f>
        <v>0.66969605755160366</v>
      </c>
      <c r="X167" s="132">
        <f>MIN(T167, T167+(INDEX('Pace of change parameters'!$E$27:$I$27,1,$B$5)-T167)*(1-W167))</f>
        <v>2.1889556955287638E-2</v>
      </c>
      <c r="Y167" s="132">
        <v>1.144139303811631E-3</v>
      </c>
      <c r="Z167" s="108">
        <f t="shared" si="31"/>
        <v>538698</v>
      </c>
      <c r="AA167" s="97">
        <f>MIN(VLOOKUP(A167,'2016-17 disagg'!$A$12:$BC$220,54,FALSE),MIN(0,VLOOKUP(A167,'2016-17 disagg'!$A$12:$BC$220,54,FALSE),-2.5%))</f>
        <v>-2.5000000000000001E-2</v>
      </c>
      <c r="AB167" s="99">
        <f t="shared" si="24"/>
        <v>487129.15541486454</v>
      </c>
      <c r="AC167" s="99">
        <f>MAX(IF(INDEX('Pace of change parameters'!$E$29:$I$29,1,$B$5)=1,MAX(AB167,Z167),Z167),L167)</f>
        <v>538698</v>
      </c>
      <c r="AD167" s="97">
        <f t="shared" si="25"/>
        <v>3.9117007671400916E-2</v>
      </c>
      <c r="AE167" s="146">
        <v>1.802185490643482E-2</v>
      </c>
      <c r="AF167" s="56">
        <f t="shared" si="32"/>
        <v>538698</v>
      </c>
      <c r="AG167" s="56">
        <v>1750.4833625069807</v>
      </c>
      <c r="AH167" s="16">
        <f t="shared" si="26"/>
        <v>3.9117007671400916E-2</v>
      </c>
      <c r="AI167" s="16">
        <f t="shared" si="27"/>
        <v>1.8021854906434598E-2</v>
      </c>
      <c r="AJ167" s="56"/>
      <c r="AK167" s="56">
        <v>499619.64657934825</v>
      </c>
      <c r="AL167" s="56">
        <v>1623.4993983990414</v>
      </c>
      <c r="AM167" s="16">
        <f t="shared" si="35"/>
        <v>7.8216206444646774E-2</v>
      </c>
      <c r="AN167" s="58">
        <f t="shared" si="35"/>
        <v>7.8216206444646774E-2</v>
      </c>
      <c r="AP167" s="56">
        <f t="shared" si="34"/>
        <v>1</v>
      </c>
      <c r="AQ167" s="56">
        <f t="shared" si="28"/>
        <v>0</v>
      </c>
    </row>
    <row r="168" spans="1:43" x14ac:dyDescent="0.2">
      <c r="A168" s="156" t="s">
        <v>381</v>
      </c>
      <c r="B168" s="156" t="s">
        <v>382</v>
      </c>
      <c r="D168" s="68">
        <f>VLOOKUP(A168,'2016-17 disagg'!A168:BC376,43,FALSE)</f>
        <v>465659</v>
      </c>
      <c r="E168" s="73">
        <v>1544.0927276130349</v>
      </c>
      <c r="F168" s="55"/>
      <c r="G168" s="88">
        <v>477516.25244339887</v>
      </c>
      <c r="H168" s="81">
        <v>1564.401686611448</v>
      </c>
      <c r="I168" s="90"/>
      <c r="J168" s="103">
        <f t="shared" si="29"/>
        <v>-2.4831097125441515E-2</v>
      </c>
      <c r="K168" s="126">
        <f t="shared" si="29"/>
        <v>-1.2981933714481642E-2</v>
      </c>
      <c r="L168" s="56">
        <v>480410</v>
      </c>
      <c r="M168" s="103">
        <v>2.3405781487937594E-2</v>
      </c>
      <c r="N168" s="97">
        <f>INDEX('Pace of change parameters'!$E$22:$I$22,1,$B$5)</f>
        <v>1.1119783131080974E-2</v>
      </c>
      <c r="O168" s="108">
        <f>MAX(IF(INDEX('Pace of change parameters'!$E$30:$I$30,1,$B$5)=1,(1+M168)*D168,D168),L168)</f>
        <v>480410</v>
      </c>
      <c r="P168" s="94">
        <f>IF(K168&lt;INDEX('Pace of change parameters'!$E$18:$I$18,1,$B$5),1,IF(K168&gt;INDEX('Pace of change parameters'!$E$19:$I$19,1,$B$5),0,(K168-INDEX('Pace of change parameters'!$E$19:$I$19,1,$B$5))/(INDEX('Pace of change parameters'!$E$18:$I$18,1,$B$5)-INDEX('Pace of change parameters'!$E$19:$I$19,1,$B$5))))</f>
        <v>0.57715579798407557</v>
      </c>
      <c r="Q168" s="57">
        <v>3.1514170435101185E-2</v>
      </c>
      <c r="R168" s="57">
        <v>1.9130830774253926E-2</v>
      </c>
      <c r="S168" s="9">
        <f>MAX(IF(INDEX('Pace of change parameters'!$E$31:$I$31,1,$B$5)=1,D168*(1+Q168),D168),L168)</f>
        <v>480410</v>
      </c>
      <c r="T168" s="103">
        <f>IF(Q168&lt;INDEX('Pace of change parameters'!$E$24:$I$24,1,$B$5),INDEX('Pace of change parameters'!$E$24:$I$24,1,$B$5),Q168)</f>
        <v>3.1514170435101185E-2</v>
      </c>
      <c r="U168" s="132">
        <v>1.9130830774253926E-2</v>
      </c>
      <c r="V168" s="117">
        <f t="shared" si="30"/>
        <v>480410</v>
      </c>
      <c r="W168" s="131">
        <f>IF(J168&gt;INDEX('Pace of change parameters'!$E$26:$I$26,1,$B$5),0,IF(J168&lt;INDEX('Pace of change parameters'!$E$25:$I$25,1,$B$5),1,(J168-INDEX('Pace of change parameters'!$E$26:$I$26,1,$B$5))/(INDEX('Pace of change parameters'!$E$25:$I$25,1,$B$5)-INDEX('Pace of change parameters'!$E$26:$I$26,1,$B$5))))</f>
        <v>1</v>
      </c>
      <c r="X168" s="132">
        <f>MIN(T168, T168+(INDEX('Pace of change parameters'!$E$27:$I$27,1,$B$5)-T168)*(1-W168))</f>
        <v>3.1514170435101185E-2</v>
      </c>
      <c r="Y168" s="132">
        <v>1.9130830774253926E-2</v>
      </c>
      <c r="Z168" s="108">
        <f t="shared" si="31"/>
        <v>480410</v>
      </c>
      <c r="AA168" s="97">
        <f>MIN(VLOOKUP(A168,'2016-17 disagg'!$A$12:$BC$220,54,FALSE),MIN(0,VLOOKUP(A168,'2016-17 disagg'!$A$12:$BC$220,54,FALSE),-2.5%))</f>
        <v>-2.5000000000000001E-2</v>
      </c>
      <c r="AB168" s="99">
        <f t="shared" si="24"/>
        <v>478277.39779834496</v>
      </c>
      <c r="AC168" s="99">
        <f>MAX(IF(INDEX('Pace of change parameters'!$E$29:$I$29,1,$B$5)=1,MAX(AB168,Z168),Z168),L168)</f>
        <v>480410</v>
      </c>
      <c r="AD168" s="97">
        <f t="shared" si="25"/>
        <v>3.1677686891051104E-2</v>
      </c>
      <c r="AE168" s="146">
        <v>1.9292384213240865E-2</v>
      </c>
      <c r="AF168" s="56">
        <f t="shared" si="32"/>
        <v>480410</v>
      </c>
      <c r="AG168" s="56">
        <v>1573.8819577750166</v>
      </c>
      <c r="AH168" s="16">
        <f t="shared" si="26"/>
        <v>3.1677686891051104E-2</v>
      </c>
      <c r="AI168" s="16">
        <f t="shared" si="27"/>
        <v>1.9292384213240865E-2</v>
      </c>
      <c r="AJ168" s="56"/>
      <c r="AK168" s="56">
        <v>490540.92081881536</v>
      </c>
      <c r="AL168" s="56">
        <v>1607.0720943091872</v>
      </c>
      <c r="AM168" s="16">
        <f t="shared" si="35"/>
        <v>-2.0652549846208013E-2</v>
      </c>
      <c r="AN168" s="58">
        <f t="shared" si="35"/>
        <v>-2.0652549846208124E-2</v>
      </c>
      <c r="AP168" s="56">
        <f t="shared" si="34"/>
        <v>1</v>
      </c>
      <c r="AQ168" s="56">
        <f t="shared" si="28"/>
        <v>0</v>
      </c>
    </row>
    <row r="169" spans="1:43" x14ac:dyDescent="0.2">
      <c r="A169" s="156" t="s">
        <v>383</v>
      </c>
      <c r="B169" s="156" t="s">
        <v>384</v>
      </c>
      <c r="D169" s="68">
        <f>VLOOKUP(A169,'2016-17 disagg'!A169:BC377,43,FALSE)</f>
        <v>561052</v>
      </c>
      <c r="E169" s="73">
        <v>1449.5681902604358</v>
      </c>
      <c r="F169" s="55"/>
      <c r="G169" s="88">
        <v>543493.63449018414</v>
      </c>
      <c r="H169" s="81">
        <v>1390.7716354212746</v>
      </c>
      <c r="I169" s="90"/>
      <c r="J169" s="103">
        <f t="shared" si="29"/>
        <v>3.230647866977554E-2</v>
      </c>
      <c r="K169" s="126">
        <f t="shared" si="29"/>
        <v>4.2276210803904757E-2</v>
      </c>
      <c r="L169" s="56">
        <v>575868</v>
      </c>
      <c r="M169" s="103">
        <v>2.0884899985065708E-2</v>
      </c>
      <c r="N169" s="97">
        <f>INDEX('Pace of change parameters'!$E$22:$I$22,1,$B$5)</f>
        <v>1.1119783131080974E-2</v>
      </c>
      <c r="O169" s="108">
        <f>MAX(IF(INDEX('Pace of change parameters'!$E$30:$I$30,1,$B$5)=1,(1+M169)*D169,D169),L169)</f>
        <v>575868</v>
      </c>
      <c r="P169" s="94">
        <f>IF(K169&lt;INDEX('Pace of change parameters'!$E$18:$I$18,1,$B$5),1,IF(K169&gt;INDEX('Pace of change parameters'!$E$19:$I$19,1,$B$5),0,(K169-INDEX('Pace of change parameters'!$E$19:$I$19,1,$B$5))/(INDEX('Pace of change parameters'!$E$18:$I$18,1,$B$5)-INDEX('Pace of change parameters'!$E$19:$I$19,1,$B$5))))</f>
        <v>0</v>
      </c>
      <c r="Q169" s="57">
        <v>2.0884899985065708E-2</v>
      </c>
      <c r="R169" s="57">
        <v>1.1119783131080974E-2</v>
      </c>
      <c r="S169" s="9">
        <f>MAX(IF(INDEX('Pace of change parameters'!$E$31:$I$31,1,$B$5)=1,D169*(1+Q169),D169),L169)</f>
        <v>575868</v>
      </c>
      <c r="T169" s="103">
        <f>IF(Q169&lt;INDEX('Pace of change parameters'!$E$24:$I$24,1,$B$5),INDEX('Pace of change parameters'!$E$24:$I$24,1,$B$5),Q169)</f>
        <v>2.0884899985065708E-2</v>
      </c>
      <c r="U169" s="132">
        <v>1.1119783131080974E-2</v>
      </c>
      <c r="V169" s="117">
        <f t="shared" si="30"/>
        <v>575868</v>
      </c>
      <c r="W169" s="131">
        <f>IF(J169&gt;INDEX('Pace of change parameters'!$E$26:$I$26,1,$B$5),0,IF(J169&lt;INDEX('Pace of change parameters'!$E$25:$I$25,1,$B$5),1,(J169-INDEX('Pace of change parameters'!$E$26:$I$26,1,$B$5))/(INDEX('Pace of change parameters'!$E$25:$I$25,1,$B$5)-INDEX('Pace of change parameters'!$E$26:$I$26,1,$B$5))))</f>
        <v>1</v>
      </c>
      <c r="X169" s="132">
        <f>MIN(T169, T169+(INDEX('Pace of change parameters'!$E$27:$I$27,1,$B$5)-T169)*(1-W169))</f>
        <v>2.0884899985065708E-2</v>
      </c>
      <c r="Y169" s="132">
        <v>1.1119783131080974E-2</v>
      </c>
      <c r="Z169" s="108">
        <f t="shared" si="31"/>
        <v>575868</v>
      </c>
      <c r="AA169" s="97">
        <f>MIN(VLOOKUP(A169,'2016-17 disagg'!$A$12:$BC$220,54,FALSE),MIN(0,VLOOKUP(A169,'2016-17 disagg'!$A$12:$BC$220,54,FALSE),-2.5%))</f>
        <v>-2.5000000000000001E-2</v>
      </c>
      <c r="AB169" s="99">
        <f t="shared" si="24"/>
        <v>544452.29238641995</v>
      </c>
      <c r="AC169" s="99">
        <f>MAX(IF(INDEX('Pace of change parameters'!$E$29:$I$29,1,$B$5)=1,MAX(AB169,Z169),Z169),L169)</f>
        <v>575868</v>
      </c>
      <c r="AD169" s="97">
        <f t="shared" si="25"/>
        <v>2.6407534417487222E-2</v>
      </c>
      <c r="AE169" s="146">
        <v>1.6589591656708036E-2</v>
      </c>
      <c r="AF169" s="56">
        <f t="shared" si="32"/>
        <v>575868</v>
      </c>
      <c r="AG169" s="56">
        <v>1473.6159346154095</v>
      </c>
      <c r="AH169" s="16">
        <f t="shared" si="26"/>
        <v>2.6407534417487222E-2</v>
      </c>
      <c r="AI169" s="16">
        <f t="shared" si="27"/>
        <v>1.6589591656707814E-2</v>
      </c>
      <c r="AJ169" s="56"/>
      <c r="AK169" s="56">
        <v>558412.6075758154</v>
      </c>
      <c r="AL169" s="56">
        <v>1428.9485031532629</v>
      </c>
      <c r="AM169" s="16">
        <f t="shared" si="35"/>
        <v>3.125895115434818E-2</v>
      </c>
      <c r="AN169" s="58">
        <f t="shared" si="35"/>
        <v>3.1258951154347958E-2</v>
      </c>
      <c r="AP169" s="56">
        <f t="shared" si="34"/>
        <v>1</v>
      </c>
      <c r="AQ169" s="56">
        <f t="shared" si="28"/>
        <v>0</v>
      </c>
    </row>
    <row r="170" spans="1:43" x14ac:dyDescent="0.2">
      <c r="A170" s="156" t="s">
        <v>385</v>
      </c>
      <c r="B170" s="156" t="s">
        <v>386</v>
      </c>
      <c r="D170" s="68">
        <f>VLOOKUP(A170,'2016-17 disagg'!A170:BC378,43,FALSE)</f>
        <v>465104</v>
      </c>
      <c r="E170" s="73">
        <v>1894.8463260852002</v>
      </c>
      <c r="F170" s="55"/>
      <c r="G170" s="88">
        <v>376833.3458968288</v>
      </c>
      <c r="H170" s="81">
        <v>1528.9642588393017</v>
      </c>
      <c r="I170" s="90"/>
      <c r="J170" s="103">
        <f t="shared" si="29"/>
        <v>0.23424321404756565</v>
      </c>
      <c r="K170" s="126">
        <f t="shared" si="29"/>
        <v>0.23930060178362456</v>
      </c>
      <c r="L170" s="56">
        <v>469443</v>
      </c>
      <c r="M170" s="103">
        <v>1.5262908839768663E-2</v>
      </c>
      <c r="N170" s="97">
        <f>INDEX('Pace of change parameters'!$E$22:$I$22,1,$B$5)</f>
        <v>1.1119783131080974E-2</v>
      </c>
      <c r="O170" s="108">
        <f>MAX(IF(INDEX('Pace of change parameters'!$E$30:$I$30,1,$B$5)=1,(1+M170)*D170,D170),L170)</f>
        <v>472202.83995301177</v>
      </c>
      <c r="P170" s="94">
        <f>IF(K170&lt;INDEX('Pace of change parameters'!$E$18:$I$18,1,$B$5),1,IF(K170&gt;INDEX('Pace of change parameters'!$E$19:$I$19,1,$B$5),0,(K170-INDEX('Pace of change parameters'!$E$19:$I$19,1,$B$5))/(INDEX('Pace of change parameters'!$E$18:$I$18,1,$B$5)-INDEX('Pace of change parameters'!$E$19:$I$19,1,$B$5))))</f>
        <v>0</v>
      </c>
      <c r="Q170" s="57">
        <v>1.5262908839768663E-2</v>
      </c>
      <c r="R170" s="57">
        <v>1.1119783131080974E-2</v>
      </c>
      <c r="S170" s="9">
        <f>MAX(IF(INDEX('Pace of change parameters'!$E$31:$I$31,1,$B$5)=1,D170*(1+Q170),D170),L170)</f>
        <v>472202.83995301177</v>
      </c>
      <c r="T170" s="103">
        <f>IF(Q170&lt;INDEX('Pace of change parameters'!$E$24:$I$24,1,$B$5),INDEX('Pace of change parameters'!$E$24:$I$24,1,$B$5),Q170)</f>
        <v>1.9644681315626574E-2</v>
      </c>
      <c r="U170" s="132">
        <v>1.548367429359998E-2</v>
      </c>
      <c r="V170" s="117">
        <f t="shared" si="30"/>
        <v>474240.8198586232</v>
      </c>
      <c r="W170" s="131">
        <f>IF(J170&gt;INDEX('Pace of change parameters'!$E$26:$I$26,1,$B$5),0,IF(J170&lt;INDEX('Pace of change parameters'!$E$25:$I$25,1,$B$5),1,(J170-INDEX('Pace of change parameters'!$E$26:$I$26,1,$B$5))/(INDEX('Pace of change parameters'!$E$25:$I$25,1,$B$5)-INDEX('Pace of change parameters'!$E$26:$I$26,1,$B$5))))</f>
        <v>0</v>
      </c>
      <c r="X170" s="132">
        <f>MIN(T170, T170+(INDEX('Pace of change parameters'!$E$27:$I$27,1,$B$5)-T170)*(1-W170))</f>
        <v>1.2446813156265744E-3</v>
      </c>
      <c r="Y170" s="132">
        <v>-2.8412382464169106E-3</v>
      </c>
      <c r="Z170" s="108">
        <f t="shared" si="31"/>
        <v>469443</v>
      </c>
      <c r="AA170" s="97">
        <f>MIN(VLOOKUP(A170,'2016-17 disagg'!$A$12:$BC$220,54,FALSE),MIN(0,VLOOKUP(A170,'2016-17 disagg'!$A$12:$BC$220,54,FALSE),-2.5%))</f>
        <v>-2.5000000000000001E-2</v>
      </c>
      <c r="AB170" s="99">
        <f t="shared" si="24"/>
        <v>377509.87340361555</v>
      </c>
      <c r="AC170" s="99">
        <f>MAX(IF(INDEX('Pace of change parameters'!$E$29:$I$29,1,$B$5)=1,MAX(AB170,Z170),Z170),L170)</f>
        <v>469443</v>
      </c>
      <c r="AD170" s="97">
        <f t="shared" si="25"/>
        <v>9.3290962881420469E-3</v>
      </c>
      <c r="AE170" s="146">
        <v>5.2101855203521286E-3</v>
      </c>
      <c r="AF170" s="56">
        <f t="shared" si="32"/>
        <v>469443</v>
      </c>
      <c r="AG170" s="56">
        <v>1904.7188269766614</v>
      </c>
      <c r="AH170" s="16">
        <f t="shared" si="26"/>
        <v>9.3290962881420469E-3</v>
      </c>
      <c r="AI170" s="16">
        <f t="shared" si="27"/>
        <v>5.2101855203519065E-3</v>
      </c>
      <c r="AJ170" s="56"/>
      <c r="AK170" s="56">
        <v>387189.61374729802</v>
      </c>
      <c r="AL170" s="56">
        <v>1570.9837976374129</v>
      </c>
      <c r="AM170" s="16">
        <f t="shared" si="35"/>
        <v>0.21243696455759076</v>
      </c>
      <c r="AN170" s="58">
        <f t="shared" si="35"/>
        <v>0.21243696455759076</v>
      </c>
      <c r="AP170" s="56">
        <f t="shared" si="34"/>
        <v>1</v>
      </c>
      <c r="AQ170" s="56">
        <f t="shared" si="28"/>
        <v>0</v>
      </c>
    </row>
    <row r="171" spans="1:43" x14ac:dyDescent="0.2">
      <c r="A171" s="156" t="s">
        <v>387</v>
      </c>
      <c r="B171" s="156" t="s">
        <v>388</v>
      </c>
      <c r="D171" s="68">
        <f>VLOOKUP(A171,'2016-17 disagg'!A171:BC379,43,FALSE)</f>
        <v>188668</v>
      </c>
      <c r="E171" s="73">
        <v>1461.0247088235167</v>
      </c>
      <c r="F171" s="55"/>
      <c r="G171" s="88">
        <v>187480.07329929867</v>
      </c>
      <c r="H171" s="81">
        <v>1436.5887631700264</v>
      </c>
      <c r="I171" s="90"/>
      <c r="J171" s="103">
        <f t="shared" si="29"/>
        <v>6.3362824634962678E-3</v>
      </c>
      <c r="K171" s="126">
        <f t="shared" si="29"/>
        <v>1.7009701231108787E-2</v>
      </c>
      <c r="L171" s="56">
        <v>193632</v>
      </c>
      <c r="M171" s="103">
        <v>2.1843936734245117E-2</v>
      </c>
      <c r="N171" s="97">
        <f>INDEX('Pace of change parameters'!$E$22:$I$22,1,$B$5)</f>
        <v>1.1119783131080974E-2</v>
      </c>
      <c r="O171" s="108">
        <f>MAX(IF(INDEX('Pace of change parameters'!$E$30:$I$30,1,$B$5)=1,(1+M171)*D171,D171),L171)</f>
        <v>193632</v>
      </c>
      <c r="P171" s="94">
        <f>IF(K171&lt;INDEX('Pace of change parameters'!$E$18:$I$18,1,$B$5),1,IF(K171&gt;INDEX('Pace of change parameters'!$E$19:$I$19,1,$B$5),0,(K171-INDEX('Pace of change parameters'!$E$19:$I$19,1,$B$5))/(INDEX('Pace of change parameters'!$E$18:$I$18,1,$B$5)-INDEX('Pace of change parameters'!$E$19:$I$19,1,$B$5))))</f>
        <v>0.14012499031616332</v>
      </c>
      <c r="Q171" s="57">
        <v>2.380953070784475E-2</v>
      </c>
      <c r="R171" s="57">
        <v>1.3064748385424485E-2</v>
      </c>
      <c r="S171" s="9">
        <f>MAX(IF(INDEX('Pace of change parameters'!$E$31:$I$31,1,$B$5)=1,D171*(1+Q171),D171),L171)</f>
        <v>193632</v>
      </c>
      <c r="T171" s="103">
        <f>IF(Q171&lt;INDEX('Pace of change parameters'!$E$24:$I$24,1,$B$5),INDEX('Pace of change parameters'!$E$24:$I$24,1,$B$5),Q171)</f>
        <v>2.380953070784475E-2</v>
      </c>
      <c r="U171" s="132">
        <v>1.3064748385424485E-2</v>
      </c>
      <c r="V171" s="117">
        <f t="shared" si="30"/>
        <v>193632</v>
      </c>
      <c r="W171" s="131">
        <f>IF(J171&gt;INDEX('Pace of change parameters'!$E$26:$I$26,1,$B$5),0,IF(J171&lt;INDEX('Pace of change parameters'!$E$25:$I$25,1,$B$5),1,(J171-INDEX('Pace of change parameters'!$E$26:$I$26,1,$B$5))/(INDEX('Pace of change parameters'!$E$25:$I$25,1,$B$5)-INDEX('Pace of change parameters'!$E$26:$I$26,1,$B$5))))</f>
        <v>1</v>
      </c>
      <c r="X171" s="132">
        <f>MIN(T171, T171+(INDEX('Pace of change parameters'!$E$27:$I$27,1,$B$5)-T171)*(1-W171))</f>
        <v>2.380953070784475E-2</v>
      </c>
      <c r="Y171" s="132">
        <v>1.3064748385424485E-2</v>
      </c>
      <c r="Z171" s="108">
        <f t="shared" si="31"/>
        <v>193632</v>
      </c>
      <c r="AA171" s="97">
        <f>MIN(VLOOKUP(A171,'2016-17 disagg'!$A$12:$BC$220,54,FALSE),MIN(0,VLOOKUP(A171,'2016-17 disagg'!$A$12:$BC$220,54,FALSE),-2.5%))</f>
        <v>-2.5000000000000001E-2</v>
      </c>
      <c r="AB171" s="99">
        <f t="shared" si="24"/>
        <v>187699.0230433649</v>
      </c>
      <c r="AC171" s="99">
        <f>MAX(IF(INDEX('Pace of change parameters'!$E$29:$I$29,1,$B$5)=1,MAX(AB171,Z171),Z171),L171)</f>
        <v>193632</v>
      </c>
      <c r="AD171" s="97">
        <f t="shared" si="25"/>
        <v>2.6310768121780015E-2</v>
      </c>
      <c r="AE171" s="146">
        <v>1.5539735553837364E-2</v>
      </c>
      <c r="AF171" s="56">
        <f t="shared" si="32"/>
        <v>193632</v>
      </c>
      <c r="AG171" s="56">
        <v>1483.7286464362564</v>
      </c>
      <c r="AH171" s="16">
        <f t="shared" si="26"/>
        <v>2.6310768121780015E-2</v>
      </c>
      <c r="AI171" s="16">
        <f t="shared" si="27"/>
        <v>1.5539735553837364E-2</v>
      </c>
      <c r="AJ171" s="56"/>
      <c r="AK171" s="56">
        <v>192511.81850601529</v>
      </c>
      <c r="AL171" s="56">
        <v>1475.145120098498</v>
      </c>
      <c r="AM171" s="16">
        <f t="shared" si="35"/>
        <v>5.8187674018035374E-3</v>
      </c>
      <c r="AN171" s="58">
        <f t="shared" si="35"/>
        <v>5.8187674018033153E-3</v>
      </c>
      <c r="AP171" s="56">
        <f t="shared" si="34"/>
        <v>1</v>
      </c>
      <c r="AQ171" s="56">
        <f t="shared" si="28"/>
        <v>0</v>
      </c>
    </row>
    <row r="172" spans="1:43" x14ac:dyDescent="0.2">
      <c r="A172" s="156" t="s">
        <v>389</v>
      </c>
      <c r="B172" s="156" t="s">
        <v>390</v>
      </c>
      <c r="D172" s="68">
        <f>VLOOKUP(A172,'2016-17 disagg'!A172:BC380,43,FALSE)</f>
        <v>302334</v>
      </c>
      <c r="E172" s="73">
        <v>1441.972991700113</v>
      </c>
      <c r="F172" s="55"/>
      <c r="G172" s="88">
        <v>307098.82209779689</v>
      </c>
      <c r="H172" s="81">
        <v>1449.5207067420013</v>
      </c>
      <c r="I172" s="90"/>
      <c r="J172" s="103">
        <f t="shared" si="29"/>
        <v>-1.5515598741956516E-2</v>
      </c>
      <c r="K172" s="126">
        <f t="shared" si="29"/>
        <v>-5.2070418910074023E-3</v>
      </c>
      <c r="L172" s="56">
        <v>310409</v>
      </c>
      <c r="M172" s="103">
        <v>2.1707239625268882E-2</v>
      </c>
      <c r="N172" s="97">
        <f>INDEX('Pace of change parameters'!$E$22:$I$22,1,$B$5)</f>
        <v>1.1119783131080974E-2</v>
      </c>
      <c r="O172" s="108">
        <f>MAX(IF(INDEX('Pace of change parameters'!$E$30:$I$30,1,$B$5)=1,(1+M172)*D172,D172),L172)</f>
        <v>310409</v>
      </c>
      <c r="P172" s="94">
        <f>IF(K172&lt;INDEX('Pace of change parameters'!$E$18:$I$18,1,$B$5),1,IF(K172&gt;INDEX('Pace of change parameters'!$E$19:$I$19,1,$B$5),0,(K172-INDEX('Pace of change parameters'!$E$19:$I$19,1,$B$5))/(INDEX('Pace of change parameters'!$E$18:$I$18,1,$B$5)-INDEX('Pace of change parameters'!$E$19:$I$19,1,$B$5))))</f>
        <v>0.4638619659103036</v>
      </c>
      <c r="Q172" s="57">
        <v>2.821316202717572E-2</v>
      </c>
      <c r="R172" s="57">
        <v>1.7558287815159002E-2</v>
      </c>
      <c r="S172" s="9">
        <f>MAX(IF(INDEX('Pace of change parameters'!$E$31:$I$31,1,$B$5)=1,D172*(1+Q172),D172),L172)</f>
        <v>310863.79812832415</v>
      </c>
      <c r="T172" s="103">
        <f>IF(Q172&lt;INDEX('Pace of change parameters'!$E$24:$I$24,1,$B$5),INDEX('Pace of change parameters'!$E$24:$I$24,1,$B$5),Q172)</f>
        <v>2.821316202717572E-2</v>
      </c>
      <c r="U172" s="132">
        <v>1.7558287815159002E-2</v>
      </c>
      <c r="V172" s="117">
        <f t="shared" si="30"/>
        <v>310863.79812832415</v>
      </c>
      <c r="W172" s="131">
        <f>IF(J172&gt;INDEX('Pace of change parameters'!$E$26:$I$26,1,$B$5),0,IF(J172&lt;INDEX('Pace of change parameters'!$E$25:$I$25,1,$B$5),1,(J172-INDEX('Pace of change parameters'!$E$26:$I$26,1,$B$5))/(INDEX('Pace of change parameters'!$E$25:$I$25,1,$B$5)-INDEX('Pace of change parameters'!$E$26:$I$26,1,$B$5))))</f>
        <v>1</v>
      </c>
      <c r="X172" s="132">
        <f>MIN(T172, T172+(INDEX('Pace of change parameters'!$E$27:$I$27,1,$B$5)-T172)*(1-W172))</f>
        <v>2.821316202717572E-2</v>
      </c>
      <c r="Y172" s="132">
        <v>1.7558287815159002E-2</v>
      </c>
      <c r="Z172" s="108">
        <f t="shared" si="31"/>
        <v>310863.79812832415</v>
      </c>
      <c r="AA172" s="97">
        <f>MIN(VLOOKUP(A172,'2016-17 disagg'!$A$12:$BC$220,54,FALSE),MIN(0,VLOOKUP(A172,'2016-17 disagg'!$A$12:$BC$220,54,FALSE),-2.5%))</f>
        <v>-2.5000000000000001E-2</v>
      </c>
      <c r="AB172" s="99">
        <f t="shared" si="24"/>
        <v>307256.17634305946</v>
      </c>
      <c r="AC172" s="99">
        <f>MAX(IF(INDEX('Pace of change parameters'!$E$29:$I$29,1,$B$5)=1,MAX(AB172,Z172),Z172),L172)</f>
        <v>310863.79812832415</v>
      </c>
      <c r="AD172" s="97">
        <f t="shared" si="25"/>
        <v>2.821316202717572E-2</v>
      </c>
      <c r="AE172" s="146">
        <v>1.7558287815159002E-2</v>
      </c>
      <c r="AF172" s="56">
        <f t="shared" si="32"/>
        <v>310863.79812832415</v>
      </c>
      <c r="AG172" s="56">
        <v>1467.2915685100695</v>
      </c>
      <c r="AH172" s="16">
        <f t="shared" si="26"/>
        <v>2.821316202717572E-2</v>
      </c>
      <c r="AI172" s="16">
        <f t="shared" si="27"/>
        <v>1.7558287815159002E-2</v>
      </c>
      <c r="AJ172" s="56"/>
      <c r="AK172" s="56">
        <v>315134.53983903537</v>
      </c>
      <c r="AL172" s="56">
        <v>1487.4496677842219</v>
      </c>
      <c r="AM172" s="16">
        <f t="shared" si="35"/>
        <v>-1.355212193780031E-2</v>
      </c>
      <c r="AN172" s="58">
        <f t="shared" si="35"/>
        <v>-1.355212193780031E-2</v>
      </c>
      <c r="AP172" s="56">
        <f t="shared" si="34"/>
        <v>0</v>
      </c>
      <c r="AQ172" s="56">
        <f t="shared" si="28"/>
        <v>0</v>
      </c>
    </row>
    <row r="173" spans="1:43" x14ac:dyDescent="0.2">
      <c r="A173" s="156" t="s">
        <v>391</v>
      </c>
      <c r="B173" s="156" t="s">
        <v>392</v>
      </c>
      <c r="D173" s="68">
        <f>VLOOKUP(A173,'2016-17 disagg'!A173:BC381,43,FALSE)</f>
        <v>198549</v>
      </c>
      <c r="E173" s="73">
        <v>1404.1273602481574</v>
      </c>
      <c r="F173" s="55"/>
      <c r="G173" s="88">
        <v>203714.45668935985</v>
      </c>
      <c r="H173" s="81">
        <v>1427.2046559885503</v>
      </c>
      <c r="I173" s="90"/>
      <c r="J173" s="103">
        <f t="shared" si="29"/>
        <v>-2.5356357979230526E-2</v>
      </c>
      <c r="K173" s="126">
        <f t="shared" si="29"/>
        <v>-1.6169577112546962E-2</v>
      </c>
      <c r="L173" s="56">
        <v>203599</v>
      </c>
      <c r="M173" s="103">
        <v>2.0650380240743171E-2</v>
      </c>
      <c r="N173" s="97">
        <f>INDEX('Pace of change parameters'!$E$22:$I$22,1,$B$5)</f>
        <v>1.1119783131080974E-2</v>
      </c>
      <c r="O173" s="108">
        <f>MAX(IF(INDEX('Pace of change parameters'!$E$30:$I$30,1,$B$5)=1,(1+M173)*D173,D173),L173)</f>
        <v>203599</v>
      </c>
      <c r="P173" s="94">
        <f>IF(K173&lt;INDEX('Pace of change parameters'!$E$18:$I$18,1,$B$5),1,IF(K173&gt;INDEX('Pace of change parameters'!$E$19:$I$19,1,$B$5),0,(K173-INDEX('Pace of change parameters'!$E$19:$I$19,1,$B$5))/(INDEX('Pace of change parameters'!$E$18:$I$18,1,$B$5)-INDEX('Pace of change parameters'!$E$19:$I$19,1,$B$5))))</f>
        <v>0.6236053620488915</v>
      </c>
      <c r="Q173" s="57">
        <v>2.9387745400963228E-2</v>
      </c>
      <c r="R173" s="57">
        <v>1.9775560796940317E-2</v>
      </c>
      <c r="S173" s="9">
        <f>MAX(IF(INDEX('Pace of change parameters'!$E$31:$I$31,1,$B$5)=1,D173*(1+Q173),D173),L173)</f>
        <v>204383.90746161586</v>
      </c>
      <c r="T173" s="103">
        <f>IF(Q173&lt;INDEX('Pace of change parameters'!$E$24:$I$24,1,$B$5),INDEX('Pace of change parameters'!$E$24:$I$24,1,$B$5),Q173)</f>
        <v>2.9387745400963228E-2</v>
      </c>
      <c r="U173" s="132">
        <v>1.9775560796940317E-2</v>
      </c>
      <c r="V173" s="117">
        <f t="shared" si="30"/>
        <v>204383.90746161586</v>
      </c>
      <c r="W173" s="131">
        <f>IF(J173&gt;INDEX('Pace of change parameters'!$E$26:$I$26,1,$B$5),0,IF(J173&lt;INDEX('Pace of change parameters'!$E$25:$I$25,1,$B$5),1,(J173-INDEX('Pace of change parameters'!$E$26:$I$26,1,$B$5))/(INDEX('Pace of change parameters'!$E$25:$I$25,1,$B$5)-INDEX('Pace of change parameters'!$E$26:$I$26,1,$B$5))))</f>
        <v>1</v>
      </c>
      <c r="X173" s="132">
        <f>MIN(T173, T173+(INDEX('Pace of change parameters'!$E$27:$I$27,1,$B$5)-T173)*(1-W173))</f>
        <v>2.9387745400963228E-2</v>
      </c>
      <c r="Y173" s="132">
        <v>1.9775560796940317E-2</v>
      </c>
      <c r="Z173" s="108">
        <f t="shared" si="31"/>
        <v>204383.90746161586</v>
      </c>
      <c r="AA173" s="97">
        <f>MIN(VLOOKUP(A173,'2016-17 disagg'!$A$12:$BC$220,54,FALSE),MIN(0,VLOOKUP(A173,'2016-17 disagg'!$A$12:$BC$220,54,FALSE),-2.5%))</f>
        <v>-2.5000000000000001E-2</v>
      </c>
      <c r="AB173" s="99">
        <f t="shared" si="24"/>
        <v>203835.4505702258</v>
      </c>
      <c r="AC173" s="99">
        <f>MAX(IF(INDEX('Pace of change parameters'!$E$29:$I$29,1,$B$5)=1,MAX(AB173,Z173),Z173),L173)</f>
        <v>204383.90746161586</v>
      </c>
      <c r="AD173" s="97">
        <f t="shared" si="25"/>
        <v>2.9387745400963228E-2</v>
      </c>
      <c r="AE173" s="146">
        <v>1.9775560796940317E-2</v>
      </c>
      <c r="AF173" s="56">
        <f t="shared" si="32"/>
        <v>204383.90746161586</v>
      </c>
      <c r="AG173" s="56">
        <v>1431.8947662273924</v>
      </c>
      <c r="AH173" s="16">
        <f t="shared" si="26"/>
        <v>2.9387745400963228E-2</v>
      </c>
      <c r="AI173" s="16">
        <f t="shared" si="27"/>
        <v>1.9775560796940539E-2</v>
      </c>
      <c r="AJ173" s="56"/>
      <c r="AK173" s="56">
        <v>209062.00058484697</v>
      </c>
      <c r="AL173" s="56">
        <v>1464.669054292792</v>
      </c>
      <c r="AM173" s="16">
        <f t="shared" si="35"/>
        <v>-2.2376582593413574E-2</v>
      </c>
      <c r="AN173" s="58">
        <f t="shared" si="35"/>
        <v>-2.2376582593413574E-2</v>
      </c>
      <c r="AP173" s="56">
        <f t="shared" si="34"/>
        <v>0</v>
      </c>
      <c r="AQ173" s="56">
        <f t="shared" si="28"/>
        <v>0</v>
      </c>
    </row>
    <row r="174" spans="1:43" x14ac:dyDescent="0.2">
      <c r="A174" s="156" t="s">
        <v>393</v>
      </c>
      <c r="B174" s="156" t="s">
        <v>394</v>
      </c>
      <c r="D174" s="68">
        <f>VLOOKUP(A174,'2016-17 disagg'!A174:BC382,43,FALSE)</f>
        <v>486790</v>
      </c>
      <c r="E174" s="73">
        <v>1556.5321380256196</v>
      </c>
      <c r="F174" s="55"/>
      <c r="G174" s="88">
        <v>474357.17347256897</v>
      </c>
      <c r="H174" s="81">
        <v>1506.18945833679</v>
      </c>
      <c r="I174" s="90"/>
      <c r="J174" s="103">
        <f t="shared" si="29"/>
        <v>2.6209841913880094E-2</v>
      </c>
      <c r="K174" s="126">
        <f t="shared" si="29"/>
        <v>3.3423869361308922E-2</v>
      </c>
      <c r="L174" s="56">
        <v>501807</v>
      </c>
      <c r="M174" s="103">
        <v>1.8227730814122323E-2</v>
      </c>
      <c r="N174" s="97">
        <f>INDEX('Pace of change parameters'!$E$22:$I$22,1,$B$5)</f>
        <v>1.1119783131080974E-2</v>
      </c>
      <c r="O174" s="108">
        <f>MAX(IF(INDEX('Pace of change parameters'!$E$30:$I$30,1,$B$5)=1,(1+M174)*D174,D174),L174)</f>
        <v>501807</v>
      </c>
      <c r="P174" s="94">
        <f>IF(K174&lt;INDEX('Pace of change parameters'!$E$18:$I$18,1,$B$5),1,IF(K174&gt;INDEX('Pace of change parameters'!$E$19:$I$19,1,$B$5),0,(K174-INDEX('Pace of change parameters'!$E$19:$I$19,1,$B$5))/(INDEX('Pace of change parameters'!$E$18:$I$18,1,$B$5)-INDEX('Pace of change parameters'!$E$19:$I$19,1,$B$5))))</f>
        <v>0</v>
      </c>
      <c r="Q174" s="57">
        <v>1.8227730814122323E-2</v>
      </c>
      <c r="R174" s="57">
        <v>1.1119783131080974E-2</v>
      </c>
      <c r="S174" s="9">
        <f>MAX(IF(INDEX('Pace of change parameters'!$E$31:$I$31,1,$B$5)=1,D174*(1+Q174),D174),L174)</f>
        <v>501807</v>
      </c>
      <c r="T174" s="103">
        <f>IF(Q174&lt;INDEX('Pace of change parameters'!$E$24:$I$24,1,$B$5),INDEX('Pace of change parameters'!$E$24:$I$24,1,$B$5),Q174)</f>
        <v>1.9644681315626574E-2</v>
      </c>
      <c r="U174" s="132">
        <v>1.2526842318757003E-2</v>
      </c>
      <c r="V174" s="117">
        <f t="shared" si="30"/>
        <v>501807</v>
      </c>
      <c r="W174" s="131">
        <f>IF(J174&gt;INDEX('Pace of change parameters'!$E$26:$I$26,1,$B$5),0,IF(J174&lt;INDEX('Pace of change parameters'!$E$25:$I$25,1,$B$5),1,(J174-INDEX('Pace of change parameters'!$E$26:$I$26,1,$B$5))/(INDEX('Pace of change parameters'!$E$25:$I$25,1,$B$5)-INDEX('Pace of change parameters'!$E$26:$I$26,1,$B$5))))</f>
        <v>1</v>
      </c>
      <c r="X174" s="132">
        <f>MIN(T174, T174+(INDEX('Pace of change parameters'!$E$27:$I$27,1,$B$5)-T174)*(1-W174))</f>
        <v>1.9644681315626574E-2</v>
      </c>
      <c r="Y174" s="132">
        <v>1.2526842318757003E-2</v>
      </c>
      <c r="Z174" s="108">
        <f t="shared" si="31"/>
        <v>501807</v>
      </c>
      <c r="AA174" s="97">
        <f>MIN(VLOOKUP(A174,'2016-17 disagg'!$A$12:$BC$220,54,FALSE),MIN(0,VLOOKUP(A174,'2016-17 disagg'!$A$12:$BC$220,54,FALSE),-2.5%))</f>
        <v>-2.5000000000000001E-2</v>
      </c>
      <c r="AB174" s="99">
        <f t="shared" si="24"/>
        <v>475149.57390927331</v>
      </c>
      <c r="AC174" s="99">
        <f>MAX(IF(INDEX('Pace of change parameters'!$E$29:$I$29,1,$B$5)=1,MAX(AB174,Z174),Z174),L174)</f>
        <v>501807</v>
      </c>
      <c r="AD174" s="97">
        <f t="shared" si="25"/>
        <v>3.0849031409848182E-2</v>
      </c>
      <c r="AE174" s="146">
        <v>2.3652978147267634E-2</v>
      </c>
      <c r="AF174" s="56">
        <f t="shared" si="32"/>
        <v>501807</v>
      </c>
      <c r="AG174" s="56">
        <v>1593.3487586718593</v>
      </c>
      <c r="AH174" s="16">
        <f t="shared" si="26"/>
        <v>3.0849031409848182E-2</v>
      </c>
      <c r="AI174" s="16">
        <f t="shared" si="27"/>
        <v>2.3652978147267634E-2</v>
      </c>
      <c r="AJ174" s="56"/>
      <c r="AK174" s="56">
        <v>487332.89631720341</v>
      </c>
      <c r="AL174" s="56">
        <v>1547.3902624056218</v>
      </c>
      <c r="AM174" s="16">
        <f t="shared" si="35"/>
        <v>2.9700649786168931E-2</v>
      </c>
      <c r="AN174" s="58">
        <f t="shared" si="35"/>
        <v>2.9700649786168931E-2</v>
      </c>
      <c r="AP174" s="56">
        <f t="shared" si="34"/>
        <v>1</v>
      </c>
      <c r="AQ174" s="56">
        <f t="shared" si="28"/>
        <v>0</v>
      </c>
    </row>
    <row r="175" spans="1:43" x14ac:dyDescent="0.2">
      <c r="A175" s="156" t="s">
        <v>395</v>
      </c>
      <c r="B175" s="156" t="s">
        <v>396</v>
      </c>
      <c r="D175" s="68">
        <f>VLOOKUP(A175,'2016-17 disagg'!A175:BC383,43,FALSE)</f>
        <v>331820</v>
      </c>
      <c r="E175" s="73">
        <v>1517.4908162526137</v>
      </c>
      <c r="F175" s="55"/>
      <c r="G175" s="88">
        <v>331056.46878979285</v>
      </c>
      <c r="H175" s="81">
        <v>1505.6069169155533</v>
      </c>
      <c r="I175" s="90"/>
      <c r="J175" s="103">
        <f t="shared" si="29"/>
        <v>2.3063473521551803E-3</v>
      </c>
      <c r="K175" s="126">
        <f t="shared" si="29"/>
        <v>7.8930956038687494E-3</v>
      </c>
      <c r="L175" s="56">
        <v>339704</v>
      </c>
      <c r="M175" s="103">
        <v>1.6755656530070606E-2</v>
      </c>
      <c r="N175" s="97">
        <f>INDEX('Pace of change parameters'!$E$22:$I$22,1,$B$5)</f>
        <v>1.1119783131080974E-2</v>
      </c>
      <c r="O175" s="108">
        <f>MAX(IF(INDEX('Pace of change parameters'!$E$30:$I$30,1,$B$5)=1,(1+M175)*D175,D175),L175)</f>
        <v>339704</v>
      </c>
      <c r="P175" s="94">
        <f>IF(K175&lt;INDEX('Pace of change parameters'!$E$18:$I$18,1,$B$5),1,IF(K175&gt;INDEX('Pace of change parameters'!$E$19:$I$19,1,$B$5),0,(K175-INDEX('Pace of change parameters'!$E$19:$I$19,1,$B$5))/(INDEX('Pace of change parameters'!$E$18:$I$18,1,$B$5)-INDEX('Pace of change parameters'!$E$19:$I$19,1,$B$5))))</f>
        <v>0.27296994950863762</v>
      </c>
      <c r="Q175" s="57">
        <v>2.0565657451042885E-2</v>
      </c>
      <c r="R175" s="57">
        <v>1.4908665228958728E-2</v>
      </c>
      <c r="S175" s="9">
        <f>MAX(IF(INDEX('Pace of change parameters'!$E$31:$I$31,1,$B$5)=1,D175*(1+Q175),D175),L175)</f>
        <v>339704</v>
      </c>
      <c r="T175" s="103">
        <f>IF(Q175&lt;INDEX('Pace of change parameters'!$E$24:$I$24,1,$B$5),INDEX('Pace of change parameters'!$E$24:$I$24,1,$B$5),Q175)</f>
        <v>2.0565657451042885E-2</v>
      </c>
      <c r="U175" s="132">
        <v>1.4908665228958728E-2</v>
      </c>
      <c r="V175" s="117">
        <f t="shared" si="30"/>
        <v>339704</v>
      </c>
      <c r="W175" s="131">
        <f>IF(J175&gt;INDEX('Pace of change parameters'!$E$26:$I$26,1,$B$5),0,IF(J175&lt;INDEX('Pace of change parameters'!$E$25:$I$25,1,$B$5),1,(J175-INDEX('Pace of change parameters'!$E$26:$I$26,1,$B$5))/(INDEX('Pace of change parameters'!$E$25:$I$25,1,$B$5)-INDEX('Pace of change parameters'!$E$26:$I$26,1,$B$5))))</f>
        <v>1</v>
      </c>
      <c r="X175" s="132">
        <f>MIN(T175, T175+(INDEX('Pace of change parameters'!$E$27:$I$27,1,$B$5)-T175)*(1-W175))</f>
        <v>2.0565657451042885E-2</v>
      </c>
      <c r="Y175" s="132">
        <v>1.4908665228958728E-2</v>
      </c>
      <c r="Z175" s="108">
        <f t="shared" si="31"/>
        <v>339704</v>
      </c>
      <c r="AA175" s="97">
        <f>MIN(VLOOKUP(A175,'2016-17 disagg'!$A$12:$BC$220,54,FALSE),MIN(0,VLOOKUP(A175,'2016-17 disagg'!$A$12:$BC$220,54,FALSE),-2.5%))</f>
        <v>-2.5000000000000001E-2</v>
      </c>
      <c r="AB175" s="99">
        <f t="shared" si="24"/>
        <v>331316.4549705442</v>
      </c>
      <c r="AC175" s="99">
        <f>MAX(IF(INDEX('Pace of change parameters'!$E$29:$I$29,1,$B$5)=1,MAX(AB175,Z175),Z175),L175)</f>
        <v>339704</v>
      </c>
      <c r="AD175" s="97">
        <f t="shared" si="25"/>
        <v>2.3759869808932521E-2</v>
      </c>
      <c r="AE175" s="146">
        <v>1.8085172077817901E-2</v>
      </c>
      <c r="AF175" s="56">
        <f t="shared" si="32"/>
        <v>339704</v>
      </c>
      <c r="AG175" s="56">
        <v>1544.9348987910505</v>
      </c>
      <c r="AH175" s="16">
        <f t="shared" si="26"/>
        <v>2.3759869808932521E-2</v>
      </c>
      <c r="AI175" s="16">
        <f t="shared" si="27"/>
        <v>1.8085172077817901E-2</v>
      </c>
      <c r="AJ175" s="56"/>
      <c r="AK175" s="56">
        <v>339811.74868773768</v>
      </c>
      <c r="AL175" s="56">
        <v>1545.4249274865763</v>
      </c>
      <c r="AM175" s="16">
        <f t="shared" si="35"/>
        <v>-3.1708346799008691E-4</v>
      </c>
      <c r="AN175" s="58">
        <f t="shared" si="35"/>
        <v>-3.1708346799008691E-4</v>
      </c>
      <c r="AP175" s="56">
        <f t="shared" si="34"/>
        <v>1</v>
      </c>
      <c r="AQ175" s="56">
        <f t="shared" si="28"/>
        <v>0</v>
      </c>
    </row>
    <row r="176" spans="1:43" x14ac:dyDescent="0.2">
      <c r="A176" s="156" t="s">
        <v>397</v>
      </c>
      <c r="B176" s="156" t="s">
        <v>398</v>
      </c>
      <c r="D176" s="68">
        <f>VLOOKUP(A176,'2016-17 disagg'!A176:BC384,43,FALSE)</f>
        <v>471528</v>
      </c>
      <c r="E176" s="73">
        <v>1388.2469051809201</v>
      </c>
      <c r="F176" s="55"/>
      <c r="G176" s="88">
        <v>483921.94527900673</v>
      </c>
      <c r="H176" s="81">
        <v>1416.3347337596322</v>
      </c>
      <c r="I176" s="90"/>
      <c r="J176" s="103">
        <f t="shared" si="29"/>
        <v>-2.5611455318193865E-2</v>
      </c>
      <c r="K176" s="126">
        <f t="shared" si="29"/>
        <v>-1.9831349121936404E-2</v>
      </c>
      <c r="L176" s="56">
        <v>483229</v>
      </c>
      <c r="M176" s="103">
        <v>1.7117780290974771E-2</v>
      </c>
      <c r="N176" s="97">
        <f>INDEX('Pace of change parameters'!$E$22:$I$22,1,$B$5)</f>
        <v>1.1119783131080974E-2</v>
      </c>
      <c r="O176" s="108">
        <f>MAX(IF(INDEX('Pace of change parameters'!$E$30:$I$30,1,$B$5)=1,(1+M176)*D176,D176),L176)</f>
        <v>483229</v>
      </c>
      <c r="P176" s="94">
        <f>IF(K176&lt;INDEX('Pace of change parameters'!$E$18:$I$18,1,$B$5),1,IF(K176&gt;INDEX('Pace of change parameters'!$E$19:$I$19,1,$B$5),0,(K176-INDEX('Pace of change parameters'!$E$19:$I$19,1,$B$5))/(INDEX('Pace of change parameters'!$E$18:$I$18,1,$B$5)-INDEX('Pace of change parameters'!$E$19:$I$19,1,$B$5))))</f>
        <v>0.67696381288568086</v>
      </c>
      <c r="Q176" s="57">
        <v>2.6569924619540553E-2</v>
      </c>
      <c r="R176" s="57">
        <v>2.0516187666344443E-2</v>
      </c>
      <c r="S176" s="9">
        <f>MAX(IF(INDEX('Pace of change parameters'!$E$31:$I$31,1,$B$5)=1,D176*(1+Q176),D176),L176)</f>
        <v>484056.46341600269</v>
      </c>
      <c r="T176" s="103">
        <f>IF(Q176&lt;INDEX('Pace of change parameters'!$E$24:$I$24,1,$B$5),INDEX('Pace of change parameters'!$E$24:$I$24,1,$B$5),Q176)</f>
        <v>2.6569924619540553E-2</v>
      </c>
      <c r="U176" s="132">
        <v>2.0516187666344443E-2</v>
      </c>
      <c r="V176" s="117">
        <f t="shared" si="30"/>
        <v>484056.46341600269</v>
      </c>
      <c r="W176" s="131">
        <f>IF(J176&gt;INDEX('Pace of change parameters'!$E$26:$I$26,1,$B$5),0,IF(J176&lt;INDEX('Pace of change parameters'!$E$25:$I$25,1,$B$5),1,(J176-INDEX('Pace of change parameters'!$E$26:$I$26,1,$B$5))/(INDEX('Pace of change parameters'!$E$25:$I$25,1,$B$5)-INDEX('Pace of change parameters'!$E$26:$I$26,1,$B$5))))</f>
        <v>1</v>
      </c>
      <c r="X176" s="132">
        <f>MIN(T176, T176+(INDEX('Pace of change parameters'!$E$27:$I$27,1,$B$5)-T176)*(1-W176))</f>
        <v>2.6569924619540553E-2</v>
      </c>
      <c r="Y176" s="132">
        <v>2.0516187666344443E-2</v>
      </c>
      <c r="Z176" s="108">
        <f t="shared" si="31"/>
        <v>484056.46341600269</v>
      </c>
      <c r="AA176" s="97">
        <f>MIN(VLOOKUP(A176,'2016-17 disagg'!$A$12:$BC$220,54,FALSE),MIN(0,VLOOKUP(A176,'2016-17 disagg'!$A$12:$BC$220,54,FALSE),-2.5%))</f>
        <v>-2.6745548291128629E-2</v>
      </c>
      <c r="AB176" s="99">
        <f t="shared" si="24"/>
        <v>483344.7238678509</v>
      </c>
      <c r="AC176" s="99">
        <f>MAX(IF(INDEX('Pace of change parameters'!$E$29:$I$29,1,$B$5)=1,MAX(AB176,Z176),Z176),L176)</f>
        <v>484056.46341600269</v>
      </c>
      <c r="AD176" s="97">
        <f t="shared" si="25"/>
        <v>2.6569924619540553E-2</v>
      </c>
      <c r="AE176" s="146">
        <v>2.0516187666344443E-2</v>
      </c>
      <c r="AF176" s="56">
        <f t="shared" si="32"/>
        <v>484056.46341600269</v>
      </c>
      <c r="AG176" s="56">
        <v>1416.7284392148335</v>
      </c>
      <c r="AH176" s="16">
        <f t="shared" si="26"/>
        <v>2.6569924619540553E-2</v>
      </c>
      <c r="AI176" s="16">
        <f t="shared" si="27"/>
        <v>2.0516187666344221E-2</v>
      </c>
      <c r="AJ176" s="56"/>
      <c r="AK176" s="56">
        <v>496627.29311864817</v>
      </c>
      <c r="AL176" s="56">
        <v>1453.5205353653166</v>
      </c>
      <c r="AM176" s="16">
        <f t="shared" si="35"/>
        <v>-2.5312402030313375E-2</v>
      </c>
      <c r="AN176" s="58">
        <f t="shared" si="35"/>
        <v>-2.5312402030313264E-2</v>
      </c>
      <c r="AP176" s="56">
        <f t="shared" si="34"/>
        <v>0</v>
      </c>
      <c r="AQ176" s="56">
        <f t="shared" si="28"/>
        <v>0</v>
      </c>
    </row>
    <row r="177" spans="1:43" x14ac:dyDescent="0.2">
      <c r="A177" s="156" t="s">
        <v>399</v>
      </c>
      <c r="B177" s="156" t="s">
        <v>400</v>
      </c>
      <c r="D177" s="68">
        <f>VLOOKUP(A177,'2016-17 disagg'!A177:BC385,43,FALSE)</f>
        <v>858790</v>
      </c>
      <c r="E177" s="73">
        <v>1690.4509664038078</v>
      </c>
      <c r="F177" s="55"/>
      <c r="G177" s="88">
        <v>878580.7669810243</v>
      </c>
      <c r="H177" s="81">
        <v>1715.6565423321565</v>
      </c>
      <c r="I177" s="90"/>
      <c r="J177" s="103">
        <f t="shared" si="29"/>
        <v>-2.2525836809550559E-2</v>
      </c>
      <c r="K177" s="126">
        <f t="shared" si="29"/>
        <v>-1.4691504567741598E-2</v>
      </c>
      <c r="L177" s="56">
        <v>879798</v>
      </c>
      <c r="M177" s="103">
        <v>1.9223780776869592E-2</v>
      </c>
      <c r="N177" s="97">
        <f>INDEX('Pace of change parameters'!$E$22:$I$22,1,$B$5)</f>
        <v>1.1119783131080974E-2</v>
      </c>
      <c r="O177" s="108">
        <f>MAX(IF(INDEX('Pace of change parameters'!$E$30:$I$30,1,$B$5)=1,(1+M177)*D177,D177),L177)</f>
        <v>879798</v>
      </c>
      <c r="P177" s="94">
        <f>IF(K177&lt;INDEX('Pace of change parameters'!$E$18:$I$18,1,$B$5),1,IF(K177&gt;INDEX('Pace of change parameters'!$E$19:$I$19,1,$B$5),0,(K177-INDEX('Pace of change parameters'!$E$19:$I$19,1,$B$5))/(INDEX('Pace of change parameters'!$E$18:$I$18,1,$B$5)-INDEX('Pace of change parameters'!$E$19:$I$19,1,$B$5))))</f>
        <v>0.60206724853090776</v>
      </c>
      <c r="Q177" s="57">
        <v>2.7647583647262941E-2</v>
      </c>
      <c r="R177" s="57">
        <v>1.9476607110363364E-2</v>
      </c>
      <c r="S177" s="9">
        <f>MAX(IF(INDEX('Pace of change parameters'!$E$31:$I$31,1,$B$5)=1,D177*(1+Q177),D177),L177)</f>
        <v>882533.46836043289</v>
      </c>
      <c r="T177" s="103">
        <f>IF(Q177&lt;INDEX('Pace of change parameters'!$E$24:$I$24,1,$B$5),INDEX('Pace of change parameters'!$E$24:$I$24,1,$B$5),Q177)</f>
        <v>2.7647583647262941E-2</v>
      </c>
      <c r="U177" s="132">
        <v>1.9476607110363364E-2</v>
      </c>
      <c r="V177" s="117">
        <f t="shared" si="30"/>
        <v>882533.46836043289</v>
      </c>
      <c r="W177" s="131">
        <f>IF(J177&gt;INDEX('Pace of change parameters'!$E$26:$I$26,1,$B$5),0,IF(J177&lt;INDEX('Pace of change parameters'!$E$25:$I$25,1,$B$5),1,(J177-INDEX('Pace of change parameters'!$E$26:$I$26,1,$B$5))/(INDEX('Pace of change parameters'!$E$25:$I$25,1,$B$5)-INDEX('Pace of change parameters'!$E$26:$I$26,1,$B$5))))</f>
        <v>1</v>
      </c>
      <c r="X177" s="132">
        <f>MIN(T177, T177+(INDEX('Pace of change parameters'!$E$27:$I$27,1,$B$5)-T177)*(1-W177))</f>
        <v>2.7647583647262941E-2</v>
      </c>
      <c r="Y177" s="132">
        <v>1.9476607110363364E-2</v>
      </c>
      <c r="Z177" s="108">
        <f t="shared" si="31"/>
        <v>882533.46836043289</v>
      </c>
      <c r="AA177" s="97">
        <f>MIN(VLOOKUP(A177,'2016-17 disagg'!$A$12:$BC$220,54,FALSE),MIN(0,VLOOKUP(A177,'2016-17 disagg'!$A$12:$BC$220,54,FALSE),-2.5%))</f>
        <v>-2.5000000000000001E-2</v>
      </c>
      <c r="AB177" s="99">
        <f t="shared" si="24"/>
        <v>878782.2983945685</v>
      </c>
      <c r="AC177" s="99">
        <f>MAX(IF(INDEX('Pace of change parameters'!$E$29:$I$29,1,$B$5)=1,MAX(AB177,Z177),Z177),L177)</f>
        <v>882533.46836043289</v>
      </c>
      <c r="AD177" s="97">
        <f t="shared" si="25"/>
        <v>2.7647583647262941E-2</v>
      </c>
      <c r="AE177" s="146">
        <v>1.9476607110363364E-2</v>
      </c>
      <c r="AF177" s="56">
        <f t="shared" si="32"/>
        <v>882533.46836043289</v>
      </c>
      <c r="AG177" s="56">
        <v>1723.3752157157887</v>
      </c>
      <c r="AH177" s="16">
        <f t="shared" si="26"/>
        <v>2.7647583647262941E-2</v>
      </c>
      <c r="AI177" s="16">
        <f t="shared" si="27"/>
        <v>1.9476607110363364E-2</v>
      </c>
      <c r="AJ177" s="56"/>
      <c r="AK177" s="56">
        <v>901315.17784058314</v>
      </c>
      <c r="AL177" s="56">
        <v>1760.051368844574</v>
      </c>
      <c r="AM177" s="16">
        <f t="shared" si="35"/>
        <v>-2.0838115169821592E-2</v>
      </c>
      <c r="AN177" s="58">
        <f t="shared" si="35"/>
        <v>-2.0838115169821481E-2</v>
      </c>
      <c r="AP177" s="56">
        <f t="shared" si="34"/>
        <v>0</v>
      </c>
      <c r="AQ177" s="56">
        <f t="shared" si="28"/>
        <v>0</v>
      </c>
    </row>
    <row r="178" spans="1:43" x14ac:dyDescent="0.2">
      <c r="A178" s="156" t="s">
        <v>401</v>
      </c>
      <c r="B178" s="156" t="s">
        <v>402</v>
      </c>
      <c r="D178" s="68">
        <f>VLOOKUP(A178,'2016-17 disagg'!A178:BC386,43,FALSE)</f>
        <v>200925</v>
      </c>
      <c r="E178" s="73">
        <v>1539.2446355035413</v>
      </c>
      <c r="F178" s="55"/>
      <c r="G178" s="88">
        <v>202992.96002503147</v>
      </c>
      <c r="H178" s="81">
        <v>1538.6299331202695</v>
      </c>
      <c r="I178" s="90"/>
      <c r="J178" s="103">
        <f t="shared" si="29"/>
        <v>-1.0187348491181525E-2</v>
      </c>
      <c r="K178" s="126">
        <f t="shared" si="29"/>
        <v>3.9951281984040854E-4</v>
      </c>
      <c r="L178" s="56">
        <v>206254</v>
      </c>
      <c r="M178" s="103">
        <v>2.1934541758909853E-2</v>
      </c>
      <c r="N178" s="97">
        <f>INDEX('Pace of change parameters'!$E$22:$I$22,1,$B$5)</f>
        <v>1.1119783131080974E-2</v>
      </c>
      <c r="O178" s="108">
        <f>MAX(IF(INDEX('Pace of change parameters'!$E$30:$I$30,1,$B$5)=1,(1+M178)*D178,D178),L178)</f>
        <v>206254</v>
      </c>
      <c r="P178" s="94">
        <f>IF(K178&lt;INDEX('Pace of change parameters'!$E$18:$I$18,1,$B$5),1,IF(K178&gt;INDEX('Pace of change parameters'!$E$19:$I$19,1,$B$5),0,(K178-INDEX('Pace of change parameters'!$E$19:$I$19,1,$B$5))/(INDEX('Pace of change parameters'!$E$18:$I$18,1,$B$5)-INDEX('Pace of change parameters'!$E$19:$I$19,1,$B$5))))</f>
        <v>0.38216461470016527</v>
      </c>
      <c r="Q178" s="57">
        <v>2.7295805782367344E-2</v>
      </c>
      <c r="R178" s="57">
        <v>1.6424310862746205E-2</v>
      </c>
      <c r="S178" s="9">
        <f>MAX(IF(INDEX('Pace of change parameters'!$E$31:$I$31,1,$B$5)=1,D178*(1+Q178),D178),L178)</f>
        <v>206409.40977682217</v>
      </c>
      <c r="T178" s="103">
        <f>IF(Q178&lt;INDEX('Pace of change parameters'!$E$24:$I$24,1,$B$5),INDEX('Pace of change parameters'!$E$24:$I$24,1,$B$5),Q178)</f>
        <v>2.7295805782367344E-2</v>
      </c>
      <c r="U178" s="132">
        <v>1.6424310862746205E-2</v>
      </c>
      <c r="V178" s="117">
        <f t="shared" si="30"/>
        <v>206409.40977682217</v>
      </c>
      <c r="W178" s="131">
        <f>IF(J178&gt;INDEX('Pace of change parameters'!$E$26:$I$26,1,$B$5),0,IF(J178&lt;INDEX('Pace of change parameters'!$E$25:$I$25,1,$B$5),1,(J178-INDEX('Pace of change parameters'!$E$26:$I$26,1,$B$5))/(INDEX('Pace of change parameters'!$E$25:$I$25,1,$B$5)-INDEX('Pace of change parameters'!$E$26:$I$26,1,$B$5))))</f>
        <v>1</v>
      </c>
      <c r="X178" s="132">
        <f>MIN(T178, T178+(INDEX('Pace of change parameters'!$E$27:$I$27,1,$B$5)-T178)*(1-W178))</f>
        <v>2.7295805782367344E-2</v>
      </c>
      <c r="Y178" s="132">
        <v>1.6424310862746205E-2</v>
      </c>
      <c r="Z178" s="108">
        <f t="shared" si="31"/>
        <v>206409.40977682217</v>
      </c>
      <c r="AA178" s="97">
        <f>MIN(VLOOKUP(A178,'2016-17 disagg'!$A$12:$BC$220,54,FALSE),MIN(0,VLOOKUP(A178,'2016-17 disagg'!$A$12:$BC$220,54,FALSE),-2.5%))</f>
        <v>-2.5000000000000001E-2</v>
      </c>
      <c r="AB178" s="99">
        <f t="shared" si="24"/>
        <v>203159.32907402184</v>
      </c>
      <c r="AC178" s="99">
        <f>MAX(IF(INDEX('Pace of change parameters'!$E$29:$I$29,1,$B$5)=1,MAX(AB178,Z178),Z178),L178)</f>
        <v>206409.40977682217</v>
      </c>
      <c r="AD178" s="97">
        <f t="shared" si="25"/>
        <v>2.7295805782367344E-2</v>
      </c>
      <c r="AE178" s="146">
        <v>1.6424310862746205E-2</v>
      </c>
      <c r="AF178" s="56">
        <f t="shared" si="32"/>
        <v>206409.40977682217</v>
      </c>
      <c r="AG178" s="56">
        <v>1564.5256678908659</v>
      </c>
      <c r="AH178" s="16">
        <f t="shared" si="26"/>
        <v>2.7295805782367344E-2</v>
      </c>
      <c r="AI178" s="16">
        <f t="shared" si="27"/>
        <v>1.6424310862746205E-2</v>
      </c>
      <c r="AJ178" s="56"/>
      <c r="AK178" s="56">
        <v>208368.54264002241</v>
      </c>
      <c r="AL178" s="56">
        <v>1579.3753477315254</v>
      </c>
      <c r="AM178" s="16">
        <f t="shared" si="35"/>
        <v>-9.4022487193992088E-3</v>
      </c>
      <c r="AN178" s="58">
        <f t="shared" si="35"/>
        <v>-9.4022487193993198E-3</v>
      </c>
      <c r="AP178" s="56">
        <f t="shared" si="34"/>
        <v>0</v>
      </c>
      <c r="AQ178" s="56">
        <f t="shared" si="28"/>
        <v>0</v>
      </c>
    </row>
    <row r="179" spans="1:43" x14ac:dyDescent="0.2">
      <c r="A179" s="156" t="s">
        <v>403</v>
      </c>
      <c r="B179" s="156" t="s">
        <v>404</v>
      </c>
      <c r="D179" s="68">
        <f>VLOOKUP(A179,'2016-17 disagg'!A179:BC387,43,FALSE)</f>
        <v>406530</v>
      </c>
      <c r="E179" s="73">
        <v>1554.1389688358715</v>
      </c>
      <c r="F179" s="55"/>
      <c r="G179" s="88">
        <v>417170.91418216599</v>
      </c>
      <c r="H179" s="81">
        <v>1579.2392068030033</v>
      </c>
      <c r="I179" s="90"/>
      <c r="J179" s="103">
        <f t="shared" si="29"/>
        <v>-2.5507325224306987E-2</v>
      </c>
      <c r="K179" s="126">
        <f t="shared" si="29"/>
        <v>-1.5893879697898572E-2</v>
      </c>
      <c r="L179" s="56">
        <v>417109</v>
      </c>
      <c r="M179" s="103">
        <v>2.1094557911242484E-2</v>
      </c>
      <c r="N179" s="97">
        <f>INDEX('Pace of change parameters'!$E$22:$I$22,1,$B$5)</f>
        <v>1.1119783131080974E-2</v>
      </c>
      <c r="O179" s="108">
        <f>MAX(IF(INDEX('Pace of change parameters'!$E$30:$I$30,1,$B$5)=1,(1+M179)*D179,D179),L179)</f>
        <v>417109</v>
      </c>
      <c r="P179" s="94">
        <f>IF(K179&lt;INDEX('Pace of change parameters'!$E$18:$I$18,1,$B$5),1,IF(K179&gt;INDEX('Pace of change parameters'!$E$19:$I$19,1,$B$5),0,(K179-INDEX('Pace of change parameters'!$E$19:$I$19,1,$B$5))/(INDEX('Pace of change parameters'!$E$18:$I$18,1,$B$5)-INDEX('Pace of change parameters'!$E$19:$I$19,1,$B$5))))</f>
        <v>0.61958796639792657</v>
      </c>
      <c r="Q179" s="57">
        <v>2.9779413070017746E-2</v>
      </c>
      <c r="R179" s="57">
        <v>1.9719798474056693E-2</v>
      </c>
      <c r="S179" s="9">
        <f>MAX(IF(INDEX('Pace of change parameters'!$E$31:$I$31,1,$B$5)=1,D179*(1+Q179),D179),L179)</f>
        <v>418636.2247953543</v>
      </c>
      <c r="T179" s="103">
        <f>IF(Q179&lt;INDEX('Pace of change parameters'!$E$24:$I$24,1,$B$5),INDEX('Pace of change parameters'!$E$24:$I$24,1,$B$5),Q179)</f>
        <v>2.9779413070017746E-2</v>
      </c>
      <c r="U179" s="132">
        <v>1.9719798474056693E-2</v>
      </c>
      <c r="V179" s="117">
        <f t="shared" si="30"/>
        <v>418636.2247953543</v>
      </c>
      <c r="W179" s="131">
        <f>IF(J179&gt;INDEX('Pace of change parameters'!$E$26:$I$26,1,$B$5),0,IF(J179&lt;INDEX('Pace of change parameters'!$E$25:$I$25,1,$B$5),1,(J179-INDEX('Pace of change parameters'!$E$26:$I$26,1,$B$5))/(INDEX('Pace of change parameters'!$E$25:$I$25,1,$B$5)-INDEX('Pace of change parameters'!$E$26:$I$26,1,$B$5))))</f>
        <v>1</v>
      </c>
      <c r="X179" s="132">
        <f>MIN(T179, T179+(INDEX('Pace of change parameters'!$E$27:$I$27,1,$B$5)-T179)*(1-W179))</f>
        <v>2.9779413070017746E-2</v>
      </c>
      <c r="Y179" s="132">
        <v>1.9719798474056693E-2</v>
      </c>
      <c r="Z179" s="108">
        <f t="shared" si="31"/>
        <v>418636.2247953543</v>
      </c>
      <c r="AA179" s="97">
        <f>MIN(VLOOKUP(A179,'2016-17 disagg'!$A$12:$BC$220,54,FALSE),MIN(0,VLOOKUP(A179,'2016-17 disagg'!$A$12:$BC$220,54,FALSE),-2.5%))</f>
        <v>-2.5000000000000001E-2</v>
      </c>
      <c r="AB179" s="99">
        <f t="shared" si="24"/>
        <v>417508.4031490311</v>
      </c>
      <c r="AC179" s="99">
        <f>MAX(IF(INDEX('Pace of change parameters'!$E$29:$I$29,1,$B$5)=1,MAX(AB179,Z179),Z179),L179)</f>
        <v>418636.2247953543</v>
      </c>
      <c r="AD179" s="97">
        <f t="shared" si="25"/>
        <v>2.9779413070017746E-2</v>
      </c>
      <c r="AE179" s="146">
        <v>1.9719798474056693E-2</v>
      </c>
      <c r="AF179" s="56">
        <f t="shared" si="32"/>
        <v>418636.2247953543</v>
      </c>
      <c r="AG179" s="56">
        <v>1584.7862761019935</v>
      </c>
      <c r="AH179" s="16">
        <f t="shared" si="26"/>
        <v>2.9779413070017746E-2</v>
      </c>
      <c r="AI179" s="16">
        <f t="shared" si="27"/>
        <v>1.9719798474056915E-2</v>
      </c>
      <c r="AJ179" s="56"/>
      <c r="AK179" s="56">
        <v>428213.74681951909</v>
      </c>
      <c r="AL179" s="56">
        <v>1621.0428744658373</v>
      </c>
      <c r="AM179" s="16">
        <f t="shared" si="35"/>
        <v>-2.2366218028496587E-2</v>
      </c>
      <c r="AN179" s="58">
        <f t="shared" si="35"/>
        <v>-2.2366218028496587E-2</v>
      </c>
      <c r="AP179" s="56">
        <f t="shared" si="34"/>
        <v>0</v>
      </c>
      <c r="AQ179" s="56">
        <f t="shared" si="28"/>
        <v>0</v>
      </c>
    </row>
    <row r="180" spans="1:43" x14ac:dyDescent="0.2">
      <c r="A180" s="156" t="s">
        <v>405</v>
      </c>
      <c r="B180" s="156" t="s">
        <v>406</v>
      </c>
      <c r="D180" s="68">
        <f>VLOOKUP(A180,'2016-17 disagg'!A180:BC388,43,FALSE)</f>
        <v>273813</v>
      </c>
      <c r="E180" s="73">
        <v>1511.145423221868</v>
      </c>
      <c r="F180" s="55"/>
      <c r="G180" s="88">
        <v>284124.85524809005</v>
      </c>
      <c r="H180" s="81">
        <v>1551.2640789257712</v>
      </c>
      <c r="I180" s="90"/>
      <c r="J180" s="103">
        <f t="shared" si="29"/>
        <v>-3.6293393758479953E-2</v>
      </c>
      <c r="K180" s="126">
        <f t="shared" si="29"/>
        <v>-2.5861912390625852E-2</v>
      </c>
      <c r="L180" s="56">
        <v>281144</v>
      </c>
      <c r="M180" s="103">
        <v>2.2064480521437169E-2</v>
      </c>
      <c r="N180" s="97">
        <f>INDEX('Pace of change parameters'!$E$22:$I$22,1,$B$5)</f>
        <v>1.1119783131080974E-2</v>
      </c>
      <c r="O180" s="108">
        <f>MAX(IF(INDEX('Pace of change parameters'!$E$30:$I$30,1,$B$5)=1,(1+M180)*D180,D180),L180)</f>
        <v>281144</v>
      </c>
      <c r="P180" s="94">
        <f>IF(K180&lt;INDEX('Pace of change parameters'!$E$18:$I$18,1,$B$5),1,IF(K180&gt;INDEX('Pace of change parameters'!$E$19:$I$19,1,$B$5),0,(K180-INDEX('Pace of change parameters'!$E$19:$I$19,1,$B$5))/(INDEX('Pace of change parameters'!$E$18:$I$18,1,$B$5)-INDEX('Pace of change parameters'!$E$19:$I$19,1,$B$5))))</f>
        <v>0.76483971364231129</v>
      </c>
      <c r="Q180" s="57">
        <v>3.2795534264770998E-2</v>
      </c>
      <c r="R180" s="57">
        <v>2.173592422639814E-2</v>
      </c>
      <c r="S180" s="9">
        <f>MAX(IF(INDEX('Pace of change parameters'!$E$31:$I$31,1,$B$5)=1,D180*(1+Q180),D180),L180)</f>
        <v>282792.84362363972</v>
      </c>
      <c r="T180" s="103">
        <f>IF(Q180&lt;INDEX('Pace of change parameters'!$E$24:$I$24,1,$B$5),INDEX('Pace of change parameters'!$E$24:$I$24,1,$B$5),Q180)</f>
        <v>3.2795534264770998E-2</v>
      </c>
      <c r="U180" s="132">
        <v>2.173592422639814E-2</v>
      </c>
      <c r="V180" s="117">
        <f t="shared" si="30"/>
        <v>282792.84362363972</v>
      </c>
      <c r="W180" s="131">
        <f>IF(J180&gt;INDEX('Pace of change parameters'!$E$26:$I$26,1,$B$5),0,IF(J180&lt;INDEX('Pace of change parameters'!$E$25:$I$25,1,$B$5),1,(J180-INDEX('Pace of change parameters'!$E$26:$I$26,1,$B$5))/(INDEX('Pace of change parameters'!$E$25:$I$25,1,$B$5)-INDEX('Pace of change parameters'!$E$26:$I$26,1,$B$5))))</f>
        <v>1</v>
      </c>
      <c r="X180" s="132">
        <f>MIN(T180, T180+(INDEX('Pace of change parameters'!$E$27:$I$27,1,$B$5)-T180)*(1-W180))</f>
        <v>3.2795534264770998E-2</v>
      </c>
      <c r="Y180" s="132">
        <v>2.173592422639814E-2</v>
      </c>
      <c r="Z180" s="108">
        <f t="shared" si="31"/>
        <v>282792.84362363972</v>
      </c>
      <c r="AA180" s="97">
        <f>MIN(VLOOKUP(A180,'2016-17 disagg'!$A$12:$BC$220,54,FALSE),MIN(0,VLOOKUP(A180,'2016-17 disagg'!$A$12:$BC$220,54,FALSE),-2.5%))</f>
        <v>-3.2735271047654502E-2</v>
      </c>
      <c r="AB180" s="99">
        <f t="shared" si="24"/>
        <v>282077.09834779252</v>
      </c>
      <c r="AC180" s="99">
        <f>MAX(IF(INDEX('Pace of change parameters'!$E$29:$I$29,1,$B$5)=1,MAX(AB180,Z180),Z180),L180)</f>
        <v>282792.84362363972</v>
      </c>
      <c r="AD180" s="97">
        <f t="shared" si="25"/>
        <v>3.2795534264770998E-2</v>
      </c>
      <c r="AE180" s="146">
        <v>2.173592422639814E-2</v>
      </c>
      <c r="AF180" s="56">
        <f t="shared" si="32"/>
        <v>282792.84362363972</v>
      </c>
      <c r="AG180" s="56">
        <v>1543.9915656360868</v>
      </c>
      <c r="AH180" s="16">
        <f t="shared" si="26"/>
        <v>3.2795534264770998E-2</v>
      </c>
      <c r="AI180" s="16">
        <f t="shared" si="27"/>
        <v>2.173592422639814E-2</v>
      </c>
      <c r="AJ180" s="56"/>
      <c r="AK180" s="56">
        <v>291623.47173902759</v>
      </c>
      <c r="AL180" s="56">
        <v>1592.2050039774526</v>
      </c>
      <c r="AM180" s="16">
        <f t="shared" si="35"/>
        <v>-3.0280923763538303E-2</v>
      </c>
      <c r="AN180" s="58">
        <f t="shared" si="35"/>
        <v>-3.0280923763538525E-2</v>
      </c>
      <c r="AP180" s="56">
        <f t="shared" si="34"/>
        <v>0</v>
      </c>
      <c r="AQ180" s="56">
        <f t="shared" si="28"/>
        <v>0</v>
      </c>
    </row>
    <row r="181" spans="1:43" x14ac:dyDescent="0.2">
      <c r="A181" s="156" t="s">
        <v>407</v>
      </c>
      <c r="B181" s="156" t="s">
        <v>408</v>
      </c>
      <c r="D181" s="68">
        <f>VLOOKUP(A181,'2016-17 disagg'!A181:BC389,43,FALSE)</f>
        <v>333260</v>
      </c>
      <c r="E181" s="73">
        <v>1719.9304997669917</v>
      </c>
      <c r="F181" s="55"/>
      <c r="G181" s="88">
        <v>337527.06424657867</v>
      </c>
      <c r="H181" s="81">
        <v>1729.4116807741159</v>
      </c>
      <c r="I181" s="90"/>
      <c r="J181" s="103">
        <f t="shared" si="29"/>
        <v>-1.2642139545471776E-2</v>
      </c>
      <c r="K181" s="126">
        <f t="shared" si="29"/>
        <v>-5.4823158144047257E-3</v>
      </c>
      <c r="L181" s="56">
        <v>341269</v>
      </c>
      <c r="M181" s="103">
        <v>1.8451916401261981E-2</v>
      </c>
      <c r="N181" s="97">
        <f>INDEX('Pace of change parameters'!$E$22:$I$22,1,$B$5)</f>
        <v>1.1119783131080974E-2</v>
      </c>
      <c r="O181" s="108">
        <f>MAX(IF(INDEX('Pace of change parameters'!$E$30:$I$30,1,$B$5)=1,(1+M181)*D181,D181),L181)</f>
        <v>341269</v>
      </c>
      <c r="P181" s="94">
        <f>IF(K181&lt;INDEX('Pace of change parameters'!$E$18:$I$18,1,$B$5),1,IF(K181&gt;INDEX('Pace of change parameters'!$E$19:$I$19,1,$B$5),0,(K181-INDEX('Pace of change parameters'!$E$19:$I$19,1,$B$5))/(INDEX('Pace of change parameters'!$E$18:$I$18,1,$B$5)-INDEX('Pace of change parameters'!$E$19:$I$19,1,$B$5))))</f>
        <v>0.46787319054979043</v>
      </c>
      <c r="Q181" s="57">
        <v>2.4993190297520229E-2</v>
      </c>
      <c r="R181" s="57">
        <v>1.761396448306507E-2</v>
      </c>
      <c r="S181" s="9">
        <f>MAX(IF(INDEX('Pace of change parameters'!$E$31:$I$31,1,$B$5)=1,D181*(1+Q181),D181),L181)</f>
        <v>341589.23059855157</v>
      </c>
      <c r="T181" s="103">
        <f>IF(Q181&lt;INDEX('Pace of change parameters'!$E$24:$I$24,1,$B$5),INDEX('Pace of change parameters'!$E$24:$I$24,1,$B$5),Q181)</f>
        <v>2.4993190297520229E-2</v>
      </c>
      <c r="U181" s="132">
        <v>1.761396448306507E-2</v>
      </c>
      <c r="V181" s="117">
        <f t="shared" si="30"/>
        <v>341589.23059855157</v>
      </c>
      <c r="W181" s="131">
        <f>IF(J181&gt;INDEX('Pace of change parameters'!$E$26:$I$26,1,$B$5),0,IF(J181&lt;INDEX('Pace of change parameters'!$E$25:$I$25,1,$B$5),1,(J181-INDEX('Pace of change parameters'!$E$26:$I$26,1,$B$5))/(INDEX('Pace of change parameters'!$E$25:$I$25,1,$B$5)-INDEX('Pace of change parameters'!$E$26:$I$26,1,$B$5))))</f>
        <v>1</v>
      </c>
      <c r="X181" s="132">
        <f>MIN(T181, T181+(INDEX('Pace of change parameters'!$E$27:$I$27,1,$B$5)-T181)*(1-W181))</f>
        <v>2.4993190297520229E-2</v>
      </c>
      <c r="Y181" s="132">
        <v>1.761396448306507E-2</v>
      </c>
      <c r="Z181" s="108">
        <f t="shared" si="31"/>
        <v>341589.23059855157</v>
      </c>
      <c r="AA181" s="97">
        <f>MIN(VLOOKUP(A181,'2016-17 disagg'!$A$12:$BC$220,54,FALSE),MIN(0,VLOOKUP(A181,'2016-17 disagg'!$A$12:$BC$220,54,FALSE),-2.5%))</f>
        <v>-2.5000000000000001E-2</v>
      </c>
      <c r="AB181" s="99">
        <f t="shared" si="24"/>
        <v>337664.0836939218</v>
      </c>
      <c r="AC181" s="99">
        <f>MAX(IF(INDEX('Pace of change parameters'!$E$29:$I$29,1,$B$5)=1,MAX(AB181,Z181),Z181),L181)</f>
        <v>341589.23059855157</v>
      </c>
      <c r="AD181" s="97">
        <f t="shared" si="25"/>
        <v>2.4993190297520229E-2</v>
      </c>
      <c r="AE181" s="146">
        <v>1.761396448306507E-2</v>
      </c>
      <c r="AF181" s="56">
        <f t="shared" si="32"/>
        <v>341589.23059855157</v>
      </c>
      <c r="AG181" s="56">
        <v>1750.2252945032278</v>
      </c>
      <c r="AH181" s="16">
        <f t="shared" si="26"/>
        <v>2.4993190297520229E-2</v>
      </c>
      <c r="AI181" s="16">
        <f t="shared" si="27"/>
        <v>1.761396448306507E-2</v>
      </c>
      <c r="AJ181" s="56"/>
      <c r="AK181" s="56">
        <v>346322.13712197106</v>
      </c>
      <c r="AL181" s="56">
        <v>1774.4756278620785</v>
      </c>
      <c r="AM181" s="16">
        <f t="shared" si="35"/>
        <v>-1.3666196919293716E-2</v>
      </c>
      <c r="AN181" s="58">
        <f t="shared" si="35"/>
        <v>-1.3666196919293827E-2</v>
      </c>
      <c r="AP181" s="56">
        <f t="shared" si="34"/>
        <v>0</v>
      </c>
      <c r="AQ181" s="56">
        <f t="shared" si="28"/>
        <v>0</v>
      </c>
    </row>
    <row r="182" spans="1:43" x14ac:dyDescent="0.2">
      <c r="A182" s="156" t="s">
        <v>409</v>
      </c>
      <c r="B182" s="156" t="s">
        <v>410</v>
      </c>
      <c r="D182" s="68">
        <f>VLOOKUP(A182,'2016-17 disagg'!A182:BC390,43,FALSE)</f>
        <v>300694</v>
      </c>
      <c r="E182" s="73">
        <v>1473.5141650417124</v>
      </c>
      <c r="F182" s="55"/>
      <c r="G182" s="88">
        <v>308163.46177200042</v>
      </c>
      <c r="H182" s="81">
        <v>1501.8236179944183</v>
      </c>
      <c r="I182" s="90"/>
      <c r="J182" s="103">
        <f t="shared" si="29"/>
        <v>-2.4238635330254721E-2</v>
      </c>
      <c r="K182" s="126">
        <f t="shared" si="29"/>
        <v>-1.885005177273158E-2</v>
      </c>
      <c r="L182" s="56">
        <v>307783</v>
      </c>
      <c r="M182" s="103">
        <v>1.6703631431849386E-2</v>
      </c>
      <c r="N182" s="97">
        <f>INDEX('Pace of change parameters'!$E$22:$I$22,1,$B$5)</f>
        <v>1.1119783131080974E-2</v>
      </c>
      <c r="O182" s="108">
        <f>MAX(IF(INDEX('Pace of change parameters'!$E$30:$I$30,1,$B$5)=1,(1+M182)*D182,D182),L182)</f>
        <v>307783</v>
      </c>
      <c r="P182" s="94">
        <f>IF(K182&lt;INDEX('Pace of change parameters'!$E$18:$I$18,1,$B$5),1,IF(K182&gt;INDEX('Pace of change parameters'!$E$19:$I$19,1,$B$5),0,(K182-INDEX('Pace of change parameters'!$E$19:$I$19,1,$B$5))/(INDEX('Pace of change parameters'!$E$18:$I$18,1,$B$5)-INDEX('Pace of change parameters'!$E$19:$I$19,1,$B$5))))</f>
        <v>0.66266458665598782</v>
      </c>
      <c r="Q182" s="57">
        <v>2.5952354612140294E-2</v>
      </c>
      <c r="R182" s="57">
        <v>2.0317711305218644E-2</v>
      </c>
      <c r="S182" s="9">
        <f>MAX(IF(INDEX('Pace of change parameters'!$E$31:$I$31,1,$B$5)=1,D182*(1+Q182),D182),L182)</f>
        <v>308497.71731774294</v>
      </c>
      <c r="T182" s="103">
        <f>IF(Q182&lt;INDEX('Pace of change parameters'!$E$24:$I$24,1,$B$5),INDEX('Pace of change parameters'!$E$24:$I$24,1,$B$5),Q182)</f>
        <v>2.5952354612140294E-2</v>
      </c>
      <c r="U182" s="132">
        <v>2.0317711305218644E-2</v>
      </c>
      <c r="V182" s="117">
        <f t="shared" si="30"/>
        <v>308497.71731774294</v>
      </c>
      <c r="W182" s="131">
        <f>IF(J182&gt;INDEX('Pace of change parameters'!$E$26:$I$26,1,$B$5),0,IF(J182&lt;INDEX('Pace of change parameters'!$E$25:$I$25,1,$B$5),1,(J182-INDEX('Pace of change parameters'!$E$26:$I$26,1,$B$5))/(INDEX('Pace of change parameters'!$E$25:$I$25,1,$B$5)-INDEX('Pace of change parameters'!$E$26:$I$26,1,$B$5))))</f>
        <v>1</v>
      </c>
      <c r="X182" s="132">
        <f>MIN(T182, T182+(INDEX('Pace of change parameters'!$E$27:$I$27,1,$B$5)-T182)*(1-W182))</f>
        <v>2.5952354612140294E-2</v>
      </c>
      <c r="Y182" s="132">
        <v>2.0317711305218644E-2</v>
      </c>
      <c r="Z182" s="108">
        <f t="shared" si="31"/>
        <v>308497.71731774294</v>
      </c>
      <c r="AA182" s="97">
        <f>MIN(VLOOKUP(A182,'2016-17 disagg'!$A$12:$BC$220,54,FALSE),MIN(0,VLOOKUP(A182,'2016-17 disagg'!$A$12:$BC$220,54,FALSE),-2.5%))</f>
        <v>-2.5763842866693087E-2</v>
      </c>
      <c r="AB182" s="99">
        <f t="shared" si="24"/>
        <v>307931.01063336706</v>
      </c>
      <c r="AC182" s="99">
        <f>MAX(IF(INDEX('Pace of change parameters'!$E$29:$I$29,1,$B$5)=1,MAX(AB182,Z182),Z182),L182)</f>
        <v>308497.71731774294</v>
      </c>
      <c r="AD182" s="97">
        <f t="shared" si="25"/>
        <v>2.5952354612140294E-2</v>
      </c>
      <c r="AE182" s="146">
        <v>2.0317711305218644E-2</v>
      </c>
      <c r="AF182" s="56">
        <f t="shared" si="32"/>
        <v>308497.71731774294</v>
      </c>
      <c r="AG182" s="56">
        <v>1503.4526004511806</v>
      </c>
      <c r="AH182" s="16">
        <f t="shared" si="26"/>
        <v>2.5952354612140294E-2</v>
      </c>
      <c r="AI182" s="16">
        <f t="shared" si="27"/>
        <v>2.0317711305218866E-2</v>
      </c>
      <c r="AJ182" s="56"/>
      <c r="AK182" s="56">
        <v>316074.29921247746</v>
      </c>
      <c r="AL182" s="56">
        <v>1540.3768015480643</v>
      </c>
      <c r="AM182" s="16">
        <f t="shared" si="35"/>
        <v>-2.3970888849906946E-2</v>
      </c>
      <c r="AN182" s="58">
        <f t="shared" si="35"/>
        <v>-2.3970888849906835E-2</v>
      </c>
      <c r="AP182" s="56">
        <f t="shared" si="34"/>
        <v>0</v>
      </c>
      <c r="AQ182" s="56">
        <f t="shared" si="28"/>
        <v>0</v>
      </c>
    </row>
    <row r="183" spans="1:43" x14ac:dyDescent="0.2">
      <c r="A183" s="156" t="s">
        <v>411</v>
      </c>
      <c r="B183" s="156" t="s">
        <v>412</v>
      </c>
      <c r="D183" s="68">
        <f>VLOOKUP(A183,'2016-17 disagg'!A183:BC391,43,FALSE)</f>
        <v>316978</v>
      </c>
      <c r="E183" s="73">
        <v>1424.1224590819081</v>
      </c>
      <c r="F183" s="55"/>
      <c r="G183" s="88">
        <v>317325.85249951837</v>
      </c>
      <c r="H183" s="81">
        <v>1414.1059579099967</v>
      </c>
      <c r="I183" s="90"/>
      <c r="J183" s="103">
        <f t="shared" si="29"/>
        <v>-1.0961996848929401E-3</v>
      </c>
      <c r="K183" s="126">
        <f t="shared" si="29"/>
        <v>7.0832748535445411E-3</v>
      </c>
      <c r="L183" s="56">
        <v>324954</v>
      </c>
      <c r="M183" s="103">
        <v>1.9399287642749119E-2</v>
      </c>
      <c r="N183" s="97">
        <f>INDEX('Pace of change parameters'!$E$22:$I$22,1,$B$5)</f>
        <v>1.1119783131080974E-2</v>
      </c>
      <c r="O183" s="108">
        <f>MAX(IF(INDEX('Pace of change parameters'!$E$30:$I$30,1,$B$5)=1,(1+M183)*D183,D183),L183)</f>
        <v>324954</v>
      </c>
      <c r="P183" s="94">
        <f>IF(K183&lt;INDEX('Pace of change parameters'!$E$18:$I$18,1,$B$5),1,IF(K183&gt;INDEX('Pace of change parameters'!$E$19:$I$19,1,$B$5),0,(K183-INDEX('Pace of change parameters'!$E$19:$I$19,1,$B$5))/(INDEX('Pace of change parameters'!$E$18:$I$18,1,$B$5)-INDEX('Pace of change parameters'!$E$19:$I$19,1,$B$5))))</f>
        <v>0.28477046045852361</v>
      </c>
      <c r="Q183" s="57">
        <v>2.3384329682340832E-2</v>
      </c>
      <c r="R183" s="57">
        <v>1.507245888010722E-2</v>
      </c>
      <c r="S183" s="9">
        <f>MAX(IF(INDEX('Pace of change parameters'!$E$31:$I$31,1,$B$5)=1,D183*(1+Q183),D183),L183)</f>
        <v>324954</v>
      </c>
      <c r="T183" s="103">
        <f>IF(Q183&lt;INDEX('Pace of change parameters'!$E$24:$I$24,1,$B$5),INDEX('Pace of change parameters'!$E$24:$I$24,1,$B$5),Q183)</f>
        <v>2.3384329682340832E-2</v>
      </c>
      <c r="U183" s="132">
        <v>1.507245888010722E-2</v>
      </c>
      <c r="V183" s="117">
        <f t="shared" si="30"/>
        <v>324954</v>
      </c>
      <c r="W183" s="131">
        <f>IF(J183&gt;INDEX('Pace of change parameters'!$E$26:$I$26,1,$B$5),0,IF(J183&lt;INDEX('Pace of change parameters'!$E$25:$I$25,1,$B$5),1,(J183-INDEX('Pace of change parameters'!$E$26:$I$26,1,$B$5))/(INDEX('Pace of change parameters'!$E$25:$I$25,1,$B$5)-INDEX('Pace of change parameters'!$E$26:$I$26,1,$B$5))))</f>
        <v>1</v>
      </c>
      <c r="X183" s="132">
        <f>MIN(T183, T183+(INDEX('Pace of change parameters'!$E$27:$I$27,1,$B$5)-T183)*(1-W183))</f>
        <v>2.3384329682340832E-2</v>
      </c>
      <c r="Y183" s="132">
        <v>1.507245888010722E-2</v>
      </c>
      <c r="Z183" s="108">
        <f t="shared" si="31"/>
        <v>324954</v>
      </c>
      <c r="AA183" s="97">
        <f>MIN(VLOOKUP(A183,'2016-17 disagg'!$A$12:$BC$220,54,FALSE),MIN(0,VLOOKUP(A183,'2016-17 disagg'!$A$12:$BC$220,54,FALSE),-2.5%))</f>
        <v>-2.5000000000000001E-2</v>
      </c>
      <c r="AB183" s="99">
        <f t="shared" si="24"/>
        <v>317435.22963209992</v>
      </c>
      <c r="AC183" s="99">
        <f>MAX(IF(INDEX('Pace of change parameters'!$E$29:$I$29,1,$B$5)=1,MAX(AB183,Z183),Z183),L183)</f>
        <v>324954</v>
      </c>
      <c r="AD183" s="97">
        <f t="shared" si="25"/>
        <v>2.516262958312554E-2</v>
      </c>
      <c r="AE183" s="146">
        <v>1.6836315527664292E-2</v>
      </c>
      <c r="AF183" s="56">
        <f t="shared" si="32"/>
        <v>324954</v>
      </c>
      <c r="AG183" s="56">
        <v>1448.0994341530445</v>
      </c>
      <c r="AH183" s="16">
        <f t="shared" si="26"/>
        <v>2.516262958312554E-2</v>
      </c>
      <c r="AI183" s="16">
        <f t="shared" si="27"/>
        <v>1.6836315527664514E-2</v>
      </c>
      <c r="AJ183" s="56"/>
      <c r="AK183" s="56">
        <v>325574.59449446143</v>
      </c>
      <c r="AL183" s="56">
        <v>1450.8650026220218</v>
      </c>
      <c r="AM183" s="16">
        <f t="shared" si="35"/>
        <v>-1.9061514778972999E-3</v>
      </c>
      <c r="AN183" s="58">
        <f t="shared" si="35"/>
        <v>-1.9061514778971889E-3</v>
      </c>
      <c r="AP183" s="56">
        <f t="shared" si="34"/>
        <v>1</v>
      </c>
      <c r="AQ183" s="56">
        <f t="shared" si="28"/>
        <v>0</v>
      </c>
    </row>
    <row r="184" spans="1:43" x14ac:dyDescent="0.2">
      <c r="A184" s="156" t="s">
        <v>413</v>
      </c>
      <c r="B184" s="156" t="s">
        <v>414</v>
      </c>
      <c r="D184" s="68">
        <f>VLOOKUP(A184,'2016-17 disagg'!A184:BC392,43,FALSE)</f>
        <v>338692</v>
      </c>
      <c r="E184" s="73">
        <v>1808.7420466808962</v>
      </c>
      <c r="F184" s="55"/>
      <c r="G184" s="88">
        <v>325807.79534688784</v>
      </c>
      <c r="H184" s="81">
        <v>1729.1147411112408</v>
      </c>
      <c r="I184" s="90"/>
      <c r="J184" s="103">
        <f t="shared" si="29"/>
        <v>3.9545415539840922E-2</v>
      </c>
      <c r="K184" s="126">
        <f t="shared" si="29"/>
        <v>4.6050908986225991E-2</v>
      </c>
      <c r="L184" s="56">
        <v>345485</v>
      </c>
      <c r="M184" s="103">
        <v>1.7447388471203196E-2</v>
      </c>
      <c r="N184" s="97">
        <f>INDEX('Pace of change parameters'!$E$22:$I$22,1,$B$5)</f>
        <v>1.1119783131080974E-2</v>
      </c>
      <c r="O184" s="108">
        <f>MAX(IF(INDEX('Pace of change parameters'!$E$30:$I$30,1,$B$5)=1,(1+M184)*D184,D184),L184)</f>
        <v>345485</v>
      </c>
      <c r="P184" s="94">
        <f>IF(K184&lt;INDEX('Pace of change parameters'!$E$18:$I$18,1,$B$5),1,IF(K184&gt;INDEX('Pace of change parameters'!$E$19:$I$19,1,$B$5),0,(K184-INDEX('Pace of change parameters'!$E$19:$I$19,1,$B$5))/(INDEX('Pace of change parameters'!$E$18:$I$18,1,$B$5)-INDEX('Pace of change parameters'!$E$19:$I$19,1,$B$5))))</f>
        <v>0</v>
      </c>
      <c r="Q184" s="57">
        <v>1.7447388471203196E-2</v>
      </c>
      <c r="R184" s="57">
        <v>1.1119783131080974E-2</v>
      </c>
      <c r="S184" s="9">
        <f>MAX(IF(INDEX('Pace of change parameters'!$E$31:$I$31,1,$B$5)=1,D184*(1+Q184),D184),L184)</f>
        <v>345485</v>
      </c>
      <c r="T184" s="103">
        <f>IF(Q184&lt;INDEX('Pace of change parameters'!$E$24:$I$24,1,$B$5),INDEX('Pace of change parameters'!$E$24:$I$24,1,$B$5),Q184)</f>
        <v>1.9644681315626574E-2</v>
      </c>
      <c r="U184" s="132">
        <v>1.3303410795276083E-2</v>
      </c>
      <c r="V184" s="117">
        <f t="shared" si="30"/>
        <v>345485</v>
      </c>
      <c r="W184" s="131">
        <f>IF(J184&gt;INDEX('Pace of change parameters'!$E$26:$I$26,1,$B$5),0,IF(J184&lt;INDEX('Pace of change parameters'!$E$25:$I$25,1,$B$5),1,(J184-INDEX('Pace of change parameters'!$E$26:$I$26,1,$B$5))/(INDEX('Pace of change parameters'!$E$25:$I$25,1,$B$5)-INDEX('Pace of change parameters'!$E$26:$I$26,1,$B$5))))</f>
        <v>1</v>
      </c>
      <c r="X184" s="132">
        <f>MIN(T184, T184+(INDEX('Pace of change parameters'!$E$27:$I$27,1,$B$5)-T184)*(1-W184))</f>
        <v>1.9644681315626574E-2</v>
      </c>
      <c r="Y184" s="132">
        <v>1.3303410795276083E-2</v>
      </c>
      <c r="Z184" s="108">
        <f t="shared" si="31"/>
        <v>345485</v>
      </c>
      <c r="AA184" s="97">
        <f>MIN(VLOOKUP(A184,'2016-17 disagg'!$A$12:$BC$220,54,FALSE),MIN(0,VLOOKUP(A184,'2016-17 disagg'!$A$12:$BC$220,54,FALSE),-2.5%))</f>
        <v>-2.5000000000000001E-2</v>
      </c>
      <c r="AB184" s="99">
        <f t="shared" si="24"/>
        <v>325908.71553205891</v>
      </c>
      <c r="AC184" s="99">
        <f>MAX(IF(INDEX('Pace of change parameters'!$E$29:$I$29,1,$B$5)=1,MAX(AB184,Z184),Z184),L184)</f>
        <v>345485</v>
      </c>
      <c r="AD184" s="97">
        <f t="shared" si="25"/>
        <v>2.0056570571492793E-2</v>
      </c>
      <c r="AE184" s="146">
        <v>1.3712738471364894E-2</v>
      </c>
      <c r="AF184" s="56">
        <f t="shared" si="32"/>
        <v>345485</v>
      </c>
      <c r="AG184" s="56">
        <v>1833.5448533291926</v>
      </c>
      <c r="AH184" s="16">
        <f t="shared" si="26"/>
        <v>2.0056570571492793E-2</v>
      </c>
      <c r="AI184" s="16">
        <f t="shared" si="27"/>
        <v>1.3712738471364894E-2</v>
      </c>
      <c r="AJ184" s="56"/>
      <c r="AK184" s="56">
        <v>334265.34926365019</v>
      </c>
      <c r="AL184" s="56">
        <v>1774.0003496205359</v>
      </c>
      <c r="AM184" s="16">
        <f t="shared" si="35"/>
        <v>3.3565102578132722E-2</v>
      </c>
      <c r="AN184" s="58">
        <f t="shared" si="35"/>
        <v>3.3565102578132722E-2</v>
      </c>
      <c r="AP184" s="56">
        <f t="shared" si="34"/>
        <v>1</v>
      </c>
      <c r="AQ184" s="56">
        <f t="shared" si="28"/>
        <v>0</v>
      </c>
    </row>
    <row r="185" spans="1:43" x14ac:dyDescent="0.2">
      <c r="A185" s="156" t="s">
        <v>415</v>
      </c>
      <c r="B185" s="156" t="s">
        <v>416</v>
      </c>
      <c r="D185" s="68">
        <f>VLOOKUP(A185,'2016-17 disagg'!A185:BC393,43,FALSE)</f>
        <v>258490</v>
      </c>
      <c r="E185" s="73">
        <v>1520.3534819610106</v>
      </c>
      <c r="F185" s="55"/>
      <c r="G185" s="88">
        <v>261058.50397292053</v>
      </c>
      <c r="H185" s="81">
        <v>1525.0655567348817</v>
      </c>
      <c r="I185" s="90"/>
      <c r="J185" s="103">
        <f t="shared" si="29"/>
        <v>-9.8388059911159731E-3</v>
      </c>
      <c r="K185" s="126">
        <f t="shared" si="29"/>
        <v>-3.0897522752789675E-3</v>
      </c>
      <c r="L185" s="56">
        <v>264663</v>
      </c>
      <c r="M185" s="103">
        <v>1.8011693024931885E-2</v>
      </c>
      <c r="N185" s="97">
        <f>INDEX('Pace of change parameters'!$E$22:$I$22,1,$B$5)</f>
        <v>1.1119783131080974E-2</v>
      </c>
      <c r="O185" s="108">
        <f>MAX(IF(INDEX('Pace of change parameters'!$E$30:$I$30,1,$B$5)=1,(1+M185)*D185,D185),L185)</f>
        <v>264663</v>
      </c>
      <c r="P185" s="94">
        <f>IF(K185&lt;INDEX('Pace of change parameters'!$E$18:$I$18,1,$B$5),1,IF(K185&gt;INDEX('Pace of change parameters'!$E$19:$I$19,1,$B$5),0,(K185-INDEX('Pace of change parameters'!$E$19:$I$19,1,$B$5))/(INDEX('Pace of change parameters'!$E$18:$I$18,1,$B$5)-INDEX('Pace of change parameters'!$E$19:$I$19,1,$B$5))))</f>
        <v>0.43300933675196124</v>
      </c>
      <c r="Q185" s="57">
        <v>2.4062923179488882E-2</v>
      </c>
      <c r="R185" s="57">
        <v>1.7130046631465001E-2</v>
      </c>
      <c r="S185" s="9">
        <f>MAX(IF(INDEX('Pace of change parameters'!$E$31:$I$31,1,$B$5)=1,D185*(1+Q185),D185),L185)</f>
        <v>264710.02501266607</v>
      </c>
      <c r="T185" s="103">
        <f>IF(Q185&lt;INDEX('Pace of change parameters'!$E$24:$I$24,1,$B$5),INDEX('Pace of change parameters'!$E$24:$I$24,1,$B$5),Q185)</f>
        <v>2.4062923179488882E-2</v>
      </c>
      <c r="U185" s="132">
        <v>1.7130046631465001E-2</v>
      </c>
      <c r="V185" s="117">
        <f t="shared" si="30"/>
        <v>264710.02501266607</v>
      </c>
      <c r="W185" s="131">
        <f>IF(J185&gt;INDEX('Pace of change parameters'!$E$26:$I$26,1,$B$5),0,IF(J185&lt;INDEX('Pace of change parameters'!$E$25:$I$25,1,$B$5),1,(J185-INDEX('Pace of change parameters'!$E$26:$I$26,1,$B$5))/(INDEX('Pace of change parameters'!$E$25:$I$25,1,$B$5)-INDEX('Pace of change parameters'!$E$26:$I$26,1,$B$5))))</f>
        <v>1</v>
      </c>
      <c r="X185" s="132">
        <f>MIN(T185, T185+(INDEX('Pace of change parameters'!$E$27:$I$27,1,$B$5)-T185)*(1-W185))</f>
        <v>2.4062923179488882E-2</v>
      </c>
      <c r="Y185" s="132">
        <v>1.7130046631465001E-2</v>
      </c>
      <c r="Z185" s="108">
        <f t="shared" si="31"/>
        <v>264710.02501266607</v>
      </c>
      <c r="AA185" s="97">
        <f>MIN(VLOOKUP(A185,'2016-17 disagg'!$A$12:$BC$220,54,FALSE),MIN(0,VLOOKUP(A185,'2016-17 disagg'!$A$12:$BC$220,54,FALSE),-2.5%))</f>
        <v>-2.5000000000000001E-2</v>
      </c>
      <c r="AB185" s="99">
        <f t="shared" si="24"/>
        <v>261205.47559409746</v>
      </c>
      <c r="AC185" s="99">
        <f>MAX(IF(INDEX('Pace of change parameters'!$E$29:$I$29,1,$B$5)=1,MAX(AB185,Z185),Z185),L185)</f>
        <v>264710.02501266607</v>
      </c>
      <c r="AD185" s="97">
        <f t="shared" si="25"/>
        <v>2.4062923179488882E-2</v>
      </c>
      <c r="AE185" s="146">
        <v>1.7130046631465001E-2</v>
      </c>
      <c r="AF185" s="56">
        <f t="shared" si="32"/>
        <v>264710.02501266607</v>
      </c>
      <c r="AG185" s="56">
        <v>1546.3972080033129</v>
      </c>
      <c r="AH185" s="16">
        <f t="shared" si="26"/>
        <v>2.4062923179488882E-2</v>
      </c>
      <c r="AI185" s="16">
        <f t="shared" si="27"/>
        <v>1.7130046631465001E-2</v>
      </c>
      <c r="AJ185" s="56"/>
      <c r="AK185" s="56">
        <v>267903.05189138203</v>
      </c>
      <c r="AL185" s="56">
        <v>1565.0504035144752</v>
      </c>
      <c r="AM185" s="16">
        <f t="shared" si="35"/>
        <v>-1.1918590908813309E-2</v>
      </c>
      <c r="AN185" s="58">
        <f t="shared" si="35"/>
        <v>-1.1918590908813309E-2</v>
      </c>
      <c r="AP185" s="56">
        <f t="shared" si="34"/>
        <v>0</v>
      </c>
      <c r="AQ185" s="56">
        <f t="shared" si="28"/>
        <v>0</v>
      </c>
    </row>
    <row r="186" spans="1:43" x14ac:dyDescent="0.2">
      <c r="A186" s="156" t="s">
        <v>417</v>
      </c>
      <c r="B186" s="156" t="s">
        <v>418</v>
      </c>
      <c r="D186" s="68">
        <f>VLOOKUP(A186,'2016-17 disagg'!A186:BC394,43,FALSE)</f>
        <v>341912</v>
      </c>
      <c r="E186" s="73">
        <v>1450.503780453171</v>
      </c>
      <c r="F186" s="55"/>
      <c r="G186" s="88">
        <v>348295.82579204801</v>
      </c>
      <c r="H186" s="81">
        <v>1468.0742841666765</v>
      </c>
      <c r="I186" s="90"/>
      <c r="J186" s="103">
        <f t="shared" si="29"/>
        <v>-1.8328746195940604E-2</v>
      </c>
      <c r="K186" s="126">
        <f t="shared" si="29"/>
        <v>-1.1968402350620244E-2</v>
      </c>
      <c r="L186" s="56">
        <v>350237</v>
      </c>
      <c r="M186" s="103">
        <v>1.767092687151206E-2</v>
      </c>
      <c r="N186" s="97">
        <f>INDEX('Pace of change parameters'!$E$22:$I$22,1,$B$5)</f>
        <v>1.1119783131080974E-2</v>
      </c>
      <c r="O186" s="108">
        <f>MAX(IF(INDEX('Pace of change parameters'!$E$30:$I$30,1,$B$5)=1,(1+M186)*D186,D186),L186)</f>
        <v>350237</v>
      </c>
      <c r="P186" s="94">
        <f>IF(K186&lt;INDEX('Pace of change parameters'!$E$18:$I$18,1,$B$5),1,IF(K186&gt;INDEX('Pace of change parameters'!$E$19:$I$19,1,$B$5),0,(K186-INDEX('Pace of change parameters'!$E$19:$I$19,1,$B$5))/(INDEX('Pace of change parameters'!$E$18:$I$18,1,$B$5)-INDEX('Pace of change parameters'!$E$19:$I$19,1,$B$5))))</f>
        <v>0.56238686553512174</v>
      </c>
      <c r="Q186" s="57">
        <v>2.5527554699780408E-2</v>
      </c>
      <c r="R186" s="57">
        <v>1.8925834788940055E-2</v>
      </c>
      <c r="S186" s="9">
        <f>MAX(IF(INDEX('Pace of change parameters'!$E$31:$I$31,1,$B$5)=1,D186*(1+Q186),D186),L186)</f>
        <v>350640.17728251131</v>
      </c>
      <c r="T186" s="103">
        <f>IF(Q186&lt;INDEX('Pace of change parameters'!$E$24:$I$24,1,$B$5),INDEX('Pace of change parameters'!$E$24:$I$24,1,$B$5),Q186)</f>
        <v>2.5527554699780408E-2</v>
      </c>
      <c r="U186" s="132">
        <v>1.8925834788940055E-2</v>
      </c>
      <c r="V186" s="117">
        <f t="shared" si="30"/>
        <v>350640.17728251131</v>
      </c>
      <c r="W186" s="131">
        <f>IF(J186&gt;INDEX('Pace of change parameters'!$E$26:$I$26,1,$B$5),0,IF(J186&lt;INDEX('Pace of change parameters'!$E$25:$I$25,1,$B$5),1,(J186-INDEX('Pace of change parameters'!$E$26:$I$26,1,$B$5))/(INDEX('Pace of change parameters'!$E$25:$I$25,1,$B$5)-INDEX('Pace of change parameters'!$E$26:$I$26,1,$B$5))))</f>
        <v>1</v>
      </c>
      <c r="X186" s="132">
        <f>MIN(T186, T186+(INDEX('Pace of change parameters'!$E$27:$I$27,1,$B$5)-T186)*(1-W186))</f>
        <v>2.5527554699780408E-2</v>
      </c>
      <c r="Y186" s="132">
        <v>1.8925834788940055E-2</v>
      </c>
      <c r="Z186" s="108">
        <f t="shared" si="31"/>
        <v>350640.17728251131</v>
      </c>
      <c r="AA186" s="97">
        <f>MIN(VLOOKUP(A186,'2016-17 disagg'!$A$12:$BC$220,54,FALSE),MIN(0,VLOOKUP(A186,'2016-17 disagg'!$A$12:$BC$220,54,FALSE),-2.5%))</f>
        <v>-2.5000000000000001E-2</v>
      </c>
      <c r="AB186" s="99">
        <f t="shared" si="24"/>
        <v>348580.78501624597</v>
      </c>
      <c r="AC186" s="99">
        <f>MAX(IF(INDEX('Pace of change parameters'!$E$29:$I$29,1,$B$5)=1,MAX(AB186,Z186),Z186),L186)</f>
        <v>350640.17728251131</v>
      </c>
      <c r="AD186" s="97">
        <f t="shared" si="25"/>
        <v>2.5527554699780408E-2</v>
      </c>
      <c r="AE186" s="146">
        <v>1.8925834788940055E-2</v>
      </c>
      <c r="AF186" s="56">
        <f t="shared" si="32"/>
        <v>350640.17728251131</v>
      </c>
      <c r="AG186" s="56">
        <v>1477.9557753627605</v>
      </c>
      <c r="AH186" s="16">
        <f t="shared" si="26"/>
        <v>2.5527554699780408E-2</v>
      </c>
      <c r="AI186" s="16">
        <f t="shared" si="27"/>
        <v>1.8925834788940055E-2</v>
      </c>
      <c r="AJ186" s="56"/>
      <c r="AK186" s="56">
        <v>357518.75386281637</v>
      </c>
      <c r="AL186" s="56">
        <v>1506.9491213675624</v>
      </c>
      <c r="AM186" s="16">
        <f t="shared" si="35"/>
        <v>-1.9239764364765155E-2</v>
      </c>
      <c r="AN186" s="58">
        <f t="shared" si="35"/>
        <v>-1.9239764364765266E-2</v>
      </c>
      <c r="AP186" s="56">
        <f t="shared" si="34"/>
        <v>0</v>
      </c>
      <c r="AQ186" s="56">
        <f t="shared" si="28"/>
        <v>0</v>
      </c>
    </row>
    <row r="187" spans="1:43" x14ac:dyDescent="0.2">
      <c r="A187" s="156" t="s">
        <v>419</v>
      </c>
      <c r="B187" s="156" t="s">
        <v>420</v>
      </c>
      <c r="D187" s="68">
        <f>VLOOKUP(A187,'2016-17 disagg'!A187:BC395,43,FALSE)</f>
        <v>261010</v>
      </c>
      <c r="E187" s="73">
        <v>1823.7221122759602</v>
      </c>
      <c r="F187" s="55"/>
      <c r="G187" s="88">
        <v>235613.47926671471</v>
      </c>
      <c r="H187" s="81">
        <v>1639.5950045642978</v>
      </c>
      <c r="I187" s="90"/>
      <c r="J187" s="103">
        <f t="shared" si="29"/>
        <v>0.10778891263914669</v>
      </c>
      <c r="K187" s="126">
        <f t="shared" si="29"/>
        <v>0.11230035905152791</v>
      </c>
      <c r="L187" s="56">
        <v>263257</v>
      </c>
      <c r="M187" s="103">
        <v>1.5237546602126173E-2</v>
      </c>
      <c r="N187" s="97">
        <f>INDEX('Pace of change parameters'!$E$22:$I$22,1,$B$5)</f>
        <v>1.1119783131080974E-2</v>
      </c>
      <c r="O187" s="108">
        <f>MAX(IF(INDEX('Pace of change parameters'!$E$30:$I$30,1,$B$5)=1,(1+M187)*D187,D187),L187)</f>
        <v>264987.15203862096</v>
      </c>
      <c r="P187" s="94">
        <f>IF(K187&lt;INDEX('Pace of change parameters'!$E$18:$I$18,1,$B$5),1,IF(K187&gt;INDEX('Pace of change parameters'!$E$19:$I$19,1,$B$5),0,(K187-INDEX('Pace of change parameters'!$E$19:$I$19,1,$B$5))/(INDEX('Pace of change parameters'!$E$18:$I$18,1,$B$5)-INDEX('Pace of change parameters'!$E$19:$I$19,1,$B$5))))</f>
        <v>0</v>
      </c>
      <c r="Q187" s="57">
        <v>1.5237546602126173E-2</v>
      </c>
      <c r="R187" s="57">
        <v>1.1119783131080974E-2</v>
      </c>
      <c r="S187" s="9">
        <f>MAX(IF(INDEX('Pace of change parameters'!$E$31:$I$31,1,$B$5)=1,D187*(1+Q187),D187),L187)</f>
        <v>264987.15203862096</v>
      </c>
      <c r="T187" s="103">
        <f>IF(Q187&lt;INDEX('Pace of change parameters'!$E$24:$I$24,1,$B$5),INDEX('Pace of change parameters'!$E$24:$I$24,1,$B$5),Q187)</f>
        <v>1.9644681315626574E-2</v>
      </c>
      <c r="U187" s="132">
        <v>1.5509042679900942E-2</v>
      </c>
      <c r="V187" s="117">
        <f t="shared" si="30"/>
        <v>266137.45827019168</v>
      </c>
      <c r="W187" s="131">
        <f>IF(J187&gt;INDEX('Pace of change parameters'!$E$26:$I$26,1,$B$5),0,IF(J187&lt;INDEX('Pace of change parameters'!$E$25:$I$25,1,$B$5),1,(J187-INDEX('Pace of change parameters'!$E$26:$I$26,1,$B$5))/(INDEX('Pace of change parameters'!$E$25:$I$25,1,$B$5)-INDEX('Pace of change parameters'!$E$26:$I$26,1,$B$5))))</f>
        <v>0</v>
      </c>
      <c r="X187" s="132">
        <f>MIN(T187, T187+(INDEX('Pace of change parameters'!$E$27:$I$27,1,$B$5)-T187)*(1-W187))</f>
        <v>1.2446813156265744E-3</v>
      </c>
      <c r="Y187" s="132">
        <v>-2.8163276453783137E-3</v>
      </c>
      <c r="Z187" s="108">
        <f t="shared" si="31"/>
        <v>263257</v>
      </c>
      <c r="AA187" s="97">
        <f>MIN(VLOOKUP(A187,'2016-17 disagg'!$A$12:$BC$220,54,FALSE),MIN(0,VLOOKUP(A187,'2016-17 disagg'!$A$12:$BC$220,54,FALSE),-2.5%))</f>
        <v>-2.5000000000000001E-2</v>
      </c>
      <c r="AB187" s="99">
        <f t="shared" si="24"/>
        <v>235660.15903247596</v>
      </c>
      <c r="AC187" s="99">
        <f>MAX(IF(INDEX('Pace of change parameters'!$E$29:$I$29,1,$B$5)=1,MAX(AB187,Z187),Z187),L187)</f>
        <v>263257</v>
      </c>
      <c r="AD187" s="97">
        <f t="shared" si="25"/>
        <v>8.6088655607063913E-3</v>
      </c>
      <c r="AE187" s="146">
        <v>4.5179877586800643E-3</v>
      </c>
      <c r="AF187" s="56">
        <f t="shared" si="32"/>
        <v>263257</v>
      </c>
      <c r="AG187" s="56">
        <v>1831.9616664544571</v>
      </c>
      <c r="AH187" s="16">
        <f t="shared" si="26"/>
        <v>8.6088655607063913E-3</v>
      </c>
      <c r="AI187" s="16">
        <f t="shared" si="27"/>
        <v>4.5179877586800643E-3</v>
      </c>
      <c r="AJ187" s="56"/>
      <c r="AK187" s="56">
        <v>241702.72721279587</v>
      </c>
      <c r="AL187" s="56">
        <v>1681.96906798809</v>
      </c>
      <c r="AM187" s="16">
        <f t="shared" si="35"/>
        <v>8.9176787683606484E-2</v>
      </c>
      <c r="AN187" s="58">
        <f t="shared" si="35"/>
        <v>8.9176787683606262E-2</v>
      </c>
      <c r="AP187" s="56">
        <f t="shared" si="34"/>
        <v>1</v>
      </c>
      <c r="AQ187" s="56">
        <f t="shared" si="28"/>
        <v>0</v>
      </c>
    </row>
    <row r="188" spans="1:43" x14ac:dyDescent="0.2">
      <c r="A188" s="156" t="s">
        <v>421</v>
      </c>
      <c r="B188" s="156" t="s">
        <v>422</v>
      </c>
      <c r="D188" s="68">
        <f>VLOOKUP(A188,'2016-17 disagg'!A188:BC396,43,FALSE)</f>
        <v>456674</v>
      </c>
      <c r="E188" s="73">
        <v>1538.6166385918298</v>
      </c>
      <c r="F188" s="55"/>
      <c r="G188" s="88">
        <v>470915.07149123616</v>
      </c>
      <c r="H188" s="81">
        <v>1572.3046943406025</v>
      </c>
      <c r="I188" s="90"/>
      <c r="J188" s="103">
        <f t="shared" si="29"/>
        <v>-3.0241273540342006E-2</v>
      </c>
      <c r="K188" s="126">
        <f t="shared" si="29"/>
        <v>-2.1425908012632999E-2</v>
      </c>
      <c r="L188" s="56">
        <v>468012</v>
      </c>
      <c r="M188" s="103">
        <v>2.0311131697893003E-2</v>
      </c>
      <c r="N188" s="97">
        <f>INDEX('Pace of change parameters'!$E$22:$I$22,1,$B$5)</f>
        <v>1.1119783131080974E-2</v>
      </c>
      <c r="O188" s="108">
        <f>MAX(IF(INDEX('Pace of change parameters'!$E$30:$I$30,1,$B$5)=1,(1+M188)*D188,D188),L188)</f>
        <v>468012</v>
      </c>
      <c r="P188" s="94">
        <f>IF(K188&lt;INDEX('Pace of change parameters'!$E$18:$I$18,1,$B$5),1,IF(K188&gt;INDEX('Pace of change parameters'!$E$19:$I$19,1,$B$5),0,(K188-INDEX('Pace of change parameters'!$E$19:$I$19,1,$B$5))/(INDEX('Pace of change parameters'!$E$18:$I$18,1,$B$5)-INDEX('Pace of change parameters'!$E$19:$I$19,1,$B$5))))</f>
        <v>0.70019933709566207</v>
      </c>
      <c r="Q188" s="57">
        <v>3.0118397911518491E-2</v>
      </c>
      <c r="R188" s="57">
        <v>2.0838701781442204E-2</v>
      </c>
      <c r="S188" s="9">
        <f>MAX(IF(INDEX('Pace of change parameters'!$E$31:$I$31,1,$B$5)=1,D188*(1+Q188),D188),L188)</f>
        <v>470428.28924784478</v>
      </c>
      <c r="T188" s="103">
        <f>IF(Q188&lt;INDEX('Pace of change parameters'!$E$24:$I$24,1,$B$5),INDEX('Pace of change parameters'!$E$24:$I$24,1,$B$5),Q188)</f>
        <v>3.0118397911518491E-2</v>
      </c>
      <c r="U188" s="132">
        <v>2.0838701781442204E-2</v>
      </c>
      <c r="V188" s="117">
        <f t="shared" si="30"/>
        <v>470428.28924784478</v>
      </c>
      <c r="W188" s="131">
        <f>IF(J188&gt;INDEX('Pace of change parameters'!$E$26:$I$26,1,$B$5),0,IF(J188&lt;INDEX('Pace of change parameters'!$E$25:$I$25,1,$B$5),1,(J188-INDEX('Pace of change parameters'!$E$26:$I$26,1,$B$5))/(INDEX('Pace of change parameters'!$E$25:$I$25,1,$B$5)-INDEX('Pace of change parameters'!$E$26:$I$26,1,$B$5))))</f>
        <v>1</v>
      </c>
      <c r="X188" s="132">
        <f>MIN(T188, T188+(INDEX('Pace of change parameters'!$E$27:$I$27,1,$B$5)-T188)*(1-W188))</f>
        <v>3.0118397911518491E-2</v>
      </c>
      <c r="Y188" s="132">
        <v>2.0838701781442204E-2</v>
      </c>
      <c r="Z188" s="108">
        <f t="shared" si="31"/>
        <v>470428.28924784478</v>
      </c>
      <c r="AA188" s="97">
        <f>MIN(VLOOKUP(A188,'2016-17 disagg'!$A$12:$BC$220,54,FALSE),MIN(0,VLOOKUP(A188,'2016-17 disagg'!$A$12:$BC$220,54,FALSE),-2.5%))</f>
        <v>-2.8333436178243354E-2</v>
      </c>
      <c r="AB188" s="99">
        <f t="shared" si="24"/>
        <v>469753.51808661991</v>
      </c>
      <c r="AC188" s="99">
        <f>MAX(IF(INDEX('Pace of change parameters'!$E$29:$I$29,1,$B$5)=1,MAX(AB188,Z188),Z188),L188)</f>
        <v>470428.28924784478</v>
      </c>
      <c r="AD188" s="97">
        <f t="shared" si="25"/>
        <v>3.0118397911518491E-2</v>
      </c>
      <c r="AE188" s="146">
        <v>2.0838701781442204E-2</v>
      </c>
      <c r="AF188" s="56">
        <f t="shared" si="32"/>
        <v>470428.28924784478</v>
      </c>
      <c r="AG188" s="56">
        <v>1570.6794118794098</v>
      </c>
      <c r="AH188" s="16">
        <f t="shared" si="26"/>
        <v>3.0118397911518491E-2</v>
      </c>
      <c r="AI188" s="16">
        <f t="shared" si="27"/>
        <v>2.0838701781442204E-2</v>
      </c>
      <c r="AJ188" s="56"/>
      <c r="AK188" s="56">
        <v>483451.3562337542</v>
      </c>
      <c r="AL188" s="56">
        <v>1614.1611999899835</v>
      </c>
      <c r="AM188" s="16">
        <f t="shared" si="35"/>
        <v>-2.6937698732222848E-2</v>
      </c>
      <c r="AN188" s="58">
        <f t="shared" si="35"/>
        <v>-2.6937698732222959E-2</v>
      </c>
      <c r="AP188" s="56">
        <f t="shared" si="34"/>
        <v>0</v>
      </c>
      <c r="AQ188" s="56">
        <f t="shared" si="28"/>
        <v>0</v>
      </c>
    </row>
    <row r="189" spans="1:43" x14ac:dyDescent="0.2">
      <c r="A189" s="156" t="s">
        <v>423</v>
      </c>
      <c r="B189" s="156" t="s">
        <v>424</v>
      </c>
      <c r="D189" s="68">
        <f>VLOOKUP(A189,'2016-17 disagg'!A189:BC397,43,FALSE)</f>
        <v>167161</v>
      </c>
      <c r="E189" s="73">
        <v>1416.0988144948392</v>
      </c>
      <c r="F189" s="55"/>
      <c r="G189" s="88">
        <v>169045.13658953953</v>
      </c>
      <c r="H189" s="81">
        <v>1423.1688459207755</v>
      </c>
      <c r="I189" s="90"/>
      <c r="J189" s="103">
        <f t="shared" si="29"/>
        <v>-1.1145760401935823E-2</v>
      </c>
      <c r="K189" s="126">
        <f t="shared" si="29"/>
        <v>-4.9678092983844735E-3</v>
      </c>
      <c r="L189" s="56">
        <v>171145</v>
      </c>
      <c r="M189" s="103">
        <v>1.7436840114682717E-2</v>
      </c>
      <c r="N189" s="97">
        <f>INDEX('Pace of change parameters'!$E$22:$I$22,1,$B$5)</f>
        <v>1.1119783131080974E-2</v>
      </c>
      <c r="O189" s="108">
        <f>MAX(IF(INDEX('Pace of change parameters'!$E$30:$I$30,1,$B$5)=1,(1+M189)*D189,D189),L189)</f>
        <v>171145</v>
      </c>
      <c r="P189" s="94">
        <f>IF(K189&lt;INDEX('Pace of change parameters'!$E$18:$I$18,1,$B$5),1,IF(K189&gt;INDEX('Pace of change parameters'!$E$19:$I$19,1,$B$5),0,(K189-INDEX('Pace of change parameters'!$E$19:$I$19,1,$B$5))/(INDEX('Pace of change parameters'!$E$18:$I$18,1,$B$5)-INDEX('Pace of change parameters'!$E$19:$I$19,1,$B$5))))</f>
        <v>0.46037592677425243</v>
      </c>
      <c r="Q189" s="57">
        <v>2.3866880624281661E-2</v>
      </c>
      <c r="R189" s="57">
        <v>1.7509900835937176E-2</v>
      </c>
      <c r="S189" s="9">
        <f>MAX(IF(INDEX('Pace of change parameters'!$E$31:$I$31,1,$B$5)=1,D189*(1+Q189),D189),L189)</f>
        <v>171150.61163203555</v>
      </c>
      <c r="T189" s="103">
        <f>IF(Q189&lt;INDEX('Pace of change parameters'!$E$24:$I$24,1,$B$5),INDEX('Pace of change parameters'!$E$24:$I$24,1,$B$5),Q189)</f>
        <v>2.3866880624281661E-2</v>
      </c>
      <c r="U189" s="132">
        <v>1.7509900835937176E-2</v>
      </c>
      <c r="V189" s="117">
        <f t="shared" si="30"/>
        <v>171150.61163203555</v>
      </c>
      <c r="W189" s="131">
        <f>IF(J189&gt;INDEX('Pace of change parameters'!$E$26:$I$26,1,$B$5),0,IF(J189&lt;INDEX('Pace of change parameters'!$E$25:$I$25,1,$B$5),1,(J189-INDEX('Pace of change parameters'!$E$26:$I$26,1,$B$5))/(INDEX('Pace of change parameters'!$E$25:$I$25,1,$B$5)-INDEX('Pace of change parameters'!$E$26:$I$26,1,$B$5))))</f>
        <v>1</v>
      </c>
      <c r="X189" s="132">
        <f>MIN(T189, T189+(INDEX('Pace of change parameters'!$E$27:$I$27,1,$B$5)-T189)*(1-W189))</f>
        <v>2.3866880624281661E-2</v>
      </c>
      <c r="Y189" s="132">
        <v>1.7509900835937176E-2</v>
      </c>
      <c r="Z189" s="108">
        <f t="shared" si="31"/>
        <v>171150.61163203555</v>
      </c>
      <c r="AA189" s="97">
        <f>MIN(VLOOKUP(A189,'2016-17 disagg'!$A$12:$BC$220,54,FALSE),MIN(0,VLOOKUP(A189,'2016-17 disagg'!$A$12:$BC$220,54,FALSE),-2.5%))</f>
        <v>-2.5000000000000001E-2</v>
      </c>
      <c r="AB189" s="99">
        <f t="shared" si="24"/>
        <v>169111.36854671792</v>
      </c>
      <c r="AC189" s="99">
        <f>MAX(IF(INDEX('Pace of change parameters'!$E$29:$I$29,1,$B$5)=1,MAX(AB189,Z189),Z189),L189)</f>
        <v>171150.61163203555</v>
      </c>
      <c r="AD189" s="97">
        <f t="shared" si="25"/>
        <v>2.3866880624281661E-2</v>
      </c>
      <c r="AE189" s="146">
        <v>1.7509900835937176E-2</v>
      </c>
      <c r="AF189" s="56">
        <f t="shared" si="32"/>
        <v>171150.61163203555</v>
      </c>
      <c r="AG189" s="56">
        <v>1440.8945643105319</v>
      </c>
      <c r="AH189" s="16">
        <f t="shared" si="26"/>
        <v>2.3866880624281661E-2</v>
      </c>
      <c r="AI189" s="16">
        <f t="shared" si="27"/>
        <v>1.7509900835937176E-2</v>
      </c>
      <c r="AJ189" s="56"/>
      <c r="AK189" s="56">
        <v>173447.55748381326</v>
      </c>
      <c r="AL189" s="56">
        <v>1460.2322503449686</v>
      </c>
      <c r="AM189" s="16">
        <f t="shared" si="35"/>
        <v>-1.3242883815138606E-2</v>
      </c>
      <c r="AN189" s="58">
        <f t="shared" si="35"/>
        <v>-1.3242883815138495E-2</v>
      </c>
      <c r="AP189" s="56">
        <f t="shared" si="34"/>
        <v>0</v>
      </c>
      <c r="AQ189" s="56">
        <f t="shared" si="28"/>
        <v>0</v>
      </c>
    </row>
    <row r="190" spans="1:43" x14ac:dyDescent="0.2">
      <c r="A190" s="156" t="s">
        <v>425</v>
      </c>
      <c r="B190" s="156" t="s">
        <v>426</v>
      </c>
      <c r="D190" s="68">
        <f>VLOOKUP(A190,'2016-17 disagg'!A190:BC398,43,FALSE)</f>
        <v>156654</v>
      </c>
      <c r="E190" s="73">
        <v>1421.5832701140328</v>
      </c>
      <c r="F190" s="55"/>
      <c r="G190" s="88">
        <v>160469.68637794501</v>
      </c>
      <c r="H190" s="81">
        <v>1446.0010394255598</v>
      </c>
      <c r="I190" s="90"/>
      <c r="J190" s="103">
        <f t="shared" si="29"/>
        <v>-2.3778237896957988E-2</v>
      </c>
      <c r="K190" s="126">
        <f t="shared" si="29"/>
        <v>-1.6886412005089113E-2</v>
      </c>
      <c r="L190" s="56">
        <v>160315</v>
      </c>
      <c r="M190" s="103">
        <v>1.8257978335981528E-2</v>
      </c>
      <c r="N190" s="97">
        <f>INDEX('Pace of change parameters'!$E$22:$I$22,1,$B$5)</f>
        <v>1.1119783131080974E-2</v>
      </c>
      <c r="O190" s="108">
        <f>MAX(IF(INDEX('Pace of change parameters'!$E$30:$I$30,1,$B$5)=1,(1+M190)*D190,D190),L190)</f>
        <v>160315</v>
      </c>
      <c r="P190" s="94">
        <f>IF(K190&lt;INDEX('Pace of change parameters'!$E$18:$I$18,1,$B$5),1,IF(K190&gt;INDEX('Pace of change parameters'!$E$19:$I$19,1,$B$5),0,(K190-INDEX('Pace of change parameters'!$E$19:$I$19,1,$B$5))/(INDEX('Pace of change parameters'!$E$18:$I$18,1,$B$5)-INDEX('Pace of change parameters'!$E$19:$I$19,1,$B$5))))</f>
        <v>0.63405090570199929</v>
      </c>
      <c r="Q190" s="57">
        <v>2.7120873105172194E-2</v>
      </c>
      <c r="R190" s="57">
        <v>1.9920547208159167E-2</v>
      </c>
      <c r="S190" s="9">
        <f>MAX(IF(INDEX('Pace of change parameters'!$E$31:$I$31,1,$B$5)=1,D190*(1+Q190),D190),L190)</f>
        <v>160902.59325541765</v>
      </c>
      <c r="T190" s="103">
        <f>IF(Q190&lt;INDEX('Pace of change parameters'!$E$24:$I$24,1,$B$5),INDEX('Pace of change parameters'!$E$24:$I$24,1,$B$5),Q190)</f>
        <v>2.7120873105172194E-2</v>
      </c>
      <c r="U190" s="132">
        <v>1.9920547208159167E-2</v>
      </c>
      <c r="V190" s="117">
        <f t="shared" si="30"/>
        <v>160902.59325541765</v>
      </c>
      <c r="W190" s="131">
        <f>IF(J190&gt;INDEX('Pace of change parameters'!$E$26:$I$26,1,$B$5),0,IF(J190&lt;INDEX('Pace of change parameters'!$E$25:$I$25,1,$B$5),1,(J190-INDEX('Pace of change parameters'!$E$26:$I$26,1,$B$5))/(INDEX('Pace of change parameters'!$E$25:$I$25,1,$B$5)-INDEX('Pace of change parameters'!$E$26:$I$26,1,$B$5))))</f>
        <v>1</v>
      </c>
      <c r="X190" s="132">
        <f>MIN(T190, T190+(INDEX('Pace of change parameters'!$E$27:$I$27,1,$B$5)-T190)*(1-W190))</f>
        <v>2.7120873105172194E-2</v>
      </c>
      <c r="Y190" s="132">
        <v>1.9920547208159167E-2</v>
      </c>
      <c r="Z190" s="108">
        <f t="shared" si="31"/>
        <v>160902.59325541765</v>
      </c>
      <c r="AA190" s="97">
        <f>MIN(VLOOKUP(A190,'2016-17 disagg'!$A$12:$BC$220,54,FALSE),MIN(0,VLOOKUP(A190,'2016-17 disagg'!$A$12:$BC$220,54,FALSE),-2.5%))</f>
        <v>-2.5000000000000001E-2</v>
      </c>
      <c r="AB190" s="99">
        <f t="shared" si="24"/>
        <v>160480.59212191467</v>
      </c>
      <c r="AC190" s="99">
        <f>MAX(IF(INDEX('Pace of change parameters'!$E$29:$I$29,1,$B$5)=1,MAX(AB190,Z190),Z190),L190)</f>
        <v>160902.59325541765</v>
      </c>
      <c r="AD190" s="97">
        <f t="shared" si="25"/>
        <v>2.7120873105172194E-2</v>
      </c>
      <c r="AE190" s="146">
        <v>1.9920547208159167E-2</v>
      </c>
      <c r="AF190" s="56">
        <f t="shared" si="32"/>
        <v>160902.59325541765</v>
      </c>
      <c r="AG190" s="56">
        <v>1449.9019867566685</v>
      </c>
      <c r="AH190" s="16">
        <f t="shared" si="26"/>
        <v>2.7120873105172194E-2</v>
      </c>
      <c r="AI190" s="16">
        <f t="shared" si="27"/>
        <v>1.9920547208159167E-2</v>
      </c>
      <c r="AJ190" s="56"/>
      <c r="AK190" s="56">
        <v>164595.47909939967</v>
      </c>
      <c r="AL190" s="56">
        <v>1483.1787812055663</v>
      </c>
      <c r="AM190" s="16">
        <f t="shared" si="35"/>
        <v>-2.2436131685924843E-2</v>
      </c>
      <c r="AN190" s="58">
        <f t="shared" si="35"/>
        <v>-2.2436131685924954E-2</v>
      </c>
      <c r="AP190" s="56">
        <f t="shared" si="34"/>
        <v>0</v>
      </c>
      <c r="AQ190" s="56">
        <f t="shared" si="28"/>
        <v>0</v>
      </c>
    </row>
    <row r="191" spans="1:43" x14ac:dyDescent="0.2">
      <c r="A191" s="156" t="s">
        <v>427</v>
      </c>
      <c r="B191" s="156" t="s">
        <v>428</v>
      </c>
      <c r="D191" s="68">
        <f>VLOOKUP(A191,'2016-17 disagg'!A191:BC399,43,FALSE)</f>
        <v>331673</v>
      </c>
      <c r="E191" s="73">
        <v>1473.8815403776175</v>
      </c>
      <c r="F191" s="55"/>
      <c r="G191" s="88">
        <v>343606.0389688384</v>
      </c>
      <c r="H191" s="81">
        <v>1519.2057963790048</v>
      </c>
      <c r="I191" s="90"/>
      <c r="J191" s="103">
        <f t="shared" si="29"/>
        <v>-3.4728839471650286E-2</v>
      </c>
      <c r="K191" s="126">
        <f t="shared" si="29"/>
        <v>-2.9834177903623527E-2</v>
      </c>
      <c r="L191" s="56">
        <v>339550</v>
      </c>
      <c r="M191" s="103">
        <v>1.6246932211609E-2</v>
      </c>
      <c r="N191" s="97">
        <f>INDEX('Pace of change parameters'!$E$22:$I$22,1,$B$5)</f>
        <v>1.1119783131080974E-2</v>
      </c>
      <c r="O191" s="108">
        <f>MAX(IF(INDEX('Pace of change parameters'!$E$30:$I$30,1,$B$5)=1,(1+M191)*D191,D191),L191)</f>
        <v>339550</v>
      </c>
      <c r="P191" s="94">
        <f>IF(K191&lt;INDEX('Pace of change parameters'!$E$18:$I$18,1,$B$5),1,IF(K191&gt;INDEX('Pace of change parameters'!$E$19:$I$19,1,$B$5),0,(K191-INDEX('Pace of change parameters'!$E$19:$I$19,1,$B$5))/(INDEX('Pace of change parameters'!$E$18:$I$18,1,$B$5)-INDEX('Pace of change parameters'!$E$19:$I$19,1,$B$5))))</f>
        <v>0.82272260027273847</v>
      </c>
      <c r="Q191" s="57">
        <v>2.7724406253166967E-2</v>
      </c>
      <c r="R191" s="57">
        <v>2.2539351245827621E-2</v>
      </c>
      <c r="S191" s="9">
        <f>MAX(IF(INDEX('Pace of change parameters'!$E$31:$I$31,1,$B$5)=1,D191*(1+Q191),D191),L191)</f>
        <v>340868.43699520663</v>
      </c>
      <c r="T191" s="103">
        <f>IF(Q191&lt;INDEX('Pace of change parameters'!$E$24:$I$24,1,$B$5),INDEX('Pace of change parameters'!$E$24:$I$24,1,$B$5),Q191)</f>
        <v>2.7724406253166967E-2</v>
      </c>
      <c r="U191" s="132">
        <v>2.2539351245827621E-2</v>
      </c>
      <c r="V191" s="117">
        <f t="shared" si="30"/>
        <v>340868.43699520663</v>
      </c>
      <c r="W191" s="131">
        <f>IF(J191&gt;INDEX('Pace of change parameters'!$E$26:$I$26,1,$B$5),0,IF(J191&lt;INDEX('Pace of change parameters'!$E$25:$I$25,1,$B$5),1,(J191-INDEX('Pace of change parameters'!$E$26:$I$26,1,$B$5))/(INDEX('Pace of change parameters'!$E$25:$I$25,1,$B$5)-INDEX('Pace of change parameters'!$E$26:$I$26,1,$B$5))))</f>
        <v>1</v>
      </c>
      <c r="X191" s="132">
        <f>MIN(T191, T191+(INDEX('Pace of change parameters'!$E$27:$I$27,1,$B$5)-T191)*(1-W191))</f>
        <v>2.7724406253166967E-2</v>
      </c>
      <c r="Y191" s="132">
        <v>2.2539351245827621E-2</v>
      </c>
      <c r="Z191" s="108">
        <f t="shared" si="31"/>
        <v>340868.43699520663</v>
      </c>
      <c r="AA191" s="97">
        <f>MIN(VLOOKUP(A191,'2016-17 disagg'!$A$12:$BC$220,54,FALSE),MIN(0,VLOOKUP(A191,'2016-17 disagg'!$A$12:$BC$220,54,FALSE),-2.5%))</f>
        <v>-3.6679020669640461E-2</v>
      </c>
      <c r="AB191" s="99">
        <f t="shared" si="24"/>
        <v>339725.61700883077</v>
      </c>
      <c r="AC191" s="99">
        <f>MAX(IF(INDEX('Pace of change parameters'!$E$29:$I$29,1,$B$5)=1,MAX(AB191,Z191),Z191),L191)</f>
        <v>340868.43699520663</v>
      </c>
      <c r="AD191" s="97">
        <f t="shared" si="25"/>
        <v>2.7724406253166967E-2</v>
      </c>
      <c r="AE191" s="146">
        <v>2.2539351245827621E-2</v>
      </c>
      <c r="AF191" s="56">
        <f t="shared" si="32"/>
        <v>340868.43699520663</v>
      </c>
      <c r="AG191" s="56">
        <v>1507.1018741109299</v>
      </c>
      <c r="AH191" s="16">
        <f t="shared" si="26"/>
        <v>2.7724406253166967E-2</v>
      </c>
      <c r="AI191" s="16">
        <f t="shared" si="27"/>
        <v>2.2539351245827399E-2</v>
      </c>
      <c r="AJ191" s="56"/>
      <c r="AK191" s="56">
        <v>352660.87243837124</v>
      </c>
      <c r="AL191" s="56">
        <v>1559.2404696153749</v>
      </c>
      <c r="AM191" s="16">
        <f t="shared" si="35"/>
        <v>-3.3438457069618233E-2</v>
      </c>
      <c r="AN191" s="58">
        <f t="shared" si="35"/>
        <v>-3.3438457069618122E-2</v>
      </c>
      <c r="AP191" s="56">
        <f t="shared" si="34"/>
        <v>0</v>
      </c>
      <c r="AQ191" s="56">
        <f t="shared" si="28"/>
        <v>0</v>
      </c>
    </row>
    <row r="192" spans="1:43" x14ac:dyDescent="0.2">
      <c r="A192" s="156" t="s">
        <v>429</v>
      </c>
      <c r="B192" s="156" t="s">
        <v>430</v>
      </c>
      <c r="D192" s="68">
        <f>VLOOKUP(A192,'2016-17 disagg'!A192:BC400,43,FALSE)</f>
        <v>319160</v>
      </c>
      <c r="E192" s="73">
        <v>1426.474751852918</v>
      </c>
      <c r="F192" s="55"/>
      <c r="G192" s="88">
        <v>326166.91937165306</v>
      </c>
      <c r="H192" s="81">
        <v>1443.4344200609128</v>
      </c>
      <c r="I192" s="90"/>
      <c r="J192" s="103">
        <f t="shared" si="29"/>
        <v>-2.1482618118206398E-2</v>
      </c>
      <c r="K192" s="126">
        <f t="shared" si="29"/>
        <v>-1.1749524586838644E-2</v>
      </c>
      <c r="L192" s="56">
        <v>327336</v>
      </c>
      <c r="M192" s="103">
        <v>2.117716545545556E-2</v>
      </c>
      <c r="N192" s="97">
        <f>INDEX('Pace of change parameters'!$E$22:$I$22,1,$B$5)</f>
        <v>1.1119783131080974E-2</v>
      </c>
      <c r="O192" s="108">
        <f>MAX(IF(INDEX('Pace of change parameters'!$E$30:$I$30,1,$B$5)=1,(1+M192)*D192,D192),L192)</f>
        <v>327336</v>
      </c>
      <c r="P192" s="94">
        <f>IF(K192&lt;INDEX('Pace of change parameters'!$E$18:$I$18,1,$B$5),1,IF(K192&gt;INDEX('Pace of change parameters'!$E$19:$I$19,1,$B$5),0,(K192-INDEX('Pace of change parameters'!$E$19:$I$19,1,$B$5))/(INDEX('Pace of change parameters'!$E$18:$I$18,1,$B$5)-INDEX('Pace of change parameters'!$E$19:$I$19,1,$B$5))))</f>
        <v>0.55919743201275607</v>
      </c>
      <c r="Q192" s="57">
        <v>2.901615179011019E-2</v>
      </c>
      <c r="R192" s="57">
        <v>1.8881564759960723E-2</v>
      </c>
      <c r="S192" s="9">
        <f>MAX(IF(INDEX('Pace of change parameters'!$E$31:$I$31,1,$B$5)=1,D192*(1+Q192),D192),L192)</f>
        <v>328420.79500533157</v>
      </c>
      <c r="T192" s="103">
        <f>IF(Q192&lt;INDEX('Pace of change parameters'!$E$24:$I$24,1,$B$5),INDEX('Pace of change parameters'!$E$24:$I$24,1,$B$5),Q192)</f>
        <v>2.901615179011019E-2</v>
      </c>
      <c r="U192" s="132">
        <v>1.8881564759960723E-2</v>
      </c>
      <c r="V192" s="117">
        <f t="shared" si="30"/>
        <v>328420.79500533157</v>
      </c>
      <c r="W192" s="131">
        <f>IF(J192&gt;INDEX('Pace of change parameters'!$E$26:$I$26,1,$B$5),0,IF(J192&lt;INDEX('Pace of change parameters'!$E$25:$I$25,1,$B$5),1,(J192-INDEX('Pace of change parameters'!$E$26:$I$26,1,$B$5))/(INDEX('Pace of change parameters'!$E$25:$I$25,1,$B$5)-INDEX('Pace of change parameters'!$E$26:$I$26,1,$B$5))))</f>
        <v>1</v>
      </c>
      <c r="X192" s="132">
        <f>MIN(T192, T192+(INDEX('Pace of change parameters'!$E$27:$I$27,1,$B$5)-T192)*(1-W192))</f>
        <v>2.901615179011019E-2</v>
      </c>
      <c r="Y192" s="132">
        <v>1.8881564759960723E-2</v>
      </c>
      <c r="Z192" s="108">
        <f t="shared" si="31"/>
        <v>328420.79500533157</v>
      </c>
      <c r="AA192" s="97">
        <f>MIN(VLOOKUP(A192,'2016-17 disagg'!$A$12:$BC$220,54,FALSE),MIN(0,VLOOKUP(A192,'2016-17 disagg'!$A$12:$BC$220,54,FALSE),-2.5%))</f>
        <v>-2.5000000000000001E-2</v>
      </c>
      <c r="AB192" s="99">
        <f t="shared" si="24"/>
        <v>326209.93987522984</v>
      </c>
      <c r="AC192" s="99">
        <f>MAX(IF(INDEX('Pace of change parameters'!$E$29:$I$29,1,$B$5)=1,MAX(AB192,Z192),Z192),L192)</f>
        <v>328420.79500533157</v>
      </c>
      <c r="AD192" s="97">
        <f t="shared" si="25"/>
        <v>2.901615179011019E-2</v>
      </c>
      <c r="AE192" s="146">
        <v>1.8881564759960723E-2</v>
      </c>
      <c r="AF192" s="56">
        <f t="shared" si="32"/>
        <v>328420.79500533157</v>
      </c>
      <c r="AG192" s="56">
        <v>1453.4088272584777</v>
      </c>
      <c r="AH192" s="16">
        <f t="shared" si="26"/>
        <v>2.901615179011019E-2</v>
      </c>
      <c r="AI192" s="16">
        <f t="shared" si="27"/>
        <v>1.8881564759960723E-2</v>
      </c>
      <c r="AJ192" s="56"/>
      <c r="AK192" s="56">
        <v>334574.29730792803</v>
      </c>
      <c r="AL192" s="56">
        <v>1480.6408256616355</v>
      </c>
      <c r="AM192" s="16">
        <f t="shared" si="35"/>
        <v>-1.8392035347930658E-2</v>
      </c>
      <c r="AN192" s="58">
        <f t="shared" si="35"/>
        <v>-1.8392035347930547E-2</v>
      </c>
      <c r="AP192" s="56">
        <f t="shared" si="34"/>
        <v>0</v>
      </c>
      <c r="AQ192" s="56">
        <f t="shared" si="28"/>
        <v>0</v>
      </c>
    </row>
    <row r="193" spans="1:43" x14ac:dyDescent="0.2">
      <c r="A193" s="156" t="s">
        <v>431</v>
      </c>
      <c r="B193" s="156" t="s">
        <v>432</v>
      </c>
      <c r="D193" s="68">
        <f>VLOOKUP(A193,'2016-17 disagg'!A193:BC401,43,FALSE)</f>
        <v>544434</v>
      </c>
      <c r="E193" s="73">
        <v>1478.4845512613415</v>
      </c>
      <c r="F193" s="55"/>
      <c r="G193" s="88">
        <v>557357.13626809593</v>
      </c>
      <c r="H193" s="81">
        <v>1501.5542972396715</v>
      </c>
      <c r="I193" s="90"/>
      <c r="J193" s="103">
        <f t="shared" si="29"/>
        <v>-2.31864551957216E-2</v>
      </c>
      <c r="K193" s="126">
        <f t="shared" si="29"/>
        <v>-1.5363910596333019E-2</v>
      </c>
      <c r="L193" s="56">
        <v>560526</v>
      </c>
      <c r="M193" s="103">
        <v>1.9217059874363285E-2</v>
      </c>
      <c r="N193" s="97">
        <f>INDEX('Pace of change parameters'!$E$22:$I$22,1,$B$5)</f>
        <v>1.1119783131080974E-2</v>
      </c>
      <c r="O193" s="108">
        <f>MAX(IF(INDEX('Pace of change parameters'!$E$30:$I$30,1,$B$5)=1,(1+M193)*D193,D193),L193)</f>
        <v>560526</v>
      </c>
      <c r="P193" s="94">
        <f>IF(K193&lt;INDEX('Pace of change parameters'!$E$18:$I$18,1,$B$5),1,IF(K193&gt;INDEX('Pace of change parameters'!$E$19:$I$19,1,$B$5),0,(K193-INDEX('Pace of change parameters'!$E$19:$I$19,1,$B$5))/(INDEX('Pace of change parameters'!$E$18:$I$18,1,$B$5)-INDEX('Pace of change parameters'!$E$19:$I$19,1,$B$5))))</f>
        <v>0.6118653855877636</v>
      </c>
      <c r="Q193" s="57">
        <v>2.7777896585308381E-2</v>
      </c>
      <c r="R193" s="57">
        <v>1.9612607377623936E-2</v>
      </c>
      <c r="S193" s="9">
        <f>MAX(IF(INDEX('Pace of change parameters'!$E$31:$I$31,1,$B$5)=1,D193*(1+Q193),D193),L193)</f>
        <v>560526</v>
      </c>
      <c r="T193" s="103">
        <f>IF(Q193&lt;INDEX('Pace of change parameters'!$E$24:$I$24,1,$B$5),INDEX('Pace of change parameters'!$E$24:$I$24,1,$B$5),Q193)</f>
        <v>2.7777896585308381E-2</v>
      </c>
      <c r="U193" s="132">
        <v>1.9612607377623936E-2</v>
      </c>
      <c r="V193" s="117">
        <f t="shared" si="30"/>
        <v>560526</v>
      </c>
      <c r="W193" s="131">
        <f>IF(J193&gt;INDEX('Pace of change parameters'!$E$26:$I$26,1,$B$5),0,IF(J193&lt;INDEX('Pace of change parameters'!$E$25:$I$25,1,$B$5),1,(J193-INDEX('Pace of change parameters'!$E$26:$I$26,1,$B$5))/(INDEX('Pace of change parameters'!$E$25:$I$25,1,$B$5)-INDEX('Pace of change parameters'!$E$26:$I$26,1,$B$5))))</f>
        <v>1</v>
      </c>
      <c r="X193" s="132">
        <f>MIN(T193, T193+(INDEX('Pace of change parameters'!$E$27:$I$27,1,$B$5)-T193)*(1-W193))</f>
        <v>2.7777896585308381E-2</v>
      </c>
      <c r="Y193" s="132">
        <v>1.9612607377623936E-2</v>
      </c>
      <c r="Z193" s="108">
        <f t="shared" si="31"/>
        <v>560526</v>
      </c>
      <c r="AA193" s="97">
        <f>MIN(VLOOKUP(A193,'2016-17 disagg'!$A$12:$BC$220,54,FALSE),MIN(0,VLOOKUP(A193,'2016-17 disagg'!$A$12:$BC$220,54,FALSE),-2.5%))</f>
        <v>-2.5000000000000001E-2</v>
      </c>
      <c r="AB193" s="99">
        <f t="shared" si="24"/>
        <v>557578.23743711435</v>
      </c>
      <c r="AC193" s="99">
        <f>MAX(IF(INDEX('Pace of change parameters'!$E$29:$I$29,1,$B$5)=1,MAX(AB193,Z193),Z193),L193)</f>
        <v>560526</v>
      </c>
      <c r="AD193" s="97">
        <f t="shared" si="25"/>
        <v>2.9557301711502282E-2</v>
      </c>
      <c r="AE193" s="146">
        <v>2.1377875833316073E-2</v>
      </c>
      <c r="AF193" s="56">
        <f t="shared" si="32"/>
        <v>560526</v>
      </c>
      <c r="AG193" s="56">
        <v>1510.0914104196825</v>
      </c>
      <c r="AH193" s="16">
        <f t="shared" si="26"/>
        <v>2.9557301711502282E-2</v>
      </c>
      <c r="AI193" s="16">
        <f t="shared" si="27"/>
        <v>2.1377875833316073E-2</v>
      </c>
      <c r="AJ193" s="56"/>
      <c r="AK193" s="56">
        <v>571875.11532011733</v>
      </c>
      <c r="AL193" s="56">
        <v>1540.6666229178925</v>
      </c>
      <c r="AM193" s="16">
        <f t="shared" si="35"/>
        <v>-1.9845443552416908E-2</v>
      </c>
      <c r="AN193" s="58">
        <f t="shared" si="35"/>
        <v>-1.9845443552417019E-2</v>
      </c>
      <c r="AP193" s="56">
        <f t="shared" si="34"/>
        <v>1</v>
      </c>
      <c r="AQ193" s="56">
        <f t="shared" si="28"/>
        <v>0</v>
      </c>
    </row>
    <row r="194" spans="1:43" x14ac:dyDescent="0.2">
      <c r="A194" s="156" t="s">
        <v>433</v>
      </c>
      <c r="B194" s="156" t="s">
        <v>434</v>
      </c>
      <c r="D194" s="68">
        <f>VLOOKUP(A194,'2016-17 disagg'!A194:BC402,43,FALSE)</f>
        <v>1029589</v>
      </c>
      <c r="E194" s="73">
        <v>1428.3390679615068</v>
      </c>
      <c r="F194" s="55"/>
      <c r="G194" s="88">
        <v>1028179.5091274469</v>
      </c>
      <c r="H194" s="81">
        <v>1417.8630658918416</v>
      </c>
      <c r="I194" s="90"/>
      <c r="J194" s="103">
        <f t="shared" si="29"/>
        <v>1.3708606911930765E-3</v>
      </c>
      <c r="K194" s="126">
        <f t="shared" si="29"/>
        <v>7.3885852038015898E-3</v>
      </c>
      <c r="L194" s="56">
        <v>1055397</v>
      </c>
      <c r="M194" s="103">
        <v>1.7196093659960665E-2</v>
      </c>
      <c r="N194" s="97">
        <f>INDEX('Pace of change parameters'!$E$22:$I$22,1,$B$5)</f>
        <v>1.1119783131080974E-2</v>
      </c>
      <c r="O194" s="108">
        <f>MAX(IF(INDEX('Pace of change parameters'!$E$30:$I$30,1,$B$5)=1,(1+M194)*D194,D194),L194)</f>
        <v>1055397</v>
      </c>
      <c r="P194" s="94">
        <f>IF(K194&lt;INDEX('Pace of change parameters'!$E$18:$I$18,1,$B$5),1,IF(K194&gt;INDEX('Pace of change parameters'!$E$19:$I$19,1,$B$5),0,(K194-INDEX('Pace of change parameters'!$E$19:$I$19,1,$B$5))/(INDEX('Pace of change parameters'!$E$18:$I$18,1,$B$5)-INDEX('Pace of change parameters'!$E$19:$I$19,1,$B$5))))</f>
        <v>0.28032155231449368</v>
      </c>
      <c r="Q194" s="57">
        <v>2.1110400053395706E-2</v>
      </c>
      <c r="R194" s="57">
        <v>1.5010707070238105E-2</v>
      </c>
      <c r="S194" s="9">
        <f>MAX(IF(INDEX('Pace of change parameters'!$E$31:$I$31,1,$B$5)=1,D194*(1+Q194),D194),L194)</f>
        <v>1055397</v>
      </c>
      <c r="T194" s="103">
        <f>IF(Q194&lt;INDEX('Pace of change parameters'!$E$24:$I$24,1,$B$5),INDEX('Pace of change parameters'!$E$24:$I$24,1,$B$5),Q194)</f>
        <v>2.1110400053395706E-2</v>
      </c>
      <c r="U194" s="132">
        <v>1.5010707070238105E-2</v>
      </c>
      <c r="V194" s="117">
        <f t="shared" si="30"/>
        <v>1055397</v>
      </c>
      <c r="W194" s="131">
        <f>IF(J194&gt;INDEX('Pace of change parameters'!$E$26:$I$26,1,$B$5),0,IF(J194&lt;INDEX('Pace of change parameters'!$E$25:$I$25,1,$B$5),1,(J194-INDEX('Pace of change parameters'!$E$26:$I$26,1,$B$5))/(INDEX('Pace of change parameters'!$E$25:$I$25,1,$B$5)-INDEX('Pace of change parameters'!$E$26:$I$26,1,$B$5))))</f>
        <v>1</v>
      </c>
      <c r="X194" s="132">
        <f>MIN(T194, T194+(INDEX('Pace of change parameters'!$E$27:$I$27,1,$B$5)-T194)*(1-W194))</f>
        <v>2.1110400053395706E-2</v>
      </c>
      <c r="Y194" s="132">
        <v>1.5010707070238105E-2</v>
      </c>
      <c r="Z194" s="108">
        <f t="shared" si="31"/>
        <v>1055397</v>
      </c>
      <c r="AA194" s="97">
        <f>MIN(VLOOKUP(A194,'2016-17 disagg'!$A$12:$BC$220,54,FALSE),MIN(0,VLOOKUP(A194,'2016-17 disagg'!$A$12:$BC$220,54,FALSE),-2.5%))</f>
        <v>-2.5000000000000001E-2</v>
      </c>
      <c r="AB194" s="99">
        <f t="shared" si="24"/>
        <v>1029373.804017116</v>
      </c>
      <c r="AC194" s="99">
        <f>MAX(IF(INDEX('Pace of change parameters'!$E$29:$I$29,1,$B$5)=1,MAX(AB194,Z194),Z194),L194)</f>
        <v>1055397</v>
      </c>
      <c r="AD194" s="97">
        <f t="shared" si="25"/>
        <v>2.5066312868532892E-2</v>
      </c>
      <c r="AE194" s="146">
        <v>1.8942988891469836E-2</v>
      </c>
      <c r="AF194" s="56">
        <f t="shared" si="32"/>
        <v>1055397</v>
      </c>
      <c r="AG194" s="56">
        <v>1455.3960790591541</v>
      </c>
      <c r="AH194" s="16">
        <f t="shared" si="26"/>
        <v>2.5066312868532892E-2</v>
      </c>
      <c r="AI194" s="16">
        <f t="shared" si="27"/>
        <v>1.8942988891469836E-2</v>
      </c>
      <c r="AJ194" s="56"/>
      <c r="AK194" s="56">
        <v>1055768.0041201189</v>
      </c>
      <c r="AL194" s="56">
        <v>1455.9076950119527</v>
      </c>
      <c r="AM194" s="16">
        <f t="shared" si="35"/>
        <v>-3.5140686085488593E-4</v>
      </c>
      <c r="AN194" s="58">
        <f t="shared" si="35"/>
        <v>-3.5140686085488593E-4</v>
      </c>
      <c r="AP194" s="56">
        <f t="shared" si="34"/>
        <v>1</v>
      </c>
      <c r="AQ194" s="56">
        <f t="shared" si="28"/>
        <v>0</v>
      </c>
    </row>
    <row r="195" spans="1:43" x14ac:dyDescent="0.2">
      <c r="A195" s="156" t="s">
        <v>435</v>
      </c>
      <c r="B195" s="156" t="s">
        <v>436</v>
      </c>
      <c r="D195" s="68">
        <f>VLOOKUP(A195,'2016-17 disagg'!A195:BC403,43,FALSE)</f>
        <v>342326</v>
      </c>
      <c r="E195" s="73">
        <v>1534.531225068635</v>
      </c>
      <c r="F195" s="55"/>
      <c r="G195" s="88">
        <v>337891.98775637371</v>
      </c>
      <c r="H195" s="81">
        <v>1504.7847725933193</v>
      </c>
      <c r="I195" s="90"/>
      <c r="J195" s="103">
        <f t="shared" si="29"/>
        <v>1.3122572905822416E-2</v>
      </c>
      <c r="K195" s="126">
        <f t="shared" si="29"/>
        <v>1.9767911675535599E-2</v>
      </c>
      <c r="L195" s="56">
        <v>351431</v>
      </c>
      <c r="M195" s="103">
        <v>1.7751985073233723E-2</v>
      </c>
      <c r="N195" s="97">
        <f>INDEX('Pace of change parameters'!$E$22:$I$22,1,$B$5)</f>
        <v>1.1119783131080974E-2</v>
      </c>
      <c r="O195" s="108">
        <f>MAX(IF(INDEX('Pace of change parameters'!$E$30:$I$30,1,$B$5)=1,(1+M195)*D195,D195),L195)</f>
        <v>351431</v>
      </c>
      <c r="P195" s="94">
        <f>IF(K195&lt;INDEX('Pace of change parameters'!$E$18:$I$18,1,$B$5),1,IF(K195&gt;INDEX('Pace of change parameters'!$E$19:$I$19,1,$B$5),0,(K195-INDEX('Pace of change parameters'!$E$19:$I$19,1,$B$5))/(INDEX('Pace of change parameters'!$E$18:$I$18,1,$B$5)-INDEX('Pace of change parameters'!$E$19:$I$19,1,$B$5))))</f>
        <v>9.9933018773673277E-2</v>
      </c>
      <c r="Q195" s="57">
        <v>1.9148175349099628E-2</v>
      </c>
      <c r="R195" s="57">
        <v>1.2506875104025372E-2</v>
      </c>
      <c r="S195" s="9">
        <f>MAX(IF(INDEX('Pace of change parameters'!$E$31:$I$31,1,$B$5)=1,D195*(1+Q195),D195),L195)</f>
        <v>351431</v>
      </c>
      <c r="T195" s="103">
        <f>IF(Q195&lt;INDEX('Pace of change parameters'!$E$24:$I$24,1,$B$5),INDEX('Pace of change parameters'!$E$24:$I$24,1,$B$5),Q195)</f>
        <v>1.9644681315626574E-2</v>
      </c>
      <c r="U195" s="132">
        <v>1.3000145579112665E-2</v>
      </c>
      <c r="V195" s="117">
        <f t="shared" si="30"/>
        <v>351431</v>
      </c>
      <c r="W195" s="131">
        <f>IF(J195&gt;INDEX('Pace of change parameters'!$E$26:$I$26,1,$B$5),0,IF(J195&lt;INDEX('Pace of change parameters'!$E$25:$I$25,1,$B$5),1,(J195-INDEX('Pace of change parameters'!$E$26:$I$26,1,$B$5))/(INDEX('Pace of change parameters'!$E$25:$I$25,1,$B$5)-INDEX('Pace of change parameters'!$E$26:$I$26,1,$B$5))))</f>
        <v>1</v>
      </c>
      <c r="X195" s="132">
        <f>MIN(T195, T195+(INDEX('Pace of change parameters'!$E$27:$I$27,1,$B$5)-T195)*(1-W195))</f>
        <v>1.9644681315626574E-2</v>
      </c>
      <c r="Y195" s="132">
        <v>1.3000145579112665E-2</v>
      </c>
      <c r="Z195" s="108">
        <f t="shared" si="31"/>
        <v>351431</v>
      </c>
      <c r="AA195" s="97">
        <f>MIN(VLOOKUP(A195,'2016-17 disagg'!$A$12:$BC$220,54,FALSE),MIN(0,VLOOKUP(A195,'2016-17 disagg'!$A$12:$BC$220,54,FALSE),-2.5%))</f>
        <v>-2.5000000000000001E-2</v>
      </c>
      <c r="AB195" s="99">
        <f t="shared" si="24"/>
        <v>338024.11908532598</v>
      </c>
      <c r="AC195" s="99">
        <f>MAX(IF(INDEX('Pace of change parameters'!$E$29:$I$29,1,$B$5)=1,MAX(AB195,Z195),Z195),L195)</f>
        <v>351431</v>
      </c>
      <c r="AD195" s="97">
        <f t="shared" si="25"/>
        <v>2.6597453888983047E-2</v>
      </c>
      <c r="AE195" s="146">
        <v>1.9907610265635478E-2</v>
      </c>
      <c r="AF195" s="56">
        <f t="shared" si="32"/>
        <v>351431</v>
      </c>
      <c r="AG195" s="56">
        <v>1565.0800746377492</v>
      </c>
      <c r="AH195" s="16">
        <f t="shared" si="26"/>
        <v>2.6597453888983047E-2</v>
      </c>
      <c r="AI195" s="16">
        <f t="shared" si="27"/>
        <v>1.9907610265635256E-2</v>
      </c>
      <c r="AJ195" s="56"/>
      <c r="AK195" s="56">
        <v>346691.40419007791</v>
      </c>
      <c r="AL195" s="56">
        <v>1543.9725258900701</v>
      </c>
      <c r="AM195" s="16">
        <f t="shared" si="35"/>
        <v>1.3670935456258304E-2</v>
      </c>
      <c r="AN195" s="58">
        <f t="shared" si="35"/>
        <v>1.3670935456258304E-2</v>
      </c>
      <c r="AP195" s="56">
        <f t="shared" si="34"/>
        <v>1</v>
      </c>
      <c r="AQ195" s="56">
        <f t="shared" si="28"/>
        <v>0</v>
      </c>
    </row>
    <row r="196" spans="1:43" x14ac:dyDescent="0.2">
      <c r="A196" s="156" t="s">
        <v>437</v>
      </c>
      <c r="B196" s="156" t="s">
        <v>438</v>
      </c>
      <c r="D196" s="68">
        <f>VLOOKUP(A196,'2016-17 disagg'!A196:BC404,43,FALSE)</f>
        <v>229531</v>
      </c>
      <c r="E196" s="73">
        <v>1492.6738400898328</v>
      </c>
      <c r="F196" s="55"/>
      <c r="G196" s="88">
        <v>228787.59685736062</v>
      </c>
      <c r="H196" s="81">
        <v>1469.6112422458209</v>
      </c>
      <c r="I196" s="90"/>
      <c r="J196" s="103">
        <f t="shared" si="29"/>
        <v>3.2493157533486361E-3</v>
      </c>
      <c r="K196" s="126">
        <f t="shared" si="29"/>
        <v>1.5692992256080007E-2</v>
      </c>
      <c r="L196" s="56">
        <v>236090</v>
      </c>
      <c r="M196" s="103">
        <v>2.3661079984443445E-2</v>
      </c>
      <c r="N196" s="97">
        <f>INDEX('Pace of change parameters'!$E$22:$I$22,1,$B$5)</f>
        <v>1.1119783131080974E-2</v>
      </c>
      <c r="O196" s="108">
        <f>MAX(IF(INDEX('Pace of change parameters'!$E$30:$I$30,1,$B$5)=1,(1+M196)*D196,D196),L196)</f>
        <v>236090</v>
      </c>
      <c r="P196" s="94">
        <f>IF(K196&lt;INDEX('Pace of change parameters'!$E$18:$I$18,1,$B$5),1,IF(K196&gt;INDEX('Pace of change parameters'!$E$19:$I$19,1,$B$5),0,(K196-INDEX('Pace of change parameters'!$E$19:$I$19,1,$B$5))/(INDEX('Pace of change parameters'!$E$18:$I$18,1,$B$5)-INDEX('Pace of change parameters'!$E$19:$I$19,1,$B$5))))</f>
        <v>0.15931175315401327</v>
      </c>
      <c r="Q196" s="57">
        <v>2.5899789021782471E-2</v>
      </c>
      <c r="R196" s="57">
        <v>1.3331064814626314E-2</v>
      </c>
      <c r="S196" s="9">
        <f>MAX(IF(INDEX('Pace of change parameters'!$E$31:$I$31,1,$B$5)=1,D196*(1+Q196),D196),L196)</f>
        <v>236090</v>
      </c>
      <c r="T196" s="103">
        <f>IF(Q196&lt;INDEX('Pace of change parameters'!$E$24:$I$24,1,$B$5),INDEX('Pace of change parameters'!$E$24:$I$24,1,$B$5),Q196)</f>
        <v>2.5899789021782471E-2</v>
      </c>
      <c r="U196" s="132">
        <v>1.3331064814626314E-2</v>
      </c>
      <c r="V196" s="117">
        <f t="shared" si="30"/>
        <v>236090</v>
      </c>
      <c r="W196" s="131">
        <f>IF(J196&gt;INDEX('Pace of change parameters'!$E$26:$I$26,1,$B$5),0,IF(J196&lt;INDEX('Pace of change parameters'!$E$25:$I$25,1,$B$5),1,(J196-INDEX('Pace of change parameters'!$E$26:$I$26,1,$B$5))/(INDEX('Pace of change parameters'!$E$25:$I$25,1,$B$5)-INDEX('Pace of change parameters'!$E$26:$I$26,1,$B$5))))</f>
        <v>1</v>
      </c>
      <c r="X196" s="132">
        <f>MIN(T196, T196+(INDEX('Pace of change parameters'!$E$27:$I$27,1,$B$5)-T196)*(1-W196))</f>
        <v>2.5899789021782471E-2</v>
      </c>
      <c r="Y196" s="132">
        <v>1.3331064814626314E-2</v>
      </c>
      <c r="Z196" s="108">
        <f t="shared" si="31"/>
        <v>236090</v>
      </c>
      <c r="AA196" s="97">
        <f>MIN(VLOOKUP(A196,'2016-17 disagg'!$A$12:$BC$220,54,FALSE),MIN(0,VLOOKUP(A196,'2016-17 disagg'!$A$12:$BC$220,54,FALSE),-2.5%))</f>
        <v>-2.5000000000000001E-2</v>
      </c>
      <c r="AB196" s="99">
        <f t="shared" si="24"/>
        <v>228999.80677015916</v>
      </c>
      <c r="AC196" s="99">
        <f>MAX(IF(INDEX('Pace of change parameters'!$E$29:$I$29,1,$B$5)=1,MAX(AB196,Z196),Z196),L196)</f>
        <v>236090</v>
      </c>
      <c r="AD196" s="97">
        <f t="shared" si="25"/>
        <v>2.8575660803987324E-2</v>
      </c>
      <c r="AE196" s="146">
        <v>1.5974153380766465E-2</v>
      </c>
      <c r="AF196" s="56">
        <f t="shared" si="32"/>
        <v>236090</v>
      </c>
      <c r="AG196" s="56">
        <v>1516.5180409588856</v>
      </c>
      <c r="AH196" s="16">
        <f t="shared" si="26"/>
        <v>2.8575660803987324E-2</v>
      </c>
      <c r="AI196" s="16">
        <f t="shared" si="27"/>
        <v>1.5974153380766687E-2</v>
      </c>
      <c r="AJ196" s="56"/>
      <c r="AK196" s="56">
        <v>234871.59668734274</v>
      </c>
      <c r="AL196" s="56">
        <v>1508.6916586266868</v>
      </c>
      <c r="AM196" s="16">
        <f t="shared" si="35"/>
        <v>5.1875293983680848E-3</v>
      </c>
      <c r="AN196" s="58">
        <f t="shared" si="35"/>
        <v>5.1875293983683068E-3</v>
      </c>
      <c r="AP196" s="56">
        <f t="shared" si="34"/>
        <v>1</v>
      </c>
      <c r="AQ196" s="56">
        <f t="shared" si="28"/>
        <v>0</v>
      </c>
    </row>
    <row r="197" spans="1:43" x14ac:dyDescent="0.2">
      <c r="A197" s="156" t="s">
        <v>439</v>
      </c>
      <c r="B197" s="156" t="s">
        <v>440</v>
      </c>
      <c r="D197" s="68">
        <f>VLOOKUP(A197,'2016-17 disagg'!A197:BC405,43,FALSE)</f>
        <v>327511</v>
      </c>
      <c r="E197" s="73">
        <v>1536.8153472535744</v>
      </c>
      <c r="F197" s="55"/>
      <c r="G197" s="88">
        <v>337575.88523689331</v>
      </c>
      <c r="H197" s="81">
        <v>1576.6088430720324</v>
      </c>
      <c r="I197" s="90"/>
      <c r="J197" s="103">
        <f t="shared" si="29"/>
        <v>-2.981517838524006E-2</v>
      </c>
      <c r="K197" s="126">
        <f t="shared" si="29"/>
        <v>-2.5239929354271662E-2</v>
      </c>
      <c r="L197" s="56">
        <v>335477</v>
      </c>
      <c r="M197" s="103">
        <v>1.5888075424361547E-2</v>
      </c>
      <c r="N197" s="97">
        <f>INDEX('Pace of change parameters'!$E$22:$I$22,1,$B$5)</f>
        <v>1.1119783131080974E-2</v>
      </c>
      <c r="O197" s="108">
        <f>MAX(IF(INDEX('Pace of change parameters'!$E$30:$I$30,1,$B$5)=1,(1+M197)*D197,D197),L197)</f>
        <v>335477</v>
      </c>
      <c r="P197" s="94">
        <f>IF(K197&lt;INDEX('Pace of change parameters'!$E$18:$I$18,1,$B$5),1,IF(K197&gt;INDEX('Pace of change parameters'!$E$19:$I$19,1,$B$5),0,(K197-INDEX('Pace of change parameters'!$E$19:$I$19,1,$B$5))/(INDEX('Pace of change parameters'!$E$18:$I$18,1,$B$5)-INDEX('Pace of change parameters'!$E$19:$I$19,1,$B$5))))</f>
        <v>0.75577632816076801</v>
      </c>
      <c r="Q197" s="57">
        <v>2.6427885662190453E-2</v>
      </c>
      <c r="R197" s="57">
        <v>2.161012247034777E-2</v>
      </c>
      <c r="S197" s="9">
        <f>MAX(IF(INDEX('Pace of change parameters'!$E$31:$I$31,1,$B$5)=1,D197*(1+Q197),D197),L197)</f>
        <v>336166.42326110968</v>
      </c>
      <c r="T197" s="103">
        <f>IF(Q197&lt;INDEX('Pace of change parameters'!$E$24:$I$24,1,$B$5),INDEX('Pace of change parameters'!$E$24:$I$24,1,$B$5),Q197)</f>
        <v>2.6427885662190453E-2</v>
      </c>
      <c r="U197" s="132">
        <v>2.161012247034777E-2</v>
      </c>
      <c r="V197" s="117">
        <f t="shared" si="30"/>
        <v>336166.42326110968</v>
      </c>
      <c r="W197" s="131">
        <f>IF(J197&gt;INDEX('Pace of change parameters'!$E$26:$I$26,1,$B$5),0,IF(J197&lt;INDEX('Pace of change parameters'!$E$25:$I$25,1,$B$5),1,(J197-INDEX('Pace of change parameters'!$E$26:$I$26,1,$B$5))/(INDEX('Pace of change parameters'!$E$25:$I$25,1,$B$5)-INDEX('Pace of change parameters'!$E$26:$I$26,1,$B$5))))</f>
        <v>1</v>
      </c>
      <c r="X197" s="132">
        <f>MIN(T197, T197+(INDEX('Pace of change parameters'!$E$27:$I$27,1,$B$5)-T197)*(1-W197))</f>
        <v>2.6427885662190453E-2</v>
      </c>
      <c r="Y197" s="132">
        <v>2.161012247034777E-2</v>
      </c>
      <c r="Z197" s="108">
        <f t="shared" si="31"/>
        <v>336166.42326110968</v>
      </c>
      <c r="AA197" s="97">
        <f>MIN(VLOOKUP(A197,'2016-17 disagg'!$A$12:$BC$220,54,FALSE),MIN(0,VLOOKUP(A197,'2016-17 disagg'!$A$12:$BC$220,54,FALSE),-2.5%))</f>
        <v>-3.2110159233856961E-2</v>
      </c>
      <c r="AB197" s="99">
        <f t="shared" si="24"/>
        <v>335162.29995999561</v>
      </c>
      <c r="AC197" s="99">
        <f>MAX(IF(INDEX('Pace of change parameters'!$E$29:$I$29,1,$B$5)=1,MAX(AB197,Z197),Z197),L197)</f>
        <v>336166.42326110968</v>
      </c>
      <c r="AD197" s="97">
        <f t="shared" si="25"/>
        <v>2.6427885662190453E-2</v>
      </c>
      <c r="AE197" s="146">
        <v>2.161012247034777E-2</v>
      </c>
      <c r="AF197" s="56">
        <f t="shared" si="32"/>
        <v>336166.42326110968</v>
      </c>
      <c r="AG197" s="56">
        <v>1570.0261151220345</v>
      </c>
      <c r="AH197" s="16">
        <f t="shared" si="26"/>
        <v>2.6427885662190453E-2</v>
      </c>
      <c r="AI197" s="16">
        <f t="shared" si="27"/>
        <v>2.1610122470347992E-2</v>
      </c>
      <c r="AJ197" s="56"/>
      <c r="AK197" s="56">
        <v>346281.45254081237</v>
      </c>
      <c r="AL197" s="56">
        <v>1617.2671809319356</v>
      </c>
      <c r="AM197" s="16">
        <f t="shared" si="35"/>
        <v>-2.9210427545236617E-2</v>
      </c>
      <c r="AN197" s="58">
        <f t="shared" si="35"/>
        <v>-2.9210427545236395E-2</v>
      </c>
      <c r="AP197" s="56">
        <f t="shared" si="34"/>
        <v>0</v>
      </c>
      <c r="AQ197" s="56">
        <f t="shared" si="28"/>
        <v>0</v>
      </c>
    </row>
    <row r="198" spans="1:43" x14ac:dyDescent="0.2">
      <c r="A198" s="156" t="s">
        <v>441</v>
      </c>
      <c r="B198" s="156" t="s">
        <v>442</v>
      </c>
      <c r="D198" s="68">
        <f>VLOOKUP(A198,'2016-17 disagg'!A198:BC406,43,FALSE)</f>
        <v>353179</v>
      </c>
      <c r="E198" s="73">
        <v>1755.1047215867866</v>
      </c>
      <c r="F198" s="55"/>
      <c r="G198" s="88">
        <v>343027.81840804929</v>
      </c>
      <c r="H198" s="81">
        <v>1696.8901123592279</v>
      </c>
      <c r="I198" s="90"/>
      <c r="J198" s="103">
        <f t="shared" si="29"/>
        <v>2.9592881530894788E-2</v>
      </c>
      <c r="K198" s="126">
        <f t="shared" si="29"/>
        <v>3.4306646496172544E-2</v>
      </c>
      <c r="L198" s="56">
        <v>361552</v>
      </c>
      <c r="M198" s="103">
        <v>1.5748973071026739E-2</v>
      </c>
      <c r="N198" s="97">
        <f>INDEX('Pace of change parameters'!$E$22:$I$22,1,$B$5)</f>
        <v>1.1119783131080974E-2</v>
      </c>
      <c r="O198" s="108">
        <f>MAX(IF(INDEX('Pace of change parameters'!$E$30:$I$30,1,$B$5)=1,(1+M198)*D198,D198),L198)</f>
        <v>361552</v>
      </c>
      <c r="P198" s="94">
        <f>IF(K198&lt;INDEX('Pace of change parameters'!$E$18:$I$18,1,$B$5),1,IF(K198&gt;INDEX('Pace of change parameters'!$E$19:$I$19,1,$B$5),0,(K198-INDEX('Pace of change parameters'!$E$19:$I$19,1,$B$5))/(INDEX('Pace of change parameters'!$E$18:$I$18,1,$B$5)-INDEX('Pace of change parameters'!$E$19:$I$19,1,$B$5))))</f>
        <v>0</v>
      </c>
      <c r="Q198" s="57">
        <v>1.5748973071026739E-2</v>
      </c>
      <c r="R198" s="57">
        <v>1.1119783131080974E-2</v>
      </c>
      <c r="S198" s="9">
        <f>MAX(IF(INDEX('Pace of change parameters'!$E$31:$I$31,1,$B$5)=1,D198*(1+Q198),D198),L198)</f>
        <v>361552</v>
      </c>
      <c r="T198" s="103">
        <f>IF(Q198&lt;INDEX('Pace of change parameters'!$E$24:$I$24,1,$B$5),INDEX('Pace of change parameters'!$E$24:$I$24,1,$B$5),Q198)</f>
        <v>1.9644681315626574E-2</v>
      </c>
      <c r="U198" s="132">
        <v>1.4997737015210788E-2</v>
      </c>
      <c r="V198" s="117">
        <f t="shared" si="30"/>
        <v>361552</v>
      </c>
      <c r="W198" s="131">
        <f>IF(J198&gt;INDEX('Pace of change parameters'!$E$26:$I$26,1,$B$5),0,IF(J198&lt;INDEX('Pace of change parameters'!$E$25:$I$25,1,$B$5),1,(J198-INDEX('Pace of change parameters'!$E$26:$I$26,1,$B$5))/(INDEX('Pace of change parameters'!$E$25:$I$25,1,$B$5)-INDEX('Pace of change parameters'!$E$26:$I$26,1,$B$5))))</f>
        <v>1</v>
      </c>
      <c r="X198" s="132">
        <f>MIN(T198, T198+(INDEX('Pace of change parameters'!$E$27:$I$27,1,$B$5)-T198)*(1-W198))</f>
        <v>1.9644681315626574E-2</v>
      </c>
      <c r="Y198" s="132">
        <v>1.4997737015210788E-2</v>
      </c>
      <c r="Z198" s="108">
        <f t="shared" si="31"/>
        <v>361552</v>
      </c>
      <c r="AA198" s="97">
        <f>MIN(VLOOKUP(A198,'2016-17 disagg'!$A$12:$BC$220,54,FALSE),MIN(0,VLOOKUP(A198,'2016-17 disagg'!$A$12:$BC$220,54,FALSE),-2.5%))</f>
        <v>-2.5000000000000001E-2</v>
      </c>
      <c r="AB198" s="99">
        <f t="shared" si="24"/>
        <v>343313.09223269892</v>
      </c>
      <c r="AC198" s="99">
        <f>MAX(IF(INDEX('Pace of change parameters'!$E$29:$I$29,1,$B$5)=1,MAX(AB198,Z198),Z198),L198)</f>
        <v>361552</v>
      </c>
      <c r="AD198" s="97">
        <f t="shared" si="25"/>
        <v>2.3707525079350589E-2</v>
      </c>
      <c r="AE198" s="146">
        <v>1.9042064712488038E-2</v>
      </c>
      <c r="AF198" s="56">
        <f t="shared" si="32"/>
        <v>361552</v>
      </c>
      <c r="AG198" s="56">
        <v>1788.5255392724359</v>
      </c>
      <c r="AH198" s="16">
        <f t="shared" si="26"/>
        <v>2.3707525079350589E-2</v>
      </c>
      <c r="AI198" s="16">
        <f t="shared" si="27"/>
        <v>1.904206471248826E-2</v>
      </c>
      <c r="AJ198" s="56"/>
      <c r="AK198" s="56">
        <v>352115.99203353736</v>
      </c>
      <c r="AL198" s="56">
        <v>1741.8474923060339</v>
      </c>
      <c r="AM198" s="16">
        <f t="shared" si="35"/>
        <v>2.6798010257835347E-2</v>
      </c>
      <c r="AN198" s="58">
        <f t="shared" si="35"/>
        <v>2.6798010257835347E-2</v>
      </c>
      <c r="AP198" s="56">
        <f t="shared" si="34"/>
        <v>1</v>
      </c>
      <c r="AQ198" s="56">
        <f t="shared" si="28"/>
        <v>0</v>
      </c>
    </row>
    <row r="199" spans="1:43" x14ac:dyDescent="0.2">
      <c r="A199" s="156" t="s">
        <v>443</v>
      </c>
      <c r="B199" s="156" t="s">
        <v>444</v>
      </c>
      <c r="D199" s="68">
        <f>VLOOKUP(A199,'2016-17 disagg'!A199:BC407,43,FALSE)</f>
        <v>175757</v>
      </c>
      <c r="E199" s="73">
        <v>1267.7708979789513</v>
      </c>
      <c r="F199" s="55"/>
      <c r="G199" s="88">
        <v>180839.86152065071</v>
      </c>
      <c r="H199" s="81">
        <v>1299.268632425928</v>
      </c>
      <c r="I199" s="90"/>
      <c r="J199" s="103">
        <f t="shared" si="29"/>
        <v>-2.8106975297978121E-2</v>
      </c>
      <c r="K199" s="126">
        <f t="shared" si="29"/>
        <v>-2.4242665189388668E-2</v>
      </c>
      <c r="L199" s="56">
        <v>179856</v>
      </c>
      <c r="M199" s="103">
        <v>1.5140061391794024E-2</v>
      </c>
      <c r="N199" s="97">
        <f>INDEX('Pace of change parameters'!$E$22:$I$22,1,$B$5)</f>
        <v>1.1119783131080974E-2</v>
      </c>
      <c r="O199" s="108">
        <f>MAX(IF(INDEX('Pace of change parameters'!$E$30:$I$30,1,$B$5)=1,(1+M199)*D199,D199),L199)</f>
        <v>179856</v>
      </c>
      <c r="P199" s="94">
        <f>IF(K199&lt;INDEX('Pace of change parameters'!$E$18:$I$18,1,$B$5),1,IF(K199&gt;INDEX('Pace of change parameters'!$E$19:$I$19,1,$B$5),0,(K199-INDEX('Pace of change parameters'!$E$19:$I$19,1,$B$5))/(INDEX('Pace of change parameters'!$E$18:$I$18,1,$B$5)-INDEX('Pace of change parameters'!$E$19:$I$19,1,$B$5))))</f>
        <v>0.74124443737762946</v>
      </c>
      <c r="Q199" s="57">
        <v>2.5469603214057557E-2</v>
      </c>
      <c r="R199" s="57">
        <v>2.1408416674762343E-2</v>
      </c>
      <c r="S199" s="9">
        <f>MAX(IF(INDEX('Pace of change parameters'!$E$31:$I$31,1,$B$5)=1,D199*(1+Q199),D199),L199)</f>
        <v>180233.4610520931</v>
      </c>
      <c r="T199" s="103">
        <f>IF(Q199&lt;INDEX('Pace of change parameters'!$E$24:$I$24,1,$B$5),INDEX('Pace of change parameters'!$E$24:$I$24,1,$B$5),Q199)</f>
        <v>2.5469603214057557E-2</v>
      </c>
      <c r="U199" s="132">
        <v>2.1408416674762343E-2</v>
      </c>
      <c r="V199" s="117">
        <f t="shared" si="30"/>
        <v>180233.4610520931</v>
      </c>
      <c r="W199" s="131">
        <f>IF(J199&gt;INDEX('Pace of change parameters'!$E$26:$I$26,1,$B$5),0,IF(J199&lt;INDEX('Pace of change parameters'!$E$25:$I$25,1,$B$5),1,(J199-INDEX('Pace of change parameters'!$E$26:$I$26,1,$B$5))/(INDEX('Pace of change parameters'!$E$25:$I$25,1,$B$5)-INDEX('Pace of change parameters'!$E$26:$I$26,1,$B$5))))</f>
        <v>1</v>
      </c>
      <c r="X199" s="132">
        <f>MIN(T199, T199+(INDEX('Pace of change parameters'!$E$27:$I$27,1,$B$5)-T199)*(1-W199))</f>
        <v>2.5469603214057557E-2</v>
      </c>
      <c r="Y199" s="132">
        <v>2.1408416674762343E-2</v>
      </c>
      <c r="Z199" s="108">
        <f t="shared" si="31"/>
        <v>180233.4610520931</v>
      </c>
      <c r="AA199" s="97">
        <f>MIN(VLOOKUP(A199,'2016-17 disagg'!$A$12:$BC$220,54,FALSE),MIN(0,VLOOKUP(A199,'2016-17 disagg'!$A$12:$BC$220,54,FALSE),-2.5%))</f>
        <v>-3.1123511342925347E-2</v>
      </c>
      <c r="AB199" s="99">
        <f t="shared" si="24"/>
        <v>179780.15287384784</v>
      </c>
      <c r="AC199" s="99">
        <f>MAX(IF(INDEX('Pace of change parameters'!$E$29:$I$29,1,$B$5)=1,MAX(AB199,Z199),Z199),L199)</f>
        <v>180233.4610520931</v>
      </c>
      <c r="AD199" s="97">
        <f t="shared" si="25"/>
        <v>2.5469603214057557E-2</v>
      </c>
      <c r="AE199" s="146">
        <v>2.1408416674762343E-2</v>
      </c>
      <c r="AF199" s="56">
        <f t="shared" si="32"/>
        <v>180233.4610520931</v>
      </c>
      <c r="AG199" s="56">
        <v>1294.9118656110222</v>
      </c>
      <c r="AH199" s="16">
        <f t="shared" si="26"/>
        <v>2.5469603214057557E-2</v>
      </c>
      <c r="AI199" s="16">
        <f t="shared" si="27"/>
        <v>2.1408416674762343E-2</v>
      </c>
      <c r="AJ199" s="56"/>
      <c r="AK199" s="56">
        <v>185555.2848877928</v>
      </c>
      <c r="AL199" s="56">
        <v>1333.1472342895793</v>
      </c>
      <c r="AM199" s="16">
        <f t="shared" si="35"/>
        <v>-2.8680529573263613E-2</v>
      </c>
      <c r="AN199" s="58">
        <f t="shared" si="35"/>
        <v>-2.8680529573263724E-2</v>
      </c>
      <c r="AP199" s="56">
        <f t="shared" si="34"/>
        <v>0</v>
      </c>
      <c r="AQ199" s="56">
        <f t="shared" si="28"/>
        <v>0</v>
      </c>
    </row>
    <row r="200" spans="1:43" x14ac:dyDescent="0.2">
      <c r="A200" s="156" t="s">
        <v>445</v>
      </c>
      <c r="B200" s="156" t="s">
        <v>446</v>
      </c>
      <c r="D200" s="68">
        <f>VLOOKUP(A200,'2016-17 disagg'!A200:BC408,43,FALSE)</f>
        <v>423544</v>
      </c>
      <c r="E200" s="73">
        <v>1532.0132148054199</v>
      </c>
      <c r="F200" s="55"/>
      <c r="G200" s="88">
        <v>430413.04581893695</v>
      </c>
      <c r="H200" s="81">
        <v>1547.366482799172</v>
      </c>
      <c r="I200" s="90"/>
      <c r="J200" s="103">
        <f t="shared" si="29"/>
        <v>-1.5959195209493182E-2</v>
      </c>
      <c r="K200" s="126">
        <f t="shared" si="29"/>
        <v>-9.9221924246272186E-3</v>
      </c>
      <c r="L200" s="56">
        <v>435503</v>
      </c>
      <c r="M200" s="103">
        <v>1.7322913038783305E-2</v>
      </c>
      <c r="N200" s="97">
        <f>INDEX('Pace of change parameters'!$E$22:$I$22,1,$B$5)</f>
        <v>1.1119783131080974E-2</v>
      </c>
      <c r="O200" s="108">
        <f>MAX(IF(INDEX('Pace of change parameters'!$E$30:$I$30,1,$B$5)=1,(1+M200)*D200,D200),L200)</f>
        <v>435503</v>
      </c>
      <c r="P200" s="94">
        <f>IF(K200&lt;INDEX('Pace of change parameters'!$E$18:$I$18,1,$B$5),1,IF(K200&gt;INDEX('Pace of change parameters'!$E$19:$I$19,1,$B$5),0,(K200-INDEX('Pace of change parameters'!$E$19:$I$19,1,$B$5))/(INDEX('Pace of change parameters'!$E$18:$I$18,1,$B$5)-INDEX('Pace of change parameters'!$E$19:$I$19,1,$B$5))))</f>
        <v>0.53256999232240243</v>
      </c>
      <c r="Q200" s="57">
        <v>2.47604504395873E-2</v>
      </c>
      <c r="R200" s="57">
        <v>1.8511970122394361E-2</v>
      </c>
      <c r="S200" s="9">
        <f>MAX(IF(INDEX('Pace of change parameters'!$E$31:$I$31,1,$B$5)=1,D200*(1+Q200),D200),L200)</f>
        <v>435503</v>
      </c>
      <c r="T200" s="103">
        <f>IF(Q200&lt;INDEX('Pace of change parameters'!$E$24:$I$24,1,$B$5),INDEX('Pace of change parameters'!$E$24:$I$24,1,$B$5),Q200)</f>
        <v>2.47604504395873E-2</v>
      </c>
      <c r="U200" s="132">
        <v>1.8511970122394361E-2</v>
      </c>
      <c r="V200" s="117">
        <f t="shared" si="30"/>
        <v>435503</v>
      </c>
      <c r="W200" s="131">
        <f>IF(J200&gt;INDEX('Pace of change parameters'!$E$26:$I$26,1,$B$5),0,IF(J200&lt;INDEX('Pace of change parameters'!$E$25:$I$25,1,$B$5),1,(J200-INDEX('Pace of change parameters'!$E$26:$I$26,1,$B$5))/(INDEX('Pace of change parameters'!$E$25:$I$25,1,$B$5)-INDEX('Pace of change parameters'!$E$26:$I$26,1,$B$5))))</f>
        <v>1</v>
      </c>
      <c r="X200" s="132">
        <f>MIN(T200, T200+(INDEX('Pace of change parameters'!$E$27:$I$27,1,$B$5)-T200)*(1-W200))</f>
        <v>2.47604504395873E-2</v>
      </c>
      <c r="Y200" s="132">
        <v>1.8511970122394361E-2</v>
      </c>
      <c r="Z200" s="108">
        <f t="shared" si="31"/>
        <v>435503</v>
      </c>
      <c r="AA200" s="97">
        <f>MIN(VLOOKUP(A200,'2016-17 disagg'!$A$12:$BC$220,54,FALSE),MIN(0,VLOOKUP(A200,'2016-17 disagg'!$A$12:$BC$220,54,FALSE),-2.5%))</f>
        <v>-2.5000000000000001E-2</v>
      </c>
      <c r="AB200" s="99">
        <f t="shared" si="24"/>
        <v>430654.50475192018</v>
      </c>
      <c r="AC200" s="99">
        <f>MAX(IF(INDEX('Pace of change parameters'!$E$29:$I$29,1,$B$5)=1,MAX(AB200,Z200),Z200),L200)</f>
        <v>435503</v>
      </c>
      <c r="AD200" s="97">
        <f t="shared" si="25"/>
        <v>2.8235555219764619E-2</v>
      </c>
      <c r="AE200" s="146">
        <v>2.1965885439405142E-2</v>
      </c>
      <c r="AF200" s="56">
        <f t="shared" si="32"/>
        <v>435503</v>
      </c>
      <c r="AG200" s="56">
        <v>1565.6652415734904</v>
      </c>
      <c r="AH200" s="16">
        <f t="shared" si="26"/>
        <v>2.8235555219764619E-2</v>
      </c>
      <c r="AI200" s="16">
        <f t="shared" si="27"/>
        <v>2.1965885439405142E-2</v>
      </c>
      <c r="AJ200" s="56"/>
      <c r="AK200" s="56">
        <v>441696.92795068736</v>
      </c>
      <c r="AL200" s="56">
        <v>1587.9328670575899</v>
      </c>
      <c r="AM200" s="16">
        <f t="shared" si="35"/>
        <v>-1.402302700954916E-2</v>
      </c>
      <c r="AN200" s="58">
        <f t="shared" si="35"/>
        <v>-1.402302700954916E-2</v>
      </c>
      <c r="AP200" s="56">
        <f t="shared" si="34"/>
        <v>1</v>
      </c>
      <c r="AQ200" s="56">
        <f t="shared" si="28"/>
        <v>0</v>
      </c>
    </row>
    <row r="201" spans="1:43" x14ac:dyDescent="0.2">
      <c r="A201" s="156" t="s">
        <v>447</v>
      </c>
      <c r="B201" s="156" t="s">
        <v>448</v>
      </c>
      <c r="D201" s="68">
        <f>VLOOKUP(A201,'2016-17 disagg'!A201:BC409,43,FALSE)</f>
        <v>460787</v>
      </c>
      <c r="E201" s="73">
        <v>1508.1809344267474</v>
      </c>
      <c r="F201" s="55"/>
      <c r="G201" s="88">
        <v>473808.54323392827</v>
      </c>
      <c r="H201" s="81">
        <v>1537.2608861849476</v>
      </c>
      <c r="I201" s="90"/>
      <c r="J201" s="103">
        <f t="shared" si="29"/>
        <v>-2.7482710938581123E-2</v>
      </c>
      <c r="K201" s="126">
        <f t="shared" si="29"/>
        <v>-1.8916731713878754E-2</v>
      </c>
      <c r="L201" s="56">
        <v>472357</v>
      </c>
      <c r="M201" s="103">
        <v>2.0025774986861089E-2</v>
      </c>
      <c r="N201" s="97">
        <f>INDEX('Pace of change parameters'!$E$22:$I$22,1,$B$5)</f>
        <v>1.1119783131080974E-2</v>
      </c>
      <c r="O201" s="108">
        <f>MAX(IF(INDEX('Pace of change parameters'!$E$30:$I$30,1,$B$5)=1,(1+M201)*D201,D201),L201)</f>
        <v>472357</v>
      </c>
      <c r="P201" s="94">
        <f>IF(K201&lt;INDEX('Pace of change parameters'!$E$18:$I$18,1,$B$5),1,IF(K201&gt;INDEX('Pace of change parameters'!$E$19:$I$19,1,$B$5),0,(K201-INDEX('Pace of change parameters'!$E$19:$I$19,1,$B$5))/(INDEX('Pace of change parameters'!$E$18:$I$18,1,$B$5)-INDEX('Pace of change parameters'!$E$19:$I$19,1,$B$5))))</f>
        <v>0.66363623053561172</v>
      </c>
      <c r="Q201" s="57">
        <v>2.9318324374970395E-2</v>
      </c>
      <c r="R201" s="57">
        <v>2.0331197932987211E-2</v>
      </c>
      <c r="S201" s="9">
        <f>MAX(IF(INDEX('Pace of change parameters'!$E$31:$I$31,1,$B$5)=1,D201*(1+Q201),D201),L201)</f>
        <v>474296.50273376948</v>
      </c>
      <c r="T201" s="103">
        <f>IF(Q201&lt;INDEX('Pace of change parameters'!$E$24:$I$24,1,$B$5),INDEX('Pace of change parameters'!$E$24:$I$24,1,$B$5),Q201)</f>
        <v>2.9318324374970395E-2</v>
      </c>
      <c r="U201" s="132">
        <v>2.0331197932987211E-2</v>
      </c>
      <c r="V201" s="117">
        <f t="shared" si="30"/>
        <v>474296.50273376948</v>
      </c>
      <c r="W201" s="131">
        <f>IF(J201&gt;INDEX('Pace of change parameters'!$E$26:$I$26,1,$B$5),0,IF(J201&lt;INDEX('Pace of change parameters'!$E$25:$I$25,1,$B$5),1,(J201-INDEX('Pace of change parameters'!$E$26:$I$26,1,$B$5))/(INDEX('Pace of change parameters'!$E$25:$I$25,1,$B$5)-INDEX('Pace of change parameters'!$E$26:$I$26,1,$B$5))))</f>
        <v>1</v>
      </c>
      <c r="X201" s="132">
        <f>MIN(T201, T201+(INDEX('Pace of change parameters'!$E$27:$I$27,1,$B$5)-T201)*(1-W201))</f>
        <v>2.9318324374970395E-2</v>
      </c>
      <c r="Y201" s="132">
        <v>2.0331197932987211E-2</v>
      </c>
      <c r="Z201" s="108">
        <f t="shared" si="31"/>
        <v>474296.50273376948</v>
      </c>
      <c r="AA201" s="97">
        <f>MIN(VLOOKUP(A201,'2016-17 disagg'!$A$12:$BC$220,54,FALSE),MIN(0,VLOOKUP(A201,'2016-17 disagg'!$A$12:$BC$220,54,FALSE),-2.5%))</f>
        <v>-2.5842728988640373E-2</v>
      </c>
      <c r="AB201" s="99">
        <f t="shared" si="24"/>
        <v>473879.30422540742</v>
      </c>
      <c r="AC201" s="99">
        <f>MAX(IF(INDEX('Pace of change parameters'!$E$29:$I$29,1,$B$5)=1,MAX(AB201,Z201),Z201),L201)</f>
        <v>474296.50273376948</v>
      </c>
      <c r="AD201" s="97">
        <f t="shared" si="25"/>
        <v>2.9318324374970395E-2</v>
      </c>
      <c r="AE201" s="146">
        <v>2.0331197932987211E-2</v>
      </c>
      <c r="AF201" s="56">
        <f t="shared" si="32"/>
        <v>474296.50273376948</v>
      </c>
      <c r="AG201" s="56">
        <v>1538.8440595233353</v>
      </c>
      <c r="AH201" s="16">
        <f t="shared" si="26"/>
        <v>2.9318324374970395E-2</v>
      </c>
      <c r="AI201" s="16">
        <f t="shared" si="27"/>
        <v>2.0331197932987211E-2</v>
      </c>
      <c r="AJ201" s="56"/>
      <c r="AK201" s="56">
        <v>486450.51299923164</v>
      </c>
      <c r="AL201" s="56">
        <v>1578.2774653962233</v>
      </c>
      <c r="AM201" s="16">
        <f t="shared" si="35"/>
        <v>-2.4985090858525516E-2</v>
      </c>
      <c r="AN201" s="58">
        <f t="shared" si="35"/>
        <v>-2.4985090858525516E-2</v>
      </c>
      <c r="AP201" s="56">
        <f t="shared" si="34"/>
        <v>0</v>
      </c>
      <c r="AQ201" s="56">
        <f t="shared" si="28"/>
        <v>0</v>
      </c>
    </row>
    <row r="202" spans="1:43" x14ac:dyDescent="0.2">
      <c r="A202" s="156" t="s">
        <v>449</v>
      </c>
      <c r="B202" s="156" t="s">
        <v>450</v>
      </c>
      <c r="D202" s="68">
        <f>VLOOKUP(A202,'2016-17 disagg'!A202:BC410,43,FALSE)</f>
        <v>146997</v>
      </c>
      <c r="E202" s="73">
        <v>1543.302045076304</v>
      </c>
      <c r="F202" s="55"/>
      <c r="G202" s="88">
        <v>149050.0265790183</v>
      </c>
      <c r="H202" s="81">
        <v>1556.7544738800325</v>
      </c>
      <c r="I202" s="90"/>
      <c r="J202" s="103">
        <f t="shared" si="29"/>
        <v>-1.3774077241978211E-2</v>
      </c>
      <c r="K202" s="126">
        <f t="shared" si="29"/>
        <v>-8.6413297854219806E-3</v>
      </c>
      <c r="L202" s="56">
        <v>151129</v>
      </c>
      <c r="M202" s="103">
        <v>1.6382089034201019E-2</v>
      </c>
      <c r="N202" s="97">
        <f>INDEX('Pace of change parameters'!$E$22:$I$22,1,$B$5)</f>
        <v>1.1119783131080974E-2</v>
      </c>
      <c r="O202" s="108">
        <f>MAX(IF(INDEX('Pace of change parameters'!$E$30:$I$30,1,$B$5)=1,(1+M202)*D202,D202),L202)</f>
        <v>151129</v>
      </c>
      <c r="P202" s="94">
        <f>IF(K202&lt;INDEX('Pace of change parameters'!$E$18:$I$18,1,$B$5),1,IF(K202&gt;INDEX('Pace of change parameters'!$E$19:$I$19,1,$B$5),0,(K202-INDEX('Pace of change parameters'!$E$19:$I$19,1,$B$5))/(INDEX('Pace of change parameters'!$E$18:$I$18,1,$B$5)-INDEX('Pace of change parameters'!$E$19:$I$19,1,$B$5))))</f>
        <v>0.51390557356900535</v>
      </c>
      <c r="Q202" s="57">
        <v>2.3552333700026296E-2</v>
      </c>
      <c r="R202" s="57">
        <v>1.8252903942364895E-2</v>
      </c>
      <c r="S202" s="9">
        <f>MAX(IF(INDEX('Pace of change parameters'!$E$31:$I$31,1,$B$5)=1,D202*(1+Q202),D202),L202)</f>
        <v>151129</v>
      </c>
      <c r="T202" s="103">
        <f>IF(Q202&lt;INDEX('Pace of change parameters'!$E$24:$I$24,1,$B$5),INDEX('Pace of change parameters'!$E$24:$I$24,1,$B$5),Q202)</f>
        <v>2.3552333700026296E-2</v>
      </c>
      <c r="U202" s="132">
        <v>1.8252903942364895E-2</v>
      </c>
      <c r="V202" s="117">
        <f t="shared" si="30"/>
        <v>151129</v>
      </c>
      <c r="W202" s="131">
        <f>IF(J202&gt;INDEX('Pace of change parameters'!$E$26:$I$26,1,$B$5),0,IF(J202&lt;INDEX('Pace of change parameters'!$E$25:$I$25,1,$B$5),1,(J202-INDEX('Pace of change parameters'!$E$26:$I$26,1,$B$5))/(INDEX('Pace of change parameters'!$E$25:$I$25,1,$B$5)-INDEX('Pace of change parameters'!$E$26:$I$26,1,$B$5))))</f>
        <v>1</v>
      </c>
      <c r="X202" s="132">
        <f>MIN(T202, T202+(INDEX('Pace of change parameters'!$E$27:$I$27,1,$B$5)-T202)*(1-W202))</f>
        <v>2.3552333700026296E-2</v>
      </c>
      <c r="Y202" s="132">
        <v>1.8252903942364895E-2</v>
      </c>
      <c r="Z202" s="108">
        <f t="shared" si="31"/>
        <v>151129</v>
      </c>
      <c r="AA202" s="97">
        <f>MIN(VLOOKUP(A202,'2016-17 disagg'!$A$12:$BC$220,54,FALSE),MIN(0,VLOOKUP(A202,'2016-17 disagg'!$A$12:$BC$220,54,FALSE),-2.5%))</f>
        <v>-2.5000000000000001E-2</v>
      </c>
      <c r="AB202" s="99">
        <f t="shared" si="24"/>
        <v>149169.61744236125</v>
      </c>
      <c r="AC202" s="99">
        <f>MAX(IF(INDEX('Pace of change parameters'!$E$29:$I$29,1,$B$5)=1,MAX(AB202,Z202),Z202),L202)</f>
        <v>151129</v>
      </c>
      <c r="AD202" s="97">
        <f t="shared" si="25"/>
        <v>2.8109417198990405E-2</v>
      </c>
      <c r="AE202" s="146">
        <v>2.2786393196943422E-2</v>
      </c>
      <c r="AF202" s="56">
        <f t="shared" si="32"/>
        <v>151129</v>
      </c>
      <c r="AG202" s="56">
        <v>1578.4683322970598</v>
      </c>
      <c r="AH202" s="16">
        <f t="shared" si="26"/>
        <v>2.8109417198990405E-2</v>
      </c>
      <c r="AI202" s="16">
        <f t="shared" si="27"/>
        <v>2.2786393196943644E-2</v>
      </c>
      <c r="AJ202" s="56"/>
      <c r="AK202" s="56">
        <v>152994.47942806283</v>
      </c>
      <c r="AL202" s="56">
        <v>1597.9523505976426</v>
      </c>
      <c r="AM202" s="16">
        <f t="shared" si="35"/>
        <v>-1.2193115954487577E-2</v>
      </c>
      <c r="AN202" s="58">
        <f t="shared" si="35"/>
        <v>-1.2193115954487466E-2</v>
      </c>
      <c r="AP202" s="56">
        <f t="shared" si="34"/>
        <v>1</v>
      </c>
      <c r="AQ202" s="56">
        <f t="shared" si="28"/>
        <v>0</v>
      </c>
    </row>
    <row r="203" spans="1:43" x14ac:dyDescent="0.2">
      <c r="A203" s="156" t="s">
        <v>451</v>
      </c>
      <c r="B203" s="156" t="s">
        <v>452</v>
      </c>
      <c r="D203" s="68">
        <f>VLOOKUP(A203,'2016-17 disagg'!A203:BC411,43,FALSE)</f>
        <v>177545</v>
      </c>
      <c r="E203" s="73">
        <v>1606.5180509360787</v>
      </c>
      <c r="F203" s="55"/>
      <c r="G203" s="88">
        <v>182652.76015627294</v>
      </c>
      <c r="H203" s="81">
        <v>1634.1031636397126</v>
      </c>
      <c r="I203" s="90"/>
      <c r="J203" s="103">
        <f t="shared" si="29"/>
        <v>-2.7964319575038865E-2</v>
      </c>
      <c r="K203" s="126">
        <f t="shared" si="29"/>
        <v>-1.6880888133275707E-2</v>
      </c>
      <c r="L203" s="56">
        <v>182313</v>
      </c>
      <c r="M203" s="103">
        <v>2.2648862794951485E-2</v>
      </c>
      <c r="N203" s="97">
        <f>INDEX('Pace of change parameters'!$E$22:$I$22,1,$B$5)</f>
        <v>1.1119783131080974E-2</v>
      </c>
      <c r="O203" s="108">
        <f>MAX(IF(INDEX('Pace of change parameters'!$E$30:$I$30,1,$B$5)=1,(1+M203)*D203,D203),L203)</f>
        <v>182313</v>
      </c>
      <c r="P203" s="94">
        <f>IF(K203&lt;INDEX('Pace of change parameters'!$E$18:$I$18,1,$B$5),1,IF(K203&gt;INDEX('Pace of change parameters'!$E$19:$I$19,1,$B$5),0,(K203-INDEX('Pace of change parameters'!$E$19:$I$19,1,$B$5))/(INDEX('Pace of change parameters'!$E$18:$I$18,1,$B$5)-INDEX('Pace of change parameters'!$E$19:$I$19,1,$B$5))))</f>
        <v>0.63397041318585445</v>
      </c>
      <c r="Q203" s="57">
        <v>3.1548845731870001E-2</v>
      </c>
      <c r="R203" s="57">
        <v>1.9919429954578849E-2</v>
      </c>
      <c r="S203" s="9">
        <f>MAX(IF(INDEX('Pace of change parameters'!$E$31:$I$31,1,$B$5)=1,D203*(1+Q203),D203),L203)</f>
        <v>183146.33981546486</v>
      </c>
      <c r="T203" s="103">
        <f>IF(Q203&lt;INDEX('Pace of change parameters'!$E$24:$I$24,1,$B$5),INDEX('Pace of change parameters'!$E$24:$I$24,1,$B$5),Q203)</f>
        <v>3.1548845731870001E-2</v>
      </c>
      <c r="U203" s="132">
        <v>1.9919429954578849E-2</v>
      </c>
      <c r="V203" s="117">
        <f t="shared" si="30"/>
        <v>183146.33981546486</v>
      </c>
      <c r="W203" s="131">
        <f>IF(J203&gt;INDEX('Pace of change parameters'!$E$26:$I$26,1,$B$5),0,IF(J203&lt;INDEX('Pace of change parameters'!$E$25:$I$25,1,$B$5),1,(J203-INDEX('Pace of change parameters'!$E$26:$I$26,1,$B$5))/(INDEX('Pace of change parameters'!$E$25:$I$25,1,$B$5)-INDEX('Pace of change parameters'!$E$26:$I$26,1,$B$5))))</f>
        <v>1</v>
      </c>
      <c r="X203" s="132">
        <f>MIN(T203, T203+(INDEX('Pace of change parameters'!$E$27:$I$27,1,$B$5)-T203)*(1-W203))</f>
        <v>3.1548845731870001E-2</v>
      </c>
      <c r="Y203" s="132">
        <v>1.9919429954578849E-2</v>
      </c>
      <c r="Z203" s="108">
        <f t="shared" si="31"/>
        <v>183146.33981546486</v>
      </c>
      <c r="AA203" s="97">
        <f>MIN(VLOOKUP(A203,'2016-17 disagg'!$A$12:$BC$220,54,FALSE),MIN(0,VLOOKUP(A203,'2016-17 disagg'!$A$12:$BC$220,54,FALSE),-2.5%))</f>
        <v>-2.5000000000000001E-2</v>
      </c>
      <c r="AB203" s="99">
        <f t="shared" si="24"/>
        <v>182759.71060443303</v>
      </c>
      <c r="AC203" s="99">
        <f>MAX(IF(INDEX('Pace of change parameters'!$E$29:$I$29,1,$B$5)=1,MAX(AB203,Z203),Z203),L203)</f>
        <v>183146.33981546486</v>
      </c>
      <c r="AD203" s="97">
        <f t="shared" si="25"/>
        <v>3.1548845731870001E-2</v>
      </c>
      <c r="AE203" s="146">
        <v>1.9919429954578849E-2</v>
      </c>
      <c r="AF203" s="56">
        <f t="shared" si="32"/>
        <v>183146.33981546486</v>
      </c>
      <c r="AG203" s="56">
        <v>1638.5189747224667</v>
      </c>
      <c r="AH203" s="16">
        <f t="shared" si="26"/>
        <v>3.1548845731870001E-2</v>
      </c>
      <c r="AI203" s="16">
        <f t="shared" si="27"/>
        <v>1.9919429954579071E-2</v>
      </c>
      <c r="AJ203" s="56"/>
      <c r="AK203" s="56">
        <v>187445.85703018773</v>
      </c>
      <c r="AL203" s="56">
        <v>1676.9846112487965</v>
      </c>
      <c r="AM203" s="16">
        <f t="shared" si="35"/>
        <v>-2.2937381934402756E-2</v>
      </c>
      <c r="AN203" s="58">
        <f t="shared" si="35"/>
        <v>-2.2937381934402867E-2</v>
      </c>
      <c r="AP203" s="56">
        <f t="shared" si="34"/>
        <v>0</v>
      </c>
      <c r="AQ203" s="56">
        <f t="shared" si="28"/>
        <v>0</v>
      </c>
    </row>
    <row r="204" spans="1:43" x14ac:dyDescent="0.2">
      <c r="A204" s="156" t="s">
        <v>453</v>
      </c>
      <c r="B204" s="156" t="s">
        <v>454</v>
      </c>
      <c r="D204" s="68">
        <f>VLOOKUP(A204,'2016-17 disagg'!A204:BC412,43,FALSE)</f>
        <v>265502</v>
      </c>
      <c r="E204" s="73">
        <v>1832.0748777267727</v>
      </c>
      <c r="F204" s="55"/>
      <c r="G204" s="88">
        <v>266596.45727348648</v>
      </c>
      <c r="H204" s="81">
        <v>1824.1192689985035</v>
      </c>
      <c r="I204" s="90"/>
      <c r="J204" s="103">
        <f t="shared" si="29"/>
        <v>-4.1052956392579887E-3</v>
      </c>
      <c r="K204" s="126">
        <f t="shared" si="29"/>
        <v>4.3613424097193043E-3</v>
      </c>
      <c r="L204" s="56">
        <v>273494</v>
      </c>
      <c r="M204" s="103">
        <v>1.9715857786811064E-2</v>
      </c>
      <c r="N204" s="97">
        <f>INDEX('Pace of change parameters'!$E$22:$I$22,1,$B$5)</f>
        <v>1.1119783131080974E-2</v>
      </c>
      <c r="O204" s="108">
        <f>MAX(IF(INDEX('Pace of change parameters'!$E$30:$I$30,1,$B$5)=1,(1+M204)*D204,D204),L204)</f>
        <v>273494</v>
      </c>
      <c r="P204" s="94">
        <f>IF(K204&lt;INDEX('Pace of change parameters'!$E$18:$I$18,1,$B$5),1,IF(K204&gt;INDEX('Pace of change parameters'!$E$19:$I$19,1,$B$5),0,(K204-INDEX('Pace of change parameters'!$E$19:$I$19,1,$B$5))/(INDEX('Pace of change parameters'!$E$18:$I$18,1,$B$5)-INDEX('Pace of change parameters'!$E$19:$I$19,1,$B$5))))</f>
        <v>0.32443379780243642</v>
      </c>
      <c r="Q204" s="57">
        <v>2.4257353489597788E-2</v>
      </c>
      <c r="R204" s="57">
        <v>1.5622994604185925E-2</v>
      </c>
      <c r="S204" s="9">
        <f>MAX(IF(INDEX('Pace of change parameters'!$E$31:$I$31,1,$B$5)=1,D204*(1+Q204),D204),L204)</f>
        <v>273494</v>
      </c>
      <c r="T204" s="103">
        <f>IF(Q204&lt;INDEX('Pace of change parameters'!$E$24:$I$24,1,$B$5),INDEX('Pace of change parameters'!$E$24:$I$24,1,$B$5),Q204)</f>
        <v>2.4257353489597788E-2</v>
      </c>
      <c r="U204" s="132">
        <v>1.5622994604185925E-2</v>
      </c>
      <c r="V204" s="117">
        <f t="shared" si="30"/>
        <v>273494</v>
      </c>
      <c r="W204" s="131">
        <f>IF(J204&gt;INDEX('Pace of change parameters'!$E$26:$I$26,1,$B$5),0,IF(J204&lt;INDEX('Pace of change parameters'!$E$25:$I$25,1,$B$5),1,(J204-INDEX('Pace of change parameters'!$E$26:$I$26,1,$B$5))/(INDEX('Pace of change parameters'!$E$25:$I$25,1,$B$5)-INDEX('Pace of change parameters'!$E$26:$I$26,1,$B$5))))</f>
        <v>1</v>
      </c>
      <c r="X204" s="132">
        <f>MIN(T204, T204+(INDEX('Pace of change parameters'!$E$27:$I$27,1,$B$5)-T204)*(1-W204))</f>
        <v>2.4257353489597788E-2</v>
      </c>
      <c r="Y204" s="132">
        <v>1.5622994604185925E-2</v>
      </c>
      <c r="Z204" s="108">
        <f t="shared" si="31"/>
        <v>273494</v>
      </c>
      <c r="AA204" s="97">
        <f>MIN(VLOOKUP(A204,'2016-17 disagg'!$A$12:$BC$220,54,FALSE),MIN(0,VLOOKUP(A204,'2016-17 disagg'!$A$12:$BC$220,54,FALSE),-2.5%))</f>
        <v>-2.5000000000000001E-2</v>
      </c>
      <c r="AB204" s="99">
        <f t="shared" ref="AB204:AB220" si="36">(1+AA204)*AK204</f>
        <v>266783.6755473782</v>
      </c>
      <c r="AC204" s="99">
        <f>MAX(IF(INDEX('Pace of change parameters'!$E$29:$I$29,1,$B$5)=1,MAX(AB204,Z204),Z204),L204)</f>
        <v>273494</v>
      </c>
      <c r="AD204" s="97">
        <f t="shared" ref="AD204:AD220" si="37">AC204/D204-1</f>
        <v>3.0101468162198497E-2</v>
      </c>
      <c r="AE204" s="146">
        <v>2.1417844135287911E-2</v>
      </c>
      <c r="AF204" s="56">
        <f t="shared" si="32"/>
        <v>273494</v>
      </c>
      <c r="AG204" s="56">
        <v>1871.313971902101</v>
      </c>
      <c r="AH204" s="16">
        <f t="shared" ref="AH204:AH220" si="38">AF204/D204 - 1</f>
        <v>3.0101468162198497E-2</v>
      </c>
      <c r="AI204" s="16">
        <f t="shared" ref="AI204:AI220" si="39">AG204/E204 - 1</f>
        <v>2.1417844135287689E-2</v>
      </c>
      <c r="AJ204" s="56"/>
      <c r="AK204" s="56">
        <v>273624.28261269559</v>
      </c>
      <c r="AL204" s="56">
        <v>1872.2053979422815</v>
      </c>
      <c r="AM204" s="16">
        <f t="shared" si="35"/>
        <v>-4.7613688175474067E-4</v>
      </c>
      <c r="AN204" s="58">
        <f t="shared" si="35"/>
        <v>-4.7613688175462965E-4</v>
      </c>
      <c r="AP204" s="56">
        <f t="shared" si="34"/>
        <v>1</v>
      </c>
      <c r="AQ204" s="56">
        <f t="shared" ref="AQ204:AQ220" si="40">IF(AB204=AF204,1,0)</f>
        <v>0</v>
      </c>
    </row>
    <row r="205" spans="1:43" x14ac:dyDescent="0.2">
      <c r="A205" s="156" t="s">
        <v>455</v>
      </c>
      <c r="B205" s="156" t="s">
        <v>456</v>
      </c>
      <c r="D205" s="68">
        <f>VLOOKUP(A205,'2016-17 disagg'!A205:BC413,43,FALSE)</f>
        <v>853409</v>
      </c>
      <c r="E205" s="73">
        <v>1535.7825826270741</v>
      </c>
      <c r="F205" s="55"/>
      <c r="G205" s="88">
        <v>861708.76343815017</v>
      </c>
      <c r="H205" s="81">
        <v>1540.3235019859642</v>
      </c>
      <c r="I205" s="90"/>
      <c r="J205" s="103">
        <f t="shared" ref="J205:K220" si="41">D205/G205-1</f>
        <v>-9.6317500648765986E-3</v>
      </c>
      <c r="K205" s="126">
        <f t="shared" si="41"/>
        <v>-2.948029652884876E-3</v>
      </c>
      <c r="L205" s="56">
        <v>874245</v>
      </c>
      <c r="M205" s="103">
        <v>1.7943549880393261E-2</v>
      </c>
      <c r="N205" s="97">
        <f>INDEX('Pace of change parameters'!$E$22:$I$22,1,$B$5)</f>
        <v>1.1119783131080974E-2</v>
      </c>
      <c r="O205" s="108">
        <f>MAX(IF(INDEX('Pace of change parameters'!$E$30:$I$30,1,$B$5)=1,(1+M205)*D205,D205),L205)</f>
        <v>874245</v>
      </c>
      <c r="P205" s="94">
        <f>IF(K205&lt;INDEX('Pace of change parameters'!$E$18:$I$18,1,$B$5),1,IF(K205&gt;INDEX('Pace of change parameters'!$E$19:$I$19,1,$B$5),0,(K205-INDEX('Pace of change parameters'!$E$19:$I$19,1,$B$5))/(INDEX('Pace of change parameters'!$E$18:$I$18,1,$B$5)-INDEX('Pace of change parameters'!$E$19:$I$19,1,$B$5))))</f>
        <v>0.43094418917857724</v>
      </c>
      <c r="Q205" s="57">
        <v>2.3965516834547396E-2</v>
      </c>
      <c r="R205" s="57">
        <v>1.7101381935280102E-2</v>
      </c>
      <c r="S205" s="9">
        <f>MAX(IF(INDEX('Pace of change parameters'!$E$31:$I$31,1,$B$5)=1,D205*(1+Q205),D205),L205)</f>
        <v>874245</v>
      </c>
      <c r="T205" s="103">
        <f>IF(Q205&lt;INDEX('Pace of change parameters'!$E$24:$I$24,1,$B$5),INDEX('Pace of change parameters'!$E$24:$I$24,1,$B$5),Q205)</f>
        <v>2.3965516834547396E-2</v>
      </c>
      <c r="U205" s="132">
        <v>1.7101381935280102E-2</v>
      </c>
      <c r="V205" s="117">
        <f t="shared" ref="V205:V220" si="42">MAX(D205*(1+T205),L205)</f>
        <v>874245</v>
      </c>
      <c r="W205" s="131">
        <f>IF(J205&gt;INDEX('Pace of change parameters'!$E$26:$I$26,1,$B$5),0,IF(J205&lt;INDEX('Pace of change parameters'!$E$25:$I$25,1,$B$5),1,(J205-INDEX('Pace of change parameters'!$E$26:$I$26,1,$B$5))/(INDEX('Pace of change parameters'!$E$25:$I$25,1,$B$5)-INDEX('Pace of change parameters'!$E$26:$I$26,1,$B$5))))</f>
        <v>1</v>
      </c>
      <c r="X205" s="132">
        <f>MIN(T205, T205+(INDEX('Pace of change parameters'!$E$27:$I$27,1,$B$5)-T205)*(1-W205))</f>
        <v>2.3965516834547396E-2</v>
      </c>
      <c r="Y205" s="132">
        <v>1.7101381935280102E-2</v>
      </c>
      <c r="Z205" s="108">
        <f t="shared" ref="Z205:Z220" si="43">MAX(D205*(1+X205),L205)</f>
        <v>874245</v>
      </c>
      <c r="AA205" s="97">
        <f>MIN(VLOOKUP(A205,'2016-17 disagg'!$A$12:$BC$220,54,FALSE),MIN(0,VLOOKUP(A205,'2016-17 disagg'!$A$12:$BC$220,54,FALSE),-2.5%))</f>
        <v>-2.5000000000000001E-2</v>
      </c>
      <c r="AB205" s="99">
        <f t="shared" si="36"/>
        <v>861932.94481918216</v>
      </c>
      <c r="AC205" s="99">
        <f>MAX(IF(INDEX('Pace of change parameters'!$E$29:$I$29,1,$B$5)=1,MAX(AB205,Z205),Z205),L205)</f>
        <v>874245</v>
      </c>
      <c r="AD205" s="97">
        <f t="shared" si="37"/>
        <v>2.4415022574170164E-2</v>
      </c>
      <c r="AE205" s="146">
        <v>1.7547874421053988E-2</v>
      </c>
      <c r="AF205" s="56">
        <f t="shared" ref="AF205:AF220" si="44">AC205</f>
        <v>874245</v>
      </c>
      <c r="AG205" s="56">
        <v>1562.732302525056</v>
      </c>
      <c r="AH205" s="16">
        <f t="shared" si="38"/>
        <v>2.4415022574170164E-2</v>
      </c>
      <c r="AI205" s="16">
        <f t="shared" si="39"/>
        <v>1.7547874421053988E-2</v>
      </c>
      <c r="AJ205" s="56"/>
      <c r="AK205" s="56">
        <v>884033.78955813556</v>
      </c>
      <c r="AL205" s="56">
        <v>1580.2299806874914</v>
      </c>
      <c r="AM205" s="16">
        <f t="shared" si="35"/>
        <v>-1.1072868111781431E-2</v>
      </c>
      <c r="AN205" s="58">
        <f t="shared" si="35"/>
        <v>-1.1072868111781431E-2</v>
      </c>
      <c r="AP205" s="56">
        <f t="shared" ref="AP205:AP220" si="45">IF(AF205=L205,1,0)</f>
        <v>1</v>
      </c>
      <c r="AQ205" s="56">
        <f t="shared" si="40"/>
        <v>0</v>
      </c>
    </row>
    <row r="206" spans="1:43" x14ac:dyDescent="0.2">
      <c r="A206" s="156" t="s">
        <v>457</v>
      </c>
      <c r="B206" s="156" t="s">
        <v>458</v>
      </c>
      <c r="D206" s="68">
        <f>VLOOKUP(A206,'2016-17 disagg'!A206:BC414,43,FALSE)</f>
        <v>717128</v>
      </c>
      <c r="E206" s="73">
        <v>1490.1522966691841</v>
      </c>
      <c r="F206" s="55"/>
      <c r="G206" s="88">
        <v>738017.1821344858</v>
      </c>
      <c r="H206" s="81">
        <v>1519.1140554862081</v>
      </c>
      <c r="I206" s="90"/>
      <c r="J206" s="103">
        <f t="shared" si="41"/>
        <v>-2.8304465858193573E-2</v>
      </c>
      <c r="K206" s="126">
        <f t="shared" si="41"/>
        <v>-1.9064900829815934E-2</v>
      </c>
      <c r="L206" s="56">
        <v>735468</v>
      </c>
      <c r="M206" s="103">
        <v>2.0734221666058872E-2</v>
      </c>
      <c r="N206" s="97">
        <f>INDEX('Pace of change parameters'!$E$22:$I$22,1,$B$5)</f>
        <v>1.1119783131080974E-2</v>
      </c>
      <c r="O206" s="108">
        <f>MAX(IF(INDEX('Pace of change parameters'!$E$30:$I$30,1,$B$5)=1,(1+M206)*D206,D206),L206)</f>
        <v>735468</v>
      </c>
      <c r="P206" s="94">
        <f>IF(K206&lt;INDEX('Pace of change parameters'!$E$18:$I$18,1,$B$5),1,IF(K206&gt;INDEX('Pace of change parameters'!$E$19:$I$19,1,$B$5),0,(K206-INDEX('Pace of change parameters'!$E$19:$I$19,1,$B$5))/(INDEX('Pace of change parameters'!$E$18:$I$18,1,$B$5)-INDEX('Pace of change parameters'!$E$19:$I$19,1,$B$5))))</f>
        <v>0.66579531484451793</v>
      </c>
      <c r="Q206" s="57">
        <v>3.0063478603586047E-2</v>
      </c>
      <c r="R206" s="57">
        <v>2.0361166491433158E-2</v>
      </c>
      <c r="S206" s="9">
        <f>MAX(IF(INDEX('Pace of change parameters'!$E$31:$I$31,1,$B$5)=1,D206*(1+Q206),D206),L206)</f>
        <v>738687.36228403251</v>
      </c>
      <c r="T206" s="103">
        <f>IF(Q206&lt;INDEX('Pace of change parameters'!$E$24:$I$24,1,$B$5),INDEX('Pace of change parameters'!$E$24:$I$24,1,$B$5),Q206)</f>
        <v>3.0063478603586047E-2</v>
      </c>
      <c r="U206" s="132">
        <v>2.0361166491433158E-2</v>
      </c>
      <c r="V206" s="117">
        <f t="shared" si="42"/>
        <v>738687.36228403251</v>
      </c>
      <c r="W206" s="131">
        <f>IF(J206&gt;INDEX('Pace of change parameters'!$E$26:$I$26,1,$B$5),0,IF(J206&lt;INDEX('Pace of change parameters'!$E$25:$I$25,1,$B$5),1,(J206-INDEX('Pace of change parameters'!$E$26:$I$26,1,$B$5))/(INDEX('Pace of change parameters'!$E$25:$I$25,1,$B$5)-INDEX('Pace of change parameters'!$E$26:$I$26,1,$B$5))))</f>
        <v>1</v>
      </c>
      <c r="X206" s="132">
        <f>MIN(T206, T206+(INDEX('Pace of change parameters'!$E$27:$I$27,1,$B$5)-T206)*(1-W206))</f>
        <v>3.0063478603586047E-2</v>
      </c>
      <c r="Y206" s="132">
        <v>2.0361166491433158E-2</v>
      </c>
      <c r="Z206" s="108">
        <f t="shared" si="43"/>
        <v>738687.36228403251</v>
      </c>
      <c r="AA206" s="97">
        <f>MIN(VLOOKUP(A206,'2016-17 disagg'!$A$12:$BC$220,54,FALSE),MIN(0,VLOOKUP(A206,'2016-17 disagg'!$A$12:$BC$220,54,FALSE),-2.5%))</f>
        <v>-2.5989170654268423E-2</v>
      </c>
      <c r="AB206" s="99">
        <f t="shared" si="36"/>
        <v>737977.37702799251</v>
      </c>
      <c r="AC206" s="99">
        <f>MAX(IF(INDEX('Pace of change parameters'!$E$29:$I$29,1,$B$5)=1,MAX(AB206,Z206),Z206),L206)</f>
        <v>738687.36228403251</v>
      </c>
      <c r="AD206" s="97">
        <f t="shared" si="37"/>
        <v>3.0063478603586047E-2</v>
      </c>
      <c r="AE206" s="146">
        <v>2.0361166491433158E-2</v>
      </c>
      <c r="AF206" s="56">
        <f t="shared" si="44"/>
        <v>738687.36228403251</v>
      </c>
      <c r="AG206" s="56">
        <v>1520.4935356792569</v>
      </c>
      <c r="AH206" s="16">
        <f t="shared" si="38"/>
        <v>3.0063478603586047E-2</v>
      </c>
      <c r="AI206" s="16">
        <f t="shared" si="39"/>
        <v>2.0361166491433158E-2</v>
      </c>
      <c r="AJ206" s="56"/>
      <c r="AK206" s="56">
        <v>757668.55438733788</v>
      </c>
      <c r="AL206" s="56">
        <v>1559.5638939473668</v>
      </c>
      <c r="AM206" s="16">
        <f t="shared" si="35"/>
        <v>-2.5052104899158545E-2</v>
      </c>
      <c r="AN206" s="58">
        <f t="shared" si="35"/>
        <v>-2.5052104899158767E-2</v>
      </c>
      <c r="AP206" s="56">
        <f t="shared" si="45"/>
        <v>0</v>
      </c>
      <c r="AQ206" s="56">
        <f t="shared" si="40"/>
        <v>0</v>
      </c>
    </row>
    <row r="207" spans="1:43" x14ac:dyDescent="0.2">
      <c r="A207" s="156" t="s">
        <v>459</v>
      </c>
      <c r="B207" s="156" t="s">
        <v>460</v>
      </c>
      <c r="D207" s="68">
        <f>VLOOKUP(A207,'2016-17 disagg'!A207:BC415,43,FALSE)</f>
        <v>214855</v>
      </c>
      <c r="E207" s="73">
        <v>1401.0966002429127</v>
      </c>
      <c r="F207" s="55"/>
      <c r="G207" s="88">
        <v>221902.79517059145</v>
      </c>
      <c r="H207" s="81">
        <v>1435.4587248982593</v>
      </c>
      <c r="I207" s="90"/>
      <c r="J207" s="103">
        <f t="shared" si="41"/>
        <v>-3.1760731833834432E-2</v>
      </c>
      <c r="K207" s="126">
        <f t="shared" si="41"/>
        <v>-2.3938079207245777E-2</v>
      </c>
      <c r="L207" s="56">
        <v>220906</v>
      </c>
      <c r="M207" s="103">
        <v>1.9288878402631715E-2</v>
      </c>
      <c r="N207" s="97">
        <f>INDEX('Pace of change parameters'!$E$22:$I$22,1,$B$5)</f>
        <v>1.1119783131080974E-2</v>
      </c>
      <c r="O207" s="108">
        <f>MAX(IF(INDEX('Pace of change parameters'!$E$30:$I$30,1,$B$5)=1,(1+M207)*D207,D207),L207)</f>
        <v>220906</v>
      </c>
      <c r="P207" s="94">
        <f>IF(K207&lt;INDEX('Pace of change parameters'!$E$18:$I$18,1,$B$5),1,IF(K207&gt;INDEX('Pace of change parameters'!$E$19:$I$19,1,$B$5),0,(K207-INDEX('Pace of change parameters'!$E$19:$I$19,1,$B$5))/(INDEX('Pace of change parameters'!$E$18:$I$18,1,$B$5)-INDEX('Pace of change parameters'!$E$19:$I$19,1,$B$5))))</f>
        <v>0.73680608454952523</v>
      </c>
      <c r="Q207" s="57">
        <v>2.9598533422754869E-2</v>
      </c>
      <c r="R207" s="57">
        <v>2.1346811374967523E-2</v>
      </c>
      <c r="S207" s="9">
        <f>MAX(IF(INDEX('Pace of change parameters'!$E$31:$I$31,1,$B$5)=1,D207*(1+Q207),D207),L207)</f>
        <v>221214.39289854601</v>
      </c>
      <c r="T207" s="103">
        <f>IF(Q207&lt;INDEX('Pace of change parameters'!$E$24:$I$24,1,$B$5),INDEX('Pace of change parameters'!$E$24:$I$24,1,$B$5),Q207)</f>
        <v>2.9598533422754869E-2</v>
      </c>
      <c r="U207" s="132">
        <v>2.1346811374967523E-2</v>
      </c>
      <c r="V207" s="117">
        <f t="shared" si="42"/>
        <v>221214.39289854601</v>
      </c>
      <c r="W207" s="131">
        <f>IF(J207&gt;INDEX('Pace of change parameters'!$E$26:$I$26,1,$B$5),0,IF(J207&lt;INDEX('Pace of change parameters'!$E$25:$I$25,1,$B$5),1,(J207-INDEX('Pace of change parameters'!$E$26:$I$26,1,$B$5))/(INDEX('Pace of change parameters'!$E$25:$I$25,1,$B$5)-INDEX('Pace of change parameters'!$E$26:$I$26,1,$B$5))))</f>
        <v>1</v>
      </c>
      <c r="X207" s="132">
        <f>MIN(T207, T207+(INDEX('Pace of change parameters'!$E$27:$I$27,1,$B$5)-T207)*(1-W207))</f>
        <v>2.9598533422754869E-2</v>
      </c>
      <c r="Y207" s="132">
        <v>2.1346811374967523E-2</v>
      </c>
      <c r="Z207" s="108">
        <f t="shared" si="43"/>
        <v>221214.39289854601</v>
      </c>
      <c r="AA207" s="97">
        <f>MIN(VLOOKUP(A207,'2016-17 disagg'!$A$12:$BC$220,54,FALSE),MIN(0,VLOOKUP(A207,'2016-17 disagg'!$A$12:$BC$220,54,FALSE),-2.5%))</f>
        <v>-3.082152155166884E-2</v>
      </c>
      <c r="AB207" s="99">
        <f t="shared" si="36"/>
        <v>220679.08500036289</v>
      </c>
      <c r="AC207" s="99">
        <f>MAX(IF(INDEX('Pace of change parameters'!$E$29:$I$29,1,$B$5)=1,MAX(AB207,Z207),Z207),L207)</f>
        <v>221214.39289854601</v>
      </c>
      <c r="AD207" s="97">
        <f t="shared" si="37"/>
        <v>2.9598533422754869E-2</v>
      </c>
      <c r="AE207" s="146">
        <v>2.1346811374967523E-2</v>
      </c>
      <c r="AF207" s="56">
        <f t="shared" si="44"/>
        <v>221214.39289854601</v>
      </c>
      <c r="AG207" s="56">
        <v>1431.0055450864065</v>
      </c>
      <c r="AH207" s="16">
        <f t="shared" si="38"/>
        <v>2.9598533422754869E-2</v>
      </c>
      <c r="AI207" s="16">
        <f t="shared" si="39"/>
        <v>2.1346811374967523E-2</v>
      </c>
      <c r="AJ207" s="56"/>
      <c r="AK207" s="56">
        <v>227697.05467838421</v>
      </c>
      <c r="AL207" s="56">
        <v>1472.9409943685096</v>
      </c>
      <c r="AM207" s="16">
        <f t="shared" si="35"/>
        <v>-2.8470556147486392E-2</v>
      </c>
      <c r="AN207" s="58">
        <f t="shared" si="35"/>
        <v>-2.8470556147486392E-2</v>
      </c>
      <c r="AP207" s="56">
        <f t="shared" si="45"/>
        <v>0</v>
      </c>
      <c r="AQ207" s="56">
        <f t="shared" si="40"/>
        <v>0</v>
      </c>
    </row>
    <row r="208" spans="1:43" x14ac:dyDescent="0.2">
      <c r="A208" s="156" t="s">
        <v>461</v>
      </c>
      <c r="B208" s="156" t="s">
        <v>462</v>
      </c>
      <c r="D208" s="68">
        <f>VLOOKUP(A208,'2016-17 disagg'!A208:BC416,43,FALSE)</f>
        <v>215076</v>
      </c>
      <c r="E208" s="73">
        <v>1333.7953181428711</v>
      </c>
      <c r="F208" s="55"/>
      <c r="G208" s="88">
        <v>217241.79490520401</v>
      </c>
      <c r="H208" s="81">
        <v>1334.4508004506113</v>
      </c>
      <c r="I208" s="90"/>
      <c r="J208" s="103">
        <f t="shared" si="41"/>
        <v>-9.9695130310862856E-3</v>
      </c>
      <c r="K208" s="126">
        <f t="shared" si="41"/>
        <v>-4.9120005587233173E-4</v>
      </c>
      <c r="L208" s="56">
        <v>220381</v>
      </c>
      <c r="M208" s="103">
        <v>2.079999993863435E-2</v>
      </c>
      <c r="N208" s="97">
        <f>INDEX('Pace of change parameters'!$E$22:$I$22,1,$B$5)</f>
        <v>1.1119783131080974E-2</v>
      </c>
      <c r="O208" s="108">
        <f>MAX(IF(INDEX('Pace of change parameters'!$E$30:$I$30,1,$B$5)=1,(1+M208)*D208,D208),L208)</f>
        <v>220381</v>
      </c>
      <c r="P208" s="94">
        <f>IF(K208&lt;INDEX('Pace of change parameters'!$E$18:$I$18,1,$B$5),1,IF(K208&gt;INDEX('Pace of change parameters'!$E$19:$I$19,1,$B$5),0,(K208-INDEX('Pace of change parameters'!$E$19:$I$19,1,$B$5))/(INDEX('Pace of change parameters'!$E$18:$I$18,1,$B$5)-INDEX('Pace of change parameters'!$E$19:$I$19,1,$B$5))))</f>
        <v>0.39514386602071327</v>
      </c>
      <c r="Q208" s="57">
        <v>2.6337191520680481E-2</v>
      </c>
      <c r="R208" s="57">
        <v>1.6604465685871483E-2</v>
      </c>
      <c r="S208" s="9">
        <f>MAX(IF(INDEX('Pace of change parameters'!$E$31:$I$31,1,$B$5)=1,D208*(1+Q208),D208),L208)</f>
        <v>220740.49780350187</v>
      </c>
      <c r="T208" s="103">
        <f>IF(Q208&lt;INDEX('Pace of change parameters'!$E$24:$I$24,1,$B$5),INDEX('Pace of change parameters'!$E$24:$I$24,1,$B$5),Q208)</f>
        <v>2.6337191520680481E-2</v>
      </c>
      <c r="U208" s="132">
        <v>1.6604465685871483E-2</v>
      </c>
      <c r="V208" s="117">
        <f t="shared" si="42"/>
        <v>220740.49780350187</v>
      </c>
      <c r="W208" s="131">
        <f>IF(J208&gt;INDEX('Pace of change parameters'!$E$26:$I$26,1,$B$5),0,IF(J208&lt;INDEX('Pace of change parameters'!$E$25:$I$25,1,$B$5),1,(J208-INDEX('Pace of change parameters'!$E$26:$I$26,1,$B$5))/(INDEX('Pace of change parameters'!$E$25:$I$25,1,$B$5)-INDEX('Pace of change parameters'!$E$26:$I$26,1,$B$5))))</f>
        <v>1</v>
      </c>
      <c r="X208" s="132">
        <f>MIN(T208, T208+(INDEX('Pace of change parameters'!$E$27:$I$27,1,$B$5)-T208)*(1-W208))</f>
        <v>2.6337191520680481E-2</v>
      </c>
      <c r="Y208" s="132">
        <v>1.6604465685871483E-2</v>
      </c>
      <c r="Z208" s="108">
        <f t="shared" si="43"/>
        <v>220740.49780350187</v>
      </c>
      <c r="AA208" s="97">
        <f>MIN(VLOOKUP(A208,'2016-17 disagg'!$A$12:$BC$220,54,FALSE),MIN(0,VLOOKUP(A208,'2016-17 disagg'!$A$12:$BC$220,54,FALSE),-2.5%))</f>
        <v>-2.5000000000000001E-2</v>
      </c>
      <c r="AB208" s="99">
        <f t="shared" si="36"/>
        <v>217303.35105206058</v>
      </c>
      <c r="AC208" s="99">
        <f>MAX(IF(INDEX('Pace of change parameters'!$E$29:$I$29,1,$B$5)=1,MAX(AB208,Z208),Z208),L208)</f>
        <v>220740.49780350187</v>
      </c>
      <c r="AD208" s="97">
        <f t="shared" si="37"/>
        <v>2.6337191520680481E-2</v>
      </c>
      <c r="AE208" s="146">
        <v>1.6604465685871483E-2</v>
      </c>
      <c r="AF208" s="56">
        <f t="shared" si="44"/>
        <v>220740.49780350187</v>
      </c>
      <c r="AG208" s="56">
        <v>1355.9422767349504</v>
      </c>
      <c r="AH208" s="16">
        <f t="shared" si="38"/>
        <v>2.6337191520680481E-2</v>
      </c>
      <c r="AI208" s="16">
        <f t="shared" si="39"/>
        <v>1.6604465685871483E-2</v>
      </c>
      <c r="AJ208" s="56"/>
      <c r="AK208" s="56">
        <v>222875.23184826726</v>
      </c>
      <c r="AL208" s="56">
        <v>1369.0553038853172</v>
      </c>
      <c r="AM208" s="16">
        <f t="shared" si="35"/>
        <v>-9.5781573711102297E-3</v>
      </c>
      <c r="AN208" s="58">
        <f t="shared" si="35"/>
        <v>-9.5781573711103407E-3</v>
      </c>
      <c r="AP208" s="56">
        <f t="shared" si="45"/>
        <v>0</v>
      </c>
      <c r="AQ208" s="56">
        <f t="shared" si="40"/>
        <v>0</v>
      </c>
    </row>
    <row r="209" spans="1:43" x14ac:dyDescent="0.2">
      <c r="A209" s="156" t="s">
        <v>463</v>
      </c>
      <c r="B209" s="156" t="s">
        <v>464</v>
      </c>
      <c r="D209" s="68">
        <f>VLOOKUP(A209,'2016-17 disagg'!A209:BC417,43,FALSE)</f>
        <v>290320</v>
      </c>
      <c r="E209" s="73">
        <v>1419.8868015006974</v>
      </c>
      <c r="F209" s="55"/>
      <c r="G209" s="88">
        <v>294684.67921408953</v>
      </c>
      <c r="H209" s="81">
        <v>1434.9358947718392</v>
      </c>
      <c r="I209" s="90"/>
      <c r="J209" s="103">
        <f t="shared" si="41"/>
        <v>-1.4811354379636987E-2</v>
      </c>
      <c r="K209" s="126">
        <f t="shared" si="41"/>
        <v>-1.0487641521808033E-2</v>
      </c>
      <c r="L209" s="56">
        <v>297138</v>
      </c>
      <c r="M209" s="103">
        <v>1.5557300378731043E-2</v>
      </c>
      <c r="N209" s="97">
        <f>INDEX('Pace of change parameters'!$E$22:$I$22,1,$B$5)</f>
        <v>1.1119783131080974E-2</v>
      </c>
      <c r="O209" s="108">
        <f>MAX(IF(INDEX('Pace of change parameters'!$E$30:$I$30,1,$B$5)=1,(1+M209)*D209,D209),L209)</f>
        <v>297138</v>
      </c>
      <c r="P209" s="94">
        <f>IF(K209&lt;INDEX('Pace of change parameters'!$E$18:$I$18,1,$B$5),1,IF(K209&gt;INDEX('Pace of change parameters'!$E$19:$I$19,1,$B$5),0,(K209-INDEX('Pace of change parameters'!$E$19:$I$19,1,$B$5))/(INDEX('Pace of change parameters'!$E$18:$I$18,1,$B$5)-INDEX('Pace of change parameters'!$E$19:$I$19,1,$B$5))))</f>
        <v>0.54080957899663129</v>
      </c>
      <c r="Q209" s="57">
        <v>2.3096798752302306E-2</v>
      </c>
      <c r="R209" s="57">
        <v>1.8626337372342983E-2</v>
      </c>
      <c r="S209" s="9">
        <f>MAX(IF(INDEX('Pace of change parameters'!$E$31:$I$31,1,$B$5)=1,D209*(1+Q209),D209),L209)</f>
        <v>297138</v>
      </c>
      <c r="T209" s="103">
        <f>IF(Q209&lt;INDEX('Pace of change parameters'!$E$24:$I$24,1,$B$5),INDEX('Pace of change parameters'!$E$24:$I$24,1,$B$5),Q209)</f>
        <v>2.3096798752302306E-2</v>
      </c>
      <c r="U209" s="132">
        <v>1.8626337372342983E-2</v>
      </c>
      <c r="V209" s="117">
        <f t="shared" si="42"/>
        <v>297138</v>
      </c>
      <c r="W209" s="131">
        <f>IF(J209&gt;INDEX('Pace of change parameters'!$E$26:$I$26,1,$B$5),0,IF(J209&lt;INDEX('Pace of change parameters'!$E$25:$I$25,1,$B$5),1,(J209-INDEX('Pace of change parameters'!$E$26:$I$26,1,$B$5))/(INDEX('Pace of change parameters'!$E$25:$I$25,1,$B$5)-INDEX('Pace of change parameters'!$E$26:$I$26,1,$B$5))))</f>
        <v>1</v>
      </c>
      <c r="X209" s="132">
        <f>MIN(T209, T209+(INDEX('Pace of change parameters'!$E$27:$I$27,1,$B$5)-T209)*(1-W209))</f>
        <v>2.3096798752302306E-2</v>
      </c>
      <c r="Y209" s="132">
        <v>1.8626337372342983E-2</v>
      </c>
      <c r="Z209" s="108">
        <f t="shared" si="43"/>
        <v>297138</v>
      </c>
      <c r="AA209" s="97">
        <f>MIN(VLOOKUP(A209,'2016-17 disagg'!$A$12:$BC$220,54,FALSE),MIN(0,VLOOKUP(A209,'2016-17 disagg'!$A$12:$BC$220,54,FALSE),-2.5%))</f>
        <v>-2.5000000000000001E-2</v>
      </c>
      <c r="AB209" s="99">
        <f t="shared" si="36"/>
        <v>294769.81921103655</v>
      </c>
      <c r="AC209" s="99">
        <f>MAX(IF(INDEX('Pace of change parameters'!$E$29:$I$29,1,$B$5)=1,MAX(AB209,Z209),Z209),L209)</f>
        <v>297138</v>
      </c>
      <c r="AD209" s="97">
        <f t="shared" si="37"/>
        <v>2.3484430972719794E-2</v>
      </c>
      <c r="AE209" s="146">
        <v>1.9012275818649282E-2</v>
      </c>
      <c r="AF209" s="56">
        <f t="shared" si="44"/>
        <v>297138</v>
      </c>
      <c r="AG209" s="56">
        <v>1446.8820810020886</v>
      </c>
      <c r="AH209" s="16">
        <f t="shared" si="38"/>
        <v>2.3484430972719794E-2</v>
      </c>
      <c r="AI209" s="16">
        <f t="shared" si="39"/>
        <v>1.9012275818649504E-2</v>
      </c>
      <c r="AJ209" s="56"/>
      <c r="AK209" s="56">
        <v>302328.01970362721</v>
      </c>
      <c r="AL209" s="56">
        <v>1472.1543333199543</v>
      </c>
      <c r="AM209" s="16">
        <f t="shared" si="35"/>
        <v>-1.7166849796836581E-2</v>
      </c>
      <c r="AN209" s="58">
        <f t="shared" si="35"/>
        <v>-1.716684979683647E-2</v>
      </c>
      <c r="AP209" s="56">
        <f t="shared" si="45"/>
        <v>1</v>
      </c>
      <c r="AQ209" s="56">
        <f t="shared" si="40"/>
        <v>0</v>
      </c>
    </row>
    <row r="210" spans="1:43" x14ac:dyDescent="0.2">
      <c r="A210" s="156" t="s">
        <v>465</v>
      </c>
      <c r="B210" s="156" t="s">
        <v>466</v>
      </c>
      <c r="D210" s="68">
        <f>VLOOKUP(A210,'2016-17 disagg'!A210:BC418,43,FALSE)</f>
        <v>764413</v>
      </c>
      <c r="E210" s="73">
        <v>1548.2919742730896</v>
      </c>
      <c r="F210" s="55"/>
      <c r="G210" s="88">
        <v>752692.56827891874</v>
      </c>
      <c r="H210" s="81">
        <v>1509.7676204010497</v>
      </c>
      <c r="I210" s="90"/>
      <c r="J210" s="103">
        <f t="shared" si="41"/>
        <v>1.5571339767417758E-2</v>
      </c>
      <c r="K210" s="126">
        <f t="shared" si="41"/>
        <v>2.5516744001839564E-2</v>
      </c>
      <c r="L210" s="56">
        <v>784658</v>
      </c>
      <c r="M210" s="103">
        <v>2.102159364787104E-2</v>
      </c>
      <c r="N210" s="97">
        <f>INDEX('Pace of change parameters'!$E$22:$I$22,1,$B$5)</f>
        <v>1.1119783131080974E-2</v>
      </c>
      <c r="O210" s="108">
        <f>MAX(IF(INDEX('Pace of change parameters'!$E$30:$I$30,1,$B$5)=1,(1+M210)*D210,D210),L210)</f>
        <v>784658</v>
      </c>
      <c r="P210" s="94">
        <f>IF(K210&lt;INDEX('Pace of change parameters'!$E$18:$I$18,1,$B$5),1,IF(K210&gt;INDEX('Pace of change parameters'!$E$19:$I$19,1,$B$5),0,(K210-INDEX('Pace of change parameters'!$E$19:$I$19,1,$B$5))/(INDEX('Pace of change parameters'!$E$18:$I$18,1,$B$5)-INDEX('Pace of change parameters'!$E$19:$I$19,1,$B$5))))</f>
        <v>1.6162432766276682E-2</v>
      </c>
      <c r="Q210" s="57">
        <v>2.1248128643560404E-2</v>
      </c>
      <c r="R210" s="57">
        <v>1.1344121203006319E-2</v>
      </c>
      <c r="S210" s="9">
        <f>MAX(IF(INDEX('Pace of change parameters'!$E$31:$I$31,1,$B$5)=1,D210*(1+Q210),D210),L210)</f>
        <v>784658</v>
      </c>
      <c r="T210" s="103">
        <f>IF(Q210&lt;INDEX('Pace of change parameters'!$E$24:$I$24,1,$B$5),INDEX('Pace of change parameters'!$E$24:$I$24,1,$B$5),Q210)</f>
        <v>2.1248128643560404E-2</v>
      </c>
      <c r="U210" s="132">
        <v>1.1344121203006319E-2</v>
      </c>
      <c r="V210" s="117">
        <f t="shared" si="42"/>
        <v>784658</v>
      </c>
      <c r="W210" s="131">
        <f>IF(J210&gt;INDEX('Pace of change parameters'!$E$26:$I$26,1,$B$5),0,IF(J210&lt;INDEX('Pace of change parameters'!$E$25:$I$25,1,$B$5),1,(J210-INDEX('Pace of change parameters'!$E$26:$I$26,1,$B$5))/(INDEX('Pace of change parameters'!$E$25:$I$25,1,$B$5)-INDEX('Pace of change parameters'!$E$26:$I$26,1,$B$5))))</f>
        <v>1</v>
      </c>
      <c r="X210" s="132">
        <f>MIN(T210, T210+(INDEX('Pace of change parameters'!$E$27:$I$27,1,$B$5)-T210)*(1-W210))</f>
        <v>2.1248128643560404E-2</v>
      </c>
      <c r="Y210" s="132">
        <v>1.1344121203006319E-2</v>
      </c>
      <c r="Z210" s="108">
        <f t="shared" si="43"/>
        <v>784658</v>
      </c>
      <c r="AA210" s="97">
        <f>MIN(VLOOKUP(A210,'2016-17 disagg'!$A$12:$BC$220,54,FALSE),MIN(0,VLOOKUP(A210,'2016-17 disagg'!$A$12:$BC$220,54,FALSE),-2.5%))</f>
        <v>-2.5000000000000001E-2</v>
      </c>
      <c r="AB210" s="99">
        <f t="shared" si="36"/>
        <v>753688.9336503495</v>
      </c>
      <c r="AC210" s="99">
        <f>MAX(IF(INDEX('Pace of change parameters'!$E$29:$I$29,1,$B$5)=1,MAX(AB210,Z210),Z210),L210)</f>
        <v>784658</v>
      </c>
      <c r="AD210" s="97">
        <f t="shared" si="37"/>
        <v>2.6484374284581724E-2</v>
      </c>
      <c r="AE210" s="146">
        <v>1.6529586025600951E-2</v>
      </c>
      <c r="AF210" s="56">
        <f t="shared" si="44"/>
        <v>784658</v>
      </c>
      <c r="AG210" s="56">
        <v>1573.8845996545845</v>
      </c>
      <c r="AH210" s="16">
        <f t="shared" si="38"/>
        <v>2.6484374284581724E-2</v>
      </c>
      <c r="AI210" s="16">
        <f t="shared" si="39"/>
        <v>1.6529586025601173E-2</v>
      </c>
      <c r="AJ210" s="56"/>
      <c r="AK210" s="56">
        <v>773014.29092343536</v>
      </c>
      <c r="AL210" s="56">
        <v>1550.5293870671087</v>
      </c>
      <c r="AM210" s="16">
        <f t="shared" si="35"/>
        <v>1.5062734561679614E-2</v>
      </c>
      <c r="AN210" s="58">
        <f t="shared" si="35"/>
        <v>1.5062734561679614E-2</v>
      </c>
      <c r="AP210" s="56">
        <f t="shared" si="45"/>
        <v>1</v>
      </c>
      <c r="AQ210" s="56">
        <f t="shared" si="40"/>
        <v>0</v>
      </c>
    </row>
    <row r="211" spans="1:43" x14ac:dyDescent="0.2">
      <c r="A211" s="156" t="s">
        <v>467</v>
      </c>
      <c r="B211" s="156" t="s">
        <v>468</v>
      </c>
      <c r="D211" s="68">
        <f>VLOOKUP(A211,'2016-17 disagg'!A211:BC419,43,FALSE)</f>
        <v>1291335</v>
      </c>
      <c r="E211" s="73">
        <v>1631.4942578946784</v>
      </c>
      <c r="F211" s="55"/>
      <c r="G211" s="88">
        <v>1285170.0175535115</v>
      </c>
      <c r="H211" s="81">
        <v>1614.2912150078523</v>
      </c>
      <c r="I211" s="90"/>
      <c r="J211" s="103">
        <f t="shared" si="41"/>
        <v>4.7970170189810535E-3</v>
      </c>
      <c r="K211" s="126">
        <f t="shared" si="41"/>
        <v>1.0656715917730208E-2</v>
      </c>
      <c r="L211" s="56">
        <v>1321790</v>
      </c>
      <c r="M211" s="103">
        <v>1.7016354656834931E-2</v>
      </c>
      <c r="N211" s="97">
        <f>INDEX('Pace of change parameters'!$E$22:$I$22,1,$B$5)</f>
        <v>1.1119783131080974E-2</v>
      </c>
      <c r="O211" s="108">
        <f>MAX(IF(INDEX('Pace of change parameters'!$E$30:$I$30,1,$B$5)=1,(1+M211)*D211,D211),L211)</f>
        <v>1321790</v>
      </c>
      <c r="P211" s="94">
        <f>IF(K211&lt;INDEX('Pace of change parameters'!$E$18:$I$18,1,$B$5),1,IF(K211&gt;INDEX('Pace of change parameters'!$E$19:$I$19,1,$B$5),0,(K211-INDEX('Pace of change parameters'!$E$19:$I$19,1,$B$5))/(INDEX('Pace of change parameters'!$E$18:$I$18,1,$B$5)-INDEX('Pace of change parameters'!$E$19:$I$19,1,$B$5))))</f>
        <v>0.23269914666493005</v>
      </c>
      <c r="Q211" s="57">
        <v>2.0265105248431947E-2</v>
      </c>
      <c r="R211" s="57">
        <v>1.4349697752002566E-2</v>
      </c>
      <c r="S211" s="9">
        <f>MAX(IF(INDEX('Pace of change parameters'!$E$31:$I$31,1,$B$5)=1,D211*(1+Q211),D211),L211)</f>
        <v>1321790</v>
      </c>
      <c r="T211" s="103">
        <f>IF(Q211&lt;INDEX('Pace of change parameters'!$E$24:$I$24,1,$B$5),INDEX('Pace of change parameters'!$E$24:$I$24,1,$B$5),Q211)</f>
        <v>2.0265105248431947E-2</v>
      </c>
      <c r="U211" s="132">
        <v>1.4349697752002566E-2</v>
      </c>
      <c r="V211" s="117">
        <f t="shared" si="42"/>
        <v>1321790</v>
      </c>
      <c r="W211" s="131">
        <f>IF(J211&gt;INDEX('Pace of change parameters'!$E$26:$I$26,1,$B$5),0,IF(J211&lt;INDEX('Pace of change parameters'!$E$25:$I$25,1,$B$5),1,(J211-INDEX('Pace of change parameters'!$E$26:$I$26,1,$B$5))/(INDEX('Pace of change parameters'!$E$25:$I$25,1,$B$5)-INDEX('Pace of change parameters'!$E$26:$I$26,1,$B$5))))</f>
        <v>1</v>
      </c>
      <c r="X211" s="132">
        <f>MIN(T211, T211+(INDEX('Pace of change parameters'!$E$27:$I$27,1,$B$5)-T211)*(1-W211))</f>
        <v>2.0265105248431947E-2</v>
      </c>
      <c r="Y211" s="132">
        <v>1.4349697752002566E-2</v>
      </c>
      <c r="Z211" s="108">
        <f t="shared" si="43"/>
        <v>1321790</v>
      </c>
      <c r="AA211" s="97">
        <f>MIN(VLOOKUP(A211,'2016-17 disagg'!$A$12:$BC$220,54,FALSE),MIN(0,VLOOKUP(A211,'2016-17 disagg'!$A$12:$BC$220,54,FALSE),-2.5%))</f>
        <v>-2.5000000000000001E-2</v>
      </c>
      <c r="AB211" s="99">
        <f t="shared" si="36"/>
        <v>1285304.250095658</v>
      </c>
      <c r="AC211" s="99">
        <f>MAX(IF(INDEX('Pace of change parameters'!$E$29:$I$29,1,$B$5)=1,MAX(AB211,Z211),Z211),L211)</f>
        <v>1321790</v>
      </c>
      <c r="AD211" s="97">
        <f t="shared" si="37"/>
        <v>2.3584120309602108E-2</v>
      </c>
      <c r="AE211" s="146">
        <v>1.764946945527246E-2</v>
      </c>
      <c r="AF211" s="56">
        <f t="shared" si="44"/>
        <v>1321790</v>
      </c>
      <c r="AG211" s="56">
        <v>1660.2892659658428</v>
      </c>
      <c r="AH211" s="16">
        <f t="shared" si="38"/>
        <v>2.3584120309602108E-2</v>
      </c>
      <c r="AI211" s="16">
        <f t="shared" si="39"/>
        <v>1.764946945527246E-2</v>
      </c>
      <c r="AJ211" s="56"/>
      <c r="AK211" s="56">
        <v>1318260.7693288801</v>
      </c>
      <c r="AL211" s="56">
        <v>1655.8562290988837</v>
      </c>
      <c r="AM211" s="16">
        <f t="shared" si="35"/>
        <v>2.6771870583059965E-3</v>
      </c>
      <c r="AN211" s="58">
        <f t="shared" si="35"/>
        <v>2.6771870583062185E-3</v>
      </c>
      <c r="AP211" s="56">
        <f t="shared" si="45"/>
        <v>1</v>
      </c>
      <c r="AQ211" s="56">
        <f t="shared" si="40"/>
        <v>0</v>
      </c>
    </row>
    <row r="212" spans="1:43" x14ac:dyDescent="0.2">
      <c r="A212" s="156" t="s">
        <v>469</v>
      </c>
      <c r="B212" s="156" t="s">
        <v>470</v>
      </c>
      <c r="D212" s="68">
        <f>VLOOKUP(A212,'2016-17 disagg'!A212:BC420,43,FALSE)</f>
        <v>950959</v>
      </c>
      <c r="E212" s="73">
        <v>1486.3350482000201</v>
      </c>
      <c r="F212" s="55"/>
      <c r="G212" s="88">
        <v>957717.05535406782</v>
      </c>
      <c r="H212" s="81">
        <v>1486.7544273579438</v>
      </c>
      <c r="I212" s="90"/>
      <c r="J212" s="103">
        <f t="shared" si="41"/>
        <v>-7.0564216396556967E-3</v>
      </c>
      <c r="K212" s="126">
        <f t="shared" si="41"/>
        <v>-2.8207695245874298E-4</v>
      </c>
      <c r="L212" s="56">
        <v>973793</v>
      </c>
      <c r="M212" s="103">
        <v>1.8018134739623104E-2</v>
      </c>
      <c r="N212" s="97">
        <f>INDEX('Pace of change parameters'!$E$22:$I$22,1,$B$5)</f>
        <v>1.1119783131080974E-2</v>
      </c>
      <c r="O212" s="108">
        <f>MAX(IF(INDEX('Pace of change parameters'!$E$30:$I$30,1,$B$5)=1,(1+M212)*D212,D212),L212)</f>
        <v>973793</v>
      </c>
      <c r="P212" s="94">
        <f>IF(K212&lt;INDEX('Pace of change parameters'!$E$18:$I$18,1,$B$5),1,IF(K212&gt;INDEX('Pace of change parameters'!$E$19:$I$19,1,$B$5),0,(K212-INDEX('Pace of change parameters'!$E$19:$I$19,1,$B$5))/(INDEX('Pace of change parameters'!$E$18:$I$18,1,$B$5)-INDEX('Pace of change parameters'!$E$19:$I$19,1,$B$5))))</f>
        <v>0.39209657503598827</v>
      </c>
      <c r="Q212" s="57">
        <v>2.349765083914801E-2</v>
      </c>
      <c r="R212" s="57">
        <v>1.6562168626140794E-2</v>
      </c>
      <c r="S212" s="9">
        <f>MAX(IF(INDEX('Pace of change parameters'!$E$31:$I$31,1,$B$5)=1,D212*(1+Q212),D212),L212)</f>
        <v>973793</v>
      </c>
      <c r="T212" s="103">
        <f>IF(Q212&lt;INDEX('Pace of change parameters'!$E$24:$I$24,1,$B$5),INDEX('Pace of change parameters'!$E$24:$I$24,1,$B$5),Q212)</f>
        <v>2.349765083914801E-2</v>
      </c>
      <c r="U212" s="132">
        <v>1.6562168626140794E-2</v>
      </c>
      <c r="V212" s="117">
        <f t="shared" si="42"/>
        <v>973793</v>
      </c>
      <c r="W212" s="131">
        <f>IF(J212&gt;INDEX('Pace of change parameters'!$E$26:$I$26,1,$B$5),0,IF(J212&lt;INDEX('Pace of change parameters'!$E$25:$I$25,1,$B$5),1,(J212-INDEX('Pace of change parameters'!$E$26:$I$26,1,$B$5))/(INDEX('Pace of change parameters'!$E$25:$I$25,1,$B$5)-INDEX('Pace of change parameters'!$E$26:$I$26,1,$B$5))))</f>
        <v>1</v>
      </c>
      <c r="X212" s="132">
        <f>MIN(T212, T212+(INDEX('Pace of change parameters'!$E$27:$I$27,1,$B$5)-T212)*(1-W212))</f>
        <v>2.349765083914801E-2</v>
      </c>
      <c r="Y212" s="132">
        <v>1.6562168626140794E-2</v>
      </c>
      <c r="Z212" s="108">
        <f t="shared" si="43"/>
        <v>973793</v>
      </c>
      <c r="AA212" s="97">
        <f>MIN(VLOOKUP(A212,'2016-17 disagg'!$A$12:$BC$220,54,FALSE),MIN(0,VLOOKUP(A212,'2016-17 disagg'!$A$12:$BC$220,54,FALSE),-2.5%))</f>
        <v>-2.5000000000000001E-2</v>
      </c>
      <c r="AB212" s="99">
        <f t="shared" si="36"/>
        <v>958115.51036396169</v>
      </c>
      <c r="AC212" s="99">
        <f>MAX(IF(INDEX('Pace of change parameters'!$E$29:$I$29,1,$B$5)=1,MAX(AB212,Z212),Z212),L212)</f>
        <v>973793</v>
      </c>
      <c r="AD212" s="97">
        <f t="shared" si="37"/>
        <v>2.4011550445392604E-2</v>
      </c>
      <c r="AE212" s="146">
        <v>1.7072585917037086E-2</v>
      </c>
      <c r="AF212" s="56">
        <f t="shared" si="44"/>
        <v>973793</v>
      </c>
      <c r="AG212" s="56">
        <v>1511.7106310119184</v>
      </c>
      <c r="AH212" s="16">
        <f t="shared" si="38"/>
        <v>2.4011550445392604E-2</v>
      </c>
      <c r="AI212" s="16">
        <f t="shared" si="39"/>
        <v>1.7072585917037086E-2</v>
      </c>
      <c r="AJ212" s="56"/>
      <c r="AK212" s="56">
        <v>982682.57473226846</v>
      </c>
      <c r="AL212" s="56">
        <v>1525.5107555023851</v>
      </c>
      <c r="AM212" s="16">
        <f t="shared" si="35"/>
        <v>-9.0462321820353742E-3</v>
      </c>
      <c r="AN212" s="58">
        <f t="shared" si="35"/>
        <v>-9.0462321820353742E-3</v>
      </c>
      <c r="AP212" s="56">
        <f t="shared" si="45"/>
        <v>1</v>
      </c>
      <c r="AQ212" s="56">
        <f t="shared" si="40"/>
        <v>0</v>
      </c>
    </row>
    <row r="213" spans="1:43" x14ac:dyDescent="0.2">
      <c r="A213" s="156" t="s">
        <v>471</v>
      </c>
      <c r="B213" s="156" t="s">
        <v>472</v>
      </c>
      <c r="D213" s="68">
        <f>VLOOKUP(A213,'2016-17 disagg'!A213:BC421,43,FALSE)</f>
        <v>946039</v>
      </c>
      <c r="E213" s="73">
        <v>1673.6712153650938</v>
      </c>
      <c r="F213" s="55"/>
      <c r="G213" s="88">
        <v>925316.77663424658</v>
      </c>
      <c r="H213" s="81">
        <v>1623.8319512328803</v>
      </c>
      <c r="I213" s="90"/>
      <c r="J213" s="103">
        <f t="shared" si="41"/>
        <v>2.239473431047978E-2</v>
      </c>
      <c r="K213" s="126">
        <f t="shared" si="41"/>
        <v>3.0692378047108448E-2</v>
      </c>
      <c r="L213" s="56">
        <v>968063</v>
      </c>
      <c r="M213" s="103">
        <v>1.9325920598266988E-2</v>
      </c>
      <c r="N213" s="97">
        <f>INDEX('Pace of change parameters'!$E$22:$I$22,1,$B$5)</f>
        <v>1.1119783131080974E-2</v>
      </c>
      <c r="O213" s="108">
        <f>MAX(IF(INDEX('Pace of change parameters'!$E$30:$I$30,1,$B$5)=1,(1+M213)*D213,D213),L213)</f>
        <v>968063</v>
      </c>
      <c r="P213" s="94">
        <f>IF(K213&lt;INDEX('Pace of change parameters'!$E$18:$I$18,1,$B$5),1,IF(K213&gt;INDEX('Pace of change parameters'!$E$19:$I$19,1,$B$5),0,(K213-INDEX('Pace of change parameters'!$E$19:$I$19,1,$B$5))/(INDEX('Pace of change parameters'!$E$18:$I$18,1,$B$5)-INDEX('Pace of change parameters'!$E$19:$I$19,1,$B$5))))</f>
        <v>0</v>
      </c>
      <c r="Q213" s="57">
        <v>1.9325920598266988E-2</v>
      </c>
      <c r="R213" s="57">
        <v>1.1119783131080974E-2</v>
      </c>
      <c r="S213" s="9">
        <f>MAX(IF(INDEX('Pace of change parameters'!$E$31:$I$31,1,$B$5)=1,D213*(1+Q213),D213),L213)</f>
        <v>968063</v>
      </c>
      <c r="T213" s="103">
        <f>IF(Q213&lt;INDEX('Pace of change parameters'!$E$24:$I$24,1,$B$5),INDEX('Pace of change parameters'!$E$24:$I$24,1,$B$5),Q213)</f>
        <v>1.9644681315626574E-2</v>
      </c>
      <c r="U213" s="132">
        <v>1.143597764835369E-2</v>
      </c>
      <c r="V213" s="117">
        <f t="shared" si="42"/>
        <v>968063</v>
      </c>
      <c r="W213" s="131">
        <f>IF(J213&gt;INDEX('Pace of change parameters'!$E$26:$I$26,1,$B$5),0,IF(J213&lt;INDEX('Pace of change parameters'!$E$25:$I$25,1,$B$5),1,(J213-INDEX('Pace of change parameters'!$E$26:$I$26,1,$B$5))/(INDEX('Pace of change parameters'!$E$25:$I$25,1,$B$5)-INDEX('Pace of change parameters'!$E$26:$I$26,1,$B$5))))</f>
        <v>1</v>
      </c>
      <c r="X213" s="132">
        <f>MIN(T213, T213+(INDEX('Pace of change parameters'!$E$27:$I$27,1,$B$5)-T213)*(1-W213))</f>
        <v>1.9644681315626574E-2</v>
      </c>
      <c r="Y213" s="132">
        <v>1.143597764835369E-2</v>
      </c>
      <c r="Z213" s="108">
        <f t="shared" si="43"/>
        <v>968063</v>
      </c>
      <c r="AA213" s="97">
        <f>MIN(VLOOKUP(A213,'2016-17 disagg'!$A$12:$BC$220,54,FALSE),MIN(0,VLOOKUP(A213,'2016-17 disagg'!$A$12:$BC$220,54,FALSE),-2.5%))</f>
        <v>-2.5000000000000001E-2</v>
      </c>
      <c r="AB213" s="99">
        <f t="shared" si="36"/>
        <v>925643.724539213</v>
      </c>
      <c r="AC213" s="99">
        <f>MAX(IF(INDEX('Pace of change parameters'!$E$29:$I$29,1,$B$5)=1,MAX(AB213,Z213),Z213),L213)</f>
        <v>968063</v>
      </c>
      <c r="AD213" s="97">
        <f t="shared" si="37"/>
        <v>2.3280224176804643E-2</v>
      </c>
      <c r="AE213" s="146">
        <v>1.5042252378619336E-2</v>
      </c>
      <c r="AF213" s="56">
        <f t="shared" si="44"/>
        <v>968063</v>
      </c>
      <c r="AG213" s="56">
        <v>1698.8470001854457</v>
      </c>
      <c r="AH213" s="16">
        <f t="shared" si="38"/>
        <v>2.3280224176804643E-2</v>
      </c>
      <c r="AI213" s="16">
        <f t="shared" si="39"/>
        <v>1.5042252378619114E-2</v>
      </c>
      <c r="AJ213" s="56"/>
      <c r="AK213" s="56">
        <v>949378.17901457741</v>
      </c>
      <c r="AL213" s="56">
        <v>1666.0571382858718</v>
      </c>
      <c r="AM213" s="16">
        <f t="shared" si="35"/>
        <v>1.9681114858587589E-2</v>
      </c>
      <c r="AN213" s="58">
        <f t="shared" si="35"/>
        <v>1.9681114858587589E-2</v>
      </c>
      <c r="AP213" s="56">
        <f t="shared" si="45"/>
        <v>1</v>
      </c>
      <c r="AQ213" s="56">
        <f t="shared" si="40"/>
        <v>0</v>
      </c>
    </row>
    <row r="214" spans="1:43" x14ac:dyDescent="0.2">
      <c r="A214" s="156" t="s">
        <v>473</v>
      </c>
      <c r="B214" s="156" t="s">
        <v>474</v>
      </c>
      <c r="D214" s="68">
        <f>VLOOKUP(A214,'2016-17 disagg'!A214:BC422,43,FALSE)</f>
        <v>352725</v>
      </c>
      <c r="E214" s="73">
        <v>1619.2795149410777</v>
      </c>
      <c r="F214" s="55"/>
      <c r="G214" s="88">
        <v>354856.42590201448</v>
      </c>
      <c r="H214" s="81">
        <v>1612.6711571865628</v>
      </c>
      <c r="I214" s="90"/>
      <c r="J214" s="103">
        <f t="shared" si="41"/>
        <v>-6.0064458367820039E-3</v>
      </c>
      <c r="K214" s="126">
        <f t="shared" si="41"/>
        <v>4.0977714055752124E-3</v>
      </c>
      <c r="L214" s="56">
        <v>361859</v>
      </c>
      <c r="M214" s="103">
        <v>2.1398093190548195E-2</v>
      </c>
      <c r="N214" s="97">
        <f>INDEX('Pace of change parameters'!$E$22:$I$22,1,$B$5)</f>
        <v>1.1119783131080974E-2</v>
      </c>
      <c r="O214" s="108">
        <f>MAX(IF(INDEX('Pace of change parameters'!$E$30:$I$30,1,$B$5)=1,(1+M214)*D214,D214),L214)</f>
        <v>361859</v>
      </c>
      <c r="P214" s="94">
        <f>IF(K214&lt;INDEX('Pace of change parameters'!$E$18:$I$18,1,$B$5),1,IF(K214&gt;INDEX('Pace of change parameters'!$E$19:$I$19,1,$B$5),0,(K214-INDEX('Pace of change parameters'!$E$19:$I$19,1,$B$5))/(INDEX('Pace of change parameters'!$E$18:$I$18,1,$B$5)-INDEX('Pace of change parameters'!$E$19:$I$19,1,$B$5))))</f>
        <v>0.32827449034980527</v>
      </c>
      <c r="Q214" s="57">
        <v>2.6000932596674353E-2</v>
      </c>
      <c r="R214" s="57">
        <v>1.5676304249670148E-2</v>
      </c>
      <c r="S214" s="9">
        <f>MAX(IF(INDEX('Pace of change parameters'!$E$31:$I$31,1,$B$5)=1,D214*(1+Q214),D214),L214)</f>
        <v>361896.17895016196</v>
      </c>
      <c r="T214" s="103">
        <f>IF(Q214&lt;INDEX('Pace of change parameters'!$E$24:$I$24,1,$B$5),INDEX('Pace of change parameters'!$E$24:$I$24,1,$B$5),Q214)</f>
        <v>2.6000932596674353E-2</v>
      </c>
      <c r="U214" s="132">
        <v>1.5676304249670148E-2</v>
      </c>
      <c r="V214" s="117">
        <f t="shared" si="42"/>
        <v>361896.17895016196</v>
      </c>
      <c r="W214" s="131">
        <f>IF(J214&gt;INDEX('Pace of change parameters'!$E$26:$I$26,1,$B$5),0,IF(J214&lt;INDEX('Pace of change parameters'!$E$25:$I$25,1,$B$5),1,(J214-INDEX('Pace of change parameters'!$E$26:$I$26,1,$B$5))/(INDEX('Pace of change parameters'!$E$25:$I$25,1,$B$5)-INDEX('Pace of change parameters'!$E$26:$I$26,1,$B$5))))</f>
        <v>1</v>
      </c>
      <c r="X214" s="132">
        <f>MIN(T214, T214+(INDEX('Pace of change parameters'!$E$27:$I$27,1,$B$5)-T214)*(1-W214))</f>
        <v>2.6000932596674353E-2</v>
      </c>
      <c r="Y214" s="132">
        <v>1.5676304249670148E-2</v>
      </c>
      <c r="Z214" s="108">
        <f t="shared" si="43"/>
        <v>361896.17895016196</v>
      </c>
      <c r="AA214" s="97">
        <f>MIN(VLOOKUP(A214,'2016-17 disagg'!$A$12:$BC$220,54,FALSE),MIN(0,VLOOKUP(A214,'2016-17 disagg'!$A$12:$BC$220,54,FALSE),-2.5%))</f>
        <v>-2.5000000000000001E-2</v>
      </c>
      <c r="AB214" s="99">
        <f t="shared" si="36"/>
        <v>355002.3930133839</v>
      </c>
      <c r="AC214" s="99">
        <f>MAX(IF(INDEX('Pace of change parameters'!$E$29:$I$29,1,$B$5)=1,MAX(AB214,Z214),Z214),L214)</f>
        <v>361896.17895016196</v>
      </c>
      <c r="AD214" s="97">
        <f t="shared" si="37"/>
        <v>2.6000932596674353E-2</v>
      </c>
      <c r="AE214" s="146">
        <v>1.5676304249670148E-2</v>
      </c>
      <c r="AF214" s="56">
        <f t="shared" si="44"/>
        <v>361896.17895016196</v>
      </c>
      <c r="AG214" s="56">
        <v>1644.6638332825523</v>
      </c>
      <c r="AH214" s="16">
        <f t="shared" si="38"/>
        <v>2.6000932596674353E-2</v>
      </c>
      <c r="AI214" s="16">
        <f t="shared" si="39"/>
        <v>1.5676304249670148E-2</v>
      </c>
      <c r="AJ214" s="56"/>
      <c r="AK214" s="56">
        <v>364105.01847526553</v>
      </c>
      <c r="AL214" s="56">
        <v>1654.7020671511755</v>
      </c>
      <c r="AM214" s="16">
        <f t="shared" si="35"/>
        <v>-6.0664901965739038E-3</v>
      </c>
      <c r="AN214" s="58">
        <f t="shared" si="35"/>
        <v>-6.0664901965739038E-3</v>
      </c>
      <c r="AP214" s="56">
        <f t="shared" si="45"/>
        <v>0</v>
      </c>
      <c r="AQ214" s="56">
        <f t="shared" si="40"/>
        <v>0</v>
      </c>
    </row>
    <row r="215" spans="1:43" x14ac:dyDescent="0.2">
      <c r="A215" s="156" t="s">
        <v>475</v>
      </c>
      <c r="B215" s="156" t="s">
        <v>476</v>
      </c>
      <c r="D215" s="68">
        <f>VLOOKUP(A215,'2016-17 disagg'!A215:BC423,43,FALSE)</f>
        <v>1472930</v>
      </c>
      <c r="E215" s="73">
        <v>1624.9823367520132</v>
      </c>
      <c r="F215" s="55"/>
      <c r="G215" s="88">
        <v>1466202.8066702001</v>
      </c>
      <c r="H215" s="81">
        <v>1609.3638261483475</v>
      </c>
      <c r="I215" s="90"/>
      <c r="J215" s="103">
        <f t="shared" si="41"/>
        <v>4.5881738182438347E-3</v>
      </c>
      <c r="K215" s="126">
        <f t="shared" si="41"/>
        <v>9.7047729978156916E-3</v>
      </c>
      <c r="L215" s="56">
        <v>1507831</v>
      </c>
      <c r="M215" s="103">
        <v>1.6269649302761868E-2</v>
      </c>
      <c r="N215" s="97">
        <f>INDEX('Pace of change parameters'!$E$22:$I$22,1,$B$5)</f>
        <v>1.1119783131080974E-2</v>
      </c>
      <c r="O215" s="108">
        <f>MAX(IF(INDEX('Pace of change parameters'!$E$30:$I$30,1,$B$5)=1,(1+M215)*D215,D215),L215)</f>
        <v>1507831</v>
      </c>
      <c r="P215" s="94">
        <f>IF(K215&lt;INDEX('Pace of change parameters'!$E$18:$I$18,1,$B$5),1,IF(K215&gt;INDEX('Pace of change parameters'!$E$19:$I$19,1,$B$5),0,(K215-INDEX('Pace of change parameters'!$E$19:$I$19,1,$B$5))/(INDEX('Pace of change parameters'!$E$18:$I$18,1,$B$5)-INDEX('Pace of change parameters'!$E$19:$I$19,1,$B$5))))</f>
        <v>0.24657062729273621</v>
      </c>
      <c r="Q215" s="57">
        <v>1.9709534429249054E-2</v>
      </c>
      <c r="R215" s="57">
        <v>1.4542236911409656E-2</v>
      </c>
      <c r="S215" s="9">
        <f>MAX(IF(INDEX('Pace of change parameters'!$E$31:$I$31,1,$B$5)=1,D215*(1+Q215),D215),L215)</f>
        <v>1507831</v>
      </c>
      <c r="T215" s="103">
        <f>IF(Q215&lt;INDEX('Pace of change parameters'!$E$24:$I$24,1,$B$5),INDEX('Pace of change parameters'!$E$24:$I$24,1,$B$5),Q215)</f>
        <v>1.9709534429249054E-2</v>
      </c>
      <c r="U215" s="132">
        <v>1.4542236911409656E-2</v>
      </c>
      <c r="V215" s="117">
        <f t="shared" si="42"/>
        <v>1507831</v>
      </c>
      <c r="W215" s="131">
        <f>IF(J215&gt;INDEX('Pace of change parameters'!$E$26:$I$26,1,$B$5),0,IF(J215&lt;INDEX('Pace of change parameters'!$E$25:$I$25,1,$B$5),1,(J215-INDEX('Pace of change parameters'!$E$26:$I$26,1,$B$5))/(INDEX('Pace of change parameters'!$E$25:$I$25,1,$B$5)-INDEX('Pace of change parameters'!$E$26:$I$26,1,$B$5))))</f>
        <v>1</v>
      </c>
      <c r="X215" s="132">
        <f>MIN(T215, T215+(INDEX('Pace of change parameters'!$E$27:$I$27,1,$B$5)-T215)*(1-W215))</f>
        <v>1.9709534429249054E-2</v>
      </c>
      <c r="Y215" s="132">
        <v>1.4542236911409656E-2</v>
      </c>
      <c r="Z215" s="108">
        <f t="shared" si="43"/>
        <v>1507831</v>
      </c>
      <c r="AA215" s="97">
        <f>MIN(VLOOKUP(A215,'2016-17 disagg'!$A$12:$BC$220,54,FALSE),MIN(0,VLOOKUP(A215,'2016-17 disagg'!$A$12:$BC$220,54,FALSE),-2.5%))</f>
        <v>-2.5000000000000001E-2</v>
      </c>
      <c r="AB215" s="99">
        <f t="shared" si="36"/>
        <v>1467003.9197376301</v>
      </c>
      <c r="AC215" s="99">
        <f>MAX(IF(INDEX('Pace of change parameters'!$E$29:$I$29,1,$B$5)=1,MAX(AB215,Z215),Z215),L215)</f>
        <v>1507831</v>
      </c>
      <c r="AD215" s="97">
        <f t="shared" si="37"/>
        <v>2.3694948164542762E-2</v>
      </c>
      <c r="AE215" s="146">
        <v>1.8507454877411567E-2</v>
      </c>
      <c r="AF215" s="56">
        <f t="shared" si="44"/>
        <v>1507831</v>
      </c>
      <c r="AG215" s="56">
        <v>1655.0566240260421</v>
      </c>
      <c r="AH215" s="16">
        <f t="shared" si="38"/>
        <v>2.3694948164542762E-2</v>
      </c>
      <c r="AI215" s="16">
        <f t="shared" si="39"/>
        <v>1.8507454877411567E-2</v>
      </c>
      <c r="AJ215" s="56"/>
      <c r="AK215" s="56">
        <v>1504619.4048591077</v>
      </c>
      <c r="AL215" s="56">
        <v>1651.5314465946035</v>
      </c>
      <c r="AM215" s="16">
        <f t="shared" si="35"/>
        <v>2.1344900448050375E-3</v>
      </c>
      <c r="AN215" s="58">
        <f t="shared" si="35"/>
        <v>2.1344900448050375E-3</v>
      </c>
      <c r="AP215" s="56">
        <f t="shared" si="45"/>
        <v>1</v>
      </c>
      <c r="AQ215" s="56">
        <f t="shared" si="40"/>
        <v>0</v>
      </c>
    </row>
    <row r="216" spans="1:43" x14ac:dyDescent="0.2">
      <c r="A216" s="156" t="s">
        <v>477</v>
      </c>
      <c r="B216" s="156" t="s">
        <v>478</v>
      </c>
      <c r="D216" s="68">
        <f>VLOOKUP(A216,'2016-17 disagg'!A216:BC424,43,FALSE)</f>
        <v>895521</v>
      </c>
      <c r="E216" s="73">
        <v>1585.1206222431863</v>
      </c>
      <c r="F216" s="55"/>
      <c r="G216" s="88">
        <v>905877.53617218684</v>
      </c>
      <c r="H216" s="81">
        <v>1593.5253390834318</v>
      </c>
      <c r="I216" s="90"/>
      <c r="J216" s="103">
        <f t="shared" si="41"/>
        <v>-1.1432600719903818E-2</v>
      </c>
      <c r="K216" s="126">
        <f t="shared" si="41"/>
        <v>-5.2742913050130014E-3</v>
      </c>
      <c r="L216" s="56">
        <v>915991</v>
      </c>
      <c r="M216" s="103">
        <v>1.7418583278216326E-2</v>
      </c>
      <c r="N216" s="97">
        <f>INDEX('Pace of change parameters'!$E$22:$I$22,1,$B$5)</f>
        <v>1.1119783131080974E-2</v>
      </c>
      <c r="O216" s="108">
        <f>MAX(IF(INDEX('Pace of change parameters'!$E$30:$I$30,1,$B$5)=1,(1+M216)*D216,D216),L216)</f>
        <v>915991</v>
      </c>
      <c r="P216" s="94">
        <f>IF(K216&lt;INDEX('Pace of change parameters'!$E$18:$I$18,1,$B$5),1,IF(K216&gt;INDEX('Pace of change parameters'!$E$19:$I$19,1,$B$5),0,(K216-INDEX('Pace of change parameters'!$E$19:$I$19,1,$B$5))/(INDEX('Pace of change parameters'!$E$18:$I$18,1,$B$5)-INDEX('Pace of change parameters'!$E$19:$I$19,1,$B$5))))</f>
        <v>0.46484190800987163</v>
      </c>
      <c r="Q216" s="57">
        <v>2.39108833565298E-2</v>
      </c>
      <c r="R216" s="57">
        <v>1.757188962402001E-2</v>
      </c>
      <c r="S216" s="9">
        <f>MAX(IF(INDEX('Pace of change parameters'!$E$31:$I$31,1,$B$5)=1,D216*(1+Q216),D216),L216)</f>
        <v>916933.69817432296</v>
      </c>
      <c r="T216" s="103">
        <f>IF(Q216&lt;INDEX('Pace of change parameters'!$E$24:$I$24,1,$B$5),INDEX('Pace of change parameters'!$E$24:$I$24,1,$B$5),Q216)</f>
        <v>2.39108833565298E-2</v>
      </c>
      <c r="U216" s="132">
        <v>1.757188962402001E-2</v>
      </c>
      <c r="V216" s="117">
        <f t="shared" si="42"/>
        <v>916933.69817432296</v>
      </c>
      <c r="W216" s="131">
        <f>IF(J216&gt;INDEX('Pace of change parameters'!$E$26:$I$26,1,$B$5),0,IF(J216&lt;INDEX('Pace of change parameters'!$E$25:$I$25,1,$B$5),1,(J216-INDEX('Pace of change parameters'!$E$26:$I$26,1,$B$5))/(INDEX('Pace of change parameters'!$E$25:$I$25,1,$B$5)-INDEX('Pace of change parameters'!$E$26:$I$26,1,$B$5))))</f>
        <v>1</v>
      </c>
      <c r="X216" s="132">
        <f>MIN(T216, T216+(INDEX('Pace of change parameters'!$E$27:$I$27,1,$B$5)-T216)*(1-W216))</f>
        <v>2.39108833565298E-2</v>
      </c>
      <c r="Y216" s="132">
        <v>1.757188962402001E-2</v>
      </c>
      <c r="Z216" s="108">
        <f t="shared" si="43"/>
        <v>916933.69817432296</v>
      </c>
      <c r="AA216" s="97">
        <f>MIN(VLOOKUP(A216,'2016-17 disagg'!$A$12:$BC$220,54,FALSE),MIN(0,VLOOKUP(A216,'2016-17 disagg'!$A$12:$BC$220,54,FALSE),-2.5%))</f>
        <v>-2.5000000000000001E-2</v>
      </c>
      <c r="AB216" s="99">
        <f t="shared" si="36"/>
        <v>906071.16804744327</v>
      </c>
      <c r="AC216" s="99">
        <f>MAX(IF(INDEX('Pace of change parameters'!$E$29:$I$29,1,$B$5)=1,MAX(AB216,Z216),Z216),L216)</f>
        <v>916933.69817432296</v>
      </c>
      <c r="AD216" s="97">
        <f t="shared" si="37"/>
        <v>2.39108833565298E-2</v>
      </c>
      <c r="AE216" s="146">
        <v>1.757188962402001E-2</v>
      </c>
      <c r="AF216" s="56">
        <f t="shared" si="44"/>
        <v>916933.69817432296</v>
      </c>
      <c r="AG216" s="56">
        <v>1612.9741868580018</v>
      </c>
      <c r="AH216" s="16">
        <f t="shared" si="38"/>
        <v>2.39108833565298E-2</v>
      </c>
      <c r="AI216" s="16">
        <f t="shared" si="39"/>
        <v>1.7571889624020232E-2</v>
      </c>
      <c r="AJ216" s="56"/>
      <c r="AK216" s="56">
        <v>929303.76209994184</v>
      </c>
      <c r="AL216" s="56">
        <v>1634.734313944108</v>
      </c>
      <c r="AM216" s="16">
        <f t="shared" si="35"/>
        <v>-1.3311109273534294E-2</v>
      </c>
      <c r="AN216" s="58">
        <f t="shared" si="35"/>
        <v>-1.3311109273534294E-2</v>
      </c>
      <c r="AP216" s="56">
        <f t="shared" si="45"/>
        <v>0</v>
      </c>
      <c r="AQ216" s="56">
        <f t="shared" si="40"/>
        <v>0</v>
      </c>
    </row>
    <row r="217" spans="1:43" x14ac:dyDescent="0.2">
      <c r="A217" s="156" t="s">
        <v>479</v>
      </c>
      <c r="B217" s="156" t="s">
        <v>480</v>
      </c>
      <c r="D217" s="68">
        <f>VLOOKUP(A217,'2016-17 disagg'!A217:BC425,43,FALSE)</f>
        <v>500992</v>
      </c>
      <c r="E217" s="73">
        <v>1739.6599300353632</v>
      </c>
      <c r="F217" s="55"/>
      <c r="G217" s="88">
        <v>483062.14370784105</v>
      </c>
      <c r="H217" s="81">
        <v>1669.9432773050803</v>
      </c>
      <c r="I217" s="90"/>
      <c r="J217" s="103">
        <f t="shared" si="41"/>
        <v>3.7117080122517354E-2</v>
      </c>
      <c r="K217" s="126">
        <f t="shared" si="41"/>
        <v>4.1747916637498106E-2</v>
      </c>
      <c r="L217" s="56">
        <v>511312</v>
      </c>
      <c r="M217" s="103">
        <v>1.5634538988914981E-2</v>
      </c>
      <c r="N217" s="97">
        <f>INDEX('Pace of change parameters'!$E$22:$I$22,1,$B$5)</f>
        <v>1.1119783131080974E-2</v>
      </c>
      <c r="O217" s="108">
        <f>MAX(IF(INDEX('Pace of change parameters'!$E$30:$I$30,1,$B$5)=1,(1+M217)*D217,D217),L217)</f>
        <v>511312</v>
      </c>
      <c r="P217" s="94">
        <f>IF(K217&lt;INDEX('Pace of change parameters'!$E$18:$I$18,1,$B$5),1,IF(K217&gt;INDEX('Pace of change parameters'!$E$19:$I$19,1,$B$5),0,(K217-INDEX('Pace of change parameters'!$E$19:$I$19,1,$B$5))/(INDEX('Pace of change parameters'!$E$18:$I$18,1,$B$5)-INDEX('Pace of change parameters'!$E$19:$I$19,1,$B$5))))</f>
        <v>0</v>
      </c>
      <c r="Q217" s="57">
        <v>1.5634538988914981E-2</v>
      </c>
      <c r="R217" s="57">
        <v>1.1119783131080974E-2</v>
      </c>
      <c r="S217" s="9">
        <f>MAX(IF(INDEX('Pace of change parameters'!$E$31:$I$31,1,$B$5)=1,D217*(1+Q217),D217),L217)</f>
        <v>511312</v>
      </c>
      <c r="T217" s="103">
        <f>IF(Q217&lt;INDEX('Pace of change parameters'!$E$24:$I$24,1,$B$5),INDEX('Pace of change parameters'!$E$24:$I$24,1,$B$5),Q217)</f>
        <v>1.9644681315626574E-2</v>
      </c>
      <c r="U217" s="132">
        <v>1.5112099347252439E-2</v>
      </c>
      <c r="V217" s="117">
        <f t="shared" si="42"/>
        <v>511312</v>
      </c>
      <c r="W217" s="131">
        <f>IF(J217&gt;INDEX('Pace of change parameters'!$E$26:$I$26,1,$B$5),0,IF(J217&lt;INDEX('Pace of change parameters'!$E$25:$I$25,1,$B$5),1,(J217-INDEX('Pace of change parameters'!$E$26:$I$26,1,$B$5))/(INDEX('Pace of change parameters'!$E$25:$I$25,1,$B$5)-INDEX('Pace of change parameters'!$E$26:$I$26,1,$B$5))))</f>
        <v>1</v>
      </c>
      <c r="X217" s="132">
        <f>MIN(T217, T217+(INDEX('Pace of change parameters'!$E$27:$I$27,1,$B$5)-T217)*(1-W217))</f>
        <v>1.9644681315626574E-2</v>
      </c>
      <c r="Y217" s="132">
        <v>1.5112099347252439E-2</v>
      </c>
      <c r="Z217" s="108">
        <f t="shared" si="43"/>
        <v>511312</v>
      </c>
      <c r="AA217" s="97">
        <f>MIN(VLOOKUP(A217,'2016-17 disagg'!$A$12:$BC$220,54,FALSE),MIN(0,VLOOKUP(A217,'2016-17 disagg'!$A$12:$BC$220,54,FALSE),-2.5%))</f>
        <v>-2.5000000000000001E-2</v>
      </c>
      <c r="AB217" s="99">
        <f t="shared" si="36"/>
        <v>483319.67508185719</v>
      </c>
      <c r="AC217" s="99">
        <f>MAX(IF(INDEX('Pace of change parameters'!$E$29:$I$29,1,$B$5)=1,MAX(AB217,Z217),Z217),L217)</f>
        <v>511312</v>
      </c>
      <c r="AD217" s="97">
        <f t="shared" si="37"/>
        <v>2.0599131323454367E-2</v>
      </c>
      <c r="AE217" s="146">
        <v>1.6062306580146624E-2</v>
      </c>
      <c r="AF217" s="56">
        <f t="shared" si="44"/>
        <v>511312</v>
      </c>
      <c r="AG217" s="56">
        <v>1767.6028811767874</v>
      </c>
      <c r="AH217" s="16">
        <f t="shared" si="38"/>
        <v>2.0599131323454367E-2</v>
      </c>
      <c r="AI217" s="16">
        <f t="shared" si="39"/>
        <v>1.6062306580146402E-2</v>
      </c>
      <c r="AJ217" s="56"/>
      <c r="AK217" s="56">
        <v>495712.4872634433</v>
      </c>
      <c r="AL217" s="56">
        <v>1713.675448106389</v>
      </c>
      <c r="AM217" s="16">
        <f t="shared" si="35"/>
        <v>3.146887185084446E-2</v>
      </c>
      <c r="AN217" s="58">
        <f t="shared" si="35"/>
        <v>3.146887185084446E-2</v>
      </c>
      <c r="AP217" s="56">
        <f t="shared" si="45"/>
        <v>1</v>
      </c>
      <c r="AQ217" s="56">
        <f t="shared" si="40"/>
        <v>0</v>
      </c>
    </row>
    <row r="218" spans="1:43" x14ac:dyDescent="0.2">
      <c r="A218" s="156" t="s">
        <v>481</v>
      </c>
      <c r="B218" s="156" t="s">
        <v>482</v>
      </c>
      <c r="D218" s="68">
        <f>VLOOKUP(A218,'2016-17 disagg'!A218:BC426,43,FALSE)</f>
        <v>374353</v>
      </c>
      <c r="E218" s="73">
        <v>1406.3578742068873</v>
      </c>
      <c r="F218" s="55"/>
      <c r="G218" s="88">
        <v>381124.18404966505</v>
      </c>
      <c r="H218" s="81">
        <v>1420.1641871311954</v>
      </c>
      <c r="I218" s="90"/>
      <c r="J218" s="103">
        <f t="shared" si="41"/>
        <v>-1.7766345808122974E-2</v>
      </c>
      <c r="K218" s="126">
        <f t="shared" si="41"/>
        <v>-9.7216315193791036E-3</v>
      </c>
      <c r="L218" s="56">
        <v>383355</v>
      </c>
      <c r="M218" s="103">
        <v>1.9401081305168155E-2</v>
      </c>
      <c r="N218" s="97">
        <f>INDEX('Pace of change parameters'!$E$22:$I$22,1,$B$5)</f>
        <v>1.1119783131080974E-2</v>
      </c>
      <c r="O218" s="108">
        <f>MAX(IF(INDEX('Pace of change parameters'!$E$30:$I$30,1,$B$5)=1,(1+M218)*D218,D218),L218)</f>
        <v>383355</v>
      </c>
      <c r="P218" s="94">
        <f>IF(K218&lt;INDEX('Pace of change parameters'!$E$18:$I$18,1,$B$5),1,IF(K218&gt;INDEX('Pace of change parameters'!$E$19:$I$19,1,$B$5),0,(K218-INDEX('Pace of change parameters'!$E$19:$I$19,1,$B$5))/(INDEX('Pace of change parameters'!$E$18:$I$18,1,$B$5)-INDEX('Pace of change parameters'!$E$19:$I$19,1,$B$5))))</f>
        <v>0.52964746760622061</v>
      </c>
      <c r="Q218" s="57">
        <v>2.6812914453015146E-2</v>
      </c>
      <c r="R218" s="57">
        <v>1.8471404845529005E-2</v>
      </c>
      <c r="S218" s="9">
        <f>MAX(IF(INDEX('Pace of change parameters'!$E$31:$I$31,1,$B$5)=1,D218*(1+Q218),D218),L218)</f>
        <v>384390.49496422958</v>
      </c>
      <c r="T218" s="103">
        <f>IF(Q218&lt;INDEX('Pace of change parameters'!$E$24:$I$24,1,$B$5),INDEX('Pace of change parameters'!$E$24:$I$24,1,$B$5),Q218)</f>
        <v>2.6812914453015146E-2</v>
      </c>
      <c r="U218" s="132">
        <v>1.8471404845529005E-2</v>
      </c>
      <c r="V218" s="117">
        <f t="shared" si="42"/>
        <v>384390.49496422958</v>
      </c>
      <c r="W218" s="131">
        <f>IF(J218&gt;INDEX('Pace of change parameters'!$E$26:$I$26,1,$B$5),0,IF(J218&lt;INDEX('Pace of change parameters'!$E$25:$I$25,1,$B$5),1,(J218-INDEX('Pace of change parameters'!$E$26:$I$26,1,$B$5))/(INDEX('Pace of change parameters'!$E$25:$I$25,1,$B$5)-INDEX('Pace of change parameters'!$E$26:$I$26,1,$B$5))))</f>
        <v>1</v>
      </c>
      <c r="X218" s="132">
        <f>MIN(T218, T218+(INDEX('Pace of change parameters'!$E$27:$I$27,1,$B$5)-T218)*(1-W218))</f>
        <v>2.6812914453015146E-2</v>
      </c>
      <c r="Y218" s="132">
        <v>1.8471404845529005E-2</v>
      </c>
      <c r="Z218" s="108">
        <f t="shared" si="43"/>
        <v>384390.49496422958</v>
      </c>
      <c r="AA218" s="97">
        <f>MIN(VLOOKUP(A218,'2016-17 disagg'!$A$12:$BC$220,54,FALSE),MIN(0,VLOOKUP(A218,'2016-17 disagg'!$A$12:$BC$220,54,FALSE),-2.5%))</f>
        <v>-2.5000000000000001E-2</v>
      </c>
      <c r="AB218" s="99">
        <f t="shared" si="36"/>
        <v>381412.13287666498</v>
      </c>
      <c r="AC218" s="99">
        <f>MAX(IF(INDEX('Pace of change parameters'!$E$29:$I$29,1,$B$5)=1,MAX(AB218,Z218),Z218),L218)</f>
        <v>384390.49496422958</v>
      </c>
      <c r="AD218" s="97">
        <f t="shared" si="37"/>
        <v>2.6812914453015146E-2</v>
      </c>
      <c r="AE218" s="146">
        <v>1.8471404845529005E-2</v>
      </c>
      <c r="AF218" s="56">
        <f t="shared" si="44"/>
        <v>384390.49496422958</v>
      </c>
      <c r="AG218" s="56">
        <v>1432.3352798590602</v>
      </c>
      <c r="AH218" s="16">
        <f t="shared" si="38"/>
        <v>2.6812914453015146E-2</v>
      </c>
      <c r="AI218" s="16">
        <f t="shared" si="39"/>
        <v>1.8471404845529005E-2</v>
      </c>
      <c r="AJ218" s="56"/>
      <c r="AK218" s="56">
        <v>391191.93115555384</v>
      </c>
      <c r="AL218" s="56">
        <v>1457.6791349703851</v>
      </c>
      <c r="AM218" s="16">
        <f t="shared" si="35"/>
        <v>-1.7386442944345215E-2</v>
      </c>
      <c r="AN218" s="58">
        <f t="shared" si="35"/>
        <v>-1.7386442944345104E-2</v>
      </c>
      <c r="AP218" s="56">
        <f t="shared" si="45"/>
        <v>0</v>
      </c>
      <c r="AQ218" s="56">
        <f t="shared" si="40"/>
        <v>0</v>
      </c>
    </row>
    <row r="219" spans="1:43" x14ac:dyDescent="0.2">
      <c r="A219" s="156" t="s">
        <v>483</v>
      </c>
      <c r="B219" s="156" t="s">
        <v>484</v>
      </c>
      <c r="D219" s="68">
        <f>VLOOKUP(A219,'2016-17 disagg'!A219:BC427,43,FALSE)</f>
        <v>333115</v>
      </c>
      <c r="E219" s="73">
        <v>1424.3664169882886</v>
      </c>
      <c r="F219" s="55"/>
      <c r="G219" s="88">
        <v>341180.49313847302</v>
      </c>
      <c r="H219" s="81">
        <v>1442.2409059612642</v>
      </c>
      <c r="I219" s="90"/>
      <c r="J219" s="103">
        <f t="shared" si="41"/>
        <v>-2.3639959788672726E-2</v>
      </c>
      <c r="K219" s="126">
        <f t="shared" si="41"/>
        <v>-1.2393552907211447E-2</v>
      </c>
      <c r="L219" s="56">
        <v>342096</v>
      </c>
      <c r="M219" s="103">
        <v>2.2766577365435081E-2</v>
      </c>
      <c r="N219" s="97">
        <f>INDEX('Pace of change parameters'!$E$22:$I$22,1,$B$5)</f>
        <v>1.1119783131080974E-2</v>
      </c>
      <c r="O219" s="108">
        <f>MAX(IF(INDEX('Pace of change parameters'!$E$30:$I$30,1,$B$5)=1,(1+M219)*D219,D219),L219)</f>
        <v>342096</v>
      </c>
      <c r="P219" s="94">
        <f>IF(K219&lt;INDEX('Pace of change parameters'!$E$18:$I$18,1,$B$5),1,IF(K219&gt;INDEX('Pace of change parameters'!$E$19:$I$19,1,$B$5),0,(K219-INDEX('Pace of change parameters'!$E$19:$I$19,1,$B$5))/(INDEX('Pace of change parameters'!$E$18:$I$18,1,$B$5)-INDEX('Pace of change parameters'!$E$19:$I$19,1,$B$5))))</f>
        <v>0.56858205600955214</v>
      </c>
      <c r="Q219" s="57">
        <v>3.074952574622869E-2</v>
      </c>
      <c r="R219" s="57">
        <v>1.9011825376269442E-2</v>
      </c>
      <c r="S219" s="9">
        <f>MAX(IF(INDEX('Pace of change parameters'!$E$31:$I$31,1,$B$5)=1,D219*(1+Q219),D219),L219)</f>
        <v>343358.12826895498</v>
      </c>
      <c r="T219" s="103">
        <f>IF(Q219&lt;INDEX('Pace of change parameters'!$E$24:$I$24,1,$B$5),INDEX('Pace of change parameters'!$E$24:$I$24,1,$B$5),Q219)</f>
        <v>3.074952574622869E-2</v>
      </c>
      <c r="U219" s="132">
        <v>1.9011825376269442E-2</v>
      </c>
      <c r="V219" s="117">
        <f t="shared" si="42"/>
        <v>343358.12826895498</v>
      </c>
      <c r="W219" s="131">
        <f>IF(J219&gt;INDEX('Pace of change parameters'!$E$26:$I$26,1,$B$5),0,IF(J219&lt;INDEX('Pace of change parameters'!$E$25:$I$25,1,$B$5),1,(J219-INDEX('Pace of change parameters'!$E$26:$I$26,1,$B$5))/(INDEX('Pace of change parameters'!$E$25:$I$25,1,$B$5)-INDEX('Pace of change parameters'!$E$26:$I$26,1,$B$5))))</f>
        <v>1</v>
      </c>
      <c r="X219" s="132">
        <f>MIN(T219, T219+(INDEX('Pace of change parameters'!$E$27:$I$27,1,$B$5)-T219)*(1-W219))</f>
        <v>3.074952574622869E-2</v>
      </c>
      <c r="Y219" s="132">
        <v>1.9011825376269442E-2</v>
      </c>
      <c r="Z219" s="108">
        <f t="shared" si="43"/>
        <v>343358.12826895498</v>
      </c>
      <c r="AA219" s="97">
        <f>MIN(VLOOKUP(A219,'2016-17 disagg'!$A$12:$BC$220,54,FALSE),MIN(0,VLOOKUP(A219,'2016-17 disagg'!$A$12:$BC$220,54,FALSE),-2.5%))</f>
        <v>-2.5000000000000001E-2</v>
      </c>
      <c r="AB219" s="99">
        <f t="shared" si="36"/>
        <v>341350.50161930907</v>
      </c>
      <c r="AC219" s="99">
        <f>MAX(IF(INDEX('Pace of change parameters'!$E$29:$I$29,1,$B$5)=1,MAX(AB219,Z219),Z219),L219)</f>
        <v>343358.12826895498</v>
      </c>
      <c r="AD219" s="97">
        <f t="shared" si="37"/>
        <v>3.074952574622869E-2</v>
      </c>
      <c r="AE219" s="146">
        <v>1.9011825376269442E-2</v>
      </c>
      <c r="AF219" s="56">
        <f t="shared" si="44"/>
        <v>343358.12826895498</v>
      </c>
      <c r="AG219" s="56">
        <v>1451.4462225798923</v>
      </c>
      <c r="AH219" s="16">
        <f t="shared" si="38"/>
        <v>3.074952574622869E-2</v>
      </c>
      <c r="AI219" s="16">
        <f t="shared" si="39"/>
        <v>1.901182537626922E-2</v>
      </c>
      <c r="AJ219" s="56"/>
      <c r="AK219" s="56">
        <v>350103.07858390675</v>
      </c>
      <c r="AL219" s="56">
        <v>1479.9585304302464</v>
      </c>
      <c r="AM219" s="16">
        <f t="shared" si="35"/>
        <v>-1.9265612693934786E-2</v>
      </c>
      <c r="AN219" s="58">
        <f t="shared" si="35"/>
        <v>-1.9265612693934786E-2</v>
      </c>
      <c r="AP219" s="56">
        <f t="shared" si="45"/>
        <v>0</v>
      </c>
      <c r="AQ219" s="56">
        <f t="shared" si="40"/>
        <v>0</v>
      </c>
    </row>
    <row r="220" spans="1:43" x14ac:dyDescent="0.2">
      <c r="A220" s="156" t="s">
        <v>485</v>
      </c>
      <c r="B220" s="156" t="s">
        <v>486</v>
      </c>
      <c r="D220" s="68">
        <f>VLOOKUP(A220,'2016-17 disagg'!A220:BC428,43,FALSE)</f>
        <v>732092</v>
      </c>
      <c r="E220" s="73">
        <v>1497.6529180547241</v>
      </c>
      <c r="F220" s="55"/>
      <c r="G220" s="88">
        <v>754626.15171443683</v>
      </c>
      <c r="H220" s="81">
        <v>1534.9593023055854</v>
      </c>
      <c r="I220" s="90"/>
      <c r="J220" s="103">
        <f t="shared" si="41"/>
        <v>-2.9861344803968737E-2</v>
      </c>
      <c r="K220" s="126">
        <f t="shared" si="41"/>
        <v>-2.4304477776593392E-2</v>
      </c>
      <c r="L220" s="56">
        <v>749323</v>
      </c>
      <c r="M220" s="103">
        <v>1.6911386376158077E-2</v>
      </c>
      <c r="N220" s="97">
        <f>INDEX('Pace of change parameters'!$E$22:$I$22,1,$B$5)</f>
        <v>1.1119783131080974E-2</v>
      </c>
      <c r="O220" s="108">
        <f>MAX(IF(INDEX('Pace of change parameters'!$E$30:$I$30,1,$B$5)=1,(1+M220)*D220,D220),L220)</f>
        <v>749323</v>
      </c>
      <c r="P220" s="94">
        <f>IF(K220&lt;INDEX('Pace of change parameters'!$E$18:$I$18,1,$B$5),1,IF(K220&gt;INDEX('Pace of change parameters'!$E$19:$I$19,1,$B$5),0,(K220-INDEX('Pace of change parameters'!$E$19:$I$19,1,$B$5))/(INDEX('Pace of change parameters'!$E$18:$I$18,1,$B$5)-INDEX('Pace of change parameters'!$E$19:$I$19,1,$B$5))))</f>
        <v>0.74214515535979786</v>
      </c>
      <c r="Q220" s="57">
        <v>2.7271526060288265E-2</v>
      </c>
      <c r="R220" s="57">
        <v>2.1420918835692637E-2</v>
      </c>
      <c r="S220" s="9">
        <f>MAX(IF(INDEX('Pace of change parameters'!$E$31:$I$31,1,$B$5)=1,D220*(1+Q220),D220),L220)</f>
        <v>752057.26605652855</v>
      </c>
      <c r="T220" s="103">
        <f>IF(Q220&lt;INDEX('Pace of change parameters'!$E$24:$I$24,1,$B$5),INDEX('Pace of change parameters'!$E$24:$I$24,1,$B$5),Q220)</f>
        <v>2.7271526060288265E-2</v>
      </c>
      <c r="U220" s="132">
        <v>2.1420918835692637E-2</v>
      </c>
      <c r="V220" s="117">
        <f t="shared" si="42"/>
        <v>752057.26605652855</v>
      </c>
      <c r="W220" s="131">
        <f>IF(J220&gt;INDEX('Pace of change parameters'!$E$26:$I$26,1,$B$5),0,IF(J220&lt;INDEX('Pace of change parameters'!$E$25:$I$25,1,$B$5),1,(J220-INDEX('Pace of change parameters'!$E$26:$I$26,1,$B$5))/(INDEX('Pace of change parameters'!$E$25:$I$25,1,$B$5)-INDEX('Pace of change parameters'!$E$26:$I$26,1,$B$5))))</f>
        <v>1</v>
      </c>
      <c r="X220" s="132">
        <f>MIN(T220, T220+(INDEX('Pace of change parameters'!$E$27:$I$27,1,$B$5)-T220)*(1-W220))</f>
        <v>2.7271526060288265E-2</v>
      </c>
      <c r="Y220" s="132">
        <v>2.1420918835692637E-2</v>
      </c>
      <c r="Z220" s="108">
        <f t="shared" si="43"/>
        <v>752057.26605652855</v>
      </c>
      <c r="AA220" s="97">
        <f>MIN(VLOOKUP(A220,'2016-17 disagg'!$A$12:$BC$220,54,FALSE),MIN(0,VLOOKUP(A220,'2016-17 disagg'!$A$12:$BC$220,54,FALSE),-2.5%))</f>
        <v>-3.1183027045026845E-2</v>
      </c>
      <c r="AB220" s="99">
        <f t="shared" si="36"/>
        <v>750049.7291247847</v>
      </c>
      <c r="AC220" s="99">
        <f>MAX(IF(INDEX('Pace of change parameters'!$E$29:$I$29,1,$B$5)=1,MAX(AB220,Z220),Z220),L220)</f>
        <v>752057.26605652855</v>
      </c>
      <c r="AD220" s="97">
        <f t="shared" si="37"/>
        <v>2.7271526060288265E-2</v>
      </c>
      <c r="AE220" s="146">
        <v>2.1420918835692637E-2</v>
      </c>
      <c r="AF220" s="56">
        <f t="shared" si="44"/>
        <v>752057.26605652855</v>
      </c>
      <c r="AG220" s="56">
        <v>1529.7340196564126</v>
      </c>
      <c r="AH220" s="16">
        <f t="shared" si="38"/>
        <v>2.7271526060288265E-2</v>
      </c>
      <c r="AI220" s="16">
        <f t="shared" si="39"/>
        <v>2.1420918835692637E-2</v>
      </c>
      <c r="AJ220" s="56"/>
      <c r="AK220" s="56">
        <v>774191.35921728332</v>
      </c>
      <c r="AL220" s="56">
        <v>1574.7562231912507</v>
      </c>
      <c r="AM220" s="16">
        <f t="shared" si="35"/>
        <v>-2.8589951175808315E-2</v>
      </c>
      <c r="AN220" s="58">
        <f t="shared" si="35"/>
        <v>-2.8589951175808315E-2</v>
      </c>
      <c r="AP220" s="56">
        <f t="shared" si="45"/>
        <v>0</v>
      </c>
      <c r="AQ220" s="56">
        <f t="shared" si="40"/>
        <v>0</v>
      </c>
    </row>
    <row r="221" spans="1:43" x14ac:dyDescent="0.2">
      <c r="A221" s="156"/>
      <c r="B221" s="156"/>
      <c r="D221" s="68"/>
      <c r="E221" s="73"/>
      <c r="F221" s="55"/>
      <c r="G221" s="88"/>
      <c r="H221" s="81"/>
      <c r="I221" s="90"/>
      <c r="J221" s="103"/>
      <c r="K221" s="126"/>
      <c r="L221" s="56"/>
      <c r="M221" s="103"/>
      <c r="N221" s="97"/>
      <c r="O221" s="108"/>
      <c r="P221" s="94"/>
      <c r="Q221" s="57"/>
      <c r="R221" s="57"/>
      <c r="S221" s="9"/>
      <c r="T221" s="103"/>
      <c r="U221" s="132"/>
      <c r="V221" s="117"/>
      <c r="W221" s="131"/>
      <c r="X221" s="132"/>
      <c r="Y221" s="132"/>
      <c r="Z221" s="108"/>
      <c r="AA221" s="97"/>
      <c r="AB221" s="99"/>
      <c r="AC221" s="99"/>
      <c r="AD221" s="97"/>
      <c r="AE221" s="146"/>
      <c r="AF221" s="56"/>
      <c r="AG221" s="56"/>
      <c r="AH221" s="16"/>
      <c r="AI221" s="16"/>
      <c r="AJ221" s="56"/>
      <c r="AK221" s="56"/>
      <c r="AL221" s="56"/>
      <c r="AM221" s="16"/>
      <c r="AN221" s="58"/>
      <c r="AP221" s="16"/>
      <c r="AQ221" s="16"/>
    </row>
    <row r="222" spans="1:43" s="43" customFormat="1" x14ac:dyDescent="0.2">
      <c r="A222" s="2"/>
      <c r="B222" s="59" t="s">
        <v>12</v>
      </c>
      <c r="D222" s="23">
        <f>SUM(D12:D220)</f>
        <v>92393046</v>
      </c>
      <c r="E222" s="74">
        <v>1599.6618765604621</v>
      </c>
      <c r="F222" s="60"/>
      <c r="G222" s="89">
        <f>SUM(G12:G220)</f>
        <v>92393127.90849492</v>
      </c>
      <c r="H222" s="82">
        <v>1588.2278118776021</v>
      </c>
      <c r="I222" s="154"/>
      <c r="J222" s="104">
        <f>D222/G222-1</f>
        <v>-8.8652150620482928E-7</v>
      </c>
      <c r="K222" s="127">
        <f>E222/H222-1</f>
        <v>7.1992598274315256E-3</v>
      </c>
      <c r="L222" s="24">
        <f>SUM(L12:L220)</f>
        <v>94725326</v>
      </c>
      <c r="M222" s="104">
        <f>O222/D222 - 1</f>
        <v>2.541980574428937E-2</v>
      </c>
      <c r="N222" s="26">
        <f>'Pace of change parameters'!$E$22</f>
        <v>9.0547645222140982E-3</v>
      </c>
      <c r="O222" s="109">
        <f>SUM(O12:O220)</f>
        <v>94741659.281443194</v>
      </c>
      <c r="P222" s="26"/>
      <c r="Q222" s="26">
        <f>S222/D222 - 1</f>
        <v>2.6529776798209781E-2</v>
      </c>
      <c r="R222" s="26"/>
      <c r="S222" s="109">
        <f>SUM(S12:S220)</f>
        <v>94844212.888086736</v>
      </c>
      <c r="T222" s="104">
        <f>V222/D222-1</f>
        <v>2.6649225272138644E-2</v>
      </c>
      <c r="U222" s="26"/>
      <c r="V222" s="118">
        <f>SUM(V12:V220)</f>
        <v>94855249.096433058</v>
      </c>
      <c r="W222" s="104"/>
      <c r="X222" s="26">
        <f>Z222/D222-1</f>
        <v>2.6372146988571377E-2</v>
      </c>
      <c r="Y222" s="26"/>
      <c r="Z222" s="109">
        <f>SUM(Z12:Z220)</f>
        <v>94829648.989833847</v>
      </c>
      <c r="AA222" s="29"/>
      <c r="AB222" s="29">
        <f>SUM(AB12:AB220)</f>
        <v>92345213.823370785</v>
      </c>
      <c r="AC222" s="29">
        <f>SUM(AC12:AC220)</f>
        <v>94829648.989833847</v>
      </c>
      <c r="AD222" s="26">
        <f>AC222/D222-1</f>
        <v>2.6372146988571377E-2</v>
      </c>
      <c r="AE222" s="127"/>
      <c r="AF222" s="24">
        <f>SUM(AF12:AF220)</f>
        <v>94829648.989833847</v>
      </c>
      <c r="AG222" s="61">
        <v>1630.1113440537304</v>
      </c>
      <c r="AH222" s="25">
        <f>AF222/D222 - 1</f>
        <v>2.6372146988571377E-2</v>
      </c>
      <c r="AI222" s="25">
        <f>AG222/E222 - 1</f>
        <v>1.903493978286197E-2</v>
      </c>
      <c r="AJ222" s="21"/>
      <c r="AK222" s="24">
        <f>SUM(AK12:AK220)</f>
        <v>94829716.878834367</v>
      </c>
      <c r="AL222" s="61">
        <v>1630.1125110582595</v>
      </c>
      <c r="AM222" s="25">
        <f t="shared" ref="AM222:AN222" si="46">AF222/AK222-1</f>
        <v>-7.1590428352141799E-7</v>
      </c>
      <c r="AN222" s="62">
        <f t="shared" si="46"/>
        <v>-7.1590428341039569E-7</v>
      </c>
      <c r="AP222" s="28">
        <f>SUM(AP12:AP220)</f>
        <v>128</v>
      </c>
      <c r="AQ222" s="28">
        <f>SUM(AQ12:AQ220)</f>
        <v>0</v>
      </c>
    </row>
    <row r="223" spans="1:43" x14ac:dyDescent="0.2">
      <c r="D223" s="13"/>
      <c r="E223" s="69"/>
      <c r="G223" s="84"/>
      <c r="H223" s="77"/>
      <c r="J223" s="125"/>
      <c r="K223" s="116"/>
      <c r="L223" s="3"/>
      <c r="M223" s="125"/>
      <c r="N223" s="15"/>
      <c r="O223" s="107"/>
      <c r="P223" s="4"/>
      <c r="Q223" s="4"/>
      <c r="R223" s="4"/>
      <c r="S223" s="4"/>
      <c r="T223" s="125"/>
      <c r="U223" s="15"/>
      <c r="V223" s="116"/>
      <c r="W223" s="125"/>
      <c r="X223" s="15"/>
      <c r="Y223" s="15"/>
      <c r="Z223" s="107"/>
      <c r="AA223" s="15"/>
      <c r="AB223" s="15"/>
      <c r="AC223" s="15"/>
      <c r="AD223" s="15"/>
      <c r="AE223" s="116"/>
      <c r="AF223" s="3"/>
      <c r="AG223" s="3"/>
      <c r="AH223" s="3"/>
      <c r="AI223" s="3"/>
      <c r="AJ223" s="3"/>
      <c r="AK223" s="3"/>
      <c r="AL223" s="3"/>
      <c r="AM223" s="3"/>
      <c r="AN223" s="4"/>
      <c r="AP223" s="3"/>
      <c r="AQ223" s="3"/>
    </row>
    <row r="224" spans="1:43" x14ac:dyDescent="0.2">
      <c r="B224" s="43" t="s">
        <v>513</v>
      </c>
      <c r="D224" s="1"/>
      <c r="AP224" s="1"/>
      <c r="AQ224" s="1"/>
    </row>
    <row r="225" spans="2:43" x14ac:dyDescent="0.2">
      <c r="D225" s="1"/>
      <c r="AP225" s="1"/>
      <c r="AQ225" s="1"/>
    </row>
    <row r="226" spans="2:43" x14ac:dyDescent="0.2">
      <c r="B226" s="1" t="s">
        <v>514</v>
      </c>
      <c r="D226" s="55">
        <v>27628410</v>
      </c>
      <c r="E226" s="166">
        <v>1717.42887335718</v>
      </c>
      <c r="G226" s="55">
        <v>27079281.14723926</v>
      </c>
      <c r="H226" s="166">
        <v>1676.4123878643904</v>
      </c>
      <c r="J226" s="167">
        <f>D226/G226-1</f>
        <v>2.0278560932800893E-2</v>
      </c>
      <c r="K226" s="168">
        <f>E226/H226-1</f>
        <v>2.4466823193212806E-2</v>
      </c>
      <c r="L226" s="55">
        <v>28275233</v>
      </c>
      <c r="M226" s="167">
        <f>O226/$D226-1</f>
        <v>2.3524464108968912E-2</v>
      </c>
      <c r="N226" s="169">
        <f>N$222</f>
        <v>9.0547645222140982E-3</v>
      </c>
      <c r="O226" s="55">
        <v>28278353.53943288</v>
      </c>
      <c r="Q226" s="167">
        <f>S226/$D226-1</f>
        <v>2.3653445585914978E-2</v>
      </c>
      <c r="R226" s="170">
        <v>1.9468508605208656E-2</v>
      </c>
      <c r="S226" s="55">
        <v>28281917.092560351</v>
      </c>
      <c r="T226" s="167">
        <f>V226/$D226-1</f>
        <v>2.3882091106784076E-2</v>
      </c>
      <c r="U226" s="170">
        <v>1.9696219369202961E-2</v>
      </c>
      <c r="V226" s="55">
        <v>28288234.204755586</v>
      </c>
      <c r="X226" s="167">
        <f>Z226/$D226-1</f>
        <v>2.3604540989430545E-2</v>
      </c>
      <c r="Y226" s="170">
        <v>1.9419803942261504E-2</v>
      </c>
      <c r="Z226" s="55">
        <v>28280565.93631779</v>
      </c>
      <c r="AB226" s="55">
        <v>27079100.139736902</v>
      </c>
      <c r="AC226" s="55">
        <v>28280565.93631779</v>
      </c>
      <c r="AD226" s="167">
        <f>AC226/$D226-1</f>
        <v>2.3604540989430545E-2</v>
      </c>
      <c r="AE226" s="170">
        <v>1.9419803942261504E-2</v>
      </c>
      <c r="AF226" s="55">
        <v>28280565.93631779</v>
      </c>
      <c r="AG226" s="166">
        <v>1750.7810053625556</v>
      </c>
      <c r="AH226" s="171">
        <f t="shared" ref="AH226:AI229" si="47">AF226/D226 - 1</f>
        <v>2.3604540989430545E-2</v>
      </c>
      <c r="AI226" s="171">
        <f t="shared" si="47"/>
        <v>1.9419803942261504E-2</v>
      </c>
      <c r="AK226" s="55">
        <v>27785369.474305235</v>
      </c>
      <c r="AL226" s="166">
        <v>1720.124597652519</v>
      </c>
      <c r="AM226" s="171">
        <f>AF226/AK226-1</f>
        <v>1.7822201805539839E-2</v>
      </c>
      <c r="AN226" s="170">
        <f t="shared" ref="AN226:AN229" si="48">AG226/AL226-1</f>
        <v>1.7822201805540061E-2</v>
      </c>
      <c r="AP226" s="55">
        <v>59</v>
      </c>
      <c r="AQ226" s="55">
        <v>0</v>
      </c>
    </row>
    <row r="227" spans="2:43" x14ac:dyDescent="0.2">
      <c r="B227" s="1" t="s">
        <v>515</v>
      </c>
      <c r="D227" s="55">
        <v>26973330</v>
      </c>
      <c r="E227" s="166">
        <v>1546.0388416002741</v>
      </c>
      <c r="G227" s="55">
        <v>27431283.262550198</v>
      </c>
      <c r="H227" s="166">
        <v>1561.3007211526724</v>
      </c>
      <c r="J227" s="167">
        <f t="shared" ref="J227:K229" si="49">D227/G227-1</f>
        <v>-1.6694562123362511E-2</v>
      </c>
      <c r="K227" s="168">
        <f t="shared" si="49"/>
        <v>-9.7751056831196781E-3</v>
      </c>
      <c r="L227" s="55">
        <v>27643467</v>
      </c>
      <c r="M227" s="167">
        <f>O227/$D227-1</f>
        <v>2.4844429664413026E-2</v>
      </c>
      <c r="N227" s="169">
        <f t="shared" ref="N227:N229" si="50">N$222</f>
        <v>9.0547645222140982E-3</v>
      </c>
      <c r="O227" s="55">
        <v>27643467</v>
      </c>
      <c r="Q227" s="167">
        <f>S227/$D227-1</f>
        <v>2.7061134779651441E-2</v>
      </c>
      <c r="R227" s="170">
        <v>1.9884275437535237E-2</v>
      </c>
      <c r="S227" s="55">
        <v>27703258.918586016</v>
      </c>
      <c r="T227" s="167">
        <f>V227/$D227-1</f>
        <v>2.7117046896768082E-2</v>
      </c>
      <c r="U227" s="170">
        <v>1.9939796854053338E-2</v>
      </c>
      <c r="V227" s="55">
        <v>27704767.054572001</v>
      </c>
      <c r="X227" s="167">
        <f>Z227/$D227-1</f>
        <v>2.7061134779651441E-2</v>
      </c>
      <c r="Y227" s="170">
        <v>1.9884275437535237E-2</v>
      </c>
      <c r="Z227" s="55">
        <v>27703258.918586016</v>
      </c>
      <c r="AB227" s="55">
        <v>27382703.26131285</v>
      </c>
      <c r="AC227" s="55">
        <v>27703258.918586016</v>
      </c>
      <c r="AD227" s="167">
        <f>AC227/$D227-1</f>
        <v>2.7061134779651441E-2</v>
      </c>
      <c r="AE227" s="170">
        <v>1.9884275437535237E-2</v>
      </c>
      <c r="AF227" s="55">
        <v>27703258.918586016</v>
      </c>
      <c r="AG227" s="166">
        <v>1576.7807037637817</v>
      </c>
      <c r="AH227" s="171">
        <f t="shared" si="47"/>
        <v>2.7061134779651441E-2</v>
      </c>
      <c r="AI227" s="171">
        <f t="shared" si="47"/>
        <v>1.9884275437535237E-2</v>
      </c>
      <c r="AK227" s="55">
        <v>28153075.749172155</v>
      </c>
      <c r="AL227" s="166">
        <v>1602.382836017636</v>
      </c>
      <c r="AM227" s="171">
        <f t="shared" ref="AM227:AM229" si="51">AF227/AK227-1</f>
        <v>-1.5977537750892723E-2</v>
      </c>
      <c r="AN227" s="170">
        <f t="shared" si="48"/>
        <v>-1.5977537750892723E-2</v>
      </c>
      <c r="AP227" s="55">
        <v>25</v>
      </c>
      <c r="AQ227" s="55">
        <v>0</v>
      </c>
    </row>
    <row r="228" spans="2:43" x14ac:dyDescent="0.2">
      <c r="B228" s="1" t="s">
        <v>516</v>
      </c>
      <c r="D228" s="55">
        <v>15107237</v>
      </c>
      <c r="E228" s="166">
        <v>1590.7033423380769</v>
      </c>
      <c r="G228" s="55">
        <v>15050508.224670878</v>
      </c>
      <c r="H228" s="166">
        <v>1564.937347057258</v>
      </c>
      <c r="J228" s="167">
        <f t="shared" si="49"/>
        <v>3.7692265591491303E-3</v>
      </c>
      <c r="K228" s="168">
        <f t="shared" si="49"/>
        <v>1.6464553887265865E-2</v>
      </c>
      <c r="L228" s="55">
        <v>15562601</v>
      </c>
      <c r="M228" s="167">
        <f>O228/$D228-1</f>
        <v>3.0902182177436011E-2</v>
      </c>
      <c r="N228" s="169">
        <f t="shared" si="50"/>
        <v>9.0547645222140982E-3</v>
      </c>
      <c r="O228" s="55">
        <v>15574083.589971701</v>
      </c>
      <c r="Q228" s="167">
        <f>S228/$D228-1</f>
        <v>3.159240744879499E-2</v>
      </c>
      <c r="R228" s="170">
        <v>1.8708137917036405E-2</v>
      </c>
      <c r="S228" s="55">
        <v>15584510.98672951</v>
      </c>
      <c r="T228" s="167">
        <f>V228/$D228-1</f>
        <v>3.172880922322463E-2</v>
      </c>
      <c r="U228" s="170">
        <v>1.8842836075567249E-2</v>
      </c>
      <c r="V228" s="55">
        <v>15586571.640663039</v>
      </c>
      <c r="X228" s="167">
        <f>Z228/$D228-1</f>
        <v>3.0832335307760639E-2</v>
      </c>
      <c r="Y228" s="170">
        <v>1.7957558841536381E-2</v>
      </c>
      <c r="Z228" s="55">
        <v>15573028.396757809</v>
      </c>
      <c r="AB228" s="55">
        <v>15058512.555669054</v>
      </c>
      <c r="AC228" s="55">
        <v>15573028.396757809</v>
      </c>
      <c r="AD228" s="167">
        <f>AC228/$D228-1</f>
        <v>3.0832335307760639E-2</v>
      </c>
      <c r="AE228" s="170">
        <v>1.7957558841536381E-2</v>
      </c>
      <c r="AF228" s="55">
        <v>15573028.396757809</v>
      </c>
      <c r="AG228" s="166">
        <v>1619.2684912075417</v>
      </c>
      <c r="AH228" s="171">
        <f t="shared" si="47"/>
        <v>3.0832335307760639E-2</v>
      </c>
      <c r="AI228" s="171">
        <f t="shared" si="47"/>
        <v>1.7957558841536603E-2</v>
      </c>
      <c r="AK228" s="55">
        <v>15460643.528011449</v>
      </c>
      <c r="AL228" s="166">
        <v>1607.5828208155604</v>
      </c>
      <c r="AM228" s="171">
        <f t="shared" si="51"/>
        <v>7.2690938474031519E-3</v>
      </c>
      <c r="AN228" s="170">
        <f t="shared" si="48"/>
        <v>7.2690938474031519E-3</v>
      </c>
      <c r="AP228" s="55">
        <v>22</v>
      </c>
      <c r="AQ228" s="55">
        <v>0</v>
      </c>
    </row>
    <row r="229" spans="2:43" x14ac:dyDescent="0.2">
      <c r="B229" s="1" t="s">
        <v>517</v>
      </c>
      <c r="D229" s="55">
        <v>22684069</v>
      </c>
      <c r="E229" s="166">
        <v>1540.3213348799313</v>
      </c>
      <c r="G229" s="55">
        <v>22832055.274034612</v>
      </c>
      <c r="H229" s="166">
        <v>1539.1932512461221</v>
      </c>
      <c r="J229" s="167">
        <f t="shared" si="49"/>
        <v>-6.4815134799934837E-3</v>
      </c>
      <c r="K229" s="168">
        <f t="shared" si="49"/>
        <v>7.329057822309526E-4</v>
      </c>
      <c r="L229" s="55">
        <v>23244025</v>
      </c>
      <c r="M229" s="167">
        <f>O229/$D229-1</f>
        <v>2.4761260955370012E-2</v>
      </c>
      <c r="N229" s="169">
        <f t="shared" si="50"/>
        <v>9.0547645222140982E-3</v>
      </c>
      <c r="O229" s="55">
        <v>23245755.152038619</v>
      </c>
      <c r="Q229" s="167">
        <f>S229/$D229-1</f>
        <v>2.6029584472293532E-2</v>
      </c>
      <c r="R229" s="170">
        <v>1.8632798022024E-2</v>
      </c>
      <c r="S229" s="55">
        <v>23274525.890210837</v>
      </c>
      <c r="T229" s="167">
        <f>V229/$D229-1</f>
        <v>2.60802943441234E-2</v>
      </c>
      <c r="U229" s="170">
        <v>1.8683142319509294E-2</v>
      </c>
      <c r="V229" s="55">
        <v>23275676.196442407</v>
      </c>
      <c r="X229" s="167">
        <f>Z229/$D229-1</f>
        <v>2.5953312792877492E-2</v>
      </c>
      <c r="Y229" s="170">
        <v>1.855707619549074E-2</v>
      </c>
      <c r="Z229" s="55">
        <v>23272795.738172218</v>
      </c>
      <c r="AB229" s="55">
        <v>22824897.86665196</v>
      </c>
      <c r="AC229" s="55">
        <v>23272795.738172218</v>
      </c>
      <c r="AD229" s="167">
        <f>AC229/$D229-1</f>
        <v>2.5953312792877492E-2</v>
      </c>
      <c r="AE229" s="170">
        <v>1.855707619549074E-2</v>
      </c>
      <c r="AF229" s="55">
        <v>23272795.738172218</v>
      </c>
      <c r="AG229" s="166">
        <v>1568.9051952568382</v>
      </c>
      <c r="AH229" s="171">
        <f t="shared" si="47"/>
        <v>2.5953312792877492E-2</v>
      </c>
      <c r="AI229" s="171">
        <f t="shared" si="47"/>
        <v>1.855707619549074E-2</v>
      </c>
      <c r="AK229" s="55">
        <v>23430628.12734554</v>
      </c>
      <c r="AL229" s="166">
        <v>1579.5452600835865</v>
      </c>
      <c r="AM229" s="171">
        <f t="shared" si="51"/>
        <v>-6.7361569786137387E-3</v>
      </c>
      <c r="AN229" s="170">
        <f t="shared" si="48"/>
        <v>-6.7361569786137387E-3</v>
      </c>
      <c r="AP229" s="55">
        <v>22</v>
      </c>
      <c r="AQ229" s="55">
        <v>0</v>
      </c>
    </row>
    <row r="230" spans="2:43" ht="15" x14ac:dyDescent="0.25">
      <c r="B230"/>
      <c r="D230" s="1"/>
      <c r="G230" s="1"/>
      <c r="L230" s="1"/>
      <c r="O230" s="1"/>
      <c r="Q230" s="53"/>
      <c r="S230" s="1"/>
      <c r="U230" s="52"/>
      <c r="V230" s="1"/>
      <c r="X230" s="53"/>
      <c r="Y230" s="52"/>
      <c r="Z230" s="1"/>
      <c r="AB230" s="1"/>
      <c r="AC230" s="1"/>
      <c r="AD230" s="53"/>
      <c r="AE230" s="52"/>
      <c r="AF230" s="1"/>
      <c r="AG230" s="75"/>
      <c r="AK230" s="1"/>
      <c r="AL230" s="75"/>
      <c r="AP230" s="1"/>
      <c r="AQ230" s="1"/>
    </row>
    <row r="231" spans="2:43" x14ac:dyDescent="0.2">
      <c r="B231" s="1" t="s">
        <v>12</v>
      </c>
      <c r="D231" s="172">
        <f>SUM(D226:D229)</f>
        <v>92393046</v>
      </c>
      <c r="E231" s="173">
        <v>1599.6618765604621</v>
      </c>
      <c r="G231" s="172">
        <f>SUM(G226:G229)</f>
        <v>92393127.908494949</v>
      </c>
      <c r="H231" s="173">
        <v>1588.2278118776026</v>
      </c>
      <c r="J231" s="167">
        <f>D231/G231-1</f>
        <v>-8.8652150653789619E-7</v>
      </c>
      <c r="K231" s="168">
        <f>E231/H231-1</f>
        <v>7.1992598274313035E-3</v>
      </c>
      <c r="L231" s="172">
        <f>SUM(L226:L229)</f>
        <v>94725326</v>
      </c>
      <c r="M231" s="167">
        <f>O231/$D231-1</f>
        <v>2.5419805744289592E-2</v>
      </c>
      <c r="N231" s="169">
        <f>N$222</f>
        <v>9.0547645222140982E-3</v>
      </c>
      <c r="O231" s="172">
        <f>SUM(O226:O229)</f>
        <v>94741659.281443208</v>
      </c>
      <c r="Q231" s="167">
        <f>S231/$D231-1</f>
        <v>2.6529776798209559E-2</v>
      </c>
      <c r="R231" s="170">
        <v>1.919144274725304E-2</v>
      </c>
      <c r="S231" s="172">
        <f>SUM(S226:S229)</f>
        <v>94844212.888086706</v>
      </c>
      <c r="T231" s="167">
        <f>V231/$D231-1</f>
        <v>2.6649225272138422E-2</v>
      </c>
      <c r="U231" s="170">
        <v>1.9310037322129769E-2</v>
      </c>
      <c r="V231" s="172">
        <f>SUM(V226:V229)</f>
        <v>94855249.096433043</v>
      </c>
      <c r="X231" s="167">
        <f>Z231/$D231-1</f>
        <v>2.6372146988571377E-2</v>
      </c>
      <c r="Y231" s="170">
        <v>1.9034939782861526E-2</v>
      </c>
      <c r="Z231" s="172">
        <f>SUM(Z226:Z229)</f>
        <v>94829648.989833832</v>
      </c>
      <c r="AB231" s="172">
        <f>SUM(AB226:AB229)</f>
        <v>92345213.823370755</v>
      </c>
      <c r="AC231" s="172">
        <f>SUM(AC226:AC229)</f>
        <v>94829648.989833832</v>
      </c>
      <c r="AD231" s="167">
        <f>AC231/$D231-1</f>
        <v>2.6372146988571377E-2</v>
      </c>
      <c r="AE231" s="170">
        <v>1.9034939782861526E-2</v>
      </c>
      <c r="AF231" s="172">
        <f>SUM(AF226:AF229)</f>
        <v>94829648.989833832</v>
      </c>
      <c r="AG231" s="166">
        <v>1630.1113440537299</v>
      </c>
      <c r="AH231" s="171">
        <f>AF231/D231 - 1</f>
        <v>2.6372146988571377E-2</v>
      </c>
      <c r="AI231" s="171">
        <f>AG231/E231 - 1</f>
        <v>1.9034939782861526E-2</v>
      </c>
      <c r="AK231" s="172">
        <f>SUM(AK226:AK229)</f>
        <v>94829716.878834367</v>
      </c>
      <c r="AL231" s="173">
        <v>1630.1125110582595</v>
      </c>
      <c r="AM231" s="171">
        <f>AF231/AK231-1</f>
        <v>-7.159042837434626E-7</v>
      </c>
      <c r="AN231" s="170">
        <f t="shared" ref="AN231" si="52">AG231/AL231-1</f>
        <v>-7.159042837434626E-7</v>
      </c>
      <c r="AP231" s="172">
        <f>SUM(AP226:AP229)</f>
        <v>128</v>
      </c>
      <c r="AQ231" s="172">
        <f>SUM(AQ226:AQ229)</f>
        <v>0</v>
      </c>
    </row>
    <row r="232" spans="2:43" ht="15" x14ac:dyDescent="0.25">
      <c r="B232"/>
      <c r="D232" s="1"/>
      <c r="G232" s="1"/>
      <c r="L232" s="1"/>
      <c r="O232" s="1"/>
      <c r="Q232" s="53"/>
      <c r="S232" s="1"/>
      <c r="U232" s="52"/>
      <c r="V232" s="1"/>
      <c r="X232" s="53"/>
      <c r="Y232" s="52"/>
      <c r="Z232" s="1"/>
      <c r="AB232" s="1"/>
      <c r="AC232" s="1"/>
      <c r="AD232" s="53"/>
      <c r="AE232" s="52"/>
      <c r="AF232" s="1"/>
      <c r="AG232" s="75"/>
      <c r="AK232" s="1"/>
      <c r="AL232" s="75"/>
      <c r="AP232" s="1"/>
      <c r="AQ232" s="1"/>
    </row>
    <row r="233" spans="2:43" x14ac:dyDescent="0.2">
      <c r="B233" s="43" t="s">
        <v>518</v>
      </c>
      <c r="D233" s="1"/>
      <c r="G233" s="1"/>
      <c r="L233" s="1"/>
      <c r="O233" s="1"/>
      <c r="Q233" s="53"/>
      <c r="S233" s="1"/>
      <c r="U233" s="52"/>
      <c r="V233" s="1"/>
      <c r="X233" s="53"/>
      <c r="Y233" s="52"/>
      <c r="Z233" s="1"/>
      <c r="AB233" s="1"/>
      <c r="AC233" s="1"/>
      <c r="AD233" s="53"/>
      <c r="AE233" s="52"/>
      <c r="AF233" s="1"/>
      <c r="AG233" s="75"/>
      <c r="AK233" s="1"/>
      <c r="AL233" s="75"/>
      <c r="AP233" s="1"/>
      <c r="AQ233" s="1"/>
    </row>
    <row r="234" spans="2:43" x14ac:dyDescent="0.2">
      <c r="D234" s="1"/>
      <c r="G234" s="1"/>
      <c r="L234" s="1"/>
      <c r="O234" s="1"/>
      <c r="Q234" s="53"/>
      <c r="S234" s="1"/>
      <c r="U234" s="52"/>
      <c r="V234" s="1"/>
      <c r="X234" s="53"/>
      <c r="Y234" s="52"/>
      <c r="Z234" s="1"/>
      <c r="AB234" s="1"/>
      <c r="AC234" s="1"/>
      <c r="AD234" s="53"/>
      <c r="AE234" s="52"/>
      <c r="AF234" s="1"/>
      <c r="AG234" s="75"/>
      <c r="AK234" s="1"/>
      <c r="AL234" s="75"/>
      <c r="AP234" s="1"/>
      <c r="AQ234" s="1"/>
    </row>
    <row r="235" spans="2:43" x14ac:dyDescent="0.2">
      <c r="B235" s="1" t="s">
        <v>519</v>
      </c>
      <c r="D235" s="55">
        <v>2211173</v>
      </c>
      <c r="E235" s="166">
        <v>1782.2044999468217</v>
      </c>
      <c r="G235" s="55">
        <v>2164942.7430893225</v>
      </c>
      <c r="H235" s="166">
        <v>1738.9176957202312</v>
      </c>
      <c r="J235" s="167">
        <f t="shared" ref="J235:K259" si="53">D235/G235-1</f>
        <v>2.1354032136992274E-2</v>
      </c>
      <c r="K235" s="168">
        <f t="shared" si="53"/>
        <v>2.4892957460336707E-2</v>
      </c>
      <c r="L235" s="55">
        <v>2261689</v>
      </c>
      <c r="M235" s="167">
        <f t="shared" ref="M235:M259" si="54">O235/$D235-1</f>
        <v>2.2845792708214185E-2</v>
      </c>
      <c r="N235" s="169">
        <f t="shared" ref="N235:N259" si="55">N$222</f>
        <v>9.0547645222140982E-3</v>
      </c>
      <c r="O235" s="55">
        <v>2261689</v>
      </c>
      <c r="Q235" s="167">
        <f t="shared" ref="Q235:Q259" si="56">S235/$D235-1</f>
        <v>2.2845792708214185E-2</v>
      </c>
      <c r="R235" s="170">
        <v>1.9313936184718106E-2</v>
      </c>
      <c r="S235" s="55">
        <v>2261689</v>
      </c>
      <c r="T235" s="167">
        <f t="shared" ref="T235:T259" si="57">V235/$D235-1</f>
        <v>2.2845792708214185E-2</v>
      </c>
      <c r="U235" s="170">
        <v>1.9313936184718106E-2</v>
      </c>
      <c r="V235" s="55">
        <v>2261689</v>
      </c>
      <c r="X235" s="167">
        <f t="shared" ref="X235:X259" si="58">Z235/$D235-1</f>
        <v>2.2845792708214185E-2</v>
      </c>
      <c r="Y235" s="170">
        <v>1.9313936184718106E-2</v>
      </c>
      <c r="Z235" s="55">
        <v>2261689</v>
      </c>
      <c r="AB235" s="55">
        <v>2165342.9419443365</v>
      </c>
      <c r="AC235" s="55">
        <v>2261689</v>
      </c>
      <c r="AD235" s="167">
        <f t="shared" ref="AD235:AD259" si="59">AC235/$D235-1</f>
        <v>2.2845792708214185E-2</v>
      </c>
      <c r="AE235" s="170">
        <v>1.9313936184718106E-2</v>
      </c>
      <c r="AF235" s="55">
        <v>2261689</v>
      </c>
      <c r="AG235" s="166">
        <v>1816.6258839269119</v>
      </c>
      <c r="AH235" s="171">
        <f t="shared" ref="AH235:AI259" si="60">AF235/D235 - 1</f>
        <v>2.2845792708214185E-2</v>
      </c>
      <c r="AI235" s="171">
        <f t="shared" si="60"/>
        <v>1.9313936184718106E-2</v>
      </c>
      <c r="AK235" s="55">
        <v>2220864.5558403451</v>
      </c>
      <c r="AL235" s="166">
        <v>1783.8350174738505</v>
      </c>
      <c r="AM235" s="171">
        <f t="shared" ref="AM235:AN259" si="61">AF235/AK235-1</f>
        <v>1.838223049320864E-2</v>
      </c>
      <c r="AN235" s="170">
        <f t="shared" si="61"/>
        <v>1.8382230493208862E-2</v>
      </c>
      <c r="AP235" s="55">
        <v>5</v>
      </c>
      <c r="AQ235" s="55">
        <v>0</v>
      </c>
    </row>
    <row r="236" spans="2:43" x14ac:dyDescent="0.2">
      <c r="B236" s="1" t="s">
        <v>520</v>
      </c>
      <c r="D236" s="55">
        <v>3616803</v>
      </c>
      <c r="E236" s="166">
        <v>1796.0919448431775</v>
      </c>
      <c r="G236" s="55">
        <v>3460188.4427335076</v>
      </c>
      <c r="H236" s="166">
        <v>1714.8405217035295</v>
      </c>
      <c r="J236" s="167">
        <f t="shared" si="53"/>
        <v>4.5261857802972427E-2</v>
      </c>
      <c r="K236" s="168">
        <f t="shared" si="53"/>
        <v>4.7381329115626869E-2</v>
      </c>
      <c r="L236" s="55">
        <v>3688712</v>
      </c>
      <c r="M236" s="167">
        <f t="shared" si="54"/>
        <v>2.0643545471382252E-2</v>
      </c>
      <c r="N236" s="169">
        <f t="shared" si="55"/>
        <v>9.0547645222140982E-3</v>
      </c>
      <c r="O236" s="55">
        <v>3691466.6371915317</v>
      </c>
      <c r="Q236" s="167">
        <f t="shared" si="56"/>
        <v>2.0643545471382252E-2</v>
      </c>
      <c r="R236" s="170">
        <v>1.8578180494044805E-2</v>
      </c>
      <c r="S236" s="55">
        <v>3691466.6371915317</v>
      </c>
      <c r="T236" s="167">
        <f t="shared" si="57"/>
        <v>2.2141379371524383E-2</v>
      </c>
      <c r="U236" s="170">
        <v>2.0072983391156596E-2</v>
      </c>
      <c r="V236" s="55">
        <v>3696884.0073350677</v>
      </c>
      <c r="X236" s="167">
        <f t="shared" si="58"/>
        <v>2.0131675860400655E-2</v>
      </c>
      <c r="Y236" s="170">
        <v>1.8067346697743236E-2</v>
      </c>
      <c r="Z236" s="55">
        <v>3689615.3056469243</v>
      </c>
      <c r="AB236" s="55">
        <v>3461034.0589381093</v>
      </c>
      <c r="AC236" s="55">
        <v>3689615.3056469243</v>
      </c>
      <c r="AD236" s="167">
        <f t="shared" si="59"/>
        <v>2.0131675860400655E-2</v>
      </c>
      <c r="AE236" s="170">
        <v>1.8067346697743236E-2</v>
      </c>
      <c r="AF236" s="55">
        <v>3689615.3056469243</v>
      </c>
      <c r="AG236" s="166">
        <v>1828.5425607116831</v>
      </c>
      <c r="AH236" s="171">
        <f t="shared" si="60"/>
        <v>2.0131675860400655E-2</v>
      </c>
      <c r="AI236" s="171">
        <f t="shared" si="60"/>
        <v>1.8067346697743236E-2</v>
      </c>
      <c r="AK236" s="55">
        <v>3549778.5219878051</v>
      </c>
      <c r="AL236" s="166">
        <v>1759.240617475924</v>
      </c>
      <c r="AM236" s="171">
        <f t="shared" si="61"/>
        <v>3.9393100947834103E-2</v>
      </c>
      <c r="AN236" s="170">
        <f t="shared" si="61"/>
        <v>3.9393100947834103E-2</v>
      </c>
      <c r="AP236" s="55">
        <v>5</v>
      </c>
      <c r="AQ236" s="55">
        <v>0</v>
      </c>
    </row>
    <row r="237" spans="2:43" x14ac:dyDescent="0.2">
      <c r="B237" s="1" t="s">
        <v>55</v>
      </c>
      <c r="D237" s="55">
        <v>2660986</v>
      </c>
      <c r="E237" s="166">
        <v>1737.3103998472691</v>
      </c>
      <c r="G237" s="55">
        <v>2629309.720856159</v>
      </c>
      <c r="H237" s="166">
        <v>1712.4729687772135</v>
      </c>
      <c r="J237" s="167">
        <f t="shared" si="53"/>
        <v>1.2047374598959992E-2</v>
      </c>
      <c r="K237" s="168">
        <f t="shared" si="53"/>
        <v>1.4503838322067475E-2</v>
      </c>
      <c r="L237" s="55">
        <v>2725897</v>
      </c>
      <c r="M237" s="167">
        <f t="shared" si="54"/>
        <v>2.43935894439129E-2</v>
      </c>
      <c r="N237" s="169">
        <f t="shared" si="55"/>
        <v>9.0547645222140982E-3</v>
      </c>
      <c r="O237" s="55">
        <v>2725897</v>
      </c>
      <c r="Q237" s="167">
        <f t="shared" si="56"/>
        <v>2.43935894439129E-2</v>
      </c>
      <c r="R237" s="170">
        <v>2.1913179222089685E-2</v>
      </c>
      <c r="S237" s="55">
        <v>2725897</v>
      </c>
      <c r="T237" s="167">
        <f t="shared" si="57"/>
        <v>2.43935894439129E-2</v>
      </c>
      <c r="U237" s="170">
        <v>2.1913179222089685E-2</v>
      </c>
      <c r="V237" s="55">
        <v>2725897</v>
      </c>
      <c r="X237" s="167">
        <f t="shared" si="58"/>
        <v>2.43935894439129E-2</v>
      </c>
      <c r="Y237" s="170">
        <v>2.1913179222089685E-2</v>
      </c>
      <c r="Z237" s="55">
        <v>2725897</v>
      </c>
      <c r="AB237" s="55">
        <v>2629105.8791973353</v>
      </c>
      <c r="AC237" s="55">
        <v>2725897</v>
      </c>
      <c r="AD237" s="167">
        <f t="shared" si="59"/>
        <v>2.43935894439129E-2</v>
      </c>
      <c r="AE237" s="170">
        <v>2.1913179222089685E-2</v>
      </c>
      <c r="AF237" s="55">
        <v>2725897</v>
      </c>
      <c r="AG237" s="166">
        <v>1775.3803940035225</v>
      </c>
      <c r="AH237" s="171">
        <f t="shared" si="60"/>
        <v>2.43935894439129E-2</v>
      </c>
      <c r="AI237" s="171">
        <f t="shared" si="60"/>
        <v>2.1913179222089685E-2</v>
      </c>
      <c r="AK237" s="55">
        <v>2698102.9064335399</v>
      </c>
      <c r="AL237" s="166">
        <v>1757.2780633626389</v>
      </c>
      <c r="AM237" s="171">
        <f t="shared" si="61"/>
        <v>1.0301346735213768E-2</v>
      </c>
      <c r="AN237" s="170">
        <f t="shared" si="61"/>
        <v>1.0301346735213768E-2</v>
      </c>
      <c r="AP237" s="55">
        <v>8</v>
      </c>
      <c r="AQ237" s="55">
        <v>0</v>
      </c>
    </row>
    <row r="238" spans="2:43" x14ac:dyDescent="0.2">
      <c r="B238" s="1" t="s">
        <v>521</v>
      </c>
      <c r="D238" s="55">
        <v>5152660</v>
      </c>
      <c r="E238" s="166">
        <v>1736.6543897550853</v>
      </c>
      <c r="G238" s="55">
        <v>5197154.0560640097</v>
      </c>
      <c r="H238" s="166">
        <v>1741.1411378025364</v>
      </c>
      <c r="J238" s="167">
        <f t="shared" si="53"/>
        <v>-8.5612347804264743E-3</v>
      </c>
      <c r="K238" s="168">
        <f t="shared" si="53"/>
        <v>-2.5769008324699749E-3</v>
      </c>
      <c r="L238" s="55">
        <v>5290255</v>
      </c>
      <c r="M238" s="167">
        <f t="shared" si="54"/>
        <v>2.6703683146180879E-2</v>
      </c>
      <c r="N238" s="169">
        <f t="shared" si="55"/>
        <v>9.0547645222140982E-3</v>
      </c>
      <c r="O238" s="55">
        <v>5290255</v>
      </c>
      <c r="Q238" s="167">
        <f t="shared" si="56"/>
        <v>2.6979666972526406E-2</v>
      </c>
      <c r="R238" s="170">
        <v>2.0817999682031463E-2</v>
      </c>
      <c r="S238" s="55">
        <v>5291677.0508226585</v>
      </c>
      <c r="T238" s="167">
        <f t="shared" si="57"/>
        <v>2.6979666972526406E-2</v>
      </c>
      <c r="U238" s="170">
        <v>2.0817999682031463E-2</v>
      </c>
      <c r="V238" s="55">
        <v>5291677.0508226585</v>
      </c>
      <c r="X238" s="167">
        <f t="shared" si="58"/>
        <v>2.6979666972526406E-2</v>
      </c>
      <c r="Y238" s="170">
        <v>2.0817999682031463E-2</v>
      </c>
      <c r="Z238" s="55">
        <v>5291677.0508226585</v>
      </c>
      <c r="AB238" s="55">
        <v>5194025.4057074096</v>
      </c>
      <c r="AC238" s="55">
        <v>5291677.0508226585</v>
      </c>
      <c r="AD238" s="167">
        <f t="shared" si="59"/>
        <v>2.6979666972526406E-2</v>
      </c>
      <c r="AE238" s="170">
        <v>2.0817999682031463E-2</v>
      </c>
      <c r="AF238" s="55">
        <v>5291677.0508226585</v>
      </c>
      <c r="AG238" s="166">
        <v>1772.8080602888053</v>
      </c>
      <c r="AH238" s="171">
        <f t="shared" si="60"/>
        <v>2.6979666972526406E-2</v>
      </c>
      <c r="AI238" s="171">
        <f t="shared" si="60"/>
        <v>2.0817999682031463E-2</v>
      </c>
      <c r="AK238" s="55">
        <v>5334907.7933731051</v>
      </c>
      <c r="AL238" s="166">
        <v>1787.291145350428</v>
      </c>
      <c r="AM238" s="171">
        <f t="shared" si="61"/>
        <v>-8.1033720215646365E-3</v>
      </c>
      <c r="AN238" s="170">
        <f t="shared" si="61"/>
        <v>-8.1033720215645255E-3</v>
      </c>
      <c r="AP238" s="55">
        <v>10</v>
      </c>
      <c r="AQ238" s="55">
        <v>0</v>
      </c>
    </row>
    <row r="239" spans="2:43" x14ac:dyDescent="0.2">
      <c r="B239" s="1" t="s">
        <v>522</v>
      </c>
      <c r="D239" s="55">
        <v>2160711</v>
      </c>
      <c r="E239" s="166">
        <v>1658.2266391472706</v>
      </c>
      <c r="G239" s="55">
        <v>2176377.499965542</v>
      </c>
      <c r="H239" s="166">
        <v>1664.2012750674187</v>
      </c>
      <c r="J239" s="167">
        <f t="shared" si="53"/>
        <v>-7.1984294846780816E-3</v>
      </c>
      <c r="K239" s="168">
        <f t="shared" si="53"/>
        <v>-3.5900921418930976E-3</v>
      </c>
      <c r="L239" s="55">
        <v>2211393</v>
      </c>
      <c r="M239" s="167">
        <f t="shared" si="54"/>
        <v>2.3456167900288483E-2</v>
      </c>
      <c r="N239" s="169">
        <f t="shared" si="55"/>
        <v>9.0547645222140982E-3</v>
      </c>
      <c r="O239" s="55">
        <v>2211393</v>
      </c>
      <c r="Q239" s="167">
        <f t="shared" si="56"/>
        <v>2.3820626424411406E-2</v>
      </c>
      <c r="R239" s="170">
        <v>2.011302559717576E-2</v>
      </c>
      <c r="S239" s="55">
        <v>2212180.4895421164</v>
      </c>
      <c r="T239" s="167">
        <f t="shared" si="57"/>
        <v>2.3820626424411406E-2</v>
      </c>
      <c r="U239" s="170">
        <v>2.011302559717576E-2</v>
      </c>
      <c r="V239" s="55">
        <v>2212180.4895421164</v>
      </c>
      <c r="X239" s="167">
        <f t="shared" si="58"/>
        <v>2.3820626424411406E-2</v>
      </c>
      <c r="Y239" s="170">
        <v>2.011302559717576E-2</v>
      </c>
      <c r="Z239" s="55">
        <v>2212180.4895421164</v>
      </c>
      <c r="AB239" s="55">
        <v>2176634.8525687023</v>
      </c>
      <c r="AC239" s="55">
        <v>2212180.4895421164</v>
      </c>
      <c r="AD239" s="167">
        <f t="shared" si="59"/>
        <v>2.3820626424411406E-2</v>
      </c>
      <c r="AE239" s="170">
        <v>2.011302559717576E-2</v>
      </c>
      <c r="AF239" s="55">
        <v>2212180.4895421164</v>
      </c>
      <c r="AG239" s="166">
        <v>1691.5785939863583</v>
      </c>
      <c r="AH239" s="171">
        <f t="shared" si="60"/>
        <v>2.3820626424411406E-2</v>
      </c>
      <c r="AI239" s="171">
        <f t="shared" si="60"/>
        <v>2.011302559717576E-2</v>
      </c>
      <c r="AK239" s="55">
        <v>2232446.0026345663</v>
      </c>
      <c r="AL239" s="166">
        <v>1707.074937212147</v>
      </c>
      <c r="AM239" s="171">
        <f t="shared" si="61"/>
        <v>-9.0777170281091113E-3</v>
      </c>
      <c r="AN239" s="170">
        <f t="shared" si="61"/>
        <v>-9.0777170281088893E-3</v>
      </c>
      <c r="AP239" s="55">
        <v>5</v>
      </c>
      <c r="AQ239" s="55">
        <v>0</v>
      </c>
    </row>
    <row r="240" spans="2:43" x14ac:dyDescent="0.2">
      <c r="B240" s="1" t="s">
        <v>523</v>
      </c>
      <c r="D240" s="55">
        <v>2466882</v>
      </c>
      <c r="E240" s="166">
        <v>1934.1540953772455</v>
      </c>
      <c r="G240" s="55">
        <v>2367625.8996323776</v>
      </c>
      <c r="H240" s="166">
        <v>1852.6811474272981</v>
      </c>
      <c r="J240" s="167">
        <f t="shared" si="53"/>
        <v>4.1922205861590678E-2</v>
      </c>
      <c r="K240" s="168">
        <f t="shared" si="53"/>
        <v>4.3975698712692024E-2</v>
      </c>
      <c r="L240" s="55">
        <v>2525195</v>
      </c>
      <c r="M240" s="167">
        <f t="shared" si="54"/>
        <v>2.3638341842050048E-2</v>
      </c>
      <c r="N240" s="169">
        <f t="shared" si="55"/>
        <v>9.0547645222140982E-3</v>
      </c>
      <c r="O240" s="55">
        <v>2525195</v>
      </c>
      <c r="Q240" s="167">
        <f t="shared" si="56"/>
        <v>2.3638341842050048E-2</v>
      </c>
      <c r="R240" s="170">
        <v>2.1624852428764108E-2</v>
      </c>
      <c r="S240" s="55">
        <v>2525195</v>
      </c>
      <c r="T240" s="167">
        <f t="shared" si="57"/>
        <v>2.3638341842050048E-2</v>
      </c>
      <c r="U240" s="170">
        <v>2.1624852428764108E-2</v>
      </c>
      <c r="V240" s="55">
        <v>2525195</v>
      </c>
      <c r="X240" s="167">
        <f t="shared" si="58"/>
        <v>2.3638341842050048E-2</v>
      </c>
      <c r="Y240" s="170">
        <v>2.1624852428764108E-2</v>
      </c>
      <c r="Z240" s="55">
        <v>2525195</v>
      </c>
      <c r="AB240" s="55">
        <v>2368614.4148651357</v>
      </c>
      <c r="AC240" s="55">
        <v>2525195</v>
      </c>
      <c r="AD240" s="167">
        <f t="shared" si="59"/>
        <v>2.3638341842050048E-2</v>
      </c>
      <c r="AE240" s="170">
        <v>2.1624852428764108E-2</v>
      </c>
      <c r="AF240" s="55">
        <v>2525195</v>
      </c>
      <c r="AG240" s="166">
        <v>1975.9798922642681</v>
      </c>
      <c r="AH240" s="171">
        <f t="shared" si="60"/>
        <v>2.3638341842050048E-2</v>
      </c>
      <c r="AI240" s="171">
        <f t="shared" si="60"/>
        <v>2.1624852428764108E-2</v>
      </c>
      <c r="AK240" s="55">
        <v>2429348.117810396</v>
      </c>
      <c r="AL240" s="166">
        <v>1900.9791450178657</v>
      </c>
      <c r="AM240" s="171">
        <f t="shared" si="61"/>
        <v>3.9453745425333198E-2</v>
      </c>
      <c r="AN240" s="170">
        <f t="shared" si="61"/>
        <v>3.9453745425333198E-2</v>
      </c>
      <c r="AP240" s="55">
        <v>6</v>
      </c>
      <c r="AQ240" s="55">
        <v>0</v>
      </c>
    </row>
    <row r="241" spans="2:43" x14ac:dyDescent="0.2">
      <c r="B241" s="1" t="s">
        <v>524</v>
      </c>
      <c r="D241" s="55">
        <v>3975351</v>
      </c>
      <c r="E241" s="166">
        <v>1587.5939932366559</v>
      </c>
      <c r="G241" s="55">
        <v>3896338.6933438024</v>
      </c>
      <c r="H241" s="166">
        <v>1546.4431168737408</v>
      </c>
      <c r="J241" s="167">
        <f t="shared" si="53"/>
        <v>2.0278603292669617E-2</v>
      </c>
      <c r="K241" s="168">
        <f t="shared" si="53"/>
        <v>2.6610016180941054E-2</v>
      </c>
      <c r="L241" s="55">
        <v>4068867</v>
      </c>
      <c r="M241" s="167">
        <f t="shared" si="54"/>
        <v>2.3616003276527131E-2</v>
      </c>
      <c r="N241" s="169">
        <f t="shared" si="55"/>
        <v>9.0547645222140982E-3</v>
      </c>
      <c r="O241" s="55">
        <v>4069232.902241345</v>
      </c>
      <c r="Q241" s="167">
        <f t="shared" si="56"/>
        <v>2.3956605342281057E-2</v>
      </c>
      <c r="R241" s="170">
        <v>1.7641556837092676E-2</v>
      </c>
      <c r="S241" s="55">
        <v>4070586.915004042</v>
      </c>
      <c r="T241" s="167">
        <f t="shared" si="57"/>
        <v>2.4135054235858266E-2</v>
      </c>
      <c r="U241" s="170">
        <v>1.7818905182645839E-2</v>
      </c>
      <c r="V241" s="55">
        <v>4071296.3119915738</v>
      </c>
      <c r="X241" s="167">
        <f t="shared" si="58"/>
        <v>2.4082424496878474E-2</v>
      </c>
      <c r="Y241" s="170">
        <v>1.7766600027103285E-2</v>
      </c>
      <c r="Z241" s="55">
        <v>4071087.0903060902</v>
      </c>
      <c r="AB241" s="55">
        <v>3894685.7675373061</v>
      </c>
      <c r="AC241" s="55">
        <v>4071087.0903060902</v>
      </c>
      <c r="AD241" s="167">
        <f t="shared" si="59"/>
        <v>2.4082424496878474E-2</v>
      </c>
      <c r="AE241" s="170">
        <v>1.7766600027103285E-2</v>
      </c>
      <c r="AF241" s="55">
        <v>4071087.0903060902</v>
      </c>
      <c r="AG241" s="166">
        <v>1615.8001407199235</v>
      </c>
      <c r="AH241" s="171">
        <f t="shared" si="60"/>
        <v>2.4082424496878474E-2</v>
      </c>
      <c r="AI241" s="171">
        <f t="shared" si="60"/>
        <v>1.7766600027103507E-2</v>
      </c>
      <c r="AK241" s="55">
        <v>3997196.6336833425</v>
      </c>
      <c r="AL241" s="166">
        <v>1586.4732784935695</v>
      </c>
      <c r="AM241" s="171">
        <f t="shared" si="61"/>
        <v>1.8485569611485175E-2</v>
      </c>
      <c r="AN241" s="170">
        <f t="shared" si="61"/>
        <v>1.8485569611485175E-2</v>
      </c>
      <c r="AP241" s="55">
        <v>7</v>
      </c>
      <c r="AQ241" s="55">
        <v>0</v>
      </c>
    </row>
    <row r="242" spans="2:43" x14ac:dyDescent="0.2">
      <c r="B242" s="1" t="s">
        <v>525</v>
      </c>
      <c r="D242" s="55">
        <v>2660531</v>
      </c>
      <c r="E242" s="166">
        <v>1733.047279455071</v>
      </c>
      <c r="G242" s="55">
        <v>2514880.5198563826</v>
      </c>
      <c r="H242" s="166">
        <v>1630.7395073794869</v>
      </c>
      <c r="J242" s="167">
        <f t="shared" si="53"/>
        <v>5.7915467153857092E-2</v>
      </c>
      <c r="K242" s="168">
        <f t="shared" si="53"/>
        <v>6.2737041454270948E-2</v>
      </c>
      <c r="L242" s="55">
        <v>2715595</v>
      </c>
      <c r="M242" s="167">
        <f t="shared" si="54"/>
        <v>2.0696620336316363E-2</v>
      </c>
      <c r="N242" s="169">
        <f t="shared" si="55"/>
        <v>9.0547645222140982E-3</v>
      </c>
      <c r="O242" s="55">
        <v>2715595</v>
      </c>
      <c r="Q242" s="167">
        <f t="shared" si="56"/>
        <v>2.0696620336316363E-2</v>
      </c>
      <c r="R242" s="170">
        <v>1.6065780908344207E-2</v>
      </c>
      <c r="S242" s="55">
        <v>2715595</v>
      </c>
      <c r="T242" s="167">
        <f t="shared" si="57"/>
        <v>2.0768164349208806E-2</v>
      </c>
      <c r="U242" s="170">
        <v>1.6137000330335605E-2</v>
      </c>
      <c r="V242" s="55">
        <v>2715785.3450641651</v>
      </c>
      <c r="X242" s="167">
        <f t="shared" si="58"/>
        <v>2.0696620336316363E-2</v>
      </c>
      <c r="Y242" s="170">
        <v>1.6065780908344207E-2</v>
      </c>
      <c r="Z242" s="55">
        <v>2715595</v>
      </c>
      <c r="AB242" s="55">
        <v>2516305.5797595596</v>
      </c>
      <c r="AC242" s="55">
        <v>2715595</v>
      </c>
      <c r="AD242" s="167">
        <f t="shared" si="59"/>
        <v>2.0696620336316363E-2</v>
      </c>
      <c r="AE242" s="170">
        <v>1.6065780908344207E-2</v>
      </c>
      <c r="AF242" s="55">
        <v>2715595</v>
      </c>
      <c r="AG242" s="166">
        <v>1760.8900373505983</v>
      </c>
      <c r="AH242" s="171">
        <f t="shared" si="60"/>
        <v>2.0696620336316363E-2</v>
      </c>
      <c r="AI242" s="171">
        <f t="shared" si="60"/>
        <v>1.6065780908344207E-2</v>
      </c>
      <c r="AK242" s="55">
        <v>2580826.2356508309</v>
      </c>
      <c r="AL242" s="166">
        <v>1673.5010951524787</v>
      </c>
      <c r="AM242" s="171">
        <f t="shared" si="61"/>
        <v>5.2219232154226525E-2</v>
      </c>
      <c r="AN242" s="170">
        <f t="shared" si="61"/>
        <v>5.2219232154226525E-2</v>
      </c>
      <c r="AP242" s="55">
        <v>5</v>
      </c>
      <c r="AQ242" s="55">
        <v>0</v>
      </c>
    </row>
    <row r="243" spans="2:43" x14ac:dyDescent="0.2">
      <c r="B243" s="1" t="s">
        <v>526</v>
      </c>
      <c r="D243" s="55">
        <v>2723313</v>
      </c>
      <c r="E243" s="166">
        <v>1586.6806878432751</v>
      </c>
      <c r="G243" s="55">
        <v>2672463.5716981692</v>
      </c>
      <c r="H243" s="166">
        <v>1551.4104531020769</v>
      </c>
      <c r="J243" s="167">
        <f t="shared" si="53"/>
        <v>1.9027173593808566E-2</v>
      </c>
      <c r="K243" s="168">
        <f t="shared" si="53"/>
        <v>2.2734302628085734E-2</v>
      </c>
      <c r="L243" s="55">
        <v>2787630</v>
      </c>
      <c r="M243" s="167">
        <f t="shared" si="54"/>
        <v>2.3617189797867422E-2</v>
      </c>
      <c r="N243" s="169">
        <f t="shared" si="55"/>
        <v>9.0547645222140982E-3</v>
      </c>
      <c r="O243" s="55">
        <v>2787630</v>
      </c>
      <c r="Q243" s="167">
        <f t="shared" si="56"/>
        <v>2.3617189797867422E-2</v>
      </c>
      <c r="R243" s="170">
        <v>1.9906860541741178E-2</v>
      </c>
      <c r="S243" s="55">
        <v>2787630</v>
      </c>
      <c r="T243" s="167">
        <f t="shared" si="57"/>
        <v>2.3617189797867422E-2</v>
      </c>
      <c r="U243" s="170">
        <v>1.9906860541741178E-2</v>
      </c>
      <c r="V243" s="55">
        <v>2787630</v>
      </c>
      <c r="X243" s="167">
        <f t="shared" si="58"/>
        <v>2.3617189797867422E-2</v>
      </c>
      <c r="Y243" s="170">
        <v>1.9906860541741178E-2</v>
      </c>
      <c r="Z243" s="55">
        <v>2787630</v>
      </c>
      <c r="AB243" s="55">
        <v>2673351.2392190113</v>
      </c>
      <c r="AC243" s="55">
        <v>2787630</v>
      </c>
      <c r="AD243" s="167">
        <f t="shared" si="59"/>
        <v>2.3617189797867422E-2</v>
      </c>
      <c r="AE243" s="170">
        <v>1.9906860541741178E-2</v>
      </c>
      <c r="AF243" s="55">
        <v>2787630</v>
      </c>
      <c r="AG243" s="166">
        <v>1618.2665190204455</v>
      </c>
      <c r="AH243" s="171">
        <f t="shared" si="60"/>
        <v>2.3617189797867422E-2</v>
      </c>
      <c r="AI243" s="171">
        <f t="shared" si="60"/>
        <v>1.99068605417414E-2</v>
      </c>
      <c r="AK243" s="55">
        <v>2741898.7068912932</v>
      </c>
      <c r="AL243" s="166">
        <v>1591.7187273446023</v>
      </c>
      <c r="AM243" s="171">
        <f t="shared" si="61"/>
        <v>1.6678695312036584E-2</v>
      </c>
      <c r="AN243" s="170">
        <f t="shared" si="61"/>
        <v>1.6678695312036584E-2</v>
      </c>
      <c r="AP243" s="55">
        <v>8</v>
      </c>
      <c r="AQ243" s="55">
        <v>0</v>
      </c>
    </row>
    <row r="244" spans="2:43" x14ac:dyDescent="0.2">
      <c r="B244" s="1" t="s">
        <v>527</v>
      </c>
      <c r="D244" s="55">
        <v>4432948</v>
      </c>
      <c r="E244" s="166">
        <v>1644.8650599074633</v>
      </c>
      <c r="G244" s="55">
        <v>4470500.8059086949</v>
      </c>
      <c r="H244" s="166">
        <v>1648.5191567381607</v>
      </c>
      <c r="J244" s="167">
        <f t="shared" si="53"/>
        <v>-8.40013402056905E-3</v>
      </c>
      <c r="K244" s="168">
        <f t="shared" si="53"/>
        <v>-2.2165934898370487E-3</v>
      </c>
      <c r="L244" s="55">
        <v>4547427</v>
      </c>
      <c r="M244" s="167">
        <f t="shared" si="54"/>
        <v>2.5824575429262975E-2</v>
      </c>
      <c r="N244" s="169">
        <f t="shared" si="55"/>
        <v>9.0547645222140982E-3</v>
      </c>
      <c r="O244" s="55">
        <v>4547427</v>
      </c>
      <c r="Q244" s="167">
        <f t="shared" si="56"/>
        <v>2.6471266620944123E-2</v>
      </c>
      <c r="R244" s="170">
        <v>2.0109939463798243E-2</v>
      </c>
      <c r="S244" s="55">
        <v>4550293.7484247806</v>
      </c>
      <c r="T244" s="167">
        <f t="shared" si="57"/>
        <v>2.6496175441800718E-2</v>
      </c>
      <c r="U244" s="170">
        <v>2.0134693917782887E-2</v>
      </c>
      <c r="V244" s="55">
        <v>4550404.16793238</v>
      </c>
      <c r="X244" s="167">
        <f t="shared" si="58"/>
        <v>2.6471266620944123E-2</v>
      </c>
      <c r="Y244" s="170">
        <v>2.0109939463798243E-2</v>
      </c>
      <c r="Z244" s="55">
        <v>4550293.7484247806</v>
      </c>
      <c r="AB244" s="55">
        <v>4474511.6809682101</v>
      </c>
      <c r="AC244" s="55">
        <v>4550293.7484247806</v>
      </c>
      <c r="AD244" s="167">
        <f t="shared" si="59"/>
        <v>2.6471266620944123E-2</v>
      </c>
      <c r="AE244" s="170">
        <v>2.0109939463798243E-2</v>
      </c>
      <c r="AF244" s="55">
        <v>4550293.7484247806</v>
      </c>
      <c r="AG244" s="166">
        <v>1677.9431966883194</v>
      </c>
      <c r="AH244" s="171">
        <f t="shared" si="60"/>
        <v>2.6471266620944123E-2</v>
      </c>
      <c r="AI244" s="171">
        <f t="shared" si="60"/>
        <v>2.0109939463798243E-2</v>
      </c>
      <c r="AK244" s="55">
        <v>4589730.9163301596</v>
      </c>
      <c r="AL244" s="166">
        <v>1692.4858462933898</v>
      </c>
      <c r="AM244" s="171">
        <f t="shared" si="61"/>
        <v>-8.5924793031030289E-3</v>
      </c>
      <c r="AN244" s="170">
        <f t="shared" si="61"/>
        <v>-8.5924793031028068E-3</v>
      </c>
      <c r="AP244" s="55">
        <v>5</v>
      </c>
      <c r="AQ244" s="55">
        <v>0</v>
      </c>
    </row>
    <row r="245" spans="2:43" x14ac:dyDescent="0.2">
      <c r="B245" s="1" t="s">
        <v>528</v>
      </c>
      <c r="D245" s="55">
        <v>2581342</v>
      </c>
      <c r="E245" s="166">
        <v>1590.1356487895305</v>
      </c>
      <c r="G245" s="55">
        <v>2596225.5920078172</v>
      </c>
      <c r="H245" s="166">
        <v>1593.3312185755763</v>
      </c>
      <c r="J245" s="167">
        <f t="shared" si="53"/>
        <v>-5.7327807158340516E-3</v>
      </c>
      <c r="K245" s="168">
        <f t="shared" si="53"/>
        <v>-2.0055903937553632E-3</v>
      </c>
      <c r="L245" s="55">
        <v>2641782</v>
      </c>
      <c r="M245" s="167">
        <f t="shared" si="54"/>
        <v>2.3414177586697171E-2</v>
      </c>
      <c r="N245" s="169">
        <f t="shared" si="55"/>
        <v>9.0547645222140982E-3</v>
      </c>
      <c r="O245" s="55">
        <v>2641782</v>
      </c>
      <c r="Q245" s="167">
        <f t="shared" si="56"/>
        <v>2.4015282683503836E-2</v>
      </c>
      <c r="R245" s="170">
        <v>2.0190912712549469E-2</v>
      </c>
      <c r="S245" s="55">
        <v>2643333.6578328013</v>
      </c>
      <c r="T245" s="167">
        <f t="shared" si="57"/>
        <v>2.4015282683503836E-2</v>
      </c>
      <c r="U245" s="170">
        <v>2.0190912712549469E-2</v>
      </c>
      <c r="V245" s="55">
        <v>2643333.6578328013</v>
      </c>
      <c r="X245" s="167">
        <f t="shared" si="58"/>
        <v>2.4015282683503836E-2</v>
      </c>
      <c r="Y245" s="170">
        <v>2.0190912712549469E-2</v>
      </c>
      <c r="Z245" s="55">
        <v>2643333.6578328013</v>
      </c>
      <c r="AB245" s="55">
        <v>2594855.3890122995</v>
      </c>
      <c r="AC245" s="55">
        <v>2643333.6578328013</v>
      </c>
      <c r="AD245" s="167">
        <f t="shared" si="59"/>
        <v>2.4015282683503836E-2</v>
      </c>
      <c r="AE245" s="170">
        <v>2.0190912712549469E-2</v>
      </c>
      <c r="AF245" s="55">
        <v>2643333.6578328013</v>
      </c>
      <c r="AG245" s="166">
        <v>1622.2419388753531</v>
      </c>
      <c r="AH245" s="171">
        <f t="shared" si="60"/>
        <v>2.4015282683503836E-2</v>
      </c>
      <c r="AI245" s="171">
        <f t="shared" si="60"/>
        <v>2.0190912712549469E-2</v>
      </c>
      <c r="AK245" s="55">
        <v>2664224.951915883</v>
      </c>
      <c r="AL245" s="166">
        <v>1635.0631479264796</v>
      </c>
      <c r="AM245" s="171">
        <f t="shared" si="61"/>
        <v>-7.8414152183577945E-3</v>
      </c>
      <c r="AN245" s="170">
        <f t="shared" si="61"/>
        <v>-7.8414152183576835E-3</v>
      </c>
      <c r="AP245" s="55">
        <v>5</v>
      </c>
      <c r="AQ245" s="55">
        <v>0</v>
      </c>
    </row>
    <row r="246" spans="2:43" x14ac:dyDescent="0.2">
      <c r="B246" s="1" t="s">
        <v>529</v>
      </c>
      <c r="D246" s="55">
        <v>2656758</v>
      </c>
      <c r="E246" s="166">
        <v>1530.3771358005047</v>
      </c>
      <c r="G246" s="55">
        <v>2689491.6156075499</v>
      </c>
      <c r="H246" s="166">
        <v>1539.12130415088</v>
      </c>
      <c r="J246" s="167">
        <f t="shared" si="53"/>
        <v>-1.2170930527387269E-2</v>
      </c>
      <c r="K246" s="168">
        <f t="shared" si="53"/>
        <v>-5.6812730268842593E-3</v>
      </c>
      <c r="L246" s="55">
        <v>2726465</v>
      </c>
      <c r="M246" s="167">
        <f t="shared" si="54"/>
        <v>2.6237617426954296E-2</v>
      </c>
      <c r="N246" s="169">
        <f t="shared" si="55"/>
        <v>9.0547645222140982E-3</v>
      </c>
      <c r="O246" s="55">
        <v>2726465</v>
      </c>
      <c r="Q246" s="167">
        <f t="shared" si="56"/>
        <v>2.634024307484828E-2</v>
      </c>
      <c r="R246" s="170">
        <v>1.9641589538657911E-2</v>
      </c>
      <c r="S246" s="55">
        <v>2726737.651511048</v>
      </c>
      <c r="T246" s="167">
        <f t="shared" si="57"/>
        <v>2.634024307484828E-2</v>
      </c>
      <c r="U246" s="170">
        <v>1.9641589538657911E-2</v>
      </c>
      <c r="V246" s="55">
        <v>2726737.651511048</v>
      </c>
      <c r="X246" s="167">
        <f t="shared" si="58"/>
        <v>2.634024307484828E-2</v>
      </c>
      <c r="Y246" s="170">
        <v>1.9641589538657911E-2</v>
      </c>
      <c r="Z246" s="55">
        <v>2726737.651511048</v>
      </c>
      <c r="AB246" s="55">
        <v>2690991.101315964</v>
      </c>
      <c r="AC246" s="55">
        <v>2726737.651511048</v>
      </c>
      <c r="AD246" s="167">
        <f t="shared" si="59"/>
        <v>2.634024307484828E-2</v>
      </c>
      <c r="AE246" s="170">
        <v>1.9641589538657911E-2</v>
      </c>
      <c r="AF246" s="55">
        <v>2726737.651511048</v>
      </c>
      <c r="AG246" s="166">
        <v>1560.4361753412452</v>
      </c>
      <c r="AH246" s="171">
        <f t="shared" si="60"/>
        <v>2.634024307484828E-2</v>
      </c>
      <c r="AI246" s="171">
        <f t="shared" si="60"/>
        <v>1.9641589538657911E-2</v>
      </c>
      <c r="AK246" s="55">
        <v>2759990.8731445787</v>
      </c>
      <c r="AL246" s="166">
        <v>1579.4660698948508</v>
      </c>
      <c r="AM246" s="171">
        <f t="shared" si="61"/>
        <v>-1.2048308549529319E-2</v>
      </c>
      <c r="AN246" s="170">
        <f t="shared" si="61"/>
        <v>-1.2048308549529319E-2</v>
      </c>
      <c r="AP246" s="55">
        <v>6</v>
      </c>
      <c r="AQ246" s="55">
        <v>0</v>
      </c>
    </row>
    <row r="247" spans="2:43" x14ac:dyDescent="0.2">
      <c r="B247" s="1" t="s">
        <v>530</v>
      </c>
      <c r="D247" s="55">
        <v>4369264</v>
      </c>
      <c r="E247" s="166">
        <v>1477.854308066205</v>
      </c>
      <c r="G247" s="55">
        <v>4545957.9898108551</v>
      </c>
      <c r="H247" s="166">
        <v>1521.751457450355</v>
      </c>
      <c r="J247" s="167">
        <f t="shared" si="53"/>
        <v>-3.8868372784546357E-2</v>
      </c>
      <c r="K247" s="168">
        <f t="shared" si="53"/>
        <v>-2.8846464492761625E-2</v>
      </c>
      <c r="L247" s="55">
        <v>4491358</v>
      </c>
      <c r="M247" s="167">
        <f t="shared" si="54"/>
        <v>2.7943836765185193E-2</v>
      </c>
      <c r="N247" s="169">
        <f t="shared" si="55"/>
        <v>9.0547645222140982E-3</v>
      </c>
      <c r="O247" s="55">
        <v>4491358</v>
      </c>
      <c r="Q247" s="167">
        <f t="shared" si="56"/>
        <v>3.3012133164982416E-2</v>
      </c>
      <c r="R247" s="170">
        <v>2.2351869381385114E-2</v>
      </c>
      <c r="S247" s="55">
        <v>4513502.7250009635</v>
      </c>
      <c r="T247" s="167">
        <f t="shared" si="57"/>
        <v>3.3012133164982416E-2</v>
      </c>
      <c r="U247" s="170">
        <v>2.2351869381385114E-2</v>
      </c>
      <c r="V247" s="55">
        <v>4513502.7250009635</v>
      </c>
      <c r="X247" s="167">
        <f t="shared" si="58"/>
        <v>3.3012133164982416E-2</v>
      </c>
      <c r="Y247" s="170">
        <v>2.2351869381385114E-2</v>
      </c>
      <c r="Z247" s="55">
        <v>4513502.7250009635</v>
      </c>
      <c r="AB247" s="55">
        <v>4498996.6475766655</v>
      </c>
      <c r="AC247" s="55">
        <v>4513502.7250009635</v>
      </c>
      <c r="AD247" s="167">
        <f t="shared" si="59"/>
        <v>3.3012133164982416E-2</v>
      </c>
      <c r="AE247" s="170">
        <v>2.2351869381385114E-2</v>
      </c>
      <c r="AF247" s="55">
        <v>4513502.7250009635</v>
      </c>
      <c r="AG247" s="166">
        <v>1510.8871145248179</v>
      </c>
      <c r="AH247" s="171">
        <f t="shared" si="60"/>
        <v>3.3012133164982416E-2</v>
      </c>
      <c r="AI247" s="171">
        <f t="shared" si="60"/>
        <v>2.2351869381384892E-2</v>
      </c>
      <c r="AK247" s="55">
        <v>4665624.1978110671</v>
      </c>
      <c r="AL247" s="166">
        <v>1561.8095105252048</v>
      </c>
      <c r="AM247" s="171">
        <f t="shared" si="61"/>
        <v>-3.260474190816165E-2</v>
      </c>
      <c r="AN247" s="170">
        <f t="shared" si="61"/>
        <v>-3.2604741908161872E-2</v>
      </c>
      <c r="AP247" s="55">
        <v>1</v>
      </c>
      <c r="AQ247" s="55">
        <v>0</v>
      </c>
    </row>
    <row r="248" spans="2:43" x14ac:dyDescent="0.2">
      <c r="B248" s="1" t="s">
        <v>531</v>
      </c>
      <c r="D248" s="55">
        <v>2808960</v>
      </c>
      <c r="E248" s="166">
        <v>1497.1787973256939</v>
      </c>
      <c r="G248" s="55">
        <v>2848787.1419662354</v>
      </c>
      <c r="H248" s="166">
        <v>1508.7017974200705</v>
      </c>
      <c r="J248" s="167">
        <f t="shared" si="53"/>
        <v>-1.3980385329437683E-2</v>
      </c>
      <c r="K248" s="168">
        <f t="shared" si="53"/>
        <v>-7.6376922955094795E-3</v>
      </c>
      <c r="L248" s="55">
        <v>2874683</v>
      </c>
      <c r="M248" s="167">
        <f t="shared" si="54"/>
        <v>2.3397627591706494E-2</v>
      </c>
      <c r="N248" s="169">
        <f t="shared" si="55"/>
        <v>9.0547645222140982E-3</v>
      </c>
      <c r="O248" s="55">
        <v>2874683</v>
      </c>
      <c r="Q248" s="167">
        <f t="shared" si="56"/>
        <v>2.4924769364218058E-2</v>
      </c>
      <c r="R248" s="170">
        <v>1.8373953049978686E-2</v>
      </c>
      <c r="S248" s="55">
        <v>2878972.680153314</v>
      </c>
      <c r="T248" s="167">
        <f t="shared" si="57"/>
        <v>2.4924769364218058E-2</v>
      </c>
      <c r="U248" s="170">
        <v>1.8373953049978686E-2</v>
      </c>
      <c r="V248" s="55">
        <v>2878972.680153314</v>
      </c>
      <c r="X248" s="167">
        <f t="shared" si="58"/>
        <v>2.4924769364218058E-2</v>
      </c>
      <c r="Y248" s="170">
        <v>1.8373953049978686E-2</v>
      </c>
      <c r="Z248" s="55">
        <v>2878972.680153314</v>
      </c>
      <c r="AB248" s="55">
        <v>2850595.0405059583</v>
      </c>
      <c r="AC248" s="55">
        <v>2878972.680153314</v>
      </c>
      <c r="AD248" s="167">
        <f t="shared" si="59"/>
        <v>2.4924769364218058E-2</v>
      </c>
      <c r="AE248" s="170">
        <v>1.8373953049978686E-2</v>
      </c>
      <c r="AF248" s="55">
        <v>2878972.680153314</v>
      </c>
      <c r="AG248" s="166">
        <v>1524.68789025518</v>
      </c>
      <c r="AH248" s="171">
        <f t="shared" si="60"/>
        <v>2.4924769364218058E-2</v>
      </c>
      <c r="AI248" s="171">
        <f t="shared" si="60"/>
        <v>1.8373953049978908E-2</v>
      </c>
      <c r="AK248" s="55">
        <v>2923687.2210317519</v>
      </c>
      <c r="AL248" s="166">
        <v>1548.3684619624614</v>
      </c>
      <c r="AM248" s="171">
        <f t="shared" si="61"/>
        <v>-1.5293886622611552E-2</v>
      </c>
      <c r="AN248" s="170">
        <f t="shared" si="61"/>
        <v>-1.5293886622611552E-2</v>
      </c>
      <c r="AP248" s="55">
        <v>2</v>
      </c>
      <c r="AQ248" s="55">
        <v>0</v>
      </c>
    </row>
    <row r="249" spans="2:43" x14ac:dyDescent="0.2">
      <c r="B249" s="1" t="s">
        <v>532</v>
      </c>
      <c r="D249" s="55">
        <v>3340780</v>
      </c>
      <c r="E249" s="166">
        <v>1597.0997705650668</v>
      </c>
      <c r="G249" s="55">
        <v>3331262.9794763555</v>
      </c>
      <c r="H249" s="166">
        <v>1583.685500082413</v>
      </c>
      <c r="J249" s="167">
        <f t="shared" si="53"/>
        <v>2.8568805832136501E-3</v>
      </c>
      <c r="K249" s="168">
        <f t="shared" si="53"/>
        <v>8.4702868605892601E-3</v>
      </c>
      <c r="L249" s="55">
        <v>3416977</v>
      </c>
      <c r="M249" s="167">
        <f t="shared" si="54"/>
        <v>2.2808146600494572E-2</v>
      </c>
      <c r="N249" s="169">
        <f t="shared" si="55"/>
        <v>9.0547645222140982E-3</v>
      </c>
      <c r="O249" s="55">
        <v>3416977</v>
      </c>
      <c r="Q249" s="167">
        <f t="shared" si="56"/>
        <v>2.3405997161167313E-2</v>
      </c>
      <c r="R249" s="170">
        <v>1.7709454859805129E-2</v>
      </c>
      <c r="S249" s="55">
        <v>3418974.2871960844</v>
      </c>
      <c r="T249" s="167">
        <f t="shared" si="57"/>
        <v>2.382437744313437E-2</v>
      </c>
      <c r="U249" s="170">
        <v>1.8125506328983354E-2</v>
      </c>
      <c r="V249" s="55">
        <v>3420372.0036744741</v>
      </c>
      <c r="X249" s="167">
        <f t="shared" si="58"/>
        <v>2.3405997161167313E-2</v>
      </c>
      <c r="Y249" s="170">
        <v>1.7709454859805129E-2</v>
      </c>
      <c r="Z249" s="55">
        <v>3418974.2871960844</v>
      </c>
      <c r="AB249" s="55">
        <v>3332805.381936857</v>
      </c>
      <c r="AC249" s="55">
        <v>3418974.2871960844</v>
      </c>
      <c r="AD249" s="167">
        <f t="shared" si="59"/>
        <v>2.3405997161167313E-2</v>
      </c>
      <c r="AE249" s="170">
        <v>1.7709454859805129E-2</v>
      </c>
      <c r="AF249" s="55">
        <v>3418974.2871960844</v>
      </c>
      <c r="AG249" s="166">
        <v>1625.3835368584939</v>
      </c>
      <c r="AH249" s="171">
        <f t="shared" si="60"/>
        <v>2.3405997161167313E-2</v>
      </c>
      <c r="AI249" s="171">
        <f t="shared" si="60"/>
        <v>1.7709454859805129E-2</v>
      </c>
      <c r="AK249" s="55">
        <v>3418261.9301916477</v>
      </c>
      <c r="AL249" s="166">
        <v>1625.0448816800347</v>
      </c>
      <c r="AM249" s="171">
        <f t="shared" si="61"/>
        <v>2.0839743091216612E-4</v>
      </c>
      <c r="AN249" s="170">
        <f t="shared" si="61"/>
        <v>2.0839743091216612E-4</v>
      </c>
      <c r="AP249" s="55">
        <v>5</v>
      </c>
      <c r="AQ249" s="55">
        <v>0</v>
      </c>
    </row>
    <row r="250" spans="2:43" x14ac:dyDescent="0.2">
      <c r="B250" s="1" t="s">
        <v>56</v>
      </c>
      <c r="D250" s="55">
        <v>2862296</v>
      </c>
      <c r="E250" s="166">
        <v>1545.8000642436878</v>
      </c>
      <c r="G250" s="55">
        <v>2945193.1423519785</v>
      </c>
      <c r="H250" s="166">
        <v>1578.008870650674</v>
      </c>
      <c r="J250" s="167">
        <f t="shared" si="53"/>
        <v>-2.814658949184512E-2</v>
      </c>
      <c r="K250" s="168">
        <f t="shared" si="53"/>
        <v>-2.0411042679186808E-2</v>
      </c>
      <c r="L250" s="55">
        <v>2932636</v>
      </c>
      <c r="M250" s="167">
        <f t="shared" si="54"/>
        <v>2.4574677112360055E-2</v>
      </c>
      <c r="N250" s="169">
        <f t="shared" si="55"/>
        <v>9.0547645222140982E-3</v>
      </c>
      <c r="O250" s="55">
        <v>2932636</v>
      </c>
      <c r="Q250" s="167">
        <f t="shared" si="56"/>
        <v>2.8764191064890587E-2</v>
      </c>
      <c r="R250" s="170">
        <v>2.06403208439212E-2</v>
      </c>
      <c r="S250" s="55">
        <v>2944627.6290282723</v>
      </c>
      <c r="T250" s="167">
        <f t="shared" si="57"/>
        <v>2.8764191064890587E-2</v>
      </c>
      <c r="U250" s="170">
        <v>2.06403208439212E-2</v>
      </c>
      <c r="V250" s="55">
        <v>2944627.6290282723</v>
      </c>
      <c r="X250" s="167">
        <f t="shared" si="58"/>
        <v>2.8764191064890587E-2</v>
      </c>
      <c r="Y250" s="170">
        <v>2.06403208439212E-2</v>
      </c>
      <c r="Z250" s="55">
        <v>2944627.6290282723</v>
      </c>
      <c r="AB250" s="55">
        <v>2937422.94569499</v>
      </c>
      <c r="AC250" s="55">
        <v>2944627.6290282723</v>
      </c>
      <c r="AD250" s="167">
        <f t="shared" si="59"/>
        <v>2.8764191064890587E-2</v>
      </c>
      <c r="AE250" s="170">
        <v>2.06403208439212E-2</v>
      </c>
      <c r="AF250" s="55">
        <v>2944627.6290282723</v>
      </c>
      <c r="AG250" s="166">
        <v>1577.7058735302314</v>
      </c>
      <c r="AH250" s="171">
        <f t="shared" si="60"/>
        <v>2.8764191064890587E-2</v>
      </c>
      <c r="AI250" s="171">
        <f t="shared" si="60"/>
        <v>2.06403208439212E-2</v>
      </c>
      <c r="AK250" s="55">
        <v>3022161.8900886402</v>
      </c>
      <c r="AL250" s="166">
        <v>1619.2480562730923</v>
      </c>
      <c r="AM250" s="171">
        <f t="shared" si="61"/>
        <v>-2.5655230884436109E-2</v>
      </c>
      <c r="AN250" s="170">
        <f t="shared" si="61"/>
        <v>-2.5655230884436331E-2</v>
      </c>
      <c r="AP250" s="55">
        <v>0</v>
      </c>
      <c r="AQ250" s="55">
        <v>0</v>
      </c>
    </row>
    <row r="251" spans="2:43" x14ac:dyDescent="0.2">
      <c r="B251" s="1" t="s">
        <v>533</v>
      </c>
      <c r="D251" s="55">
        <v>3920982</v>
      </c>
      <c r="E251" s="166">
        <v>1498.7025267356764</v>
      </c>
      <c r="G251" s="55">
        <v>4003863.9954207027</v>
      </c>
      <c r="H251" s="166">
        <v>1519.2723604542957</v>
      </c>
      <c r="J251" s="167">
        <f t="shared" si="53"/>
        <v>-2.0700502193754966E-2</v>
      </c>
      <c r="K251" s="168">
        <f t="shared" si="53"/>
        <v>-1.3539266726650956E-2</v>
      </c>
      <c r="L251" s="55">
        <v>4012139</v>
      </c>
      <c r="M251" s="167">
        <f t="shared" si="54"/>
        <v>2.3248512745021488E-2</v>
      </c>
      <c r="N251" s="169">
        <f t="shared" si="55"/>
        <v>9.0547645222140982E-3</v>
      </c>
      <c r="O251" s="55">
        <v>4012139</v>
      </c>
      <c r="Q251" s="167">
        <f t="shared" si="56"/>
        <v>2.6991845267014591E-2</v>
      </c>
      <c r="R251" s="170">
        <v>1.9536373215584435E-2</v>
      </c>
      <c r="S251" s="55">
        <v>4026816.5394387492</v>
      </c>
      <c r="T251" s="167">
        <f t="shared" si="57"/>
        <v>2.6991845267014591E-2</v>
      </c>
      <c r="U251" s="170">
        <v>1.9536373215584435E-2</v>
      </c>
      <c r="V251" s="55">
        <v>4026816.5394387492</v>
      </c>
      <c r="X251" s="167">
        <f t="shared" si="58"/>
        <v>2.6991845267014591E-2</v>
      </c>
      <c r="Y251" s="170">
        <v>1.9536373215584435E-2</v>
      </c>
      <c r="Z251" s="55">
        <v>4026816.5394387492</v>
      </c>
      <c r="AB251" s="55">
        <v>4002525.0743019036</v>
      </c>
      <c r="AC251" s="55">
        <v>4026816.5394387492</v>
      </c>
      <c r="AD251" s="167">
        <f t="shared" si="59"/>
        <v>2.6991845267014591E-2</v>
      </c>
      <c r="AE251" s="170">
        <v>1.9536373215584435E-2</v>
      </c>
      <c r="AF251" s="55">
        <v>4026816.5394387492</v>
      </c>
      <c r="AG251" s="166">
        <v>1527.981738637124</v>
      </c>
      <c r="AH251" s="171">
        <f t="shared" si="60"/>
        <v>2.6991845267014591E-2</v>
      </c>
      <c r="AI251" s="171">
        <f t="shared" si="60"/>
        <v>1.9536373215584435E-2</v>
      </c>
      <c r="AK251" s="55">
        <v>4109393.7686584182</v>
      </c>
      <c r="AL251" s="166">
        <v>1559.3157954631874</v>
      </c>
      <c r="AM251" s="171">
        <f t="shared" si="61"/>
        <v>-2.0094747271354296E-2</v>
      </c>
      <c r="AN251" s="170">
        <f t="shared" si="61"/>
        <v>-2.0094747271354296E-2</v>
      </c>
      <c r="AP251" s="55">
        <v>1</v>
      </c>
      <c r="AQ251" s="55">
        <v>0</v>
      </c>
    </row>
    <row r="252" spans="2:43" x14ac:dyDescent="0.2">
      <c r="B252" s="1" t="s">
        <v>516</v>
      </c>
      <c r="D252" s="55">
        <v>15107237</v>
      </c>
      <c r="E252" s="166">
        <v>1590.7033423380769</v>
      </c>
      <c r="G252" s="55">
        <v>15050508.224670878</v>
      </c>
      <c r="H252" s="166">
        <v>1564.937347057258</v>
      </c>
      <c r="J252" s="167">
        <f t="shared" si="53"/>
        <v>3.7692265591491303E-3</v>
      </c>
      <c r="K252" s="168">
        <f t="shared" si="53"/>
        <v>1.6464553887265865E-2</v>
      </c>
      <c r="L252" s="55">
        <v>15562601</v>
      </c>
      <c r="M252" s="167">
        <f t="shared" si="54"/>
        <v>3.0902182177436011E-2</v>
      </c>
      <c r="N252" s="169">
        <f t="shared" si="55"/>
        <v>9.0547645222140982E-3</v>
      </c>
      <c r="O252" s="55">
        <v>15574083.589971701</v>
      </c>
      <c r="Q252" s="167">
        <f t="shared" si="56"/>
        <v>3.159240744879499E-2</v>
      </c>
      <c r="R252" s="170">
        <v>1.8708137917036405E-2</v>
      </c>
      <c r="S252" s="55">
        <v>15584510.98672951</v>
      </c>
      <c r="T252" s="167">
        <f t="shared" si="57"/>
        <v>3.172880922322463E-2</v>
      </c>
      <c r="U252" s="170">
        <v>1.8842836075567249E-2</v>
      </c>
      <c r="V252" s="55">
        <v>15586571.640663039</v>
      </c>
      <c r="X252" s="167">
        <f t="shared" si="58"/>
        <v>3.0832335307760639E-2</v>
      </c>
      <c r="Y252" s="170">
        <v>1.7957558841536381E-2</v>
      </c>
      <c r="Z252" s="55">
        <v>15573028.396757809</v>
      </c>
      <c r="AB252" s="55">
        <v>15058512.555669054</v>
      </c>
      <c r="AC252" s="55">
        <v>15573028.396757809</v>
      </c>
      <c r="AD252" s="167">
        <f t="shared" si="59"/>
        <v>3.0832335307760639E-2</v>
      </c>
      <c r="AE252" s="170">
        <v>1.7957558841536381E-2</v>
      </c>
      <c r="AF252" s="55">
        <v>15573028.396757809</v>
      </c>
      <c r="AG252" s="166">
        <v>1619.2684912075417</v>
      </c>
      <c r="AH252" s="171">
        <f t="shared" si="60"/>
        <v>3.0832335307760639E-2</v>
      </c>
      <c r="AI252" s="171">
        <f t="shared" si="60"/>
        <v>1.7957558841536603E-2</v>
      </c>
      <c r="AK252" s="55">
        <v>15460643.528011449</v>
      </c>
      <c r="AL252" s="166">
        <v>1607.5828208155604</v>
      </c>
      <c r="AM252" s="171">
        <f t="shared" si="61"/>
        <v>7.2690938474031519E-3</v>
      </c>
      <c r="AN252" s="170">
        <f t="shared" si="61"/>
        <v>7.2690938474031519E-3</v>
      </c>
      <c r="AP252" s="55">
        <v>22</v>
      </c>
      <c r="AQ252" s="55">
        <v>0</v>
      </c>
    </row>
    <row r="253" spans="2:43" x14ac:dyDescent="0.2">
      <c r="B253" s="1" t="s">
        <v>534</v>
      </c>
      <c r="D253" s="55">
        <v>2897046</v>
      </c>
      <c r="E253" s="166">
        <v>1570.9867252848733</v>
      </c>
      <c r="G253" s="55">
        <v>2936916.745734788</v>
      </c>
      <c r="H253" s="166">
        <v>1579.0302054939179</v>
      </c>
      <c r="J253" s="167">
        <f t="shared" si="53"/>
        <v>-1.3575715345929162E-2</v>
      </c>
      <c r="K253" s="168">
        <f t="shared" si="53"/>
        <v>-5.0939368867416457E-3</v>
      </c>
      <c r="L253" s="55">
        <v>2971284</v>
      </c>
      <c r="M253" s="167">
        <f t="shared" si="54"/>
        <v>2.5625412920609492E-2</v>
      </c>
      <c r="N253" s="169">
        <f t="shared" si="55"/>
        <v>9.0547645222140982E-3</v>
      </c>
      <c r="O253" s="55">
        <v>2971284</v>
      </c>
      <c r="Q253" s="167">
        <f t="shared" si="56"/>
        <v>2.8385540354794569E-2</v>
      </c>
      <c r="R253" s="170">
        <v>1.9618342478216588E-2</v>
      </c>
      <c r="S253" s="55">
        <v>2979280.2161426963</v>
      </c>
      <c r="T253" s="167">
        <f t="shared" si="57"/>
        <v>2.8385540354794569E-2</v>
      </c>
      <c r="U253" s="170">
        <v>1.9618342478216588E-2</v>
      </c>
      <c r="V253" s="55">
        <v>2979280.2161426963</v>
      </c>
      <c r="X253" s="167">
        <f t="shared" si="58"/>
        <v>2.8385540354794569E-2</v>
      </c>
      <c r="Y253" s="170">
        <v>1.9618342478216588E-2</v>
      </c>
      <c r="Z253" s="55">
        <v>2979280.2161426963</v>
      </c>
      <c r="AB253" s="55">
        <v>2937111.254662063</v>
      </c>
      <c r="AC253" s="55">
        <v>2979280.2161426963</v>
      </c>
      <c r="AD253" s="167">
        <f t="shared" si="59"/>
        <v>2.8385540354794569E-2</v>
      </c>
      <c r="AE253" s="170">
        <v>1.9618342478216588E-2</v>
      </c>
      <c r="AF253" s="55">
        <v>2979280.2161426963</v>
      </c>
      <c r="AG253" s="166">
        <v>1601.806880890244</v>
      </c>
      <c r="AH253" s="171">
        <f t="shared" si="60"/>
        <v>2.8385540354794569E-2</v>
      </c>
      <c r="AI253" s="171">
        <f t="shared" si="60"/>
        <v>1.9618342478216588E-2</v>
      </c>
      <c r="AK253" s="55">
        <v>3014843.3563107853</v>
      </c>
      <c r="AL253" s="166">
        <v>1620.9273658713655</v>
      </c>
      <c r="AM253" s="171">
        <f t="shared" si="61"/>
        <v>-1.1796015900344181E-2</v>
      </c>
      <c r="AN253" s="170">
        <f t="shared" si="61"/>
        <v>-1.179601590034407E-2</v>
      </c>
      <c r="AP253" s="55">
        <v>4</v>
      </c>
      <c r="AQ253" s="55">
        <v>0</v>
      </c>
    </row>
    <row r="254" spans="2:43" x14ac:dyDescent="0.2">
      <c r="B254" s="1" t="s">
        <v>535</v>
      </c>
      <c r="D254" s="55">
        <v>3161034</v>
      </c>
      <c r="E254" s="166">
        <v>1406.9031467817158</v>
      </c>
      <c r="G254" s="55">
        <v>3201201.6046149018</v>
      </c>
      <c r="H254" s="166">
        <v>1414.3115983748021</v>
      </c>
      <c r="J254" s="167">
        <f t="shared" si="53"/>
        <v>-1.2547664775937717E-2</v>
      </c>
      <c r="K254" s="168">
        <f t="shared" si="53"/>
        <v>-5.2382032372494391E-3</v>
      </c>
      <c r="L254" s="55">
        <v>3241327</v>
      </c>
      <c r="M254" s="167">
        <f t="shared" si="54"/>
        <v>2.5400865666107997E-2</v>
      </c>
      <c r="N254" s="169">
        <f t="shared" si="55"/>
        <v>9.0547645222140982E-3</v>
      </c>
      <c r="O254" s="55">
        <v>3241327</v>
      </c>
      <c r="Q254" s="167">
        <f t="shared" si="56"/>
        <v>2.6573180056759016E-2</v>
      </c>
      <c r="R254" s="170">
        <v>1.9029970013215713E-2</v>
      </c>
      <c r="S254" s="55">
        <v>3245032.725647537</v>
      </c>
      <c r="T254" s="167">
        <f t="shared" si="57"/>
        <v>2.6573180056759016E-2</v>
      </c>
      <c r="U254" s="170">
        <v>1.9029970013215713E-2</v>
      </c>
      <c r="V254" s="55">
        <v>3245032.725647537</v>
      </c>
      <c r="X254" s="167">
        <f t="shared" si="58"/>
        <v>2.6573180056759016E-2</v>
      </c>
      <c r="Y254" s="170">
        <v>1.9029970013215713E-2</v>
      </c>
      <c r="Z254" s="55">
        <v>3245032.725647537</v>
      </c>
      <c r="AB254" s="55">
        <v>3200164.5111633153</v>
      </c>
      <c r="AC254" s="55">
        <v>3245032.725647537</v>
      </c>
      <c r="AD254" s="167">
        <f t="shared" si="59"/>
        <v>2.6573180056759016E-2</v>
      </c>
      <c r="AE254" s="170">
        <v>1.9029970013215713E-2</v>
      </c>
      <c r="AF254" s="55">
        <v>3245032.725647537</v>
      </c>
      <c r="AG254" s="166">
        <v>1433.6764714764709</v>
      </c>
      <c r="AH254" s="171">
        <f t="shared" si="60"/>
        <v>2.6573180056759016E-2</v>
      </c>
      <c r="AI254" s="171">
        <f t="shared" si="60"/>
        <v>1.9029970013215936E-2</v>
      </c>
      <c r="AK254" s="55">
        <v>3285634.04234765</v>
      </c>
      <c r="AL254" s="166">
        <v>1451.6143961093574</v>
      </c>
      <c r="AM254" s="171">
        <f t="shared" si="61"/>
        <v>-1.2357224260770905E-2</v>
      </c>
      <c r="AN254" s="170">
        <f t="shared" si="61"/>
        <v>-1.2357224260770683E-2</v>
      </c>
      <c r="AP254" s="55">
        <v>2</v>
      </c>
      <c r="AQ254" s="55">
        <v>0</v>
      </c>
    </row>
    <row r="255" spans="2:43" x14ac:dyDescent="0.2">
      <c r="B255" s="1" t="s">
        <v>536</v>
      </c>
      <c r="D255" s="55">
        <v>4561868</v>
      </c>
      <c r="E255" s="166">
        <v>1567.2001856422371</v>
      </c>
      <c r="G255" s="55">
        <v>4610286.5036657117</v>
      </c>
      <c r="H255" s="166">
        <v>1571.4983388169933</v>
      </c>
      <c r="J255" s="167">
        <f t="shared" si="53"/>
        <v>-1.0502276513013498E-2</v>
      </c>
      <c r="K255" s="168">
        <f t="shared" si="53"/>
        <v>-2.7350669539948358E-3</v>
      </c>
      <c r="L255" s="55">
        <v>4679623</v>
      </c>
      <c r="M255" s="167">
        <f t="shared" si="54"/>
        <v>2.5812890684254741E-2</v>
      </c>
      <c r="N255" s="169">
        <f t="shared" si="55"/>
        <v>9.0547645222140982E-3</v>
      </c>
      <c r="O255" s="55">
        <v>4679623</v>
      </c>
      <c r="Q255" s="167">
        <f t="shared" si="56"/>
        <v>2.740207682212481E-2</v>
      </c>
      <c r="R255" s="170">
        <v>1.9400143767410505E-2</v>
      </c>
      <c r="S255" s="55">
        <v>4686872.6573883928</v>
      </c>
      <c r="T255" s="167">
        <f t="shared" si="57"/>
        <v>2.740207682212481E-2</v>
      </c>
      <c r="U255" s="170">
        <v>1.9400143767410505E-2</v>
      </c>
      <c r="V255" s="55">
        <v>4686872.6573883928</v>
      </c>
      <c r="X255" s="167">
        <f t="shared" si="58"/>
        <v>2.740207682212481E-2</v>
      </c>
      <c r="Y255" s="170">
        <v>1.9400143767410505E-2</v>
      </c>
      <c r="Z255" s="55">
        <v>4686872.6573883928</v>
      </c>
      <c r="AB255" s="55">
        <v>4610589.7482989635</v>
      </c>
      <c r="AC255" s="55">
        <v>4686872.6573883928</v>
      </c>
      <c r="AD255" s="167">
        <f t="shared" si="59"/>
        <v>2.740207682212481E-2</v>
      </c>
      <c r="AE255" s="170">
        <v>1.9400143767410505E-2</v>
      </c>
      <c r="AF255" s="55">
        <v>4686872.6573883928</v>
      </c>
      <c r="AG255" s="166">
        <v>1597.6040945560087</v>
      </c>
      <c r="AH255" s="171">
        <f t="shared" si="60"/>
        <v>2.740207682212481E-2</v>
      </c>
      <c r="AI255" s="171">
        <f t="shared" si="60"/>
        <v>1.9400143767410283E-2</v>
      </c>
      <c r="AK255" s="55">
        <v>4731544.0829185303</v>
      </c>
      <c r="AL255" s="166">
        <v>1612.8311462712072</v>
      </c>
      <c r="AM255" s="171">
        <f t="shared" si="61"/>
        <v>-9.4411939838850989E-3</v>
      </c>
      <c r="AN255" s="170">
        <f t="shared" si="61"/>
        <v>-9.4411939838853209E-3</v>
      </c>
      <c r="AP255" s="55">
        <v>5</v>
      </c>
      <c r="AQ255" s="55">
        <v>0</v>
      </c>
    </row>
    <row r="256" spans="2:43" x14ac:dyDescent="0.2">
      <c r="B256" s="1" t="s">
        <v>537</v>
      </c>
      <c r="D256" s="55">
        <v>4450662</v>
      </c>
      <c r="E256" s="166">
        <v>1558.4632691673285</v>
      </c>
      <c r="G256" s="55">
        <v>4466309.5991830723</v>
      </c>
      <c r="H256" s="166">
        <v>1554.3595081702706</v>
      </c>
      <c r="J256" s="167">
        <f t="shared" si="53"/>
        <v>-3.5034739163479767E-3</v>
      </c>
      <c r="K256" s="168">
        <f t="shared" si="53"/>
        <v>2.6401620574179052E-3</v>
      </c>
      <c r="L256" s="55">
        <v>4556372</v>
      </c>
      <c r="M256" s="167">
        <f t="shared" si="54"/>
        <v>2.4140263187503619E-2</v>
      </c>
      <c r="N256" s="169">
        <f t="shared" si="55"/>
        <v>9.0547645222140982E-3</v>
      </c>
      <c r="O256" s="55">
        <v>4558102.1520386208</v>
      </c>
      <c r="Q256" s="167">
        <f t="shared" si="56"/>
        <v>2.4995725269187252E-2</v>
      </c>
      <c r="R256" s="170">
        <v>1.8715106509812784E-2</v>
      </c>
      <c r="S256" s="55">
        <v>4561909.5246180119</v>
      </c>
      <c r="T256" s="167">
        <f t="shared" si="57"/>
        <v>2.5254182602404418E-2</v>
      </c>
      <c r="U256" s="170">
        <v>1.8971980156449186E-2</v>
      </c>
      <c r="V256" s="55">
        <v>4563059.8308495823</v>
      </c>
      <c r="X256" s="167">
        <f t="shared" si="58"/>
        <v>2.4606984888852823E-2</v>
      </c>
      <c r="Y256" s="170">
        <v>1.8328748120022498E-2</v>
      </c>
      <c r="Z256" s="55">
        <v>4560179.3725793911</v>
      </c>
      <c r="AB256" s="55">
        <v>4460604.8452619854</v>
      </c>
      <c r="AC256" s="55">
        <v>4560179.3725793911</v>
      </c>
      <c r="AD256" s="167">
        <f t="shared" si="59"/>
        <v>2.4606984888852823E-2</v>
      </c>
      <c r="AE256" s="170">
        <v>1.8328748120022498E-2</v>
      </c>
      <c r="AF256" s="55">
        <v>4560179.3725793911</v>
      </c>
      <c r="AG256" s="166">
        <v>1587.0279498822033</v>
      </c>
      <c r="AH256" s="171">
        <f t="shared" si="60"/>
        <v>2.4606984888852823E-2</v>
      </c>
      <c r="AI256" s="171">
        <f t="shared" si="60"/>
        <v>1.8328748120022498E-2</v>
      </c>
      <c r="AK256" s="55">
        <v>4581976.5397401657</v>
      </c>
      <c r="AL256" s="166">
        <v>1594.6137728698714</v>
      </c>
      <c r="AM256" s="171">
        <f t="shared" si="61"/>
        <v>-4.7571538116192302E-3</v>
      </c>
      <c r="AN256" s="170">
        <f t="shared" si="61"/>
        <v>-4.7571538116190082E-3</v>
      </c>
      <c r="AP256" s="55">
        <v>5</v>
      </c>
      <c r="AQ256" s="55">
        <v>0</v>
      </c>
    </row>
    <row r="257" spans="2:43" x14ac:dyDescent="0.2">
      <c r="B257" s="1" t="s">
        <v>538</v>
      </c>
      <c r="D257" s="55">
        <v>2306486</v>
      </c>
      <c r="E257" s="166">
        <v>1471.9463658678551</v>
      </c>
      <c r="G257" s="55">
        <v>2348208.379421067</v>
      </c>
      <c r="H257" s="166">
        <v>1488.3560154032025</v>
      </c>
      <c r="J257" s="167">
        <f t="shared" si="53"/>
        <v>-1.7767749994722859E-2</v>
      </c>
      <c r="K257" s="168">
        <f t="shared" si="53"/>
        <v>-1.102535237908242E-2</v>
      </c>
      <c r="L257" s="55">
        <v>2362350</v>
      </c>
      <c r="M257" s="167">
        <f t="shared" si="54"/>
        <v>2.4220394140697099E-2</v>
      </c>
      <c r="N257" s="169">
        <f t="shared" si="55"/>
        <v>9.0547645222140982E-3</v>
      </c>
      <c r="O257" s="55">
        <v>2362350</v>
      </c>
      <c r="Q257" s="167">
        <f t="shared" si="56"/>
        <v>2.5953070742889217E-2</v>
      </c>
      <c r="R257" s="170">
        <v>1.8958570373667216E-2</v>
      </c>
      <c r="S257" s="55">
        <v>2366346.3943254836</v>
      </c>
      <c r="T257" s="167">
        <f t="shared" si="57"/>
        <v>2.5953070742889217E-2</v>
      </c>
      <c r="U257" s="170">
        <v>1.8958570373667216E-2</v>
      </c>
      <c r="V257" s="55">
        <v>2366346.3943254836</v>
      </c>
      <c r="X257" s="167">
        <f t="shared" si="58"/>
        <v>2.5953070742889217E-2</v>
      </c>
      <c r="Y257" s="170">
        <v>1.8958570373667216E-2</v>
      </c>
      <c r="Z257" s="55">
        <v>2366346.3943254836</v>
      </c>
      <c r="AB257" s="55">
        <v>2344285.5603190921</v>
      </c>
      <c r="AC257" s="55">
        <v>2366346.3943254836</v>
      </c>
      <c r="AD257" s="167">
        <f t="shared" si="59"/>
        <v>2.5953070742889217E-2</v>
      </c>
      <c r="AE257" s="170">
        <v>1.8958570373667216E-2</v>
      </c>
      <c r="AF257" s="55">
        <v>2366346.3943254836</v>
      </c>
      <c r="AG257" s="166">
        <v>1499.8523646314245</v>
      </c>
      <c r="AH257" s="171">
        <f t="shared" si="60"/>
        <v>2.5953070742889217E-2</v>
      </c>
      <c r="AI257" s="171">
        <f t="shared" si="60"/>
        <v>1.8958570373667216E-2</v>
      </c>
      <c r="AK257" s="55">
        <v>2409305.032237086</v>
      </c>
      <c r="AL257" s="166">
        <v>1527.0806752488256</v>
      </c>
      <c r="AM257" s="171">
        <f t="shared" si="61"/>
        <v>-1.7830302654419206E-2</v>
      </c>
      <c r="AN257" s="170">
        <f t="shared" si="61"/>
        <v>-1.7830302654418984E-2</v>
      </c>
      <c r="AP257" s="55">
        <v>2</v>
      </c>
      <c r="AQ257" s="55">
        <v>0</v>
      </c>
    </row>
    <row r="258" spans="2:43" x14ac:dyDescent="0.2">
      <c r="B258" s="1" t="s">
        <v>539</v>
      </c>
      <c r="D258" s="55">
        <v>2387012</v>
      </c>
      <c r="E258" s="166">
        <v>1547.31232785617</v>
      </c>
      <c r="G258" s="55">
        <v>2394550.7144027851</v>
      </c>
      <c r="H258" s="166">
        <v>1539.4768705614006</v>
      </c>
      <c r="J258" s="167">
        <f t="shared" si="53"/>
        <v>-3.1482792815541449E-3</v>
      </c>
      <c r="K258" s="168">
        <f t="shared" si="53"/>
        <v>5.0896882211111105E-3</v>
      </c>
      <c r="L258" s="55">
        <v>2445863</v>
      </c>
      <c r="M258" s="167">
        <f t="shared" si="54"/>
        <v>2.4654672871355476E-2</v>
      </c>
      <c r="N258" s="169">
        <f t="shared" si="55"/>
        <v>9.0547645222140982E-3</v>
      </c>
      <c r="O258" s="55">
        <v>2445863</v>
      </c>
      <c r="Q258" s="167">
        <f t="shared" si="56"/>
        <v>2.5498980352304246E-2</v>
      </c>
      <c r="R258" s="170">
        <v>1.7093733165746583E-2</v>
      </c>
      <c r="S258" s="55">
        <v>2447878.3720887145</v>
      </c>
      <c r="T258" s="167">
        <f t="shared" si="57"/>
        <v>2.5498980352304246E-2</v>
      </c>
      <c r="U258" s="170">
        <v>1.7093733165746583E-2</v>
      </c>
      <c r="V258" s="55">
        <v>2447878.3720887145</v>
      </c>
      <c r="X258" s="167">
        <f t="shared" si="58"/>
        <v>2.5498980352304246E-2</v>
      </c>
      <c r="Y258" s="170">
        <v>1.7093733165746583E-2</v>
      </c>
      <c r="Z258" s="55">
        <v>2447878.3720887145</v>
      </c>
      <c r="AB258" s="55">
        <v>2396174.6275878418</v>
      </c>
      <c r="AC258" s="55">
        <v>2447878.3720887145</v>
      </c>
      <c r="AD258" s="167">
        <f t="shared" si="59"/>
        <v>2.5498980352304246E-2</v>
      </c>
      <c r="AE258" s="170">
        <v>1.7093733165746583E-2</v>
      </c>
      <c r="AF258" s="55">
        <v>2447878.3720887145</v>
      </c>
      <c r="AG258" s="166">
        <v>1573.7616719126136</v>
      </c>
      <c r="AH258" s="171">
        <f t="shared" si="60"/>
        <v>2.5498980352304246E-2</v>
      </c>
      <c r="AI258" s="171">
        <f t="shared" si="60"/>
        <v>1.7093733165746583E-2</v>
      </c>
      <c r="AK258" s="55">
        <v>2457615.0026541967</v>
      </c>
      <c r="AL258" s="166">
        <v>1580.0214339057939</v>
      </c>
      <c r="AM258" s="171">
        <f t="shared" si="61"/>
        <v>-3.961820934103466E-3</v>
      </c>
      <c r="AN258" s="170">
        <f t="shared" si="61"/>
        <v>-3.9618209341035771E-3</v>
      </c>
      <c r="AP258" s="55">
        <v>1</v>
      </c>
      <c r="AQ258" s="55">
        <v>0</v>
      </c>
    </row>
    <row r="259" spans="2:43" x14ac:dyDescent="0.2">
      <c r="B259" s="1" t="s">
        <v>540</v>
      </c>
      <c r="D259" s="55">
        <v>2919961</v>
      </c>
      <c r="E259" s="166">
        <v>1659.3903969317621</v>
      </c>
      <c r="G259" s="55">
        <v>2874581.7270122878</v>
      </c>
      <c r="H259" s="166">
        <v>1623.9208962834832</v>
      </c>
      <c r="J259" s="167">
        <f t="shared" si="53"/>
        <v>1.5786391655274734E-2</v>
      </c>
      <c r="K259" s="168">
        <f t="shared" si="53"/>
        <v>2.1841889422972827E-2</v>
      </c>
      <c r="L259" s="55">
        <v>2987206</v>
      </c>
      <c r="M259" s="167">
        <f t="shared" si="54"/>
        <v>2.3029417173722422E-2</v>
      </c>
      <c r="N259" s="169">
        <f t="shared" si="55"/>
        <v>9.0547645222140982E-3</v>
      </c>
      <c r="O259" s="55">
        <v>2987206</v>
      </c>
      <c r="Q259" s="167">
        <f t="shared" si="56"/>
        <v>2.3029417173722422E-2</v>
      </c>
      <c r="R259" s="170">
        <v>1.6966882043671028E-2</v>
      </c>
      <c r="S259" s="55">
        <v>2987206</v>
      </c>
      <c r="T259" s="167">
        <f t="shared" si="57"/>
        <v>2.3029417173722422E-2</v>
      </c>
      <c r="U259" s="170">
        <v>1.6966882043671028E-2</v>
      </c>
      <c r="V259" s="55">
        <v>2987206</v>
      </c>
      <c r="X259" s="167">
        <f t="shared" si="58"/>
        <v>2.3029417173722422E-2</v>
      </c>
      <c r="Y259" s="170">
        <v>1.6966882043671028E-2</v>
      </c>
      <c r="Z259" s="55">
        <v>2987206</v>
      </c>
      <c r="AB259" s="55">
        <v>2875967.3193587</v>
      </c>
      <c r="AC259" s="55">
        <v>2987206</v>
      </c>
      <c r="AD259" s="167">
        <f t="shared" si="59"/>
        <v>2.3029417173722422E-2</v>
      </c>
      <c r="AE259" s="170">
        <v>1.6966882043671028E-2</v>
      </c>
      <c r="AF259" s="55">
        <v>2987206</v>
      </c>
      <c r="AG259" s="166">
        <v>1687.545078060904</v>
      </c>
      <c r="AH259" s="171">
        <f t="shared" si="60"/>
        <v>2.3029417173722422E-2</v>
      </c>
      <c r="AI259" s="171">
        <f t="shared" si="60"/>
        <v>1.696688204367125E-2</v>
      </c>
      <c r="AK259" s="55">
        <v>2949710.0711371284</v>
      </c>
      <c r="AL259" s="166">
        <v>1666.3627189601721</v>
      </c>
      <c r="AM259" s="171">
        <f t="shared" si="61"/>
        <v>1.2711733681818105E-2</v>
      </c>
      <c r="AN259" s="170">
        <f t="shared" si="61"/>
        <v>1.2711733681818105E-2</v>
      </c>
      <c r="AP259" s="55">
        <v>3</v>
      </c>
      <c r="AQ259" s="55">
        <v>0</v>
      </c>
    </row>
    <row r="260" spans="2:43" ht="15" x14ac:dyDescent="0.25">
      <c r="B260"/>
      <c r="D260" s="1"/>
      <c r="G260" s="1"/>
      <c r="L260" s="1"/>
      <c r="O260" s="1"/>
      <c r="Q260" s="53"/>
      <c r="S260" s="1"/>
      <c r="U260" s="52"/>
      <c r="V260" s="1"/>
      <c r="X260" s="53"/>
      <c r="Y260" s="52"/>
      <c r="Z260" s="1"/>
      <c r="AB260" s="1"/>
      <c r="AC260" s="1"/>
      <c r="AD260" s="53"/>
      <c r="AE260" s="52"/>
      <c r="AF260" s="1"/>
      <c r="AG260" s="75"/>
      <c r="AK260" s="1"/>
      <c r="AL260" s="75"/>
      <c r="AP260" s="1"/>
      <c r="AQ260" s="1"/>
    </row>
    <row r="261" spans="2:43" x14ac:dyDescent="0.2">
      <c r="B261" s="1" t="s">
        <v>12</v>
      </c>
      <c r="D261" s="172">
        <f>SUM(D235:D259)</f>
        <v>92393046</v>
      </c>
      <c r="E261" s="173">
        <v>1599.6618765604621</v>
      </c>
      <c r="G261" s="172">
        <f>SUM(G235:G259)</f>
        <v>92393127.908494949</v>
      </c>
      <c r="H261" s="173">
        <v>1588.2278118776026</v>
      </c>
      <c r="J261" s="167">
        <f>D261/G261-1</f>
        <v>-8.8652150653789619E-7</v>
      </c>
      <c r="K261" s="168">
        <f>E261/H261-1</f>
        <v>7.1992598274313035E-3</v>
      </c>
      <c r="L261" s="172">
        <f>SUM(L235:L259)</f>
        <v>94725326</v>
      </c>
      <c r="M261" s="167">
        <f>O261/$D261-1</f>
        <v>2.5419805744289592E-2</v>
      </c>
      <c r="N261" s="169">
        <f>N$222</f>
        <v>9.0547645222140982E-3</v>
      </c>
      <c r="O261" s="172">
        <f>SUM(O235:O259)</f>
        <v>94741659.281443208</v>
      </c>
      <c r="Q261" s="167">
        <f>S261/$D261-1</f>
        <v>2.6529776798209559E-2</v>
      </c>
      <c r="R261" s="170">
        <v>1.919144274725304E-2</v>
      </c>
      <c r="S261" s="172">
        <f>SUM(S235:S259)</f>
        <v>94844212.888086706</v>
      </c>
      <c r="T261" s="167">
        <f>V261/$D261-1</f>
        <v>2.6649225272138422E-2</v>
      </c>
      <c r="U261" s="170">
        <v>1.9310037322129769E-2</v>
      </c>
      <c r="V261" s="172">
        <f>SUM(V235:V259)</f>
        <v>94855249.096433043</v>
      </c>
      <c r="X261" s="167">
        <f>Z261/$D261-1</f>
        <v>2.6372146988571377E-2</v>
      </c>
      <c r="Y261" s="170">
        <v>1.9034939782861526E-2</v>
      </c>
      <c r="Z261" s="172">
        <f>SUM(Z235:Z259)</f>
        <v>94829648.989833832</v>
      </c>
      <c r="AB261" s="172">
        <f>SUM(AB235:AB259)</f>
        <v>92345213.823370785</v>
      </c>
      <c r="AC261" s="172">
        <f>SUM(AC235:AC259)</f>
        <v>94829648.989833832</v>
      </c>
      <c r="AD261" s="167">
        <f>AC261/$D261-1</f>
        <v>2.6372146988571377E-2</v>
      </c>
      <c r="AE261" s="170">
        <v>1.9034939782861526E-2</v>
      </c>
      <c r="AF261" s="172">
        <f>SUM(AF235:AF259)</f>
        <v>94829648.989833832</v>
      </c>
      <c r="AG261" s="166">
        <v>1630.1113440537299</v>
      </c>
      <c r="AH261" s="171">
        <f>AF261/D261 - 1</f>
        <v>2.6372146988571377E-2</v>
      </c>
      <c r="AI261" s="171">
        <f>AG261/E261 - 1</f>
        <v>1.9034939782861526E-2</v>
      </c>
      <c r="AK261" s="172">
        <f>SUM(AK235:AK259)</f>
        <v>94829716.878834367</v>
      </c>
      <c r="AL261" s="173">
        <v>1630.1125110582595</v>
      </c>
      <c r="AM261" s="171">
        <f>AF261/AK261-1</f>
        <v>-7.159042837434626E-7</v>
      </c>
      <c r="AN261" s="170">
        <f t="shared" ref="AN261" si="62">AG261/AL261-1</f>
        <v>-7.159042837434626E-7</v>
      </c>
      <c r="AP261" s="172">
        <f>SUM(AP235:AP259)</f>
        <v>128</v>
      </c>
      <c r="AQ261" s="172">
        <f>SUM(AQ235:AQ259)</f>
        <v>0</v>
      </c>
    </row>
    <row r="262" spans="2:43" ht="15" x14ac:dyDescent="0.25">
      <c r="B262"/>
      <c r="D262" s="1"/>
      <c r="G262" s="1"/>
      <c r="L262" s="1"/>
      <c r="O262" s="1"/>
      <c r="Q262" s="53"/>
      <c r="S262" s="1"/>
      <c r="U262" s="52"/>
      <c r="V262" s="1"/>
      <c r="X262" s="53"/>
      <c r="Y262" s="52"/>
      <c r="Z262" s="1"/>
      <c r="AB262" s="1"/>
      <c r="AC262" s="1"/>
      <c r="AD262" s="53"/>
      <c r="AE262" s="52"/>
      <c r="AF262" s="1"/>
      <c r="AG262" s="75"/>
      <c r="AK262" s="1"/>
      <c r="AL262" s="75"/>
      <c r="AP262" s="1"/>
      <c r="AQ262" s="1"/>
    </row>
    <row r="263" spans="2:43" ht="15" x14ac:dyDescent="0.25">
      <c r="B263" s="174" t="s">
        <v>541</v>
      </c>
      <c r="D263" s="1"/>
      <c r="G263" s="1"/>
      <c r="L263" s="1"/>
      <c r="O263" s="1"/>
      <c r="Q263" s="53"/>
      <c r="S263" s="1"/>
      <c r="U263" s="52"/>
      <c r="V263" s="1"/>
      <c r="X263" s="53"/>
      <c r="Y263" s="52"/>
      <c r="Z263" s="1"/>
      <c r="AB263" s="1"/>
      <c r="AC263" s="1"/>
      <c r="AD263" s="53"/>
      <c r="AE263" s="52"/>
      <c r="AF263" s="1"/>
      <c r="AG263" s="75"/>
      <c r="AK263" s="1"/>
      <c r="AL263" s="75"/>
      <c r="AP263" s="1"/>
      <c r="AQ263" s="1"/>
    </row>
    <row r="264" spans="2:43" ht="15" x14ac:dyDescent="0.25">
      <c r="B264" t="s">
        <v>542</v>
      </c>
      <c r="D264" s="55">
        <v>6792295</v>
      </c>
      <c r="E264" s="166">
        <v>1451.8675788745995</v>
      </c>
      <c r="G264" s="55">
        <v>6903859.3653963767</v>
      </c>
      <c r="H264" s="166">
        <v>1464.026931060584</v>
      </c>
      <c r="J264" s="167">
        <f t="shared" ref="J264:K273" si="63">D264/G264-1</f>
        <v>-1.6159710024737928E-2</v>
      </c>
      <c r="K264" s="168">
        <f t="shared" si="63"/>
        <v>-8.3054156505003585E-3</v>
      </c>
      <c r="L264" s="55">
        <v>6967158</v>
      </c>
      <c r="M264" s="167">
        <f t="shared" ref="M264:M273" si="64">O264/$D264-1</f>
        <v>2.5744317642269587E-2</v>
      </c>
      <c r="N264" s="169">
        <f t="shared" ref="N264:N273" si="65">N$222</f>
        <v>9.0547645222140982E-3</v>
      </c>
      <c r="O264" s="55">
        <v>6967158</v>
      </c>
      <c r="Q264" s="167">
        <f t="shared" ref="Q264:Q273" si="66">S264/$D264-1</f>
        <v>2.7278104536810011E-2</v>
      </c>
      <c r="R264" s="170">
        <v>1.9141986053786031E-2</v>
      </c>
      <c r="S264" s="55">
        <v>6977575.9330548523</v>
      </c>
      <c r="T264" s="167">
        <f t="shared" ref="T264:T273" si="67">V264/$D264-1</f>
        <v>2.7278104536810011E-2</v>
      </c>
      <c r="U264" s="170">
        <v>1.9141986053786031E-2</v>
      </c>
      <c r="V264" s="55">
        <v>6977575.9330548523</v>
      </c>
      <c r="X264" s="167">
        <f t="shared" ref="X264:X273" si="68">Z264/$D264-1</f>
        <v>2.7278104536810011E-2</v>
      </c>
      <c r="Y264" s="170">
        <v>1.9141986053786031E-2</v>
      </c>
      <c r="Z264" s="55">
        <v>6977575.9330548523</v>
      </c>
      <c r="AB264" s="55">
        <v>6898652.1183326468</v>
      </c>
      <c r="AC264" s="55">
        <v>6977575.9330548523</v>
      </c>
      <c r="AD264" s="167">
        <f t="shared" ref="AD264:AD273" si="69">AC264/$D264-1</f>
        <v>2.7278104536810011E-2</v>
      </c>
      <c r="AE264" s="170">
        <v>1.9141986053786031E-2</v>
      </c>
      <c r="AF264" s="55">
        <v>6977575.9330548523</v>
      </c>
      <c r="AG264" s="166">
        <v>1479.6592078213612</v>
      </c>
      <c r="AH264" s="171">
        <f t="shared" ref="AH264:AI273" si="70">AF264/D264 - 1</f>
        <v>2.7278104536810011E-2</v>
      </c>
      <c r="AI264" s="171">
        <f t="shared" si="70"/>
        <v>1.9141986053786031E-2</v>
      </c>
      <c r="AK264" s="55">
        <v>7084747.7074171538</v>
      </c>
      <c r="AL264" s="166">
        <v>1502.3859691314749</v>
      </c>
      <c r="AM264" s="171">
        <f t="shared" ref="AM264:AN273" si="71">AF264/AK264-1</f>
        <v>-1.5127112324705871E-2</v>
      </c>
      <c r="AN264" s="170">
        <f t="shared" si="71"/>
        <v>-1.512711232470576E-2</v>
      </c>
      <c r="AP264" s="55">
        <v>7</v>
      </c>
      <c r="AQ264" s="55">
        <v>0</v>
      </c>
    </row>
    <row r="265" spans="2:43" ht="15" x14ac:dyDescent="0.25">
      <c r="B265" t="s">
        <v>543</v>
      </c>
      <c r="D265" s="55">
        <v>10157583</v>
      </c>
      <c r="E265" s="166">
        <v>1479.1720878295559</v>
      </c>
      <c r="G265" s="55">
        <v>10353697.259491138</v>
      </c>
      <c r="H265" s="166">
        <v>1496.1792537196663</v>
      </c>
      <c r="J265" s="167">
        <f t="shared" si="63"/>
        <v>-1.8941471300154333E-2</v>
      </c>
      <c r="K265" s="168">
        <f t="shared" si="63"/>
        <v>-1.1367064372687086E-2</v>
      </c>
      <c r="L265" s="55">
        <v>10413100</v>
      </c>
      <c r="M265" s="167">
        <f t="shared" si="64"/>
        <v>2.5155295309917669E-2</v>
      </c>
      <c r="N265" s="169">
        <f t="shared" si="65"/>
        <v>9.0547645222140982E-3</v>
      </c>
      <c r="O265" s="55">
        <v>10413100</v>
      </c>
      <c r="Q265" s="167">
        <f t="shared" si="66"/>
        <v>2.8046511939594954E-2</v>
      </c>
      <c r="R265" s="170">
        <v>2.0170138068990706E-2</v>
      </c>
      <c r="S265" s="55">
        <v>10442467.772886926</v>
      </c>
      <c r="T265" s="167">
        <f t="shared" si="67"/>
        <v>2.8046511939594954E-2</v>
      </c>
      <c r="U265" s="170">
        <v>2.0170138068990706E-2</v>
      </c>
      <c r="V265" s="55">
        <v>10442467.772886926</v>
      </c>
      <c r="X265" s="167">
        <f t="shared" si="68"/>
        <v>2.8046511939594954E-2</v>
      </c>
      <c r="Y265" s="170">
        <v>2.0170138068990706E-2</v>
      </c>
      <c r="Z265" s="55">
        <v>10442467.772886926</v>
      </c>
      <c r="AB265" s="55">
        <v>10312394.541221572</v>
      </c>
      <c r="AC265" s="55">
        <v>10442467.772886926</v>
      </c>
      <c r="AD265" s="167">
        <f t="shared" si="69"/>
        <v>2.8046511939594954E-2</v>
      </c>
      <c r="AE265" s="170">
        <v>2.0170138068990706E-2</v>
      </c>
      <c r="AF265" s="55">
        <v>10442467.772886926</v>
      </c>
      <c r="AG265" s="166">
        <v>1509.0071930688753</v>
      </c>
      <c r="AH265" s="171">
        <f t="shared" si="70"/>
        <v>2.8046511939594954E-2</v>
      </c>
      <c r="AI265" s="171">
        <f t="shared" si="70"/>
        <v>2.0170138068990706E-2</v>
      </c>
      <c r="AK265" s="55">
        <v>10625851.340817064</v>
      </c>
      <c r="AL265" s="166">
        <v>1535.5073584623192</v>
      </c>
      <c r="AM265" s="171">
        <f t="shared" si="71"/>
        <v>-1.7258247085172984E-2</v>
      </c>
      <c r="AN265" s="170">
        <f t="shared" si="71"/>
        <v>-1.7258247085172984E-2</v>
      </c>
      <c r="AP265" s="55">
        <v>8</v>
      </c>
      <c r="AQ265" s="55">
        <v>0</v>
      </c>
    </row>
    <row r="266" spans="2:43" ht="15" x14ac:dyDescent="0.25">
      <c r="B266" t="s">
        <v>544</v>
      </c>
      <c r="D266" s="55">
        <v>10607304</v>
      </c>
      <c r="E266" s="166">
        <v>1546.3512491987558</v>
      </c>
      <c r="G266" s="55">
        <v>10767080.656552058</v>
      </c>
      <c r="H266" s="166">
        <v>1557.9436131678353</v>
      </c>
      <c r="J266" s="167">
        <f t="shared" si="63"/>
        <v>-1.4839366551492206E-2</v>
      </c>
      <c r="K266" s="168">
        <f t="shared" si="63"/>
        <v>-7.4408109966882519E-3</v>
      </c>
      <c r="L266" s="55">
        <v>10870183</v>
      </c>
      <c r="M266" s="167">
        <f t="shared" si="64"/>
        <v>2.4782828888471498E-2</v>
      </c>
      <c r="N266" s="169">
        <f t="shared" si="65"/>
        <v>9.0547645222140982E-3</v>
      </c>
      <c r="O266" s="55">
        <v>10870183</v>
      </c>
      <c r="Q266" s="167">
        <f t="shared" si="66"/>
        <v>2.6728660556481598E-2</v>
      </c>
      <c r="R266" s="170">
        <v>1.9075405094241216E-2</v>
      </c>
      <c r="S266" s="55">
        <v>10890823.02803541</v>
      </c>
      <c r="T266" s="167">
        <f t="shared" si="67"/>
        <v>2.6728660556481598E-2</v>
      </c>
      <c r="U266" s="170">
        <v>1.9075405094241216E-2</v>
      </c>
      <c r="V266" s="55">
        <v>10890823.02803541</v>
      </c>
      <c r="X266" s="167">
        <f t="shared" si="68"/>
        <v>2.6728660556481598E-2</v>
      </c>
      <c r="Y266" s="170">
        <v>1.9075405094241216E-2</v>
      </c>
      <c r="Z266" s="55">
        <v>10890823.02803541</v>
      </c>
      <c r="AB266" s="55">
        <v>10761005.643950321</v>
      </c>
      <c r="AC266" s="55">
        <v>10890823.02803541</v>
      </c>
      <c r="AD266" s="167">
        <f t="shared" si="69"/>
        <v>2.6728660556481598E-2</v>
      </c>
      <c r="AE266" s="170">
        <v>1.9075405094241216E-2</v>
      </c>
      <c r="AF266" s="55">
        <v>10890823.02803541</v>
      </c>
      <c r="AG266" s="166">
        <v>1575.8485256952081</v>
      </c>
      <c r="AH266" s="171">
        <f t="shared" si="70"/>
        <v>2.6728660556481598E-2</v>
      </c>
      <c r="AI266" s="171">
        <f t="shared" si="70"/>
        <v>1.9075405094241216E-2</v>
      </c>
      <c r="AK266" s="55">
        <v>11049150.914728839</v>
      </c>
      <c r="AL266" s="166">
        <v>1598.757792164786</v>
      </c>
      <c r="AM266" s="171">
        <f t="shared" si="71"/>
        <v>-1.4329416614481505E-2</v>
      </c>
      <c r="AN266" s="170">
        <f t="shared" si="71"/>
        <v>-1.4329416614481505E-2</v>
      </c>
      <c r="AP266" s="55">
        <v>11</v>
      </c>
      <c r="AQ266" s="55">
        <v>0</v>
      </c>
    </row>
    <row r="267" spans="2:43" ht="15" x14ac:dyDescent="0.25">
      <c r="B267" t="s">
        <v>545</v>
      </c>
      <c r="D267" s="55">
        <v>8396777</v>
      </c>
      <c r="E267" s="166">
        <v>1555.5387692504285</v>
      </c>
      <c r="G267" s="55">
        <v>8446378.2612868026</v>
      </c>
      <c r="H267" s="166">
        <v>1552.3526590123292</v>
      </c>
      <c r="J267" s="167">
        <f t="shared" si="63"/>
        <v>-5.8724887463477149E-3</v>
      </c>
      <c r="K267" s="168">
        <f t="shared" si="63"/>
        <v>2.0524397079504375E-3</v>
      </c>
      <c r="L267" s="55">
        <v>8613052</v>
      </c>
      <c r="M267" s="167">
        <f t="shared" si="64"/>
        <v>2.5756906489239784E-2</v>
      </c>
      <c r="N267" s="169">
        <f t="shared" si="65"/>
        <v>9.0547645222140982E-3</v>
      </c>
      <c r="O267" s="55">
        <v>8613052</v>
      </c>
      <c r="Q267" s="167">
        <f t="shared" si="66"/>
        <v>2.6921469936625142E-2</v>
      </c>
      <c r="R267" s="170">
        <v>1.8799859874179425E-2</v>
      </c>
      <c r="S267" s="55">
        <v>8622830.5795700457</v>
      </c>
      <c r="T267" s="167">
        <f t="shared" si="67"/>
        <v>2.7087928624093927E-2</v>
      </c>
      <c r="U267" s="170">
        <v>1.8965002090437277E-2</v>
      </c>
      <c r="V267" s="55">
        <v>8624228.2960484345</v>
      </c>
      <c r="X267" s="167">
        <f t="shared" si="68"/>
        <v>2.6921469936625142E-2</v>
      </c>
      <c r="Y267" s="170">
        <v>1.8799859874179425E-2</v>
      </c>
      <c r="Z267" s="55">
        <v>8622830.5795700457</v>
      </c>
      <c r="AB267" s="55">
        <v>8439831.2200579494</v>
      </c>
      <c r="AC267" s="55">
        <v>8622830.5795700457</v>
      </c>
      <c r="AD267" s="167">
        <f t="shared" si="69"/>
        <v>2.6921469936625142E-2</v>
      </c>
      <c r="AE267" s="170">
        <v>1.8799859874179425E-2</v>
      </c>
      <c r="AF267" s="55">
        <v>8622830.5795700457</v>
      </c>
      <c r="AG267" s="166">
        <v>1584.78268014119</v>
      </c>
      <c r="AH267" s="171">
        <f t="shared" si="70"/>
        <v>2.6921469936625142E-2</v>
      </c>
      <c r="AI267" s="171">
        <f t="shared" si="70"/>
        <v>1.8799859874179425E-2</v>
      </c>
      <c r="AK267" s="55">
        <v>8669235.5013264865</v>
      </c>
      <c r="AL267" s="166">
        <v>1593.3114011446105</v>
      </c>
      <c r="AM267" s="171">
        <f t="shared" si="71"/>
        <v>-5.352827449357056E-3</v>
      </c>
      <c r="AN267" s="170">
        <f t="shared" si="71"/>
        <v>-5.352827449357167E-3</v>
      </c>
      <c r="AP267" s="55">
        <v>11</v>
      </c>
      <c r="AQ267" s="55">
        <v>0</v>
      </c>
    </row>
    <row r="268" spans="2:43" ht="15" x14ac:dyDescent="0.25">
      <c r="B268" t="s">
        <v>546</v>
      </c>
      <c r="D268" s="55">
        <v>9028178</v>
      </c>
      <c r="E268" s="166">
        <v>1606.2238511194682</v>
      </c>
      <c r="G268" s="55">
        <v>9042497.1922852248</v>
      </c>
      <c r="H268" s="166">
        <v>1599.7627237994764</v>
      </c>
      <c r="J268" s="167">
        <f t="shared" si="63"/>
        <v>-1.5835440123157518E-3</v>
      </c>
      <c r="K268" s="168">
        <f t="shared" si="63"/>
        <v>4.0388035199661054E-3</v>
      </c>
      <c r="L268" s="55">
        <v>9253334</v>
      </c>
      <c r="M268" s="167">
        <f t="shared" si="64"/>
        <v>2.4939251308514265E-2</v>
      </c>
      <c r="N268" s="169">
        <f t="shared" si="65"/>
        <v>9.0547645222140982E-3</v>
      </c>
      <c r="O268" s="55">
        <v>9253334</v>
      </c>
      <c r="Q268" s="167">
        <f t="shared" si="66"/>
        <v>2.5784689564369634E-2</v>
      </c>
      <c r="R268" s="170">
        <v>2.0040570912973399E-2</v>
      </c>
      <c r="S268" s="55">
        <v>9260966.7670618705</v>
      </c>
      <c r="T268" s="167">
        <f t="shared" si="67"/>
        <v>2.5784689564369634E-2</v>
      </c>
      <c r="U268" s="170">
        <v>2.0040570912973399E-2</v>
      </c>
      <c r="V268" s="55">
        <v>9260966.7670618705</v>
      </c>
      <c r="X268" s="167">
        <f t="shared" si="68"/>
        <v>2.5784689564369634E-2</v>
      </c>
      <c r="Y268" s="170">
        <v>2.0040570912973399E-2</v>
      </c>
      <c r="Z268" s="55">
        <v>9260966.7670618705</v>
      </c>
      <c r="AB268" s="55">
        <v>9041696.3410997484</v>
      </c>
      <c r="AC268" s="55">
        <v>9260966.7670618705</v>
      </c>
      <c r="AD268" s="167">
        <f t="shared" si="69"/>
        <v>2.5784689564369634E-2</v>
      </c>
      <c r="AE268" s="170">
        <v>2.0040570912973399E-2</v>
      </c>
      <c r="AF268" s="55">
        <v>9260966.7670618705</v>
      </c>
      <c r="AG268" s="166">
        <v>1638.4134941099369</v>
      </c>
      <c r="AH268" s="171">
        <f t="shared" si="70"/>
        <v>2.5784689564369634E-2</v>
      </c>
      <c r="AI268" s="171">
        <f t="shared" si="70"/>
        <v>2.0040570912973177E-2</v>
      </c>
      <c r="AK268" s="55">
        <v>9278422.6074548699</v>
      </c>
      <c r="AL268" s="166">
        <v>1641.501712129749</v>
      </c>
      <c r="AM268" s="171">
        <f t="shared" si="71"/>
        <v>-1.8813370689727549E-3</v>
      </c>
      <c r="AN268" s="170">
        <f t="shared" si="71"/>
        <v>-1.8813370689728659E-3</v>
      </c>
      <c r="AP268" s="55">
        <v>15</v>
      </c>
      <c r="AQ268" s="55">
        <v>0</v>
      </c>
    </row>
    <row r="269" spans="2:43" ht="15" x14ac:dyDescent="0.25">
      <c r="B269" t="s">
        <v>547</v>
      </c>
      <c r="D269" s="55">
        <v>7421128</v>
      </c>
      <c r="E269" s="166">
        <v>1591.8862759885149</v>
      </c>
      <c r="G269" s="55">
        <v>7422778.9503692873</v>
      </c>
      <c r="H269" s="166">
        <v>1581.9085510100431</v>
      </c>
      <c r="J269" s="167">
        <f t="shared" si="63"/>
        <v>-2.2241674988920934E-4</v>
      </c>
      <c r="K269" s="168">
        <f t="shared" si="63"/>
        <v>6.3073968290399129E-3</v>
      </c>
      <c r="L269" s="55">
        <v>7599238</v>
      </c>
      <c r="M269" s="167">
        <f t="shared" si="64"/>
        <v>2.4233533236270866E-2</v>
      </c>
      <c r="N269" s="169">
        <f t="shared" si="65"/>
        <v>9.0547645222140982E-3</v>
      </c>
      <c r="O269" s="55">
        <v>7600968.1520386208</v>
      </c>
      <c r="Q269" s="167">
        <f t="shared" si="66"/>
        <v>2.5342700647497995E-2</v>
      </c>
      <c r="R269" s="170">
        <v>1.8689369159683E-2</v>
      </c>
      <c r="S269" s="55">
        <v>7609199.4253707649</v>
      </c>
      <c r="T269" s="167">
        <f t="shared" si="67"/>
        <v>2.5497704877524896E-2</v>
      </c>
      <c r="U269" s="170">
        <v>1.8843367584993276E-2</v>
      </c>
      <c r="V269" s="55">
        <v>7610349.7316023363</v>
      </c>
      <c r="X269" s="167">
        <f t="shared" si="68"/>
        <v>2.5109561960411364E-2</v>
      </c>
      <c r="Y269" s="170">
        <v>1.8457743282866312E-2</v>
      </c>
      <c r="Z269" s="55">
        <v>7607469.2733321441</v>
      </c>
      <c r="AB269" s="55">
        <v>7422723.5037395908</v>
      </c>
      <c r="AC269" s="55">
        <v>7607469.2733321441</v>
      </c>
      <c r="AD269" s="167">
        <f t="shared" si="69"/>
        <v>2.5109561960411364E-2</v>
      </c>
      <c r="AE269" s="170">
        <v>1.8457743282866312E-2</v>
      </c>
      <c r="AF269" s="55">
        <v>7607469.2733321441</v>
      </c>
      <c r="AG269" s="166">
        <v>1621.2689042062289</v>
      </c>
      <c r="AH269" s="171">
        <f t="shared" si="70"/>
        <v>2.5109561960411364E-2</v>
      </c>
      <c r="AI269" s="171">
        <f t="shared" si="70"/>
        <v>1.8457743282866312E-2</v>
      </c>
      <c r="AK269" s="55">
        <v>7616867.7473883759</v>
      </c>
      <c r="AL269" s="166">
        <v>1623.2718638222175</v>
      </c>
      <c r="AM269" s="171">
        <f t="shared" si="71"/>
        <v>-1.233902749519844E-3</v>
      </c>
      <c r="AN269" s="170">
        <f t="shared" si="71"/>
        <v>-1.233902749519955E-3</v>
      </c>
      <c r="AP269" s="55">
        <v>13</v>
      </c>
      <c r="AQ269" s="55">
        <v>0</v>
      </c>
    </row>
    <row r="270" spans="2:43" ht="15" x14ac:dyDescent="0.25">
      <c r="B270" t="s">
        <v>548</v>
      </c>
      <c r="D270" s="55">
        <v>8952375</v>
      </c>
      <c r="E270" s="166">
        <v>1635.2932907287018</v>
      </c>
      <c r="G270" s="55">
        <v>8752867.2483180575</v>
      </c>
      <c r="H270" s="166">
        <v>1586.1883703891074</v>
      </c>
      <c r="J270" s="167">
        <f t="shared" si="63"/>
        <v>2.2793416833812863E-2</v>
      </c>
      <c r="K270" s="168">
        <f t="shared" si="63"/>
        <v>3.0957811352221976E-2</v>
      </c>
      <c r="L270" s="55">
        <v>9168194</v>
      </c>
      <c r="M270" s="167">
        <f t="shared" si="64"/>
        <v>2.5430960188000062E-2</v>
      </c>
      <c r="N270" s="169">
        <f t="shared" si="65"/>
        <v>9.0547645222140982E-3</v>
      </c>
      <c r="O270" s="55">
        <v>9180042.4922130462</v>
      </c>
      <c r="Q270" s="167">
        <f t="shared" si="66"/>
        <v>2.5973247551718703E-2</v>
      </c>
      <c r="R270" s="170">
        <v>1.7848326952534466E-2</v>
      </c>
      <c r="S270" s="55">
        <v>9184897.252050817</v>
      </c>
      <c r="T270" s="167">
        <f t="shared" si="67"/>
        <v>2.6282668339058235E-2</v>
      </c>
      <c r="U270" s="170">
        <v>1.8155297364744971E-2</v>
      </c>
      <c r="V270" s="55">
        <v>9187667.3029718772</v>
      </c>
      <c r="X270" s="167">
        <f t="shared" si="68"/>
        <v>2.4746487650614046E-2</v>
      </c>
      <c r="Y270" s="170">
        <v>1.663128204820441E-2</v>
      </c>
      <c r="Z270" s="55">
        <v>9173914.8373811655</v>
      </c>
      <c r="AB270" s="55">
        <v>8753950.3446388412</v>
      </c>
      <c r="AC270" s="55">
        <v>9173914.8373811655</v>
      </c>
      <c r="AD270" s="167">
        <f t="shared" si="69"/>
        <v>2.4746487650614046E-2</v>
      </c>
      <c r="AE270" s="170">
        <v>1.663128204820441E-2</v>
      </c>
      <c r="AF270" s="55">
        <v>9173914.8373811655</v>
      </c>
      <c r="AG270" s="166">
        <v>1662.4903146783467</v>
      </c>
      <c r="AH270" s="171">
        <f t="shared" si="70"/>
        <v>2.4746487650614046E-2</v>
      </c>
      <c r="AI270" s="171">
        <f t="shared" si="70"/>
        <v>1.6631282048204188E-2</v>
      </c>
      <c r="AK270" s="55">
        <v>8985243.7057712097</v>
      </c>
      <c r="AL270" s="166">
        <v>1628.2994665485103</v>
      </c>
      <c r="AM270" s="171">
        <f t="shared" si="71"/>
        <v>2.0997886956451994E-2</v>
      </c>
      <c r="AN270" s="170">
        <f t="shared" si="71"/>
        <v>2.0997886956451772E-2</v>
      </c>
      <c r="AP270" s="55">
        <v>14</v>
      </c>
      <c r="AQ270" s="55">
        <v>0</v>
      </c>
    </row>
    <row r="271" spans="2:43" ht="15" x14ac:dyDescent="0.25">
      <c r="B271" t="s">
        <v>549</v>
      </c>
      <c r="D271" s="55">
        <v>10850654</v>
      </c>
      <c r="E271" s="166">
        <v>1669.5942245158537</v>
      </c>
      <c r="G271" s="55">
        <v>10757013.105634796</v>
      </c>
      <c r="H271" s="166">
        <v>1644.3605609029105</v>
      </c>
      <c r="J271" s="167">
        <f t="shared" si="63"/>
        <v>8.7051018201467212E-3</v>
      </c>
      <c r="K271" s="168">
        <f t="shared" si="63"/>
        <v>1.5345578222265122E-2</v>
      </c>
      <c r="L271" s="55">
        <v>11124489</v>
      </c>
      <c r="M271" s="167">
        <f t="shared" si="64"/>
        <v>2.5236727666369196E-2</v>
      </c>
      <c r="N271" s="169">
        <f t="shared" si="65"/>
        <v>9.0547645222140982E-3</v>
      </c>
      <c r="O271" s="55">
        <v>11124489</v>
      </c>
      <c r="Q271" s="167">
        <f t="shared" si="66"/>
        <v>2.5831509620994675E-2</v>
      </c>
      <c r="R271" s="170">
        <v>1.9122454026234026E-2</v>
      </c>
      <c r="S271" s="55">
        <v>11130942.773195084</v>
      </c>
      <c r="T271" s="167">
        <f t="shared" si="67"/>
        <v>2.5849051887494534E-2</v>
      </c>
      <c r="U271" s="170">
        <v>1.9139881564301353E-2</v>
      </c>
      <c r="V271" s="55">
        <v>11131133.118259249</v>
      </c>
      <c r="X271" s="167">
        <f t="shared" si="68"/>
        <v>2.5831509620994675E-2</v>
      </c>
      <c r="Y271" s="170">
        <v>1.9122454026234026E-2</v>
      </c>
      <c r="Z271" s="55">
        <v>11130942.773195084</v>
      </c>
      <c r="AB271" s="55">
        <v>10757520.097198885</v>
      </c>
      <c r="AC271" s="55">
        <v>11130942.773195084</v>
      </c>
      <c r="AD271" s="167">
        <f t="shared" si="69"/>
        <v>2.5831509620994675E-2</v>
      </c>
      <c r="AE271" s="170">
        <v>1.9122454026234026E-2</v>
      </c>
      <c r="AF271" s="55">
        <v>11130942.773195084</v>
      </c>
      <c r="AG271" s="166">
        <v>1701.5209633166239</v>
      </c>
      <c r="AH271" s="171">
        <f t="shared" si="70"/>
        <v>2.5831509620994675E-2</v>
      </c>
      <c r="AI271" s="171">
        <f t="shared" si="70"/>
        <v>1.9122454026234026E-2</v>
      </c>
      <c r="AK271" s="55">
        <v>11040816.996242933</v>
      </c>
      <c r="AL271" s="166">
        <v>1687.7439722796587</v>
      </c>
      <c r="AM271" s="171">
        <f t="shared" si="71"/>
        <v>8.1629626668768829E-3</v>
      </c>
      <c r="AN271" s="170">
        <f t="shared" si="71"/>
        <v>8.1629626668768829E-3</v>
      </c>
      <c r="AP271" s="55">
        <v>14</v>
      </c>
      <c r="AQ271" s="55">
        <v>0</v>
      </c>
    </row>
    <row r="272" spans="2:43" ht="15" x14ac:dyDescent="0.25">
      <c r="B272" t="s">
        <v>550</v>
      </c>
      <c r="D272" s="55">
        <v>9574285</v>
      </c>
      <c r="E272" s="166">
        <v>1725.5336814240766</v>
      </c>
      <c r="G272" s="55">
        <v>9378184.3979735579</v>
      </c>
      <c r="H272" s="166">
        <v>1677.5134949597787</v>
      </c>
      <c r="J272" s="167">
        <f t="shared" si="63"/>
        <v>2.0910294968055299E-2</v>
      </c>
      <c r="K272" s="168">
        <f t="shared" si="63"/>
        <v>2.8625812316013244E-2</v>
      </c>
      <c r="L272" s="55">
        <v>9813676</v>
      </c>
      <c r="M272" s="167">
        <f t="shared" si="64"/>
        <v>2.5291250176021629E-2</v>
      </c>
      <c r="N272" s="169">
        <f t="shared" si="65"/>
        <v>9.0547645222140982E-3</v>
      </c>
      <c r="O272" s="55">
        <v>9816430.6371915322</v>
      </c>
      <c r="Q272" s="167">
        <f t="shared" si="66"/>
        <v>2.5410917068231953E-2</v>
      </c>
      <c r="R272" s="170">
        <v>1.7719514009220783E-2</v>
      </c>
      <c r="S272" s="55">
        <v>9817576.3621226177</v>
      </c>
      <c r="T272" s="167">
        <f t="shared" si="67"/>
        <v>2.5988275027717611E-2</v>
      </c>
      <c r="U272" s="170">
        <v>1.8292541321644151E-2</v>
      </c>
      <c r="V272" s="55">
        <v>9823104.1517737508</v>
      </c>
      <c r="X272" s="167">
        <f t="shared" si="68"/>
        <v>2.5217552076004512E-2</v>
      </c>
      <c r="Y272" s="170">
        <v>1.7527599409287831E-2</v>
      </c>
      <c r="Z272" s="55">
        <v>9815725.0305780098</v>
      </c>
      <c r="AB272" s="55">
        <v>9386953.8967504613</v>
      </c>
      <c r="AC272" s="55">
        <v>9815725.0305780098</v>
      </c>
      <c r="AD272" s="167">
        <f t="shared" si="69"/>
        <v>2.5217552076004512E-2</v>
      </c>
      <c r="AE272" s="170">
        <v>1.7527599409287831E-2</v>
      </c>
      <c r="AF272" s="55">
        <v>9815725.0305780098</v>
      </c>
      <c r="AG272" s="166">
        <v>1755.7781445593114</v>
      </c>
      <c r="AH272" s="171">
        <f t="shared" si="70"/>
        <v>2.5217552076004512E-2</v>
      </c>
      <c r="AI272" s="171">
        <f t="shared" si="70"/>
        <v>1.7527599409287831E-2</v>
      </c>
      <c r="AK272" s="55">
        <v>9627645.0223081652</v>
      </c>
      <c r="AL272" s="166">
        <v>1722.1355183732676</v>
      </c>
      <c r="AM272" s="171">
        <f t="shared" si="71"/>
        <v>1.9535411602115138E-2</v>
      </c>
      <c r="AN272" s="170">
        <f t="shared" si="71"/>
        <v>1.9535411602115138E-2</v>
      </c>
      <c r="AP272" s="55">
        <v>18</v>
      </c>
      <c r="AQ272" s="55">
        <v>0</v>
      </c>
    </row>
    <row r="273" spans="2:43" ht="15" x14ac:dyDescent="0.25">
      <c r="B273" t="s">
        <v>551</v>
      </c>
      <c r="D273" s="55">
        <v>10612467</v>
      </c>
      <c r="E273" s="166">
        <v>1725.5272063494272</v>
      </c>
      <c r="G273" s="55">
        <v>10568771.471187659</v>
      </c>
      <c r="H273" s="166">
        <v>1707.1984825737759</v>
      </c>
      <c r="J273" s="167">
        <f t="shared" si="63"/>
        <v>4.1344000039609252E-3</v>
      </c>
      <c r="K273" s="168">
        <f t="shared" si="63"/>
        <v>1.0736141088890205E-2</v>
      </c>
      <c r="L273" s="55">
        <v>10902902</v>
      </c>
      <c r="M273" s="167">
        <f t="shared" si="64"/>
        <v>2.7367340694675502E-2</v>
      </c>
      <c r="N273" s="169">
        <f t="shared" si="65"/>
        <v>9.0547645222140982E-3</v>
      </c>
      <c r="O273" s="55">
        <v>10902902</v>
      </c>
      <c r="Q273" s="167">
        <f t="shared" si="66"/>
        <v>2.7747176480107827E-2</v>
      </c>
      <c r="R273" s="170">
        <v>2.1034325831887024E-2</v>
      </c>
      <c r="S273" s="55">
        <v>10906932.99473832</v>
      </c>
      <c r="T273" s="167">
        <f t="shared" si="67"/>
        <v>2.7747176480107827E-2</v>
      </c>
      <c r="U273" s="170">
        <v>2.1034325831887024E-2</v>
      </c>
      <c r="V273" s="55">
        <v>10906932.99473832</v>
      </c>
      <c r="X273" s="167">
        <f t="shared" si="68"/>
        <v>2.7747176480107827E-2</v>
      </c>
      <c r="Y273" s="170">
        <v>2.1034325831887024E-2</v>
      </c>
      <c r="Z273" s="55">
        <v>10906932.99473832</v>
      </c>
      <c r="AB273" s="55">
        <v>10570486.116380747</v>
      </c>
      <c r="AC273" s="55">
        <v>10906932.99473832</v>
      </c>
      <c r="AD273" s="167">
        <f t="shared" si="69"/>
        <v>2.7747176480107827E-2</v>
      </c>
      <c r="AE273" s="170">
        <v>2.1034325831887024E-2</v>
      </c>
      <c r="AF273" s="55">
        <v>10906932.99473832</v>
      </c>
      <c r="AG273" s="166">
        <v>1761.8225078395667</v>
      </c>
      <c r="AH273" s="171">
        <f t="shared" si="70"/>
        <v>2.7747176480107827E-2</v>
      </c>
      <c r="AI273" s="171">
        <f t="shared" si="70"/>
        <v>2.1034325831887024E-2</v>
      </c>
      <c r="AK273" s="55">
        <v>10851735.33537926</v>
      </c>
      <c r="AL273" s="166">
        <v>1752.9063002598771</v>
      </c>
      <c r="AM273" s="171">
        <f t="shared" si="71"/>
        <v>5.0865283434533559E-3</v>
      </c>
      <c r="AN273" s="170">
        <f t="shared" si="71"/>
        <v>5.0865283434531339E-3</v>
      </c>
      <c r="AP273" s="55">
        <v>17</v>
      </c>
      <c r="AQ273" s="55">
        <v>0</v>
      </c>
    </row>
    <row r="274" spans="2:43" ht="15" x14ac:dyDescent="0.25">
      <c r="B274"/>
      <c r="D274" s="1"/>
      <c r="G274" s="1"/>
      <c r="L274" s="1"/>
      <c r="O274" s="1"/>
      <c r="Q274" s="53"/>
      <c r="S274" s="1"/>
      <c r="U274" s="52"/>
      <c r="V274" s="1"/>
      <c r="X274" s="53"/>
      <c r="Y274" s="52"/>
      <c r="Z274" s="1"/>
      <c r="AB274" s="1"/>
      <c r="AC274" s="1"/>
      <c r="AD274" s="53"/>
      <c r="AE274" s="52"/>
      <c r="AF274" s="1"/>
      <c r="AG274" s="75"/>
      <c r="AK274" s="1"/>
      <c r="AL274" s="75"/>
      <c r="AP274" s="1"/>
      <c r="AQ274" s="1"/>
    </row>
    <row r="275" spans="2:43" ht="15" x14ac:dyDescent="0.25">
      <c r="B275" t="s">
        <v>12</v>
      </c>
      <c r="D275" s="172">
        <f>SUM(D264:D273)</f>
        <v>92393046</v>
      </c>
      <c r="E275" s="173">
        <v>1599.6618765604621</v>
      </c>
      <c r="G275" s="172">
        <f>SUM(G264:G273)</f>
        <v>92393127.908494949</v>
      </c>
      <c r="H275" s="173">
        <v>1588.2278118776026</v>
      </c>
      <c r="J275" s="167">
        <f>D275/G275-1</f>
        <v>-8.8652150653789619E-7</v>
      </c>
      <c r="K275" s="168">
        <f>E275/H275-1</f>
        <v>7.1992598274313035E-3</v>
      </c>
      <c r="L275" s="172">
        <f>SUM(L264:L273)</f>
        <v>94725326</v>
      </c>
      <c r="M275" s="167">
        <f>O275/$D275-1</f>
        <v>2.5419805744289592E-2</v>
      </c>
      <c r="N275" s="169">
        <f>N$222</f>
        <v>9.0547645222140982E-3</v>
      </c>
      <c r="O275" s="172">
        <f>SUM(O264:O273)</f>
        <v>94741659.281443208</v>
      </c>
      <c r="Q275" s="167">
        <f>S275/$D275-1</f>
        <v>2.6529776798209781E-2</v>
      </c>
      <c r="R275" s="170">
        <v>1.9191442747253262E-2</v>
      </c>
      <c r="S275" s="172">
        <f>SUM(S264:S273)</f>
        <v>94844212.888086721</v>
      </c>
      <c r="T275" s="167">
        <f>V275/$D275-1</f>
        <v>2.6649225272138199E-2</v>
      </c>
      <c r="U275" s="170">
        <v>1.9310037322129547E-2</v>
      </c>
      <c r="V275" s="172">
        <f>SUM(V264:V273)</f>
        <v>94855249.096433029</v>
      </c>
      <c r="X275" s="167">
        <f>Z275/$D275-1</f>
        <v>2.6372146988571155E-2</v>
      </c>
      <c r="Y275" s="170">
        <v>1.9034939782861304E-2</v>
      </c>
      <c r="Z275" s="172">
        <f>SUM(Z264:Z273)</f>
        <v>94829648.989833817</v>
      </c>
      <c r="AB275" s="172">
        <f>SUM(AB264:AB273)</f>
        <v>92345213.82337077</v>
      </c>
      <c r="AC275" s="172">
        <f>SUM(AC264:AC273)</f>
        <v>94829648.989833817</v>
      </c>
      <c r="AD275" s="167">
        <f>AC275/$D275-1</f>
        <v>2.6372146988571155E-2</v>
      </c>
      <c r="AE275" s="170">
        <v>1.9034939782861304E-2</v>
      </c>
      <c r="AF275" s="172">
        <f>SUM(AF264:AF273)</f>
        <v>94829648.989833817</v>
      </c>
      <c r="AG275" s="166">
        <v>1630.1113440537297</v>
      </c>
      <c r="AH275" s="171">
        <f>AF275/D275 - 1</f>
        <v>2.6372146988571155E-2</v>
      </c>
      <c r="AI275" s="171">
        <f>AG275/E275 - 1</f>
        <v>1.9034939782861526E-2</v>
      </c>
      <c r="AK275" s="172">
        <f>SUM(AK264:AK273)</f>
        <v>94829716.878834352</v>
      </c>
      <c r="AL275" s="173">
        <v>1630.1125110582593</v>
      </c>
      <c r="AM275" s="171">
        <f>AF275/AK275-1</f>
        <v>-7.159042837434626E-7</v>
      </c>
      <c r="AN275" s="170">
        <f t="shared" ref="AN275" si="72">AG275/AL275-1</f>
        <v>-7.159042837434626E-7</v>
      </c>
      <c r="AP275" s="172">
        <f>SUM(AP264:AP273)</f>
        <v>128</v>
      </c>
      <c r="AQ275" s="172">
        <f>SUM(AQ264:AQ273)</f>
        <v>0</v>
      </c>
    </row>
    <row r="276" spans="2:43" ht="15" x14ac:dyDescent="0.25">
      <c r="B276"/>
      <c r="D276" s="1"/>
      <c r="G276" s="1"/>
      <c r="L276" s="1"/>
      <c r="O276" s="1"/>
      <c r="Q276" s="53"/>
      <c r="S276" s="1"/>
      <c r="U276" s="52"/>
      <c r="V276" s="1"/>
      <c r="X276" s="53"/>
      <c r="Y276" s="52"/>
      <c r="Z276" s="1"/>
      <c r="AB276" s="1"/>
      <c r="AC276" s="1"/>
      <c r="AD276" s="53"/>
      <c r="AE276" s="52"/>
      <c r="AF276" s="1"/>
      <c r="AG276" s="75"/>
      <c r="AK276" s="1"/>
      <c r="AL276" s="75"/>
      <c r="AP276" s="1"/>
      <c r="AQ276" s="1"/>
    </row>
    <row r="277" spans="2:43" ht="15" x14ac:dyDescent="0.25">
      <c r="B277" s="174" t="s">
        <v>552</v>
      </c>
      <c r="D277" s="1"/>
      <c r="G277" s="1"/>
      <c r="L277" s="1"/>
      <c r="O277" s="1"/>
      <c r="Q277" s="53"/>
      <c r="S277" s="1"/>
      <c r="U277" s="52"/>
      <c r="V277" s="1"/>
      <c r="X277" s="53"/>
      <c r="Y277" s="52"/>
      <c r="Z277" s="1"/>
      <c r="AB277" s="1"/>
      <c r="AC277" s="1"/>
      <c r="AD277" s="53"/>
      <c r="AE277" s="52"/>
      <c r="AF277" s="1"/>
      <c r="AG277" s="75"/>
      <c r="AK277" s="1"/>
      <c r="AL277" s="75"/>
      <c r="AP277" s="1"/>
      <c r="AQ277" s="1"/>
    </row>
    <row r="278" spans="2:43" ht="15" x14ac:dyDescent="0.25">
      <c r="B278" t="s">
        <v>553</v>
      </c>
      <c r="D278" s="55">
        <v>9483161</v>
      </c>
      <c r="E278" s="166">
        <v>1613.1276898386188</v>
      </c>
      <c r="G278" s="55">
        <v>9364465.2174621075</v>
      </c>
      <c r="H278" s="166">
        <v>1574.2060050246757</v>
      </c>
      <c r="J278" s="167">
        <f t="shared" ref="J278:K287" si="73">D278/G278-1</f>
        <v>1.2675126639005274E-2</v>
      </c>
      <c r="K278" s="168">
        <f t="shared" si="73"/>
        <v>2.4724645116147359E-2</v>
      </c>
      <c r="L278" s="55">
        <v>9767189</v>
      </c>
      <c r="M278" s="167">
        <f t="shared" ref="M278:M287" si="74">O278/$D278-1</f>
        <v>3.0870587351484291E-2</v>
      </c>
      <c r="N278" s="169">
        <f t="shared" ref="N278:N287" si="75">N$222</f>
        <v>9.0547645222140982E-3</v>
      </c>
      <c r="O278" s="55">
        <v>9775911.7500186898</v>
      </c>
      <c r="Q278" s="167">
        <f t="shared" ref="Q278:Q287" si="76">S278/$D278-1</f>
        <v>3.1055441980828657E-2</v>
      </c>
      <c r="R278" s="170">
        <v>1.8931481014029083E-2</v>
      </c>
      <c r="S278" s="55">
        <v>9777664.756230358</v>
      </c>
      <c r="T278" s="167">
        <f t="shared" ref="T278:T287" si="77">V278/$D278-1</f>
        <v>3.1057832958680587E-2</v>
      </c>
      <c r="U278" s="170">
        <v>1.8933843876882461E-2</v>
      </c>
      <c r="V278" s="55">
        <v>9777687.4302582741</v>
      </c>
      <c r="X278" s="167">
        <f t="shared" ref="X278:X287" si="78">Z278/$D278-1</f>
        <v>3.0135627372736673E-2</v>
      </c>
      <c r="Y278" s="170">
        <v>1.8022482309671295E-2</v>
      </c>
      <c r="Z278" s="55">
        <v>9768942.0062116683</v>
      </c>
      <c r="AB278" s="55">
        <v>9377571.2565314285</v>
      </c>
      <c r="AC278" s="55">
        <v>9768942.0062116683</v>
      </c>
      <c r="AD278" s="167">
        <f t="shared" ref="AD278:AD287" si="79">AC278/$D278-1</f>
        <v>3.0135627372736673E-2</v>
      </c>
      <c r="AE278" s="170">
        <v>1.8022482309671295E-2</v>
      </c>
      <c r="AF278" s="55">
        <v>9768942.0062116683</v>
      </c>
      <c r="AG278" s="166">
        <v>1642.2002550919763</v>
      </c>
      <c r="AH278" s="171">
        <f t="shared" ref="AH278:AI287" si="80">AF278/D278 - 1</f>
        <v>3.0135627372736673E-2</v>
      </c>
      <c r="AI278" s="171">
        <f t="shared" si="80"/>
        <v>1.8022482309671295E-2</v>
      </c>
      <c r="AK278" s="55">
        <v>9621834.3145919293</v>
      </c>
      <c r="AL278" s="166">
        <v>1617.4708331596607</v>
      </c>
      <c r="AM278" s="171">
        <f t="shared" ref="AM278:AN287" si="81">AF278/AK278-1</f>
        <v>1.5288944582702246E-2</v>
      </c>
      <c r="AN278" s="170">
        <f t="shared" si="81"/>
        <v>1.5288944582702468E-2</v>
      </c>
      <c r="AP278" s="55">
        <v>17</v>
      </c>
      <c r="AQ278" s="55">
        <v>0</v>
      </c>
    </row>
    <row r="279" spans="2:43" ht="15" x14ac:dyDescent="0.25">
      <c r="B279" t="s">
        <v>554</v>
      </c>
      <c r="D279" s="55">
        <v>10047911</v>
      </c>
      <c r="E279" s="166">
        <v>1555.4944646847507</v>
      </c>
      <c r="G279" s="55">
        <v>10134167.427154189</v>
      </c>
      <c r="H279" s="166">
        <v>1552.5561118590188</v>
      </c>
      <c r="J279" s="167">
        <f t="shared" si="73"/>
        <v>-8.5114468232553309E-3</v>
      </c>
      <c r="K279" s="168">
        <f t="shared" si="73"/>
        <v>1.8925904212334643E-3</v>
      </c>
      <c r="L279" s="55">
        <v>10340932</v>
      </c>
      <c r="M279" s="167">
        <f t="shared" si="74"/>
        <v>2.9437048153891032E-2</v>
      </c>
      <c r="N279" s="169">
        <f t="shared" si="75"/>
        <v>9.0547645222140982E-3</v>
      </c>
      <c r="O279" s="55">
        <v>10343691.839953011</v>
      </c>
      <c r="Q279" s="167">
        <f t="shared" si="76"/>
        <v>3.0236401140780744E-2</v>
      </c>
      <c r="R279" s="170">
        <v>1.9538030885751567E-2</v>
      </c>
      <c r="S279" s="55">
        <v>10351723.667622864</v>
      </c>
      <c r="T279" s="167">
        <f t="shared" si="77"/>
        <v>3.0439227370592237E-2</v>
      </c>
      <c r="U279" s="170">
        <v>1.9738750890136103E-2</v>
      </c>
      <c r="V279" s="55">
        <v>10353761.647528475</v>
      </c>
      <c r="X279" s="167">
        <f t="shared" si="78"/>
        <v>2.9961733107493727E-2</v>
      </c>
      <c r="Y279" s="170">
        <v>1.9266215110756102E-2</v>
      </c>
      <c r="Z279" s="55">
        <v>10348963.827669851</v>
      </c>
      <c r="AB279" s="55">
        <v>10127928.982435185</v>
      </c>
      <c r="AC279" s="55">
        <v>10348963.827669851</v>
      </c>
      <c r="AD279" s="167">
        <f t="shared" si="79"/>
        <v>2.9961733107493727E-2</v>
      </c>
      <c r="AE279" s="170">
        <v>1.9266215110756102E-2</v>
      </c>
      <c r="AF279" s="55">
        <v>10348963.827669851</v>
      </c>
      <c r="AG279" s="166">
        <v>1585.4629556449574</v>
      </c>
      <c r="AH279" s="171">
        <f t="shared" si="80"/>
        <v>2.9961733107493727E-2</v>
      </c>
      <c r="AI279" s="171">
        <f t="shared" si="80"/>
        <v>1.9266215110756102E-2</v>
      </c>
      <c r="AK279" s="55">
        <v>10407144.679325685</v>
      </c>
      <c r="AL279" s="166">
        <v>1594.3762716603801</v>
      </c>
      <c r="AM279" s="171">
        <f t="shared" si="81"/>
        <v>-5.5904720697707022E-3</v>
      </c>
      <c r="AN279" s="170">
        <f t="shared" si="81"/>
        <v>-5.5904720697708132E-3</v>
      </c>
      <c r="AP279" s="55">
        <v>12</v>
      </c>
      <c r="AQ279" s="55">
        <v>0</v>
      </c>
    </row>
    <row r="280" spans="2:43" ht="15" x14ac:dyDescent="0.25">
      <c r="B280" t="s">
        <v>555</v>
      </c>
      <c r="D280" s="55">
        <v>9538471</v>
      </c>
      <c r="E280" s="166">
        <v>1650.0460841003971</v>
      </c>
      <c r="G280" s="55">
        <v>9504938.3868358657</v>
      </c>
      <c r="H280" s="166">
        <v>1632.4600020581272</v>
      </c>
      <c r="J280" s="167">
        <f t="shared" si="73"/>
        <v>3.5279148374676161E-3</v>
      </c>
      <c r="K280" s="168">
        <f t="shared" si="73"/>
        <v>1.077274911489301E-2</v>
      </c>
      <c r="L280" s="55">
        <v>9793620</v>
      </c>
      <c r="M280" s="167">
        <f t="shared" si="74"/>
        <v>2.6749465401739947E-2</v>
      </c>
      <c r="N280" s="169">
        <f t="shared" si="75"/>
        <v>9.0547645222140982E-3</v>
      </c>
      <c r="O280" s="55">
        <v>9793620</v>
      </c>
      <c r="Q280" s="167">
        <f t="shared" si="76"/>
        <v>2.7390164482392176E-2</v>
      </c>
      <c r="R280" s="170">
        <v>2.002622289764977E-2</v>
      </c>
      <c r="S280" s="55">
        <v>9799731.2896005288</v>
      </c>
      <c r="T280" s="167">
        <f t="shared" si="77"/>
        <v>2.7390164482392176E-2</v>
      </c>
      <c r="U280" s="170">
        <v>2.002622289764977E-2</v>
      </c>
      <c r="V280" s="55">
        <v>9799731.2896005288</v>
      </c>
      <c r="X280" s="167">
        <f t="shared" si="78"/>
        <v>2.7390164482392176E-2</v>
      </c>
      <c r="Y280" s="170">
        <v>2.002622289764977E-2</v>
      </c>
      <c r="Z280" s="55">
        <v>9799731.2896005288</v>
      </c>
      <c r="AB280" s="55">
        <v>9506084.4302867614</v>
      </c>
      <c r="AC280" s="55">
        <v>9799731.2896005288</v>
      </c>
      <c r="AD280" s="167">
        <f t="shared" si="79"/>
        <v>2.7390164482392176E-2</v>
      </c>
      <c r="AE280" s="170">
        <v>2.002622289764977E-2</v>
      </c>
      <c r="AF280" s="55">
        <v>9799731.2896005288</v>
      </c>
      <c r="AG280" s="166">
        <v>1683.0902747719861</v>
      </c>
      <c r="AH280" s="171">
        <f t="shared" si="80"/>
        <v>2.7390164482392176E-2</v>
      </c>
      <c r="AI280" s="171">
        <f t="shared" si="80"/>
        <v>2.0026222897649992E-2</v>
      </c>
      <c r="AK280" s="55">
        <v>9755697.3729394898</v>
      </c>
      <c r="AL280" s="166">
        <v>1675.5275105795674</v>
      </c>
      <c r="AM280" s="171">
        <f t="shared" si="81"/>
        <v>4.513661604877317E-3</v>
      </c>
      <c r="AN280" s="170">
        <f t="shared" si="81"/>
        <v>4.513661604877317E-3</v>
      </c>
      <c r="AP280" s="55">
        <v>14</v>
      </c>
      <c r="AQ280" s="55">
        <v>0</v>
      </c>
    </row>
    <row r="281" spans="2:43" ht="15" x14ac:dyDescent="0.25">
      <c r="B281" t="s">
        <v>556</v>
      </c>
      <c r="D281" s="55">
        <v>11894344</v>
      </c>
      <c r="E281" s="166">
        <v>1544.4872492946083</v>
      </c>
      <c r="G281" s="55">
        <v>11981092.763272064</v>
      </c>
      <c r="H281" s="166">
        <v>1544.8368101945532</v>
      </c>
      <c r="J281" s="167">
        <f t="shared" si="73"/>
        <v>-7.2404717154007647E-3</v>
      </c>
      <c r="K281" s="168">
        <f t="shared" si="73"/>
        <v>-2.2627691005161488E-4</v>
      </c>
      <c r="L281" s="55">
        <v>12189326</v>
      </c>
      <c r="M281" s="167">
        <f t="shared" si="74"/>
        <v>2.4800190746122608E-2</v>
      </c>
      <c r="N281" s="169">
        <f t="shared" si="75"/>
        <v>9.0547645222140982E-3</v>
      </c>
      <c r="O281" s="55">
        <v>12189326</v>
      </c>
      <c r="Q281" s="167">
        <f t="shared" si="76"/>
        <v>2.7151204184274746E-2</v>
      </c>
      <c r="R281" s="170">
        <v>1.9944934931237723E-2</v>
      </c>
      <c r="S281" s="55">
        <v>12217289.762582002</v>
      </c>
      <c r="T281" s="167">
        <f t="shared" si="77"/>
        <v>2.7151204184274746E-2</v>
      </c>
      <c r="U281" s="170">
        <v>1.9944934931237723E-2</v>
      </c>
      <c r="V281" s="55">
        <v>12217289.762582002</v>
      </c>
      <c r="X281" s="167">
        <f t="shared" si="78"/>
        <v>2.7151204184274746E-2</v>
      </c>
      <c r="Y281" s="170">
        <v>1.9944934931237723E-2</v>
      </c>
      <c r="Z281" s="55">
        <v>12217289.762582002</v>
      </c>
      <c r="AB281" s="55">
        <v>11961190.818596395</v>
      </c>
      <c r="AC281" s="55">
        <v>12217289.762582002</v>
      </c>
      <c r="AD281" s="167">
        <f t="shared" si="79"/>
        <v>2.7151204184274746E-2</v>
      </c>
      <c r="AE281" s="170">
        <v>1.9944934931237723E-2</v>
      </c>
      <c r="AF281" s="55">
        <v>12217289.762582002</v>
      </c>
      <c r="AG281" s="166">
        <v>1575.2919469839155</v>
      </c>
      <c r="AH281" s="171">
        <f t="shared" si="80"/>
        <v>2.7151204184274746E-2</v>
      </c>
      <c r="AI281" s="171">
        <f t="shared" si="80"/>
        <v>1.9944934931237723E-2</v>
      </c>
      <c r="AK281" s="55">
        <v>12296824.884366956</v>
      </c>
      <c r="AL281" s="166">
        <v>1585.5471704651454</v>
      </c>
      <c r="AM281" s="171">
        <f t="shared" si="81"/>
        <v>-6.4679396944220535E-3</v>
      </c>
      <c r="AN281" s="170">
        <f t="shared" si="81"/>
        <v>-6.4679396944219425E-3</v>
      </c>
      <c r="AP281" s="55">
        <v>10</v>
      </c>
      <c r="AQ281" s="55">
        <v>0</v>
      </c>
    </row>
    <row r="282" spans="2:43" ht="15" x14ac:dyDescent="0.25">
      <c r="B282" t="s">
        <v>557</v>
      </c>
      <c r="D282" s="55">
        <v>8425910</v>
      </c>
      <c r="E282" s="166">
        <v>1587.0026330818325</v>
      </c>
      <c r="G282" s="55">
        <v>8511714.5735506434</v>
      </c>
      <c r="H282" s="166">
        <v>1591.5295947170873</v>
      </c>
      <c r="J282" s="167">
        <f t="shared" si="73"/>
        <v>-1.0080762554852685E-2</v>
      </c>
      <c r="K282" s="168">
        <f t="shared" si="73"/>
        <v>-2.8444093344425214E-3</v>
      </c>
      <c r="L282" s="55">
        <v>8636294</v>
      </c>
      <c r="M282" s="167">
        <f t="shared" si="74"/>
        <v>2.5012123585623991E-2</v>
      </c>
      <c r="N282" s="169">
        <f t="shared" si="75"/>
        <v>9.0547645222140982E-3</v>
      </c>
      <c r="O282" s="55">
        <v>8636659.9022413455</v>
      </c>
      <c r="Q282" s="167">
        <f t="shared" si="76"/>
        <v>2.7099068529417458E-2</v>
      </c>
      <c r="R282" s="170">
        <v>1.964541563732225E-2</v>
      </c>
      <c r="S282" s="55">
        <v>8654244.3125127032</v>
      </c>
      <c r="T282" s="167">
        <f t="shared" si="77"/>
        <v>2.7196365616038554E-2</v>
      </c>
      <c r="U282" s="170">
        <v>1.9742006639464016E-2</v>
      </c>
      <c r="V282" s="55">
        <v>8655064.1290078349</v>
      </c>
      <c r="X282" s="167">
        <f t="shared" si="78"/>
        <v>2.715843010603658E-2</v>
      </c>
      <c r="Y282" s="170">
        <v>1.9704346427271702E-2</v>
      </c>
      <c r="Z282" s="55">
        <v>8654744.4878147542</v>
      </c>
      <c r="AB282" s="55">
        <v>8486303.3422291018</v>
      </c>
      <c r="AC282" s="55">
        <v>8654744.4878147542</v>
      </c>
      <c r="AD282" s="167">
        <f t="shared" si="79"/>
        <v>2.715843010603658E-2</v>
      </c>
      <c r="AE282" s="170">
        <v>1.9704346427271702E-2</v>
      </c>
      <c r="AF282" s="55">
        <v>8654744.4878147542</v>
      </c>
      <c r="AG282" s="166">
        <v>1618.2734827450693</v>
      </c>
      <c r="AH282" s="171">
        <f t="shared" si="80"/>
        <v>2.715843010603658E-2</v>
      </c>
      <c r="AI282" s="171">
        <f t="shared" si="80"/>
        <v>1.9704346427271702E-2</v>
      </c>
      <c r="AK282" s="55">
        <v>8735033.3414902072</v>
      </c>
      <c r="AL282" s="166">
        <v>1633.2859794219978</v>
      </c>
      <c r="AM282" s="171">
        <f t="shared" si="81"/>
        <v>-9.191590980436426E-3</v>
      </c>
      <c r="AN282" s="170">
        <f t="shared" si="81"/>
        <v>-9.191590980436426E-3</v>
      </c>
      <c r="AP282" s="55">
        <v>7</v>
      </c>
      <c r="AQ282" s="55">
        <v>0</v>
      </c>
    </row>
    <row r="283" spans="2:43" ht="15" x14ac:dyDescent="0.25">
      <c r="B283" t="s">
        <v>558</v>
      </c>
      <c r="D283" s="55">
        <v>8299875</v>
      </c>
      <c r="E283" s="166">
        <v>1612.2763550981317</v>
      </c>
      <c r="G283" s="55">
        <v>8197085.253371249</v>
      </c>
      <c r="H283" s="166">
        <v>1582.9945261084886</v>
      </c>
      <c r="J283" s="167">
        <f t="shared" si="73"/>
        <v>1.2539792310501729E-2</v>
      </c>
      <c r="K283" s="168">
        <f t="shared" si="73"/>
        <v>1.8497744942698846E-2</v>
      </c>
      <c r="L283" s="55">
        <v>8483934</v>
      </c>
      <c r="M283" s="167">
        <f t="shared" si="74"/>
        <v>2.2508006107505585E-2</v>
      </c>
      <c r="N283" s="169">
        <f t="shared" si="75"/>
        <v>9.0547645222140982E-3</v>
      </c>
      <c r="O283" s="55">
        <v>8486688.6371915322</v>
      </c>
      <c r="Q283" s="167">
        <f t="shared" si="76"/>
        <v>2.3568166324189566E-2</v>
      </c>
      <c r="R283" s="170">
        <v>1.7580553017173761E-2</v>
      </c>
      <c r="S283" s="55">
        <v>8495487.8344699834</v>
      </c>
      <c r="T283" s="167">
        <f t="shared" si="77"/>
        <v>2.4082214583740935E-2</v>
      </c>
      <c r="U283" s="170">
        <v>1.8091594225216001E-2</v>
      </c>
      <c r="V283" s="55">
        <v>8499754.3707682267</v>
      </c>
      <c r="X283" s="167">
        <f t="shared" si="78"/>
        <v>2.3236277326881716E-2</v>
      </c>
      <c r="Y283" s="170">
        <v>1.7250605486044845E-2</v>
      </c>
      <c r="Z283" s="55">
        <v>8492733.197278453</v>
      </c>
      <c r="AB283" s="55">
        <v>8193900.4852192188</v>
      </c>
      <c r="AC283" s="55">
        <v>8492733.197278453</v>
      </c>
      <c r="AD283" s="167">
        <f t="shared" si="79"/>
        <v>2.3236277326881716E-2</v>
      </c>
      <c r="AE283" s="170">
        <v>1.7250605486044845E-2</v>
      </c>
      <c r="AF283" s="55">
        <v>8492733.197278453</v>
      </c>
      <c r="AG283" s="166">
        <v>1640.089098434408</v>
      </c>
      <c r="AH283" s="171">
        <f t="shared" si="80"/>
        <v>2.3236277326881716E-2</v>
      </c>
      <c r="AI283" s="171">
        <f t="shared" si="80"/>
        <v>1.7250605486044845E-2</v>
      </c>
      <c r="AK283" s="55">
        <v>8410456.4280017149</v>
      </c>
      <c r="AL283" s="166">
        <v>1624.2000755238066</v>
      </c>
      <c r="AM283" s="171">
        <f t="shared" si="81"/>
        <v>9.7826758846055739E-3</v>
      </c>
      <c r="AN283" s="170">
        <f t="shared" si="81"/>
        <v>9.7826758846055739E-3</v>
      </c>
      <c r="AP283" s="55">
        <v>12</v>
      </c>
      <c r="AQ283" s="55">
        <v>0</v>
      </c>
    </row>
    <row r="284" spans="2:43" ht="15" x14ac:dyDescent="0.25">
      <c r="B284" t="s">
        <v>559</v>
      </c>
      <c r="D284" s="55">
        <v>7566120</v>
      </c>
      <c r="E284" s="166">
        <v>1589.3320826988888</v>
      </c>
      <c r="G284" s="55">
        <v>7573361.4516727477</v>
      </c>
      <c r="H284" s="166">
        <v>1582.0456456732782</v>
      </c>
      <c r="J284" s="167">
        <f t="shared" si="73"/>
        <v>-9.5617404754244628E-4</v>
      </c>
      <c r="K284" s="168">
        <f t="shared" si="73"/>
        <v>4.605705938724558E-3</v>
      </c>
      <c r="L284" s="55">
        <v>7747696</v>
      </c>
      <c r="M284" s="167">
        <f t="shared" si="74"/>
        <v>2.3998562010647539E-2</v>
      </c>
      <c r="N284" s="169">
        <f t="shared" si="75"/>
        <v>9.0547645222140982E-3</v>
      </c>
      <c r="O284" s="55">
        <v>7747696</v>
      </c>
      <c r="Q284" s="167">
        <f t="shared" si="76"/>
        <v>2.5032861770523995E-2</v>
      </c>
      <c r="R284" s="170">
        <v>1.9357889265943173E-2</v>
      </c>
      <c r="S284" s="55">
        <v>7755521.636099197</v>
      </c>
      <c r="T284" s="167">
        <f t="shared" si="77"/>
        <v>2.5210122891079711E-2</v>
      </c>
      <c r="U284" s="170">
        <v>1.9534169001391266E-2</v>
      </c>
      <c r="V284" s="55">
        <v>7756862.8150086552</v>
      </c>
      <c r="X284" s="167">
        <f t="shared" si="78"/>
        <v>2.5152249996843956E-2</v>
      </c>
      <c r="Y284" s="170">
        <v>1.9476616513550038E-2</v>
      </c>
      <c r="Z284" s="55">
        <v>7756424.9417461213</v>
      </c>
      <c r="AB284" s="55">
        <v>7574761.6304902639</v>
      </c>
      <c r="AC284" s="55">
        <v>7756424.9417461213</v>
      </c>
      <c r="AD284" s="167">
        <f t="shared" si="79"/>
        <v>2.5152249996843956E-2</v>
      </c>
      <c r="AE284" s="170">
        <v>1.9476616513550038E-2</v>
      </c>
      <c r="AF284" s="55">
        <v>7756424.9417461213</v>
      </c>
      <c r="AG284" s="166">
        <v>1620.2868941862971</v>
      </c>
      <c r="AH284" s="171">
        <f t="shared" si="80"/>
        <v>2.5152249996843956E-2</v>
      </c>
      <c r="AI284" s="171">
        <f t="shared" si="80"/>
        <v>1.947661651355026E-2</v>
      </c>
      <c r="AK284" s="55">
        <v>7771095.1029822975</v>
      </c>
      <c r="AL284" s="166">
        <v>1623.3514336055653</v>
      </c>
      <c r="AM284" s="171">
        <f t="shared" si="81"/>
        <v>-1.8877855748472561E-3</v>
      </c>
      <c r="AN284" s="170">
        <f t="shared" si="81"/>
        <v>-1.8877855748472561E-3</v>
      </c>
      <c r="AP284" s="55">
        <v>16</v>
      </c>
      <c r="AQ284" s="55">
        <v>0</v>
      </c>
    </row>
    <row r="285" spans="2:43" ht="15" x14ac:dyDescent="0.25">
      <c r="B285" t="s">
        <v>560</v>
      </c>
      <c r="D285" s="55">
        <v>8114082</v>
      </c>
      <c r="E285" s="166">
        <v>1587.9808603642648</v>
      </c>
      <c r="G285" s="55">
        <v>8186236.6222124239</v>
      </c>
      <c r="H285" s="166">
        <v>1594.5692848745491</v>
      </c>
      <c r="J285" s="167">
        <f t="shared" si="73"/>
        <v>-8.8141383571347376E-3</v>
      </c>
      <c r="K285" s="168">
        <f t="shared" si="73"/>
        <v>-4.1317894260095578E-3</v>
      </c>
      <c r="L285" s="55">
        <v>8305070</v>
      </c>
      <c r="M285" s="167">
        <f t="shared" si="74"/>
        <v>2.3537844453630052E-2</v>
      </c>
      <c r="N285" s="169">
        <f t="shared" si="75"/>
        <v>9.0547645222140982E-3</v>
      </c>
      <c r="O285" s="55">
        <v>8305070</v>
      </c>
      <c r="Q285" s="167">
        <f t="shared" si="76"/>
        <v>2.4462082539100427E-2</v>
      </c>
      <c r="R285" s="170">
        <v>1.9645291636225304E-2</v>
      </c>
      <c r="S285" s="55">
        <v>8312569.3436130295</v>
      </c>
      <c r="T285" s="167">
        <f t="shared" si="77"/>
        <v>2.4462082539100427E-2</v>
      </c>
      <c r="U285" s="170">
        <v>1.9645291636225304E-2</v>
      </c>
      <c r="V285" s="55">
        <v>8312569.3436130295</v>
      </c>
      <c r="X285" s="167">
        <f t="shared" si="78"/>
        <v>2.4462082539100427E-2</v>
      </c>
      <c r="Y285" s="170">
        <v>1.9645291636225304E-2</v>
      </c>
      <c r="Z285" s="55">
        <v>8312569.3436130295</v>
      </c>
      <c r="AB285" s="55">
        <v>8176500.4349631872</v>
      </c>
      <c r="AC285" s="55">
        <v>8312569.3436130295</v>
      </c>
      <c r="AD285" s="167">
        <f t="shared" si="79"/>
        <v>2.4462082539100427E-2</v>
      </c>
      <c r="AE285" s="170">
        <v>1.9645291636225304E-2</v>
      </c>
      <c r="AF285" s="55">
        <v>8312569.3436130295</v>
      </c>
      <c r="AG285" s="166">
        <v>1619.1772074788648</v>
      </c>
      <c r="AH285" s="171">
        <f t="shared" si="80"/>
        <v>2.4462082539100427E-2</v>
      </c>
      <c r="AI285" s="171">
        <f t="shared" si="80"/>
        <v>1.9645291636225304E-2</v>
      </c>
      <c r="AK285" s="55">
        <v>8398571.2434061095</v>
      </c>
      <c r="AL285" s="166">
        <v>1635.9292260411919</v>
      </c>
      <c r="AM285" s="171">
        <f t="shared" si="81"/>
        <v>-1.0240063137001099E-2</v>
      </c>
      <c r="AN285" s="170">
        <f t="shared" si="81"/>
        <v>-1.0240063137001099E-2</v>
      </c>
      <c r="AP285" s="55">
        <v>14</v>
      </c>
      <c r="AQ285" s="55">
        <v>0</v>
      </c>
    </row>
    <row r="286" spans="2:43" ht="15" x14ac:dyDescent="0.25">
      <c r="B286" t="s">
        <v>561</v>
      </c>
      <c r="D286" s="55">
        <v>9518848</v>
      </c>
      <c r="E286" s="166">
        <v>1611.0232948135097</v>
      </c>
      <c r="G286" s="55">
        <v>9483991.8182146288</v>
      </c>
      <c r="H286" s="166">
        <v>1596.8148124186707</v>
      </c>
      <c r="J286" s="167">
        <f t="shared" si="73"/>
        <v>3.6752648519189357E-3</v>
      </c>
      <c r="K286" s="168">
        <f t="shared" si="73"/>
        <v>8.8980151513735617E-3</v>
      </c>
      <c r="L286" s="55">
        <v>9741254</v>
      </c>
      <c r="M286" s="167">
        <f t="shared" si="74"/>
        <v>2.3364802127316286E-2</v>
      </c>
      <c r="N286" s="169">
        <f t="shared" si="75"/>
        <v>9.0547645222140982E-3</v>
      </c>
      <c r="O286" s="55">
        <v>9741254</v>
      </c>
      <c r="Q286" s="167">
        <f t="shared" si="76"/>
        <v>2.434919407758307E-2</v>
      </c>
      <c r="R286" s="170">
        <v>1.9046457844811293E-2</v>
      </c>
      <c r="S286" s="55">
        <v>9750624.2773470134</v>
      </c>
      <c r="T286" s="167">
        <f t="shared" si="77"/>
        <v>2.4496030803874858E-2</v>
      </c>
      <c r="U286" s="170">
        <v>1.9192534443176701E-2</v>
      </c>
      <c r="V286" s="55">
        <v>9752021.9938254021</v>
      </c>
      <c r="X286" s="167">
        <f t="shared" si="78"/>
        <v>2.434919407758307E-2</v>
      </c>
      <c r="Y286" s="170">
        <v>1.9046457844811293E-2</v>
      </c>
      <c r="Z286" s="55">
        <v>9750624.2773470134</v>
      </c>
      <c r="AB286" s="55">
        <v>9483654.1171173733</v>
      </c>
      <c r="AC286" s="55">
        <v>9750624.2773470134</v>
      </c>
      <c r="AD286" s="167">
        <f t="shared" si="79"/>
        <v>2.434919407758307E-2</v>
      </c>
      <c r="AE286" s="170">
        <v>1.9046457844811293E-2</v>
      </c>
      <c r="AF286" s="55">
        <v>9750624.2773470134</v>
      </c>
      <c r="AG286" s="166">
        <v>1641.7075820851844</v>
      </c>
      <c r="AH286" s="171">
        <f t="shared" si="80"/>
        <v>2.434919407758307E-2</v>
      </c>
      <c r="AI286" s="171">
        <f t="shared" si="80"/>
        <v>1.9046457844811515E-2</v>
      </c>
      <c r="AK286" s="55">
        <v>9731389.0079820752</v>
      </c>
      <c r="AL286" s="166">
        <v>1638.4689497000522</v>
      </c>
      <c r="AM286" s="171">
        <f t="shared" si="81"/>
        <v>1.9766211533791544E-3</v>
      </c>
      <c r="AN286" s="170">
        <f t="shared" si="81"/>
        <v>1.9766211533791544E-3</v>
      </c>
      <c r="AP286" s="55">
        <v>12</v>
      </c>
      <c r="AQ286" s="55">
        <v>0</v>
      </c>
    </row>
    <row r="287" spans="2:43" ht="15" x14ac:dyDescent="0.25">
      <c r="B287" t="s">
        <v>562</v>
      </c>
      <c r="D287" s="55">
        <v>9504324</v>
      </c>
      <c r="E287" s="166">
        <v>1666.9770933211371</v>
      </c>
      <c r="G287" s="55">
        <v>9456074.3947490323</v>
      </c>
      <c r="H287" s="166">
        <v>1649.4022740774383</v>
      </c>
      <c r="J287" s="167">
        <f t="shared" si="73"/>
        <v>5.102498482643103E-3</v>
      </c>
      <c r="K287" s="168">
        <f t="shared" si="73"/>
        <v>1.0655265558869864E-2</v>
      </c>
      <c r="L287" s="55">
        <v>9720011</v>
      </c>
      <c r="M287" s="167">
        <f t="shared" si="74"/>
        <v>2.2875603992311477E-2</v>
      </c>
      <c r="N287" s="169">
        <f t="shared" si="75"/>
        <v>9.0547645222140982E-3</v>
      </c>
      <c r="O287" s="55">
        <v>9721741.1520386208</v>
      </c>
      <c r="Q287" s="167">
        <f t="shared" si="76"/>
        <v>2.3676803106567723E-2</v>
      </c>
      <c r="R287" s="170">
        <v>1.805249277771992E-2</v>
      </c>
      <c r="S287" s="55">
        <v>9729356.0080090258</v>
      </c>
      <c r="T287" s="167">
        <f t="shared" si="77"/>
        <v>2.3797832885389614E-2</v>
      </c>
      <c r="U287" s="170">
        <v>1.8172857591747249E-2</v>
      </c>
      <c r="V287" s="55">
        <v>9730506.3142405972</v>
      </c>
      <c r="X287" s="167">
        <f t="shared" si="78"/>
        <v>2.349476469556433E-2</v>
      </c>
      <c r="Y287" s="170">
        <v>1.7871454526642072E-2</v>
      </c>
      <c r="Z287" s="55">
        <v>9727625.855970405</v>
      </c>
      <c r="AB287" s="55">
        <v>9457318.3255018517</v>
      </c>
      <c r="AC287" s="55">
        <v>9727625.855970405</v>
      </c>
      <c r="AD287" s="167">
        <f t="shared" si="79"/>
        <v>2.349476469556433E-2</v>
      </c>
      <c r="AE287" s="170">
        <v>1.7871454526642072E-2</v>
      </c>
      <c r="AF287" s="55">
        <v>9727625.855970405</v>
      </c>
      <c r="AG287" s="166">
        <v>1696.7683986413801</v>
      </c>
      <c r="AH287" s="171">
        <f t="shared" si="80"/>
        <v>2.349476469556433E-2</v>
      </c>
      <c r="AI287" s="171">
        <f t="shared" si="80"/>
        <v>1.7871454526642294E-2</v>
      </c>
      <c r="AK287" s="55">
        <v>9701670.5037479009</v>
      </c>
      <c r="AL287" s="166">
        <v>1692.2410635979868</v>
      </c>
      <c r="AM287" s="171">
        <f t="shared" si="81"/>
        <v>2.6753487672537268E-3</v>
      </c>
      <c r="AN287" s="170">
        <f t="shared" si="81"/>
        <v>2.6753487672539489E-3</v>
      </c>
      <c r="AP287" s="55">
        <v>14</v>
      </c>
      <c r="AQ287" s="55">
        <v>0</v>
      </c>
    </row>
    <row r="288" spans="2:43" ht="15" x14ac:dyDescent="0.25">
      <c r="B288"/>
      <c r="D288" s="1"/>
      <c r="G288" s="1"/>
      <c r="L288" s="1"/>
      <c r="O288" s="1"/>
      <c r="Q288" s="53"/>
      <c r="S288" s="1"/>
      <c r="U288" s="52"/>
      <c r="V288" s="1"/>
      <c r="X288" s="53"/>
      <c r="Y288" s="52"/>
      <c r="Z288" s="1"/>
      <c r="AB288" s="1"/>
      <c r="AC288" s="1"/>
      <c r="AD288" s="53"/>
      <c r="AE288" s="52"/>
      <c r="AF288" s="1"/>
      <c r="AG288" s="75"/>
      <c r="AK288" s="1"/>
      <c r="AL288" s="75"/>
      <c r="AP288" s="1"/>
      <c r="AQ288" s="1"/>
    </row>
    <row r="289" spans="2:43" ht="15" x14ac:dyDescent="0.25">
      <c r="B289" t="s">
        <v>12</v>
      </c>
      <c r="D289" s="172">
        <f>SUM(D278:D287)</f>
        <v>92393046</v>
      </c>
      <c r="E289" s="173">
        <v>1599.6618765604621</v>
      </c>
      <c r="G289" s="172">
        <f>SUM(G278:G287)</f>
        <v>92393127.908494934</v>
      </c>
      <c r="H289" s="173">
        <v>1588.2278118776023</v>
      </c>
      <c r="J289" s="167">
        <f>D289/G289-1</f>
        <v>-8.8652150642687388E-7</v>
      </c>
      <c r="K289" s="168">
        <f>E289/H289-1</f>
        <v>7.1992598274315256E-3</v>
      </c>
      <c r="L289" s="172">
        <f>SUM(L278:L287)</f>
        <v>94725326</v>
      </c>
      <c r="M289" s="167">
        <f>O289/$D289-1</f>
        <v>2.541980574428937E-2</v>
      </c>
      <c r="N289" s="169">
        <f>N$222</f>
        <v>9.0547645222140982E-3</v>
      </c>
      <c r="O289" s="172">
        <f>SUM(O278:O287)</f>
        <v>94741659.281443194</v>
      </c>
      <c r="Q289" s="167">
        <f>S289/$D289-1</f>
        <v>2.6529776798209559E-2</v>
      </c>
      <c r="R289" s="170">
        <v>1.919144274725304E-2</v>
      </c>
      <c r="S289" s="172">
        <f>SUM(S278:S287)</f>
        <v>94844212.888086706</v>
      </c>
      <c r="T289" s="167">
        <f>V289/$D289-1</f>
        <v>2.6649225272138422E-2</v>
      </c>
      <c r="U289" s="170">
        <v>1.9310037322129769E-2</v>
      </c>
      <c r="V289" s="172">
        <f>SUM(V278:V287)</f>
        <v>94855249.096433043</v>
      </c>
      <c r="X289" s="167">
        <f>Z289/$D289-1</f>
        <v>2.6372146988571377E-2</v>
      </c>
      <c r="Y289" s="170">
        <v>1.9034939782861526E-2</v>
      </c>
      <c r="Z289" s="172">
        <f>SUM(Z278:Z287)</f>
        <v>94829648.989833832</v>
      </c>
      <c r="AB289" s="172">
        <f>SUM(AB278:AB287)</f>
        <v>92345213.823370755</v>
      </c>
      <c r="AC289" s="172">
        <f>SUM(AC278:AC287)</f>
        <v>94829648.989833832</v>
      </c>
      <c r="AD289" s="167">
        <f>AC289/$D289-1</f>
        <v>2.6372146988571377E-2</v>
      </c>
      <c r="AE289" s="170">
        <v>1.9034939782861526E-2</v>
      </c>
      <c r="AF289" s="172">
        <f>SUM(AF278:AF287)</f>
        <v>94829648.989833832</v>
      </c>
      <c r="AG289" s="166">
        <v>1630.1113440537299</v>
      </c>
      <c r="AH289" s="171">
        <f>AF289/D289 - 1</f>
        <v>2.6372146988571377E-2</v>
      </c>
      <c r="AI289" s="171">
        <f>AG289/E289 - 1</f>
        <v>1.9034939782861526E-2</v>
      </c>
      <c r="AK289" s="172">
        <f>SUM(AK278:AK287)</f>
        <v>94829716.878834352</v>
      </c>
      <c r="AL289" s="173">
        <v>1630.1125110582593</v>
      </c>
      <c r="AM289" s="171">
        <f>AF289/AK289-1</f>
        <v>-7.1590428352141799E-7</v>
      </c>
      <c r="AN289" s="170">
        <f t="shared" ref="AN289" si="82">AG289/AL289-1</f>
        <v>-7.159042836324403E-7</v>
      </c>
      <c r="AP289" s="172">
        <f>SUM(AP278:AP287)</f>
        <v>128</v>
      </c>
      <c r="AQ289" s="172">
        <f>SUM(AQ278:AQ287)</f>
        <v>0</v>
      </c>
    </row>
    <row r="290" spans="2:43" ht="15" x14ac:dyDescent="0.25">
      <c r="B290"/>
      <c r="D290" s="1"/>
      <c r="G290" s="1"/>
      <c r="L290" s="1"/>
      <c r="O290" s="1"/>
      <c r="Q290" s="53"/>
      <c r="S290" s="1"/>
      <c r="U290" s="52"/>
      <c r="V290" s="1"/>
      <c r="X290" s="53"/>
      <c r="Y290" s="52"/>
      <c r="Z290" s="1"/>
      <c r="AB290" s="1"/>
      <c r="AC290" s="1"/>
      <c r="AD290" s="53"/>
      <c r="AE290" s="52"/>
      <c r="AF290" s="1"/>
      <c r="AG290" s="75"/>
      <c r="AK290" s="1"/>
      <c r="AL290" s="75"/>
      <c r="AP290" s="1"/>
      <c r="AQ290" s="1"/>
    </row>
    <row r="291" spans="2:43" ht="15" x14ac:dyDescent="0.25">
      <c r="B291" s="174" t="s">
        <v>563</v>
      </c>
      <c r="D291" s="1"/>
      <c r="G291" s="1"/>
      <c r="L291" s="1"/>
      <c r="O291" s="1"/>
      <c r="Q291" s="53"/>
      <c r="S291" s="1"/>
      <c r="U291" s="52"/>
      <c r="V291" s="1"/>
      <c r="X291" s="53"/>
      <c r="Y291" s="52"/>
      <c r="Z291" s="1"/>
      <c r="AB291" s="1"/>
      <c r="AC291" s="1"/>
      <c r="AD291" s="53"/>
      <c r="AE291" s="52"/>
      <c r="AF291" s="1"/>
      <c r="AG291" s="75"/>
      <c r="AK291" s="1"/>
      <c r="AL291" s="75"/>
      <c r="AP291" s="1"/>
      <c r="AQ291" s="1"/>
    </row>
    <row r="292" spans="2:43" ht="15" x14ac:dyDescent="0.25">
      <c r="B292"/>
      <c r="D292" s="1"/>
      <c r="G292" s="1"/>
      <c r="L292" s="1"/>
      <c r="O292" s="1"/>
      <c r="Q292" s="53"/>
      <c r="S292" s="1"/>
      <c r="U292" s="52"/>
      <c r="V292" s="1"/>
      <c r="X292" s="53"/>
      <c r="Y292" s="52"/>
      <c r="Z292" s="1"/>
      <c r="AB292" s="1"/>
      <c r="AC292" s="1"/>
      <c r="AD292" s="53"/>
      <c r="AE292" s="52"/>
      <c r="AF292" s="1"/>
      <c r="AG292" s="75"/>
      <c r="AK292" s="1"/>
      <c r="AL292" s="75"/>
      <c r="AP292" s="1"/>
      <c r="AQ292" s="1"/>
    </row>
    <row r="293" spans="2:43" ht="15" x14ac:dyDescent="0.25">
      <c r="B293" t="s">
        <v>564</v>
      </c>
      <c r="D293" s="55">
        <v>6466532</v>
      </c>
      <c r="E293" s="166">
        <v>1832.3970638310784</v>
      </c>
      <c r="G293" s="55">
        <v>6257204.5896400344</v>
      </c>
      <c r="H293" s="166">
        <v>1768.0532525089961</v>
      </c>
      <c r="J293" s="167">
        <f t="shared" ref="J293:K304" si="83">D293/G293-1</f>
        <v>3.3453822287758728E-2</v>
      </c>
      <c r="K293" s="168">
        <f t="shared" si="83"/>
        <v>3.6392462291943817E-2</v>
      </c>
      <c r="L293" s="55">
        <v>6604647</v>
      </c>
      <c r="M293" s="167">
        <f t="shared" ref="M293:M304" si="84">O293/$D293-1</f>
        <v>2.1784418169048303E-2</v>
      </c>
      <c r="N293" s="169">
        <f t="shared" ref="N293:N304" si="85">N$222</f>
        <v>9.0547645222140982E-3</v>
      </c>
      <c r="O293" s="55">
        <v>6607401.6371915322</v>
      </c>
      <c r="Q293" s="167">
        <f t="shared" ref="Q293:Q304" si="86">S293/$D293-1</f>
        <v>2.1784418169048303E-2</v>
      </c>
      <c r="R293" s="170">
        <v>1.8887198557623996E-2</v>
      </c>
      <c r="S293" s="55">
        <v>6607401.6371915322</v>
      </c>
      <c r="T293" s="167">
        <f t="shared" ref="T293:T304" si="87">V293/$D293-1</f>
        <v>2.2622173266144463E-2</v>
      </c>
      <c r="U293" s="170">
        <v>1.9722578241224253E-2</v>
      </c>
      <c r="V293" s="55">
        <v>6612819.0073350677</v>
      </c>
      <c r="X293" s="167">
        <f t="shared" ref="X293:X304" si="88">Z293/$D293-1</f>
        <v>2.149812382385563E-2</v>
      </c>
      <c r="Y293" s="170">
        <v>1.8601715986007683E-2</v>
      </c>
      <c r="Z293" s="55">
        <v>6605550.3056469243</v>
      </c>
      <c r="AB293" s="55">
        <v>6258773.1264086207</v>
      </c>
      <c r="AC293" s="55">
        <v>6605550.3056469243</v>
      </c>
      <c r="AD293" s="167">
        <f t="shared" ref="AD293:AD304" si="89">AC293/$D293-1</f>
        <v>2.149812382385563E-2</v>
      </c>
      <c r="AE293" s="170">
        <v>1.8601715986007683E-2</v>
      </c>
      <c r="AF293" s="55">
        <v>6605550.3056469243</v>
      </c>
      <c r="AG293" s="166">
        <v>1866.4827935860583</v>
      </c>
      <c r="AH293" s="171">
        <f t="shared" ref="AH293:AI304" si="90">AF293/D293 - 1</f>
        <v>2.149812382385563E-2</v>
      </c>
      <c r="AI293" s="171">
        <f t="shared" si="90"/>
        <v>1.8601715986007461E-2</v>
      </c>
      <c r="AK293" s="55">
        <v>6419254.4886242272</v>
      </c>
      <c r="AL293" s="166">
        <v>1813.8425257960055</v>
      </c>
      <c r="AM293" s="171">
        <f>AF293/AK293-1</f>
        <v>2.9021410095648736E-2</v>
      </c>
      <c r="AN293" s="170">
        <f t="shared" ref="AN293:AN304" si="91">AG293/AL293-1</f>
        <v>2.9021410095648514E-2</v>
      </c>
      <c r="AP293" s="55">
        <v>15</v>
      </c>
      <c r="AQ293" s="55">
        <v>0</v>
      </c>
    </row>
    <row r="294" spans="2:43" ht="15" x14ac:dyDescent="0.25">
      <c r="B294" t="s">
        <v>565</v>
      </c>
      <c r="D294" s="55">
        <v>7388981</v>
      </c>
      <c r="E294" s="166">
        <v>1664.9622367437794</v>
      </c>
      <c r="G294" s="55">
        <v>7213802.2845021551</v>
      </c>
      <c r="H294" s="166">
        <v>1615.6542709233681</v>
      </c>
      <c r="J294" s="167">
        <f t="shared" si="83"/>
        <v>2.4283825448639274E-2</v>
      </c>
      <c r="K294" s="168">
        <f t="shared" si="83"/>
        <v>3.0518884335465568E-2</v>
      </c>
      <c r="L294" s="55">
        <v>7576264</v>
      </c>
      <c r="M294" s="167">
        <f t="shared" si="84"/>
        <v>2.5346255457958211E-2</v>
      </c>
      <c r="N294" s="169">
        <f t="shared" si="85"/>
        <v>9.0547645222140982E-3</v>
      </c>
      <c r="O294" s="55">
        <v>7576264</v>
      </c>
      <c r="Q294" s="167">
        <f t="shared" si="86"/>
        <v>2.5453854489377647E-2</v>
      </c>
      <c r="R294" s="170">
        <v>1.924944109564608E-2</v>
      </c>
      <c r="S294" s="55">
        <v>7577059.0471987762</v>
      </c>
      <c r="T294" s="167">
        <f t="shared" si="87"/>
        <v>2.5453854489377647E-2</v>
      </c>
      <c r="U294" s="170">
        <v>1.924944109564608E-2</v>
      </c>
      <c r="V294" s="55">
        <v>7577059.0471987762</v>
      </c>
      <c r="X294" s="167">
        <f t="shared" si="88"/>
        <v>2.5453854489377647E-2</v>
      </c>
      <c r="Y294" s="170">
        <v>1.924944109564608E-2</v>
      </c>
      <c r="Z294" s="55">
        <v>7577059.0471987762</v>
      </c>
      <c r="AB294" s="55">
        <v>7219525.8916522963</v>
      </c>
      <c r="AC294" s="55">
        <v>7577059.0471987762</v>
      </c>
      <c r="AD294" s="167">
        <f t="shared" si="89"/>
        <v>2.5453854489377647E-2</v>
      </c>
      <c r="AE294" s="170">
        <v>1.924944109564608E-2</v>
      </c>
      <c r="AF294" s="55">
        <v>7577059.0471987762</v>
      </c>
      <c r="AG294" s="166">
        <v>1697.0118292464535</v>
      </c>
      <c r="AH294" s="171">
        <f t="shared" si="90"/>
        <v>2.5453854489377647E-2</v>
      </c>
      <c r="AI294" s="171">
        <f t="shared" si="90"/>
        <v>1.9249441095645858E-2</v>
      </c>
      <c r="AK294" s="55">
        <v>7404641.9401562028</v>
      </c>
      <c r="AL294" s="166">
        <v>1658.3960723422138</v>
      </c>
      <c r="AM294" s="171">
        <f t="shared" ref="AM294:AN306" si="92">AF294/AK294-1</f>
        <v>2.3285002628896434E-2</v>
      </c>
      <c r="AN294" s="170">
        <f t="shared" si="91"/>
        <v>2.3285002628896434E-2</v>
      </c>
      <c r="AP294" s="55">
        <v>12</v>
      </c>
      <c r="AQ294" s="55">
        <v>0</v>
      </c>
    </row>
    <row r="295" spans="2:43" ht="15" x14ac:dyDescent="0.25">
      <c r="B295" t="s">
        <v>566</v>
      </c>
      <c r="D295" s="55">
        <v>7217150</v>
      </c>
      <c r="E295" s="166">
        <v>1674.1899290662102</v>
      </c>
      <c r="G295" s="55">
        <v>7097756.7011264507</v>
      </c>
      <c r="H295" s="166">
        <v>1639.3050580410338</v>
      </c>
      <c r="J295" s="167">
        <f t="shared" si="83"/>
        <v>1.6821272396474463E-2</v>
      </c>
      <c r="K295" s="168">
        <f t="shared" si="83"/>
        <v>2.1280280234640347E-2</v>
      </c>
      <c r="L295" s="55">
        <v>7377680</v>
      </c>
      <c r="M295" s="167">
        <f t="shared" si="84"/>
        <v>2.2242852095356147E-2</v>
      </c>
      <c r="N295" s="169">
        <f t="shared" si="85"/>
        <v>9.0547645222140982E-3</v>
      </c>
      <c r="O295" s="55">
        <v>7377680</v>
      </c>
      <c r="Q295" s="167">
        <f t="shared" si="86"/>
        <v>2.2493298797393813E-2</v>
      </c>
      <c r="R295" s="170">
        <v>1.8028994803624299E-2</v>
      </c>
      <c r="S295" s="55">
        <v>7379487.511415611</v>
      </c>
      <c r="T295" s="167">
        <f t="shared" si="87"/>
        <v>2.2713338777518244E-2</v>
      </c>
      <c r="U295" s="170">
        <v>1.8248074068051956E-2</v>
      </c>
      <c r="V295" s="55">
        <v>7381075.5729581658</v>
      </c>
      <c r="X295" s="167">
        <f t="shared" si="88"/>
        <v>2.2493298797393813E-2</v>
      </c>
      <c r="Y295" s="170">
        <v>1.8028994803624299E-2</v>
      </c>
      <c r="Z295" s="55">
        <v>7379487.511415611</v>
      </c>
      <c r="AB295" s="55">
        <v>7096799.9457647707</v>
      </c>
      <c r="AC295" s="55">
        <v>7379487.511415611</v>
      </c>
      <c r="AD295" s="167">
        <f t="shared" si="89"/>
        <v>2.2493298797393813E-2</v>
      </c>
      <c r="AE295" s="170">
        <v>1.8028994803624299E-2</v>
      </c>
      <c r="AF295" s="55">
        <v>7379487.511415611</v>
      </c>
      <c r="AG295" s="166">
        <v>1704.3738905976252</v>
      </c>
      <c r="AH295" s="171">
        <f t="shared" si="90"/>
        <v>2.2493298797393813E-2</v>
      </c>
      <c r="AI295" s="171">
        <f t="shared" si="90"/>
        <v>1.8028994803624299E-2</v>
      </c>
      <c r="AK295" s="55">
        <v>7281781.0748976935</v>
      </c>
      <c r="AL295" s="166">
        <v>1681.8075133137197</v>
      </c>
      <c r="AM295" s="171">
        <f t="shared" si="92"/>
        <v>1.3417931068367084E-2</v>
      </c>
      <c r="AN295" s="170">
        <f t="shared" si="91"/>
        <v>1.3417931068367084E-2</v>
      </c>
      <c r="AP295" s="55">
        <v>16</v>
      </c>
      <c r="AQ295" s="55">
        <v>0</v>
      </c>
    </row>
    <row r="296" spans="2:43" ht="15" x14ac:dyDescent="0.25">
      <c r="B296" t="s">
        <v>567</v>
      </c>
      <c r="D296" s="55">
        <v>21132786</v>
      </c>
      <c r="E296" s="166">
        <v>1556.0727106790475</v>
      </c>
      <c r="G296" s="55">
        <v>21338697.255152307</v>
      </c>
      <c r="H296" s="166">
        <v>1561.7835904888325</v>
      </c>
      <c r="J296" s="167">
        <f t="shared" si="83"/>
        <v>-9.6496638332778106E-3</v>
      </c>
      <c r="K296" s="168">
        <f t="shared" si="83"/>
        <v>-3.6566396551762637E-3</v>
      </c>
      <c r="L296" s="55">
        <v>21642677</v>
      </c>
      <c r="M296" s="167">
        <f t="shared" si="84"/>
        <v>2.4127959276169175E-2</v>
      </c>
      <c r="N296" s="169">
        <f t="shared" si="85"/>
        <v>9.0547645222140982E-3</v>
      </c>
      <c r="O296" s="55">
        <v>21642677</v>
      </c>
      <c r="Q296" s="167">
        <f t="shared" si="86"/>
        <v>2.5579040926706709E-2</v>
      </c>
      <c r="R296" s="170">
        <v>1.9410163576331518E-2</v>
      </c>
      <c r="S296" s="55">
        <v>21673342.397989333</v>
      </c>
      <c r="T296" s="167">
        <f t="shared" si="87"/>
        <v>2.5579040926706709E-2</v>
      </c>
      <c r="U296" s="170">
        <v>1.9410163576331518E-2</v>
      </c>
      <c r="V296" s="55">
        <v>21673342.397989333</v>
      </c>
      <c r="X296" s="167">
        <f t="shared" si="88"/>
        <v>2.5579040926706709E-2</v>
      </c>
      <c r="Y296" s="170">
        <v>1.9410163576331518E-2</v>
      </c>
      <c r="Z296" s="55">
        <v>21673342.397989333</v>
      </c>
      <c r="AB296" s="55">
        <v>21316771.156069454</v>
      </c>
      <c r="AC296" s="55">
        <v>21673342.397989333</v>
      </c>
      <c r="AD296" s="167">
        <f t="shared" si="89"/>
        <v>2.5579040926706709E-2</v>
      </c>
      <c r="AE296" s="170">
        <v>1.9410163576331518E-2</v>
      </c>
      <c r="AF296" s="55">
        <v>21673342.397989333</v>
      </c>
      <c r="AG296" s="166">
        <v>1586.2763365299934</v>
      </c>
      <c r="AH296" s="171">
        <f t="shared" si="90"/>
        <v>2.5579040926706709E-2</v>
      </c>
      <c r="AI296" s="171">
        <f t="shared" si="90"/>
        <v>1.9410163576331518E-2</v>
      </c>
      <c r="AK296" s="55">
        <v>21895313.947003756</v>
      </c>
      <c r="AL296" s="166">
        <v>1602.5224793315372</v>
      </c>
      <c r="AM296" s="171">
        <f t="shared" si="92"/>
        <v>-1.013785641766507E-2</v>
      </c>
      <c r="AN296" s="170">
        <f t="shared" si="91"/>
        <v>-1.013785641766507E-2</v>
      </c>
      <c r="AP296" s="55">
        <v>28</v>
      </c>
      <c r="AQ296" s="55">
        <v>0</v>
      </c>
    </row>
    <row r="297" spans="2:43" ht="15" x14ac:dyDescent="0.25">
      <c r="B297" t="s">
        <v>568</v>
      </c>
      <c r="D297" s="55">
        <v>12131101</v>
      </c>
      <c r="E297" s="166">
        <v>1630.7541771369467</v>
      </c>
      <c r="G297" s="55">
        <v>12177280.789534116</v>
      </c>
      <c r="H297" s="166">
        <v>1626.0818211074281</v>
      </c>
      <c r="J297" s="167">
        <f t="shared" si="83"/>
        <v>-3.7922907693650476E-3</v>
      </c>
      <c r="K297" s="168">
        <f t="shared" si="83"/>
        <v>2.8733831034015722E-3</v>
      </c>
      <c r="L297" s="55">
        <v>12444232</v>
      </c>
      <c r="M297" s="167">
        <f t="shared" si="84"/>
        <v>2.5842411355848638E-2</v>
      </c>
      <c r="N297" s="169">
        <f t="shared" si="85"/>
        <v>9.0547645222140982E-3</v>
      </c>
      <c r="O297" s="55">
        <v>12444597.902241345</v>
      </c>
      <c r="Q297" s="167">
        <f t="shared" si="86"/>
        <v>2.6456751422069491E-2</v>
      </c>
      <c r="R297" s="170">
        <v>1.9634328906171783E-2</v>
      </c>
      <c r="S297" s="55">
        <v>12452050.523633018</v>
      </c>
      <c r="T297" s="167">
        <f t="shared" si="87"/>
        <v>2.6524331149180069E-2</v>
      </c>
      <c r="U297" s="170">
        <v>1.9701459459509296E-2</v>
      </c>
      <c r="V297" s="55">
        <v>12452870.34012815</v>
      </c>
      <c r="X297" s="167">
        <f t="shared" si="88"/>
        <v>2.6497982247041252E-2</v>
      </c>
      <c r="Y297" s="170">
        <v>1.9675285687343669E-2</v>
      </c>
      <c r="Z297" s="55">
        <v>12452550.698935065</v>
      </c>
      <c r="AB297" s="55">
        <v>12177755.221997071</v>
      </c>
      <c r="AC297" s="55">
        <v>12452550.698935065</v>
      </c>
      <c r="AD297" s="167">
        <f t="shared" si="89"/>
        <v>2.6497982247041252E-2</v>
      </c>
      <c r="AE297" s="170">
        <v>1.9675285687343669E-2</v>
      </c>
      <c r="AF297" s="55">
        <v>12452550.698935065</v>
      </c>
      <c r="AG297" s="166">
        <v>1662.8397314579454</v>
      </c>
      <c r="AH297" s="171">
        <f t="shared" si="90"/>
        <v>2.6497982247041252E-2</v>
      </c>
      <c r="AI297" s="171">
        <f t="shared" si="90"/>
        <v>1.9675285687343891E-2</v>
      </c>
      <c r="AK297" s="55">
        <v>12500354.733469121</v>
      </c>
      <c r="AL297" s="166">
        <v>1669.2231985779799</v>
      </c>
      <c r="AM297" s="171">
        <f t="shared" si="92"/>
        <v>-3.8242142365818577E-3</v>
      </c>
      <c r="AN297" s="170">
        <f t="shared" si="91"/>
        <v>-3.8242142365818577E-3</v>
      </c>
      <c r="AP297" s="55">
        <v>15</v>
      </c>
      <c r="AQ297" s="55">
        <v>0</v>
      </c>
    </row>
    <row r="298" spans="2:43" ht="15" x14ac:dyDescent="0.25">
      <c r="B298" t="s">
        <v>569</v>
      </c>
      <c r="D298" s="55">
        <v>6540363</v>
      </c>
      <c r="E298" s="166">
        <v>1686.6116366123561</v>
      </c>
      <c r="G298" s="55">
        <v>6439672.5632945215</v>
      </c>
      <c r="H298" s="166">
        <v>1653.7877408234672</v>
      </c>
      <c r="J298" s="167">
        <f t="shared" si="83"/>
        <v>1.563595597692391E-2</v>
      </c>
      <c r="K298" s="168">
        <f t="shared" si="83"/>
        <v>1.9847707767228329E-2</v>
      </c>
      <c r="L298" s="55">
        <v>6687612</v>
      </c>
      <c r="M298" s="167">
        <f t="shared" si="84"/>
        <v>2.2778422549118549E-2</v>
      </c>
      <c r="N298" s="169">
        <f t="shared" si="85"/>
        <v>9.0547645222140982E-3</v>
      </c>
      <c r="O298" s="55">
        <v>6689342.1520386208</v>
      </c>
      <c r="Q298" s="167">
        <f t="shared" si="86"/>
        <v>2.280991332501725E-2</v>
      </c>
      <c r="R298" s="170">
        <v>1.8585928262562446E-2</v>
      </c>
      <c r="S298" s="55">
        <v>6689548.11314415</v>
      </c>
      <c r="T298" s="167">
        <f t="shared" si="87"/>
        <v>2.2985791365971675E-2</v>
      </c>
      <c r="U298" s="170">
        <v>1.8761079965017302E-2</v>
      </c>
      <c r="V298" s="55">
        <v>6690698.4193757204</v>
      </c>
      <c r="X298" s="167">
        <f t="shared" si="88"/>
        <v>2.2545378766519519E-2</v>
      </c>
      <c r="Y298" s="170">
        <v>1.8322486174922714E-2</v>
      </c>
      <c r="Z298" s="55">
        <v>6687817.9611055292</v>
      </c>
      <c r="AB298" s="55">
        <v>6440343.3042604355</v>
      </c>
      <c r="AC298" s="55">
        <v>6687817.9611055292</v>
      </c>
      <c r="AD298" s="167">
        <f t="shared" si="89"/>
        <v>2.2545378766519519E-2</v>
      </c>
      <c r="AE298" s="170">
        <v>1.8322486174922714E-2</v>
      </c>
      <c r="AF298" s="55">
        <v>6687817.9611055292</v>
      </c>
      <c r="AG298" s="166">
        <v>1717.5145550066495</v>
      </c>
      <c r="AH298" s="171">
        <f t="shared" si="90"/>
        <v>2.2545378766519519E-2</v>
      </c>
      <c r="AI298" s="171">
        <f t="shared" si="90"/>
        <v>1.8322486174922492E-2</v>
      </c>
      <c r="AK298" s="55">
        <v>6607064.368036719</v>
      </c>
      <c r="AL298" s="166">
        <v>1696.7760312801697</v>
      </c>
      <c r="AM298" s="171">
        <f t="shared" si="92"/>
        <v>1.2222310631553102E-2</v>
      </c>
      <c r="AN298" s="170">
        <f t="shared" si="91"/>
        <v>1.222231063155288E-2</v>
      </c>
      <c r="AP298" s="55">
        <v>12</v>
      </c>
      <c r="AQ298" s="55">
        <v>0</v>
      </c>
    </row>
    <row r="299" spans="2:43" ht="15" x14ac:dyDescent="0.25">
      <c r="B299" t="s">
        <v>570</v>
      </c>
      <c r="D299" s="55">
        <v>3784080</v>
      </c>
      <c r="E299" s="166">
        <v>1532.426173328455</v>
      </c>
      <c r="G299" s="55">
        <v>3901702.1836935007</v>
      </c>
      <c r="H299" s="166">
        <v>1564.012134457706</v>
      </c>
      <c r="J299" s="167">
        <f t="shared" si="83"/>
        <v>-3.0146376672489872E-2</v>
      </c>
      <c r="K299" s="168">
        <f t="shared" si="83"/>
        <v>-2.0195470631820145E-2</v>
      </c>
      <c r="L299" s="55">
        <v>3886724</v>
      </c>
      <c r="M299" s="167">
        <f t="shared" si="84"/>
        <v>2.7125219339971585E-2</v>
      </c>
      <c r="N299" s="169">
        <f t="shared" si="85"/>
        <v>9.0547645222140982E-3</v>
      </c>
      <c r="O299" s="55">
        <v>3886724</v>
      </c>
      <c r="Q299" s="167">
        <f t="shared" si="86"/>
        <v>3.1082278915678163E-2</v>
      </c>
      <c r="R299" s="170">
        <v>2.0610595462341008E-2</v>
      </c>
      <c r="S299" s="55">
        <v>3901697.8299992392</v>
      </c>
      <c r="T299" s="167">
        <f t="shared" si="87"/>
        <v>3.1082278915678163E-2</v>
      </c>
      <c r="U299" s="170">
        <v>2.0610595462341008E-2</v>
      </c>
      <c r="V299" s="55">
        <v>3901697.8299992392</v>
      </c>
      <c r="X299" s="167">
        <f t="shared" si="88"/>
        <v>3.1082278915678163E-2</v>
      </c>
      <c r="Y299" s="170">
        <v>2.0610595462341008E-2</v>
      </c>
      <c r="Z299" s="55">
        <v>3901697.8299992392</v>
      </c>
      <c r="AB299" s="55">
        <v>3888617.1872088294</v>
      </c>
      <c r="AC299" s="55">
        <v>3901697.8299992392</v>
      </c>
      <c r="AD299" s="167">
        <f t="shared" si="89"/>
        <v>3.1082278915678163E-2</v>
      </c>
      <c r="AE299" s="170">
        <v>2.0610595462341008E-2</v>
      </c>
      <c r="AF299" s="55">
        <v>3901697.8299992392</v>
      </c>
      <c r="AG299" s="166">
        <v>1564.010389262831</v>
      </c>
      <c r="AH299" s="171">
        <f t="shared" si="90"/>
        <v>3.1082278915678163E-2</v>
      </c>
      <c r="AI299" s="171">
        <f t="shared" si="90"/>
        <v>2.0610595462341008E-2</v>
      </c>
      <c r="AK299" s="55">
        <v>4005073.4903842397</v>
      </c>
      <c r="AL299" s="166">
        <v>1605.4489152286101</v>
      </c>
      <c r="AM299" s="171">
        <f t="shared" si="92"/>
        <v>-2.5811176906789468E-2</v>
      </c>
      <c r="AN299" s="170">
        <f t="shared" si="91"/>
        <v>-2.5811176906789579E-2</v>
      </c>
      <c r="AP299" s="55">
        <v>1</v>
      </c>
      <c r="AQ299" s="55">
        <v>0</v>
      </c>
    </row>
    <row r="300" spans="2:43" ht="15" x14ac:dyDescent="0.25">
      <c r="B300" t="s">
        <v>571</v>
      </c>
      <c r="D300" s="55">
        <v>12806588</v>
      </c>
      <c r="E300" s="166">
        <v>1478.4784965073347</v>
      </c>
      <c r="G300" s="55">
        <v>13108697.542438753</v>
      </c>
      <c r="H300" s="166">
        <v>1501.451445300349</v>
      </c>
      <c r="J300" s="167">
        <f t="shared" si="83"/>
        <v>-2.3046495768224706E-2</v>
      </c>
      <c r="K300" s="168">
        <f t="shared" si="83"/>
        <v>-1.5300493975293872E-2</v>
      </c>
      <c r="L300" s="55">
        <v>13130109</v>
      </c>
      <c r="M300" s="167">
        <f t="shared" si="84"/>
        <v>2.5262076050232896E-2</v>
      </c>
      <c r="N300" s="169">
        <f t="shared" si="85"/>
        <v>9.0547645222140982E-3</v>
      </c>
      <c r="O300" s="55">
        <v>13130109</v>
      </c>
      <c r="Q300" s="167">
        <f t="shared" si="86"/>
        <v>2.8311635986789652E-2</v>
      </c>
      <c r="R300" s="170">
        <v>2.0222565435508821E-2</v>
      </c>
      <c r="S300" s="55">
        <v>13169163.457688788</v>
      </c>
      <c r="T300" s="167">
        <f t="shared" si="87"/>
        <v>2.8311635986789652E-2</v>
      </c>
      <c r="U300" s="170">
        <v>2.0222565435508821E-2</v>
      </c>
      <c r="V300" s="55">
        <v>13169163.457688788</v>
      </c>
      <c r="X300" s="167">
        <f t="shared" si="88"/>
        <v>2.8311635986789652E-2</v>
      </c>
      <c r="Y300" s="170">
        <v>2.0222565435508821E-2</v>
      </c>
      <c r="Z300" s="55">
        <v>13169163.457688788</v>
      </c>
      <c r="AB300" s="55">
        <v>13080237.228865584</v>
      </c>
      <c r="AC300" s="55">
        <v>13169163.457688788</v>
      </c>
      <c r="AD300" s="167">
        <f t="shared" si="89"/>
        <v>2.8311635986789652E-2</v>
      </c>
      <c r="AE300" s="170">
        <v>2.0222565435508821E-2</v>
      </c>
      <c r="AF300" s="55">
        <v>13169163.457688788</v>
      </c>
      <c r="AG300" s="166">
        <v>1508.3771246479466</v>
      </c>
      <c r="AH300" s="171">
        <f t="shared" si="90"/>
        <v>2.8311635986789652E-2</v>
      </c>
      <c r="AI300" s="171">
        <f t="shared" si="90"/>
        <v>2.0222565435508599E-2</v>
      </c>
      <c r="AK300" s="55">
        <v>13453110.593191886</v>
      </c>
      <c r="AL300" s="166">
        <v>1540.9000229457974</v>
      </c>
      <c r="AM300" s="171">
        <f t="shared" si="92"/>
        <v>-2.1106429887433831E-2</v>
      </c>
      <c r="AN300" s="170">
        <f t="shared" si="91"/>
        <v>-2.1106429887433942E-2</v>
      </c>
      <c r="AP300" s="55">
        <v>6</v>
      </c>
      <c r="AQ300" s="55">
        <v>0</v>
      </c>
    </row>
    <row r="301" spans="2:43" ht="15" x14ac:dyDescent="0.25">
      <c r="B301" t="s">
        <v>572</v>
      </c>
      <c r="D301" s="55">
        <v>5318125</v>
      </c>
      <c r="E301" s="166">
        <v>1521.3169647700383</v>
      </c>
      <c r="G301" s="55">
        <v>5476325.2706346465</v>
      </c>
      <c r="H301" s="166">
        <v>1546.4373208895249</v>
      </c>
      <c r="J301" s="167">
        <f t="shared" si="83"/>
        <v>-2.8888034003924812E-2</v>
      </c>
      <c r="K301" s="168">
        <f t="shared" si="83"/>
        <v>-1.6244018286520112E-2</v>
      </c>
      <c r="L301" s="55">
        <v>5490297</v>
      </c>
      <c r="M301" s="167">
        <f t="shared" si="84"/>
        <v>3.2374568104360124E-2</v>
      </c>
      <c r="N301" s="169">
        <f t="shared" si="85"/>
        <v>9.0547645222140982E-3</v>
      </c>
      <c r="O301" s="55">
        <v>5490297</v>
      </c>
      <c r="Q301" s="167">
        <f t="shared" si="86"/>
        <v>3.358312646679118E-2</v>
      </c>
      <c r="R301" s="170">
        <v>2.029869258357575E-2</v>
      </c>
      <c r="S301" s="55">
        <v>5496724.2644412033</v>
      </c>
      <c r="T301" s="167">
        <f t="shared" si="87"/>
        <v>3.358312646679118E-2</v>
      </c>
      <c r="U301" s="170">
        <v>2.029869258357575E-2</v>
      </c>
      <c r="V301" s="55">
        <v>5496724.2644412033</v>
      </c>
      <c r="X301" s="167">
        <f t="shared" si="88"/>
        <v>3.358312646679118E-2</v>
      </c>
      <c r="Y301" s="170">
        <v>2.029869258357575E-2</v>
      </c>
      <c r="Z301" s="55">
        <v>5496724.2644412033</v>
      </c>
      <c r="AB301" s="55">
        <v>5471762.2579845227</v>
      </c>
      <c r="AC301" s="55">
        <v>5496724.2644412033</v>
      </c>
      <c r="AD301" s="167">
        <f t="shared" si="89"/>
        <v>3.358312646679118E-2</v>
      </c>
      <c r="AE301" s="170">
        <v>2.029869258357575E-2</v>
      </c>
      <c r="AF301" s="55">
        <v>5496724.2644412033</v>
      </c>
      <c r="AG301" s="166">
        <v>1552.1977101600837</v>
      </c>
      <c r="AH301" s="171">
        <f t="shared" si="90"/>
        <v>3.358312646679118E-2</v>
      </c>
      <c r="AI301" s="171">
        <f t="shared" si="90"/>
        <v>2.0298692583575528E-2</v>
      </c>
      <c r="AK301" s="55">
        <v>5624481.0690484187</v>
      </c>
      <c r="AL301" s="166">
        <v>1588.2744369574482</v>
      </c>
      <c r="AM301" s="171">
        <f t="shared" si="92"/>
        <v>-2.2714416323714293E-2</v>
      </c>
      <c r="AN301" s="170">
        <f t="shared" si="91"/>
        <v>-2.2714416323714293E-2</v>
      </c>
      <c r="AP301" s="55">
        <v>4</v>
      </c>
      <c r="AQ301" s="55">
        <v>0</v>
      </c>
    </row>
    <row r="302" spans="2:43" ht="15" x14ac:dyDescent="0.25">
      <c r="B302" t="s">
        <v>573</v>
      </c>
      <c r="D302" s="55">
        <v>3868912</v>
      </c>
      <c r="E302" s="166">
        <v>1624.5783099599407</v>
      </c>
      <c r="G302" s="55">
        <v>3860410.9531324459</v>
      </c>
      <c r="H302" s="166">
        <v>1601.0498983362666</v>
      </c>
      <c r="J302" s="167">
        <f t="shared" si="83"/>
        <v>2.2021093015125448E-3</v>
      </c>
      <c r="K302" s="168">
        <f t="shared" si="83"/>
        <v>1.4695614201733376E-2</v>
      </c>
      <c r="L302" s="55">
        <v>3992563</v>
      </c>
      <c r="M302" s="167">
        <f t="shared" si="84"/>
        <v>3.1960147969248176E-2</v>
      </c>
      <c r="N302" s="169">
        <f t="shared" si="85"/>
        <v>9.0547645222140982E-3</v>
      </c>
      <c r="O302" s="55">
        <v>3992563</v>
      </c>
      <c r="Q302" s="167">
        <f t="shared" si="86"/>
        <v>3.1960147969248176E-2</v>
      </c>
      <c r="R302" s="170">
        <v>1.9254072388514398E-2</v>
      </c>
      <c r="S302" s="55">
        <v>3992563</v>
      </c>
      <c r="T302" s="167">
        <f t="shared" si="87"/>
        <v>3.1960147969248176E-2</v>
      </c>
      <c r="U302" s="170">
        <v>1.9254072388514398E-2</v>
      </c>
      <c r="V302" s="55">
        <v>3992563</v>
      </c>
      <c r="X302" s="167">
        <f t="shared" si="88"/>
        <v>3.1960147969248176E-2</v>
      </c>
      <c r="Y302" s="170">
        <v>1.9254072388514398E-2</v>
      </c>
      <c r="Z302" s="55">
        <v>3992563</v>
      </c>
      <c r="AB302" s="55">
        <v>3867972.9160459582</v>
      </c>
      <c r="AC302" s="55">
        <v>3992563</v>
      </c>
      <c r="AD302" s="167">
        <f t="shared" si="89"/>
        <v>3.1960147969248176E-2</v>
      </c>
      <c r="AE302" s="170">
        <v>1.9254072388514398E-2</v>
      </c>
      <c r="AF302" s="55">
        <v>3992563</v>
      </c>
      <c r="AG302" s="166">
        <v>1655.8580583407197</v>
      </c>
      <c r="AH302" s="171">
        <f t="shared" si="90"/>
        <v>3.1960147969248176E-2</v>
      </c>
      <c r="AI302" s="171">
        <f t="shared" si="90"/>
        <v>1.9254072388514398E-2</v>
      </c>
      <c r="AK302" s="55">
        <v>3967151.7087650853</v>
      </c>
      <c r="AL302" s="166">
        <v>1645.319090924507</v>
      </c>
      <c r="AM302" s="171">
        <f t="shared" si="92"/>
        <v>6.4054246220961453E-3</v>
      </c>
      <c r="AN302" s="170">
        <f t="shared" si="91"/>
        <v>6.4054246220961453E-3</v>
      </c>
      <c r="AP302" s="55">
        <v>7</v>
      </c>
      <c r="AQ302" s="55">
        <v>0</v>
      </c>
    </row>
    <row r="303" spans="2:43" ht="15" x14ac:dyDescent="0.25">
      <c r="B303" t="s">
        <v>574</v>
      </c>
      <c r="D303" s="55">
        <v>2559937</v>
      </c>
      <c r="E303" s="166">
        <v>1494.0793026078438</v>
      </c>
      <c r="G303" s="55">
        <v>2605897.5891121468</v>
      </c>
      <c r="H303" s="166">
        <v>1502.1308987568998</v>
      </c>
      <c r="J303" s="167">
        <f t="shared" si="83"/>
        <v>-1.7637143264638389E-2</v>
      </c>
      <c r="K303" s="168">
        <f t="shared" si="83"/>
        <v>-5.3601161894207827E-3</v>
      </c>
      <c r="L303" s="55">
        <v>2639333</v>
      </c>
      <c r="M303" s="167">
        <f t="shared" si="84"/>
        <v>3.1014825755477649E-2</v>
      </c>
      <c r="N303" s="169">
        <f t="shared" si="85"/>
        <v>9.0547645222140982E-3</v>
      </c>
      <c r="O303" s="55">
        <v>2639333</v>
      </c>
      <c r="Q303" s="167">
        <f t="shared" si="86"/>
        <v>3.1472460225920873E-2</v>
      </c>
      <c r="R303" s="170">
        <v>1.8740801735593449E-2</v>
      </c>
      <c r="S303" s="55">
        <v>2640504.515413363</v>
      </c>
      <c r="T303" s="167">
        <f t="shared" si="87"/>
        <v>3.1472460225920873E-2</v>
      </c>
      <c r="U303" s="170">
        <v>1.8740801735593449E-2</v>
      </c>
      <c r="V303" s="55">
        <v>2640504.515413363</v>
      </c>
      <c r="X303" s="167">
        <f t="shared" si="88"/>
        <v>3.1472460225920873E-2</v>
      </c>
      <c r="Y303" s="170">
        <v>1.8740801735593449E-2</v>
      </c>
      <c r="Z303" s="55">
        <v>2640504.515413363</v>
      </c>
      <c r="AB303" s="55">
        <v>2605251.4319255962</v>
      </c>
      <c r="AC303" s="55">
        <v>2640504.515413363</v>
      </c>
      <c r="AD303" s="167">
        <f t="shared" si="89"/>
        <v>3.1472460225920873E-2</v>
      </c>
      <c r="AE303" s="170">
        <v>1.8740801735593449E-2</v>
      </c>
      <c r="AF303" s="55">
        <v>2640504.515413363</v>
      </c>
      <c r="AG303" s="166">
        <v>1522.0795465952713</v>
      </c>
      <c r="AH303" s="171">
        <f t="shared" si="90"/>
        <v>3.1472460225920873E-2</v>
      </c>
      <c r="AI303" s="171">
        <f t="shared" si="90"/>
        <v>1.8740801735593449E-2</v>
      </c>
      <c r="AK303" s="55">
        <v>2675177.5112184193</v>
      </c>
      <c r="AL303" s="166">
        <v>1542.066279216252</v>
      </c>
      <c r="AM303" s="171">
        <f t="shared" si="92"/>
        <v>-1.2961007506849254E-2</v>
      </c>
      <c r="AN303" s="170">
        <f t="shared" si="91"/>
        <v>-1.2961007506849143E-2</v>
      </c>
      <c r="AP303" s="55">
        <v>5</v>
      </c>
      <c r="AQ303" s="55">
        <v>0</v>
      </c>
    </row>
    <row r="304" spans="2:43" ht="15" x14ac:dyDescent="0.25">
      <c r="B304" t="s">
        <v>575</v>
      </c>
      <c r="D304" s="55">
        <v>3178491</v>
      </c>
      <c r="E304" s="166">
        <v>1708.3768260925517</v>
      </c>
      <c r="G304" s="55">
        <v>2915680.1862338721</v>
      </c>
      <c r="H304" s="166">
        <v>1549.4303812185103</v>
      </c>
      <c r="J304" s="167">
        <f t="shared" si="83"/>
        <v>9.0137051041114136E-2</v>
      </c>
      <c r="K304" s="168">
        <f t="shared" si="83"/>
        <v>0.10258379259934358</v>
      </c>
      <c r="L304" s="55">
        <v>3253188</v>
      </c>
      <c r="M304" s="167">
        <f t="shared" si="84"/>
        <v>2.7113366050651289E-2</v>
      </c>
      <c r="N304" s="169">
        <f t="shared" si="85"/>
        <v>9.0547645222140982E-3</v>
      </c>
      <c r="O304" s="55">
        <v>3264670.5899717007</v>
      </c>
      <c r="Q304" s="167">
        <f t="shared" si="86"/>
        <v>2.7113366050651289E-2</v>
      </c>
      <c r="R304" s="170">
        <v>1.5518587763464042E-2</v>
      </c>
      <c r="S304" s="55">
        <v>3264670.5899717007</v>
      </c>
      <c r="T304" s="167">
        <f t="shared" si="87"/>
        <v>2.7761678074667451E-2</v>
      </c>
      <c r="U304" s="170">
        <v>1.6159581185242189E-2</v>
      </c>
      <c r="V304" s="55">
        <v>3266731.2439052281</v>
      </c>
      <c r="X304" s="167">
        <f t="shared" si="88"/>
        <v>2.3500774424089821E-2</v>
      </c>
      <c r="Y304" s="170">
        <v>1.1946777612771298E-2</v>
      </c>
      <c r="Z304" s="55">
        <v>3253188</v>
      </c>
      <c r="AB304" s="55">
        <v>2921404.1551876236</v>
      </c>
      <c r="AC304" s="55">
        <v>3253188</v>
      </c>
      <c r="AD304" s="167">
        <f t="shared" si="89"/>
        <v>2.3500774424089821E-2</v>
      </c>
      <c r="AE304" s="170">
        <v>1.1946777612771298E-2</v>
      </c>
      <c r="AF304" s="55">
        <v>3253188</v>
      </c>
      <c r="AG304" s="166">
        <v>1728.786424112692</v>
      </c>
      <c r="AH304" s="171">
        <f t="shared" si="90"/>
        <v>2.3500774424089821E-2</v>
      </c>
      <c r="AI304" s="171">
        <f t="shared" si="90"/>
        <v>1.194677761277152E-2</v>
      </c>
      <c r="AK304" s="55">
        <v>2996311.9540385883</v>
      </c>
      <c r="AL304" s="166">
        <v>1592.2791515733134</v>
      </c>
      <c r="AM304" s="171">
        <f t="shared" si="92"/>
        <v>8.5730741625611007E-2</v>
      </c>
      <c r="AN304" s="170">
        <f t="shared" si="91"/>
        <v>8.5730741625610785E-2</v>
      </c>
      <c r="AP304" s="55">
        <v>7</v>
      </c>
      <c r="AQ304" s="55">
        <v>0</v>
      </c>
    </row>
    <row r="305" spans="2:43" ht="15" x14ac:dyDescent="0.25">
      <c r="B305"/>
      <c r="D305" s="1"/>
      <c r="G305" s="1"/>
      <c r="L305" s="1"/>
      <c r="O305" s="1"/>
      <c r="Q305" s="53"/>
      <c r="S305" s="1"/>
      <c r="U305" s="52"/>
      <c r="V305" s="1"/>
      <c r="X305" s="53"/>
      <c r="Y305" s="52"/>
      <c r="Z305" s="1"/>
      <c r="AB305" s="1"/>
      <c r="AC305" s="1"/>
      <c r="AD305" s="53"/>
      <c r="AE305" s="52"/>
      <c r="AF305" s="1"/>
      <c r="AG305" s="75"/>
      <c r="AK305" s="1"/>
      <c r="AL305" s="75"/>
      <c r="AP305" s="1"/>
      <c r="AQ305" s="1"/>
    </row>
    <row r="306" spans="2:43" ht="15" x14ac:dyDescent="0.25">
      <c r="B306" t="s">
        <v>12</v>
      </c>
      <c r="D306" s="172">
        <f>SUM(D293:D304)</f>
        <v>92393046</v>
      </c>
      <c r="E306" s="173">
        <v>1599.6618765604621</v>
      </c>
      <c r="G306" s="172">
        <f>SUM(G293:G304)</f>
        <v>92393127.908494964</v>
      </c>
      <c r="H306" s="173">
        <v>1588.2278118776028</v>
      </c>
      <c r="J306" s="167">
        <f>D306/G306-1</f>
        <v>-8.8652150675994079E-7</v>
      </c>
      <c r="K306" s="168">
        <f>E306/H306-1</f>
        <v>7.1992598274310815E-3</v>
      </c>
      <c r="L306" s="172">
        <f>SUM(L293:L304)</f>
        <v>94725326</v>
      </c>
      <c r="M306" s="167">
        <f>O306/$D306-1</f>
        <v>2.5419805744289592E-2</v>
      </c>
      <c r="N306" s="169">
        <f>N$222</f>
        <v>9.0547645222140982E-3</v>
      </c>
      <c r="O306" s="172">
        <f>SUM(O293:O304)</f>
        <v>94741659.281443208</v>
      </c>
      <c r="Q306" s="167">
        <f>S306/$D306-1</f>
        <v>2.6529776798209781E-2</v>
      </c>
      <c r="R306" s="170">
        <v>1.9191442747253262E-2</v>
      </c>
      <c r="S306" s="172">
        <f>SUM(S293:S304)</f>
        <v>94844212.888086721</v>
      </c>
      <c r="T306" s="167">
        <f>V306/$D306-1</f>
        <v>2.6649225272138422E-2</v>
      </c>
      <c r="U306" s="170">
        <v>1.9310037322129769E-2</v>
      </c>
      <c r="V306" s="172">
        <f>SUM(V293:V304)</f>
        <v>94855249.096433043</v>
      </c>
      <c r="X306" s="167">
        <f>Z306/$D306-1</f>
        <v>2.6372146988571377E-2</v>
      </c>
      <c r="Y306" s="170">
        <v>1.9034939782861526E-2</v>
      </c>
      <c r="Z306" s="172">
        <f>SUM(Z293:Z304)</f>
        <v>94829648.989833832</v>
      </c>
      <c r="AB306" s="172">
        <f>SUM(AB293:AB304)</f>
        <v>92345213.823370755</v>
      </c>
      <c r="AC306" s="172">
        <f>SUM(AC293:AC304)</f>
        <v>94829648.989833832</v>
      </c>
      <c r="AD306" s="167">
        <f>AC306/$D306-1</f>
        <v>2.6372146988571377E-2</v>
      </c>
      <c r="AE306" s="170">
        <v>1.9034939782861526E-2</v>
      </c>
      <c r="AF306" s="172">
        <f>SUM(AF293:AF304)</f>
        <v>94829648.989833832</v>
      </c>
      <c r="AG306" s="166">
        <v>1630.1113440537299</v>
      </c>
      <c r="AH306" s="171">
        <f>AF306/D306 - 1</f>
        <v>2.6372146988571377E-2</v>
      </c>
      <c r="AI306" s="171">
        <f>AG306/E306 - 1</f>
        <v>1.9034939782861526E-2</v>
      </c>
      <c r="AK306" s="172">
        <f>SUM(AK293:AK304)</f>
        <v>94829716.878834367</v>
      </c>
      <c r="AL306" s="173">
        <v>1630.1125110582595</v>
      </c>
      <c r="AM306" s="171">
        <f t="shared" si="92"/>
        <v>-7.159042837434626E-7</v>
      </c>
      <c r="AN306" s="170">
        <f t="shared" si="92"/>
        <v>-7.159042837434626E-7</v>
      </c>
      <c r="AP306" s="172">
        <f>SUM(AP293:AP304)</f>
        <v>128</v>
      </c>
      <c r="AQ306" s="172">
        <f>SUM(AQ293:AQ304)</f>
        <v>0</v>
      </c>
    </row>
    <row r="307" spans="2:43" ht="15" x14ac:dyDescent="0.25">
      <c r="B307"/>
      <c r="D307" s="1"/>
      <c r="G307" s="1"/>
      <c r="L307" s="1"/>
      <c r="O307" s="1"/>
      <c r="Q307" s="53"/>
      <c r="S307" s="1"/>
      <c r="U307" s="52"/>
      <c r="V307" s="1"/>
      <c r="X307" s="53"/>
      <c r="Y307" s="52"/>
      <c r="Z307" s="1"/>
      <c r="AB307" s="1"/>
      <c r="AC307" s="1"/>
      <c r="AD307" s="53"/>
      <c r="AE307" s="52"/>
      <c r="AF307" s="1"/>
      <c r="AG307" s="75"/>
      <c r="AK307" s="1"/>
      <c r="AL307" s="75"/>
      <c r="AP307" s="1"/>
      <c r="AQ307" s="1"/>
    </row>
    <row r="308" spans="2:43" x14ac:dyDescent="0.2">
      <c r="B308" s="43" t="s">
        <v>576</v>
      </c>
      <c r="D308" s="1"/>
      <c r="G308" s="1"/>
      <c r="L308" s="1"/>
      <c r="O308" s="1"/>
      <c r="Q308" s="53"/>
      <c r="S308" s="1"/>
      <c r="U308" s="52"/>
      <c r="V308" s="1"/>
      <c r="X308" s="53"/>
      <c r="Y308" s="52"/>
      <c r="Z308" s="1"/>
      <c r="AB308" s="1"/>
      <c r="AC308" s="1"/>
      <c r="AD308" s="53"/>
      <c r="AE308" s="52"/>
      <c r="AF308" s="1"/>
      <c r="AG308" s="75"/>
      <c r="AK308" s="1"/>
      <c r="AL308" s="75"/>
      <c r="AP308" s="1"/>
      <c r="AQ308" s="1"/>
    </row>
    <row r="309" spans="2:43" ht="15" x14ac:dyDescent="0.25">
      <c r="B309"/>
      <c r="D309" s="1"/>
      <c r="G309" s="1"/>
      <c r="L309" s="1"/>
      <c r="O309" s="1"/>
      <c r="Q309" s="53"/>
      <c r="S309" s="1"/>
      <c r="U309" s="52"/>
      <c r="V309" s="1"/>
      <c r="X309" s="53"/>
      <c r="Y309" s="52"/>
      <c r="Z309" s="1"/>
      <c r="AB309" s="1"/>
      <c r="AC309" s="1"/>
      <c r="AD309" s="53"/>
      <c r="AE309" s="52"/>
      <c r="AF309" s="1"/>
      <c r="AG309" s="75"/>
      <c r="AK309" s="1"/>
      <c r="AL309" s="75"/>
      <c r="AP309" s="1"/>
      <c r="AQ309" s="1"/>
    </row>
    <row r="310" spans="2:43" ht="15" x14ac:dyDescent="0.25">
      <c r="B310" t="s">
        <v>577</v>
      </c>
      <c r="D310" s="55">
        <v>5827976</v>
      </c>
      <c r="E310" s="166">
        <v>1790.7975506611442</v>
      </c>
      <c r="G310" s="55">
        <v>5625131.1858228296</v>
      </c>
      <c r="H310" s="166">
        <v>1724.0277497406867</v>
      </c>
      <c r="J310" s="167">
        <f t="shared" ref="J310:K322" si="93">D310/G310-1</f>
        <v>3.6060459298870251E-2</v>
      </c>
      <c r="K310" s="168">
        <f t="shared" si="93"/>
        <v>3.8728959513848027E-2</v>
      </c>
      <c r="L310" s="55">
        <v>5950401</v>
      </c>
      <c r="M310" s="167">
        <f t="shared" ref="M310:M322" si="94">O310/$D310-1</f>
        <v>2.1479092774495223E-2</v>
      </c>
      <c r="N310" s="169">
        <f t="shared" ref="N310:N322" si="95">N$222</f>
        <v>9.0547645222140982E-3</v>
      </c>
      <c r="O310" s="55">
        <v>5953155.6371915322</v>
      </c>
      <c r="Q310" s="167">
        <f t="shared" ref="Q310:Q322" si="96">S310/$D310-1</f>
        <v>2.1479092774495223E-2</v>
      </c>
      <c r="R310" s="170">
        <v>1.8854907558806699E-2</v>
      </c>
      <c r="S310" s="55">
        <v>5953155.6371915322</v>
      </c>
      <c r="T310" s="167">
        <f t="shared" ref="T310:T322" si="97">V310/$D310-1</f>
        <v>2.2408638493890187E-2</v>
      </c>
      <c r="U310" s="170">
        <v>1.9782065270310456E-2</v>
      </c>
      <c r="V310" s="55">
        <v>5958573.0073350677</v>
      </c>
      <c r="X310" s="167">
        <f t="shared" ref="X310:X322" si="98">Z310/$D310-1</f>
        <v>2.1161429910988794E-2</v>
      </c>
      <c r="Y310" s="170">
        <v>1.8538060772884002E-2</v>
      </c>
      <c r="Z310" s="55">
        <v>5951304.3056469243</v>
      </c>
      <c r="AB310" s="55">
        <v>5626377.0008824458</v>
      </c>
      <c r="AC310" s="55">
        <v>5951304.3056469243</v>
      </c>
      <c r="AD310" s="167">
        <f t="shared" ref="AD310:AD322" si="99">AC310/$D310-1</f>
        <v>2.1161429910988794E-2</v>
      </c>
      <c r="AE310" s="170">
        <v>1.8538060772884002E-2</v>
      </c>
      <c r="AF310" s="55">
        <v>5951304.3056469243</v>
      </c>
      <c r="AG310" s="166">
        <v>1823.9954644872321</v>
      </c>
      <c r="AH310" s="171">
        <f t="shared" ref="AH310:AI322" si="100">AF310/D310 - 1</f>
        <v>2.1161429910988794E-2</v>
      </c>
      <c r="AI310" s="171">
        <f t="shared" si="100"/>
        <v>1.853806077288378E-2</v>
      </c>
      <c r="AK310" s="55">
        <v>5770643.0778281493</v>
      </c>
      <c r="AL310" s="166">
        <v>1768.6252055949976</v>
      </c>
      <c r="AM310" s="171">
        <f t="shared" ref="AM310:AM322" si="101">AF310/AK310-1</f>
        <v>3.1306948875924778E-2</v>
      </c>
      <c r="AN310" s="170">
        <f t="shared" ref="AN310:AN322" si="102">AG310/AL310-1</f>
        <v>3.1306948875924778E-2</v>
      </c>
      <c r="AP310" s="1"/>
      <c r="AQ310" s="1"/>
    </row>
    <row r="311" spans="2:43" ht="15" x14ac:dyDescent="0.25">
      <c r="B311" t="s">
        <v>578</v>
      </c>
      <c r="D311" s="55">
        <v>7813646</v>
      </c>
      <c r="E311" s="166">
        <v>1736.8777424563666</v>
      </c>
      <c r="G311" s="55">
        <v>7826463.7769201687</v>
      </c>
      <c r="H311" s="166">
        <v>1731.4035652522041</v>
      </c>
      <c r="J311" s="167">
        <f t="shared" si="93"/>
        <v>-1.6377481945253347E-3</v>
      </c>
      <c r="K311" s="168">
        <f t="shared" si="93"/>
        <v>3.1616991636291836E-3</v>
      </c>
      <c r="L311" s="55">
        <v>8016152</v>
      </c>
      <c r="M311" s="167">
        <f t="shared" si="94"/>
        <v>2.5916966292048649E-2</v>
      </c>
      <c r="N311" s="169">
        <f t="shared" si="95"/>
        <v>9.0547645222140982E-3</v>
      </c>
      <c r="O311" s="55">
        <v>8016152</v>
      </c>
      <c r="Q311" s="167">
        <f t="shared" si="96"/>
        <v>2.6098962100747691E-2</v>
      </c>
      <c r="R311" s="170">
        <v>2.1189775518997589E-2</v>
      </c>
      <c r="S311" s="55">
        <v>8017574.0508226585</v>
      </c>
      <c r="T311" s="167">
        <f t="shared" si="97"/>
        <v>2.6098962100747691E-2</v>
      </c>
      <c r="U311" s="170">
        <v>2.1189775518997589E-2</v>
      </c>
      <c r="V311" s="55">
        <v>8017574.0508226585</v>
      </c>
      <c r="X311" s="167">
        <f t="shared" si="98"/>
        <v>2.6098962100747691E-2</v>
      </c>
      <c r="Y311" s="170">
        <v>2.1189775518997589E-2</v>
      </c>
      <c r="Z311" s="55">
        <v>8017574.0508226585</v>
      </c>
      <c r="AB311" s="55">
        <v>7823131.2849047445</v>
      </c>
      <c r="AC311" s="55">
        <v>8017574.0508226585</v>
      </c>
      <c r="AD311" s="167">
        <f t="shared" si="99"/>
        <v>2.6098962100747691E-2</v>
      </c>
      <c r="AE311" s="170">
        <v>2.1189775518997589E-2</v>
      </c>
      <c r="AF311" s="55">
        <v>8017574.0508226585</v>
      </c>
      <c r="AG311" s="166">
        <v>1773.6817919229604</v>
      </c>
      <c r="AH311" s="171">
        <f t="shared" si="100"/>
        <v>2.6098962100747691E-2</v>
      </c>
      <c r="AI311" s="171">
        <f t="shared" si="100"/>
        <v>2.1189775518997589E-2</v>
      </c>
      <c r="AK311" s="55">
        <v>8033010.6998066446</v>
      </c>
      <c r="AL311" s="166">
        <v>1777.0967529894433</v>
      </c>
      <c r="AM311" s="171">
        <f t="shared" si="101"/>
        <v>-1.9216517394103905E-3</v>
      </c>
      <c r="AN311" s="170">
        <f t="shared" si="102"/>
        <v>-1.9216517394105015E-3</v>
      </c>
      <c r="AP311" s="1"/>
      <c r="AQ311" s="1"/>
    </row>
    <row r="312" spans="2:43" ht="15" x14ac:dyDescent="0.25">
      <c r="B312" t="s">
        <v>579</v>
      </c>
      <c r="D312" s="55">
        <v>4627593</v>
      </c>
      <c r="E312" s="166">
        <v>1794.7139593724976</v>
      </c>
      <c r="G312" s="55">
        <v>4544003.3995979195</v>
      </c>
      <c r="H312" s="166">
        <v>1757.3545485720233</v>
      </c>
      <c r="J312" s="167">
        <f t="shared" si="93"/>
        <v>1.839558491736093E-2</v>
      </c>
      <c r="K312" s="168">
        <f t="shared" si="93"/>
        <v>2.1258892140366026E-2</v>
      </c>
      <c r="L312" s="55">
        <v>4736588</v>
      </c>
      <c r="M312" s="167">
        <f t="shared" si="94"/>
        <v>2.3553281371114565E-2</v>
      </c>
      <c r="N312" s="169">
        <f t="shared" si="95"/>
        <v>9.0547645222140982E-3</v>
      </c>
      <c r="O312" s="55">
        <v>4736588</v>
      </c>
      <c r="Q312" s="167">
        <f t="shared" si="96"/>
        <v>2.372345397318143E-2</v>
      </c>
      <c r="R312" s="170">
        <v>2.085323684931617E-2</v>
      </c>
      <c r="S312" s="55">
        <v>4737375.4895421164</v>
      </c>
      <c r="T312" s="167">
        <f t="shared" si="97"/>
        <v>2.372345397318143E-2</v>
      </c>
      <c r="U312" s="170">
        <v>2.085323684931617E-2</v>
      </c>
      <c r="V312" s="55">
        <v>4737375.4895421164</v>
      </c>
      <c r="X312" s="167">
        <f t="shared" si="98"/>
        <v>2.372345397318143E-2</v>
      </c>
      <c r="Y312" s="170">
        <v>2.085323684931617E-2</v>
      </c>
      <c r="Z312" s="55">
        <v>4737375.4895421164</v>
      </c>
      <c r="AB312" s="55">
        <v>4545249.267433838</v>
      </c>
      <c r="AC312" s="55">
        <v>4737375.4895421164</v>
      </c>
      <c r="AD312" s="167">
        <f t="shared" si="99"/>
        <v>2.372345397318143E-2</v>
      </c>
      <c r="AE312" s="170">
        <v>2.085323684931617E-2</v>
      </c>
      <c r="AF312" s="55">
        <v>4737375.4895421164</v>
      </c>
      <c r="AG312" s="166">
        <v>1832.1395546440658</v>
      </c>
      <c r="AH312" s="171">
        <f t="shared" si="100"/>
        <v>2.372345397318143E-2</v>
      </c>
      <c r="AI312" s="171">
        <f t="shared" si="100"/>
        <v>2.0853236849315948E-2</v>
      </c>
      <c r="AK312" s="55">
        <v>4661794.1204449618</v>
      </c>
      <c r="AL312" s="166">
        <v>1802.9091049525143</v>
      </c>
      <c r="AM312" s="171">
        <f t="shared" si="101"/>
        <v>1.6212935866404266E-2</v>
      </c>
      <c r="AN312" s="170">
        <f t="shared" si="102"/>
        <v>1.6212935866404266E-2</v>
      </c>
      <c r="AP312" s="1"/>
      <c r="AQ312" s="1"/>
    </row>
    <row r="313" spans="2:43" ht="15" x14ac:dyDescent="0.25">
      <c r="B313" t="s">
        <v>580</v>
      </c>
      <c r="D313" s="55">
        <v>9359195</v>
      </c>
      <c r="E313" s="166">
        <v>1626.1183655843017</v>
      </c>
      <c r="G313" s="55">
        <v>9083682.7848983537</v>
      </c>
      <c r="H313" s="166">
        <v>1570.3968732134526</v>
      </c>
      <c r="J313" s="167">
        <f t="shared" si="93"/>
        <v>3.03304531461277E-2</v>
      </c>
      <c r="K313" s="168">
        <f t="shared" si="93"/>
        <v>3.5482426971997105E-2</v>
      </c>
      <c r="L313" s="55">
        <v>9572092</v>
      </c>
      <c r="M313" s="167">
        <f t="shared" si="94"/>
        <v>2.2786457835459739E-2</v>
      </c>
      <c r="N313" s="169">
        <f t="shared" si="95"/>
        <v>9.0547645222140982E-3</v>
      </c>
      <c r="O313" s="55">
        <v>9572457.9022413455</v>
      </c>
      <c r="Q313" s="167">
        <f t="shared" si="96"/>
        <v>2.2931129761057489E-2</v>
      </c>
      <c r="R313" s="170">
        <v>1.7841604078224549E-2</v>
      </c>
      <c r="S313" s="55">
        <v>9573811.915004041</v>
      </c>
      <c r="T313" s="167">
        <f t="shared" si="97"/>
        <v>2.3027264316614726E-2</v>
      </c>
      <c r="U313" s="170">
        <v>1.7937260322705484E-2</v>
      </c>
      <c r="V313" s="55">
        <v>9574711.6570557393</v>
      </c>
      <c r="X313" s="167">
        <f t="shared" si="98"/>
        <v>2.2984571889579142E-2</v>
      </c>
      <c r="Y313" s="170">
        <v>1.7894780308996383E-2</v>
      </c>
      <c r="Z313" s="55">
        <v>9574312.0903060902</v>
      </c>
      <c r="AB313" s="55">
        <v>9084342.5865158793</v>
      </c>
      <c r="AC313" s="55">
        <v>9574312.0903060902</v>
      </c>
      <c r="AD313" s="167">
        <f t="shared" si="99"/>
        <v>2.2984571889579142E-2</v>
      </c>
      <c r="AE313" s="170">
        <v>1.7894780308996383E-2</v>
      </c>
      <c r="AF313" s="55">
        <v>9574312.0903060902</v>
      </c>
      <c r="AG313" s="166">
        <v>1655.217396492857</v>
      </c>
      <c r="AH313" s="171">
        <f t="shared" si="100"/>
        <v>2.2984571889579142E-2</v>
      </c>
      <c r="AI313" s="171">
        <f t="shared" si="100"/>
        <v>1.7894780308996383E-2</v>
      </c>
      <c r="AK313" s="55">
        <v>9319921.576225467</v>
      </c>
      <c r="AL313" s="166">
        <v>1611.2380901534139</v>
      </c>
      <c r="AM313" s="171">
        <f t="shared" si="101"/>
        <v>2.7295349215121778E-2</v>
      </c>
      <c r="AN313" s="170">
        <f t="shared" si="102"/>
        <v>2.7295349215121778E-2</v>
      </c>
      <c r="AP313" s="1"/>
      <c r="AQ313" s="1"/>
    </row>
    <row r="314" spans="2:43" ht="15" x14ac:dyDescent="0.25">
      <c r="B314" t="s">
        <v>581</v>
      </c>
      <c r="D314" s="55">
        <v>7089706</v>
      </c>
      <c r="E314" s="166">
        <v>1600.0103778343159</v>
      </c>
      <c r="G314" s="55">
        <v>7159992.4215162462</v>
      </c>
      <c r="H314" s="166">
        <v>1605.6500459091453</v>
      </c>
      <c r="J314" s="167">
        <f t="shared" si="93"/>
        <v>-9.8165497082135511E-3</v>
      </c>
      <c r="K314" s="168">
        <f t="shared" si="93"/>
        <v>-3.5123893211961299E-3</v>
      </c>
      <c r="L314" s="55">
        <v>7273892</v>
      </c>
      <c r="M314" s="167">
        <f t="shared" si="94"/>
        <v>2.5979356548776478E-2</v>
      </c>
      <c r="N314" s="169">
        <f t="shared" si="95"/>
        <v>9.0547645222140982E-3</v>
      </c>
      <c r="O314" s="55">
        <v>7273892</v>
      </c>
      <c r="Q314" s="167">
        <f t="shared" si="96"/>
        <v>2.6422167567432098E-2</v>
      </c>
      <c r="R314" s="170">
        <v>1.9928629765464612E-2</v>
      </c>
      <c r="S314" s="55">
        <v>7277031.3999358285</v>
      </c>
      <c r="T314" s="167">
        <f t="shared" si="97"/>
        <v>2.6437742191767644E-2</v>
      </c>
      <c r="U314" s="170">
        <v>1.994410585879125E-2</v>
      </c>
      <c r="V314" s="55">
        <v>7277141.8194434289</v>
      </c>
      <c r="X314" s="167">
        <f t="shared" si="98"/>
        <v>2.6422167567432098E-2</v>
      </c>
      <c r="Y314" s="170">
        <v>1.9928629765464612E-2</v>
      </c>
      <c r="Z314" s="55">
        <v>7277031.3999358285</v>
      </c>
      <c r="AB314" s="55">
        <v>7165502.7822841741</v>
      </c>
      <c r="AC314" s="55">
        <v>7277031.3999358285</v>
      </c>
      <c r="AD314" s="167">
        <f t="shared" si="99"/>
        <v>2.6422167567432098E-2</v>
      </c>
      <c r="AE314" s="170">
        <v>1.9928629765464612E-2</v>
      </c>
      <c r="AF314" s="55">
        <v>7277031.3999358285</v>
      </c>
      <c r="AG314" s="166">
        <v>1631.8963922750772</v>
      </c>
      <c r="AH314" s="171">
        <f t="shared" si="100"/>
        <v>2.6422167567432098E-2</v>
      </c>
      <c r="AI314" s="171">
        <f t="shared" si="100"/>
        <v>1.9928629765464612E-2</v>
      </c>
      <c r="AK314" s="55">
        <v>7349721.7894747388</v>
      </c>
      <c r="AL314" s="166">
        <v>1648.1974328948365</v>
      </c>
      <c r="AM314" s="171">
        <f t="shared" si="101"/>
        <v>-9.8902232793365297E-3</v>
      </c>
      <c r="AN314" s="170">
        <f t="shared" si="102"/>
        <v>-9.8902232793365297E-3</v>
      </c>
      <c r="AP314" s="1"/>
      <c r="AQ314" s="1"/>
    </row>
    <row r="315" spans="2:43" ht="15" x14ac:dyDescent="0.25">
      <c r="B315" t="s">
        <v>582</v>
      </c>
      <c r="D315" s="55">
        <v>5922122</v>
      </c>
      <c r="E315" s="166">
        <v>1594.0567550935405</v>
      </c>
      <c r="G315" s="55">
        <v>5927488.5714841727</v>
      </c>
      <c r="H315" s="166">
        <v>1587.8958892851711</v>
      </c>
      <c r="J315" s="167">
        <f t="shared" si="93"/>
        <v>-9.0537019505865235E-4</v>
      </c>
      <c r="K315" s="168">
        <f t="shared" si="93"/>
        <v>3.8798927876455558E-3</v>
      </c>
      <c r="L315" s="55">
        <v>6058759</v>
      </c>
      <c r="M315" s="167">
        <f t="shared" si="94"/>
        <v>2.3072304150437928E-2</v>
      </c>
      <c r="N315" s="169">
        <f t="shared" si="95"/>
        <v>9.0547645222140982E-3</v>
      </c>
      <c r="O315" s="55">
        <v>6058759</v>
      </c>
      <c r="Q315" s="167">
        <f t="shared" si="96"/>
        <v>2.3671573302421978E-2</v>
      </c>
      <c r="R315" s="170">
        <v>1.8791967961818923E-2</v>
      </c>
      <c r="S315" s="55">
        <v>6062307.9450288853</v>
      </c>
      <c r="T315" s="167">
        <f t="shared" si="97"/>
        <v>2.3907589459871703E-2</v>
      </c>
      <c r="U315" s="170">
        <v>1.9026859084899872E-2</v>
      </c>
      <c r="V315" s="55">
        <v>6063705.661507275</v>
      </c>
      <c r="X315" s="167">
        <f t="shared" si="98"/>
        <v>2.3671573302421978E-2</v>
      </c>
      <c r="Y315" s="170">
        <v>1.8791967961818923E-2</v>
      </c>
      <c r="Z315" s="55">
        <v>6062307.9450288853</v>
      </c>
      <c r="AB315" s="55">
        <v>5927660.770949156</v>
      </c>
      <c r="AC315" s="55">
        <v>6062307.9450288853</v>
      </c>
      <c r="AD315" s="167">
        <f t="shared" si="99"/>
        <v>2.3671573302421978E-2</v>
      </c>
      <c r="AE315" s="170">
        <v>1.8791967961818923E-2</v>
      </c>
      <c r="AF315" s="55">
        <v>6062307.9450288853</v>
      </c>
      <c r="AG315" s="166">
        <v>1624.0122185645791</v>
      </c>
      <c r="AH315" s="171">
        <f t="shared" si="100"/>
        <v>2.3671573302421978E-2</v>
      </c>
      <c r="AI315" s="171">
        <f t="shared" si="100"/>
        <v>1.8791967961818923E-2</v>
      </c>
      <c r="AK315" s="55">
        <v>6082486.8821075307</v>
      </c>
      <c r="AL315" s="166">
        <v>1629.417889254772</v>
      </c>
      <c r="AM315" s="171">
        <f t="shared" si="101"/>
        <v>-3.3175471595351391E-3</v>
      </c>
      <c r="AN315" s="170">
        <f t="shared" si="102"/>
        <v>-3.3175471595351391E-3</v>
      </c>
      <c r="AP315" s="1"/>
      <c r="AQ315" s="1"/>
    </row>
    <row r="316" spans="2:43" ht="15" x14ac:dyDescent="0.25">
      <c r="B316" t="s">
        <v>583</v>
      </c>
      <c r="D316" s="55">
        <v>7178224</v>
      </c>
      <c r="E316" s="166">
        <v>1485.3565943611088</v>
      </c>
      <c r="G316" s="55">
        <v>7394745.131777091</v>
      </c>
      <c r="H316" s="166">
        <v>1516.6975003497887</v>
      </c>
      <c r="J316" s="167">
        <f t="shared" si="93"/>
        <v>-2.9280404925200898E-2</v>
      </c>
      <c r="K316" s="168">
        <f t="shared" si="93"/>
        <v>-2.0663913523594424E-2</v>
      </c>
      <c r="L316" s="55">
        <v>7366041</v>
      </c>
      <c r="M316" s="167">
        <f t="shared" si="94"/>
        <v>2.6164828514685601E-2</v>
      </c>
      <c r="N316" s="169">
        <f t="shared" si="95"/>
        <v>9.0547645222140982E-3</v>
      </c>
      <c r="O316" s="55">
        <v>7366041</v>
      </c>
      <c r="Q316" s="167">
        <f t="shared" si="96"/>
        <v>2.9847411442478933E-2</v>
      </c>
      <c r="R316" s="170">
        <v>2.0786506316856634E-2</v>
      </c>
      <c r="S316" s="55">
        <v>7392475.4051542776</v>
      </c>
      <c r="T316" s="167">
        <f t="shared" si="97"/>
        <v>2.9847411442478933E-2</v>
      </c>
      <c r="U316" s="170">
        <v>2.0786506316856634E-2</v>
      </c>
      <c r="V316" s="55">
        <v>7392475.4051542776</v>
      </c>
      <c r="X316" s="167">
        <f t="shared" si="98"/>
        <v>2.9847411442478933E-2</v>
      </c>
      <c r="Y316" s="170">
        <v>2.0786506316856634E-2</v>
      </c>
      <c r="Z316" s="55">
        <v>7392475.4051542776</v>
      </c>
      <c r="AB316" s="55">
        <v>7349591.6880826233</v>
      </c>
      <c r="AC316" s="55">
        <v>7392475.4051542776</v>
      </c>
      <c r="AD316" s="167">
        <f t="shared" si="99"/>
        <v>2.9847411442478933E-2</v>
      </c>
      <c r="AE316" s="170">
        <v>2.0786506316856634E-2</v>
      </c>
      <c r="AF316" s="55">
        <v>7392475.4051542776</v>
      </c>
      <c r="AG316" s="166">
        <v>1516.2319685925811</v>
      </c>
      <c r="AH316" s="171">
        <f t="shared" si="100"/>
        <v>2.9847411442478933E-2</v>
      </c>
      <c r="AI316" s="171">
        <f t="shared" si="100"/>
        <v>2.0786506316856856E-2</v>
      </c>
      <c r="AK316" s="55">
        <v>7589311.4188428195</v>
      </c>
      <c r="AL316" s="166">
        <v>1556.603973931524</v>
      </c>
      <c r="AM316" s="171">
        <f t="shared" si="101"/>
        <v>-2.5935951606865904E-2</v>
      </c>
      <c r="AN316" s="170">
        <f t="shared" si="102"/>
        <v>-2.5935951606865792E-2</v>
      </c>
      <c r="AP316" s="1"/>
      <c r="AQ316" s="1"/>
    </row>
    <row r="317" spans="2:43" ht="15" x14ac:dyDescent="0.25">
      <c r="B317" t="s">
        <v>584</v>
      </c>
      <c r="D317" s="55">
        <v>6783278</v>
      </c>
      <c r="E317" s="166">
        <v>1518.2214078135246</v>
      </c>
      <c r="G317" s="55">
        <v>6949057.1377726803</v>
      </c>
      <c r="H317" s="166">
        <v>1543.6239950359554</v>
      </c>
      <c r="J317" s="167">
        <f t="shared" si="93"/>
        <v>-2.3856349787593767E-2</v>
      </c>
      <c r="K317" s="168">
        <f t="shared" si="93"/>
        <v>-1.6456460448996291E-2</v>
      </c>
      <c r="L317" s="55">
        <v>6944775</v>
      </c>
      <c r="M317" s="167">
        <f t="shared" si="94"/>
        <v>2.3808105756538467E-2</v>
      </c>
      <c r="N317" s="169">
        <f t="shared" si="95"/>
        <v>9.0547645222140982E-3</v>
      </c>
      <c r="O317" s="55">
        <v>6944775</v>
      </c>
      <c r="Q317" s="167">
        <f t="shared" si="96"/>
        <v>2.7739710574595344E-2</v>
      </c>
      <c r="R317" s="170">
        <v>2.0007302377794911E-2</v>
      </c>
      <c r="S317" s="55">
        <v>6971444.1684670206</v>
      </c>
      <c r="T317" s="167">
        <f t="shared" si="97"/>
        <v>2.7739710574595344E-2</v>
      </c>
      <c r="U317" s="170">
        <v>2.0007302377794911E-2</v>
      </c>
      <c r="V317" s="55">
        <v>6971444.1684670206</v>
      </c>
      <c r="X317" s="167">
        <f t="shared" si="98"/>
        <v>2.7739710574595344E-2</v>
      </c>
      <c r="Y317" s="170">
        <v>2.0007302377794911E-2</v>
      </c>
      <c r="Z317" s="55">
        <v>6971444.1684670206</v>
      </c>
      <c r="AB317" s="55">
        <v>6939948.0199968917</v>
      </c>
      <c r="AC317" s="55">
        <v>6971444.1684670206</v>
      </c>
      <c r="AD317" s="167">
        <f t="shared" si="99"/>
        <v>2.7739710574595344E-2</v>
      </c>
      <c r="AE317" s="170">
        <v>2.0007302377794911E-2</v>
      </c>
      <c r="AF317" s="55">
        <v>6971444.1684670206</v>
      </c>
      <c r="AG317" s="166">
        <v>1548.5969225960916</v>
      </c>
      <c r="AH317" s="171">
        <f t="shared" si="100"/>
        <v>2.7739710574595344E-2</v>
      </c>
      <c r="AI317" s="171">
        <f t="shared" si="100"/>
        <v>2.0007302377795133E-2</v>
      </c>
      <c r="AK317" s="55">
        <v>7131555.6587470584</v>
      </c>
      <c r="AL317" s="166">
        <v>1584.1631776112933</v>
      </c>
      <c r="AM317" s="171">
        <f t="shared" si="101"/>
        <v>-2.2451130993229595E-2</v>
      </c>
      <c r="AN317" s="170">
        <f t="shared" si="102"/>
        <v>-2.2451130993229373E-2</v>
      </c>
      <c r="AP317" s="1"/>
      <c r="AQ317" s="1"/>
    </row>
    <row r="318" spans="2:43" ht="15" x14ac:dyDescent="0.25">
      <c r="B318" t="s">
        <v>516</v>
      </c>
      <c r="D318" s="55">
        <v>15107237</v>
      </c>
      <c r="E318" s="166">
        <v>1590.7033423380769</v>
      </c>
      <c r="G318" s="55">
        <v>15050508.224670878</v>
      </c>
      <c r="H318" s="166">
        <v>1564.937347057258</v>
      </c>
      <c r="J318" s="167">
        <f t="shared" si="93"/>
        <v>3.7692265591491303E-3</v>
      </c>
      <c r="K318" s="168">
        <f t="shared" si="93"/>
        <v>1.6464553887265865E-2</v>
      </c>
      <c r="L318" s="55">
        <v>15562601</v>
      </c>
      <c r="M318" s="167">
        <f t="shared" si="94"/>
        <v>3.0902182177436011E-2</v>
      </c>
      <c r="N318" s="169">
        <f t="shared" si="95"/>
        <v>9.0547645222140982E-3</v>
      </c>
      <c r="O318" s="55">
        <v>15574083.589971701</v>
      </c>
      <c r="Q318" s="167">
        <f t="shared" si="96"/>
        <v>3.159240744879499E-2</v>
      </c>
      <c r="R318" s="170">
        <v>1.8708137917036405E-2</v>
      </c>
      <c r="S318" s="55">
        <v>15584510.98672951</v>
      </c>
      <c r="T318" s="167">
        <f t="shared" si="97"/>
        <v>3.172880922322463E-2</v>
      </c>
      <c r="U318" s="170">
        <v>1.8842836075567249E-2</v>
      </c>
      <c r="V318" s="55">
        <v>15586571.640663039</v>
      </c>
      <c r="X318" s="167">
        <f t="shared" si="98"/>
        <v>3.0832335307760639E-2</v>
      </c>
      <c r="Y318" s="170">
        <v>1.7957558841536381E-2</v>
      </c>
      <c r="Z318" s="55">
        <v>15573028.396757809</v>
      </c>
      <c r="AB318" s="55">
        <v>15058512.555669054</v>
      </c>
      <c r="AC318" s="55">
        <v>15573028.396757809</v>
      </c>
      <c r="AD318" s="167">
        <f t="shared" si="99"/>
        <v>3.0832335307760639E-2</v>
      </c>
      <c r="AE318" s="170">
        <v>1.7957558841536381E-2</v>
      </c>
      <c r="AF318" s="55">
        <v>15573028.396757809</v>
      </c>
      <c r="AG318" s="166">
        <v>1619.2684912075417</v>
      </c>
      <c r="AH318" s="171">
        <f t="shared" si="100"/>
        <v>3.0832335307760639E-2</v>
      </c>
      <c r="AI318" s="171">
        <f t="shared" si="100"/>
        <v>1.7957558841536603E-2</v>
      </c>
      <c r="AK318" s="55">
        <v>15460643.528011449</v>
      </c>
      <c r="AL318" s="166">
        <v>1607.5828208155604</v>
      </c>
      <c r="AM318" s="171">
        <f t="shared" si="101"/>
        <v>7.2690938474031519E-3</v>
      </c>
      <c r="AN318" s="170">
        <f t="shared" si="102"/>
        <v>7.2690938474031519E-3</v>
      </c>
      <c r="AP318" s="1"/>
      <c r="AQ318" s="1"/>
    </row>
    <row r="319" spans="2:43" ht="15" x14ac:dyDescent="0.25">
      <c r="B319" t="s">
        <v>585</v>
      </c>
      <c r="D319" s="55">
        <v>7458914</v>
      </c>
      <c r="E319" s="166">
        <v>1568.6687095375976</v>
      </c>
      <c r="G319" s="55">
        <v>7547203.2494004993</v>
      </c>
      <c r="H319" s="166">
        <v>1574.4207315250096</v>
      </c>
      <c r="J319" s="167">
        <f t="shared" si="93"/>
        <v>-1.1698273715831431E-2</v>
      </c>
      <c r="K319" s="168">
        <f t="shared" si="93"/>
        <v>-3.6534211422892815E-3</v>
      </c>
      <c r="L319" s="55">
        <v>7650907</v>
      </c>
      <c r="M319" s="167">
        <f t="shared" si="94"/>
        <v>2.5740074225282683E-2</v>
      </c>
      <c r="N319" s="169">
        <f t="shared" si="95"/>
        <v>9.0547645222140982E-3</v>
      </c>
      <c r="O319" s="55">
        <v>7650907</v>
      </c>
      <c r="Q319" s="167">
        <f t="shared" si="96"/>
        <v>2.7784054559563343E-2</v>
      </c>
      <c r="R319" s="170">
        <v>1.9485364754406653E-2</v>
      </c>
      <c r="S319" s="55">
        <v>7666152.8735310901</v>
      </c>
      <c r="T319" s="167">
        <f t="shared" si="97"/>
        <v>2.7784054559563343E-2</v>
      </c>
      <c r="U319" s="170">
        <v>1.9485364754406653E-2</v>
      </c>
      <c r="V319" s="55">
        <v>7666152.8735310901</v>
      </c>
      <c r="X319" s="167">
        <f t="shared" si="98"/>
        <v>2.7784054559563343E-2</v>
      </c>
      <c r="Y319" s="170">
        <v>1.9485364754406653E-2</v>
      </c>
      <c r="Z319" s="55">
        <v>7666152.8735310901</v>
      </c>
      <c r="AB319" s="55">
        <v>7547701.0029610246</v>
      </c>
      <c r="AC319" s="55">
        <v>7666152.8735310901</v>
      </c>
      <c r="AD319" s="167">
        <f t="shared" si="99"/>
        <v>2.7784054559563343E-2</v>
      </c>
      <c r="AE319" s="170">
        <v>1.9485364754406653E-2</v>
      </c>
      <c r="AF319" s="55">
        <v>7666152.8735310901</v>
      </c>
      <c r="AG319" s="166">
        <v>1599.2347915217622</v>
      </c>
      <c r="AH319" s="171">
        <f t="shared" si="100"/>
        <v>2.7784054559563343E-2</v>
      </c>
      <c r="AI319" s="171">
        <f t="shared" si="100"/>
        <v>1.9485364754406653E-2</v>
      </c>
      <c r="AK319" s="55">
        <v>7746387.4392293142</v>
      </c>
      <c r="AL319" s="166">
        <v>1615.9725100442126</v>
      </c>
      <c r="AM319" s="171">
        <f t="shared" si="101"/>
        <v>-1.0357675281241319E-2</v>
      </c>
      <c r="AN319" s="170">
        <f t="shared" si="102"/>
        <v>-1.0357675281241319E-2</v>
      </c>
      <c r="AP319" s="1"/>
      <c r="AQ319" s="1"/>
    </row>
    <row r="320" spans="2:43" ht="15" x14ac:dyDescent="0.25">
      <c r="B320" t="s">
        <v>586</v>
      </c>
      <c r="D320" s="55">
        <v>5467520</v>
      </c>
      <c r="E320" s="166">
        <v>1433.6274751505148</v>
      </c>
      <c r="G320" s="55">
        <v>5549409.9840359688</v>
      </c>
      <c r="H320" s="166">
        <v>1444.7246784028493</v>
      </c>
      <c r="J320" s="167">
        <f t="shared" si="93"/>
        <v>-1.4756520832222231E-2</v>
      </c>
      <c r="K320" s="168">
        <f t="shared" si="93"/>
        <v>-7.6811889616246187E-3</v>
      </c>
      <c r="L320" s="55">
        <v>5603677</v>
      </c>
      <c r="M320" s="167">
        <f t="shared" si="94"/>
        <v>2.4902881013695533E-2</v>
      </c>
      <c r="N320" s="169">
        <f t="shared" si="95"/>
        <v>9.0547645222140982E-3</v>
      </c>
      <c r="O320" s="55">
        <v>5603677</v>
      </c>
      <c r="Q320" s="167">
        <f t="shared" si="96"/>
        <v>2.6311585503669077E-2</v>
      </c>
      <c r="R320" s="170">
        <v>1.8993881768435861E-2</v>
      </c>
      <c r="S320" s="55">
        <v>5611379.1199730206</v>
      </c>
      <c r="T320" s="167">
        <f t="shared" si="97"/>
        <v>2.6311585503669077E-2</v>
      </c>
      <c r="U320" s="170">
        <v>1.8993881768435861E-2</v>
      </c>
      <c r="V320" s="55">
        <v>5611379.1199730206</v>
      </c>
      <c r="X320" s="167">
        <f t="shared" si="98"/>
        <v>2.6311585503669077E-2</v>
      </c>
      <c r="Y320" s="170">
        <v>1.8993881768435861E-2</v>
      </c>
      <c r="Z320" s="55">
        <v>5611379.1199730206</v>
      </c>
      <c r="AB320" s="55">
        <v>5544450.0714824069</v>
      </c>
      <c r="AC320" s="55">
        <v>5611379.1199730206</v>
      </c>
      <c r="AD320" s="167">
        <f t="shared" si="99"/>
        <v>2.6311585503669077E-2</v>
      </c>
      <c r="AE320" s="170">
        <v>1.8993881768435861E-2</v>
      </c>
      <c r="AF320" s="55">
        <v>5611379.1199730206</v>
      </c>
      <c r="AG320" s="166">
        <v>1460.8576259135048</v>
      </c>
      <c r="AH320" s="171">
        <f t="shared" si="100"/>
        <v>2.6311585503669077E-2</v>
      </c>
      <c r="AI320" s="171">
        <f t="shared" si="100"/>
        <v>1.8993881768435861E-2</v>
      </c>
      <c r="AK320" s="55">
        <v>5694939.0745847356</v>
      </c>
      <c r="AL320" s="166">
        <v>1482.611493243734</v>
      </c>
      <c r="AM320" s="171">
        <f t="shared" si="101"/>
        <v>-1.4672668753318963E-2</v>
      </c>
      <c r="AN320" s="170">
        <f t="shared" si="102"/>
        <v>-1.4672668753319185E-2</v>
      </c>
      <c r="AP320" s="1"/>
      <c r="AQ320" s="1"/>
    </row>
    <row r="321" spans="2:43" ht="15" x14ac:dyDescent="0.25">
      <c r="B321" t="s">
        <v>537</v>
      </c>
      <c r="D321" s="55">
        <v>4450662</v>
      </c>
      <c r="E321" s="166">
        <v>1558.4632691673285</v>
      </c>
      <c r="G321" s="55">
        <v>4466309.5991830723</v>
      </c>
      <c r="H321" s="166">
        <v>1554.3595081702706</v>
      </c>
      <c r="J321" s="167">
        <f t="shared" si="93"/>
        <v>-3.5034739163479767E-3</v>
      </c>
      <c r="K321" s="168">
        <f t="shared" si="93"/>
        <v>2.6401620574179052E-3</v>
      </c>
      <c r="L321" s="55">
        <v>4556372</v>
      </c>
      <c r="M321" s="167">
        <f t="shared" si="94"/>
        <v>2.4140263187503619E-2</v>
      </c>
      <c r="N321" s="169">
        <f t="shared" si="95"/>
        <v>9.0547645222140982E-3</v>
      </c>
      <c r="O321" s="55">
        <v>4558102.1520386208</v>
      </c>
      <c r="Q321" s="167">
        <f t="shared" si="96"/>
        <v>2.4995725269187252E-2</v>
      </c>
      <c r="R321" s="170">
        <v>1.8715106509812784E-2</v>
      </c>
      <c r="S321" s="55">
        <v>4561909.5246180119</v>
      </c>
      <c r="T321" s="167">
        <f t="shared" si="97"/>
        <v>2.5254182602404418E-2</v>
      </c>
      <c r="U321" s="170">
        <v>1.8971980156449186E-2</v>
      </c>
      <c r="V321" s="55">
        <v>4563059.8308495823</v>
      </c>
      <c r="X321" s="167">
        <f t="shared" si="98"/>
        <v>2.4606984888852823E-2</v>
      </c>
      <c r="Y321" s="170">
        <v>1.8328748120022498E-2</v>
      </c>
      <c r="Z321" s="55">
        <v>4560179.3725793911</v>
      </c>
      <c r="AB321" s="55">
        <v>4460604.8452619854</v>
      </c>
      <c r="AC321" s="55">
        <v>4560179.3725793911</v>
      </c>
      <c r="AD321" s="167">
        <f t="shared" si="99"/>
        <v>2.4606984888852823E-2</v>
      </c>
      <c r="AE321" s="170">
        <v>1.8328748120022498E-2</v>
      </c>
      <c r="AF321" s="55">
        <v>4560179.3725793911</v>
      </c>
      <c r="AG321" s="166">
        <v>1587.0279498822033</v>
      </c>
      <c r="AH321" s="171">
        <f t="shared" si="100"/>
        <v>2.4606984888852823E-2</v>
      </c>
      <c r="AI321" s="171">
        <f t="shared" si="100"/>
        <v>1.8328748120022498E-2</v>
      </c>
      <c r="AK321" s="55">
        <v>4581976.5397401657</v>
      </c>
      <c r="AL321" s="166">
        <v>1594.6137728698714</v>
      </c>
      <c r="AM321" s="171">
        <f t="shared" si="101"/>
        <v>-4.7571538116192302E-3</v>
      </c>
      <c r="AN321" s="170">
        <f t="shared" si="102"/>
        <v>-4.7571538116190082E-3</v>
      </c>
      <c r="AP321" s="1"/>
      <c r="AQ321" s="1"/>
    </row>
    <row r="322" spans="2:43" ht="15" x14ac:dyDescent="0.25">
      <c r="B322" t="s">
        <v>587</v>
      </c>
      <c r="D322" s="55">
        <v>5306973</v>
      </c>
      <c r="E322" s="166">
        <v>1607.0333354122711</v>
      </c>
      <c r="G322" s="55">
        <v>5269132.4414150724</v>
      </c>
      <c r="H322" s="166">
        <v>1584.4249646681644</v>
      </c>
      <c r="J322" s="167">
        <f t="shared" si="93"/>
        <v>7.1815538906372378E-3</v>
      </c>
      <c r="K322" s="168">
        <f t="shared" si="93"/>
        <v>1.4269133122906563E-2</v>
      </c>
      <c r="L322" s="55">
        <v>5433069</v>
      </c>
      <c r="M322" s="167">
        <f t="shared" si="94"/>
        <v>2.376043744710965E-2</v>
      </c>
      <c r="N322" s="169">
        <f t="shared" si="95"/>
        <v>9.0547645222140982E-3</v>
      </c>
      <c r="O322" s="55">
        <v>5433069</v>
      </c>
      <c r="Q322" s="167">
        <f t="shared" si="96"/>
        <v>2.4140196697574057E-2</v>
      </c>
      <c r="S322" s="55">
        <v>5435084.3720887145</v>
      </c>
      <c r="T322" s="167">
        <f t="shared" si="97"/>
        <v>2.4140196697574057E-2</v>
      </c>
      <c r="U322" s="52"/>
      <c r="V322" s="55">
        <v>5435084.3720887145</v>
      </c>
      <c r="X322" s="167">
        <f t="shared" si="98"/>
        <v>2.4140196697574057E-2</v>
      </c>
      <c r="Y322" s="52"/>
      <c r="Z322" s="55">
        <v>5435084.3720887145</v>
      </c>
      <c r="AB322" s="55">
        <v>5272141.9469465427</v>
      </c>
      <c r="AC322" s="55">
        <v>5435084.3720887145</v>
      </c>
      <c r="AD322" s="167">
        <f t="shared" si="99"/>
        <v>2.4140196697574057E-2</v>
      </c>
      <c r="AE322" s="52"/>
      <c r="AF322" s="55">
        <v>5435084.3720887145</v>
      </c>
      <c r="AG322" s="166">
        <v>1634.3266106825101</v>
      </c>
      <c r="AH322" s="171">
        <f t="shared" si="100"/>
        <v>2.4140196697574057E-2</v>
      </c>
      <c r="AI322" s="171">
        <f t="shared" si="100"/>
        <v>1.6983639772000902E-2</v>
      </c>
      <c r="AK322" s="55">
        <v>5407325.0737913251</v>
      </c>
      <c r="AL322" s="166">
        <v>1625.9794063347213</v>
      </c>
      <c r="AM322" s="171">
        <f t="shared" si="101"/>
        <v>5.1336470285345825E-3</v>
      </c>
      <c r="AN322" s="170">
        <f t="shared" si="102"/>
        <v>5.1336470285348046E-3</v>
      </c>
      <c r="AP322" s="1"/>
      <c r="AQ322" s="1"/>
    </row>
    <row r="323" spans="2:43" ht="15" x14ac:dyDescent="0.25">
      <c r="B323"/>
      <c r="D323" s="1"/>
      <c r="E323" s="173"/>
      <c r="G323" s="1"/>
      <c r="H323" s="173"/>
      <c r="L323" s="1"/>
      <c r="O323" s="1"/>
      <c r="Q323" s="53"/>
      <c r="S323" s="1"/>
      <c r="U323" s="52"/>
      <c r="V323" s="1"/>
      <c r="X323" s="53"/>
      <c r="Y323" s="52"/>
      <c r="Z323" s="1"/>
      <c r="AB323" s="1"/>
      <c r="AC323" s="1"/>
      <c r="AD323" s="53"/>
      <c r="AE323" s="52"/>
      <c r="AF323" s="1"/>
      <c r="AG323" s="173"/>
      <c r="AK323" s="1"/>
      <c r="AL323" s="173"/>
      <c r="AP323" s="1"/>
      <c r="AQ323" s="1"/>
    </row>
    <row r="324" spans="2:43" ht="15" x14ac:dyDescent="0.25">
      <c r="B324" t="s">
        <v>12</v>
      </c>
      <c r="D324" s="172">
        <f>SUM(D310:D322)</f>
        <v>92393046</v>
      </c>
      <c r="E324" s="173">
        <v>1599.6618765604621</v>
      </c>
      <c r="G324" s="172">
        <f>SUM(G310:G322)</f>
        <v>92393127.908494949</v>
      </c>
      <c r="H324" s="173">
        <v>1588.2278118776026</v>
      </c>
      <c r="J324" s="167">
        <f>D324/G324-1</f>
        <v>-8.8652150653789619E-7</v>
      </c>
      <c r="K324" s="168">
        <f>E324/H324-1</f>
        <v>7.1992598274313035E-3</v>
      </c>
      <c r="L324" s="172">
        <f>SUM(L310:L322)</f>
        <v>94725326</v>
      </c>
      <c r="M324" s="167">
        <f>O324/$D324-1</f>
        <v>2.5419805744289592E-2</v>
      </c>
      <c r="N324" s="169">
        <f>N$222</f>
        <v>9.0547645222140982E-3</v>
      </c>
      <c r="O324" s="172">
        <f>SUM(O310:O322)</f>
        <v>94741659.281443208</v>
      </c>
      <c r="Q324" s="167">
        <f>S324/$D324-1</f>
        <v>2.6529776798209559E-2</v>
      </c>
      <c r="R324" s="170">
        <v>1.919144274725304E-2</v>
      </c>
      <c r="S324" s="172">
        <f>SUM(S310:S322)</f>
        <v>94844212.888086706</v>
      </c>
      <c r="T324" s="167">
        <f>V324/$D324-1</f>
        <v>2.6649225272138422E-2</v>
      </c>
      <c r="U324" s="170">
        <v>1.9310037322129769E-2</v>
      </c>
      <c r="V324" s="172">
        <f>SUM(V310:V322)</f>
        <v>94855249.096433043</v>
      </c>
      <c r="X324" s="167">
        <f>Z324/$D324-1</f>
        <v>2.6372146988571377E-2</v>
      </c>
      <c r="Y324" s="170">
        <v>1.9034939782861526E-2</v>
      </c>
      <c r="Z324" s="172">
        <f>SUM(Z310:Z322)</f>
        <v>94829648.989833832</v>
      </c>
      <c r="AB324" s="172">
        <f>SUM(AB310:AB322)</f>
        <v>92345213.82337077</v>
      </c>
      <c r="AC324" s="172">
        <f>SUM(AC310:AC322)</f>
        <v>94829648.989833832</v>
      </c>
      <c r="AD324" s="167">
        <f>AC324/$D324-1</f>
        <v>2.6372146988571377E-2</v>
      </c>
      <c r="AE324" s="170">
        <v>1.9034939782861526E-2</v>
      </c>
      <c r="AF324" s="172">
        <f>SUM(AF310:AF322)</f>
        <v>94829648.989833832</v>
      </c>
      <c r="AG324" s="166">
        <v>1630.1113440537299</v>
      </c>
      <c r="AH324" s="171">
        <f>AF324/D324 - 1</f>
        <v>2.6372146988571377E-2</v>
      </c>
      <c r="AI324" s="171">
        <f>AG324/E324 - 1</f>
        <v>1.9034939782861526E-2</v>
      </c>
      <c r="AK324" s="172">
        <f>SUM(AK310:AK322)</f>
        <v>94829716.878834367</v>
      </c>
      <c r="AL324" s="173">
        <v>1630.1125110582595</v>
      </c>
      <c r="AM324" s="171">
        <f>AF324/AK324-1</f>
        <v>-7.159042837434626E-7</v>
      </c>
      <c r="AN324" s="170">
        <f t="shared" ref="AN324" si="103">AG324/AL324-1</f>
        <v>-7.159042837434626E-7</v>
      </c>
      <c r="AP324" s="1"/>
      <c r="AQ324" s="1"/>
    </row>
    <row r="325" spans="2:43" x14ac:dyDescent="0.2">
      <c r="AO325" s="52"/>
      <c r="AP325" s="1"/>
      <c r="AQ325" s="1"/>
    </row>
  </sheetData>
  <mergeCells count="7">
    <mergeCell ref="W9:Z9"/>
    <mergeCell ref="AK9:AN9"/>
    <mergeCell ref="D9:E9"/>
    <mergeCell ref="G9:H9"/>
    <mergeCell ref="M9:O9"/>
    <mergeCell ref="P9:S9"/>
    <mergeCell ref="T9:V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BM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3.28515625" style="64" customWidth="1"/>
    <col min="5" max="7" width="11.140625" style="64" customWidth="1"/>
    <col min="8" max="8" width="5.7109375" style="64" customWidth="1"/>
    <col min="9" max="9" width="12.85546875" style="64" customWidth="1"/>
    <col min="10" max="11" width="11.140625" style="64" customWidth="1"/>
    <col min="12" max="12" width="11.140625" style="52" customWidth="1"/>
    <col min="13" max="13" width="5.7109375" style="52" customWidth="1"/>
    <col min="14" max="16" width="13.28515625" style="64" customWidth="1"/>
    <col min="17" max="17" width="4.28515625" style="1" customWidth="1"/>
    <col min="18" max="19" width="13.28515625" style="64" customWidth="1"/>
    <col min="20" max="20" width="4.85546875" style="1" customWidth="1"/>
    <col min="21" max="25" width="13.28515625" style="64" customWidth="1"/>
    <col min="26" max="26" width="5.140625" style="1" customWidth="1"/>
    <col min="27" max="29" width="13.28515625" style="64" customWidth="1"/>
    <col min="30" max="30" width="4.140625" style="1" customWidth="1"/>
    <col min="31" max="33" width="13.28515625" style="64" customWidth="1"/>
    <col min="34" max="34" width="3.5703125" style="1" customWidth="1"/>
    <col min="35" max="37" width="13.28515625" style="64" customWidth="1"/>
    <col min="38" max="38" width="4.42578125" style="1" customWidth="1"/>
    <col min="39" max="41" width="13.28515625" style="64" customWidth="1"/>
    <col min="42" max="42" width="5.7109375" style="64" customWidth="1"/>
    <col min="43" max="43" width="16.42578125" style="64" bestFit="1" customWidth="1"/>
    <col min="44" max="44" width="4.42578125" style="1" customWidth="1"/>
    <col min="45" max="47" width="13.28515625" style="64" customWidth="1"/>
    <col min="48" max="48" width="5.7109375" style="64" customWidth="1"/>
    <col min="49" max="49" width="13.28515625" style="64" customWidth="1"/>
    <col min="50" max="50" width="4.42578125" style="1" customWidth="1"/>
    <col min="51" max="54" width="13.28515625" style="64" customWidth="1"/>
    <col min="55" max="55" width="5.140625" style="64" customWidth="1"/>
    <col min="56" max="56" width="9.140625" style="1"/>
    <col min="57" max="60" width="13.28515625" style="64" customWidth="1"/>
    <col min="61" max="61" width="4.42578125" style="1" customWidth="1"/>
    <col min="62" max="63" width="13.28515625" style="64" customWidth="1"/>
    <col min="64" max="64" width="15.140625" style="64" customWidth="1"/>
    <col min="65" max="65" width="13.28515625" style="64" customWidth="1"/>
    <col min="66" max="16384" width="9.140625" style="1"/>
  </cols>
  <sheetData>
    <row r="1" spans="1:65" x14ac:dyDescent="0.2">
      <c r="A1" s="321" t="s">
        <v>616</v>
      </c>
    </row>
    <row r="2" spans="1:65" x14ac:dyDescent="0.2">
      <c r="A2" s="279" t="s">
        <v>949</v>
      </c>
    </row>
    <row r="3" spans="1:65" x14ac:dyDescent="0.2">
      <c r="A3" s="355" t="s">
        <v>999</v>
      </c>
    </row>
    <row r="4" spans="1:65" x14ac:dyDescent="0.2">
      <c r="B4" s="1" t="s">
        <v>64</v>
      </c>
      <c r="D4" s="6"/>
      <c r="E4" s="7"/>
      <c r="F4" s="7"/>
      <c r="G4" s="7"/>
      <c r="H4" s="7"/>
      <c r="I4" s="7" t="s">
        <v>1</v>
      </c>
      <c r="J4" s="8">
        <f>MIN(K12:K163)</f>
        <v>-4.3848472299452212E-2</v>
      </c>
      <c r="K4" s="7" t="s">
        <v>2</v>
      </c>
      <c r="L4" s="9">
        <f>COUNTIF(L12:L163,"&lt;-5%")</f>
        <v>0</v>
      </c>
      <c r="M4" s="10"/>
      <c r="N4" s="6"/>
      <c r="O4" s="6"/>
      <c r="P4" s="6"/>
      <c r="R4" s="6"/>
      <c r="S4" s="6"/>
      <c r="U4" s="8">
        <f>MIN(U12:U220)</f>
        <v>-4.9948490506086629E-2</v>
      </c>
      <c r="V4" s="8">
        <f>MIN(V12:V220)</f>
        <v>-5.8403807539895158E-2</v>
      </c>
      <c r="W4" s="8"/>
      <c r="X4" s="8"/>
      <c r="Y4" s="6"/>
      <c r="AA4" s="6"/>
      <c r="AB4" s="6"/>
      <c r="AC4" s="6"/>
      <c r="AE4" s="6"/>
      <c r="AF4" s="6"/>
      <c r="AG4" s="6"/>
      <c r="AI4" s="6"/>
      <c r="AJ4" s="6"/>
      <c r="AK4" s="6"/>
      <c r="AM4" s="6"/>
      <c r="AN4" s="6"/>
      <c r="AO4" s="6"/>
      <c r="AP4" s="6"/>
      <c r="AQ4" s="6"/>
      <c r="AS4" s="6"/>
      <c r="AT4" s="6"/>
      <c r="AU4" s="6"/>
      <c r="AV4" s="6"/>
      <c r="AW4" s="6"/>
      <c r="AY4" s="8">
        <f>MIN(AY12:AY220)</f>
        <v>-4.9948490506086629E-2</v>
      </c>
      <c r="AZ4" s="8">
        <f t="shared" ref="AZ4:BB4" si="0">MIN(AZ12:AZ220)</f>
        <v>-5.8403807539895158E-2</v>
      </c>
      <c r="BA4" s="8">
        <f t="shared" si="0"/>
        <v>-0.24839431416317004</v>
      </c>
      <c r="BB4" s="8">
        <f t="shared" si="0"/>
        <v>-4.3848754276557211E-2</v>
      </c>
      <c r="BC4" s="8"/>
      <c r="BE4" s="6"/>
      <c r="BF4" s="6"/>
      <c r="BG4" s="6"/>
      <c r="BH4" s="6"/>
      <c r="BJ4" s="6"/>
      <c r="BK4" s="6"/>
      <c r="BL4" s="6"/>
      <c r="BM4" s="6"/>
    </row>
    <row r="5" spans="1:65" s="11" customFormat="1" x14ac:dyDescent="0.2">
      <c r="B5" s="12">
        <v>2</v>
      </c>
      <c r="D5" s="20"/>
      <c r="E5" s="21"/>
      <c r="F5" s="21"/>
      <c r="G5" s="21"/>
      <c r="H5" s="21"/>
      <c r="I5" s="19"/>
      <c r="J5" s="19"/>
      <c r="K5" s="66" t="s">
        <v>14</v>
      </c>
      <c r="L5" s="9">
        <f>COUNTIF(L12:L163,"&lt;-2.5%")</f>
        <v>23</v>
      </c>
      <c r="M5" s="22"/>
      <c r="N5" s="20"/>
      <c r="O5" s="20"/>
      <c r="P5" s="20"/>
      <c r="R5" s="20"/>
      <c r="S5" s="20"/>
      <c r="U5" s="162">
        <f>COUNTIF(U12:U220,"&lt;-5%")</f>
        <v>0</v>
      </c>
      <c r="V5" s="162">
        <f>COUNTIF(V12:V220,"&lt;-5%")</f>
        <v>30</v>
      </c>
      <c r="W5" s="162"/>
      <c r="X5" s="162"/>
      <c r="Y5" s="20"/>
      <c r="AA5" s="20"/>
      <c r="AB5" s="20"/>
      <c r="AC5" s="20"/>
      <c r="AE5" s="20"/>
      <c r="AF5" s="20"/>
      <c r="AG5" s="20"/>
      <c r="AI5" s="20"/>
      <c r="AJ5" s="20"/>
      <c r="AK5" s="20"/>
      <c r="AM5" s="20"/>
      <c r="AN5" s="20"/>
      <c r="AO5" s="20"/>
      <c r="AP5" s="20"/>
      <c r="AQ5" s="185">
        <f>I8-(AM9+AN9+AO9)</f>
        <v>68.878834366798401</v>
      </c>
      <c r="AS5" s="20"/>
      <c r="AT5" s="20"/>
      <c r="AU5" s="20"/>
      <c r="AV5" s="20"/>
      <c r="AW5" s="20"/>
      <c r="AY5" s="8">
        <f>MAX(AY12:AY220)</f>
        <v>0.28367813292812927</v>
      </c>
      <c r="AZ5" s="8">
        <f t="shared" ref="AZ5:BB5" si="1">MAX(AZ12:AZ220)</f>
        <v>0.2705116599109989</v>
      </c>
      <c r="BA5" s="8">
        <f t="shared" si="1"/>
        <v>0.23082452098242845</v>
      </c>
      <c r="BB5" s="8">
        <f t="shared" si="1"/>
        <v>0.21243696455759076</v>
      </c>
      <c r="BC5" s="8"/>
      <c r="BE5" s="20"/>
      <c r="BF5" s="20"/>
      <c r="BG5" s="20"/>
      <c r="BH5" s="20"/>
      <c r="BJ5" s="20"/>
      <c r="BK5" s="20"/>
      <c r="BL5" s="20"/>
      <c r="BM5" s="20"/>
    </row>
    <row r="6" spans="1:65" s="11" customFormat="1" x14ac:dyDescent="0.2">
      <c r="B6" s="12"/>
      <c r="D6" s="28"/>
      <c r="E6" s="25"/>
      <c r="F6" s="25"/>
      <c r="G6" s="25"/>
      <c r="H6" s="25"/>
      <c r="I6" s="28"/>
      <c r="J6" s="28"/>
      <c r="K6" s="28"/>
      <c r="L6" s="29"/>
      <c r="M6" s="22"/>
      <c r="N6" s="28"/>
      <c r="O6" s="28"/>
      <c r="P6" s="28"/>
      <c r="R6" s="28"/>
      <c r="S6" s="28"/>
      <c r="U6" s="28"/>
      <c r="V6" s="28"/>
      <c r="W6" s="28"/>
      <c r="X6" s="28"/>
      <c r="Y6" s="28"/>
      <c r="AA6" s="377" t="s">
        <v>501</v>
      </c>
      <c r="AB6" s="378"/>
      <c r="AC6" s="378"/>
      <c r="AE6" s="377" t="s">
        <v>503</v>
      </c>
      <c r="AF6" s="378"/>
      <c r="AG6" s="378"/>
      <c r="AI6" s="377" t="s">
        <v>504</v>
      </c>
      <c r="AJ6" s="378"/>
      <c r="AK6" s="378"/>
      <c r="AM6" s="377" t="s">
        <v>505</v>
      </c>
      <c r="AN6" s="378"/>
      <c r="AO6" s="378"/>
      <c r="AP6" s="378"/>
      <c r="AQ6" s="378"/>
      <c r="AS6" s="377" t="s">
        <v>510</v>
      </c>
      <c r="AT6" s="378"/>
      <c r="AU6" s="378"/>
      <c r="AV6" s="378"/>
      <c r="AW6" s="378"/>
      <c r="AY6" s="377" t="s">
        <v>65</v>
      </c>
      <c r="AZ6" s="378"/>
      <c r="BA6" s="378"/>
      <c r="BB6" s="378"/>
      <c r="BC6" s="378"/>
      <c r="BE6" s="377" t="s">
        <v>588</v>
      </c>
      <c r="BF6" s="378"/>
      <c r="BG6" s="378"/>
      <c r="BH6" s="378"/>
      <c r="BJ6" s="377" t="s">
        <v>592</v>
      </c>
      <c r="BK6" s="378"/>
      <c r="BL6" s="378"/>
      <c r="BM6" s="378"/>
    </row>
    <row r="7" spans="1:65" s="11" customFormat="1" x14ac:dyDescent="0.2">
      <c r="B7" s="12"/>
      <c r="D7" s="28"/>
      <c r="E7" s="25"/>
      <c r="F7" s="25"/>
      <c r="G7" s="25"/>
      <c r="H7" s="25"/>
      <c r="I7" s="25"/>
      <c r="J7" s="28"/>
      <c r="K7" s="28"/>
      <c r="L7" s="29"/>
      <c r="M7" s="22"/>
      <c r="N7" s="28"/>
      <c r="O7" s="28"/>
      <c r="P7" s="28"/>
      <c r="R7" s="28"/>
      <c r="S7" s="28"/>
      <c r="U7" s="28"/>
      <c r="V7" s="28"/>
      <c r="W7" s="28"/>
      <c r="X7" s="28"/>
      <c r="Y7" s="28"/>
      <c r="AA7" s="377"/>
      <c r="AB7" s="378"/>
      <c r="AC7" s="378"/>
      <c r="AE7" s="377"/>
      <c r="AF7" s="378"/>
      <c r="AG7" s="378"/>
      <c r="AI7" s="377"/>
      <c r="AJ7" s="378"/>
      <c r="AK7" s="378"/>
      <c r="AM7" s="377"/>
      <c r="AN7" s="378"/>
      <c r="AO7" s="378"/>
      <c r="AP7" s="378"/>
      <c r="AQ7" s="378"/>
      <c r="AS7" s="377"/>
      <c r="AT7" s="378"/>
      <c r="AU7" s="378"/>
      <c r="AV7" s="378"/>
      <c r="AW7" s="378"/>
      <c r="AY7" s="377"/>
      <c r="AZ7" s="378"/>
      <c r="BA7" s="378"/>
      <c r="BB7" s="378"/>
      <c r="BC7" s="378"/>
      <c r="BE7" s="377"/>
      <c r="BF7" s="378"/>
      <c r="BG7" s="378"/>
      <c r="BH7" s="378"/>
      <c r="BJ7" s="377"/>
      <c r="BK7" s="378"/>
      <c r="BL7" s="378"/>
      <c r="BM7" s="378"/>
    </row>
    <row r="8" spans="1:65" s="30" customFormat="1" x14ac:dyDescent="0.2">
      <c r="B8" s="31"/>
      <c r="D8" s="101">
        <f>D222</f>
        <v>94829648.989833847</v>
      </c>
      <c r="E8" s="34">
        <f t="shared" ref="E8:G8" si="2">+E222</f>
        <v>1630.1113440537304</v>
      </c>
      <c r="F8" s="35">
        <f t="shared" si="2"/>
        <v>0</v>
      </c>
      <c r="G8" s="35">
        <f t="shared" si="2"/>
        <v>0</v>
      </c>
      <c r="H8" s="65"/>
      <c r="I8" s="34">
        <f>+I222</f>
        <v>94829716.878834367</v>
      </c>
      <c r="J8" s="34">
        <f>+J222</f>
        <v>1630.1125110582595</v>
      </c>
      <c r="K8" s="35">
        <f>+K222</f>
        <v>-7.1590428352141799E-7</v>
      </c>
      <c r="L8" s="36">
        <f>+L222</f>
        <v>-7.1590428341039569E-7</v>
      </c>
      <c r="M8" s="37"/>
      <c r="N8" s="101">
        <f t="shared" ref="N8:P8" si="3">N222</f>
        <v>71954598</v>
      </c>
      <c r="O8" s="101">
        <f t="shared" si="3"/>
        <v>7567562</v>
      </c>
      <c r="P8" s="101">
        <f t="shared" si="3"/>
        <v>15203166</v>
      </c>
      <c r="R8" s="101">
        <f t="shared" ref="R8:S8" si="4">R222</f>
        <v>15203166</v>
      </c>
      <c r="S8" s="101">
        <f t="shared" si="4"/>
        <v>104322.98983382812</v>
      </c>
      <c r="U8" s="101"/>
      <c r="V8" s="101"/>
      <c r="W8" s="101"/>
      <c r="X8" s="101"/>
      <c r="Y8" s="101"/>
      <c r="AA8" s="101"/>
      <c r="AB8" s="101"/>
      <c r="AC8" s="101"/>
      <c r="AE8" s="101"/>
      <c r="AF8" s="101"/>
      <c r="AG8" s="101"/>
      <c r="AI8" s="101"/>
      <c r="AJ8" s="101"/>
      <c r="AK8" s="101"/>
      <c r="AM8" s="105">
        <v>-8.8237643141142463E-5</v>
      </c>
      <c r="AN8" s="105">
        <v>9.0720505265373674E-4</v>
      </c>
      <c r="AO8" s="105">
        <v>-3.7930100827754387E-5</v>
      </c>
      <c r="AP8" s="105"/>
      <c r="AQ8" s="105">
        <v>-7.2634229686396878E-7</v>
      </c>
      <c r="AS8" s="101"/>
      <c r="AT8" s="101"/>
      <c r="AU8" s="101"/>
      <c r="AV8" s="101"/>
      <c r="AW8" s="101"/>
      <c r="AY8" s="101"/>
      <c r="AZ8" s="101"/>
      <c r="BA8" s="101"/>
      <c r="BB8" s="101"/>
      <c r="BC8" s="101"/>
      <c r="BE8" s="101"/>
      <c r="BF8" s="101"/>
      <c r="BG8" s="101"/>
      <c r="BH8" s="101"/>
      <c r="BJ8" s="101"/>
      <c r="BK8" s="101"/>
      <c r="BL8" s="101"/>
      <c r="BM8" s="101"/>
    </row>
    <row r="9" spans="1:65" s="38" customFormat="1" x14ac:dyDescent="0.2">
      <c r="D9" s="39"/>
      <c r="E9" s="40"/>
      <c r="F9" s="40"/>
      <c r="G9" s="40"/>
      <c r="H9" s="41"/>
      <c r="I9" s="374" t="s">
        <v>3</v>
      </c>
      <c r="J9" s="374"/>
      <c r="K9" s="374"/>
      <c r="L9" s="374"/>
      <c r="M9" s="42"/>
      <c r="N9" s="39"/>
      <c r="O9" s="39"/>
      <c r="P9" s="39"/>
      <c r="R9" s="39"/>
      <c r="S9" s="39"/>
      <c r="U9" s="39"/>
      <c r="V9" s="39"/>
      <c r="W9" s="39"/>
      <c r="X9" s="39"/>
      <c r="Y9" s="39"/>
      <c r="AA9" s="39"/>
      <c r="AB9" s="39"/>
      <c r="AC9" s="39"/>
      <c r="AE9" s="39"/>
      <c r="AF9" s="39"/>
      <c r="AG9" s="39"/>
      <c r="AI9" s="39"/>
      <c r="AJ9" s="39"/>
      <c r="AK9" s="39"/>
      <c r="AM9" s="39">
        <f>AM222</f>
        <v>72051316</v>
      </c>
      <c r="AN9" s="39">
        <f>AN222</f>
        <v>7575166</v>
      </c>
      <c r="AO9" s="39">
        <f>AO222</f>
        <v>15203166</v>
      </c>
      <c r="AP9" s="39"/>
      <c r="AQ9" s="39">
        <f>AQ222</f>
        <v>94829648</v>
      </c>
      <c r="AS9" s="39">
        <f>AS222</f>
        <v>1238.55427934982</v>
      </c>
      <c r="AT9" s="39">
        <f>AT222</f>
        <v>130.21627899322834</v>
      </c>
      <c r="AU9" s="39">
        <f>AU222</f>
        <v>261.34076869554588</v>
      </c>
      <c r="AV9" s="39"/>
      <c r="AW9" s="39">
        <f>AW222</f>
        <v>1630.1113270385943</v>
      </c>
      <c r="AY9" s="158">
        <f>AY222</f>
        <v>-8.8237643140254285E-5</v>
      </c>
      <c r="AZ9" s="158">
        <f>AZ222</f>
        <v>9.072050526535147E-4</v>
      </c>
      <c r="BA9" s="158">
        <f>BA222</f>
        <v>-3.793010082742132E-5</v>
      </c>
      <c r="BB9" s="158">
        <f>BB222</f>
        <v>-7.2634229686396878E-7</v>
      </c>
      <c r="BC9" s="158"/>
      <c r="BE9" s="158">
        <f>BE222</f>
        <v>2.1405663278374121E-2</v>
      </c>
      <c r="BF9" s="158">
        <f>BF222</f>
        <v>3.1444548986074849E-2</v>
      </c>
      <c r="BG9" s="158">
        <f>BG222</f>
        <v>4.7953318438952008E-2</v>
      </c>
      <c r="BH9" s="158">
        <f>BH222</f>
        <v>2.6372136275277791E-2</v>
      </c>
      <c r="BJ9" s="158">
        <f>BJ222</f>
        <v>1.4103959881075934E-2</v>
      </c>
      <c r="BK9" s="158">
        <f t="shared" ref="BK9:BM9" si="5">BK222</f>
        <v>2.4071080795891042E-2</v>
      </c>
      <c r="BL9" s="158">
        <f t="shared" si="5"/>
        <v>4.0461834320001611E-2</v>
      </c>
      <c r="BM9" s="158">
        <f t="shared" si="5"/>
        <v>1.9034929146154012E-2</v>
      </c>
    </row>
    <row r="10" spans="1:65" ht="63.75" x14ac:dyDescent="0.2">
      <c r="A10" s="44" t="s">
        <v>67</v>
      </c>
      <c r="B10" s="45" t="s">
        <v>68</v>
      </c>
      <c r="C10" s="43"/>
      <c r="D10" s="50" t="s">
        <v>487</v>
      </c>
      <c r="E10" s="50" t="s">
        <v>5</v>
      </c>
      <c r="F10" s="50" t="s">
        <v>10</v>
      </c>
      <c r="G10" s="50" t="s">
        <v>11</v>
      </c>
      <c r="H10" s="48"/>
      <c r="I10" s="48" t="s">
        <v>6</v>
      </c>
      <c r="J10" s="48" t="s">
        <v>7</v>
      </c>
      <c r="K10" s="48" t="s">
        <v>8</v>
      </c>
      <c r="L10" s="49" t="s">
        <v>9</v>
      </c>
      <c r="M10" s="51"/>
      <c r="N10" s="50" t="s">
        <v>489</v>
      </c>
      <c r="O10" s="50" t="s">
        <v>490</v>
      </c>
      <c r="P10" s="50" t="s">
        <v>491</v>
      </c>
      <c r="R10" s="50" t="s">
        <v>492</v>
      </c>
      <c r="S10" s="50" t="s">
        <v>493</v>
      </c>
      <c r="U10" s="50" t="s">
        <v>495</v>
      </c>
      <c r="V10" s="50" t="s">
        <v>496</v>
      </c>
      <c r="W10" s="50" t="s">
        <v>494</v>
      </c>
      <c r="X10" s="50" t="s">
        <v>497</v>
      </c>
      <c r="Y10" s="50" t="s">
        <v>498</v>
      </c>
      <c r="AA10" s="50" t="s">
        <v>499</v>
      </c>
      <c r="AB10" s="50" t="s">
        <v>500</v>
      </c>
      <c r="AC10" s="50" t="s">
        <v>502</v>
      </c>
      <c r="AE10" s="50" t="s">
        <v>499</v>
      </c>
      <c r="AF10" s="50" t="s">
        <v>500</v>
      </c>
      <c r="AG10" s="50" t="s">
        <v>502</v>
      </c>
      <c r="AI10" s="50" t="s">
        <v>499</v>
      </c>
      <c r="AJ10" s="50" t="s">
        <v>500</v>
      </c>
      <c r="AK10" s="50" t="s">
        <v>502</v>
      </c>
      <c r="AM10" s="50" t="s">
        <v>508</v>
      </c>
      <c r="AN10" s="50" t="s">
        <v>507</v>
      </c>
      <c r="AO10" s="50" t="s">
        <v>506</v>
      </c>
      <c r="AP10" s="50"/>
      <c r="AQ10" s="50" t="s">
        <v>509</v>
      </c>
      <c r="AS10" s="50" t="s">
        <v>508</v>
      </c>
      <c r="AT10" s="50" t="s">
        <v>507</v>
      </c>
      <c r="AU10" s="50" t="s">
        <v>506</v>
      </c>
      <c r="AV10" s="50"/>
      <c r="AW10" s="50" t="s">
        <v>509</v>
      </c>
      <c r="AY10" s="50" t="s">
        <v>508</v>
      </c>
      <c r="AZ10" s="50" t="s">
        <v>507</v>
      </c>
      <c r="BA10" s="50" t="s">
        <v>506</v>
      </c>
      <c r="BB10" s="50" t="s">
        <v>509</v>
      </c>
      <c r="BC10" s="50"/>
      <c r="BE10" s="50" t="s">
        <v>67</v>
      </c>
      <c r="BF10" s="50" t="s">
        <v>589</v>
      </c>
      <c r="BG10" s="50" t="s">
        <v>590</v>
      </c>
      <c r="BH10" s="50" t="s">
        <v>591</v>
      </c>
      <c r="BJ10" s="50" t="s">
        <v>67</v>
      </c>
      <c r="BK10" s="50" t="s">
        <v>589</v>
      </c>
      <c r="BL10" s="50" t="s">
        <v>590</v>
      </c>
      <c r="BM10" s="50" t="s">
        <v>591</v>
      </c>
    </row>
    <row r="11" spans="1:65" x14ac:dyDescent="0.2">
      <c r="D11" s="3"/>
      <c r="E11" s="3"/>
      <c r="F11" s="3"/>
      <c r="G11" s="3"/>
      <c r="H11" s="3"/>
      <c r="I11" s="3"/>
      <c r="J11" s="3"/>
      <c r="K11" s="3"/>
      <c r="L11" s="4"/>
      <c r="N11" s="3"/>
      <c r="O11" s="3"/>
      <c r="P11" s="3"/>
      <c r="R11" s="3"/>
      <c r="S11" s="3"/>
      <c r="U11" s="3"/>
      <c r="V11" s="3"/>
      <c r="W11" s="3"/>
      <c r="X11" s="3"/>
      <c r="Y11" s="3"/>
      <c r="AA11" s="3"/>
      <c r="AB11" s="3"/>
      <c r="AC11" s="3"/>
      <c r="AE11" s="3"/>
      <c r="AF11" s="3"/>
      <c r="AG11" s="3"/>
      <c r="AI11" s="3"/>
      <c r="AJ11" s="3"/>
      <c r="AK11" s="3"/>
      <c r="AM11" s="3"/>
      <c r="AN11" s="3"/>
      <c r="AO11" s="3"/>
      <c r="AP11" s="3"/>
      <c r="AQ11" s="3"/>
      <c r="AS11" s="3"/>
      <c r="AT11" s="3"/>
      <c r="AU11" s="3"/>
      <c r="AV11" s="3"/>
      <c r="AW11" s="3"/>
      <c r="AY11" s="3"/>
      <c r="AZ11" s="3"/>
      <c r="BA11" s="3"/>
      <c r="BB11" s="3"/>
      <c r="BC11" s="3"/>
      <c r="BE11" s="3"/>
      <c r="BF11" s="3"/>
      <c r="BG11" s="3"/>
      <c r="BH11" s="3"/>
      <c r="BJ11" s="3"/>
      <c r="BK11" s="3"/>
      <c r="BL11" s="3"/>
      <c r="BM11" s="3"/>
    </row>
    <row r="12" spans="1:65" x14ac:dyDescent="0.2">
      <c r="A12" s="156" t="s">
        <v>69</v>
      </c>
      <c r="B12" s="156" t="s">
        <v>70</v>
      </c>
      <c r="D12" s="56">
        <f>VLOOKUP(A12,'2017-18'!$A$12:$AMX220,32,FALSE)</f>
        <v>189002</v>
      </c>
      <c r="E12" s="56">
        <v>1755.8431516973296</v>
      </c>
      <c r="F12" s="16">
        <f>VLOOKUP(A12,'2017-18'!$A$12:$AMX220,34,FALSE)</f>
        <v>2.2937368751488441E-2</v>
      </c>
      <c r="G12" s="16">
        <f>VLOOKUP(A12,'2017-18'!$A$12:$AMX220,35,FALSE)</f>
        <v>2.1323013520086143E-2</v>
      </c>
      <c r="H12" s="56"/>
      <c r="I12" s="56">
        <v>188341.61736781083</v>
      </c>
      <c r="J12" s="56">
        <v>1749.7081461300384</v>
      </c>
      <c r="K12" s="16">
        <f>D12/I12-1</f>
        <v>3.5063022258086107E-3</v>
      </c>
      <c r="L12" s="58">
        <f>E12/J12-1</f>
        <v>3.5063022258086107E-3</v>
      </c>
      <c r="M12" s="10"/>
      <c r="N12" s="56">
        <v>148067</v>
      </c>
      <c r="O12" s="56">
        <v>14342</v>
      </c>
      <c r="P12" s="56">
        <v>26593</v>
      </c>
      <c r="R12" s="56">
        <f>ROUND(P12,0)</f>
        <v>26593</v>
      </c>
      <c r="S12" s="56">
        <f>D12-SUM(N12:P12)</f>
        <v>0</v>
      </c>
      <c r="U12" s="16">
        <v>4.0503978599342183E-3</v>
      </c>
      <c r="V12" s="16">
        <v>4.0087099802041948E-3</v>
      </c>
      <c r="W12" s="56">
        <f>IF(AND(U12&lt;0,V12&gt;0),1,IF(AND(U12&gt;0,V12&gt;0),2,IF(AND(U12&gt;0,V12&lt;0),3,IF(AND(U12&lt;0,V12&lt;0),4,5))))</f>
        <v>2</v>
      </c>
      <c r="X12" s="56">
        <f>N12/(1+U12)/100</f>
        <v>1474.6968908691717</v>
      </c>
      <c r="Y12" s="56">
        <f>O12/(1+V12)/100</f>
        <v>142.84736633691932</v>
      </c>
      <c r="AA12" s="56">
        <f>IF(W12=1,MIN(S12,-1*U12*N12),0)</f>
        <v>0</v>
      </c>
      <c r="AB12" s="56">
        <v>0</v>
      </c>
      <c r="AC12" s="56">
        <f>S12-AA12-AB12</f>
        <v>0</v>
      </c>
      <c r="AE12" s="56">
        <v>0</v>
      </c>
      <c r="AF12" s="56">
        <f>IF(W12=3,MIN(S12,-1*V12*O12),0)</f>
        <v>0</v>
      </c>
      <c r="AG12" s="56">
        <f>AC12-AE12-AF12</f>
        <v>0</v>
      </c>
      <c r="AI12" s="56">
        <f>AG12*X12/(X12+Y12)</f>
        <v>0</v>
      </c>
      <c r="AJ12" s="56">
        <f>AG12*Y12/(X12+Y12)</f>
        <v>0</v>
      </c>
      <c r="AK12" s="56">
        <f>S12-SUM(AA12:AB12)-SUM(AE12:AF12)-SUM(AI12:AJ12)</f>
        <v>0</v>
      </c>
      <c r="AM12" s="56">
        <f>ROUND(N12+AA12+AE12+AI12,0)</f>
        <v>148067</v>
      </c>
      <c r="AN12" s="56">
        <f>ROUND(O12+AB12+AF12+AJ12,0)</f>
        <v>14342</v>
      </c>
      <c r="AO12" s="56">
        <f>R12</f>
        <v>26593</v>
      </c>
      <c r="AP12" s="56"/>
      <c r="AQ12" s="56">
        <f>SUM(AM12:AP12)</f>
        <v>189002</v>
      </c>
      <c r="AS12" s="56">
        <v>1375.5538456861225</v>
      </c>
      <c r="AT12" s="56">
        <v>133.23828574111968</v>
      </c>
      <c r="AU12" s="56">
        <v>247.05102027008755</v>
      </c>
      <c r="AV12" s="56"/>
      <c r="AW12" s="56">
        <v>1755.8431516973296</v>
      </c>
      <c r="AY12" s="16">
        <v>4.0503978599342183E-3</v>
      </c>
      <c r="AZ12" s="16">
        <v>4.0087099802041948E-3</v>
      </c>
      <c r="BA12" s="16">
        <v>2.1846432204508659E-4</v>
      </c>
      <c r="BB12" s="16">
        <f>SUM(AM12:AO12)/I12-1</f>
        <v>3.5063022258086107E-3</v>
      </c>
      <c r="BC12" s="16"/>
      <c r="BE12" s="16">
        <f>AM12/'2016-17 disagg'!AM12-1</f>
        <v>2.0033204968345153E-2</v>
      </c>
      <c r="BF12" s="16">
        <f>AN12/'2016-17 disagg'!AN12-1</f>
        <v>1.8390967833558092E-2</v>
      </c>
      <c r="BG12" s="16">
        <f>AO12/'2016-17 disagg'!AO12-1</f>
        <v>4.1963795940757054E-2</v>
      </c>
      <c r="BH12" s="16">
        <f>AQ12/'2016-17 disagg'!AQ12-1</f>
        <v>2.2937368751488441E-2</v>
      </c>
      <c r="BJ12" s="16">
        <f>AS12/'2016-17 disagg'!AS12-1</f>
        <v>1.8423432961819808E-2</v>
      </c>
      <c r="BK12" s="16">
        <f>AT12/'2016-17 disagg'!AT12-1</f>
        <v>1.6783787534199623E-2</v>
      </c>
      <c r="BL12" s="16">
        <f>AU12/'2016-17 disagg'!AU12-1</f>
        <v>4.0319414030101308E-2</v>
      </c>
      <c r="BM12" s="16">
        <f>AW12/'2016-17 disagg'!AW12-1</f>
        <v>2.1323013520086143E-2</v>
      </c>
    </row>
    <row r="13" spans="1:65" x14ac:dyDescent="0.2">
      <c r="A13" s="156" t="s">
        <v>71</v>
      </c>
      <c r="B13" s="156" t="s">
        <v>72</v>
      </c>
      <c r="D13" s="56">
        <f>VLOOKUP(A13,'2017-18'!$A$12:$AMX221,32,FALSE)</f>
        <v>560314</v>
      </c>
      <c r="E13" s="56">
        <v>1917.9063050793072</v>
      </c>
      <c r="F13" s="16">
        <f>VLOOKUP(A13,'2017-18'!$A$12:$AMX221,34,FALSE)</f>
        <v>2.215184677773907E-2</v>
      </c>
      <c r="G13" s="16">
        <f>VLOOKUP(A13,'2017-18'!$A$12:$AMX221,35,FALSE)</f>
        <v>1.7765057882062507E-2</v>
      </c>
      <c r="H13" s="56"/>
      <c r="I13" s="56">
        <v>539923.86761897511</v>
      </c>
      <c r="J13" s="56">
        <v>1848.1126474962928</v>
      </c>
      <c r="K13" s="16">
        <f t="shared" ref="K13:L76" si="6">D13/I13-1</f>
        <v>3.7764828717322452E-2</v>
      </c>
      <c r="L13" s="58">
        <f t="shared" si="6"/>
        <v>3.776482871732223E-2</v>
      </c>
      <c r="M13" s="10"/>
      <c r="N13" s="56">
        <v>449254</v>
      </c>
      <c r="O13" s="56">
        <v>43694</v>
      </c>
      <c r="P13" s="56">
        <v>67366</v>
      </c>
      <c r="R13" s="56">
        <f t="shared" ref="R13:R76" si="7">ROUND(P13,0)</f>
        <v>67366</v>
      </c>
      <c r="S13" s="56">
        <f t="shared" ref="S13:S76" si="8">D13-SUM(N13:P13)</f>
        <v>0</v>
      </c>
      <c r="U13" s="16">
        <v>4.4176268953711517E-2</v>
      </c>
      <c r="V13" s="16">
        <v>9.4689914820329735E-2</v>
      </c>
      <c r="W13" s="56">
        <f t="shared" ref="W13:W76" si="9">IF(AND(U13&lt;0,V13&gt;0),1,IF(AND(U13&gt;0,V13&gt;0),2,IF(AND(U13&gt;0,V13&lt;0),3,IF(AND(U13&lt;0,V13&lt;0),4,5))))</f>
        <v>2</v>
      </c>
      <c r="X13" s="56">
        <f t="shared" ref="X13:Y76" si="10">N13/(1+U13)/100</f>
        <v>4302.4728042341239</v>
      </c>
      <c r="Y13" s="56">
        <f t="shared" si="10"/>
        <v>399.14499447244339</v>
      </c>
      <c r="AA13" s="56">
        <f>IF(W13=1,MIN(S13,-1*U13*N13),0)</f>
        <v>0</v>
      </c>
      <c r="AB13" s="56">
        <v>0</v>
      </c>
      <c r="AC13" s="56">
        <f t="shared" ref="AC13:AC76" si="11">S13-AA13-AB13</f>
        <v>0</v>
      </c>
      <c r="AE13" s="56">
        <v>0</v>
      </c>
      <c r="AF13" s="56">
        <f t="shared" ref="AF13:AF76" si="12">IF(W13=3,MIN(S13,-1*V13*O13),0)</f>
        <v>0</v>
      </c>
      <c r="AG13" s="56">
        <f t="shared" ref="AG13:AG76" si="13">AC13-AE13-AF13</f>
        <v>0</v>
      </c>
      <c r="AI13" s="56">
        <f t="shared" ref="AI13:AI76" si="14">AG13*X13/(X13+Y13)</f>
        <v>0</v>
      </c>
      <c r="AJ13" s="56">
        <f t="shared" ref="AJ13:AJ76" si="15">AG13*Y13/(X13+Y13)</f>
        <v>0</v>
      </c>
      <c r="AK13" s="56">
        <f t="shared" ref="AK13:AK76" si="16">S13-SUM(AA13:AB13)-SUM(AE13:AF13)-SUM(AI13:AJ13)</f>
        <v>0</v>
      </c>
      <c r="AM13" s="56">
        <f t="shared" ref="AM13:AM76" si="17">ROUND(N13+AA13+AE13+AI13,0)</f>
        <v>449254</v>
      </c>
      <c r="AN13" s="56">
        <f t="shared" ref="AN13:AN76" si="18">ROUND(O13+AB13+AF13+AJ13,0)</f>
        <v>43694</v>
      </c>
      <c r="AO13" s="56">
        <f t="shared" ref="AO13:AO76" si="19">R13</f>
        <v>67366</v>
      </c>
      <c r="AP13" s="56"/>
      <c r="AQ13" s="56">
        <f t="shared" ref="AQ13:AQ76" si="20">SUM(AM13:AP13)</f>
        <v>560314</v>
      </c>
      <c r="AS13" s="56">
        <v>1537.7575416321904</v>
      </c>
      <c r="AT13" s="56">
        <v>149.56077858867573</v>
      </c>
      <c r="AU13" s="56">
        <v>230.58798485844119</v>
      </c>
      <c r="AV13" s="56"/>
      <c r="AW13" s="56">
        <v>1917.9063050793072</v>
      </c>
      <c r="AY13" s="16">
        <v>4.4176268953711517E-2</v>
      </c>
      <c r="AZ13" s="16">
        <v>9.4689914820329735E-2</v>
      </c>
      <c r="BA13" s="16">
        <v>-3.4346560225702483E-2</v>
      </c>
      <c r="BB13" s="16">
        <f t="shared" ref="BB13:BB76" si="21">SUM(AM13:AO13)/I13-1</f>
        <v>3.7764828717322452E-2</v>
      </c>
      <c r="BC13" s="16"/>
      <c r="BE13" s="16">
        <f>AM13/'2016-17 disagg'!AM13-1</f>
        <v>2.0030333854034188E-2</v>
      </c>
      <c r="BF13" s="16">
        <f>AN13/'2016-17 disagg'!AN13-1</f>
        <v>1.0009015048195735E-2</v>
      </c>
      <c r="BG13" s="16">
        <f>AO13/'2016-17 disagg'!AO13-1</f>
        <v>4.4790471168460577E-2</v>
      </c>
      <c r="BH13" s="16">
        <f>AQ13/'2016-17 disagg'!AQ13-1</f>
        <v>2.215184677773907E-2</v>
      </c>
      <c r="BJ13" s="16">
        <f>AS13/'2016-17 disagg'!AS13-1</f>
        <v>1.5652649896498838E-2</v>
      </c>
      <c r="BK13" s="16">
        <f>AT13/'2016-17 disagg'!AT13-1</f>
        <v>5.6743397788472372E-3</v>
      </c>
      <c r="BL13" s="16">
        <f>AU13/'2016-17 disagg'!AU13-1</f>
        <v>4.0306523649626724E-2</v>
      </c>
      <c r="BM13" s="16">
        <f>AW13/'2016-17 disagg'!AW13-1</f>
        <v>1.7765057882062507E-2</v>
      </c>
    </row>
    <row r="14" spans="1:65" x14ac:dyDescent="0.2">
      <c r="A14" s="156" t="s">
        <v>73</v>
      </c>
      <c r="B14" s="156" t="s">
        <v>74</v>
      </c>
      <c r="D14" s="56">
        <f>VLOOKUP(A14,'2017-18'!$A$12:$AMX222,32,FALSE)</f>
        <v>918287</v>
      </c>
      <c r="E14" s="56">
        <v>1791.9816948208552</v>
      </c>
      <c r="F14" s="16">
        <f>VLOOKUP(A14,'2017-18'!$A$12:$AMX222,34,FALSE)</f>
        <v>2.3612646917191338E-2</v>
      </c>
      <c r="G14" s="16">
        <f>VLOOKUP(A14,'2017-18'!$A$12:$AMX222,35,FALSE)</f>
        <v>2.0596957138959704E-2</v>
      </c>
      <c r="H14" s="56"/>
      <c r="I14" s="56">
        <v>900221.25813388778</v>
      </c>
      <c r="J14" s="56">
        <v>1756.7274891885943</v>
      </c>
      <c r="K14" s="16">
        <f t="shared" si="6"/>
        <v>2.0068112925439641E-2</v>
      </c>
      <c r="L14" s="58">
        <f t="shared" si="6"/>
        <v>2.0068112925439641E-2</v>
      </c>
      <c r="M14" s="10"/>
      <c r="N14" s="56">
        <v>714189</v>
      </c>
      <c r="O14" s="56">
        <v>67357</v>
      </c>
      <c r="P14" s="56">
        <v>136741</v>
      </c>
      <c r="R14" s="56">
        <f t="shared" si="7"/>
        <v>136741</v>
      </c>
      <c r="S14" s="56">
        <f t="shared" si="8"/>
        <v>0</v>
      </c>
      <c r="U14" s="16">
        <v>3.2465550247579023E-2</v>
      </c>
      <c r="V14" s="16">
        <v>-4.7285054106435909E-2</v>
      </c>
      <c r="W14" s="56">
        <f t="shared" si="9"/>
        <v>3</v>
      </c>
      <c r="X14" s="56">
        <f t="shared" si="10"/>
        <v>6917.3155446081646</v>
      </c>
      <c r="Y14" s="56">
        <f t="shared" si="10"/>
        <v>707.00055971962286</v>
      </c>
      <c r="AA14" s="56">
        <f t="shared" ref="AA14:AA77" si="22">IF(W14=1,MIN(S14,-1*U14*N14),0)</f>
        <v>0</v>
      </c>
      <c r="AB14" s="56">
        <v>0</v>
      </c>
      <c r="AC14" s="56">
        <f t="shared" si="11"/>
        <v>0</v>
      </c>
      <c r="AE14" s="56">
        <v>0</v>
      </c>
      <c r="AF14" s="56">
        <f t="shared" si="12"/>
        <v>0</v>
      </c>
      <c r="AG14" s="56">
        <f t="shared" si="13"/>
        <v>0</v>
      </c>
      <c r="AI14" s="56">
        <f t="shared" si="14"/>
        <v>0</v>
      </c>
      <c r="AJ14" s="56">
        <f t="shared" si="15"/>
        <v>0</v>
      </c>
      <c r="AK14" s="56">
        <f t="shared" si="16"/>
        <v>0</v>
      </c>
      <c r="AM14" s="56">
        <f t="shared" si="17"/>
        <v>714189</v>
      </c>
      <c r="AN14" s="56">
        <f t="shared" si="18"/>
        <v>67357</v>
      </c>
      <c r="AO14" s="56">
        <f t="shared" si="19"/>
        <v>136741</v>
      </c>
      <c r="AP14" s="56"/>
      <c r="AQ14" s="56">
        <f t="shared" si="20"/>
        <v>918287</v>
      </c>
      <c r="AS14" s="56">
        <v>1393.6967578136375</v>
      </c>
      <c r="AT14" s="56">
        <v>131.44312292131801</v>
      </c>
      <c r="AU14" s="56">
        <v>266.84181408589967</v>
      </c>
      <c r="AV14" s="56"/>
      <c r="AW14" s="56">
        <v>1791.9816948208552</v>
      </c>
      <c r="AY14" s="16">
        <v>3.2465550247579023E-2</v>
      </c>
      <c r="AZ14" s="16">
        <v>-4.7285054106435909E-2</v>
      </c>
      <c r="BA14" s="16">
        <v>-7.6104970047081721E-3</v>
      </c>
      <c r="BB14" s="16">
        <f t="shared" si="21"/>
        <v>2.0068112925439641E-2</v>
      </c>
      <c r="BC14" s="16"/>
      <c r="BE14" s="16">
        <f>AM14/'2016-17 disagg'!AM14-1</f>
        <v>2.002956445980586E-2</v>
      </c>
      <c r="BF14" s="16">
        <f>AN14/'2016-17 disagg'!AN14-1</f>
        <v>2.2388512795604276E-2</v>
      </c>
      <c r="BG14" s="16">
        <f>AO14/'2016-17 disagg'!AO14-1</f>
        <v>4.3370441868805232E-2</v>
      </c>
      <c r="BH14" s="16">
        <f>AQ14/'2016-17 disagg'!AQ14-1</f>
        <v>2.3612646917191338E-2</v>
      </c>
      <c r="BJ14" s="16">
        <f>AS14/'2016-17 disagg'!AS14-1</f>
        <v>1.7024430886769748E-2</v>
      </c>
      <c r="BK14" s="16">
        <f>AT14/'2016-17 disagg'!AT14-1</f>
        <v>1.9376429468278555E-2</v>
      </c>
      <c r="BL14" s="16">
        <f>AU14/'2016-17 disagg'!AU14-1</f>
        <v>4.0296543176825406E-2</v>
      </c>
      <c r="BM14" s="16">
        <f>AW14/'2016-17 disagg'!AW14-1</f>
        <v>2.0596957138959704E-2</v>
      </c>
    </row>
    <row r="15" spans="1:65" x14ac:dyDescent="0.2">
      <c r="A15" s="156" t="s">
        <v>75</v>
      </c>
      <c r="B15" s="156" t="s">
        <v>76</v>
      </c>
      <c r="D15" s="56">
        <f>VLOOKUP(A15,'2017-18'!$A$12:$AMX223,32,FALSE)</f>
        <v>517776</v>
      </c>
      <c r="E15" s="56">
        <v>1740.7634644884038</v>
      </c>
      <c r="F15" s="16">
        <f>VLOOKUP(A15,'2017-18'!$A$12:$AMX223,34,FALSE)</f>
        <v>2.3406215039906364E-2</v>
      </c>
      <c r="G15" s="16">
        <f>VLOOKUP(A15,'2017-18'!$A$12:$AMX223,35,FALSE)</f>
        <v>1.8248331761912207E-2</v>
      </c>
      <c r="H15" s="56"/>
      <c r="I15" s="56">
        <v>522063.1250929666</v>
      </c>
      <c r="J15" s="56">
        <v>1755.1767836254974</v>
      </c>
      <c r="K15" s="16">
        <f t="shared" si="6"/>
        <v>-8.2118902617440703E-3</v>
      </c>
      <c r="L15" s="58">
        <f t="shared" si="6"/>
        <v>-8.2118902617440703E-3</v>
      </c>
      <c r="M15" s="10"/>
      <c r="N15" s="56">
        <v>405016</v>
      </c>
      <c r="O15" s="56">
        <v>40192</v>
      </c>
      <c r="P15" s="56">
        <v>72568</v>
      </c>
      <c r="R15" s="56">
        <f t="shared" si="7"/>
        <v>72568</v>
      </c>
      <c r="S15" s="56">
        <f t="shared" si="8"/>
        <v>0</v>
      </c>
      <c r="U15" s="16">
        <v>-1.1457717517208366E-2</v>
      </c>
      <c r="V15" s="16">
        <v>5.1096603914759786E-3</v>
      </c>
      <c r="W15" s="56">
        <f t="shared" si="9"/>
        <v>1</v>
      </c>
      <c r="X15" s="56">
        <f t="shared" si="10"/>
        <v>4097.1034540148812</v>
      </c>
      <c r="Y15" s="56">
        <f t="shared" si="10"/>
        <v>399.87676552970134</v>
      </c>
      <c r="AA15" s="56">
        <f t="shared" si="22"/>
        <v>0</v>
      </c>
      <c r="AB15" s="56">
        <v>0</v>
      </c>
      <c r="AC15" s="56">
        <f t="shared" si="11"/>
        <v>0</v>
      </c>
      <c r="AE15" s="56">
        <v>0</v>
      </c>
      <c r="AF15" s="56">
        <f t="shared" si="12"/>
        <v>0</v>
      </c>
      <c r="AG15" s="56">
        <f t="shared" si="13"/>
        <v>0</v>
      </c>
      <c r="AI15" s="56">
        <f t="shared" si="14"/>
        <v>0</v>
      </c>
      <c r="AJ15" s="56">
        <f t="shared" si="15"/>
        <v>0</v>
      </c>
      <c r="AK15" s="56">
        <f t="shared" si="16"/>
        <v>0</v>
      </c>
      <c r="AM15" s="56">
        <f t="shared" si="17"/>
        <v>405016</v>
      </c>
      <c r="AN15" s="56">
        <f t="shared" si="18"/>
        <v>40192</v>
      </c>
      <c r="AO15" s="56">
        <f t="shared" si="19"/>
        <v>72568</v>
      </c>
      <c r="AP15" s="56"/>
      <c r="AQ15" s="56">
        <f t="shared" si="20"/>
        <v>517776</v>
      </c>
      <c r="AS15" s="56">
        <v>1361.6642241688207</v>
      </c>
      <c r="AT15" s="56">
        <v>135.12554688652608</v>
      </c>
      <c r="AU15" s="56">
        <v>243.97369343305692</v>
      </c>
      <c r="AV15" s="56"/>
      <c r="AW15" s="56">
        <v>1740.7634644884038</v>
      </c>
      <c r="AY15" s="16">
        <v>-1.1457717517208366E-2</v>
      </c>
      <c r="AZ15" s="16">
        <v>5.1096603914759786E-3</v>
      </c>
      <c r="BA15" s="16">
        <v>2.8037942695018359E-3</v>
      </c>
      <c r="BB15" s="16">
        <f t="shared" si="21"/>
        <v>-8.2118902617440703E-3</v>
      </c>
      <c r="BC15" s="16"/>
      <c r="BE15" s="16">
        <f>AM15/'2016-17 disagg'!AM15-1</f>
        <v>2.0029567096405465E-2</v>
      </c>
      <c r="BF15" s="16">
        <f>AN15/'2016-17 disagg'!AN15-1</f>
        <v>1.8395581006436013E-2</v>
      </c>
      <c r="BG15" s="16">
        <f>AO15/'2016-17 disagg'!AO15-1</f>
        <v>4.557308551257111E-2</v>
      </c>
      <c r="BH15" s="16">
        <f>AQ15/'2016-17 disagg'!AQ15-1</f>
        <v>2.3406215039906364E-2</v>
      </c>
      <c r="BJ15" s="16">
        <f>AS15/'2016-17 disagg'!AS15-1</f>
        <v>1.4888701846743846E-2</v>
      </c>
      <c r="BK15" s="16">
        <f>AT15/'2016-17 disagg'!AT15-1</f>
        <v>1.3262950912479088E-2</v>
      </c>
      <c r="BL15" s="16">
        <f>AU15/'2016-17 disagg'!AU15-1</f>
        <v>4.0303483027817943E-2</v>
      </c>
      <c r="BM15" s="16">
        <f>AW15/'2016-17 disagg'!AW15-1</f>
        <v>1.8248331761912207E-2</v>
      </c>
    </row>
    <row r="16" spans="1:65" x14ac:dyDescent="0.2">
      <c r="A16" s="156" t="s">
        <v>77</v>
      </c>
      <c r="B16" s="156" t="s">
        <v>78</v>
      </c>
      <c r="D16" s="56">
        <f>VLOOKUP(A16,'2017-18'!$A$12:$AMX224,32,FALSE)</f>
        <v>438388</v>
      </c>
      <c r="E16" s="56">
        <v>1730.7165846065072</v>
      </c>
      <c r="F16" s="16">
        <f>VLOOKUP(A16,'2017-18'!$A$12:$AMX224,34,FALSE)</f>
        <v>2.2317160193835228E-2</v>
      </c>
      <c r="G16" s="16">
        <f>VLOOKUP(A16,'2017-18'!$A$12:$AMX224,35,FALSE)</f>
        <v>1.8646348723547534E-2</v>
      </c>
      <c r="H16" s="56"/>
      <c r="I16" s="56">
        <v>421131.71325030096</v>
      </c>
      <c r="J16" s="56">
        <v>1662.5903091007231</v>
      </c>
      <c r="K16" s="16">
        <f t="shared" si="6"/>
        <v>4.0975984963266709E-2</v>
      </c>
      <c r="L16" s="58">
        <f t="shared" si="6"/>
        <v>4.0975984963266709E-2</v>
      </c>
      <c r="M16" s="10"/>
      <c r="N16" s="56">
        <v>346921</v>
      </c>
      <c r="O16" s="56">
        <v>34103</v>
      </c>
      <c r="P16" s="56">
        <v>57364</v>
      </c>
      <c r="R16" s="56">
        <f t="shared" si="7"/>
        <v>57364</v>
      </c>
      <c r="S16" s="56">
        <f t="shared" si="8"/>
        <v>0</v>
      </c>
      <c r="U16" s="16">
        <v>4.8243824965493065E-2</v>
      </c>
      <c r="V16" s="16">
        <v>7.8807125301559644E-2</v>
      </c>
      <c r="W16" s="56">
        <f t="shared" si="9"/>
        <v>2</v>
      </c>
      <c r="X16" s="56">
        <f t="shared" si="10"/>
        <v>3309.5448953531422</v>
      </c>
      <c r="Y16" s="56">
        <f t="shared" si="10"/>
        <v>316.11767479258322</v>
      </c>
      <c r="AA16" s="56">
        <f t="shared" si="22"/>
        <v>0</v>
      </c>
      <c r="AB16" s="56">
        <v>0</v>
      </c>
      <c r="AC16" s="56">
        <f t="shared" si="11"/>
        <v>0</v>
      </c>
      <c r="AE16" s="56">
        <v>0</v>
      </c>
      <c r="AF16" s="56">
        <f t="shared" si="12"/>
        <v>0</v>
      </c>
      <c r="AG16" s="56">
        <f t="shared" si="13"/>
        <v>0</v>
      </c>
      <c r="AI16" s="56">
        <f t="shared" si="14"/>
        <v>0</v>
      </c>
      <c r="AJ16" s="56">
        <f t="shared" si="15"/>
        <v>0</v>
      </c>
      <c r="AK16" s="56">
        <f t="shared" si="16"/>
        <v>0</v>
      </c>
      <c r="AM16" s="56">
        <f t="shared" si="17"/>
        <v>346921</v>
      </c>
      <c r="AN16" s="56">
        <f t="shared" si="18"/>
        <v>34103</v>
      </c>
      <c r="AO16" s="56">
        <f t="shared" si="19"/>
        <v>57364</v>
      </c>
      <c r="AP16" s="56"/>
      <c r="AQ16" s="56">
        <f t="shared" si="20"/>
        <v>438388</v>
      </c>
      <c r="AS16" s="56">
        <v>1369.6130556682074</v>
      </c>
      <c r="AT16" s="56">
        <v>134.63559149619905</v>
      </c>
      <c r="AU16" s="56">
        <v>226.4679374421008</v>
      </c>
      <c r="AV16" s="56"/>
      <c r="AW16" s="56">
        <v>1730.7165846065072</v>
      </c>
      <c r="AY16" s="16">
        <v>4.8243824965493065E-2</v>
      </c>
      <c r="AZ16" s="16">
        <v>7.8807125301559644E-2</v>
      </c>
      <c r="BA16" s="16">
        <v>-2.0514759261714755E-2</v>
      </c>
      <c r="BB16" s="16">
        <f t="shared" si="21"/>
        <v>4.0975984963266709E-2</v>
      </c>
      <c r="BC16" s="16"/>
      <c r="BE16" s="16">
        <f>AM16/'2016-17 disagg'!AM16-1</f>
        <v>2.0028873096566091E-2</v>
      </c>
      <c r="BF16" s="16">
        <f>AN16/'2016-17 disagg'!AN16-1</f>
        <v>1.0010365763364337E-2</v>
      </c>
      <c r="BG16" s="16">
        <f>AO16/'2016-17 disagg'!AO16-1</f>
        <v>4.4044845661036724E-2</v>
      </c>
      <c r="BH16" s="16">
        <f>AQ16/'2016-17 disagg'!AQ16-1</f>
        <v>2.2317160193835228E-2</v>
      </c>
      <c r="BJ16" s="16">
        <f>AS16/'2016-17 disagg'!AS16-1</f>
        <v>1.6366278127821321E-2</v>
      </c>
      <c r="BK16" s="16">
        <f>AT16/'2016-17 disagg'!AT16-1</f>
        <v>6.3837440258882605E-3</v>
      </c>
      <c r="BL16" s="16">
        <f>AU16/'2016-17 disagg'!AU16-1</f>
        <v>4.0296017074201274E-2</v>
      </c>
      <c r="BM16" s="16">
        <f>AW16/'2016-17 disagg'!AW16-1</f>
        <v>1.8646348723547534E-2</v>
      </c>
    </row>
    <row r="17" spans="1:65" x14ac:dyDescent="0.2">
      <c r="A17" s="156" t="s">
        <v>79</v>
      </c>
      <c r="B17" s="156" t="s">
        <v>80</v>
      </c>
      <c r="D17" s="56">
        <f>VLOOKUP(A17,'2017-18'!$A$12:$AMX225,32,FALSE)</f>
        <v>399517</v>
      </c>
      <c r="E17" s="56">
        <v>1821.241512849444</v>
      </c>
      <c r="F17" s="16">
        <f>VLOOKUP(A17,'2017-18'!$A$12:$AMX225,34,FALSE)</f>
        <v>2.3649263234491569E-2</v>
      </c>
      <c r="G17" s="16">
        <f>VLOOKUP(A17,'2017-18'!$A$12:$AMX225,35,FALSE)</f>
        <v>1.7576016392445437E-2</v>
      </c>
      <c r="H17" s="56"/>
      <c r="I17" s="56">
        <v>389069.29596340837</v>
      </c>
      <c r="J17" s="56">
        <v>1773.6145224950776</v>
      </c>
      <c r="K17" s="16">
        <f t="shared" si="6"/>
        <v>2.6853067422658361E-2</v>
      </c>
      <c r="L17" s="58">
        <f t="shared" si="6"/>
        <v>2.6853067422658361E-2</v>
      </c>
      <c r="M17" s="10"/>
      <c r="N17" s="56">
        <v>313469</v>
      </c>
      <c r="O17" s="56">
        <v>28426</v>
      </c>
      <c r="P17" s="56">
        <v>57622</v>
      </c>
      <c r="R17" s="56">
        <f t="shared" si="7"/>
        <v>57622</v>
      </c>
      <c r="S17" s="56">
        <f t="shared" si="8"/>
        <v>0</v>
      </c>
      <c r="U17" s="16">
        <v>4.0570824402571537E-2</v>
      </c>
      <c r="V17" s="16">
        <v>-1.6112158341045069E-3</v>
      </c>
      <c r="W17" s="56">
        <f t="shared" si="9"/>
        <v>3</v>
      </c>
      <c r="X17" s="56">
        <f t="shared" si="10"/>
        <v>3012.4715458937994</v>
      </c>
      <c r="Y17" s="56">
        <f t="shared" si="10"/>
        <v>284.7187433475479</v>
      </c>
      <c r="AA17" s="56">
        <f t="shared" si="22"/>
        <v>0</v>
      </c>
      <c r="AB17" s="56">
        <v>0</v>
      </c>
      <c r="AC17" s="56">
        <f t="shared" si="11"/>
        <v>0</v>
      </c>
      <c r="AE17" s="56">
        <v>0</v>
      </c>
      <c r="AF17" s="56">
        <f t="shared" si="12"/>
        <v>0</v>
      </c>
      <c r="AG17" s="56">
        <f t="shared" si="13"/>
        <v>0</v>
      </c>
      <c r="AI17" s="56">
        <f t="shared" si="14"/>
        <v>0</v>
      </c>
      <c r="AJ17" s="56">
        <f t="shared" si="15"/>
        <v>0</v>
      </c>
      <c r="AK17" s="56">
        <f t="shared" si="16"/>
        <v>0</v>
      </c>
      <c r="AM17" s="56">
        <f t="shared" si="17"/>
        <v>313469</v>
      </c>
      <c r="AN17" s="56">
        <f t="shared" si="18"/>
        <v>28426</v>
      </c>
      <c r="AO17" s="56">
        <f t="shared" si="19"/>
        <v>57622</v>
      </c>
      <c r="AP17" s="56"/>
      <c r="AQ17" s="56">
        <f t="shared" si="20"/>
        <v>399517</v>
      </c>
      <c r="AS17" s="56">
        <v>1428.9823857092499</v>
      </c>
      <c r="AT17" s="56">
        <v>129.58299958264178</v>
      </c>
      <c r="AU17" s="56">
        <v>262.67612755755243</v>
      </c>
      <c r="AV17" s="56"/>
      <c r="AW17" s="56">
        <v>1821.241512849444</v>
      </c>
      <c r="AY17" s="16">
        <v>4.0570824402571537E-2</v>
      </c>
      <c r="AZ17" s="16">
        <v>-1.6112158341045069E-3</v>
      </c>
      <c r="BA17" s="16">
        <v>-2.9119785394225328E-2</v>
      </c>
      <c r="BB17" s="16">
        <f t="shared" si="21"/>
        <v>2.6853067422658361E-2</v>
      </c>
      <c r="BC17" s="16"/>
      <c r="BE17" s="16">
        <f>AM17/'2016-17 disagg'!AM17-1</f>
        <v>2.0028374886923439E-2</v>
      </c>
      <c r="BF17" s="16">
        <f>AN17/'2016-17 disagg'!AN17-1</f>
        <v>1.8415018629979851E-2</v>
      </c>
      <c r="BG17" s="16">
        <f>AO17/'2016-17 disagg'!AO17-1</f>
        <v>4.6512050271517058E-2</v>
      </c>
      <c r="BH17" s="16">
        <f>AQ17/'2016-17 disagg'!AQ17-1</f>
        <v>2.3649263234491569E-2</v>
      </c>
      <c r="BJ17" s="16">
        <f>AS17/'2016-17 disagg'!AS17-1</f>
        <v>1.3976610548223078E-2</v>
      </c>
      <c r="BK17" s="16">
        <f>AT17/'2016-17 disagg'!AT17-1</f>
        <v>1.2372826232709411E-2</v>
      </c>
      <c r="BL17" s="16">
        <f>AU17/'2016-17 disagg'!AU17-1</f>
        <v>4.0303159948681166E-2</v>
      </c>
      <c r="BM17" s="16">
        <f>AW17/'2016-17 disagg'!AW17-1</f>
        <v>1.7576016392445437E-2</v>
      </c>
    </row>
    <row r="18" spans="1:65" x14ac:dyDescent="0.2">
      <c r="A18" s="156" t="s">
        <v>81</v>
      </c>
      <c r="B18" s="156" t="s">
        <v>82</v>
      </c>
      <c r="D18" s="56">
        <f>VLOOKUP(A18,'2017-18'!$A$12:$AMX226,32,FALSE)</f>
        <v>585826</v>
      </c>
      <c r="E18" s="56">
        <v>1809.8980430590541</v>
      </c>
      <c r="F18" s="16">
        <f>VLOOKUP(A18,'2017-18'!$A$12:$AMX226,34,FALSE)</f>
        <v>2.2740921787709478E-2</v>
      </c>
      <c r="G18" s="16">
        <f>VLOOKUP(A18,'2017-18'!$A$12:$AMX226,35,FALSE)</f>
        <v>2.0968116032279438E-2</v>
      </c>
      <c r="H18" s="56"/>
      <c r="I18" s="56">
        <v>569797.52967501688</v>
      </c>
      <c r="J18" s="56">
        <v>1760.3783954599085</v>
      </c>
      <c r="K18" s="16">
        <f t="shared" si="6"/>
        <v>2.813011550633604E-2</v>
      </c>
      <c r="L18" s="58">
        <f t="shared" si="6"/>
        <v>2.813011550633604E-2</v>
      </c>
      <c r="M18" s="10"/>
      <c r="N18" s="56">
        <v>457342</v>
      </c>
      <c r="O18" s="56">
        <v>44017</v>
      </c>
      <c r="P18" s="56">
        <v>84467</v>
      </c>
      <c r="R18" s="56">
        <f t="shared" si="7"/>
        <v>84467</v>
      </c>
      <c r="S18" s="56">
        <f t="shared" si="8"/>
        <v>0</v>
      </c>
      <c r="U18" s="16">
        <v>3.2131598246130544E-2</v>
      </c>
      <c r="V18" s="16">
        <v>5.4559779098305672E-2</v>
      </c>
      <c r="W18" s="56">
        <f t="shared" si="9"/>
        <v>2</v>
      </c>
      <c r="X18" s="56">
        <f t="shared" si="10"/>
        <v>4431.0434907442732</v>
      </c>
      <c r="Y18" s="56">
        <f t="shared" si="10"/>
        <v>417.39691644257897</v>
      </c>
      <c r="AA18" s="56">
        <f t="shared" si="22"/>
        <v>0</v>
      </c>
      <c r="AB18" s="56">
        <v>0</v>
      </c>
      <c r="AC18" s="56">
        <f t="shared" si="11"/>
        <v>0</v>
      </c>
      <c r="AE18" s="56">
        <v>0</v>
      </c>
      <c r="AF18" s="56">
        <f t="shared" si="12"/>
        <v>0</v>
      </c>
      <c r="AG18" s="56">
        <f t="shared" si="13"/>
        <v>0</v>
      </c>
      <c r="AI18" s="56">
        <f t="shared" si="14"/>
        <v>0</v>
      </c>
      <c r="AJ18" s="56">
        <f t="shared" si="15"/>
        <v>0</v>
      </c>
      <c r="AK18" s="56">
        <f t="shared" si="16"/>
        <v>0</v>
      </c>
      <c r="AM18" s="56">
        <f t="shared" si="17"/>
        <v>457342</v>
      </c>
      <c r="AN18" s="56">
        <f t="shared" si="18"/>
        <v>44017</v>
      </c>
      <c r="AO18" s="56">
        <f t="shared" si="19"/>
        <v>84467</v>
      </c>
      <c r="AP18" s="56"/>
      <c r="AQ18" s="56">
        <f t="shared" si="20"/>
        <v>585826</v>
      </c>
      <c r="AS18" s="56">
        <v>1412.9492217974516</v>
      </c>
      <c r="AT18" s="56">
        <v>135.98966614887422</v>
      </c>
      <c r="AU18" s="56">
        <v>260.95915511272824</v>
      </c>
      <c r="AV18" s="56"/>
      <c r="AW18" s="56">
        <v>1809.8980430590541</v>
      </c>
      <c r="AY18" s="16">
        <v>3.2131598246130544E-2</v>
      </c>
      <c r="AZ18" s="16">
        <v>5.4559779098305672E-2</v>
      </c>
      <c r="BA18" s="16">
        <v>-5.7265329806744925E-3</v>
      </c>
      <c r="BB18" s="16">
        <f t="shared" si="21"/>
        <v>2.813011550633604E-2</v>
      </c>
      <c r="BC18" s="16"/>
      <c r="BE18" s="16">
        <f>AM18/'2016-17 disagg'!AM18-1</f>
        <v>2.0030734162873154E-2</v>
      </c>
      <c r="BF18" s="16">
        <f>AN18/'2016-17 disagg'!AN18-1</f>
        <v>1.4567246744266349E-2</v>
      </c>
      <c r="BG18" s="16">
        <f>AO18/'2016-17 disagg'!AO18-1</f>
        <v>4.2107730648703434E-2</v>
      </c>
      <c r="BH18" s="16">
        <f>AQ18/'2016-17 disagg'!AQ18-1</f>
        <v>2.2740921787709478E-2</v>
      </c>
      <c r="BJ18" s="16">
        <f>AS18/'2016-17 disagg'!AS18-1</f>
        <v>1.8262626211273281E-2</v>
      </c>
      <c r="BK18" s="16">
        <f>AT18/'2016-17 disagg'!AT18-1</f>
        <v>1.2808609130397386E-2</v>
      </c>
      <c r="BL18" s="16">
        <f>AU18/'2016-17 disagg'!AU18-1</f>
        <v>4.0301354719750826E-2</v>
      </c>
      <c r="BM18" s="16">
        <f>AW18/'2016-17 disagg'!AW18-1</f>
        <v>2.0968116032279438E-2</v>
      </c>
    </row>
    <row r="19" spans="1:65" x14ac:dyDescent="0.2">
      <c r="A19" s="156" t="s">
        <v>83</v>
      </c>
      <c r="B19" s="156" t="s">
        <v>84</v>
      </c>
      <c r="D19" s="56">
        <f>VLOOKUP(A19,'2017-18'!$A$12:$AMX227,32,FALSE)</f>
        <v>556209</v>
      </c>
      <c r="E19" s="56">
        <v>1888.8901111586927</v>
      </c>
      <c r="F19" s="16">
        <f>VLOOKUP(A19,'2017-18'!$A$12:$AMX227,34,FALSE)</f>
        <v>2.3409986641790281E-2</v>
      </c>
      <c r="G19" s="16">
        <f>VLOOKUP(A19,'2017-18'!$A$12:$AMX227,35,FALSE)</f>
        <v>2.1788186888138217E-2</v>
      </c>
      <c r="H19" s="56"/>
      <c r="I19" s="56">
        <v>549404.23251029174</v>
      </c>
      <c r="J19" s="56">
        <v>1865.7810675796709</v>
      </c>
      <c r="K19" s="16">
        <f t="shared" si="6"/>
        <v>1.2385720908294484E-2</v>
      </c>
      <c r="L19" s="58">
        <f t="shared" si="6"/>
        <v>1.2385720908294706E-2</v>
      </c>
      <c r="M19" s="10"/>
      <c r="N19" s="56">
        <v>421620</v>
      </c>
      <c r="O19" s="56">
        <v>43936</v>
      </c>
      <c r="P19" s="56">
        <v>90653</v>
      </c>
      <c r="R19" s="56">
        <f t="shared" si="7"/>
        <v>90653</v>
      </c>
      <c r="S19" s="56">
        <f t="shared" si="8"/>
        <v>0</v>
      </c>
      <c r="U19" s="16">
        <v>3.0931881712652487E-3</v>
      </c>
      <c r="V19" s="16">
        <v>3.461350725803447E-2</v>
      </c>
      <c r="W19" s="56">
        <f t="shared" si="9"/>
        <v>2</v>
      </c>
      <c r="X19" s="56">
        <f t="shared" si="10"/>
        <v>4203.1987154518874</v>
      </c>
      <c r="Y19" s="56">
        <f t="shared" si="10"/>
        <v>424.66099361529291</v>
      </c>
      <c r="AA19" s="56">
        <f t="shared" si="22"/>
        <v>0</v>
      </c>
      <c r="AB19" s="56">
        <v>0</v>
      </c>
      <c r="AC19" s="56">
        <f t="shared" si="11"/>
        <v>0</v>
      </c>
      <c r="AE19" s="56">
        <v>0</v>
      </c>
      <c r="AF19" s="56">
        <f t="shared" si="12"/>
        <v>0</v>
      </c>
      <c r="AG19" s="56">
        <f t="shared" si="13"/>
        <v>0</v>
      </c>
      <c r="AI19" s="56">
        <f t="shared" si="14"/>
        <v>0</v>
      </c>
      <c r="AJ19" s="56">
        <f t="shared" si="15"/>
        <v>0</v>
      </c>
      <c r="AK19" s="56">
        <f t="shared" si="16"/>
        <v>0</v>
      </c>
      <c r="AM19" s="56">
        <f t="shared" si="17"/>
        <v>421620</v>
      </c>
      <c r="AN19" s="56">
        <f t="shared" si="18"/>
        <v>43936</v>
      </c>
      <c r="AO19" s="56">
        <f t="shared" si="19"/>
        <v>90653</v>
      </c>
      <c r="AP19" s="56"/>
      <c r="AQ19" s="56">
        <f t="shared" si="20"/>
        <v>556209</v>
      </c>
      <c r="AS19" s="56">
        <v>1431.8248152524106</v>
      </c>
      <c r="AT19" s="56">
        <v>149.20699939028015</v>
      </c>
      <c r="AU19" s="56">
        <v>307.85829651600204</v>
      </c>
      <c r="AV19" s="56"/>
      <c r="AW19" s="56">
        <v>1888.8901111586927</v>
      </c>
      <c r="AY19" s="16">
        <v>3.0931881712652487E-3</v>
      </c>
      <c r="AZ19" s="16">
        <v>3.461350725803447E-2</v>
      </c>
      <c r="BA19" s="16">
        <v>4.6580690050003648E-2</v>
      </c>
      <c r="BB19" s="16">
        <f t="shared" si="21"/>
        <v>1.2385720908294484E-2</v>
      </c>
      <c r="BC19" s="16"/>
      <c r="BE19" s="16">
        <f>AM19/'2016-17 disagg'!AM19-1</f>
        <v>2.0029467195366468E-2</v>
      </c>
      <c r="BF19" s="16">
        <f>AN19/'2016-17 disagg'!AN19-1</f>
        <v>1.8404339159056038E-2</v>
      </c>
      <c r="BG19" s="16">
        <f>AO19/'2016-17 disagg'!AO19-1</f>
        <v>4.1952576347942028E-2</v>
      </c>
      <c r="BH19" s="16">
        <f>AQ19/'2016-17 disagg'!AQ19-1</f>
        <v>2.3409986641790281E-2</v>
      </c>
      <c r="BJ19" s="16">
        <f>AS19/'2016-17 disagg'!AS19-1</f>
        <v>1.8413024557315305E-2</v>
      </c>
      <c r="BK19" s="16">
        <f>AT19/'2016-17 disagg'!AT19-1</f>
        <v>1.6790471864496892E-2</v>
      </c>
      <c r="BL19" s="16">
        <f>AU19/'2016-17 disagg'!AU19-1</f>
        <v>4.0301392117091162E-2</v>
      </c>
      <c r="BM19" s="16">
        <f>AW19/'2016-17 disagg'!AW19-1</f>
        <v>2.1788186888138217E-2</v>
      </c>
    </row>
    <row r="20" spans="1:65" x14ac:dyDescent="0.2">
      <c r="A20" s="156" t="s">
        <v>85</v>
      </c>
      <c r="B20" s="156" t="s">
        <v>86</v>
      </c>
      <c r="D20" s="56">
        <f>VLOOKUP(A20,'2017-18'!$A$12:$AMX228,32,FALSE)</f>
        <v>305184.30564692407</v>
      </c>
      <c r="E20" s="56">
        <v>1955.4107412240876</v>
      </c>
      <c r="F20" s="16">
        <f>VLOOKUP(A20,'2017-18'!$A$12:$AMX228,34,FALSE)</f>
        <v>1.8183808466587292E-2</v>
      </c>
      <c r="G20" s="16">
        <f>VLOOKUP(A20,'2017-18'!$A$12:$AMX228,35,FALSE)</f>
        <v>1.542186910092247E-2</v>
      </c>
      <c r="H20" s="56"/>
      <c r="I20" s="56">
        <v>291693.40651753178</v>
      </c>
      <c r="J20" s="56">
        <v>1868.9703556005081</v>
      </c>
      <c r="K20" s="16">
        <f t="shared" si="6"/>
        <v>4.6250271099567808E-2</v>
      </c>
      <c r="L20" s="58">
        <f t="shared" si="6"/>
        <v>4.625027109956803E-2</v>
      </c>
      <c r="M20" s="10"/>
      <c r="N20" s="56">
        <v>245109</v>
      </c>
      <c r="O20" s="56">
        <v>20787</v>
      </c>
      <c r="P20" s="56">
        <v>38385</v>
      </c>
      <c r="R20" s="56">
        <f t="shared" si="7"/>
        <v>38385</v>
      </c>
      <c r="S20" s="56">
        <f t="shared" si="8"/>
        <v>903.30564692406915</v>
      </c>
      <c r="U20" s="16">
        <v>6.423834072553225E-2</v>
      </c>
      <c r="V20" s="16">
        <v>-2.5541157001428005E-2</v>
      </c>
      <c r="W20" s="56">
        <f t="shared" si="9"/>
        <v>3</v>
      </c>
      <c r="X20" s="56">
        <f t="shared" si="10"/>
        <v>2303.1401014259623</v>
      </c>
      <c r="Y20" s="56">
        <f t="shared" si="10"/>
        <v>213.3183987128173</v>
      </c>
      <c r="AA20" s="56">
        <f t="shared" si="22"/>
        <v>0</v>
      </c>
      <c r="AB20" s="56">
        <v>0</v>
      </c>
      <c r="AC20" s="56">
        <f t="shared" si="11"/>
        <v>903.30564692406915</v>
      </c>
      <c r="AE20" s="56">
        <v>0</v>
      </c>
      <c r="AF20" s="56">
        <f t="shared" si="12"/>
        <v>530.92403058868399</v>
      </c>
      <c r="AG20" s="56">
        <f t="shared" si="13"/>
        <v>372.38161633538516</v>
      </c>
      <c r="AI20" s="56">
        <f t="shared" si="14"/>
        <v>340.81509135499135</v>
      </c>
      <c r="AJ20" s="56">
        <f t="shared" si="15"/>
        <v>31.566524980393783</v>
      </c>
      <c r="AK20" s="56">
        <f t="shared" si="16"/>
        <v>0</v>
      </c>
      <c r="AM20" s="56">
        <f t="shared" si="17"/>
        <v>245450</v>
      </c>
      <c r="AN20" s="56">
        <f t="shared" si="18"/>
        <v>21349</v>
      </c>
      <c r="AO20" s="56">
        <f t="shared" si="19"/>
        <v>38385</v>
      </c>
      <c r="AP20" s="56"/>
      <c r="AQ20" s="56">
        <f t="shared" si="20"/>
        <v>305184</v>
      </c>
      <c r="AS20" s="56">
        <v>1572.6744709759937</v>
      </c>
      <c r="AT20" s="56">
        <v>136.78968132355465</v>
      </c>
      <c r="AU20" s="56">
        <v>245.94463054965783</v>
      </c>
      <c r="AV20" s="56"/>
      <c r="AW20" s="56">
        <v>1955.4087828492061</v>
      </c>
      <c r="AY20" s="16">
        <v>6.5718928032352464E-2</v>
      </c>
      <c r="AZ20" s="16">
        <v>8.0443734913715481E-4</v>
      </c>
      <c r="BA20" s="16">
        <v>-4.1514555413690646E-2</v>
      </c>
      <c r="BB20" s="16">
        <f t="shared" si="21"/>
        <v>4.6249223263321815E-2</v>
      </c>
      <c r="BC20" s="16"/>
      <c r="BE20" s="16">
        <f>AM20/'2016-17 disagg'!AM20-1</f>
        <v>1.2060612308009588E-2</v>
      </c>
      <c r="BF20" s="16">
        <f>AN20/'2016-17 disagg'!AN20-1</f>
        <v>4.5955612169908289E-2</v>
      </c>
      <c r="BG20" s="16">
        <f>AO20/'2016-17 disagg'!AO20-1</f>
        <v>4.3127343877384705E-2</v>
      </c>
      <c r="BH20" s="16">
        <f>AQ20/'2016-17 disagg'!AQ20-1</f>
        <v>1.8182788739348865E-2</v>
      </c>
      <c r="BJ20" s="16">
        <f>AS20/'2016-17 disagg'!AS20-1</f>
        <v>9.3152828082385675E-3</v>
      </c>
      <c r="BK20" s="16">
        <f>AT20/'2016-17 disagg'!AT20-1</f>
        <v>4.3118338628561403E-2</v>
      </c>
      <c r="BL20" s="16">
        <f>AU20/'2016-17 disagg'!AU20-1</f>
        <v>4.0297742335404285E-2</v>
      </c>
      <c r="BM20" s="16">
        <f>AW20/'2016-17 disagg'!AW20-1</f>
        <v>1.5420852139810037E-2</v>
      </c>
    </row>
    <row r="21" spans="1:65" x14ac:dyDescent="0.2">
      <c r="A21" s="156" t="s">
        <v>87</v>
      </c>
      <c r="B21" s="156" t="s">
        <v>88</v>
      </c>
      <c r="D21" s="56">
        <f>VLOOKUP(A21,'2017-18'!$A$12:$AMX229,32,FALSE)</f>
        <v>549056</v>
      </c>
      <c r="E21" s="56">
        <v>1929.1115918475614</v>
      </c>
      <c r="F21" s="16">
        <f>VLOOKUP(A21,'2017-18'!$A$12:$AMX229,34,FALSE)</f>
        <v>7.1151204104356047E-3</v>
      </c>
      <c r="G21" s="16">
        <f>VLOOKUP(A21,'2017-18'!$A$12:$AMX229,35,FALSE)</f>
        <v>6.0722759393347925E-3</v>
      </c>
      <c r="H21" s="56"/>
      <c r="I21" s="56">
        <v>495072.91250923078</v>
      </c>
      <c r="J21" s="56">
        <v>1739.4416859688095</v>
      </c>
      <c r="K21" s="16">
        <f t="shared" si="6"/>
        <v>0.10904068093154407</v>
      </c>
      <c r="L21" s="58">
        <f t="shared" si="6"/>
        <v>0.10904068093154407</v>
      </c>
      <c r="M21" s="10"/>
      <c r="N21" s="56">
        <v>447826</v>
      </c>
      <c r="O21" s="56">
        <v>40239</v>
      </c>
      <c r="P21" s="56">
        <v>60991</v>
      </c>
      <c r="R21" s="56">
        <f t="shared" si="7"/>
        <v>60991</v>
      </c>
      <c r="S21" s="56">
        <f t="shared" si="8"/>
        <v>0</v>
      </c>
      <c r="U21" s="16">
        <v>0.15039906935621206</v>
      </c>
      <c r="V21" s="16">
        <v>2.8764643412289015E-2</v>
      </c>
      <c r="W21" s="56">
        <f t="shared" si="9"/>
        <v>2</v>
      </c>
      <c r="X21" s="56">
        <f t="shared" si="10"/>
        <v>3892.7882673845784</v>
      </c>
      <c r="Y21" s="56">
        <f t="shared" si="10"/>
        <v>391.1390254094664</v>
      </c>
      <c r="AA21" s="56">
        <f t="shared" si="22"/>
        <v>0</v>
      </c>
      <c r="AB21" s="56">
        <v>0</v>
      </c>
      <c r="AC21" s="56">
        <f t="shared" si="11"/>
        <v>0</v>
      </c>
      <c r="AE21" s="56">
        <v>0</v>
      </c>
      <c r="AF21" s="56">
        <f t="shared" si="12"/>
        <v>0</v>
      </c>
      <c r="AG21" s="56">
        <f t="shared" si="13"/>
        <v>0</v>
      </c>
      <c r="AI21" s="56">
        <f t="shared" si="14"/>
        <v>0</v>
      </c>
      <c r="AJ21" s="56">
        <f t="shared" si="15"/>
        <v>0</v>
      </c>
      <c r="AK21" s="56">
        <f t="shared" si="16"/>
        <v>0</v>
      </c>
      <c r="AM21" s="56">
        <f t="shared" si="17"/>
        <v>447826</v>
      </c>
      <c r="AN21" s="56">
        <f t="shared" si="18"/>
        <v>40239</v>
      </c>
      <c r="AO21" s="56">
        <f t="shared" si="19"/>
        <v>60991</v>
      </c>
      <c r="AP21" s="56"/>
      <c r="AQ21" s="56">
        <f t="shared" si="20"/>
        <v>549056</v>
      </c>
      <c r="AS21" s="56">
        <v>1573.4393718140334</v>
      </c>
      <c r="AT21" s="56">
        <v>141.37997097628298</v>
      </c>
      <c r="AU21" s="56">
        <v>214.29224905724482</v>
      </c>
      <c r="AV21" s="56"/>
      <c r="AW21" s="56">
        <v>1929.1115918475614</v>
      </c>
      <c r="AY21" s="16">
        <v>0.15039906935621206</v>
      </c>
      <c r="AZ21" s="16">
        <v>2.8764643412289015E-2</v>
      </c>
      <c r="BA21" s="16">
        <v>-8.5320449858654279E-2</v>
      </c>
      <c r="BB21" s="16">
        <f t="shared" si="21"/>
        <v>0.10904068093154407</v>
      </c>
      <c r="BC21" s="16"/>
      <c r="BE21" s="16">
        <f>AM21/'2016-17 disagg'!AM21-1</f>
        <v>1.6305186570251262E-3</v>
      </c>
      <c r="BF21" s="16">
        <f>AN21/'2016-17 disagg'!AN21-1</f>
        <v>1.8399473577647374E-2</v>
      </c>
      <c r="BG21" s="16">
        <f>AO21/'2016-17 disagg'!AO21-1</f>
        <v>4.1370714383280882E-2</v>
      </c>
      <c r="BH21" s="16">
        <f>AQ21/'2016-17 disagg'!AQ21-1</f>
        <v>7.1151204104356047E-3</v>
      </c>
      <c r="BJ21" s="16">
        <f>AS21/'2016-17 disagg'!AS21-1</f>
        <v>5.9335336449972687E-4</v>
      </c>
      <c r="BK21" s="16">
        <f>AT21/'2016-17 disagg'!AT21-1</f>
        <v>1.7344944419193764E-2</v>
      </c>
      <c r="BL21" s="16">
        <f>AU21/'2016-17 disagg'!AU21-1</f>
        <v>4.0292399034963733E-2</v>
      </c>
      <c r="BM21" s="16">
        <f>AW21/'2016-17 disagg'!AW21-1</f>
        <v>6.0722759393347925E-3</v>
      </c>
    </row>
    <row r="22" spans="1:65" x14ac:dyDescent="0.2">
      <c r="A22" s="156" t="s">
        <v>89</v>
      </c>
      <c r="B22" s="156" t="s">
        <v>90</v>
      </c>
      <c r="D22" s="56">
        <f>VLOOKUP(A22,'2017-18'!$A$12:$AMX230,32,FALSE)</f>
        <v>292754</v>
      </c>
      <c r="E22" s="56">
        <v>1702.9425487666808</v>
      </c>
      <c r="F22" s="16">
        <f>VLOOKUP(A22,'2017-18'!$A$12:$AMX230,34,FALSE)</f>
        <v>2.3386375076905885E-2</v>
      </c>
      <c r="G22" s="16">
        <f>VLOOKUP(A22,'2017-18'!$A$12:$AMX230,35,FALSE)</f>
        <v>2.148994543663707E-2</v>
      </c>
      <c r="H22" s="56"/>
      <c r="I22" s="56">
        <v>298077.69794322975</v>
      </c>
      <c r="J22" s="56">
        <v>1733.9103638752961</v>
      </c>
      <c r="K22" s="16">
        <f t="shared" si="6"/>
        <v>-1.7860101510323911E-2</v>
      </c>
      <c r="L22" s="58">
        <f t="shared" si="6"/>
        <v>-1.78601015103238E-2</v>
      </c>
      <c r="M22" s="10"/>
      <c r="N22" s="56">
        <v>222218</v>
      </c>
      <c r="O22" s="56">
        <v>23691</v>
      </c>
      <c r="P22" s="56">
        <v>46845</v>
      </c>
      <c r="R22" s="56">
        <f t="shared" si="7"/>
        <v>46845</v>
      </c>
      <c r="S22" s="56">
        <f t="shared" si="8"/>
        <v>0</v>
      </c>
      <c r="U22" s="16">
        <v>-2.0820357027551584E-2</v>
      </c>
      <c r="V22" s="16">
        <v>2.5896905056555397E-2</v>
      </c>
      <c r="W22" s="56">
        <f t="shared" si="9"/>
        <v>1</v>
      </c>
      <c r="X22" s="56">
        <f t="shared" si="10"/>
        <v>2269.4303501390568</v>
      </c>
      <c r="Y22" s="56">
        <f t="shared" si="10"/>
        <v>230.92963711294138</v>
      </c>
      <c r="AA22" s="56">
        <f t="shared" si="22"/>
        <v>0</v>
      </c>
      <c r="AB22" s="56">
        <v>0</v>
      </c>
      <c r="AC22" s="56">
        <f t="shared" si="11"/>
        <v>0</v>
      </c>
      <c r="AE22" s="56">
        <v>0</v>
      </c>
      <c r="AF22" s="56">
        <f t="shared" si="12"/>
        <v>0</v>
      </c>
      <c r="AG22" s="56">
        <f t="shared" si="13"/>
        <v>0</v>
      </c>
      <c r="AI22" s="56">
        <f t="shared" si="14"/>
        <v>0</v>
      </c>
      <c r="AJ22" s="56">
        <f t="shared" si="15"/>
        <v>0</v>
      </c>
      <c r="AK22" s="56">
        <f t="shared" si="16"/>
        <v>0</v>
      </c>
      <c r="AM22" s="56">
        <f t="shared" si="17"/>
        <v>222218</v>
      </c>
      <c r="AN22" s="56">
        <f t="shared" si="18"/>
        <v>23691</v>
      </c>
      <c r="AO22" s="56">
        <f t="shared" si="19"/>
        <v>46845</v>
      </c>
      <c r="AP22" s="56"/>
      <c r="AQ22" s="56">
        <f t="shared" si="20"/>
        <v>292754</v>
      </c>
      <c r="AS22" s="56">
        <v>1292.6364363999612</v>
      </c>
      <c r="AT22" s="56">
        <v>137.80994255529023</v>
      </c>
      <c r="AU22" s="56">
        <v>272.49616981142924</v>
      </c>
      <c r="AV22" s="56"/>
      <c r="AW22" s="56">
        <v>1702.9425487666808</v>
      </c>
      <c r="AY22" s="16">
        <v>-2.0820357027551584E-2</v>
      </c>
      <c r="AZ22" s="16">
        <v>2.5896905056555397E-2</v>
      </c>
      <c r="BA22" s="16">
        <v>-2.4909593905055094E-2</v>
      </c>
      <c r="BB22" s="16">
        <f t="shared" si="21"/>
        <v>-1.7860101510323911E-2</v>
      </c>
      <c r="BC22" s="16"/>
      <c r="BE22" s="16">
        <f>AM22/'2016-17 disagg'!AM22-1</f>
        <v>2.0031764392666629E-2</v>
      </c>
      <c r="BF22" s="16">
        <f>AN22/'2016-17 disagg'!AN22-1</f>
        <v>1.839831492068944E-2</v>
      </c>
      <c r="BG22" s="16">
        <f>AO22/'2016-17 disagg'!AO22-1</f>
        <v>4.2227512403497425E-2</v>
      </c>
      <c r="BH22" s="16">
        <f>AQ22/'2016-17 disagg'!AQ22-1</f>
        <v>2.3386375076905885E-2</v>
      </c>
      <c r="BJ22" s="16">
        <f>AS22/'2016-17 disagg'!AS22-1</f>
        <v>1.8141551156375835E-2</v>
      </c>
      <c r="BK22" s="16">
        <f>AT22/'2016-17 disagg'!AT22-1</f>
        <v>1.6511128617402893E-2</v>
      </c>
      <c r="BL22" s="16">
        <f>AU22/'2016-17 disagg'!AU22-1</f>
        <v>4.0296168392515153E-2</v>
      </c>
      <c r="BM22" s="16">
        <f>AW22/'2016-17 disagg'!AW22-1</f>
        <v>2.148994543663707E-2</v>
      </c>
    </row>
    <row r="23" spans="1:65" x14ac:dyDescent="0.2">
      <c r="A23" s="156" t="s">
        <v>91</v>
      </c>
      <c r="B23" s="156" t="s">
        <v>92</v>
      </c>
      <c r="D23" s="56">
        <f>VLOOKUP(A23,'2017-18'!$A$12:$AMX231,32,FALSE)</f>
        <v>336497</v>
      </c>
      <c r="E23" s="56">
        <v>1958.4957865154036</v>
      </c>
      <c r="F23" s="16">
        <f>VLOOKUP(A23,'2017-18'!$A$12:$AMX231,34,FALSE)</f>
        <v>2.3182201032009297E-2</v>
      </c>
      <c r="G23" s="16">
        <f>VLOOKUP(A23,'2017-18'!$A$12:$AMX231,35,FALSE)</f>
        <v>2.3173462123836419E-2</v>
      </c>
      <c r="H23" s="56"/>
      <c r="I23" s="56">
        <v>345265.77966192202</v>
      </c>
      <c r="J23" s="56">
        <v>2009.532253469808</v>
      </c>
      <c r="K23" s="16">
        <f t="shared" si="6"/>
        <v>-2.5397187263991983E-2</v>
      </c>
      <c r="L23" s="58">
        <f t="shared" si="6"/>
        <v>-2.5397187263991983E-2</v>
      </c>
      <c r="M23" s="10"/>
      <c r="N23" s="56">
        <v>255787</v>
      </c>
      <c r="O23" s="56">
        <v>25426</v>
      </c>
      <c r="P23" s="56">
        <v>55284</v>
      </c>
      <c r="R23" s="56">
        <f t="shared" si="7"/>
        <v>55284</v>
      </c>
      <c r="S23" s="56">
        <f t="shared" si="8"/>
        <v>0</v>
      </c>
      <c r="U23" s="16">
        <v>-3.8789738316801436E-2</v>
      </c>
      <c r="V23" s="16">
        <v>-4.2914833866870894E-2</v>
      </c>
      <c r="W23" s="56">
        <f t="shared" si="9"/>
        <v>4</v>
      </c>
      <c r="X23" s="56">
        <f t="shared" si="10"/>
        <v>2661.093105186842</v>
      </c>
      <c r="Y23" s="56">
        <f t="shared" si="10"/>
        <v>265.66078860805663</v>
      </c>
      <c r="AA23" s="56">
        <f t="shared" si="22"/>
        <v>0</v>
      </c>
      <c r="AB23" s="56">
        <v>0</v>
      </c>
      <c r="AC23" s="56">
        <f t="shared" si="11"/>
        <v>0</v>
      </c>
      <c r="AE23" s="56">
        <v>0</v>
      </c>
      <c r="AF23" s="56">
        <f t="shared" si="12"/>
        <v>0</v>
      </c>
      <c r="AG23" s="56">
        <f t="shared" si="13"/>
        <v>0</v>
      </c>
      <c r="AI23" s="56">
        <f t="shared" si="14"/>
        <v>0</v>
      </c>
      <c r="AJ23" s="56">
        <f t="shared" si="15"/>
        <v>0</v>
      </c>
      <c r="AK23" s="56">
        <f t="shared" si="16"/>
        <v>0</v>
      </c>
      <c r="AM23" s="56">
        <f t="shared" si="17"/>
        <v>255787</v>
      </c>
      <c r="AN23" s="56">
        <f t="shared" si="18"/>
        <v>25426</v>
      </c>
      <c r="AO23" s="56">
        <f t="shared" si="19"/>
        <v>55284</v>
      </c>
      <c r="AP23" s="56"/>
      <c r="AQ23" s="56">
        <f t="shared" si="20"/>
        <v>336497</v>
      </c>
      <c r="AS23" s="56">
        <v>1488.7436195431624</v>
      </c>
      <c r="AT23" s="56">
        <v>147.98561017762609</v>
      </c>
      <c r="AU23" s="56">
        <v>321.76655679461498</v>
      </c>
      <c r="AV23" s="56"/>
      <c r="AW23" s="56">
        <v>1958.4957865154036</v>
      </c>
      <c r="AY23" s="16">
        <v>-3.8789738316801436E-2</v>
      </c>
      <c r="AZ23" s="16">
        <v>-4.2914833866870894E-2</v>
      </c>
      <c r="BA23" s="16">
        <v>5.1218667575997801E-2</v>
      </c>
      <c r="BB23" s="16">
        <f t="shared" si="21"/>
        <v>-2.5397187263991983E-2</v>
      </c>
      <c r="BC23" s="16"/>
      <c r="BE23" s="16">
        <f>AM23/'2016-17 disagg'!AM23-1</f>
        <v>2.0030785918233818E-2</v>
      </c>
      <c r="BF23" s="16">
        <f>AN23/'2016-17 disagg'!AN23-1</f>
        <v>1.838426723274722E-2</v>
      </c>
      <c r="BG23" s="16">
        <f>AO23/'2016-17 disagg'!AO23-1</f>
        <v>4.0307101727447225E-2</v>
      </c>
      <c r="BH23" s="16">
        <f>AQ23/'2016-17 disagg'!AQ23-1</f>
        <v>2.3182201032009297E-2</v>
      </c>
      <c r="BJ23" s="16">
        <f>AS23/'2016-17 disagg'!AS23-1</f>
        <v>2.002207392601707E-2</v>
      </c>
      <c r="BK23" s="16">
        <f>AT23/'2016-17 disagg'!AT23-1</f>
        <v>1.8375569303299866E-2</v>
      </c>
      <c r="BL23" s="16">
        <f>AU23/'2016-17 disagg'!AU23-1</f>
        <v>4.0298216557020483E-2</v>
      </c>
      <c r="BM23" s="16">
        <f>AW23/'2016-17 disagg'!AW23-1</f>
        <v>2.3173462123836419E-2</v>
      </c>
    </row>
    <row r="24" spans="1:65" x14ac:dyDescent="0.2">
      <c r="A24" s="156" t="s">
        <v>93</v>
      </c>
      <c r="B24" s="156" t="s">
        <v>94</v>
      </c>
      <c r="D24" s="56">
        <f>VLOOKUP(A24,'2017-18'!$A$12:$AMX232,32,FALSE)</f>
        <v>521973.01226329082</v>
      </c>
      <c r="E24" s="56">
        <v>1710.4404929213874</v>
      </c>
      <c r="F24" s="16">
        <f>VLOOKUP(A24,'2017-18'!$A$12:$AMX232,34,FALSE)</f>
        <v>2.6901513210316752E-2</v>
      </c>
      <c r="G24" s="16">
        <f>VLOOKUP(A24,'2017-18'!$A$12:$AMX232,35,FALSE)</f>
        <v>2.0798873793399508E-2</v>
      </c>
      <c r="H24" s="56"/>
      <c r="I24" s="56">
        <v>536103.74900962214</v>
      </c>
      <c r="J24" s="56">
        <v>1756.745155725574</v>
      </c>
      <c r="K24" s="16">
        <f t="shared" si="6"/>
        <v>-2.6358212887777621E-2</v>
      </c>
      <c r="L24" s="58">
        <f t="shared" si="6"/>
        <v>-2.635821288777751E-2</v>
      </c>
      <c r="M24" s="10"/>
      <c r="N24" s="56">
        <v>395263</v>
      </c>
      <c r="O24" s="56">
        <v>40347</v>
      </c>
      <c r="P24" s="56">
        <v>84956</v>
      </c>
      <c r="R24" s="56">
        <f t="shared" si="7"/>
        <v>84956</v>
      </c>
      <c r="S24" s="56">
        <f t="shared" si="8"/>
        <v>1407.0122632908169</v>
      </c>
      <c r="U24" s="16">
        <v>-4.0837425803224137E-2</v>
      </c>
      <c r="V24" s="16">
        <v>-2.8852713114041806E-2</v>
      </c>
      <c r="W24" s="56">
        <f t="shared" si="9"/>
        <v>4</v>
      </c>
      <c r="X24" s="56">
        <f t="shared" si="10"/>
        <v>4120.9176695723563</v>
      </c>
      <c r="Y24" s="56">
        <f t="shared" si="10"/>
        <v>415.45706346330911</v>
      </c>
      <c r="AA24" s="56">
        <f t="shared" si="22"/>
        <v>0</v>
      </c>
      <c r="AB24" s="56">
        <v>0</v>
      </c>
      <c r="AC24" s="56">
        <f t="shared" si="11"/>
        <v>1407.0122632908169</v>
      </c>
      <c r="AE24" s="56">
        <v>0</v>
      </c>
      <c r="AF24" s="56">
        <f t="shared" si="12"/>
        <v>0</v>
      </c>
      <c r="AG24" s="56">
        <f t="shared" si="13"/>
        <v>1407.0122632908169</v>
      </c>
      <c r="AI24" s="56">
        <f t="shared" si="14"/>
        <v>1278.1531593665486</v>
      </c>
      <c r="AJ24" s="56">
        <f t="shared" si="15"/>
        <v>128.85910392426817</v>
      </c>
      <c r="AK24" s="56">
        <f t="shared" si="16"/>
        <v>0</v>
      </c>
      <c r="AM24" s="56">
        <f t="shared" si="17"/>
        <v>396541</v>
      </c>
      <c r="AN24" s="56">
        <f t="shared" si="18"/>
        <v>40476</v>
      </c>
      <c r="AO24" s="56">
        <f t="shared" si="19"/>
        <v>84956</v>
      </c>
      <c r="AP24" s="56"/>
      <c r="AQ24" s="56">
        <f t="shared" si="20"/>
        <v>521973</v>
      </c>
      <c r="AS24" s="56">
        <v>1299.4154248752916</v>
      </c>
      <c r="AT24" s="56">
        <v>132.63480633087701</v>
      </c>
      <c r="AU24" s="56">
        <v>278.39022152994335</v>
      </c>
      <c r="AV24" s="56"/>
      <c r="AW24" s="56">
        <v>1710.4404527361121</v>
      </c>
      <c r="AY24" s="16">
        <v>-3.7736174813823409E-2</v>
      </c>
      <c r="AZ24" s="16">
        <v>-2.5747699110316824E-2</v>
      </c>
      <c r="BA24" s="16">
        <v>3.0190817672169468E-2</v>
      </c>
      <c r="BB24" s="16">
        <f t="shared" si="21"/>
        <v>-2.6358235762623861E-2</v>
      </c>
      <c r="BC24" s="16"/>
      <c r="BE24" s="16">
        <f>AM24/'2016-17 disagg'!AM24-1</f>
        <v>2.3328972054265762E-2</v>
      </c>
      <c r="BF24" s="16">
        <f>AN24/'2016-17 disagg'!AN24-1</f>
        <v>2.1656822656368258E-2</v>
      </c>
      <c r="BG24" s="16">
        <f>AO24/'2016-17 disagg'!AO24-1</f>
        <v>4.651391968465135E-2</v>
      </c>
      <c r="BH24" s="16">
        <f>AQ24/'2016-17 disagg'!AQ24-1</f>
        <v>2.6901489084180774E-2</v>
      </c>
      <c r="BJ24" s="16">
        <f>AS24/'2016-17 disagg'!AS24-1</f>
        <v>1.72475634274456E-2</v>
      </c>
      <c r="BK24" s="16">
        <f>AT24/'2016-17 disagg'!AT24-1</f>
        <v>1.5585351228680988E-2</v>
      </c>
      <c r="BL24" s="16">
        <f>AU24/'2016-17 disagg'!AU24-1</f>
        <v>4.0294728248605249E-2</v>
      </c>
      <c r="BM24" s="16">
        <f>AW24/'2016-17 disagg'!AW24-1</f>
        <v>2.0798849810639508E-2</v>
      </c>
    </row>
    <row r="25" spans="1:65" x14ac:dyDescent="0.2">
      <c r="A25" s="156" t="s">
        <v>95</v>
      </c>
      <c r="B25" s="156" t="s">
        <v>96</v>
      </c>
      <c r="D25" s="56">
        <f>VLOOKUP(A25,'2017-18'!$A$12:$AMX233,32,FALSE)</f>
        <v>341065.03855936736</v>
      </c>
      <c r="E25" s="56">
        <v>1690.066314555007</v>
      </c>
      <c r="F25" s="16">
        <f>VLOOKUP(A25,'2017-18'!$A$12:$AMX233,34,FALSE)</f>
        <v>2.4705531631727284E-2</v>
      </c>
      <c r="G25" s="16">
        <f>VLOOKUP(A25,'2017-18'!$A$12:$AMX233,35,FALSE)</f>
        <v>1.9189774642938362E-2</v>
      </c>
      <c r="H25" s="56"/>
      <c r="I25" s="56">
        <v>348162.53657597658</v>
      </c>
      <c r="J25" s="56">
        <v>1725.2362703093677</v>
      </c>
      <c r="K25" s="16">
        <f t="shared" si="6"/>
        <v>-2.0385587968222985E-2</v>
      </c>
      <c r="L25" s="58">
        <f t="shared" si="6"/>
        <v>-2.0385587968223096E-2</v>
      </c>
      <c r="M25" s="10"/>
      <c r="N25" s="56">
        <v>251130</v>
      </c>
      <c r="O25" s="56">
        <v>25994</v>
      </c>
      <c r="P25" s="56">
        <v>63926</v>
      </c>
      <c r="R25" s="56">
        <f t="shared" si="7"/>
        <v>63926</v>
      </c>
      <c r="S25" s="56">
        <f t="shared" si="8"/>
        <v>15.038559367356356</v>
      </c>
      <c r="U25" s="16">
        <v>-4.3687992784067431E-2</v>
      </c>
      <c r="V25" s="16">
        <v>-8.1248951628434263E-3</v>
      </c>
      <c r="W25" s="56">
        <f t="shared" si="9"/>
        <v>4</v>
      </c>
      <c r="X25" s="56">
        <f t="shared" si="10"/>
        <v>2626.0257960276299</v>
      </c>
      <c r="Y25" s="56">
        <f t="shared" si="10"/>
        <v>262.06928546984381</v>
      </c>
      <c r="AA25" s="56">
        <f t="shared" si="22"/>
        <v>0</v>
      </c>
      <c r="AB25" s="56">
        <v>0</v>
      </c>
      <c r="AC25" s="56">
        <f t="shared" si="11"/>
        <v>15.038559367356356</v>
      </c>
      <c r="AE25" s="56">
        <v>0</v>
      </c>
      <c r="AF25" s="56">
        <f t="shared" si="12"/>
        <v>0</v>
      </c>
      <c r="AG25" s="56">
        <f t="shared" si="13"/>
        <v>15.038559367356356</v>
      </c>
      <c r="AI25" s="56">
        <f t="shared" si="14"/>
        <v>13.673942068865122</v>
      </c>
      <c r="AJ25" s="56">
        <f t="shared" si="15"/>
        <v>1.3646172984912355</v>
      </c>
      <c r="AK25" s="56">
        <f t="shared" si="16"/>
        <v>0</v>
      </c>
      <c r="AM25" s="56">
        <f t="shared" si="17"/>
        <v>251144</v>
      </c>
      <c r="AN25" s="56">
        <f t="shared" si="18"/>
        <v>25995</v>
      </c>
      <c r="AO25" s="56">
        <f t="shared" si="19"/>
        <v>63926</v>
      </c>
      <c r="AP25" s="56"/>
      <c r="AQ25" s="56">
        <f t="shared" si="20"/>
        <v>341065</v>
      </c>
      <c r="AS25" s="56">
        <v>1244.4840910562018</v>
      </c>
      <c r="AT25" s="56">
        <v>128.8120120210157</v>
      </c>
      <c r="AU25" s="56">
        <v>316.77002040605691</v>
      </c>
      <c r="AV25" s="56"/>
      <c r="AW25" s="56">
        <v>1690.0661234832744</v>
      </c>
      <c r="AY25" s="16">
        <v>-4.3634680284162841E-2</v>
      </c>
      <c r="AZ25" s="16">
        <v>-8.0867373146924493E-3</v>
      </c>
      <c r="BA25" s="16">
        <v>7.7046979657569015E-2</v>
      </c>
      <c r="BB25" s="16">
        <f t="shared" si="21"/>
        <v>-2.0385698719275425E-2</v>
      </c>
      <c r="BC25" s="16"/>
      <c r="BE25" s="16">
        <f>AM25/'2016-17 disagg'!AM25-1</f>
        <v>2.0085378088456896E-2</v>
      </c>
      <c r="BF25" s="16">
        <f>AN25/'2016-17 disagg'!AN25-1</f>
        <v>1.8453220498354517E-2</v>
      </c>
      <c r="BG25" s="16">
        <f>AO25/'2016-17 disagg'!AO25-1</f>
        <v>4.5926798540552038E-2</v>
      </c>
      <c r="BH25" s="16">
        <f>AQ25/'2016-17 disagg'!AQ25-1</f>
        <v>2.4705415782863893E-2</v>
      </c>
      <c r="BJ25" s="16">
        <f>AS25/'2016-17 disagg'!AS25-1</f>
        <v>1.4594490336155008E-2</v>
      </c>
      <c r="BK25" s="16">
        <f>AT25/'2016-17 disagg'!AT25-1</f>
        <v>1.2971118279414551E-2</v>
      </c>
      <c r="BL25" s="16">
        <f>AU25/'2016-17 disagg'!AU25-1</f>
        <v>4.0296812295015805E-2</v>
      </c>
      <c r="BM25" s="16">
        <f>AW25/'2016-17 disagg'!AW25-1</f>
        <v>1.9189659417663263E-2</v>
      </c>
    </row>
    <row r="26" spans="1:65" x14ac:dyDescent="0.2">
      <c r="A26" s="156" t="s">
        <v>97</v>
      </c>
      <c r="B26" s="156" t="s">
        <v>98</v>
      </c>
      <c r="D26" s="56">
        <f>VLOOKUP(A26,'2017-18'!$A$12:$AMX234,32,FALSE)</f>
        <v>393014</v>
      </c>
      <c r="E26" s="56">
        <v>1725.3292416913998</v>
      </c>
      <c r="F26" s="16">
        <f>VLOOKUP(A26,'2017-18'!$A$12:$AMX234,34,FALSE)</f>
        <v>3.2869303324248866E-2</v>
      </c>
      <c r="G26" s="16">
        <f>VLOOKUP(A26,'2017-18'!$A$12:$AMX234,35,FALSE)</f>
        <v>2.6280144068677957E-2</v>
      </c>
      <c r="H26" s="56"/>
      <c r="I26" s="56">
        <v>399441.44220624946</v>
      </c>
      <c r="J26" s="56">
        <v>1753.5456766981013</v>
      </c>
      <c r="K26" s="16">
        <f t="shared" si="6"/>
        <v>-1.6091075004006972E-2</v>
      </c>
      <c r="L26" s="58">
        <f t="shared" si="6"/>
        <v>-1.6091075004007083E-2</v>
      </c>
      <c r="M26" s="10"/>
      <c r="N26" s="56">
        <v>259552</v>
      </c>
      <c r="O26" s="56">
        <v>31319</v>
      </c>
      <c r="P26" s="56">
        <v>102143</v>
      </c>
      <c r="R26" s="56">
        <f t="shared" si="7"/>
        <v>102143</v>
      </c>
      <c r="S26" s="56">
        <f t="shared" si="8"/>
        <v>0</v>
      </c>
      <c r="U26" s="16">
        <v>-4.4443049167689153E-2</v>
      </c>
      <c r="V26" s="16">
        <v>-5.630345256468805E-2</v>
      </c>
      <c r="W26" s="56">
        <f t="shared" si="9"/>
        <v>4</v>
      </c>
      <c r="X26" s="56">
        <f t="shared" si="10"/>
        <v>2716.2378942869345</v>
      </c>
      <c r="Y26" s="56">
        <f t="shared" si="10"/>
        <v>331.87575058016029</v>
      </c>
      <c r="AA26" s="56">
        <f t="shared" si="22"/>
        <v>0</v>
      </c>
      <c r="AB26" s="56">
        <v>0</v>
      </c>
      <c r="AC26" s="56">
        <f t="shared" si="11"/>
        <v>0</v>
      </c>
      <c r="AE26" s="56">
        <v>0</v>
      </c>
      <c r="AF26" s="56">
        <f t="shared" si="12"/>
        <v>0</v>
      </c>
      <c r="AG26" s="56">
        <f t="shared" si="13"/>
        <v>0</v>
      </c>
      <c r="AI26" s="56">
        <f t="shared" si="14"/>
        <v>0</v>
      </c>
      <c r="AJ26" s="56">
        <f t="shared" si="15"/>
        <v>0</v>
      </c>
      <c r="AK26" s="56">
        <f t="shared" si="16"/>
        <v>0</v>
      </c>
      <c r="AM26" s="56">
        <f t="shared" si="17"/>
        <v>259552</v>
      </c>
      <c r="AN26" s="56">
        <f t="shared" si="18"/>
        <v>31319</v>
      </c>
      <c r="AO26" s="56">
        <f t="shared" si="19"/>
        <v>102143</v>
      </c>
      <c r="AP26" s="56"/>
      <c r="AQ26" s="56">
        <f t="shared" si="20"/>
        <v>393014</v>
      </c>
      <c r="AS26" s="56">
        <v>1139.4318149976496</v>
      </c>
      <c r="AT26" s="56">
        <v>137.49023322460002</v>
      </c>
      <c r="AU26" s="56">
        <v>448.40719346915034</v>
      </c>
      <c r="AV26" s="56"/>
      <c r="AW26" s="56">
        <v>1725.3292416913998</v>
      </c>
      <c r="AY26" s="16">
        <v>-4.4443049167689153E-2</v>
      </c>
      <c r="AZ26" s="16">
        <v>-5.630345256468805E-2</v>
      </c>
      <c r="BA26" s="16">
        <v>7.9392540527405409E-2</v>
      </c>
      <c r="BB26" s="16">
        <f t="shared" si="21"/>
        <v>-1.6091075004006972E-2</v>
      </c>
      <c r="BC26" s="16"/>
      <c r="BE26" s="16">
        <f>AM26/'2016-17 disagg'!AM26-1</f>
        <v>2.0031046746969094E-2</v>
      </c>
      <c r="BF26" s="16">
        <f>AN26/'2016-17 disagg'!AN26-1</f>
        <v>9.922083391829295E-2</v>
      </c>
      <c r="BG26" s="16">
        <f>AO26/'2016-17 disagg'!AO26-1</f>
        <v>4.697621976219768E-2</v>
      </c>
      <c r="BH26" s="16">
        <f>AQ26/'2016-17 disagg'!AQ26-1</f>
        <v>3.2869303324248866E-2</v>
      </c>
      <c r="BJ26" s="16">
        <f>AS26/'2016-17 disagg'!AS26-1</f>
        <v>1.3523788770562151E-2</v>
      </c>
      <c r="BK26" s="16">
        <f>AT26/'2016-17 disagg'!AT26-1</f>
        <v>9.2208387030368044E-2</v>
      </c>
      <c r="BL26" s="16">
        <f>AU26/'2016-17 disagg'!AU26-1</f>
        <v>4.029706584930115E-2</v>
      </c>
      <c r="BM26" s="16">
        <f>AW26/'2016-17 disagg'!AW26-1</f>
        <v>2.6280144068677957E-2</v>
      </c>
    </row>
    <row r="27" spans="1:65" x14ac:dyDescent="0.2">
      <c r="A27" s="156" t="s">
        <v>99</v>
      </c>
      <c r="B27" s="156" t="s">
        <v>100</v>
      </c>
      <c r="D27" s="56">
        <f>VLOOKUP(A27,'2017-18'!$A$12:$AMX235,32,FALSE)</f>
        <v>306400</v>
      </c>
      <c r="E27" s="56">
        <v>1689.4324015509453</v>
      </c>
      <c r="F27" s="16">
        <f>VLOOKUP(A27,'2017-18'!$A$12:$AMX235,34,FALSE)</f>
        <v>2.6269690544854063E-2</v>
      </c>
      <c r="G27" s="16">
        <f>VLOOKUP(A27,'2017-18'!$A$12:$AMX235,35,FALSE)</f>
        <v>1.9560581288883494E-2</v>
      </c>
      <c r="H27" s="56"/>
      <c r="I27" s="56">
        <v>299698.19037817838</v>
      </c>
      <c r="J27" s="56">
        <v>1652.4798743834147</v>
      </c>
      <c r="K27" s="16">
        <f t="shared" si="6"/>
        <v>2.2361862156607737E-2</v>
      </c>
      <c r="L27" s="58">
        <f t="shared" si="6"/>
        <v>2.2361862156607959E-2</v>
      </c>
      <c r="M27" s="10"/>
      <c r="N27" s="56">
        <v>237076</v>
      </c>
      <c r="O27" s="56">
        <v>21215</v>
      </c>
      <c r="P27" s="56">
        <v>48109</v>
      </c>
      <c r="R27" s="56">
        <f t="shared" si="7"/>
        <v>48109</v>
      </c>
      <c r="S27" s="56">
        <f t="shared" si="8"/>
        <v>0</v>
      </c>
      <c r="U27" s="16">
        <v>2.9931535877455229E-2</v>
      </c>
      <c r="V27" s="16">
        <v>-4.914156061699404E-2</v>
      </c>
      <c r="W27" s="56">
        <f t="shared" si="9"/>
        <v>3</v>
      </c>
      <c r="X27" s="56">
        <f t="shared" si="10"/>
        <v>2301.861742664496</v>
      </c>
      <c r="Y27" s="56">
        <f t="shared" si="10"/>
        <v>223.11417894935036</v>
      </c>
      <c r="AA27" s="56">
        <f t="shared" si="22"/>
        <v>0</v>
      </c>
      <c r="AB27" s="56">
        <v>0</v>
      </c>
      <c r="AC27" s="56">
        <f t="shared" si="11"/>
        <v>0</v>
      </c>
      <c r="AE27" s="56">
        <v>0</v>
      </c>
      <c r="AF27" s="56">
        <f t="shared" si="12"/>
        <v>0</v>
      </c>
      <c r="AG27" s="56">
        <f t="shared" si="13"/>
        <v>0</v>
      </c>
      <c r="AI27" s="56">
        <f t="shared" si="14"/>
        <v>0</v>
      </c>
      <c r="AJ27" s="56">
        <f t="shared" si="15"/>
        <v>0</v>
      </c>
      <c r="AK27" s="56">
        <f t="shared" si="16"/>
        <v>0</v>
      </c>
      <c r="AM27" s="56">
        <f t="shared" si="17"/>
        <v>237076</v>
      </c>
      <c r="AN27" s="56">
        <f t="shared" si="18"/>
        <v>21215</v>
      </c>
      <c r="AO27" s="56">
        <f t="shared" si="19"/>
        <v>48109</v>
      </c>
      <c r="AP27" s="56"/>
      <c r="AQ27" s="56">
        <f t="shared" si="20"/>
        <v>306400</v>
      </c>
      <c r="AS27" s="56">
        <v>1307.192806886723</v>
      </c>
      <c r="AT27" s="56">
        <v>116.97554960477579</v>
      </c>
      <c r="AU27" s="56">
        <v>265.26404505944657</v>
      </c>
      <c r="AV27" s="56"/>
      <c r="AW27" s="56">
        <v>1689.4324015509453</v>
      </c>
      <c r="AY27" s="16">
        <v>2.9931535877455229E-2</v>
      </c>
      <c r="AZ27" s="16">
        <v>-4.914156061699404E-2</v>
      </c>
      <c r="BA27" s="16">
        <v>1.9245556571844791E-2</v>
      </c>
      <c r="BB27" s="16">
        <f t="shared" si="21"/>
        <v>2.2361862156607737E-2</v>
      </c>
      <c r="BC27" s="16"/>
      <c r="BE27" s="16">
        <f>AM27/'2016-17 disagg'!AM27-1</f>
        <v>2.0028310694816698E-2</v>
      </c>
      <c r="BF27" s="16">
        <f>AN27/'2016-17 disagg'!AN27-1</f>
        <v>5.0611598078541986E-2</v>
      </c>
      <c r="BG27" s="16">
        <f>AO27/'2016-17 disagg'!AO27-1</f>
        <v>4.7145375791741939E-2</v>
      </c>
      <c r="BH27" s="16">
        <f>AQ27/'2016-17 disagg'!AQ27-1</f>
        <v>2.6269690544854063E-2</v>
      </c>
      <c r="BJ27" s="16">
        <f>AS27/'2016-17 disagg'!AS27-1</f>
        <v>1.3360003676023968E-2</v>
      </c>
      <c r="BK27" s="16">
        <f>AT27/'2016-17 disagg'!AT27-1</f>
        <v>4.3743356658144439E-2</v>
      </c>
      <c r="BL27" s="16">
        <f>AU27/'2016-17 disagg'!AU27-1</f>
        <v>4.0299794364367481E-2</v>
      </c>
      <c r="BM27" s="16">
        <f>AW27/'2016-17 disagg'!AW27-1</f>
        <v>1.9560581288883494E-2</v>
      </c>
    </row>
    <row r="28" spans="1:65" x14ac:dyDescent="0.2">
      <c r="A28" s="156" t="s">
        <v>101</v>
      </c>
      <c r="B28" s="156" t="s">
        <v>102</v>
      </c>
      <c r="D28" s="56">
        <f>VLOOKUP(A28,'2017-18'!$A$12:$AMX236,32,FALSE)</f>
        <v>931745</v>
      </c>
      <c r="E28" s="56">
        <v>1786.2656408718401</v>
      </c>
      <c r="F28" s="16">
        <f>VLOOKUP(A28,'2017-18'!$A$12:$AMX236,34,FALSE)</f>
        <v>2.1985278068138658E-2</v>
      </c>
      <c r="G28" s="16">
        <f>VLOOKUP(A28,'2017-18'!$A$12:$AMX236,35,FALSE)</f>
        <v>2.1999292192547371E-2</v>
      </c>
      <c r="H28" s="56"/>
      <c r="I28" s="56">
        <v>903924.11918872898</v>
      </c>
      <c r="J28" s="56">
        <v>1732.92971366862</v>
      </c>
      <c r="K28" s="16">
        <f t="shared" si="6"/>
        <v>3.0777894096066571E-2</v>
      </c>
      <c r="L28" s="58">
        <f t="shared" si="6"/>
        <v>3.0777894096066793E-2</v>
      </c>
      <c r="M28" s="10"/>
      <c r="N28" s="56">
        <v>733623</v>
      </c>
      <c r="O28" s="56">
        <v>73129</v>
      </c>
      <c r="P28" s="56">
        <v>124993</v>
      </c>
      <c r="R28" s="56">
        <f t="shared" si="7"/>
        <v>124993</v>
      </c>
      <c r="S28" s="56">
        <f t="shared" si="8"/>
        <v>0</v>
      </c>
      <c r="U28" s="16">
        <v>2.6378324355487148E-2</v>
      </c>
      <c r="V28" s="16">
        <v>7.1524877783959218E-2</v>
      </c>
      <c r="W28" s="56">
        <f t="shared" si="9"/>
        <v>2</v>
      </c>
      <c r="X28" s="56">
        <f t="shared" si="10"/>
        <v>7147.6860197790866</v>
      </c>
      <c r="Y28" s="56">
        <f t="shared" si="10"/>
        <v>682.47598834326141</v>
      </c>
      <c r="AA28" s="56">
        <f t="shared" si="22"/>
        <v>0</v>
      </c>
      <c r="AB28" s="56">
        <v>0</v>
      </c>
      <c r="AC28" s="56">
        <f t="shared" si="11"/>
        <v>0</v>
      </c>
      <c r="AE28" s="56">
        <v>0</v>
      </c>
      <c r="AF28" s="56">
        <f t="shared" si="12"/>
        <v>0</v>
      </c>
      <c r="AG28" s="56">
        <f t="shared" si="13"/>
        <v>0</v>
      </c>
      <c r="AI28" s="56">
        <f t="shared" si="14"/>
        <v>0</v>
      </c>
      <c r="AJ28" s="56">
        <f t="shared" si="15"/>
        <v>0</v>
      </c>
      <c r="AK28" s="56">
        <f t="shared" si="16"/>
        <v>0</v>
      </c>
      <c r="AM28" s="56">
        <f t="shared" si="17"/>
        <v>733623</v>
      </c>
      <c r="AN28" s="56">
        <f t="shared" si="18"/>
        <v>73129</v>
      </c>
      <c r="AO28" s="56">
        <f t="shared" si="19"/>
        <v>124993</v>
      </c>
      <c r="AP28" s="56"/>
      <c r="AQ28" s="56">
        <f t="shared" si="20"/>
        <v>931745</v>
      </c>
      <c r="AS28" s="56">
        <v>1406.4422757871757</v>
      </c>
      <c r="AT28" s="56">
        <v>140.19696381662021</v>
      </c>
      <c r="AU28" s="56">
        <v>239.62640126804428</v>
      </c>
      <c r="AV28" s="56"/>
      <c r="AW28" s="56">
        <v>1786.2656408718401</v>
      </c>
      <c r="AY28" s="16">
        <v>2.6378324355487148E-2</v>
      </c>
      <c r="AZ28" s="16">
        <v>7.1524877783959218E-2</v>
      </c>
      <c r="BA28" s="16">
        <v>3.3786717018692958E-2</v>
      </c>
      <c r="BB28" s="16">
        <f t="shared" si="21"/>
        <v>3.0777894096066571E-2</v>
      </c>
      <c r="BC28" s="16"/>
      <c r="BE28" s="16">
        <f>AM28/'2016-17 disagg'!AM28-1</f>
        <v>2.0030116084575278E-2</v>
      </c>
      <c r="BF28" s="16">
        <f>AN28/'2016-17 disagg'!AN28-1</f>
        <v>1.1032613955288983E-2</v>
      </c>
      <c r="BG28" s="16">
        <f>AO28/'2016-17 disagg'!AO28-1</f>
        <v>4.0281973816717054E-2</v>
      </c>
      <c r="BH28" s="16">
        <f>AQ28/'2016-17 disagg'!AQ28-1</f>
        <v>2.1985278068138658E-2</v>
      </c>
      <c r="BJ28" s="16">
        <f>AS28/'2016-17 disagg'!AS28-1</f>
        <v>2.0044103398536128E-2</v>
      </c>
      <c r="BK28" s="16">
        <f>AT28/'2016-17 disagg'!AT28-1</f>
        <v>1.1046477889669726E-2</v>
      </c>
      <c r="BL28" s="16">
        <f>AU28/'2016-17 disagg'!AU28-1</f>
        <v>4.0296238837274734E-2</v>
      </c>
      <c r="BM28" s="16">
        <f>AW28/'2016-17 disagg'!AW28-1</f>
        <v>2.1999292192547371E-2</v>
      </c>
    </row>
    <row r="29" spans="1:65" x14ac:dyDescent="0.2">
      <c r="A29" s="156" t="s">
        <v>103</v>
      </c>
      <c r="B29" s="156" t="s">
        <v>104</v>
      </c>
      <c r="D29" s="56">
        <f>VLOOKUP(A29,'2017-18'!$A$12:$AMX237,32,FALSE)</f>
        <v>691935</v>
      </c>
      <c r="E29" s="56">
        <v>1841.1102681840307</v>
      </c>
      <c r="F29" s="16">
        <f>VLOOKUP(A29,'2017-18'!$A$12:$AMX237,34,FALSE)</f>
        <v>2.3245531013758924E-2</v>
      </c>
      <c r="G29" s="16">
        <f>VLOOKUP(A29,'2017-18'!$A$12:$AMX237,35,FALSE)</f>
        <v>2.1094626565641983E-2</v>
      </c>
      <c r="H29" s="56"/>
      <c r="I29" s="56">
        <v>672604.31148922385</v>
      </c>
      <c r="J29" s="56">
        <v>1789.6749034340801</v>
      </c>
      <c r="K29" s="16">
        <f t="shared" si="6"/>
        <v>2.8740060360266995E-2</v>
      </c>
      <c r="L29" s="58">
        <f t="shared" si="6"/>
        <v>2.8740060360266995E-2</v>
      </c>
      <c r="M29" s="10"/>
      <c r="N29" s="56">
        <v>537737</v>
      </c>
      <c r="O29" s="56">
        <v>49591</v>
      </c>
      <c r="P29" s="56">
        <v>104607</v>
      </c>
      <c r="R29" s="56">
        <f t="shared" si="7"/>
        <v>104607</v>
      </c>
      <c r="S29" s="56">
        <f t="shared" si="8"/>
        <v>0</v>
      </c>
      <c r="U29" s="16">
        <v>4.1914053668596907E-2</v>
      </c>
      <c r="V29" s="16">
        <v>-5.6339319440795732E-3</v>
      </c>
      <c r="W29" s="56">
        <f t="shared" si="9"/>
        <v>3</v>
      </c>
      <c r="X29" s="56">
        <f t="shared" si="10"/>
        <v>5161.0494945011924</v>
      </c>
      <c r="Y29" s="56">
        <f t="shared" si="10"/>
        <v>498.71975314840631</v>
      </c>
      <c r="AA29" s="56">
        <f t="shared" si="22"/>
        <v>0</v>
      </c>
      <c r="AB29" s="56">
        <v>0</v>
      </c>
      <c r="AC29" s="56">
        <f t="shared" si="11"/>
        <v>0</v>
      </c>
      <c r="AE29" s="56">
        <v>0</v>
      </c>
      <c r="AF29" s="56">
        <f t="shared" si="12"/>
        <v>0</v>
      </c>
      <c r="AG29" s="56">
        <f t="shared" si="13"/>
        <v>0</v>
      </c>
      <c r="AI29" s="56">
        <f t="shared" si="14"/>
        <v>0</v>
      </c>
      <c r="AJ29" s="56">
        <f t="shared" si="15"/>
        <v>0</v>
      </c>
      <c r="AK29" s="56">
        <f t="shared" si="16"/>
        <v>0</v>
      </c>
      <c r="AM29" s="56">
        <f t="shared" si="17"/>
        <v>537737</v>
      </c>
      <c r="AN29" s="56">
        <f t="shared" si="18"/>
        <v>49591</v>
      </c>
      <c r="AO29" s="56">
        <f t="shared" si="19"/>
        <v>104607</v>
      </c>
      <c r="AP29" s="56"/>
      <c r="AQ29" s="56">
        <f t="shared" si="20"/>
        <v>691935</v>
      </c>
      <c r="AS29" s="56">
        <v>1430.8180859220536</v>
      </c>
      <c r="AT29" s="56">
        <v>131.95242227884739</v>
      </c>
      <c r="AU29" s="56">
        <v>278.33975998312974</v>
      </c>
      <c r="AV29" s="56"/>
      <c r="AW29" s="56">
        <v>1841.1102681840307</v>
      </c>
      <c r="AY29" s="16">
        <v>4.1914053668596907E-2</v>
      </c>
      <c r="AZ29" s="16">
        <v>-5.6339319440795732E-3</v>
      </c>
      <c r="BA29" s="16">
        <v>-1.8948103168735186E-2</v>
      </c>
      <c r="BB29" s="16">
        <f t="shared" si="21"/>
        <v>2.8740060360266995E-2</v>
      </c>
      <c r="BC29" s="16"/>
      <c r="BE29" s="16">
        <f>AM29/'2016-17 disagg'!AM29-1</f>
        <v>2.0029288020364966E-2</v>
      </c>
      <c r="BF29" s="16">
        <f>AN29/'2016-17 disagg'!AN29-1</f>
        <v>1.840024643187177E-2</v>
      </c>
      <c r="BG29" s="16">
        <f>AO29/'2016-17 disagg'!AO29-1</f>
        <v>4.2494244740539866E-2</v>
      </c>
      <c r="BH29" s="16">
        <f>AQ29/'2016-17 disagg'!AQ29-1</f>
        <v>2.3245531013758924E-2</v>
      </c>
      <c r="BJ29" s="16">
        <f>AS29/'2016-17 disagg'!AS29-1</f>
        <v>1.7885144248108498E-2</v>
      </c>
      <c r="BK29" s="16">
        <f>AT29/'2016-17 disagg'!AT29-1</f>
        <v>1.6259526972444149E-2</v>
      </c>
      <c r="BL29" s="16">
        <f>AU29/'2016-17 disagg'!AU29-1</f>
        <v>4.0302878699657096E-2</v>
      </c>
      <c r="BM29" s="16">
        <f>AW29/'2016-17 disagg'!AW29-1</f>
        <v>2.1094626565641983E-2</v>
      </c>
    </row>
    <row r="30" spans="1:65" x14ac:dyDescent="0.2">
      <c r="A30" s="156" t="s">
        <v>105</v>
      </c>
      <c r="B30" s="156" t="s">
        <v>106</v>
      </c>
      <c r="D30" s="56">
        <f>VLOOKUP(A30,'2017-18'!$A$12:$AMX238,32,FALSE)</f>
        <v>337003</v>
      </c>
      <c r="E30" s="56">
        <v>1619.7467046327197</v>
      </c>
      <c r="F30" s="16">
        <f>VLOOKUP(A30,'2017-18'!$A$12:$AMX238,34,FALSE)</f>
        <v>2.4356363415301452E-2</v>
      </c>
      <c r="G30" s="16">
        <f>VLOOKUP(A30,'2017-18'!$A$12:$AMX238,35,FALSE)</f>
        <v>1.9700112583818319E-2</v>
      </c>
      <c r="H30" s="56"/>
      <c r="I30" s="56">
        <v>335932.00232254737</v>
      </c>
      <c r="J30" s="56">
        <v>1614.5991393032621</v>
      </c>
      <c r="K30" s="16">
        <f t="shared" si="6"/>
        <v>3.1881382840814876E-3</v>
      </c>
      <c r="L30" s="58">
        <f t="shared" si="6"/>
        <v>3.1881382840814876E-3</v>
      </c>
      <c r="M30" s="10"/>
      <c r="N30" s="56">
        <v>249747</v>
      </c>
      <c r="O30" s="56">
        <v>26034</v>
      </c>
      <c r="P30" s="56">
        <v>61222</v>
      </c>
      <c r="R30" s="56">
        <f t="shared" si="7"/>
        <v>61222</v>
      </c>
      <c r="S30" s="56">
        <f t="shared" si="8"/>
        <v>0</v>
      </c>
      <c r="U30" s="16">
        <v>-3.3124842213870354E-2</v>
      </c>
      <c r="V30" s="16">
        <v>1.7871464630889733E-2</v>
      </c>
      <c r="W30" s="56">
        <f t="shared" si="9"/>
        <v>1</v>
      </c>
      <c r="X30" s="56">
        <f t="shared" si="10"/>
        <v>2583.0325455030816</v>
      </c>
      <c r="Y30" s="56">
        <f t="shared" si="10"/>
        <v>255.76903277704812</v>
      </c>
      <c r="AA30" s="56">
        <f t="shared" si="22"/>
        <v>0</v>
      </c>
      <c r="AB30" s="56">
        <v>0</v>
      </c>
      <c r="AC30" s="56">
        <f t="shared" si="11"/>
        <v>0</v>
      </c>
      <c r="AE30" s="56">
        <v>0</v>
      </c>
      <c r="AF30" s="56">
        <f t="shared" si="12"/>
        <v>0</v>
      </c>
      <c r="AG30" s="56">
        <f t="shared" si="13"/>
        <v>0</v>
      </c>
      <c r="AI30" s="56">
        <f t="shared" si="14"/>
        <v>0</v>
      </c>
      <c r="AJ30" s="56">
        <f t="shared" si="15"/>
        <v>0</v>
      </c>
      <c r="AK30" s="56">
        <f t="shared" si="16"/>
        <v>0</v>
      </c>
      <c r="AM30" s="56">
        <f t="shared" si="17"/>
        <v>249747</v>
      </c>
      <c r="AN30" s="56">
        <f t="shared" si="18"/>
        <v>26034</v>
      </c>
      <c r="AO30" s="56">
        <f t="shared" si="19"/>
        <v>61222</v>
      </c>
      <c r="AP30" s="56"/>
      <c r="AQ30" s="56">
        <f t="shared" si="20"/>
        <v>337003</v>
      </c>
      <c r="AS30" s="56">
        <v>1200.3658134850664</v>
      </c>
      <c r="AT30" s="56">
        <v>125.12792381197859</v>
      </c>
      <c r="AU30" s="56">
        <v>294.25296733567461</v>
      </c>
      <c r="AV30" s="56"/>
      <c r="AW30" s="56">
        <v>1619.7467046327197</v>
      </c>
      <c r="AY30" s="16">
        <v>-3.3124842213870354E-2</v>
      </c>
      <c r="AZ30" s="16">
        <v>1.7871464630889733E-2</v>
      </c>
      <c r="BA30" s="16">
        <v>0.17617349768322765</v>
      </c>
      <c r="BB30" s="16">
        <f t="shared" si="21"/>
        <v>3.1881382840814876E-3</v>
      </c>
      <c r="BC30" s="16"/>
      <c r="BE30" s="16">
        <f>AM30/'2016-17 disagg'!AM30-1</f>
        <v>2.0029161544336649E-2</v>
      </c>
      <c r="BF30" s="16">
        <f>AN30/'2016-17 disagg'!AN30-1</f>
        <v>1.838522922860264E-2</v>
      </c>
      <c r="BG30" s="16">
        <f>AO30/'2016-17 disagg'!AO30-1</f>
        <v>4.5047197992591714E-2</v>
      </c>
      <c r="BH30" s="16">
        <f>AQ30/'2016-17 disagg'!AQ30-1</f>
        <v>2.4356363415301452E-2</v>
      </c>
      <c r="BJ30" s="16">
        <f>AS30/'2016-17 disagg'!AS30-1</f>
        <v>1.5392580173628323E-2</v>
      </c>
      <c r="BK30" s="16">
        <f>AT30/'2016-17 disagg'!AT30-1</f>
        <v>1.3756120414794903E-2</v>
      </c>
      <c r="BL30" s="16">
        <f>AU30/'2016-17 disagg'!AU30-1</f>
        <v>4.0296896185153752E-2</v>
      </c>
      <c r="BM30" s="16">
        <f>AW30/'2016-17 disagg'!AW30-1</f>
        <v>1.9700112583818319E-2</v>
      </c>
    </row>
    <row r="31" spans="1:65" x14ac:dyDescent="0.2">
      <c r="A31" s="156" t="s">
        <v>107</v>
      </c>
      <c r="B31" s="156" t="s">
        <v>108</v>
      </c>
      <c r="D31" s="56">
        <f>VLOOKUP(A31,'2017-18'!$A$12:$AMX239,32,FALSE)</f>
        <v>280850</v>
      </c>
      <c r="E31" s="56">
        <v>1848.3145709073433</v>
      </c>
      <c r="F31" s="16">
        <f>VLOOKUP(A31,'2017-18'!$A$12:$AMX239,34,FALSE)</f>
        <v>2.3062155989203026E-2</v>
      </c>
      <c r="G31" s="16">
        <f>VLOOKUP(A31,'2017-18'!$A$12:$AMX239,35,FALSE)</f>
        <v>1.9494140571534313E-2</v>
      </c>
      <c r="H31" s="56"/>
      <c r="I31" s="56">
        <v>272527.90871467243</v>
      </c>
      <c r="J31" s="56">
        <v>1793.5456815247835</v>
      </c>
      <c r="K31" s="16">
        <f t="shared" si="6"/>
        <v>3.0536657051298599E-2</v>
      </c>
      <c r="L31" s="58">
        <f t="shared" si="6"/>
        <v>3.0536657051298599E-2</v>
      </c>
      <c r="M31" s="10"/>
      <c r="N31" s="56">
        <v>218203</v>
      </c>
      <c r="O31" s="56">
        <v>21328</v>
      </c>
      <c r="P31" s="56">
        <v>41319</v>
      </c>
      <c r="R31" s="56">
        <f t="shared" si="7"/>
        <v>41319</v>
      </c>
      <c r="S31" s="56">
        <f t="shared" si="8"/>
        <v>0</v>
      </c>
      <c r="U31" s="16">
        <v>1.7018353168262834E-2</v>
      </c>
      <c r="V31" s="16">
        <v>5.4419498441656389E-2</v>
      </c>
      <c r="W31" s="56">
        <f t="shared" si="9"/>
        <v>2</v>
      </c>
      <c r="X31" s="56">
        <f t="shared" si="10"/>
        <v>2145.5168367438391</v>
      </c>
      <c r="Y31" s="56">
        <f t="shared" si="10"/>
        <v>202.27243551092329</v>
      </c>
      <c r="AA31" s="56">
        <f t="shared" si="22"/>
        <v>0</v>
      </c>
      <c r="AB31" s="56">
        <v>0</v>
      </c>
      <c r="AC31" s="56">
        <f t="shared" si="11"/>
        <v>0</v>
      </c>
      <c r="AE31" s="56">
        <v>0</v>
      </c>
      <c r="AF31" s="56">
        <f t="shared" si="12"/>
        <v>0</v>
      </c>
      <c r="AG31" s="56">
        <f t="shared" si="13"/>
        <v>0</v>
      </c>
      <c r="AI31" s="56">
        <f t="shared" si="14"/>
        <v>0</v>
      </c>
      <c r="AJ31" s="56">
        <f t="shared" si="15"/>
        <v>0</v>
      </c>
      <c r="AK31" s="56">
        <f t="shared" si="16"/>
        <v>0</v>
      </c>
      <c r="AM31" s="56">
        <f t="shared" si="17"/>
        <v>218203</v>
      </c>
      <c r="AN31" s="56">
        <f t="shared" si="18"/>
        <v>21328</v>
      </c>
      <c r="AO31" s="56">
        <f t="shared" si="19"/>
        <v>41319</v>
      </c>
      <c r="AP31" s="56"/>
      <c r="AQ31" s="56">
        <f t="shared" si="20"/>
        <v>280850</v>
      </c>
      <c r="AS31" s="56">
        <v>1436.0255806149014</v>
      </c>
      <c r="AT31" s="56">
        <v>140.36266038209655</v>
      </c>
      <c r="AU31" s="56">
        <v>271.92632991034543</v>
      </c>
      <c r="AV31" s="56"/>
      <c r="AW31" s="56">
        <v>1848.3145709073433</v>
      </c>
      <c r="AY31" s="16">
        <v>1.7018353168262834E-2</v>
      </c>
      <c r="AZ31" s="16">
        <v>5.4419498441656389E-2</v>
      </c>
      <c r="BA31" s="16">
        <v>9.4572578384016337E-2</v>
      </c>
      <c r="BB31" s="16">
        <f t="shared" si="21"/>
        <v>3.0536657051298599E-2</v>
      </c>
      <c r="BC31" s="16"/>
      <c r="BE31" s="16">
        <f>AM31/'2016-17 disagg'!AM31-1</f>
        <v>2.0031039931188488E-2</v>
      </c>
      <c r="BF31" s="16">
        <f>AN31/'2016-17 disagg'!AN31-1</f>
        <v>1.460444317587184E-2</v>
      </c>
      <c r="BG31" s="16">
        <f>AO31/'2016-17 disagg'!AO31-1</f>
        <v>4.3936331480545654E-2</v>
      </c>
      <c r="BH31" s="16">
        <f>AQ31/'2016-17 disagg'!AQ31-1</f>
        <v>2.3062155989203026E-2</v>
      </c>
      <c r="BJ31" s="16">
        <f>AS31/'2016-17 disagg'!AS31-1</f>
        <v>1.6473595786012485E-2</v>
      </c>
      <c r="BK31" s="16">
        <f>AT31/'2016-17 disagg'!AT31-1</f>
        <v>1.1065924743835387E-2</v>
      </c>
      <c r="BL31" s="16">
        <f>AU31/'2016-17 disagg'!AU31-1</f>
        <v>4.0295515618106181E-2</v>
      </c>
      <c r="BM31" s="16">
        <f>AW31/'2016-17 disagg'!AW31-1</f>
        <v>1.9494140571534313E-2</v>
      </c>
    </row>
    <row r="32" spans="1:65" x14ac:dyDescent="0.2">
      <c r="A32" s="156" t="s">
        <v>109</v>
      </c>
      <c r="B32" s="156" t="s">
        <v>110</v>
      </c>
      <c r="D32" s="56">
        <f>VLOOKUP(A32,'2017-18'!$A$12:$AMX240,32,FALSE)</f>
        <v>354312</v>
      </c>
      <c r="E32" s="56">
        <v>1672.7583567199208</v>
      </c>
      <c r="F32" s="16">
        <f>VLOOKUP(A32,'2017-18'!$A$12:$AMX240,34,FALSE)</f>
        <v>2.8111797205069955E-2</v>
      </c>
      <c r="G32" s="16">
        <f>VLOOKUP(A32,'2017-18'!$A$12:$AMX240,35,FALSE)</f>
        <v>2.6058671006970346E-2</v>
      </c>
      <c r="H32" s="56"/>
      <c r="I32" s="56">
        <v>356456.73467284563</v>
      </c>
      <c r="J32" s="56">
        <v>1682.8839602754017</v>
      </c>
      <c r="K32" s="16">
        <f t="shared" si="6"/>
        <v>-6.0168162478794196E-3</v>
      </c>
      <c r="L32" s="58">
        <f t="shared" si="6"/>
        <v>-6.0168162478795306E-3</v>
      </c>
      <c r="M32" s="10"/>
      <c r="N32" s="56">
        <v>269597</v>
      </c>
      <c r="O32" s="56">
        <v>26823</v>
      </c>
      <c r="P32" s="56">
        <v>57892</v>
      </c>
      <c r="R32" s="56">
        <f t="shared" si="7"/>
        <v>57892</v>
      </c>
      <c r="S32" s="56">
        <f t="shared" si="8"/>
        <v>0</v>
      </c>
      <c r="U32" s="16">
        <v>-4.1068346701069736E-3</v>
      </c>
      <c r="V32" s="16">
        <v>-5.4100414866783186E-2</v>
      </c>
      <c r="W32" s="56">
        <f t="shared" si="9"/>
        <v>4</v>
      </c>
      <c r="X32" s="56">
        <f t="shared" si="10"/>
        <v>2707.0875610507383</v>
      </c>
      <c r="Y32" s="56">
        <f t="shared" si="10"/>
        <v>283.57132640271061</v>
      </c>
      <c r="AA32" s="56">
        <f t="shared" si="22"/>
        <v>0</v>
      </c>
      <c r="AB32" s="56">
        <v>0</v>
      </c>
      <c r="AC32" s="56">
        <f t="shared" si="11"/>
        <v>0</v>
      </c>
      <c r="AE32" s="56">
        <v>0</v>
      </c>
      <c r="AF32" s="56">
        <f t="shared" si="12"/>
        <v>0</v>
      </c>
      <c r="AG32" s="56">
        <f t="shared" si="13"/>
        <v>0</v>
      </c>
      <c r="AI32" s="56">
        <f t="shared" si="14"/>
        <v>0</v>
      </c>
      <c r="AJ32" s="56">
        <f t="shared" si="15"/>
        <v>0</v>
      </c>
      <c r="AK32" s="56">
        <f t="shared" si="16"/>
        <v>0</v>
      </c>
      <c r="AM32" s="56">
        <f t="shared" si="17"/>
        <v>269597</v>
      </c>
      <c r="AN32" s="56">
        <f t="shared" si="18"/>
        <v>26823</v>
      </c>
      <c r="AO32" s="56">
        <f t="shared" si="19"/>
        <v>57892</v>
      </c>
      <c r="AP32" s="56"/>
      <c r="AQ32" s="56">
        <f t="shared" si="20"/>
        <v>354312</v>
      </c>
      <c r="AS32" s="56">
        <v>1272.8065509963549</v>
      </c>
      <c r="AT32" s="56">
        <v>126.63527456676161</v>
      </c>
      <c r="AU32" s="56">
        <v>273.31653115680433</v>
      </c>
      <c r="AV32" s="56"/>
      <c r="AW32" s="56">
        <v>1672.7583567199208</v>
      </c>
      <c r="AY32" s="16">
        <v>-4.1068346701069736E-3</v>
      </c>
      <c r="AZ32" s="16">
        <v>-5.4100414866783186E-2</v>
      </c>
      <c r="BA32" s="16">
        <v>8.7322998014758291E-3</v>
      </c>
      <c r="BB32" s="16">
        <f t="shared" si="21"/>
        <v>-6.0168162478794196E-3</v>
      </c>
      <c r="BC32" s="16"/>
      <c r="BE32" s="16">
        <f>AM32/'2016-17 disagg'!AM32-1</f>
        <v>2.003004127838115E-2</v>
      </c>
      <c r="BF32" s="16">
        <f>AN32/'2016-17 disagg'!AN32-1</f>
        <v>8.2314489771214028E-2</v>
      </c>
      <c r="BG32" s="16">
        <f>AO32/'2016-17 disagg'!AO32-1</f>
        <v>4.2385393784435843E-2</v>
      </c>
      <c r="BH32" s="16">
        <f>AQ32/'2016-17 disagg'!AQ32-1</f>
        <v>2.8111797205069955E-2</v>
      </c>
      <c r="BJ32" s="16">
        <f>AS32/'2016-17 disagg'!AS32-1</f>
        <v>1.799305424419817E-2</v>
      </c>
      <c r="BK32" s="16">
        <f>AT32/'2016-17 disagg'!AT32-1</f>
        <v>8.0153121484639822E-2</v>
      </c>
      <c r="BL32" s="16">
        <f>AU32/'2016-17 disagg'!AU32-1</f>
        <v>4.0303763395296066E-2</v>
      </c>
      <c r="BM32" s="16">
        <f>AW32/'2016-17 disagg'!AW32-1</f>
        <v>2.6058671006970346E-2</v>
      </c>
    </row>
    <row r="33" spans="1:65" x14ac:dyDescent="0.2">
      <c r="A33" s="156" t="s">
        <v>111</v>
      </c>
      <c r="B33" s="156" t="s">
        <v>112</v>
      </c>
      <c r="D33" s="56">
        <f>VLOOKUP(A33,'2017-18'!$A$12:$AMX241,32,FALSE)</f>
        <v>247906</v>
      </c>
      <c r="E33" s="56">
        <v>1899.2477294630241</v>
      </c>
      <c r="F33" s="16">
        <f>VLOOKUP(A33,'2017-18'!$A$12:$AMX241,34,FALSE)</f>
        <v>2.3005723576430492E-2</v>
      </c>
      <c r="G33" s="16">
        <f>VLOOKUP(A33,'2017-18'!$A$12:$AMX241,35,FALSE)</f>
        <v>2.0844577973168965E-2</v>
      </c>
      <c r="H33" s="56"/>
      <c r="I33" s="56">
        <v>240533.51551552187</v>
      </c>
      <c r="J33" s="56">
        <v>1842.7659403266318</v>
      </c>
      <c r="K33" s="16">
        <f t="shared" si="6"/>
        <v>3.0650549752607725E-2</v>
      </c>
      <c r="L33" s="58">
        <f t="shared" si="6"/>
        <v>3.0650549752607725E-2</v>
      </c>
      <c r="M33" s="10"/>
      <c r="N33" s="56">
        <v>195149</v>
      </c>
      <c r="O33" s="56">
        <v>17943</v>
      </c>
      <c r="P33" s="56">
        <v>34814</v>
      </c>
      <c r="R33" s="56">
        <f t="shared" si="7"/>
        <v>34814</v>
      </c>
      <c r="S33" s="56">
        <f t="shared" si="8"/>
        <v>0</v>
      </c>
      <c r="U33" s="16">
        <v>3.3550130901689457E-2</v>
      </c>
      <c r="V33" s="16">
        <v>-9.668557147205159E-3</v>
      </c>
      <c r="W33" s="56">
        <f t="shared" si="9"/>
        <v>3</v>
      </c>
      <c r="X33" s="56">
        <f t="shared" si="10"/>
        <v>1888.1425696279307</v>
      </c>
      <c r="Y33" s="56">
        <f t="shared" si="10"/>
        <v>181.18176626112728</v>
      </c>
      <c r="AA33" s="56">
        <f t="shared" si="22"/>
        <v>0</v>
      </c>
      <c r="AB33" s="56">
        <v>0</v>
      </c>
      <c r="AC33" s="56">
        <f t="shared" si="11"/>
        <v>0</v>
      </c>
      <c r="AE33" s="56">
        <v>0</v>
      </c>
      <c r="AF33" s="56">
        <f t="shared" si="12"/>
        <v>0</v>
      </c>
      <c r="AG33" s="56">
        <f t="shared" si="13"/>
        <v>0</v>
      </c>
      <c r="AI33" s="56">
        <f t="shared" si="14"/>
        <v>0</v>
      </c>
      <c r="AJ33" s="56">
        <f t="shared" si="15"/>
        <v>0</v>
      </c>
      <c r="AK33" s="56">
        <f t="shared" si="16"/>
        <v>0</v>
      </c>
      <c r="AM33" s="56">
        <f t="shared" si="17"/>
        <v>195149</v>
      </c>
      <c r="AN33" s="56">
        <f t="shared" si="18"/>
        <v>17943</v>
      </c>
      <c r="AO33" s="56">
        <f t="shared" si="19"/>
        <v>34814</v>
      </c>
      <c r="AP33" s="56"/>
      <c r="AQ33" s="56">
        <f t="shared" si="20"/>
        <v>247906</v>
      </c>
      <c r="AS33" s="56">
        <v>1495.0678690994962</v>
      </c>
      <c r="AT33" s="56">
        <v>137.46420824729955</v>
      </c>
      <c r="AU33" s="56">
        <v>266.71565211622845</v>
      </c>
      <c r="AV33" s="56"/>
      <c r="AW33" s="56">
        <v>1899.2477294630241</v>
      </c>
      <c r="AY33" s="16">
        <v>3.3550130901689457E-2</v>
      </c>
      <c r="AZ33" s="16">
        <v>-9.668557147205159E-3</v>
      </c>
      <c r="BA33" s="16">
        <v>3.6097589834544364E-2</v>
      </c>
      <c r="BB33" s="16">
        <f t="shared" si="21"/>
        <v>3.0650549752607725E-2</v>
      </c>
      <c r="BC33" s="16"/>
      <c r="BE33" s="16">
        <f>AM33/'2016-17 disagg'!AM33-1</f>
        <v>2.0029584407031287E-2</v>
      </c>
      <c r="BF33" s="16">
        <f>AN33/'2016-17 disagg'!AN33-1</f>
        <v>1.8389238889834791E-2</v>
      </c>
      <c r="BG33" s="16">
        <f>AO33/'2016-17 disagg'!AO33-1</f>
        <v>4.2491390926785444E-2</v>
      </c>
      <c r="BH33" s="16">
        <f>AQ33/'2016-17 disagg'!AQ33-1</f>
        <v>2.3005723576430492E-2</v>
      </c>
      <c r="BJ33" s="16">
        <f>AS33/'2016-17 disagg'!AS33-1</f>
        <v>1.78747260316241E-2</v>
      </c>
      <c r="BK33" s="16">
        <f>AT33/'2016-17 disagg'!AT33-1</f>
        <v>1.6237845818111385E-2</v>
      </c>
      <c r="BL33" s="16">
        <f>AU33/'2016-17 disagg'!AU33-1</f>
        <v>4.0289080974830194E-2</v>
      </c>
      <c r="BM33" s="16">
        <f>AW33/'2016-17 disagg'!AW33-1</f>
        <v>2.0844577973168965E-2</v>
      </c>
    </row>
    <row r="34" spans="1:65" x14ac:dyDescent="0.2">
      <c r="A34" s="156" t="s">
        <v>113</v>
      </c>
      <c r="B34" s="156" t="s">
        <v>114</v>
      </c>
      <c r="D34" s="56">
        <f>VLOOKUP(A34,'2017-18'!$A$12:$AMX242,32,FALSE)</f>
        <v>415748</v>
      </c>
      <c r="E34" s="56">
        <v>1820.6424603509831</v>
      </c>
      <c r="F34" s="16">
        <f>VLOOKUP(A34,'2017-18'!$A$12:$AMX242,34,FALSE)</f>
        <v>2.3871150459913171E-2</v>
      </c>
      <c r="G34" s="16">
        <f>VLOOKUP(A34,'2017-18'!$A$12:$AMX242,35,FALSE)</f>
        <v>2.1410265630481318E-2</v>
      </c>
      <c r="H34" s="56"/>
      <c r="I34" s="56">
        <v>424783.01315640332</v>
      </c>
      <c r="J34" s="56">
        <v>1860.2085642946645</v>
      </c>
      <c r="K34" s="16">
        <f t="shared" si="6"/>
        <v>-2.1269713892906217E-2</v>
      </c>
      <c r="L34" s="58">
        <f t="shared" si="6"/>
        <v>-2.1269713892906217E-2</v>
      </c>
      <c r="M34" s="10"/>
      <c r="N34" s="56">
        <v>311905</v>
      </c>
      <c r="O34" s="56">
        <v>30220</v>
      </c>
      <c r="P34" s="56">
        <v>73623</v>
      </c>
      <c r="R34" s="56">
        <f t="shared" si="7"/>
        <v>73623</v>
      </c>
      <c r="S34" s="56">
        <f t="shared" si="8"/>
        <v>0</v>
      </c>
      <c r="U34" s="16">
        <v>-3.3436594331624603E-2</v>
      </c>
      <c r="V34" s="16">
        <v>-4.5831375233404859E-2</v>
      </c>
      <c r="W34" s="56">
        <f t="shared" si="9"/>
        <v>4</v>
      </c>
      <c r="X34" s="56">
        <f t="shared" si="10"/>
        <v>3226.9481564359321</v>
      </c>
      <c r="Y34" s="56">
        <f t="shared" si="10"/>
        <v>316.71550725525367</v>
      </c>
      <c r="AA34" s="56">
        <f t="shared" si="22"/>
        <v>0</v>
      </c>
      <c r="AB34" s="56">
        <v>0</v>
      </c>
      <c r="AC34" s="56">
        <f t="shared" si="11"/>
        <v>0</v>
      </c>
      <c r="AE34" s="56">
        <v>0</v>
      </c>
      <c r="AF34" s="56">
        <f t="shared" si="12"/>
        <v>0</v>
      </c>
      <c r="AG34" s="56">
        <f t="shared" si="13"/>
        <v>0</v>
      </c>
      <c r="AI34" s="56">
        <f t="shared" si="14"/>
        <v>0</v>
      </c>
      <c r="AJ34" s="56">
        <f t="shared" si="15"/>
        <v>0</v>
      </c>
      <c r="AK34" s="56">
        <f t="shared" si="16"/>
        <v>0</v>
      </c>
      <c r="AM34" s="56">
        <f t="shared" si="17"/>
        <v>311905</v>
      </c>
      <c r="AN34" s="56">
        <f t="shared" si="18"/>
        <v>30220</v>
      </c>
      <c r="AO34" s="56">
        <f t="shared" si="19"/>
        <v>73623</v>
      </c>
      <c r="AP34" s="56"/>
      <c r="AQ34" s="56">
        <f t="shared" si="20"/>
        <v>415748</v>
      </c>
      <c r="AS34" s="56">
        <v>1365.8934897961587</v>
      </c>
      <c r="AT34" s="56">
        <v>132.33933813706071</v>
      </c>
      <c r="AU34" s="56">
        <v>322.4096324177637</v>
      </c>
      <c r="AV34" s="56"/>
      <c r="AW34" s="56">
        <v>1820.6424603509831</v>
      </c>
      <c r="AY34" s="16">
        <v>-3.3436594331624603E-2</v>
      </c>
      <c r="AZ34" s="16">
        <v>-4.5831375233404859E-2</v>
      </c>
      <c r="BA34" s="16">
        <v>4.553402297614384E-2</v>
      </c>
      <c r="BB34" s="16">
        <f t="shared" si="21"/>
        <v>-2.1269713892906217E-2</v>
      </c>
      <c r="BC34" s="16"/>
      <c r="BE34" s="16">
        <f>AM34/'2016-17 disagg'!AM34-1</f>
        <v>2.0030741055660828E-2</v>
      </c>
      <c r="BF34" s="16">
        <f>AN34/'2016-17 disagg'!AN34-1</f>
        <v>1.8399946080744023E-2</v>
      </c>
      <c r="BG34" s="16">
        <f>AO34/'2016-17 disagg'!AO34-1</f>
        <v>4.2803926289995964E-2</v>
      </c>
      <c r="BH34" s="16">
        <f>AQ34/'2016-17 disagg'!AQ34-1</f>
        <v>2.3871150459913171E-2</v>
      </c>
      <c r="BJ34" s="16">
        <f>AS34/'2016-17 disagg'!AS34-1</f>
        <v>1.7579086689688772E-2</v>
      </c>
      <c r="BK34" s="16">
        <f>AT34/'2016-17 disagg'!AT34-1</f>
        <v>1.5952211347249223E-2</v>
      </c>
      <c r="BL34" s="16">
        <f>AU34/'2016-17 disagg'!AU34-1</f>
        <v>4.0297536339340079E-2</v>
      </c>
      <c r="BM34" s="16">
        <f>AW34/'2016-17 disagg'!AW34-1</f>
        <v>2.1410265630481318E-2</v>
      </c>
    </row>
    <row r="35" spans="1:65" x14ac:dyDescent="0.2">
      <c r="A35" s="156" t="s">
        <v>115</v>
      </c>
      <c r="B35" s="156" t="s">
        <v>116</v>
      </c>
      <c r="D35" s="56">
        <f>VLOOKUP(A35,'2017-18'!$A$12:$AMX243,32,FALSE)</f>
        <v>346677</v>
      </c>
      <c r="E35" s="56">
        <v>2131.8817428728926</v>
      </c>
      <c r="F35" s="16">
        <f>VLOOKUP(A35,'2017-18'!$A$12:$AMX243,34,FALSE)</f>
        <v>2.1440777843252823E-2</v>
      </c>
      <c r="G35" s="16">
        <f>VLOOKUP(A35,'2017-18'!$A$12:$AMX243,35,FALSE)</f>
        <v>2.0533739887967029E-2</v>
      </c>
      <c r="H35" s="56"/>
      <c r="I35" s="56">
        <v>325532.84396054846</v>
      </c>
      <c r="J35" s="56">
        <v>2001.8562718178116</v>
      </c>
      <c r="K35" s="16">
        <f t="shared" si="6"/>
        <v>6.4952450825557895E-2</v>
      </c>
      <c r="L35" s="58">
        <f t="shared" si="6"/>
        <v>6.4952450825557895E-2</v>
      </c>
      <c r="M35" s="10"/>
      <c r="N35" s="56">
        <v>266628</v>
      </c>
      <c r="O35" s="56">
        <v>30441</v>
      </c>
      <c r="P35" s="56">
        <v>49608</v>
      </c>
      <c r="R35" s="56">
        <f t="shared" si="7"/>
        <v>49608</v>
      </c>
      <c r="S35" s="56">
        <f t="shared" si="8"/>
        <v>0</v>
      </c>
      <c r="U35" s="16">
        <v>5.0132426094918969E-2</v>
      </c>
      <c r="V35" s="16">
        <v>0.2705116599109989</v>
      </c>
      <c r="W35" s="56">
        <f t="shared" si="9"/>
        <v>2</v>
      </c>
      <c r="X35" s="56">
        <f t="shared" si="10"/>
        <v>2538.9940675529633</v>
      </c>
      <c r="Y35" s="56">
        <f t="shared" si="10"/>
        <v>239.59638435850667</v>
      </c>
      <c r="AA35" s="56">
        <f t="shared" si="22"/>
        <v>0</v>
      </c>
      <c r="AB35" s="56">
        <v>0</v>
      </c>
      <c r="AC35" s="56">
        <f t="shared" si="11"/>
        <v>0</v>
      </c>
      <c r="AE35" s="56">
        <v>0</v>
      </c>
      <c r="AF35" s="56">
        <f t="shared" si="12"/>
        <v>0</v>
      </c>
      <c r="AG35" s="56">
        <f t="shared" si="13"/>
        <v>0</v>
      </c>
      <c r="AI35" s="56">
        <f t="shared" si="14"/>
        <v>0</v>
      </c>
      <c r="AJ35" s="56">
        <f t="shared" si="15"/>
        <v>0</v>
      </c>
      <c r="AK35" s="56">
        <f t="shared" si="16"/>
        <v>0</v>
      </c>
      <c r="AM35" s="56">
        <f t="shared" si="17"/>
        <v>266628</v>
      </c>
      <c r="AN35" s="56">
        <f t="shared" si="18"/>
        <v>30441</v>
      </c>
      <c r="AO35" s="56">
        <f t="shared" si="19"/>
        <v>49608</v>
      </c>
      <c r="AP35" s="56"/>
      <c r="AQ35" s="56">
        <f t="shared" si="20"/>
        <v>346677</v>
      </c>
      <c r="AS35" s="56">
        <v>1639.6223728101766</v>
      </c>
      <c r="AT35" s="56">
        <v>187.19618588713334</v>
      </c>
      <c r="AU35" s="56">
        <v>305.06318417558265</v>
      </c>
      <c r="AV35" s="56"/>
      <c r="AW35" s="56">
        <v>2131.8817428728926</v>
      </c>
      <c r="AY35" s="16">
        <v>5.0132426094918969E-2</v>
      </c>
      <c r="AZ35" s="16">
        <v>0.2705116599109989</v>
      </c>
      <c r="BA35" s="16">
        <v>4.0571577691012939E-2</v>
      </c>
      <c r="BB35" s="16">
        <f t="shared" si="21"/>
        <v>6.4952450825557895E-2</v>
      </c>
      <c r="BC35" s="16"/>
      <c r="BE35" s="16">
        <f>AM35/'2016-17 disagg'!AM35-1</f>
        <v>1.9157849672802874E-2</v>
      </c>
      <c r="BF35" s="16">
        <f>AN35/'2016-17 disagg'!AN35-1</f>
        <v>9.9867285998673783E-3</v>
      </c>
      <c r="BG35" s="16">
        <f>AO35/'2016-17 disagg'!AO35-1</f>
        <v>4.1222399462681469E-2</v>
      </c>
      <c r="BH35" s="16">
        <f>AQ35/'2016-17 disagg'!AQ35-1</f>
        <v>2.1440777843252823E-2</v>
      </c>
      <c r="BJ35" s="16">
        <f>AS35/'2016-17 disagg'!AS35-1</f>
        <v>1.82528389544796E-2</v>
      </c>
      <c r="BK35" s="16">
        <f>AT35/'2016-17 disagg'!AT35-1</f>
        <v>9.089861823988965E-3</v>
      </c>
      <c r="BL35" s="16">
        <f>AU35/'2016-17 disagg'!AU35-1</f>
        <v>4.029779545558454E-2</v>
      </c>
      <c r="BM35" s="16">
        <f>AW35/'2016-17 disagg'!AW35-1</f>
        <v>2.0533739887967029E-2</v>
      </c>
    </row>
    <row r="36" spans="1:65" x14ac:dyDescent="0.2">
      <c r="A36" s="156" t="s">
        <v>117</v>
      </c>
      <c r="B36" s="156" t="s">
        <v>118</v>
      </c>
      <c r="D36" s="56">
        <f>VLOOKUP(A36,'2017-18'!$A$12:$AMX244,32,FALSE)</f>
        <v>272914</v>
      </c>
      <c r="E36" s="56">
        <v>1720.1995003588513</v>
      </c>
      <c r="F36" s="16">
        <f>VLOOKUP(A36,'2017-18'!$A$12:$AMX244,34,FALSE)</f>
        <v>2.3107778819118963E-2</v>
      </c>
      <c r="G36" s="16">
        <f>VLOOKUP(A36,'2017-18'!$A$12:$AMX244,35,FALSE)</f>
        <v>2.0561403546090151E-2</v>
      </c>
      <c r="H36" s="56"/>
      <c r="I36" s="56">
        <v>265299.92804931343</v>
      </c>
      <c r="J36" s="56">
        <v>1672.2073754943615</v>
      </c>
      <c r="K36" s="16">
        <f t="shared" si="6"/>
        <v>2.8699864363594063E-2</v>
      </c>
      <c r="L36" s="58">
        <f t="shared" si="6"/>
        <v>2.8699864363594063E-2</v>
      </c>
      <c r="M36" s="10"/>
      <c r="N36" s="56">
        <v>213664</v>
      </c>
      <c r="O36" s="56">
        <v>20316</v>
      </c>
      <c r="P36" s="56">
        <v>38934</v>
      </c>
      <c r="R36" s="56">
        <f t="shared" si="7"/>
        <v>38934</v>
      </c>
      <c r="S36" s="56">
        <f t="shared" si="8"/>
        <v>0</v>
      </c>
      <c r="U36" s="16">
        <v>3.6190930437332236E-2</v>
      </c>
      <c r="V36" s="16">
        <v>-2.1019471724537109E-2</v>
      </c>
      <c r="W36" s="56">
        <f t="shared" si="9"/>
        <v>3</v>
      </c>
      <c r="X36" s="56">
        <f t="shared" si="10"/>
        <v>2062.013801933409</v>
      </c>
      <c r="Y36" s="56">
        <f t="shared" si="10"/>
        <v>207.52200287157845</v>
      </c>
      <c r="AA36" s="56">
        <f t="shared" si="22"/>
        <v>0</v>
      </c>
      <c r="AB36" s="56">
        <v>0</v>
      </c>
      <c r="AC36" s="56">
        <f t="shared" si="11"/>
        <v>0</v>
      </c>
      <c r="AE36" s="56">
        <v>0</v>
      </c>
      <c r="AF36" s="56">
        <f t="shared" si="12"/>
        <v>0</v>
      </c>
      <c r="AG36" s="56">
        <f t="shared" si="13"/>
        <v>0</v>
      </c>
      <c r="AI36" s="56">
        <f t="shared" si="14"/>
        <v>0</v>
      </c>
      <c r="AJ36" s="56">
        <f t="shared" si="15"/>
        <v>0</v>
      </c>
      <c r="AK36" s="56">
        <f t="shared" si="16"/>
        <v>0</v>
      </c>
      <c r="AM36" s="56">
        <f t="shared" si="17"/>
        <v>213664</v>
      </c>
      <c r="AN36" s="56">
        <f t="shared" si="18"/>
        <v>20316</v>
      </c>
      <c r="AO36" s="56">
        <f t="shared" si="19"/>
        <v>38934</v>
      </c>
      <c r="AP36" s="56"/>
      <c r="AQ36" s="56">
        <f t="shared" si="20"/>
        <v>272914</v>
      </c>
      <c r="AS36" s="56">
        <v>1346.7418529085119</v>
      </c>
      <c r="AT36" s="56">
        <v>128.05342726752906</v>
      </c>
      <c r="AU36" s="56">
        <v>245.40422018281041</v>
      </c>
      <c r="AV36" s="56"/>
      <c r="AW36" s="56">
        <v>1720.1995003588513</v>
      </c>
      <c r="AY36" s="16">
        <v>3.6190930437332236E-2</v>
      </c>
      <c r="AZ36" s="16">
        <v>-2.1019471724537109E-2</v>
      </c>
      <c r="BA36" s="16">
        <v>1.5324860604539969E-2</v>
      </c>
      <c r="BB36" s="16">
        <f t="shared" si="21"/>
        <v>2.8699864363594063E-2</v>
      </c>
      <c r="BC36" s="16"/>
      <c r="BE36" s="16">
        <f>AM36/'2016-17 disagg'!AM36-1</f>
        <v>2.0031699352645704E-2</v>
      </c>
      <c r="BF36" s="16">
        <f>AN36/'2016-17 disagg'!AN36-1</f>
        <v>1.8396912125921094E-2</v>
      </c>
      <c r="BG36" s="16">
        <f>AO36/'2016-17 disagg'!AO36-1</f>
        <v>4.2884311467066727E-2</v>
      </c>
      <c r="BH36" s="16">
        <f>AQ36/'2016-17 disagg'!AQ36-1</f>
        <v>2.3107778819118963E-2</v>
      </c>
      <c r="BJ36" s="16">
        <f>AS36/'2016-17 disagg'!AS36-1</f>
        <v>1.7492980020519244E-2</v>
      </c>
      <c r="BK36" s="16">
        <f>AT36/'2016-17 disagg'!AT36-1</f>
        <v>1.5862261555519286E-2</v>
      </c>
      <c r="BL36" s="16">
        <f>AU36/'2016-17 disagg'!AU36-1</f>
        <v>4.0288715110234685E-2</v>
      </c>
      <c r="BM36" s="16">
        <f>AW36/'2016-17 disagg'!AW36-1</f>
        <v>2.0561403546090151E-2</v>
      </c>
    </row>
    <row r="37" spans="1:65" x14ac:dyDescent="0.2">
      <c r="A37" s="156" t="s">
        <v>119</v>
      </c>
      <c r="B37" s="156" t="s">
        <v>120</v>
      </c>
      <c r="D37" s="56">
        <f>VLOOKUP(A37,'2017-18'!$A$12:$AMX245,32,FALSE)</f>
        <v>1013306</v>
      </c>
      <c r="E37" s="56">
        <v>1992.4660747838395</v>
      </c>
      <c r="F37" s="16">
        <f>VLOOKUP(A37,'2017-18'!$A$12:$AMX245,34,FALSE)</f>
        <v>2.5446258251438758E-2</v>
      </c>
      <c r="G37" s="16">
        <f>VLOOKUP(A37,'2017-18'!$A$12:$AMX245,35,FALSE)</f>
        <v>2.3422577791030186E-2</v>
      </c>
      <c r="H37" s="56"/>
      <c r="I37" s="56">
        <v>971670.94276615535</v>
      </c>
      <c r="J37" s="56">
        <v>1910.5989595589035</v>
      </c>
      <c r="K37" s="16">
        <f t="shared" si="6"/>
        <v>4.2848926937465004E-2</v>
      </c>
      <c r="L37" s="58">
        <f t="shared" si="6"/>
        <v>4.2848926937465004E-2</v>
      </c>
      <c r="M37" s="10"/>
      <c r="N37" s="56">
        <v>781914</v>
      </c>
      <c r="O37" s="56">
        <v>72547</v>
      </c>
      <c r="P37" s="56">
        <v>158845</v>
      </c>
      <c r="R37" s="56">
        <f t="shared" si="7"/>
        <v>158845</v>
      </c>
      <c r="S37" s="56">
        <f t="shared" si="8"/>
        <v>0</v>
      </c>
      <c r="U37" s="16">
        <v>5.5003403480302637E-2</v>
      </c>
      <c r="V37" s="16">
        <v>-5.6082397958890473E-2</v>
      </c>
      <c r="W37" s="56">
        <f t="shared" si="9"/>
        <v>3</v>
      </c>
      <c r="X37" s="56">
        <f t="shared" si="10"/>
        <v>7411.4831992065583</v>
      </c>
      <c r="Y37" s="56">
        <f t="shared" si="10"/>
        <v>768.57344161318474</v>
      </c>
      <c r="AA37" s="56">
        <f t="shared" si="22"/>
        <v>0</v>
      </c>
      <c r="AB37" s="56">
        <v>0</v>
      </c>
      <c r="AC37" s="56">
        <f t="shared" si="11"/>
        <v>0</v>
      </c>
      <c r="AE37" s="56">
        <v>0</v>
      </c>
      <c r="AF37" s="56">
        <f t="shared" si="12"/>
        <v>0</v>
      </c>
      <c r="AG37" s="56">
        <f t="shared" si="13"/>
        <v>0</v>
      </c>
      <c r="AI37" s="56">
        <f t="shared" si="14"/>
        <v>0</v>
      </c>
      <c r="AJ37" s="56">
        <f t="shared" si="15"/>
        <v>0</v>
      </c>
      <c r="AK37" s="56">
        <f t="shared" si="16"/>
        <v>0</v>
      </c>
      <c r="AM37" s="56">
        <f t="shared" si="17"/>
        <v>781914</v>
      </c>
      <c r="AN37" s="56">
        <f t="shared" si="18"/>
        <v>72547</v>
      </c>
      <c r="AO37" s="56">
        <f t="shared" si="19"/>
        <v>158845</v>
      </c>
      <c r="AP37" s="56"/>
      <c r="AQ37" s="56">
        <f t="shared" si="20"/>
        <v>1013306</v>
      </c>
      <c r="AS37" s="56">
        <v>1537.4794172723057</v>
      </c>
      <c r="AT37" s="56">
        <v>142.64934415402968</v>
      </c>
      <c r="AU37" s="56">
        <v>312.337313357504</v>
      </c>
      <c r="AV37" s="56"/>
      <c r="AW37" s="56">
        <v>1992.4660747838395</v>
      </c>
      <c r="AY37" s="16">
        <v>5.5003403480302637E-2</v>
      </c>
      <c r="AZ37" s="16">
        <v>-5.6082397958890473E-2</v>
      </c>
      <c r="BA37" s="16">
        <v>3.3707818449113525E-2</v>
      </c>
      <c r="BB37" s="16">
        <f t="shared" si="21"/>
        <v>4.2848926937465004E-2</v>
      </c>
      <c r="BC37" s="16"/>
      <c r="BE37" s="16">
        <f>AM37/'2016-17 disagg'!AM37-1</f>
        <v>1.6246130171793105E-2</v>
      </c>
      <c r="BF37" s="16">
        <f>AN37/'2016-17 disagg'!AN37-1</f>
        <v>9.3283300932833102E-2</v>
      </c>
      <c r="BG37" s="16">
        <f>AO37/'2016-17 disagg'!AO37-1</f>
        <v>4.2358422468665946E-2</v>
      </c>
      <c r="BH37" s="16">
        <f>AQ37/'2016-17 disagg'!AQ37-1</f>
        <v>2.5446258251438758E-2</v>
      </c>
      <c r="BJ37" s="16">
        <f>AS37/'2016-17 disagg'!AS37-1</f>
        <v>1.4240605825640129E-2</v>
      </c>
      <c r="BK37" s="16">
        <f>AT37/'2016-17 disagg'!AT37-1</f>
        <v>9.1125746564687526E-2</v>
      </c>
      <c r="BL37" s="16">
        <f>AU37/'2016-17 disagg'!AU37-1</f>
        <v>4.030136647444027E-2</v>
      </c>
      <c r="BM37" s="16">
        <f>AW37/'2016-17 disagg'!AW37-1</f>
        <v>2.3422577791030186E-2</v>
      </c>
    </row>
    <row r="38" spans="1:65" x14ac:dyDescent="0.2">
      <c r="A38" s="156" t="s">
        <v>121</v>
      </c>
      <c r="B38" s="156" t="s">
        <v>122</v>
      </c>
      <c r="D38" s="56">
        <f>VLOOKUP(A38,'2017-18'!$A$12:$AMX246,32,FALSE)</f>
        <v>406130</v>
      </c>
      <c r="E38" s="56">
        <v>1965.688261082433</v>
      </c>
      <c r="F38" s="16">
        <f>VLOOKUP(A38,'2017-18'!$A$12:$AMX246,34,FALSE)</f>
        <v>3.310210446253925E-2</v>
      </c>
      <c r="G38" s="16">
        <f>VLOOKUP(A38,'2017-18'!$A$12:$AMX246,35,FALSE)</f>
        <v>2.5240278903954527E-2</v>
      </c>
      <c r="H38" s="56"/>
      <c r="I38" s="56">
        <v>420470.80295758229</v>
      </c>
      <c r="J38" s="56">
        <v>2035.0984204605033</v>
      </c>
      <c r="K38" s="16">
        <f t="shared" si="6"/>
        <v>-3.4106536902703821E-2</v>
      </c>
      <c r="L38" s="58">
        <f t="shared" si="6"/>
        <v>-3.4106536902703821E-2</v>
      </c>
      <c r="M38" s="10"/>
      <c r="N38" s="56">
        <v>286754</v>
      </c>
      <c r="O38" s="56">
        <v>32317</v>
      </c>
      <c r="P38" s="56">
        <v>87059</v>
      </c>
      <c r="R38" s="56">
        <f t="shared" si="7"/>
        <v>87059</v>
      </c>
      <c r="S38" s="56">
        <f t="shared" si="8"/>
        <v>0</v>
      </c>
      <c r="U38" s="16">
        <v>-4.9948490506086629E-2</v>
      </c>
      <c r="V38" s="16">
        <v>-5.5470925722721831E-2</v>
      </c>
      <c r="W38" s="56">
        <f t="shared" si="9"/>
        <v>4</v>
      </c>
      <c r="X38" s="56">
        <f t="shared" si="10"/>
        <v>3018.2995041263825</v>
      </c>
      <c r="Y38" s="56">
        <f t="shared" si="10"/>
        <v>342.14934066193649</v>
      </c>
      <c r="AA38" s="56">
        <f t="shared" si="22"/>
        <v>0</v>
      </c>
      <c r="AB38" s="56">
        <v>0</v>
      </c>
      <c r="AC38" s="56">
        <f t="shared" si="11"/>
        <v>0</v>
      </c>
      <c r="AE38" s="56">
        <v>0</v>
      </c>
      <c r="AF38" s="56">
        <f t="shared" si="12"/>
        <v>0</v>
      </c>
      <c r="AG38" s="56">
        <f t="shared" si="13"/>
        <v>0</v>
      </c>
      <c r="AI38" s="56">
        <f t="shared" si="14"/>
        <v>0</v>
      </c>
      <c r="AJ38" s="56">
        <f t="shared" si="15"/>
        <v>0</v>
      </c>
      <c r="AK38" s="56">
        <f t="shared" si="16"/>
        <v>0</v>
      </c>
      <c r="AM38" s="56">
        <f t="shared" si="17"/>
        <v>286754</v>
      </c>
      <c r="AN38" s="56">
        <f t="shared" si="18"/>
        <v>32317</v>
      </c>
      <c r="AO38" s="56">
        <f t="shared" si="19"/>
        <v>87059</v>
      </c>
      <c r="AP38" s="56"/>
      <c r="AQ38" s="56">
        <f t="shared" si="20"/>
        <v>406130</v>
      </c>
      <c r="AS38" s="56">
        <v>1387.9028183547928</v>
      </c>
      <c r="AT38" s="56">
        <v>156.41579674833423</v>
      </c>
      <c r="AU38" s="56">
        <v>421.36964597930597</v>
      </c>
      <c r="AV38" s="56"/>
      <c r="AW38" s="56">
        <v>1965.688261082433</v>
      </c>
      <c r="AY38" s="16">
        <v>-4.9948490506086629E-2</v>
      </c>
      <c r="AZ38" s="16">
        <v>-5.5470925722721831E-2</v>
      </c>
      <c r="BA38" s="16">
        <v>3.1188070780803212E-2</v>
      </c>
      <c r="BB38" s="16">
        <f t="shared" si="21"/>
        <v>-3.4106536902703821E-2</v>
      </c>
      <c r="BC38" s="16"/>
      <c r="BE38" s="16">
        <f>AM38/'2016-17 disagg'!AM38-1</f>
        <v>2.197892275836022E-2</v>
      </c>
      <c r="BF38" s="16">
        <f>AN38/'2016-17 disagg'!AN38-1</f>
        <v>9.6234735413839978E-2</v>
      </c>
      <c r="BG38" s="16">
        <f>AO38/'2016-17 disagg'!AO38-1</f>
        <v>4.8272125225767626E-2</v>
      </c>
      <c r="BH38" s="16">
        <f>AQ38/'2016-17 disagg'!AQ38-1</f>
        <v>3.310210446253925E-2</v>
      </c>
      <c r="BJ38" s="16">
        <f>AS38/'2016-17 disagg'!AS38-1</f>
        <v>1.4201743735521521E-2</v>
      </c>
      <c r="BK38" s="16">
        <f>AT38/'2016-17 disagg'!AT38-1</f>
        <v>8.7892475511496038E-2</v>
      </c>
      <c r="BL38" s="16">
        <f>AU38/'2016-17 disagg'!AU38-1</f>
        <v>4.029485700527613E-2</v>
      </c>
      <c r="BM38" s="16">
        <f>AW38/'2016-17 disagg'!AW38-1</f>
        <v>2.5240278903954527E-2</v>
      </c>
    </row>
    <row r="39" spans="1:65" x14ac:dyDescent="0.2">
      <c r="A39" s="156" t="s">
        <v>123</v>
      </c>
      <c r="B39" s="156" t="s">
        <v>124</v>
      </c>
      <c r="D39" s="56">
        <f>VLOOKUP(A39,'2017-18'!$A$12:$AMX247,32,FALSE)</f>
        <v>437184</v>
      </c>
      <c r="E39" s="56">
        <v>1749.2934512797665</v>
      </c>
      <c r="F39" s="16">
        <f>VLOOKUP(A39,'2017-18'!$A$12:$AMX247,34,FALSE)</f>
        <v>2.3124106313318737E-2</v>
      </c>
      <c r="G39" s="16">
        <f>VLOOKUP(A39,'2017-18'!$A$12:$AMX247,35,FALSE)</f>
        <v>1.8825717083950089E-2</v>
      </c>
      <c r="H39" s="56"/>
      <c r="I39" s="56">
        <v>432098.54969237687</v>
      </c>
      <c r="J39" s="56">
        <v>1728.9451656153005</v>
      </c>
      <c r="K39" s="16">
        <f t="shared" si="6"/>
        <v>1.1769190873803126E-2</v>
      </c>
      <c r="L39" s="58">
        <f t="shared" si="6"/>
        <v>1.1769190873803348E-2</v>
      </c>
      <c r="M39" s="10"/>
      <c r="N39" s="56">
        <v>328349</v>
      </c>
      <c r="O39" s="56">
        <v>37195</v>
      </c>
      <c r="P39" s="56">
        <v>71640</v>
      </c>
      <c r="R39" s="56">
        <f t="shared" si="7"/>
        <v>71640</v>
      </c>
      <c r="S39" s="56">
        <f t="shared" si="8"/>
        <v>0</v>
      </c>
      <c r="U39" s="16">
        <v>-1.5229223468615771E-3</v>
      </c>
      <c r="V39" s="16">
        <v>9.1071028499877915E-2</v>
      </c>
      <c r="W39" s="56">
        <f t="shared" si="9"/>
        <v>1</v>
      </c>
      <c r="X39" s="56">
        <f t="shared" si="10"/>
        <v>3288.4981272856558</v>
      </c>
      <c r="Y39" s="56">
        <f t="shared" si="10"/>
        <v>340.90356199027389</v>
      </c>
      <c r="AA39" s="56">
        <f t="shared" si="22"/>
        <v>0</v>
      </c>
      <c r="AB39" s="56">
        <v>0</v>
      </c>
      <c r="AC39" s="56">
        <f t="shared" si="11"/>
        <v>0</v>
      </c>
      <c r="AE39" s="56">
        <v>0</v>
      </c>
      <c r="AF39" s="56">
        <f t="shared" si="12"/>
        <v>0</v>
      </c>
      <c r="AG39" s="56">
        <f t="shared" si="13"/>
        <v>0</v>
      </c>
      <c r="AI39" s="56">
        <f t="shared" si="14"/>
        <v>0</v>
      </c>
      <c r="AJ39" s="56">
        <f t="shared" si="15"/>
        <v>0</v>
      </c>
      <c r="AK39" s="56">
        <f t="shared" si="16"/>
        <v>0</v>
      </c>
      <c r="AM39" s="56">
        <f t="shared" si="17"/>
        <v>328349</v>
      </c>
      <c r="AN39" s="56">
        <f t="shared" si="18"/>
        <v>37195</v>
      </c>
      <c r="AO39" s="56">
        <f t="shared" si="19"/>
        <v>71640</v>
      </c>
      <c r="AP39" s="56"/>
      <c r="AQ39" s="56">
        <f t="shared" si="20"/>
        <v>437184</v>
      </c>
      <c r="AS39" s="56">
        <v>1313.8146762787751</v>
      </c>
      <c r="AT39" s="56">
        <v>148.82742717105592</v>
      </c>
      <c r="AU39" s="56">
        <v>286.65134782993539</v>
      </c>
      <c r="AV39" s="56"/>
      <c r="AW39" s="56">
        <v>1749.2934512797665</v>
      </c>
      <c r="AY39" s="16">
        <v>-1.5229223468615771E-3</v>
      </c>
      <c r="AZ39" s="16">
        <v>9.1071028499877915E-2</v>
      </c>
      <c r="BA39" s="16">
        <v>3.5883130978101363E-2</v>
      </c>
      <c r="BB39" s="16">
        <f t="shared" si="21"/>
        <v>1.1769190873803126E-2</v>
      </c>
      <c r="BC39" s="16"/>
      <c r="BE39" s="16">
        <f>AM39/'2016-17 disagg'!AM39-1</f>
        <v>2.0031003320896801E-2</v>
      </c>
      <c r="BF39" s="16">
        <f>AN39/'2016-17 disagg'!AN39-1</f>
        <v>9.9926684226248064E-3</v>
      </c>
      <c r="BG39" s="16">
        <f>AO39/'2016-17 disagg'!AO39-1</f>
        <v>4.4695588771418215E-2</v>
      </c>
      <c r="BH39" s="16">
        <f>AQ39/'2016-17 disagg'!AQ39-1</f>
        <v>2.3124106313318737E-2</v>
      </c>
      <c r="BJ39" s="16">
        <f>AS39/'2016-17 disagg'!AS39-1</f>
        <v>1.5745608957454582E-2</v>
      </c>
      <c r="BK39" s="16">
        <f>AT39/'2016-17 disagg'!AT39-1</f>
        <v>5.7494475065107409E-3</v>
      </c>
      <c r="BL39" s="16">
        <f>AU39/'2016-17 disagg'!AU39-1</f>
        <v>4.030657258165693E-2</v>
      </c>
      <c r="BM39" s="16">
        <f>AW39/'2016-17 disagg'!AW39-1</f>
        <v>1.8825717083950089E-2</v>
      </c>
    </row>
    <row r="40" spans="1:65" x14ac:dyDescent="0.2">
      <c r="A40" s="156" t="s">
        <v>125</v>
      </c>
      <c r="B40" s="156" t="s">
        <v>126</v>
      </c>
      <c r="D40" s="56">
        <f>VLOOKUP(A40,'2017-18'!$A$12:$AMX248,32,FALSE)</f>
        <v>505445</v>
      </c>
      <c r="E40" s="56">
        <v>1903.6314237559718</v>
      </c>
      <c r="F40" s="16">
        <f>VLOOKUP(A40,'2017-18'!$A$12:$AMX248,34,FALSE)</f>
        <v>2.9723645475751459E-2</v>
      </c>
      <c r="G40" s="16">
        <f>VLOOKUP(A40,'2017-18'!$A$12:$AMX248,35,FALSE)</f>
        <v>1.9507983504343684E-2</v>
      </c>
      <c r="H40" s="56"/>
      <c r="I40" s="56">
        <v>511783.97573405365</v>
      </c>
      <c r="J40" s="56">
        <v>1927.5055809872654</v>
      </c>
      <c r="K40" s="16">
        <f t="shared" si="6"/>
        <v>-1.2386037927353266E-2</v>
      </c>
      <c r="L40" s="58">
        <f t="shared" si="6"/>
        <v>-1.2386037927353377E-2</v>
      </c>
      <c r="M40" s="10"/>
      <c r="N40" s="56">
        <v>373667</v>
      </c>
      <c r="O40" s="56">
        <v>37401</v>
      </c>
      <c r="P40" s="56">
        <v>94377</v>
      </c>
      <c r="R40" s="56">
        <f t="shared" si="7"/>
        <v>94377</v>
      </c>
      <c r="S40" s="56">
        <f t="shared" si="8"/>
        <v>0</v>
      </c>
      <c r="U40" s="16">
        <v>-2.7119298295590011E-2</v>
      </c>
      <c r="V40" s="16">
        <v>-5.0239610119868439E-2</v>
      </c>
      <c r="W40" s="56">
        <f t="shared" si="9"/>
        <v>4</v>
      </c>
      <c r="X40" s="56">
        <f t="shared" si="10"/>
        <v>3840.8306316012331</v>
      </c>
      <c r="Y40" s="56">
        <f t="shared" si="10"/>
        <v>393.7940600441375</v>
      </c>
      <c r="AA40" s="56">
        <f t="shared" si="22"/>
        <v>0</v>
      </c>
      <c r="AB40" s="56">
        <v>0</v>
      </c>
      <c r="AC40" s="56">
        <f t="shared" si="11"/>
        <v>0</v>
      </c>
      <c r="AE40" s="56">
        <v>0</v>
      </c>
      <c r="AF40" s="56">
        <f t="shared" si="12"/>
        <v>0</v>
      </c>
      <c r="AG40" s="56">
        <f t="shared" si="13"/>
        <v>0</v>
      </c>
      <c r="AI40" s="56">
        <f t="shared" si="14"/>
        <v>0</v>
      </c>
      <c r="AJ40" s="56">
        <f t="shared" si="15"/>
        <v>0</v>
      </c>
      <c r="AK40" s="56">
        <f t="shared" si="16"/>
        <v>0</v>
      </c>
      <c r="AM40" s="56">
        <f t="shared" si="17"/>
        <v>373667</v>
      </c>
      <c r="AN40" s="56">
        <f t="shared" si="18"/>
        <v>37401</v>
      </c>
      <c r="AO40" s="56">
        <f t="shared" si="19"/>
        <v>94377</v>
      </c>
      <c r="AP40" s="56"/>
      <c r="AQ40" s="56">
        <f t="shared" si="20"/>
        <v>505445</v>
      </c>
      <c r="AS40" s="56">
        <v>1407.3227417832261</v>
      </c>
      <c r="AT40" s="56">
        <v>140.86145649852526</v>
      </c>
      <c r="AU40" s="56">
        <v>355.44722547422043</v>
      </c>
      <c r="AV40" s="56"/>
      <c r="AW40" s="56">
        <v>1903.6314237559718</v>
      </c>
      <c r="AY40" s="16">
        <v>-2.7119298295590011E-2</v>
      </c>
      <c r="AZ40" s="16">
        <v>-5.0239610119868439E-2</v>
      </c>
      <c r="BA40" s="16">
        <v>6.8561935429817478E-2</v>
      </c>
      <c r="BB40" s="16">
        <f t="shared" si="21"/>
        <v>-1.2386037927353266E-2</v>
      </c>
      <c r="BC40" s="16"/>
      <c r="BE40" s="16">
        <f>AM40/'2016-17 disagg'!AM40-1</f>
        <v>2.1252230855637322E-2</v>
      </c>
      <c r="BF40" s="16">
        <f>AN40/'2016-17 disagg'!AN40-1</f>
        <v>6.4251771334262964E-2</v>
      </c>
      <c r="BG40" s="16">
        <f>AO40/'2016-17 disagg'!AO40-1</f>
        <v>5.0723104841852162E-2</v>
      </c>
      <c r="BH40" s="16">
        <f>AQ40/'2016-17 disagg'!AQ40-1</f>
        <v>2.9723645475751459E-2</v>
      </c>
      <c r="BJ40" s="16">
        <f>AS40/'2016-17 disagg'!AS40-1</f>
        <v>1.1120611926806134E-2</v>
      </c>
      <c r="BK40" s="16">
        <f>AT40/'2016-17 disagg'!AT40-1</f>
        <v>5.3693563414894729E-2</v>
      </c>
      <c r="BL40" s="16">
        <f>AU40/'2016-17 disagg'!AU40-1</f>
        <v>4.0299111849389169E-2</v>
      </c>
      <c r="BM40" s="16">
        <f>AW40/'2016-17 disagg'!AW40-1</f>
        <v>1.9507983504343684E-2</v>
      </c>
    </row>
    <row r="41" spans="1:65" x14ac:dyDescent="0.2">
      <c r="A41" s="156" t="s">
        <v>127</v>
      </c>
      <c r="B41" s="156" t="s">
        <v>128</v>
      </c>
      <c r="D41" s="56">
        <f>VLOOKUP(A41,'2017-18'!$A$12:$AMX249,32,FALSE)</f>
        <v>289182</v>
      </c>
      <c r="E41" s="56">
        <v>1594.3838681067648</v>
      </c>
      <c r="F41" s="16">
        <f>VLOOKUP(A41,'2017-18'!$A$12:$AMX249,34,FALSE)</f>
        <v>2.3298112513181257E-2</v>
      </c>
      <c r="G41" s="16">
        <f>VLOOKUP(A41,'2017-18'!$A$12:$AMX249,35,FALSE)</f>
        <v>1.9552347045236562E-2</v>
      </c>
      <c r="H41" s="56"/>
      <c r="I41" s="56">
        <v>294450.73168152728</v>
      </c>
      <c r="J41" s="56">
        <v>1623.4326360052164</v>
      </c>
      <c r="K41" s="16">
        <f t="shared" si="6"/>
        <v>-1.7893423634707917E-2</v>
      </c>
      <c r="L41" s="58">
        <f t="shared" si="6"/>
        <v>-1.7893423634707695E-2</v>
      </c>
      <c r="M41" s="10"/>
      <c r="N41" s="56">
        <v>224367</v>
      </c>
      <c r="O41" s="56">
        <v>23190</v>
      </c>
      <c r="P41" s="56">
        <v>41625</v>
      </c>
      <c r="R41" s="56">
        <f t="shared" si="7"/>
        <v>41625</v>
      </c>
      <c r="S41" s="56">
        <f t="shared" si="8"/>
        <v>0</v>
      </c>
      <c r="U41" s="16">
        <v>-3.9376157755982022E-2</v>
      </c>
      <c r="V41" s="16">
        <v>2.8247515455335659E-2</v>
      </c>
      <c r="W41" s="56">
        <f t="shared" si="9"/>
        <v>1</v>
      </c>
      <c r="X41" s="56">
        <f t="shared" si="10"/>
        <v>2335.6384688087537</v>
      </c>
      <c r="Y41" s="56">
        <f t="shared" si="10"/>
        <v>225.52935602991315</v>
      </c>
      <c r="AA41" s="56">
        <f t="shared" si="22"/>
        <v>0</v>
      </c>
      <c r="AB41" s="56">
        <v>0</v>
      </c>
      <c r="AC41" s="56">
        <f t="shared" si="11"/>
        <v>0</v>
      </c>
      <c r="AE41" s="56">
        <v>0</v>
      </c>
      <c r="AF41" s="56">
        <f t="shared" si="12"/>
        <v>0</v>
      </c>
      <c r="AG41" s="56">
        <f t="shared" si="13"/>
        <v>0</v>
      </c>
      <c r="AI41" s="56">
        <f t="shared" si="14"/>
        <v>0</v>
      </c>
      <c r="AJ41" s="56">
        <f t="shared" si="15"/>
        <v>0</v>
      </c>
      <c r="AK41" s="56">
        <f t="shared" si="16"/>
        <v>0</v>
      </c>
      <c r="AM41" s="56">
        <f t="shared" si="17"/>
        <v>224367</v>
      </c>
      <c r="AN41" s="56">
        <f t="shared" si="18"/>
        <v>23190</v>
      </c>
      <c r="AO41" s="56">
        <f t="shared" si="19"/>
        <v>41625</v>
      </c>
      <c r="AP41" s="56"/>
      <c r="AQ41" s="56">
        <f t="shared" si="20"/>
        <v>289182</v>
      </c>
      <c r="AS41" s="56">
        <v>1237.0310923069571</v>
      </c>
      <c r="AT41" s="56">
        <v>127.85637384552246</v>
      </c>
      <c r="AU41" s="56">
        <v>229.49640195428512</v>
      </c>
      <c r="AV41" s="56"/>
      <c r="AW41" s="56">
        <v>1594.3838681067648</v>
      </c>
      <c r="AY41" s="16">
        <v>-3.9376157755982022E-2</v>
      </c>
      <c r="AZ41" s="16">
        <v>2.8247515455335659E-2</v>
      </c>
      <c r="BA41" s="16">
        <v>8.5852119889079148E-2</v>
      </c>
      <c r="BB41" s="16">
        <f t="shared" si="21"/>
        <v>-1.7893423634707917E-2</v>
      </c>
      <c r="BC41" s="16"/>
      <c r="BE41" s="16">
        <f>AM41/'2016-17 disagg'!AM41-1</f>
        <v>2.0030823646010054E-2</v>
      </c>
      <c r="BF41" s="16">
        <f>AN41/'2016-17 disagg'!AN41-1</f>
        <v>1.8400597250889383E-2</v>
      </c>
      <c r="BG41" s="16">
        <f>AO41/'2016-17 disagg'!AO41-1</f>
        <v>4.4122811418251251E-2</v>
      </c>
      <c r="BH41" s="16">
        <f>AQ41/'2016-17 disagg'!AQ41-1</f>
        <v>2.3298112513181257E-2</v>
      </c>
      <c r="BJ41" s="16">
        <f>AS41/'2016-17 disagg'!AS41-1</f>
        <v>1.6297018033812893E-2</v>
      </c>
      <c r="BK41" s="16">
        <f>AT41/'2016-17 disagg'!AT41-1</f>
        <v>1.4672759054893847E-2</v>
      </c>
      <c r="BL41" s="16">
        <f>AU41/'2016-17 disagg'!AU41-1</f>
        <v>4.0300817491477847E-2</v>
      </c>
      <c r="BM41" s="16">
        <f>AW41/'2016-17 disagg'!AW41-1</f>
        <v>1.9552347045236562E-2</v>
      </c>
    </row>
    <row r="42" spans="1:65" x14ac:dyDescent="0.2">
      <c r="A42" s="156" t="s">
        <v>129</v>
      </c>
      <c r="B42" s="156" t="s">
        <v>130</v>
      </c>
      <c r="D42" s="56">
        <f>VLOOKUP(A42,'2017-18'!$A$12:$AMX250,32,FALSE)</f>
        <v>313972</v>
      </c>
      <c r="E42" s="56">
        <v>1797.4191588184522</v>
      </c>
      <c r="F42" s="16">
        <f>VLOOKUP(A42,'2017-18'!$A$12:$AMX250,34,FALSE)</f>
        <v>3.0061448316814898E-2</v>
      </c>
      <c r="G42" s="16">
        <f>VLOOKUP(A42,'2017-18'!$A$12:$AMX250,35,FALSE)</f>
        <v>2.1828251814211219E-2</v>
      </c>
      <c r="H42" s="56"/>
      <c r="I42" s="56">
        <v>303200.76103104826</v>
      </c>
      <c r="J42" s="56">
        <v>1735.7562357329355</v>
      </c>
      <c r="K42" s="16">
        <f t="shared" si="6"/>
        <v>3.5525105320724393E-2</v>
      </c>
      <c r="L42" s="58">
        <f t="shared" si="6"/>
        <v>3.5525105320724393E-2</v>
      </c>
      <c r="M42" s="10"/>
      <c r="N42" s="56">
        <v>238669</v>
      </c>
      <c r="O42" s="56">
        <v>23849</v>
      </c>
      <c r="P42" s="56">
        <v>51454</v>
      </c>
      <c r="R42" s="56">
        <f t="shared" si="7"/>
        <v>51454</v>
      </c>
      <c r="S42" s="56">
        <f t="shared" si="8"/>
        <v>0</v>
      </c>
      <c r="U42" s="16">
        <v>2.8615119551965718E-2</v>
      </c>
      <c r="V42" s="16">
        <v>-5.5347237584862485E-2</v>
      </c>
      <c r="W42" s="56">
        <f t="shared" si="9"/>
        <v>3</v>
      </c>
      <c r="X42" s="56">
        <f t="shared" si="10"/>
        <v>2320.2944956122865</v>
      </c>
      <c r="Y42" s="56">
        <f t="shared" si="10"/>
        <v>252.46313723813901</v>
      </c>
      <c r="AA42" s="56">
        <f t="shared" si="22"/>
        <v>0</v>
      </c>
      <c r="AB42" s="56">
        <v>0</v>
      </c>
      <c r="AC42" s="56">
        <f t="shared" si="11"/>
        <v>0</v>
      </c>
      <c r="AE42" s="56">
        <v>0</v>
      </c>
      <c r="AF42" s="56">
        <f t="shared" si="12"/>
        <v>0</v>
      </c>
      <c r="AG42" s="56">
        <f t="shared" si="13"/>
        <v>0</v>
      </c>
      <c r="AI42" s="56">
        <f t="shared" si="14"/>
        <v>0</v>
      </c>
      <c r="AJ42" s="56">
        <f t="shared" si="15"/>
        <v>0</v>
      </c>
      <c r="AK42" s="56">
        <f t="shared" si="16"/>
        <v>0</v>
      </c>
      <c r="AM42" s="56">
        <f t="shared" si="17"/>
        <v>238669</v>
      </c>
      <c r="AN42" s="56">
        <f t="shared" si="18"/>
        <v>23849</v>
      </c>
      <c r="AO42" s="56">
        <f t="shared" si="19"/>
        <v>51454</v>
      </c>
      <c r="AP42" s="56"/>
      <c r="AQ42" s="56">
        <f t="shared" si="20"/>
        <v>313972</v>
      </c>
      <c r="AS42" s="56">
        <v>1366.3264024054411</v>
      </c>
      <c r="AT42" s="56">
        <v>136.53016676219937</v>
      </c>
      <c r="AU42" s="56">
        <v>294.56258965081162</v>
      </c>
      <c r="AV42" s="56"/>
      <c r="AW42" s="56">
        <v>1797.4191588184522</v>
      </c>
      <c r="AY42" s="16">
        <v>2.8615119551965718E-2</v>
      </c>
      <c r="AZ42" s="16">
        <v>-5.5347237584862485E-2</v>
      </c>
      <c r="BA42" s="16">
        <v>0.12039199837467907</v>
      </c>
      <c r="BB42" s="16">
        <f t="shared" si="21"/>
        <v>3.5525105320724393E-2</v>
      </c>
      <c r="BC42" s="16"/>
      <c r="BE42" s="16">
        <f>AM42/'2016-17 disagg'!AM42-1</f>
        <v>2.0031455411100074E-2</v>
      </c>
      <c r="BF42" s="16">
        <f>AN42/'2016-17 disagg'!AN42-1</f>
        <v>9.5901112030144287E-2</v>
      </c>
      <c r="BG42" s="16">
        <f>AO42/'2016-17 disagg'!AO42-1</f>
        <v>4.8690512585346069E-2</v>
      </c>
      <c r="BH42" s="16">
        <f>AQ42/'2016-17 disagg'!AQ42-1</f>
        <v>3.0061448316814898E-2</v>
      </c>
      <c r="BJ42" s="16">
        <f>AS42/'2016-17 disagg'!AS42-1</f>
        <v>1.1878427817494375E-2</v>
      </c>
      <c r="BK42" s="16">
        <f>AT42/'2016-17 disagg'!AT42-1</f>
        <v>8.7141664506397154E-2</v>
      </c>
      <c r="BL42" s="16">
        <f>AU42/'2016-17 disagg'!AU42-1</f>
        <v>4.0308415503040873E-2</v>
      </c>
      <c r="BM42" s="16">
        <f>AW42/'2016-17 disagg'!AW42-1</f>
        <v>2.1828251814211219E-2</v>
      </c>
    </row>
    <row r="43" spans="1:65" x14ac:dyDescent="0.2">
      <c r="A43" s="156" t="s">
        <v>131</v>
      </c>
      <c r="B43" s="156" t="s">
        <v>132</v>
      </c>
      <c r="D43" s="56">
        <f>VLOOKUP(A43,'2017-18'!$A$12:$AMX251,32,FALSE)</f>
        <v>315123</v>
      </c>
      <c r="E43" s="56">
        <v>2034.155841299339</v>
      </c>
      <c r="F43" s="16">
        <f>VLOOKUP(A43,'2017-18'!$A$12:$AMX251,34,FALSE)</f>
        <v>2.1567737543359167E-2</v>
      </c>
      <c r="G43" s="16">
        <f>VLOOKUP(A43,'2017-18'!$A$12:$AMX251,35,FALSE)</f>
        <v>2.1189983399750645E-2</v>
      </c>
      <c r="H43" s="56"/>
      <c r="I43" s="56">
        <v>298174.59883161227</v>
      </c>
      <c r="J43" s="56">
        <v>1924.7519284229054</v>
      </c>
      <c r="K43" s="16">
        <f t="shared" si="6"/>
        <v>5.6840526439205341E-2</v>
      </c>
      <c r="L43" s="58">
        <f t="shared" si="6"/>
        <v>5.6840526439205341E-2</v>
      </c>
      <c r="M43" s="10"/>
      <c r="N43" s="56">
        <v>240827</v>
      </c>
      <c r="O43" s="56">
        <v>20878</v>
      </c>
      <c r="P43" s="56">
        <v>53418</v>
      </c>
      <c r="R43" s="56">
        <f t="shared" si="7"/>
        <v>53418</v>
      </c>
      <c r="S43" s="56">
        <f t="shared" si="8"/>
        <v>0</v>
      </c>
      <c r="U43" s="16">
        <v>5.6453990764162132E-2</v>
      </c>
      <c r="V43" s="16">
        <v>-4.9357205217942957E-2</v>
      </c>
      <c r="W43" s="56">
        <f t="shared" si="9"/>
        <v>3</v>
      </c>
      <c r="X43" s="56">
        <f t="shared" si="10"/>
        <v>2279.5786859189507</v>
      </c>
      <c r="Y43" s="56">
        <f t="shared" si="10"/>
        <v>219.61982055296028</v>
      </c>
      <c r="AA43" s="56">
        <f t="shared" si="22"/>
        <v>0</v>
      </c>
      <c r="AB43" s="56">
        <v>0</v>
      </c>
      <c r="AC43" s="56">
        <f t="shared" si="11"/>
        <v>0</v>
      </c>
      <c r="AE43" s="56">
        <v>0</v>
      </c>
      <c r="AF43" s="56">
        <f t="shared" si="12"/>
        <v>0</v>
      </c>
      <c r="AG43" s="56">
        <f t="shared" si="13"/>
        <v>0</v>
      </c>
      <c r="AI43" s="56">
        <f t="shared" si="14"/>
        <v>0</v>
      </c>
      <c r="AJ43" s="56">
        <f t="shared" si="15"/>
        <v>0</v>
      </c>
      <c r="AK43" s="56">
        <f t="shared" si="16"/>
        <v>0</v>
      </c>
      <c r="AM43" s="56">
        <f t="shared" si="17"/>
        <v>240827</v>
      </c>
      <c r="AN43" s="56">
        <f t="shared" si="18"/>
        <v>20878</v>
      </c>
      <c r="AO43" s="56">
        <f t="shared" si="19"/>
        <v>53418</v>
      </c>
      <c r="AP43" s="56"/>
      <c r="AQ43" s="56">
        <f t="shared" si="20"/>
        <v>315123</v>
      </c>
      <c r="AS43" s="56">
        <v>1554.566467038572</v>
      </c>
      <c r="AT43" s="56">
        <v>134.7699331837016</v>
      </c>
      <c r="AU43" s="56">
        <v>344.81944107706545</v>
      </c>
      <c r="AV43" s="56"/>
      <c r="AW43" s="56">
        <v>2034.155841299339</v>
      </c>
      <c r="AY43" s="16">
        <v>5.6453990764162132E-2</v>
      </c>
      <c r="AZ43" s="16">
        <v>-4.9357205217942957E-2</v>
      </c>
      <c r="BA43" s="16">
        <v>0.10699987068310457</v>
      </c>
      <c r="BB43" s="16">
        <f t="shared" si="21"/>
        <v>5.6840526439205341E-2</v>
      </c>
      <c r="BC43" s="16"/>
      <c r="BE43" s="16">
        <f>AM43/'2016-17 disagg'!AM43-1</f>
        <v>1.5376507294038388E-2</v>
      </c>
      <c r="BF43" s="16">
        <f>AN43/'2016-17 disagg'!AN43-1</f>
        <v>4.5991983967935912E-2</v>
      </c>
      <c r="BG43" s="16">
        <f>AO43/'2016-17 disagg'!AO43-1</f>
        <v>4.067796610169494E-2</v>
      </c>
      <c r="BH43" s="16">
        <f>AQ43/'2016-17 disagg'!AQ43-1</f>
        <v>2.1567737543359167E-2</v>
      </c>
      <c r="BJ43" s="16">
        <f>AS43/'2016-17 disagg'!AS43-1</f>
        <v>1.5001042536433973E-2</v>
      </c>
      <c r="BK43" s="16">
        <f>AT43/'2016-17 disagg'!AT43-1</f>
        <v>4.5605198254561996E-2</v>
      </c>
      <c r="BL43" s="16">
        <f>AU43/'2016-17 disagg'!AU43-1</f>
        <v>4.0293145399738828E-2</v>
      </c>
      <c r="BM43" s="16">
        <f>AW43/'2016-17 disagg'!AW43-1</f>
        <v>2.1189983399750645E-2</v>
      </c>
    </row>
    <row r="44" spans="1:65" x14ac:dyDescent="0.2">
      <c r="A44" s="156" t="s">
        <v>133</v>
      </c>
      <c r="B44" s="156" t="s">
        <v>134</v>
      </c>
      <c r="D44" s="56">
        <f>VLOOKUP(A44,'2017-18'!$A$12:$AMX252,32,FALSE)</f>
        <v>229859</v>
      </c>
      <c r="E44" s="56">
        <v>1849.3887904944966</v>
      </c>
      <c r="F44" s="16">
        <f>VLOOKUP(A44,'2017-18'!$A$12:$AMX252,34,FALSE)</f>
        <v>2.2945844069727661E-2</v>
      </c>
      <c r="G44" s="16">
        <f>VLOOKUP(A44,'2017-18'!$A$12:$AMX252,35,FALSE)</f>
        <v>2.1217606937935507E-2</v>
      </c>
      <c r="H44" s="56"/>
      <c r="I44" s="56">
        <v>224902.62185144392</v>
      </c>
      <c r="J44" s="56">
        <v>1809.5109950225269</v>
      </c>
      <c r="K44" s="16">
        <f t="shared" si="6"/>
        <v>2.2037885142263569E-2</v>
      </c>
      <c r="L44" s="58">
        <f t="shared" si="6"/>
        <v>2.2037885142263569E-2</v>
      </c>
      <c r="M44" s="10"/>
      <c r="N44" s="56">
        <v>181354</v>
      </c>
      <c r="O44" s="56">
        <v>16243</v>
      </c>
      <c r="P44" s="56">
        <v>32262</v>
      </c>
      <c r="R44" s="56">
        <f t="shared" si="7"/>
        <v>32262</v>
      </c>
      <c r="S44" s="56">
        <f t="shared" si="8"/>
        <v>0</v>
      </c>
      <c r="U44" s="16">
        <v>2.4810057789880435E-2</v>
      </c>
      <c r="V44" s="16">
        <v>-1.0976809114612296E-2</v>
      </c>
      <c r="W44" s="56">
        <f t="shared" si="9"/>
        <v>3</v>
      </c>
      <c r="X44" s="56">
        <f t="shared" si="10"/>
        <v>1769.635247248749</v>
      </c>
      <c r="Y44" s="56">
        <f t="shared" si="10"/>
        <v>164.23275156428875</v>
      </c>
      <c r="AA44" s="56">
        <f t="shared" si="22"/>
        <v>0</v>
      </c>
      <c r="AB44" s="56">
        <v>0</v>
      </c>
      <c r="AC44" s="56">
        <f t="shared" si="11"/>
        <v>0</v>
      </c>
      <c r="AE44" s="56">
        <v>0</v>
      </c>
      <c r="AF44" s="56">
        <f t="shared" si="12"/>
        <v>0</v>
      </c>
      <c r="AG44" s="56">
        <f t="shared" si="13"/>
        <v>0</v>
      </c>
      <c r="AI44" s="56">
        <f t="shared" si="14"/>
        <v>0</v>
      </c>
      <c r="AJ44" s="56">
        <f t="shared" si="15"/>
        <v>0</v>
      </c>
      <c r="AK44" s="56">
        <f t="shared" si="16"/>
        <v>0</v>
      </c>
      <c r="AM44" s="56">
        <f t="shared" si="17"/>
        <v>181354</v>
      </c>
      <c r="AN44" s="56">
        <f t="shared" si="18"/>
        <v>16243</v>
      </c>
      <c r="AO44" s="56">
        <f t="shared" si="19"/>
        <v>32262</v>
      </c>
      <c r="AP44" s="56"/>
      <c r="AQ44" s="56">
        <f t="shared" si="20"/>
        <v>229859</v>
      </c>
      <c r="AS44" s="56">
        <v>1459.1295303265867</v>
      </c>
      <c r="AT44" s="56">
        <v>130.68716963008674</v>
      </c>
      <c r="AU44" s="56">
        <v>259.57209053782293</v>
      </c>
      <c r="AV44" s="56"/>
      <c r="AW44" s="56">
        <v>1849.3887904944966</v>
      </c>
      <c r="AY44" s="16">
        <v>2.4810057789880435E-2</v>
      </c>
      <c r="AZ44" s="16">
        <v>-1.0976809114612296E-2</v>
      </c>
      <c r="BA44" s="16">
        <v>2.367629917972125E-2</v>
      </c>
      <c r="BB44" s="16">
        <f t="shared" si="21"/>
        <v>2.2037885142263569E-2</v>
      </c>
      <c r="BC44" s="16"/>
      <c r="BE44" s="16">
        <f>AM44/'2016-17 disagg'!AM44-1</f>
        <v>2.0028910024579183E-2</v>
      </c>
      <c r="BF44" s="16">
        <f>AN44/'2016-17 disagg'!AN44-1</f>
        <v>1.8369905956112875E-2</v>
      </c>
      <c r="BG44" s="16">
        <f>AO44/'2016-17 disagg'!AO44-1</f>
        <v>4.205426356589137E-2</v>
      </c>
      <c r="BH44" s="16">
        <f>AQ44/'2016-17 disagg'!AQ44-1</f>
        <v>2.2945844069727661E-2</v>
      </c>
      <c r="BJ44" s="16">
        <f>AS44/'2016-17 disagg'!AS44-1</f>
        <v>1.8305600967676749E-2</v>
      </c>
      <c r="BK44" s="16">
        <f>AT44/'2016-17 disagg'!AT44-1</f>
        <v>1.6649399738138726E-2</v>
      </c>
      <c r="BL44" s="16">
        <f>AU44/'2016-17 disagg'!AU44-1</f>
        <v>4.029374331735891E-2</v>
      </c>
      <c r="BM44" s="16">
        <f>AW44/'2016-17 disagg'!AW44-1</f>
        <v>2.1217606937935507E-2</v>
      </c>
    </row>
    <row r="45" spans="1:65" x14ac:dyDescent="0.2">
      <c r="A45" s="156" t="s">
        <v>135</v>
      </c>
      <c r="B45" s="156" t="s">
        <v>136</v>
      </c>
      <c r="D45" s="56">
        <f>VLOOKUP(A45,'2017-18'!$A$12:$AMX253,32,FALSE)</f>
        <v>372324</v>
      </c>
      <c r="E45" s="56">
        <v>1889.70199685425</v>
      </c>
      <c r="F45" s="16">
        <f>VLOOKUP(A45,'2017-18'!$A$12:$AMX253,34,FALSE)</f>
        <v>2.3382634676224479E-2</v>
      </c>
      <c r="G45" s="16">
        <f>VLOOKUP(A45,'2017-18'!$A$12:$AMX253,35,FALSE)</f>
        <v>1.9109701701621518E-2</v>
      </c>
      <c r="H45" s="56"/>
      <c r="I45" s="56">
        <v>368533.59488511371</v>
      </c>
      <c r="J45" s="56">
        <v>1870.4640854800512</v>
      </c>
      <c r="K45" s="16">
        <f t="shared" si="6"/>
        <v>1.0285100646164835E-2</v>
      </c>
      <c r="L45" s="58">
        <f t="shared" si="6"/>
        <v>1.0285100646164835E-2</v>
      </c>
      <c r="M45" s="10"/>
      <c r="N45" s="56">
        <v>290681</v>
      </c>
      <c r="O45" s="56">
        <v>28018</v>
      </c>
      <c r="P45" s="56">
        <v>53625</v>
      </c>
      <c r="R45" s="56">
        <f t="shared" si="7"/>
        <v>53625</v>
      </c>
      <c r="S45" s="56">
        <f t="shared" si="8"/>
        <v>0</v>
      </c>
      <c r="U45" s="16">
        <v>-1.8020386593842197E-4</v>
      </c>
      <c r="V45" s="16">
        <v>2.8947447159649364E-2</v>
      </c>
      <c r="W45" s="56">
        <f t="shared" si="9"/>
        <v>1</v>
      </c>
      <c r="X45" s="56">
        <f t="shared" si="10"/>
        <v>2907.3339128106622</v>
      </c>
      <c r="Y45" s="56">
        <f t="shared" si="10"/>
        <v>272.29767737256248</v>
      </c>
      <c r="AA45" s="56">
        <f t="shared" si="22"/>
        <v>0</v>
      </c>
      <c r="AB45" s="56">
        <v>0</v>
      </c>
      <c r="AC45" s="56">
        <f t="shared" si="11"/>
        <v>0</v>
      </c>
      <c r="AE45" s="56">
        <v>0</v>
      </c>
      <c r="AF45" s="56">
        <f t="shared" si="12"/>
        <v>0</v>
      </c>
      <c r="AG45" s="56">
        <f t="shared" si="13"/>
        <v>0</v>
      </c>
      <c r="AI45" s="56">
        <f t="shared" si="14"/>
        <v>0</v>
      </c>
      <c r="AJ45" s="56">
        <f t="shared" si="15"/>
        <v>0</v>
      </c>
      <c r="AK45" s="56">
        <f t="shared" si="16"/>
        <v>0</v>
      </c>
      <c r="AM45" s="56">
        <f t="shared" si="17"/>
        <v>290681</v>
      </c>
      <c r="AN45" s="56">
        <f t="shared" si="18"/>
        <v>28018</v>
      </c>
      <c r="AO45" s="56">
        <f t="shared" si="19"/>
        <v>53625</v>
      </c>
      <c r="AP45" s="56"/>
      <c r="AQ45" s="56">
        <f t="shared" si="20"/>
        <v>372324</v>
      </c>
      <c r="AS45" s="56">
        <v>1475.3291921756056</v>
      </c>
      <c r="AT45" s="56">
        <v>142.20321695045814</v>
      </c>
      <c r="AU45" s="56">
        <v>272.16958772818606</v>
      </c>
      <c r="AV45" s="56"/>
      <c r="AW45" s="56">
        <v>1889.70199685425</v>
      </c>
      <c r="AY45" s="16">
        <v>-1.8020386593842197E-4</v>
      </c>
      <c r="AZ45" s="16">
        <v>2.8947447159649364E-2</v>
      </c>
      <c r="BA45" s="16">
        <v>6.0402171364606794E-2</v>
      </c>
      <c r="BB45" s="16">
        <f t="shared" si="21"/>
        <v>1.0285100646164835E-2</v>
      </c>
      <c r="BC45" s="16"/>
      <c r="BE45" s="16">
        <f>AM45/'2016-17 disagg'!AM45-1</f>
        <v>2.0029967751330924E-2</v>
      </c>
      <c r="BF45" s="16">
        <f>AN45/'2016-17 disagg'!AN45-1</f>
        <v>1.8391974411166023E-2</v>
      </c>
      <c r="BG45" s="16">
        <f>AO45/'2016-17 disagg'!AO45-1</f>
        <v>4.4669991428348821E-2</v>
      </c>
      <c r="BH45" s="16">
        <f>AQ45/'2016-17 disagg'!AQ45-1</f>
        <v>2.3382634676224479E-2</v>
      </c>
      <c r="BJ45" s="16">
        <f>AS45/'2016-17 disagg'!AS45-1</f>
        <v>1.577103317827433E-2</v>
      </c>
      <c r="BK45" s="16">
        <f>AT45/'2016-17 disagg'!AT45-1</f>
        <v>1.4139878957240892E-2</v>
      </c>
      <c r="BL45" s="16">
        <f>AU45/'2016-17 disagg'!AU45-1</f>
        <v>4.0308177281126234E-2</v>
      </c>
      <c r="BM45" s="16">
        <f>AW45/'2016-17 disagg'!AW45-1</f>
        <v>1.9109701701621518E-2</v>
      </c>
    </row>
    <row r="46" spans="1:65" x14ac:dyDescent="0.2">
      <c r="A46" s="156" t="s">
        <v>137</v>
      </c>
      <c r="B46" s="156" t="s">
        <v>138</v>
      </c>
      <c r="D46" s="56">
        <f>VLOOKUP(A46,'2017-18'!$A$12:$AMX254,32,FALSE)</f>
        <v>524464</v>
      </c>
      <c r="E46" s="56">
        <v>1697.1649522664438</v>
      </c>
      <c r="F46" s="16">
        <f>VLOOKUP(A46,'2017-18'!$A$12:$AMX254,34,FALSE)</f>
        <v>2.7901251989306708E-2</v>
      </c>
      <c r="G46" s="16">
        <f>VLOOKUP(A46,'2017-18'!$A$12:$AMX254,35,FALSE)</f>
        <v>2.3052199210709112E-2</v>
      </c>
      <c r="H46" s="56"/>
      <c r="I46" s="56">
        <v>534829.87342921563</v>
      </c>
      <c r="J46" s="56">
        <v>1730.7089077785377</v>
      </c>
      <c r="K46" s="16">
        <f t="shared" si="6"/>
        <v>-1.9381627587015338E-2</v>
      </c>
      <c r="L46" s="58">
        <f t="shared" si="6"/>
        <v>-1.9381627587015449E-2</v>
      </c>
      <c r="M46" s="10"/>
      <c r="N46" s="56">
        <v>398889</v>
      </c>
      <c r="O46" s="56">
        <v>37887</v>
      </c>
      <c r="P46" s="56">
        <v>87688</v>
      </c>
      <c r="R46" s="56">
        <f t="shared" si="7"/>
        <v>87688</v>
      </c>
      <c r="S46" s="56">
        <f t="shared" si="8"/>
        <v>0</v>
      </c>
      <c r="U46" s="16">
        <v>-4.5066655909424935E-2</v>
      </c>
      <c r="V46" s="16">
        <v>-5.2276214066334648E-2</v>
      </c>
      <c r="W46" s="56">
        <f t="shared" si="9"/>
        <v>4</v>
      </c>
      <c r="X46" s="56">
        <f t="shared" si="10"/>
        <v>4177.1397183735317</v>
      </c>
      <c r="Y46" s="56">
        <f t="shared" si="10"/>
        <v>399.76837726695879</v>
      </c>
      <c r="AA46" s="56">
        <f t="shared" si="22"/>
        <v>0</v>
      </c>
      <c r="AB46" s="56">
        <v>0</v>
      </c>
      <c r="AC46" s="56">
        <f t="shared" si="11"/>
        <v>0</v>
      </c>
      <c r="AE46" s="56">
        <v>0</v>
      </c>
      <c r="AF46" s="56">
        <f t="shared" si="12"/>
        <v>0</v>
      </c>
      <c r="AG46" s="56">
        <f t="shared" si="13"/>
        <v>0</v>
      </c>
      <c r="AI46" s="56">
        <f t="shared" si="14"/>
        <v>0</v>
      </c>
      <c r="AJ46" s="56">
        <f t="shared" si="15"/>
        <v>0</v>
      </c>
      <c r="AK46" s="56">
        <f t="shared" si="16"/>
        <v>0</v>
      </c>
      <c r="AM46" s="56">
        <f t="shared" si="17"/>
        <v>398889</v>
      </c>
      <c r="AN46" s="56">
        <f t="shared" si="18"/>
        <v>37887</v>
      </c>
      <c r="AO46" s="56">
        <f t="shared" si="19"/>
        <v>87688</v>
      </c>
      <c r="AP46" s="56"/>
      <c r="AQ46" s="56">
        <f t="shared" si="20"/>
        <v>524464</v>
      </c>
      <c r="AS46" s="56">
        <v>1290.804384370728</v>
      </c>
      <c r="AT46" s="56">
        <v>122.60229214306179</v>
      </c>
      <c r="AU46" s="56">
        <v>283.75827575265401</v>
      </c>
      <c r="AV46" s="56"/>
      <c r="AW46" s="56">
        <v>1697.1649522664438</v>
      </c>
      <c r="AY46" s="16">
        <v>-4.5066655909424935E-2</v>
      </c>
      <c r="AZ46" s="16">
        <v>-5.2276214066334648E-2</v>
      </c>
      <c r="BA46" s="16">
        <v>0.13675219280949746</v>
      </c>
      <c r="BB46" s="16">
        <f t="shared" si="21"/>
        <v>-1.9381627587015338E-2</v>
      </c>
      <c r="BC46" s="16"/>
      <c r="BE46" s="16">
        <f>AM46/'2016-17 disagg'!AM46-1</f>
        <v>2.0030379280716826E-2</v>
      </c>
      <c r="BF46" s="16">
        <f>AN46/'2016-17 disagg'!AN46-1</f>
        <v>7.392499787408946E-2</v>
      </c>
      <c r="BG46" s="16">
        <f>AO46/'2016-17 disagg'!AO46-1</f>
        <v>4.5236193722956619E-2</v>
      </c>
      <c r="BH46" s="16">
        <f>AQ46/'2016-17 disagg'!AQ46-1</f>
        <v>2.7901251989306708E-2</v>
      </c>
      <c r="BJ46" s="16">
        <f>AS46/'2016-17 disagg'!AS46-1</f>
        <v>1.5218456797567059E-2</v>
      </c>
      <c r="BK46" s="16">
        <f>AT46/'2016-17 disagg'!AT46-1</f>
        <v>6.8858831270178111E-2</v>
      </c>
      <c r="BL46" s="16">
        <f>AU46/'2016-17 disagg'!AU46-1</f>
        <v>4.030536456047229E-2</v>
      </c>
      <c r="BM46" s="16">
        <f>AW46/'2016-17 disagg'!AW46-1</f>
        <v>2.3052199210709112E-2</v>
      </c>
    </row>
    <row r="47" spans="1:65" x14ac:dyDescent="0.2">
      <c r="A47" s="156" t="s">
        <v>139</v>
      </c>
      <c r="B47" s="156" t="s">
        <v>140</v>
      </c>
      <c r="D47" s="56">
        <f>VLOOKUP(A47,'2017-18'!$A$12:$AMX255,32,FALSE)</f>
        <v>445070</v>
      </c>
      <c r="E47" s="56">
        <v>1804.5536635069498</v>
      </c>
      <c r="F47" s="16">
        <f>VLOOKUP(A47,'2017-18'!$A$12:$AMX255,34,FALSE)</f>
        <v>2.5265951320196711E-2</v>
      </c>
      <c r="G47" s="16">
        <f>VLOOKUP(A47,'2017-18'!$A$12:$AMX255,35,FALSE)</f>
        <v>1.9430028412481537E-2</v>
      </c>
      <c r="H47" s="56"/>
      <c r="I47" s="56">
        <v>444577.90249888069</v>
      </c>
      <c r="J47" s="56">
        <v>1802.5584350070565</v>
      </c>
      <c r="K47" s="16">
        <f t="shared" si="6"/>
        <v>1.1068870008008602E-3</v>
      </c>
      <c r="L47" s="58">
        <f t="shared" si="6"/>
        <v>1.1068870008008602E-3</v>
      </c>
      <c r="M47" s="10"/>
      <c r="N47" s="56">
        <v>343627</v>
      </c>
      <c r="O47" s="56">
        <v>32075</v>
      </c>
      <c r="P47" s="56">
        <v>69368</v>
      </c>
      <c r="R47" s="56">
        <f t="shared" si="7"/>
        <v>69368</v>
      </c>
      <c r="S47" s="56">
        <f t="shared" si="8"/>
        <v>0</v>
      </c>
      <c r="U47" s="16">
        <v>-7.6007843837776479E-3</v>
      </c>
      <c r="V47" s="16">
        <v>-4.8044171092595289E-2</v>
      </c>
      <c r="W47" s="56">
        <f t="shared" si="9"/>
        <v>4</v>
      </c>
      <c r="X47" s="56">
        <f t="shared" si="10"/>
        <v>3462.5883877450224</v>
      </c>
      <c r="Y47" s="56">
        <f t="shared" si="10"/>
        <v>336.93790222193059</v>
      </c>
      <c r="AA47" s="56">
        <f t="shared" si="22"/>
        <v>0</v>
      </c>
      <c r="AB47" s="56">
        <v>0</v>
      </c>
      <c r="AC47" s="56">
        <f t="shared" si="11"/>
        <v>0</v>
      </c>
      <c r="AE47" s="56">
        <v>0</v>
      </c>
      <c r="AF47" s="56">
        <f t="shared" si="12"/>
        <v>0</v>
      </c>
      <c r="AG47" s="56">
        <f t="shared" si="13"/>
        <v>0</v>
      </c>
      <c r="AI47" s="56">
        <f t="shared" si="14"/>
        <v>0</v>
      </c>
      <c r="AJ47" s="56">
        <f t="shared" si="15"/>
        <v>0</v>
      </c>
      <c r="AK47" s="56">
        <f t="shared" si="16"/>
        <v>0</v>
      </c>
      <c r="AM47" s="56">
        <f t="shared" si="17"/>
        <v>343627</v>
      </c>
      <c r="AN47" s="56">
        <f t="shared" si="18"/>
        <v>32075</v>
      </c>
      <c r="AO47" s="56">
        <f t="shared" si="19"/>
        <v>69368</v>
      </c>
      <c r="AP47" s="56"/>
      <c r="AQ47" s="56">
        <f t="shared" si="20"/>
        <v>445070</v>
      </c>
      <c r="AS47" s="56">
        <v>1393.2490658321221</v>
      </c>
      <c r="AT47" s="56">
        <v>130.04933776031953</v>
      </c>
      <c r="AU47" s="56">
        <v>281.25525991450803</v>
      </c>
      <c r="AV47" s="56"/>
      <c r="AW47" s="56">
        <v>1804.5536635069498</v>
      </c>
      <c r="AY47" s="16">
        <v>-7.6007843837776479E-3</v>
      </c>
      <c r="AZ47" s="16">
        <v>-4.8044171092595289E-2</v>
      </c>
      <c r="BA47" s="16">
        <v>7.3388107172253969E-2</v>
      </c>
      <c r="BB47" s="16">
        <f t="shared" si="21"/>
        <v>1.1068870008008602E-3</v>
      </c>
      <c r="BC47" s="16"/>
      <c r="BE47" s="16">
        <f>AM47/'2016-17 disagg'!AM47-1</f>
        <v>2.0030930987090301E-2</v>
      </c>
      <c r="BF47" s="16">
        <f>AN47/'2016-17 disagg'!AN47-1</f>
        <v>3.7287368216803563E-2</v>
      </c>
      <c r="BG47" s="16">
        <f>AO47/'2016-17 disagg'!AO47-1</f>
        <v>4.6258729129273979E-2</v>
      </c>
      <c r="BH47" s="16">
        <f>AQ47/'2016-17 disagg'!AQ47-1</f>
        <v>2.5265951320196711E-2</v>
      </c>
      <c r="BJ47" s="16">
        <f>AS47/'2016-17 disagg'!AS47-1</f>
        <v>1.4224806372242549E-2</v>
      </c>
      <c r="BK47" s="16">
        <f>AT47/'2016-17 disagg'!AT47-1</f>
        <v>3.1383018124746975E-2</v>
      </c>
      <c r="BL47" s="16">
        <f>AU47/'2016-17 disagg'!AU47-1</f>
        <v>4.030331309613655E-2</v>
      </c>
      <c r="BM47" s="16">
        <f>AW47/'2016-17 disagg'!AW47-1</f>
        <v>1.9430028412481537E-2</v>
      </c>
    </row>
    <row r="48" spans="1:65" x14ac:dyDescent="0.2">
      <c r="A48" s="156" t="s">
        <v>141</v>
      </c>
      <c r="B48" s="156" t="s">
        <v>142</v>
      </c>
      <c r="D48" s="56">
        <f>VLOOKUP(A48,'2017-18'!$A$12:$AMX256,32,FALSE)</f>
        <v>399246</v>
      </c>
      <c r="E48" s="56">
        <v>1647.8017090533394</v>
      </c>
      <c r="F48" s="16">
        <f>VLOOKUP(A48,'2017-18'!$A$12:$AMX256,34,FALSE)</f>
        <v>2.4600934147718467E-2</v>
      </c>
      <c r="G48" s="16">
        <f>VLOOKUP(A48,'2017-18'!$A$12:$AMX256,35,FALSE)</f>
        <v>1.7512297643102137E-2</v>
      </c>
      <c r="H48" s="56"/>
      <c r="I48" s="56">
        <v>393266.20098619041</v>
      </c>
      <c r="J48" s="56">
        <v>1623.1213790443953</v>
      </c>
      <c r="K48" s="16">
        <f t="shared" si="6"/>
        <v>1.520547404992878E-2</v>
      </c>
      <c r="L48" s="58">
        <f t="shared" si="6"/>
        <v>1.520547404992878E-2</v>
      </c>
      <c r="M48" s="10"/>
      <c r="N48" s="56">
        <v>299389</v>
      </c>
      <c r="O48" s="56">
        <v>30191</v>
      </c>
      <c r="P48" s="56">
        <v>69666</v>
      </c>
      <c r="R48" s="56">
        <f t="shared" si="7"/>
        <v>69666</v>
      </c>
      <c r="S48" s="56">
        <f t="shared" si="8"/>
        <v>0</v>
      </c>
      <c r="U48" s="16">
        <v>-2.054692246242662E-3</v>
      </c>
      <c r="V48" s="16">
        <v>3.4202176955933083E-5</v>
      </c>
      <c r="W48" s="56">
        <f t="shared" si="9"/>
        <v>1</v>
      </c>
      <c r="X48" s="56">
        <f t="shared" si="10"/>
        <v>3000.0541880785527</v>
      </c>
      <c r="Y48" s="56">
        <f t="shared" si="10"/>
        <v>301.89967437391414</v>
      </c>
      <c r="AA48" s="56">
        <f t="shared" si="22"/>
        <v>0</v>
      </c>
      <c r="AB48" s="56">
        <v>0</v>
      </c>
      <c r="AC48" s="56">
        <f t="shared" si="11"/>
        <v>0</v>
      </c>
      <c r="AE48" s="56">
        <v>0</v>
      </c>
      <c r="AF48" s="56">
        <f t="shared" si="12"/>
        <v>0</v>
      </c>
      <c r="AG48" s="56">
        <f t="shared" si="13"/>
        <v>0</v>
      </c>
      <c r="AI48" s="56">
        <f t="shared" si="14"/>
        <v>0</v>
      </c>
      <c r="AJ48" s="56">
        <f t="shared" si="15"/>
        <v>0</v>
      </c>
      <c r="AK48" s="56">
        <f t="shared" si="16"/>
        <v>0</v>
      </c>
      <c r="AM48" s="56">
        <f t="shared" si="17"/>
        <v>299389</v>
      </c>
      <c r="AN48" s="56">
        <f t="shared" si="18"/>
        <v>30191</v>
      </c>
      <c r="AO48" s="56">
        <f t="shared" si="19"/>
        <v>69666</v>
      </c>
      <c r="AP48" s="56"/>
      <c r="AQ48" s="56">
        <f t="shared" si="20"/>
        <v>399246</v>
      </c>
      <c r="AS48" s="56">
        <v>1235.6634903587519</v>
      </c>
      <c r="AT48" s="56">
        <v>124.60683738354142</v>
      </c>
      <c r="AU48" s="56">
        <v>287.53138131104618</v>
      </c>
      <c r="AV48" s="56"/>
      <c r="AW48" s="56">
        <v>1647.8017090533394</v>
      </c>
      <c r="AY48" s="16">
        <v>-2.054692246242662E-3</v>
      </c>
      <c r="AZ48" s="16">
        <v>3.4202176955933083E-5</v>
      </c>
      <c r="BA48" s="16">
        <v>0.10456794138692005</v>
      </c>
      <c r="BB48" s="16">
        <f t="shared" si="21"/>
        <v>1.520547404992878E-2</v>
      </c>
      <c r="BC48" s="16"/>
      <c r="BE48" s="16">
        <f>AM48/'2016-17 disagg'!AM48-1</f>
        <v>2.0029981942693675E-2</v>
      </c>
      <c r="BF48" s="16">
        <f>AN48/'2016-17 disagg'!AN48-1</f>
        <v>1.8383593064831727E-2</v>
      </c>
      <c r="BG48" s="16">
        <f>AO48/'2016-17 disagg'!AO48-1</f>
        <v>4.7546012269938709E-2</v>
      </c>
      <c r="BH48" s="16">
        <f>AQ48/'2016-17 disagg'!AQ48-1</f>
        <v>2.4600934147718467E-2</v>
      </c>
      <c r="BJ48" s="16">
        <f>AS48/'2016-17 disagg'!AS48-1</f>
        <v>1.2972969280669489E-2</v>
      </c>
      <c r="BK48" s="16">
        <f>AT48/'2016-17 disagg'!AT48-1</f>
        <v>1.1337970839719658E-2</v>
      </c>
      <c r="BL48" s="16">
        <f>AU48/'2016-17 disagg'!AU48-1</f>
        <v>4.0298631699259513E-2</v>
      </c>
      <c r="BM48" s="16">
        <f>AW48/'2016-17 disagg'!AW48-1</f>
        <v>1.7512297643102137E-2</v>
      </c>
    </row>
    <row r="49" spans="1:65" x14ac:dyDescent="0.2">
      <c r="A49" s="156" t="s">
        <v>143</v>
      </c>
      <c r="B49" s="156" t="s">
        <v>144</v>
      </c>
      <c r="D49" s="56">
        <f>VLOOKUP(A49,'2017-18'!$A$12:$AMX257,32,FALSE)</f>
        <v>167787</v>
      </c>
      <c r="E49" s="56">
        <v>1611.3702458477776</v>
      </c>
      <c r="F49" s="16">
        <f>VLOOKUP(A49,'2017-18'!$A$12:$AMX257,34,FALSE)</f>
        <v>2.3122656178542034E-2</v>
      </c>
      <c r="G49" s="16">
        <f>VLOOKUP(A49,'2017-18'!$A$12:$AMX257,35,FALSE)</f>
        <v>2.1078569942881265E-2</v>
      </c>
      <c r="H49" s="56"/>
      <c r="I49" s="56">
        <v>170649.54933276901</v>
      </c>
      <c r="J49" s="56">
        <v>1638.861212502497</v>
      </c>
      <c r="K49" s="16">
        <f t="shared" si="6"/>
        <v>-1.6774432419900509E-2</v>
      </c>
      <c r="L49" s="58">
        <f t="shared" si="6"/>
        <v>-1.6774432419900509E-2</v>
      </c>
      <c r="M49" s="10"/>
      <c r="N49" s="56">
        <v>130462</v>
      </c>
      <c r="O49" s="56">
        <v>12735</v>
      </c>
      <c r="P49" s="56">
        <v>24590</v>
      </c>
      <c r="R49" s="56">
        <f t="shared" si="7"/>
        <v>24590</v>
      </c>
      <c r="S49" s="56">
        <f t="shared" si="8"/>
        <v>0</v>
      </c>
      <c r="U49" s="16">
        <v>-3.2908396562698949E-2</v>
      </c>
      <c r="V49" s="16">
        <v>-1.1775664560690013E-2</v>
      </c>
      <c r="W49" s="56">
        <f t="shared" si="9"/>
        <v>4</v>
      </c>
      <c r="X49" s="56">
        <f t="shared" si="10"/>
        <v>1349.0138838586056</v>
      </c>
      <c r="Y49" s="56">
        <f t="shared" si="10"/>
        <v>128.86750045816999</v>
      </c>
      <c r="AA49" s="56">
        <f t="shared" si="22"/>
        <v>0</v>
      </c>
      <c r="AB49" s="56">
        <v>0</v>
      </c>
      <c r="AC49" s="56">
        <f t="shared" si="11"/>
        <v>0</v>
      </c>
      <c r="AE49" s="56">
        <v>0</v>
      </c>
      <c r="AF49" s="56">
        <f t="shared" si="12"/>
        <v>0</v>
      </c>
      <c r="AG49" s="56">
        <f t="shared" si="13"/>
        <v>0</v>
      </c>
      <c r="AI49" s="56">
        <f t="shared" si="14"/>
        <v>0</v>
      </c>
      <c r="AJ49" s="56">
        <f t="shared" si="15"/>
        <v>0</v>
      </c>
      <c r="AK49" s="56">
        <f t="shared" si="16"/>
        <v>0</v>
      </c>
      <c r="AM49" s="56">
        <f t="shared" si="17"/>
        <v>130462</v>
      </c>
      <c r="AN49" s="56">
        <f t="shared" si="18"/>
        <v>12735</v>
      </c>
      <c r="AO49" s="56">
        <f t="shared" si="19"/>
        <v>24590</v>
      </c>
      <c r="AP49" s="56"/>
      <c r="AQ49" s="56">
        <f t="shared" si="20"/>
        <v>167787</v>
      </c>
      <c r="AS49" s="56">
        <v>1252.9134260329631</v>
      </c>
      <c r="AT49" s="56">
        <v>122.30268185778068</v>
      </c>
      <c r="AU49" s="56">
        <v>236.15413795703392</v>
      </c>
      <c r="AV49" s="56"/>
      <c r="AW49" s="56">
        <v>1611.3702458477776</v>
      </c>
      <c r="AY49" s="16">
        <v>-3.2908396562698949E-2</v>
      </c>
      <c r="AZ49" s="16">
        <v>-1.1775664560690013E-2</v>
      </c>
      <c r="BA49" s="16">
        <v>7.5611654345709711E-2</v>
      </c>
      <c r="BB49" s="16">
        <f t="shared" si="21"/>
        <v>-1.6774432419900509E-2</v>
      </c>
      <c r="BC49" s="16"/>
      <c r="BE49" s="16">
        <f>AM49/'2016-17 disagg'!AM49-1</f>
        <v>2.0031274433151003E-2</v>
      </c>
      <c r="BF49" s="16">
        <f>AN49/'2016-17 disagg'!AN49-1</f>
        <v>1.8392642942822945E-2</v>
      </c>
      <c r="BG49" s="16">
        <f>AO49/'2016-17 disagg'!AO49-1</f>
        <v>4.2390843577787107E-2</v>
      </c>
      <c r="BH49" s="16">
        <f>AQ49/'2016-17 disagg'!AQ49-1</f>
        <v>2.3122656178542034E-2</v>
      </c>
      <c r="BJ49" s="16">
        <f>AS49/'2016-17 disagg'!AS49-1</f>
        <v>1.79933644372956E-2</v>
      </c>
      <c r="BK49" s="16">
        <f>AT49/'2016-17 disagg'!AT49-1</f>
        <v>1.6358006751974852E-2</v>
      </c>
      <c r="BL49" s="16">
        <f>AU49/'2016-17 disagg'!AU49-1</f>
        <v>4.0308261628625219E-2</v>
      </c>
      <c r="BM49" s="16">
        <f>AW49/'2016-17 disagg'!AW49-1</f>
        <v>2.1078569942881265E-2</v>
      </c>
    </row>
    <row r="50" spans="1:65" x14ac:dyDescent="0.2">
      <c r="A50" s="156" t="s">
        <v>145</v>
      </c>
      <c r="B50" s="156" t="s">
        <v>146</v>
      </c>
      <c r="D50" s="56">
        <f>VLOOKUP(A50,'2017-18'!$A$12:$AMX258,32,FALSE)</f>
        <v>353185.48954211641</v>
      </c>
      <c r="E50" s="56">
        <v>1622.1873178634416</v>
      </c>
      <c r="F50" s="16">
        <f>VLOOKUP(A50,'2017-18'!$A$12:$AMX258,34,FALSE)</f>
        <v>2.6323100315047698E-2</v>
      </c>
      <c r="G50" s="16">
        <f>VLOOKUP(A50,'2017-18'!$A$12:$AMX258,35,FALSE)</f>
        <v>1.8680834320711437E-2</v>
      </c>
      <c r="H50" s="56"/>
      <c r="I50" s="56">
        <v>359601.80891130579</v>
      </c>
      <c r="J50" s="56">
        <v>1651.6575883480941</v>
      </c>
      <c r="K50" s="16">
        <f t="shared" si="6"/>
        <v>-1.7842845086388115E-2</v>
      </c>
      <c r="L50" s="58">
        <f t="shared" si="6"/>
        <v>-1.7842845086388115E-2</v>
      </c>
      <c r="M50" s="10"/>
      <c r="N50" s="56">
        <v>273135</v>
      </c>
      <c r="O50" s="56">
        <v>26482</v>
      </c>
      <c r="P50" s="56">
        <v>52781</v>
      </c>
      <c r="R50" s="56">
        <f t="shared" si="7"/>
        <v>52781</v>
      </c>
      <c r="S50" s="56">
        <f t="shared" si="8"/>
        <v>787.48954211641103</v>
      </c>
      <c r="U50" s="16">
        <v>-2.0425387481329604E-2</v>
      </c>
      <c r="V50" s="16">
        <v>-2.5776194293426369E-2</v>
      </c>
      <c r="W50" s="56">
        <f t="shared" si="9"/>
        <v>4</v>
      </c>
      <c r="X50" s="56">
        <f t="shared" si="10"/>
        <v>2788.3021518669066</v>
      </c>
      <c r="Y50" s="56">
        <f t="shared" si="10"/>
        <v>271.82665671768763</v>
      </c>
      <c r="AA50" s="56">
        <f t="shared" si="22"/>
        <v>0</v>
      </c>
      <c r="AB50" s="56">
        <v>0</v>
      </c>
      <c r="AC50" s="56">
        <f t="shared" si="11"/>
        <v>787.48954211641103</v>
      </c>
      <c r="AE50" s="56">
        <v>0</v>
      </c>
      <c r="AF50" s="56">
        <f t="shared" si="12"/>
        <v>0</v>
      </c>
      <c r="AG50" s="56">
        <f t="shared" si="13"/>
        <v>787.48954211641103</v>
      </c>
      <c r="AI50" s="56">
        <f t="shared" si="14"/>
        <v>717.53802607788964</v>
      </c>
      <c r="AJ50" s="56">
        <f t="shared" si="15"/>
        <v>69.951516038521419</v>
      </c>
      <c r="AK50" s="56">
        <f t="shared" si="16"/>
        <v>0</v>
      </c>
      <c r="AM50" s="56">
        <f t="shared" si="17"/>
        <v>273853</v>
      </c>
      <c r="AN50" s="56">
        <f t="shared" si="18"/>
        <v>26552</v>
      </c>
      <c r="AO50" s="56">
        <f t="shared" si="19"/>
        <v>52781</v>
      </c>
      <c r="AP50" s="56"/>
      <c r="AQ50" s="56">
        <f t="shared" si="20"/>
        <v>353186</v>
      </c>
      <c r="AS50" s="56">
        <v>1257.8117638263918</v>
      </c>
      <c r="AT50" s="56">
        <v>121.95381446658739</v>
      </c>
      <c r="AU50" s="56">
        <v>242.42408411272029</v>
      </c>
      <c r="AV50" s="56"/>
      <c r="AW50" s="56">
        <v>1622.1896624056994</v>
      </c>
      <c r="AY50" s="16">
        <v>-1.7850343741829366E-2</v>
      </c>
      <c r="AZ50" s="16">
        <v>-2.3201023747415506E-2</v>
      </c>
      <c r="BA50" s="16">
        <v>-1.507639884211931E-2</v>
      </c>
      <c r="BB50" s="16">
        <f t="shared" si="21"/>
        <v>-1.7841425577723502E-2</v>
      </c>
      <c r="BC50" s="16"/>
      <c r="BE50" s="16">
        <f>AM50/'2016-17 disagg'!AM50-1</f>
        <v>2.2709618630775363E-2</v>
      </c>
      <c r="BF50" s="16">
        <f>AN50/'2016-17 disagg'!AN50-1</f>
        <v>2.1387905831666387E-2</v>
      </c>
      <c r="BG50" s="16">
        <f>AO50/'2016-17 disagg'!AO50-1</f>
        <v>4.8094680196191453E-2</v>
      </c>
      <c r="BH50" s="16">
        <f>AQ50/'2016-17 disagg'!AQ50-1</f>
        <v>2.6324583656615053E-2</v>
      </c>
      <c r="BJ50" s="16">
        <f>AS50/'2016-17 disagg'!AS50-1</f>
        <v>1.5094259551219347E-2</v>
      </c>
      <c r="BK50" s="16">
        <f>AT50/'2016-17 disagg'!AT50-1</f>
        <v>1.3782388565839021E-2</v>
      </c>
      <c r="BL50" s="16">
        <f>AU50/'2016-17 disagg'!AU50-1</f>
        <v>4.0290297413762222E-2</v>
      </c>
      <c r="BM50" s="16">
        <f>AW50/'2016-17 disagg'!AW50-1</f>
        <v>1.8682306616935707E-2</v>
      </c>
    </row>
    <row r="51" spans="1:65" x14ac:dyDescent="0.2">
      <c r="A51" s="156" t="s">
        <v>147</v>
      </c>
      <c r="B51" s="156" t="s">
        <v>148</v>
      </c>
      <c r="D51" s="56">
        <f>VLOOKUP(A51,'2017-18'!$A$12:$AMX259,32,FALSE)</f>
        <v>432073</v>
      </c>
      <c r="E51" s="56">
        <v>1656.9649769137504</v>
      </c>
      <c r="F51" s="16">
        <f>VLOOKUP(A51,'2017-18'!$A$12:$AMX259,34,FALSE)</f>
        <v>2.3156852808706718E-2</v>
      </c>
      <c r="G51" s="16">
        <f>VLOOKUP(A51,'2017-18'!$A$12:$AMX259,35,FALSE)</f>
        <v>2.0561083365615573E-2</v>
      </c>
      <c r="H51" s="56"/>
      <c r="I51" s="56">
        <v>434883.96155118052</v>
      </c>
      <c r="J51" s="56">
        <v>1667.7447869036303</v>
      </c>
      <c r="K51" s="16">
        <f t="shared" si="6"/>
        <v>-6.4637048033552302E-3</v>
      </c>
      <c r="L51" s="58">
        <f t="shared" si="6"/>
        <v>-6.4637048033553413E-3</v>
      </c>
      <c r="M51" s="10"/>
      <c r="N51" s="56">
        <v>334240</v>
      </c>
      <c r="O51" s="56">
        <v>34786</v>
      </c>
      <c r="P51" s="56">
        <v>63047</v>
      </c>
      <c r="R51" s="56">
        <f t="shared" si="7"/>
        <v>63047</v>
      </c>
      <c r="S51" s="56">
        <f t="shared" si="8"/>
        <v>0</v>
      </c>
      <c r="U51" s="16">
        <v>-2.3877237279582686E-2</v>
      </c>
      <c r="V51" s="16">
        <v>3.7263772909511994E-2</v>
      </c>
      <c r="W51" s="56">
        <f t="shared" si="9"/>
        <v>1</v>
      </c>
      <c r="X51" s="56">
        <f t="shared" si="10"/>
        <v>3424.1594681030256</v>
      </c>
      <c r="Y51" s="56">
        <f t="shared" si="10"/>
        <v>335.36310539821227</v>
      </c>
      <c r="AA51" s="56">
        <f t="shared" si="22"/>
        <v>0</v>
      </c>
      <c r="AB51" s="56">
        <v>0</v>
      </c>
      <c r="AC51" s="56">
        <f t="shared" si="11"/>
        <v>0</v>
      </c>
      <c r="AE51" s="56">
        <v>0</v>
      </c>
      <c r="AF51" s="56">
        <f t="shared" si="12"/>
        <v>0</v>
      </c>
      <c r="AG51" s="56">
        <f t="shared" si="13"/>
        <v>0</v>
      </c>
      <c r="AI51" s="56">
        <f t="shared" si="14"/>
        <v>0</v>
      </c>
      <c r="AJ51" s="56">
        <f t="shared" si="15"/>
        <v>0</v>
      </c>
      <c r="AK51" s="56">
        <f t="shared" si="16"/>
        <v>0</v>
      </c>
      <c r="AM51" s="56">
        <f t="shared" si="17"/>
        <v>334240</v>
      </c>
      <c r="AN51" s="56">
        <f t="shared" si="18"/>
        <v>34786</v>
      </c>
      <c r="AO51" s="56">
        <f t="shared" si="19"/>
        <v>63047</v>
      </c>
      <c r="AP51" s="56"/>
      <c r="AQ51" s="56">
        <f t="shared" si="20"/>
        <v>432073</v>
      </c>
      <c r="AS51" s="56">
        <v>1281.7833418974385</v>
      </c>
      <c r="AT51" s="56">
        <v>133.40149393024262</v>
      </c>
      <c r="AU51" s="56">
        <v>241.78014108606931</v>
      </c>
      <c r="AV51" s="56"/>
      <c r="AW51" s="56">
        <v>1656.9649769137504</v>
      </c>
      <c r="AY51" s="16">
        <v>-2.3877237279582686E-2</v>
      </c>
      <c r="AZ51" s="16">
        <v>3.7263772909511994E-2</v>
      </c>
      <c r="BA51" s="16">
        <v>6.9831610246721576E-2</v>
      </c>
      <c r="BB51" s="16">
        <f t="shared" si="21"/>
        <v>-6.4637048033552302E-3</v>
      </c>
      <c r="BC51" s="16"/>
      <c r="BE51" s="16">
        <f>AM51/'2016-17 disagg'!AM51-1</f>
        <v>2.002886989321806E-2</v>
      </c>
      <c r="BF51" s="16">
        <f>AN51/'2016-17 disagg'!AN51-1</f>
        <v>1.8146695545278924E-2</v>
      </c>
      <c r="BG51" s="16">
        <f>AO51/'2016-17 disagg'!AO51-1</f>
        <v>4.2943871896246488E-2</v>
      </c>
      <c r="BH51" s="16">
        <f>AQ51/'2016-17 disagg'!AQ51-1</f>
        <v>2.3156852808706718E-2</v>
      </c>
      <c r="BJ51" s="16">
        <f>AS51/'2016-17 disagg'!AS51-1</f>
        <v>1.7441036205478655E-2</v>
      </c>
      <c r="BK51" s="16">
        <f>AT51/'2016-17 disagg'!AT51-1</f>
        <v>1.5563636971585471E-2</v>
      </c>
      <c r="BL51" s="16">
        <f>AU51/'2016-17 disagg'!AU51-1</f>
        <v>4.0297902389131668E-2</v>
      </c>
      <c r="BM51" s="16">
        <f>AW51/'2016-17 disagg'!AW51-1</f>
        <v>2.0561083365615573E-2</v>
      </c>
    </row>
    <row r="52" spans="1:65" x14ac:dyDescent="0.2">
      <c r="A52" s="156" t="s">
        <v>149</v>
      </c>
      <c r="B52" s="156" t="s">
        <v>150</v>
      </c>
      <c r="D52" s="56">
        <f>VLOOKUP(A52,'2017-18'!$A$12:$AMX260,32,FALSE)</f>
        <v>190235</v>
      </c>
      <c r="E52" s="56">
        <v>1697.6087688494924</v>
      </c>
      <c r="F52" s="16">
        <f>VLOOKUP(A52,'2017-18'!$A$12:$AMX260,34,FALSE)</f>
        <v>2.6172842169994048E-2</v>
      </c>
      <c r="G52" s="16">
        <f>VLOOKUP(A52,'2017-18'!$A$12:$AMX260,35,FALSE)</f>
        <v>2.5492950993760033E-2</v>
      </c>
      <c r="H52" s="56"/>
      <c r="I52" s="56">
        <v>188172.35552415438</v>
      </c>
      <c r="J52" s="56">
        <v>1679.2022540167093</v>
      </c>
      <c r="K52" s="16">
        <f t="shared" si="6"/>
        <v>1.0961463866996368E-2</v>
      </c>
      <c r="L52" s="58">
        <f t="shared" si="6"/>
        <v>1.0961463866996368E-2</v>
      </c>
      <c r="M52" s="10"/>
      <c r="N52" s="56">
        <v>149529</v>
      </c>
      <c r="O52" s="56">
        <v>13634</v>
      </c>
      <c r="P52" s="56">
        <v>27072</v>
      </c>
      <c r="R52" s="56">
        <f t="shared" si="7"/>
        <v>27072</v>
      </c>
      <c r="S52" s="56">
        <f t="shared" si="8"/>
        <v>0</v>
      </c>
      <c r="U52" s="16">
        <v>2.0380089528114542E-2</v>
      </c>
      <c r="V52" s="16">
        <v>-5.1867707826098508E-2</v>
      </c>
      <c r="W52" s="56">
        <f t="shared" si="9"/>
        <v>3</v>
      </c>
      <c r="X52" s="56">
        <f t="shared" si="10"/>
        <v>1465.4245171439129</v>
      </c>
      <c r="Y52" s="56">
        <f t="shared" si="10"/>
        <v>143.79849850635952</v>
      </c>
      <c r="AA52" s="56">
        <f t="shared" si="22"/>
        <v>0</v>
      </c>
      <c r="AB52" s="56">
        <v>0</v>
      </c>
      <c r="AC52" s="56">
        <f t="shared" si="11"/>
        <v>0</v>
      </c>
      <c r="AE52" s="56">
        <v>0</v>
      </c>
      <c r="AF52" s="56">
        <f t="shared" si="12"/>
        <v>0</v>
      </c>
      <c r="AG52" s="56">
        <f t="shared" si="13"/>
        <v>0</v>
      </c>
      <c r="AI52" s="56">
        <f t="shared" si="14"/>
        <v>0</v>
      </c>
      <c r="AJ52" s="56">
        <f t="shared" si="15"/>
        <v>0</v>
      </c>
      <c r="AK52" s="56">
        <f t="shared" si="16"/>
        <v>0</v>
      </c>
      <c r="AM52" s="56">
        <f t="shared" si="17"/>
        <v>149529</v>
      </c>
      <c r="AN52" s="56">
        <f t="shared" si="18"/>
        <v>13634</v>
      </c>
      <c r="AO52" s="56">
        <f t="shared" si="19"/>
        <v>27072</v>
      </c>
      <c r="AP52" s="56"/>
      <c r="AQ52" s="56">
        <f t="shared" si="20"/>
        <v>190235</v>
      </c>
      <c r="AS52" s="56">
        <v>1334.3587751848806</v>
      </c>
      <c r="AT52" s="56">
        <v>121.66634927586396</v>
      </c>
      <c r="AU52" s="56">
        <v>241.58364438874793</v>
      </c>
      <c r="AV52" s="56"/>
      <c r="AW52" s="56">
        <v>1697.6087688494924</v>
      </c>
      <c r="AY52" s="16">
        <v>2.0380089528114542E-2</v>
      </c>
      <c r="AZ52" s="16">
        <v>-5.1867707826098508E-2</v>
      </c>
      <c r="BA52" s="16">
        <v>-6.5340773047354306E-3</v>
      </c>
      <c r="BB52" s="16">
        <f t="shared" si="21"/>
        <v>1.0961463866996368E-2</v>
      </c>
      <c r="BC52" s="16"/>
      <c r="BE52" s="16">
        <f>AM52/'2016-17 disagg'!AM52-1</f>
        <v>2.0028241457641149E-2</v>
      </c>
      <c r="BF52" s="16">
        <f>AN52/'2016-17 disagg'!AN52-1</f>
        <v>6.6489361702127603E-2</v>
      </c>
      <c r="BG52" s="16">
        <f>AO52/'2016-17 disagg'!AO52-1</f>
        <v>4.0990540644466611E-2</v>
      </c>
      <c r="BH52" s="16">
        <f>AQ52/'2016-17 disagg'!AQ52-1</f>
        <v>2.6172842169994048E-2</v>
      </c>
      <c r="BJ52" s="16">
        <f>AS52/'2016-17 disagg'!AS52-1</f>
        <v>1.9352421388762586E-2</v>
      </c>
      <c r="BK52" s="16">
        <f>AT52/'2016-17 disagg'!AT52-1</f>
        <v>6.5782758801747443E-2</v>
      </c>
      <c r="BL52" s="16">
        <f>AU52/'2016-17 disagg'!AU52-1</f>
        <v>4.0300831996914921E-2</v>
      </c>
      <c r="BM52" s="16">
        <f>AW52/'2016-17 disagg'!AW52-1</f>
        <v>2.5492950993760033E-2</v>
      </c>
    </row>
    <row r="53" spans="1:65" x14ac:dyDescent="0.2">
      <c r="A53" s="156" t="s">
        <v>151</v>
      </c>
      <c r="B53" s="156" t="s">
        <v>152</v>
      </c>
      <c r="D53" s="56">
        <f>VLOOKUP(A53,'2017-18'!$A$12:$AMX261,32,FALSE)</f>
        <v>588366</v>
      </c>
      <c r="E53" s="56">
        <v>1798.6313887702026</v>
      </c>
      <c r="F53" s="16">
        <f>VLOOKUP(A53,'2017-18'!$A$12:$AMX261,34,FALSE)</f>
        <v>2.3453467923038263E-2</v>
      </c>
      <c r="G53" s="16">
        <f>VLOOKUP(A53,'2017-18'!$A$12:$AMX261,35,FALSE)</f>
        <v>1.7770277298945425E-2</v>
      </c>
      <c r="H53" s="56"/>
      <c r="I53" s="56">
        <v>586188.98609550577</v>
      </c>
      <c r="J53" s="56">
        <v>1791.9762701154664</v>
      </c>
      <c r="K53" s="16">
        <f t="shared" si="6"/>
        <v>3.7138430713188342E-3</v>
      </c>
      <c r="L53" s="58">
        <f t="shared" si="6"/>
        <v>3.7138430713188342E-3</v>
      </c>
      <c r="M53" s="10"/>
      <c r="N53" s="56">
        <v>452363</v>
      </c>
      <c r="O53" s="56">
        <v>46076</v>
      </c>
      <c r="P53" s="56">
        <v>89927</v>
      </c>
      <c r="R53" s="56">
        <f t="shared" si="7"/>
        <v>89927</v>
      </c>
      <c r="S53" s="56">
        <f t="shared" si="8"/>
        <v>0</v>
      </c>
      <c r="U53" s="16">
        <v>-4.4444573102548901E-3</v>
      </c>
      <c r="V53" s="16">
        <v>5.730199557271809E-2</v>
      </c>
      <c r="W53" s="56">
        <f t="shared" si="9"/>
        <v>1</v>
      </c>
      <c r="X53" s="56">
        <f t="shared" si="10"/>
        <v>4543.8248355066853</v>
      </c>
      <c r="Y53" s="56">
        <f t="shared" si="10"/>
        <v>435.78845204998981</v>
      </c>
      <c r="AA53" s="56">
        <f t="shared" si="22"/>
        <v>0</v>
      </c>
      <c r="AB53" s="56">
        <v>0</v>
      </c>
      <c r="AC53" s="56">
        <f t="shared" si="11"/>
        <v>0</v>
      </c>
      <c r="AE53" s="56">
        <v>0</v>
      </c>
      <c r="AF53" s="56">
        <f t="shared" si="12"/>
        <v>0</v>
      </c>
      <c r="AG53" s="56">
        <f t="shared" si="13"/>
        <v>0</v>
      </c>
      <c r="AI53" s="56">
        <f t="shared" si="14"/>
        <v>0</v>
      </c>
      <c r="AJ53" s="56">
        <f t="shared" si="15"/>
        <v>0</v>
      </c>
      <c r="AK53" s="56">
        <f t="shared" si="16"/>
        <v>0</v>
      </c>
      <c r="AM53" s="56">
        <f t="shared" si="17"/>
        <v>452363</v>
      </c>
      <c r="AN53" s="56">
        <f t="shared" si="18"/>
        <v>46076</v>
      </c>
      <c r="AO53" s="56">
        <f t="shared" si="19"/>
        <v>89927</v>
      </c>
      <c r="AP53" s="56"/>
      <c r="AQ53" s="56">
        <f t="shared" si="20"/>
        <v>588366</v>
      </c>
      <c r="AS53" s="56">
        <v>1382.871020620252</v>
      </c>
      <c r="AT53" s="56">
        <v>140.85406000512583</v>
      </c>
      <c r="AU53" s="56">
        <v>274.90630814482483</v>
      </c>
      <c r="AV53" s="56"/>
      <c r="AW53" s="56">
        <v>1798.6313887702026</v>
      </c>
      <c r="AY53" s="16">
        <v>-4.4444573102548901E-3</v>
      </c>
      <c r="AZ53" s="16">
        <v>5.730199557271809E-2</v>
      </c>
      <c r="BA53" s="16">
        <v>1.9260883847524113E-2</v>
      </c>
      <c r="BB53" s="16">
        <f t="shared" si="21"/>
        <v>3.7138430713188342E-3</v>
      </c>
      <c r="BC53" s="16"/>
      <c r="BE53" s="16">
        <f>AM53/'2016-17 disagg'!AM53-1</f>
        <v>2.0030215567782061E-2</v>
      </c>
      <c r="BF53" s="16">
        <f>AN53/'2016-17 disagg'!AN53-1</f>
        <v>1.3996478873239404E-2</v>
      </c>
      <c r="BG53" s="16">
        <f>AO53/'2016-17 disagg'!AO53-1</f>
        <v>4.6112862510615082E-2</v>
      </c>
      <c r="BH53" s="16">
        <f>AQ53/'2016-17 disagg'!AQ53-1</f>
        <v>2.3453467923038263E-2</v>
      </c>
      <c r="BJ53" s="16">
        <f>AS53/'2016-17 disagg'!AS53-1</f>
        <v>1.4366034108540537E-2</v>
      </c>
      <c r="BK53" s="16">
        <f>AT53/'2016-17 disagg'!AT53-1</f>
        <v>8.3658024798221042E-3</v>
      </c>
      <c r="BL53" s="16">
        <f>AU53/'2016-17 disagg'!AU53-1</f>
        <v>4.0303845297523511E-2</v>
      </c>
      <c r="BM53" s="16">
        <f>AW53/'2016-17 disagg'!AW53-1</f>
        <v>1.7770277298945425E-2</v>
      </c>
    </row>
    <row r="54" spans="1:65" x14ac:dyDescent="0.2">
      <c r="A54" s="156" t="s">
        <v>153</v>
      </c>
      <c r="B54" s="156" t="s">
        <v>154</v>
      </c>
      <c r="D54" s="56">
        <f>VLOOKUP(A54,'2017-18'!$A$12:$AMX262,32,FALSE)</f>
        <v>632950</v>
      </c>
      <c r="E54" s="56">
        <v>1885.3725254619887</v>
      </c>
      <c r="F54" s="16">
        <f>VLOOKUP(A54,'2017-18'!$A$12:$AMX262,34,FALSE)</f>
        <v>2.3020589713709461E-2</v>
      </c>
      <c r="G54" s="16">
        <f>VLOOKUP(A54,'2017-18'!$A$12:$AMX262,35,FALSE)</f>
        <v>2.1084413376404765E-2</v>
      </c>
      <c r="H54" s="56"/>
      <c r="I54" s="56">
        <v>636927.94883523637</v>
      </c>
      <c r="J54" s="56">
        <v>1897.2216690620332</v>
      </c>
      <c r="K54" s="16">
        <f t="shared" si="6"/>
        <v>-6.2455240698903181E-3</v>
      </c>
      <c r="L54" s="58">
        <f t="shared" si="6"/>
        <v>-6.2455240698903181E-3</v>
      </c>
      <c r="M54" s="10"/>
      <c r="N54" s="56">
        <v>496257</v>
      </c>
      <c r="O54" s="56">
        <v>46497</v>
      </c>
      <c r="P54" s="56">
        <v>90196</v>
      </c>
      <c r="R54" s="56">
        <f t="shared" si="7"/>
        <v>90196</v>
      </c>
      <c r="S54" s="56">
        <f t="shared" si="8"/>
        <v>0</v>
      </c>
      <c r="U54" s="16">
        <v>-1.9187455340467952E-2</v>
      </c>
      <c r="V54" s="16">
        <v>-5.2680121725515727E-3</v>
      </c>
      <c r="W54" s="56">
        <f t="shared" si="9"/>
        <v>4</v>
      </c>
      <c r="X54" s="56">
        <f t="shared" si="10"/>
        <v>5059.6518437910572</v>
      </c>
      <c r="Y54" s="56">
        <f t="shared" si="10"/>
        <v>467.43243978262035</v>
      </c>
      <c r="AA54" s="56">
        <f t="shared" si="22"/>
        <v>0</v>
      </c>
      <c r="AB54" s="56">
        <v>0</v>
      </c>
      <c r="AC54" s="56">
        <f t="shared" si="11"/>
        <v>0</v>
      </c>
      <c r="AE54" s="56">
        <v>0</v>
      </c>
      <c r="AF54" s="56">
        <f t="shared" si="12"/>
        <v>0</v>
      </c>
      <c r="AG54" s="56">
        <f t="shared" si="13"/>
        <v>0</v>
      </c>
      <c r="AI54" s="56">
        <f t="shared" si="14"/>
        <v>0</v>
      </c>
      <c r="AJ54" s="56">
        <f t="shared" si="15"/>
        <v>0</v>
      </c>
      <c r="AK54" s="56">
        <f t="shared" si="16"/>
        <v>0</v>
      </c>
      <c r="AM54" s="56">
        <f t="shared" si="17"/>
        <v>496257</v>
      </c>
      <c r="AN54" s="56">
        <f t="shared" si="18"/>
        <v>46497</v>
      </c>
      <c r="AO54" s="56">
        <f t="shared" si="19"/>
        <v>90196</v>
      </c>
      <c r="AP54" s="56"/>
      <c r="AQ54" s="56">
        <f t="shared" si="20"/>
        <v>632950</v>
      </c>
      <c r="AS54" s="56">
        <v>1478.2041446689157</v>
      </c>
      <c r="AT54" s="56">
        <v>138.50093422293403</v>
      </c>
      <c r="AU54" s="56">
        <v>268.66744657013908</v>
      </c>
      <c r="AV54" s="56"/>
      <c r="AW54" s="56">
        <v>1885.3725254619887</v>
      </c>
      <c r="AY54" s="16">
        <v>-1.9187455340467952E-2</v>
      </c>
      <c r="AZ54" s="16">
        <v>-5.2680121725515727E-3</v>
      </c>
      <c r="BA54" s="16">
        <v>7.0963115061927429E-2</v>
      </c>
      <c r="BB54" s="16">
        <f t="shared" si="21"/>
        <v>-6.2455240698903181E-3</v>
      </c>
      <c r="BC54" s="16"/>
      <c r="BE54" s="16">
        <f>AM54/'2016-17 disagg'!AM54-1</f>
        <v>2.0030338408919102E-2</v>
      </c>
      <c r="BF54" s="16">
        <f>AN54/'2016-17 disagg'!AN54-1</f>
        <v>1.8398055062750496E-2</v>
      </c>
      <c r="BG54" s="16">
        <f>AO54/'2016-17 disagg'!AO54-1</f>
        <v>4.2270447664609856E-2</v>
      </c>
      <c r="BH54" s="16">
        <f>AQ54/'2016-17 disagg'!AQ54-1</f>
        <v>2.3020589713709461E-2</v>
      </c>
      <c r="BJ54" s="16">
        <f>AS54/'2016-17 disagg'!AS54-1</f>
        <v>1.8099821443358088E-2</v>
      </c>
      <c r="BK54" s="16">
        <f>AT54/'2016-17 disagg'!AT54-1</f>
        <v>1.6470627368727841E-2</v>
      </c>
      <c r="BL54" s="16">
        <f>AU54/'2016-17 disagg'!AU54-1</f>
        <v>4.0297838903719629E-2</v>
      </c>
      <c r="BM54" s="16">
        <f>AW54/'2016-17 disagg'!AW54-1</f>
        <v>2.1084413376404765E-2</v>
      </c>
    </row>
    <row r="55" spans="1:65" x14ac:dyDescent="0.2">
      <c r="A55" s="156" t="s">
        <v>155</v>
      </c>
      <c r="B55" s="156" t="s">
        <v>156</v>
      </c>
      <c r="D55" s="56">
        <f>VLOOKUP(A55,'2017-18'!$A$12:$AMX263,32,FALSE)</f>
        <v>258969</v>
      </c>
      <c r="E55" s="56">
        <v>1619.1316439688048</v>
      </c>
      <c r="F55" s="16">
        <f>VLOOKUP(A55,'2017-18'!$A$12:$AMX263,34,FALSE)</f>
        <v>2.8924585500359479E-2</v>
      </c>
      <c r="G55" s="16">
        <f>VLOOKUP(A55,'2017-18'!$A$12:$AMX263,35,FALSE)</f>
        <v>2.3125340417014639E-2</v>
      </c>
      <c r="H55" s="56"/>
      <c r="I55" s="56">
        <v>263498.73500262026</v>
      </c>
      <c r="J55" s="56">
        <v>1647.452552191548</v>
      </c>
      <c r="K55" s="16">
        <f t="shared" si="6"/>
        <v>-1.7190727699604391E-2</v>
      </c>
      <c r="L55" s="58">
        <f t="shared" si="6"/>
        <v>-1.7190727699604391E-2</v>
      </c>
      <c r="M55" s="10"/>
      <c r="N55" s="56">
        <v>205637</v>
      </c>
      <c r="O55" s="56">
        <v>19336</v>
      </c>
      <c r="P55" s="56">
        <v>33996</v>
      </c>
      <c r="R55" s="56">
        <f t="shared" si="7"/>
        <v>33996</v>
      </c>
      <c r="S55" s="56">
        <f t="shared" si="8"/>
        <v>0</v>
      </c>
      <c r="U55" s="16">
        <v>-1.3369352355568687E-2</v>
      </c>
      <c r="V55" s="16">
        <v>-5.6369493088870182E-2</v>
      </c>
      <c r="W55" s="56">
        <f t="shared" si="9"/>
        <v>4</v>
      </c>
      <c r="X55" s="56">
        <f t="shared" si="10"/>
        <v>2084.2348703737903</v>
      </c>
      <c r="Y55" s="56">
        <f t="shared" si="10"/>
        <v>204.91071302150095</v>
      </c>
      <c r="AA55" s="56">
        <f t="shared" si="22"/>
        <v>0</v>
      </c>
      <c r="AB55" s="56">
        <v>0</v>
      </c>
      <c r="AC55" s="56">
        <f t="shared" si="11"/>
        <v>0</v>
      </c>
      <c r="AE55" s="56">
        <v>0</v>
      </c>
      <c r="AF55" s="56">
        <f t="shared" si="12"/>
        <v>0</v>
      </c>
      <c r="AG55" s="56">
        <f t="shared" si="13"/>
        <v>0</v>
      </c>
      <c r="AI55" s="56">
        <f t="shared" si="14"/>
        <v>0</v>
      </c>
      <c r="AJ55" s="56">
        <f t="shared" si="15"/>
        <v>0</v>
      </c>
      <c r="AK55" s="56">
        <f t="shared" si="16"/>
        <v>0</v>
      </c>
      <c r="AM55" s="56">
        <f t="shared" si="17"/>
        <v>205637</v>
      </c>
      <c r="AN55" s="56">
        <f t="shared" si="18"/>
        <v>19336</v>
      </c>
      <c r="AO55" s="56">
        <f t="shared" si="19"/>
        <v>33996</v>
      </c>
      <c r="AP55" s="56"/>
      <c r="AQ55" s="56">
        <f t="shared" si="20"/>
        <v>258969</v>
      </c>
      <c r="AS55" s="56">
        <v>1285.6881475034197</v>
      </c>
      <c r="AT55" s="56">
        <v>120.89296196757454</v>
      </c>
      <c r="AU55" s="56">
        <v>212.5505344978105</v>
      </c>
      <c r="AV55" s="56"/>
      <c r="AW55" s="56">
        <v>1619.1316439688048</v>
      </c>
      <c r="AY55" s="16">
        <v>-1.3369352355568687E-2</v>
      </c>
      <c r="AZ55" s="16">
        <v>-5.6369493088870182E-2</v>
      </c>
      <c r="BA55" s="16">
        <v>-1.7007103243225186E-2</v>
      </c>
      <c r="BB55" s="16">
        <f t="shared" si="21"/>
        <v>-1.7190727699604391E-2</v>
      </c>
      <c r="BC55" s="16"/>
      <c r="BE55" s="16">
        <f>AM55/'2016-17 disagg'!AM55-1</f>
        <v>2.0029861259232451E-2</v>
      </c>
      <c r="BF55" s="16">
        <f>AN55/'2016-17 disagg'!AN55-1</f>
        <v>9.8948564933219574E-2</v>
      </c>
      <c r="BG55" s="16">
        <f>AO55/'2016-17 disagg'!AO55-1</f>
        <v>4.6191721803354291E-2</v>
      </c>
      <c r="BH55" s="16">
        <f>AQ55/'2016-17 disagg'!AQ55-1</f>
        <v>2.8924585500359479E-2</v>
      </c>
      <c r="BJ55" s="16">
        <f>AS55/'2016-17 disagg'!AS55-1</f>
        <v>1.4280748796440923E-2</v>
      </c>
      <c r="BK55" s="16">
        <f>AT55/'2016-17 disagg'!AT55-1</f>
        <v>9.2754649313117277E-2</v>
      </c>
      <c r="BL55" s="16">
        <f>AU55/'2016-17 disagg'!AU55-1</f>
        <v>4.0295155345129618E-2</v>
      </c>
      <c r="BM55" s="16">
        <f>AW55/'2016-17 disagg'!AW55-1</f>
        <v>2.3125340417014639E-2</v>
      </c>
    </row>
    <row r="56" spans="1:65" x14ac:dyDescent="0.2">
      <c r="A56" s="156" t="s">
        <v>157</v>
      </c>
      <c r="B56" s="156" t="s">
        <v>158</v>
      </c>
      <c r="D56" s="56">
        <f>VLOOKUP(A56,'2017-18'!$A$12:$AMX264,32,FALSE)</f>
        <v>473532</v>
      </c>
      <c r="E56" s="56">
        <v>1829.5368202820594</v>
      </c>
      <c r="F56" s="16">
        <f>VLOOKUP(A56,'2017-18'!$A$12:$AMX264,34,FALSE)</f>
        <v>2.009681109342254E-2</v>
      </c>
      <c r="G56" s="16">
        <f>VLOOKUP(A56,'2017-18'!$A$12:$AMX264,35,FALSE)</f>
        <v>1.368628822626361E-2</v>
      </c>
      <c r="H56" s="56"/>
      <c r="I56" s="56">
        <v>450787.24265663081</v>
      </c>
      <c r="J56" s="56">
        <v>1741.6602437717609</v>
      </c>
      <c r="K56" s="16">
        <f t="shared" si="6"/>
        <v>5.0455636697540829E-2</v>
      </c>
      <c r="L56" s="58">
        <f t="shared" si="6"/>
        <v>5.0455636697540829E-2</v>
      </c>
      <c r="M56" s="10"/>
      <c r="N56" s="56">
        <v>372801</v>
      </c>
      <c r="O56" s="56">
        <v>35237</v>
      </c>
      <c r="P56" s="56">
        <v>65494</v>
      </c>
      <c r="R56" s="56">
        <f t="shared" si="7"/>
        <v>65494</v>
      </c>
      <c r="S56" s="56">
        <f t="shared" si="8"/>
        <v>0</v>
      </c>
      <c r="U56" s="16">
        <v>5.5926327849148638E-2</v>
      </c>
      <c r="V56" s="16">
        <v>8.4181761562034385E-3</v>
      </c>
      <c r="W56" s="56">
        <f t="shared" si="9"/>
        <v>2</v>
      </c>
      <c r="X56" s="56">
        <f t="shared" si="10"/>
        <v>3530.5588104746921</v>
      </c>
      <c r="Y56" s="56">
        <f t="shared" si="10"/>
        <v>349.42844975596518</v>
      </c>
      <c r="AA56" s="56">
        <f t="shared" si="22"/>
        <v>0</v>
      </c>
      <c r="AB56" s="56">
        <v>0</v>
      </c>
      <c r="AC56" s="56">
        <f t="shared" si="11"/>
        <v>0</v>
      </c>
      <c r="AE56" s="56">
        <v>0</v>
      </c>
      <c r="AF56" s="56">
        <f t="shared" si="12"/>
        <v>0</v>
      </c>
      <c r="AG56" s="56">
        <f t="shared" si="13"/>
        <v>0</v>
      </c>
      <c r="AI56" s="56">
        <f t="shared" si="14"/>
        <v>0</v>
      </c>
      <c r="AJ56" s="56">
        <f t="shared" si="15"/>
        <v>0</v>
      </c>
      <c r="AK56" s="56">
        <f t="shared" si="16"/>
        <v>0</v>
      </c>
      <c r="AM56" s="56">
        <f t="shared" si="17"/>
        <v>372801</v>
      </c>
      <c r="AN56" s="56">
        <f t="shared" si="18"/>
        <v>35237</v>
      </c>
      <c r="AO56" s="56">
        <f t="shared" si="19"/>
        <v>65494</v>
      </c>
      <c r="AP56" s="56"/>
      <c r="AQ56" s="56">
        <f t="shared" si="20"/>
        <v>473532</v>
      </c>
      <c r="AS56" s="56">
        <v>1440.3528296672073</v>
      </c>
      <c r="AT56" s="56">
        <v>136.14156791152217</v>
      </c>
      <c r="AU56" s="56">
        <v>253.04242270332986</v>
      </c>
      <c r="AV56" s="56"/>
      <c r="AW56" s="56">
        <v>1829.5368202820594</v>
      </c>
      <c r="AY56" s="16">
        <v>5.5926327849148638E-2</v>
      </c>
      <c r="AZ56" s="16">
        <v>8.4181761562034385E-3</v>
      </c>
      <c r="BA56" s="16">
        <v>4.3088824382078617E-2</v>
      </c>
      <c r="BB56" s="16">
        <f t="shared" si="21"/>
        <v>5.0455636697540829E-2</v>
      </c>
      <c r="BC56" s="16"/>
      <c r="BE56" s="16">
        <f>AM56/'2016-17 disagg'!AM56-1</f>
        <v>1.5690302472196604E-2</v>
      </c>
      <c r="BF56" s="16">
        <f>AN56/'2016-17 disagg'!AN56-1</f>
        <v>1.8410404624277454E-2</v>
      </c>
      <c r="BG56" s="16">
        <f>AO56/'2016-17 disagg'!AO56-1</f>
        <v>4.6882242930899487E-2</v>
      </c>
      <c r="BH56" s="16">
        <f>AQ56/'2016-17 disagg'!AQ56-1</f>
        <v>2.009681109342254E-2</v>
      </c>
      <c r="BJ56" s="16">
        <f>AS56/'2016-17 disagg'!AS56-1</f>
        <v>9.3074711182090653E-3</v>
      </c>
      <c r="BK56" s="16">
        <f>AT56/'2016-17 disagg'!AT56-1</f>
        <v>1.2010479523052009E-2</v>
      </c>
      <c r="BL56" s="16">
        <f>AU56/'2016-17 disagg'!AU56-1</f>
        <v>4.030339425247087E-2</v>
      </c>
      <c r="BM56" s="16">
        <f>AW56/'2016-17 disagg'!AW56-1</f>
        <v>1.368628822626361E-2</v>
      </c>
    </row>
    <row r="57" spans="1:65" x14ac:dyDescent="0.2">
      <c r="A57" s="156" t="s">
        <v>159</v>
      </c>
      <c r="B57" s="156" t="s">
        <v>160</v>
      </c>
      <c r="D57" s="56">
        <f>VLOOKUP(A57,'2017-18'!$A$12:$AMX265,32,FALSE)</f>
        <v>200548</v>
      </c>
      <c r="E57" s="56">
        <v>1741.8031549254429</v>
      </c>
      <c r="F57" s="16">
        <f>VLOOKUP(A57,'2017-18'!$A$12:$AMX265,34,FALSE)</f>
        <v>2.2505022076743542E-2</v>
      </c>
      <c r="G57" s="16">
        <f>VLOOKUP(A57,'2017-18'!$A$12:$AMX265,35,FALSE)</f>
        <v>1.8476741781196182E-2</v>
      </c>
      <c r="H57" s="56"/>
      <c r="I57" s="56">
        <v>196598.41158705889</v>
      </c>
      <c r="J57" s="56">
        <v>1707.5001174565184</v>
      </c>
      <c r="K57" s="16">
        <f t="shared" si="6"/>
        <v>2.0089625247008414E-2</v>
      </c>
      <c r="L57" s="58">
        <f t="shared" si="6"/>
        <v>2.0089625247008414E-2</v>
      </c>
      <c r="M57" s="10"/>
      <c r="N57" s="56">
        <v>156177</v>
      </c>
      <c r="O57" s="56">
        <v>16550</v>
      </c>
      <c r="P57" s="56">
        <v>27821</v>
      </c>
      <c r="R57" s="56">
        <f t="shared" si="7"/>
        <v>27821</v>
      </c>
      <c r="S57" s="56">
        <f t="shared" si="8"/>
        <v>0</v>
      </c>
      <c r="U57" s="16">
        <v>1.91674602483074E-2</v>
      </c>
      <c r="V57" s="16">
        <v>0.1063463074109241</v>
      </c>
      <c r="W57" s="56">
        <f t="shared" si="9"/>
        <v>2</v>
      </c>
      <c r="X57" s="56">
        <f t="shared" si="10"/>
        <v>1532.3978255933469</v>
      </c>
      <c r="Y57" s="56">
        <f t="shared" si="10"/>
        <v>149.59149670531622</v>
      </c>
      <c r="AA57" s="56">
        <f t="shared" si="22"/>
        <v>0</v>
      </c>
      <c r="AB57" s="56">
        <v>0</v>
      </c>
      <c r="AC57" s="56">
        <f t="shared" si="11"/>
        <v>0</v>
      </c>
      <c r="AE57" s="56">
        <v>0</v>
      </c>
      <c r="AF57" s="56">
        <f t="shared" si="12"/>
        <v>0</v>
      </c>
      <c r="AG57" s="56">
        <f t="shared" si="13"/>
        <v>0</v>
      </c>
      <c r="AI57" s="56">
        <f t="shared" si="14"/>
        <v>0</v>
      </c>
      <c r="AJ57" s="56">
        <f t="shared" si="15"/>
        <v>0</v>
      </c>
      <c r="AK57" s="56">
        <f t="shared" si="16"/>
        <v>0</v>
      </c>
      <c r="AM57" s="56">
        <f t="shared" si="17"/>
        <v>156177</v>
      </c>
      <c r="AN57" s="56">
        <f t="shared" si="18"/>
        <v>16550</v>
      </c>
      <c r="AO57" s="56">
        <f t="shared" si="19"/>
        <v>27821</v>
      </c>
      <c r="AP57" s="56"/>
      <c r="AQ57" s="56">
        <f t="shared" si="20"/>
        <v>200548</v>
      </c>
      <c r="AS57" s="56">
        <v>1356.4313347766663</v>
      </c>
      <c r="AT57" s="56">
        <v>143.74036247689369</v>
      </c>
      <c r="AU57" s="56">
        <v>241.63145767188277</v>
      </c>
      <c r="AV57" s="56"/>
      <c r="AW57" s="56">
        <v>1741.8031549254429</v>
      </c>
      <c r="AY57" s="16">
        <v>1.91674602483074E-2</v>
      </c>
      <c r="AZ57" s="16">
        <v>0.1063463074109241</v>
      </c>
      <c r="BA57" s="16">
        <v>-2.0369364871686835E-2</v>
      </c>
      <c r="BB57" s="16">
        <f t="shared" si="21"/>
        <v>2.0089625247008414E-2</v>
      </c>
      <c r="BC57" s="16"/>
      <c r="BE57" s="16">
        <f>AM57/'2016-17 disagg'!AM57-1</f>
        <v>2.0031350009796833E-2</v>
      </c>
      <c r="BF57" s="16">
        <f>AN57/'2016-17 disagg'!AN57-1</f>
        <v>1.0008543878921028E-2</v>
      </c>
      <c r="BG57" s="16">
        <f>AO57/'2016-17 disagg'!AO57-1</f>
        <v>4.441024100908475E-2</v>
      </c>
      <c r="BH57" s="16">
        <f>AQ57/'2016-17 disagg'!AQ57-1</f>
        <v>2.2505022076743542E-2</v>
      </c>
      <c r="BJ57" s="16">
        <f>AS57/'2016-17 disagg'!AS57-1</f>
        <v>1.6012815039925021E-2</v>
      </c>
      <c r="BK57" s="16">
        <f>AT57/'2016-17 disagg'!AT57-1</f>
        <v>6.0294949473289616E-3</v>
      </c>
      <c r="BL57" s="16">
        <f>AU57/'2016-17 disagg'!AU57-1</f>
        <v>4.0295662495054785E-2</v>
      </c>
      <c r="BM57" s="16">
        <f>AW57/'2016-17 disagg'!AW57-1</f>
        <v>1.8476741781196182E-2</v>
      </c>
    </row>
    <row r="58" spans="1:65" x14ac:dyDescent="0.2">
      <c r="A58" s="156" t="s">
        <v>161</v>
      </c>
      <c r="B58" s="156" t="s">
        <v>162</v>
      </c>
      <c r="D58" s="56">
        <f>VLOOKUP(A58,'2017-18'!$A$12:$AMX266,32,FALSE)</f>
        <v>179793.00933931314</v>
      </c>
      <c r="E58" s="56">
        <v>1447.5568461058911</v>
      </c>
      <c r="F58" s="16">
        <f>VLOOKUP(A58,'2017-18'!$A$12:$AMX266,34,FALSE)</f>
        <v>2.8028939964395816E-2</v>
      </c>
      <c r="G58" s="16">
        <f>VLOOKUP(A58,'2017-18'!$A$12:$AMX266,35,FALSE)</f>
        <v>2.2981230548222875E-2</v>
      </c>
      <c r="H58" s="56"/>
      <c r="I58" s="56">
        <v>186362.89362624876</v>
      </c>
      <c r="J58" s="56">
        <v>1500.4525677617255</v>
      </c>
      <c r="K58" s="16">
        <f t="shared" si="6"/>
        <v>-3.5253178135941199E-2</v>
      </c>
      <c r="L58" s="58">
        <f t="shared" si="6"/>
        <v>-3.5253178135941199E-2</v>
      </c>
      <c r="M58" s="10"/>
      <c r="N58" s="56">
        <v>133333</v>
      </c>
      <c r="O58" s="56">
        <v>17979</v>
      </c>
      <c r="P58" s="56">
        <v>27685</v>
      </c>
      <c r="R58" s="56">
        <f t="shared" si="7"/>
        <v>27685</v>
      </c>
      <c r="S58" s="56">
        <f t="shared" si="8"/>
        <v>796.00933931313921</v>
      </c>
      <c r="U58" s="16">
        <v>-4.7502490568724021E-2</v>
      </c>
      <c r="V58" s="16">
        <v>4.7164045268216492E-2</v>
      </c>
      <c r="W58" s="56">
        <f t="shared" si="9"/>
        <v>1</v>
      </c>
      <c r="X58" s="56">
        <f t="shared" si="10"/>
        <v>1399.8251825310433</v>
      </c>
      <c r="Y58" s="56">
        <f t="shared" si="10"/>
        <v>171.69229674415462</v>
      </c>
      <c r="AA58" s="56">
        <f t="shared" si="22"/>
        <v>796.00933931313921</v>
      </c>
      <c r="AB58" s="56">
        <v>0</v>
      </c>
      <c r="AC58" s="56">
        <f t="shared" si="11"/>
        <v>0</v>
      </c>
      <c r="AE58" s="56">
        <v>0</v>
      </c>
      <c r="AF58" s="56">
        <f t="shared" si="12"/>
        <v>0</v>
      </c>
      <c r="AG58" s="56">
        <f t="shared" si="13"/>
        <v>0</v>
      </c>
      <c r="AI58" s="56">
        <f t="shared" si="14"/>
        <v>0</v>
      </c>
      <c r="AJ58" s="56">
        <f t="shared" si="15"/>
        <v>0</v>
      </c>
      <c r="AK58" s="56">
        <f t="shared" si="16"/>
        <v>0</v>
      </c>
      <c r="AM58" s="56">
        <f t="shared" si="17"/>
        <v>134129</v>
      </c>
      <c r="AN58" s="56">
        <f t="shared" si="18"/>
        <v>17979</v>
      </c>
      <c r="AO58" s="56">
        <f t="shared" si="19"/>
        <v>27685</v>
      </c>
      <c r="AP58" s="56"/>
      <c r="AQ58" s="56">
        <f t="shared" si="20"/>
        <v>179793</v>
      </c>
      <c r="AS58" s="56">
        <v>1079.9049024476315</v>
      </c>
      <c r="AT58" s="56">
        <v>144.75326171898669</v>
      </c>
      <c r="AU58" s="56">
        <v>222.89860674621207</v>
      </c>
      <c r="AV58" s="56"/>
      <c r="AW58" s="56">
        <v>1447.5567709128304</v>
      </c>
      <c r="AY58" s="16">
        <v>-4.1816066221358472E-2</v>
      </c>
      <c r="AZ58" s="16">
        <v>4.7164045268216492E-2</v>
      </c>
      <c r="BA58" s="16">
        <v>-5.224532151080219E-2</v>
      </c>
      <c r="BB58" s="16">
        <f t="shared" si="21"/>
        <v>-3.525322824952859E-2</v>
      </c>
      <c r="BC58" s="16"/>
      <c r="BE58" s="16">
        <f>AM58/'2016-17 disagg'!AM58-1</f>
        <v>2.6117890066174487E-2</v>
      </c>
      <c r="BF58" s="16">
        <f>AN58/'2016-17 disagg'!AN58-1</f>
        <v>1.6107154967785586E-2</v>
      </c>
      <c r="BG58" s="16">
        <f>AO58/'2016-17 disagg'!AO58-1</f>
        <v>4.5427082546635411E-2</v>
      </c>
      <c r="BH58" s="16">
        <f>AQ58/'2016-17 disagg'!AQ58-1</f>
        <v>2.8028886563631117E-2</v>
      </c>
      <c r="BJ58" s="16">
        <f>AS58/'2016-17 disagg'!AS58-1</f>
        <v>2.1079564067326695E-2</v>
      </c>
      <c r="BK58" s="16">
        <f>AT58/'2016-17 disagg'!AT58-1</f>
        <v>1.1117982528584314E-2</v>
      </c>
      <c r="BL58" s="16">
        <f>AU58/'2016-17 disagg'!AU58-1</f>
        <v>4.0293946772582467E-2</v>
      </c>
      <c r="BM58" s="16">
        <f>AW58/'2016-17 disagg'!AW58-1</f>
        <v>2.2981177409660436E-2</v>
      </c>
    </row>
    <row r="59" spans="1:65" x14ac:dyDescent="0.2">
      <c r="A59" s="156" t="s">
        <v>163</v>
      </c>
      <c r="B59" s="156" t="s">
        <v>164</v>
      </c>
      <c r="D59" s="56">
        <f>VLOOKUP(A59,'2017-18'!$A$12:$AMX267,32,FALSE)</f>
        <v>564087.00342338381</v>
      </c>
      <c r="E59" s="56">
        <v>1640.5037091529089</v>
      </c>
      <c r="F59" s="16">
        <f>VLOOKUP(A59,'2017-18'!$A$12:$AMX267,34,FALSE)</f>
        <v>2.3556315808028971E-2</v>
      </c>
      <c r="G59" s="16">
        <f>VLOOKUP(A59,'2017-18'!$A$12:$AMX267,35,FALSE)</f>
        <v>1.7098660123536558E-2</v>
      </c>
      <c r="H59" s="56"/>
      <c r="I59" s="56">
        <v>570522.4816799172</v>
      </c>
      <c r="J59" s="56">
        <v>1659.2196623408815</v>
      </c>
      <c r="K59" s="16">
        <f t="shared" si="6"/>
        <v>-1.1279973117946152E-2</v>
      </c>
      <c r="L59" s="58">
        <f t="shared" si="6"/>
        <v>-1.1279973117946041E-2</v>
      </c>
      <c r="M59" s="10"/>
      <c r="N59" s="56">
        <v>440270</v>
      </c>
      <c r="O59" s="56">
        <v>49958</v>
      </c>
      <c r="P59" s="56">
        <v>73301</v>
      </c>
      <c r="R59" s="56">
        <f t="shared" si="7"/>
        <v>73301</v>
      </c>
      <c r="S59" s="56">
        <f t="shared" si="8"/>
        <v>558.00342338380869</v>
      </c>
      <c r="U59" s="16">
        <v>-1.7444230273765626E-2</v>
      </c>
      <c r="V59" s="16">
        <v>8.0489248890213361E-2</v>
      </c>
      <c r="W59" s="56">
        <f t="shared" si="9"/>
        <v>1</v>
      </c>
      <c r="X59" s="56">
        <f t="shared" si="10"/>
        <v>4480.8652451623248</v>
      </c>
      <c r="Y59" s="56">
        <f t="shared" si="10"/>
        <v>462.36461909558659</v>
      </c>
      <c r="AA59" s="56">
        <f t="shared" si="22"/>
        <v>558.00342338380869</v>
      </c>
      <c r="AB59" s="56">
        <v>0</v>
      </c>
      <c r="AC59" s="56">
        <f t="shared" si="11"/>
        <v>0</v>
      </c>
      <c r="AE59" s="56">
        <v>0</v>
      </c>
      <c r="AF59" s="56">
        <f t="shared" si="12"/>
        <v>0</v>
      </c>
      <c r="AG59" s="56">
        <f t="shared" si="13"/>
        <v>0</v>
      </c>
      <c r="AI59" s="56">
        <f t="shared" si="14"/>
        <v>0</v>
      </c>
      <c r="AJ59" s="56">
        <f t="shared" si="15"/>
        <v>0</v>
      </c>
      <c r="AK59" s="56">
        <f t="shared" si="16"/>
        <v>0</v>
      </c>
      <c r="AM59" s="56">
        <f t="shared" si="17"/>
        <v>440828</v>
      </c>
      <c r="AN59" s="56">
        <f t="shared" si="18"/>
        <v>49958</v>
      </c>
      <c r="AO59" s="56">
        <f t="shared" si="19"/>
        <v>73301</v>
      </c>
      <c r="AP59" s="56"/>
      <c r="AQ59" s="56">
        <f t="shared" si="20"/>
        <v>564087</v>
      </c>
      <c r="AS59" s="56">
        <v>1282.036219075349</v>
      </c>
      <c r="AT59" s="56">
        <v>145.29014815884264</v>
      </c>
      <c r="AU59" s="56">
        <v>213.17733196267514</v>
      </c>
      <c r="AV59" s="56"/>
      <c r="AW59" s="56">
        <v>1640.5036991968668</v>
      </c>
      <c r="AY59" s="16">
        <v>-1.6198935069669851E-2</v>
      </c>
      <c r="AZ59" s="16">
        <v>8.0489248890213361E-2</v>
      </c>
      <c r="BA59" s="16">
        <v>-3.8038247424861948E-2</v>
      </c>
      <c r="BB59" s="16">
        <f t="shared" si="21"/>
        <v>-1.1279979118382411E-2</v>
      </c>
      <c r="BC59" s="16"/>
      <c r="BE59" s="16">
        <f>AM59/'2016-17 disagg'!AM59-1</f>
        <v>2.1321749203591089E-2</v>
      </c>
      <c r="BF59" s="16">
        <f>AN59/'2016-17 disagg'!AN59-1</f>
        <v>1.0007480338839025E-2</v>
      </c>
      <c r="BG59" s="16">
        <f>AO59/'2016-17 disagg'!AO59-1</f>
        <v>4.6902895011211587E-2</v>
      </c>
      <c r="BH59" s="16">
        <f>AQ59/'2016-17 disagg'!AQ59-1</f>
        <v>2.3556309596175051E-2</v>
      </c>
      <c r="BJ59" s="16">
        <f>AS59/'2016-17 disagg'!AS59-1</f>
        <v>1.487819148470404E-2</v>
      </c>
      <c r="BK59" s="16">
        <f>AT59/'2016-17 disagg'!AT59-1</f>
        <v>3.6353047720836251E-3</v>
      </c>
      <c r="BL59" s="16">
        <f>AU59/'2016-17 disagg'!AU59-1</f>
        <v>4.0297944871517721E-2</v>
      </c>
      <c r="BM59" s="16">
        <f>AW59/'2016-17 disagg'!AW59-1</f>
        <v>1.7098653950873288E-2</v>
      </c>
    </row>
    <row r="60" spans="1:65" x14ac:dyDescent="0.2">
      <c r="A60" s="156" t="s">
        <v>165</v>
      </c>
      <c r="B60" s="156" t="s">
        <v>166</v>
      </c>
      <c r="D60" s="56">
        <f>VLOOKUP(A60,'2017-18'!$A$12:$AMX268,32,FALSE)</f>
        <v>352704.07754339313</v>
      </c>
      <c r="E60" s="56">
        <v>1597.4949678421385</v>
      </c>
      <c r="F60" s="16">
        <f>VLOOKUP(A60,'2017-18'!$A$12:$AMX268,34,FALSE)</f>
        <v>1.9040193529857641E-2</v>
      </c>
      <c r="G60" s="16">
        <f>VLOOKUP(A60,'2017-18'!$A$12:$AMX268,35,FALSE)</f>
        <v>1.255570459508526E-2</v>
      </c>
      <c r="H60" s="56"/>
      <c r="I60" s="56">
        <v>337580.62080065318</v>
      </c>
      <c r="J60" s="56">
        <v>1528.9966215480472</v>
      </c>
      <c r="K60" s="16">
        <f t="shared" si="6"/>
        <v>4.4799540645642066E-2</v>
      </c>
      <c r="L60" s="58">
        <f t="shared" si="6"/>
        <v>4.4799540645642288E-2</v>
      </c>
      <c r="M60" s="10"/>
      <c r="N60" s="56">
        <v>280495</v>
      </c>
      <c r="O60" s="56">
        <v>28269</v>
      </c>
      <c r="P60" s="56">
        <v>43074</v>
      </c>
      <c r="R60" s="56">
        <f t="shared" si="7"/>
        <v>43074</v>
      </c>
      <c r="S60" s="56">
        <f t="shared" si="8"/>
        <v>866.07754339312669</v>
      </c>
      <c r="U60" s="16">
        <v>6.2296244226144548E-2</v>
      </c>
      <c r="V60" s="16">
        <v>-9.1129536141477674E-3</v>
      </c>
      <c r="W60" s="56">
        <f t="shared" si="9"/>
        <v>3</v>
      </c>
      <c r="X60" s="56">
        <f t="shared" si="10"/>
        <v>2640.4593024268233</v>
      </c>
      <c r="Y60" s="56">
        <f t="shared" si="10"/>
        <v>285.28983301485232</v>
      </c>
      <c r="AA60" s="56">
        <f t="shared" si="22"/>
        <v>0</v>
      </c>
      <c r="AB60" s="56">
        <v>0</v>
      </c>
      <c r="AC60" s="56">
        <f t="shared" si="11"/>
        <v>866.07754339312669</v>
      </c>
      <c r="AE60" s="56">
        <v>0</v>
      </c>
      <c r="AF60" s="56">
        <f t="shared" si="12"/>
        <v>257.61408571834323</v>
      </c>
      <c r="AG60" s="56">
        <f t="shared" si="13"/>
        <v>608.46345767478351</v>
      </c>
      <c r="AI60" s="56">
        <f t="shared" si="14"/>
        <v>549.13217867588412</v>
      </c>
      <c r="AJ60" s="56">
        <f t="shared" si="15"/>
        <v>59.331278998899357</v>
      </c>
      <c r="AK60" s="56">
        <f t="shared" si="16"/>
        <v>0</v>
      </c>
      <c r="AM60" s="56">
        <f t="shared" si="17"/>
        <v>281044</v>
      </c>
      <c r="AN60" s="56">
        <f t="shared" si="18"/>
        <v>28586</v>
      </c>
      <c r="AO60" s="56">
        <f t="shared" si="19"/>
        <v>43074</v>
      </c>
      <c r="AP60" s="56"/>
      <c r="AQ60" s="56">
        <f t="shared" si="20"/>
        <v>352704</v>
      </c>
      <c r="AS60" s="56">
        <v>1272.9265248910815</v>
      </c>
      <c r="AT60" s="56">
        <v>129.47395297724361</v>
      </c>
      <c r="AU60" s="56">
        <v>195.09413875819604</v>
      </c>
      <c r="AV60" s="56"/>
      <c r="AW60" s="56">
        <v>1597.4946166265213</v>
      </c>
      <c r="AY60" s="16">
        <v>6.4375427948065278E-2</v>
      </c>
      <c r="AZ60" s="16">
        <v>1.9985534679674011E-3</v>
      </c>
      <c r="BA60" s="16">
        <v>-4.2921384291926712E-2</v>
      </c>
      <c r="BB60" s="16">
        <f t="shared" si="21"/>
        <v>4.4799310942310822E-2</v>
      </c>
      <c r="BC60" s="16"/>
      <c r="BE60" s="16">
        <f>AM60/'2016-17 disagg'!AM60-1</f>
        <v>1.3816041036888382E-2</v>
      </c>
      <c r="BF60" s="16">
        <f>AN60/'2016-17 disagg'!AN60-1</f>
        <v>2.9829238417753423E-2</v>
      </c>
      <c r="BG60" s="16">
        <f>AO60/'2016-17 disagg'!AO60-1</f>
        <v>4.6959311652326141E-2</v>
      </c>
      <c r="BH60" s="16">
        <f>AQ60/'2016-17 disagg'!AQ60-1</f>
        <v>1.903996948982134E-2</v>
      </c>
      <c r="BJ60" s="16">
        <f>AS60/'2016-17 disagg'!AS60-1</f>
        <v>7.3647951078867901E-3</v>
      </c>
      <c r="BK60" s="16">
        <f>AT60/'2016-17 disagg'!AT60-1</f>
        <v>2.3276095231032468E-2</v>
      </c>
      <c r="BL60" s="16">
        <f>AU60/'2016-17 disagg'!AU60-1</f>
        <v>4.0297164158369148E-2</v>
      </c>
      <c r="BM60" s="16">
        <f>AW60/'2016-17 disagg'!AW60-1</f>
        <v>1.2555481980689676E-2</v>
      </c>
    </row>
    <row r="61" spans="1:65" x14ac:dyDescent="0.2">
      <c r="A61" s="156" t="s">
        <v>167</v>
      </c>
      <c r="B61" s="156" t="s">
        <v>168</v>
      </c>
      <c r="D61" s="56">
        <f>VLOOKUP(A61,'2017-18'!$A$12:$AMX269,32,FALSE)</f>
        <v>570930</v>
      </c>
      <c r="E61" s="56">
        <v>1810.1285056618858</v>
      </c>
      <c r="F61" s="16">
        <f>VLOOKUP(A61,'2017-18'!$A$12:$AMX269,34,FALSE)</f>
        <v>1.9907607550027961E-2</v>
      </c>
      <c r="G61" s="16">
        <f>VLOOKUP(A61,'2017-18'!$A$12:$AMX269,35,FALSE)</f>
        <v>1.7683929237414242E-2</v>
      </c>
      <c r="H61" s="56"/>
      <c r="I61" s="56">
        <v>542953.0738907404</v>
      </c>
      <c r="J61" s="56">
        <v>1721.4279093520631</v>
      </c>
      <c r="K61" s="16">
        <f t="shared" si="6"/>
        <v>5.1527337176268562E-2</v>
      </c>
      <c r="L61" s="58">
        <f t="shared" si="6"/>
        <v>5.1527337176268562E-2</v>
      </c>
      <c r="M61" s="10"/>
      <c r="N61" s="56">
        <v>445060</v>
      </c>
      <c r="O61" s="56">
        <v>42534</v>
      </c>
      <c r="P61" s="56">
        <v>83336</v>
      </c>
      <c r="R61" s="56">
        <f t="shared" si="7"/>
        <v>83336</v>
      </c>
      <c r="S61" s="56">
        <f t="shared" si="8"/>
        <v>0</v>
      </c>
      <c r="U61" s="16">
        <v>5.5553667738241108E-2</v>
      </c>
      <c r="V61" s="16">
        <v>6.4612031528974434E-3</v>
      </c>
      <c r="W61" s="56">
        <f t="shared" si="9"/>
        <v>2</v>
      </c>
      <c r="X61" s="56">
        <f t="shared" si="10"/>
        <v>4216.3654355314802</v>
      </c>
      <c r="Y61" s="56">
        <f t="shared" si="10"/>
        <v>422.60943458879069</v>
      </c>
      <c r="AA61" s="56">
        <f t="shared" si="22"/>
        <v>0</v>
      </c>
      <c r="AB61" s="56">
        <v>0</v>
      </c>
      <c r="AC61" s="56">
        <f t="shared" si="11"/>
        <v>0</v>
      </c>
      <c r="AE61" s="56">
        <v>0</v>
      </c>
      <c r="AF61" s="56">
        <f t="shared" si="12"/>
        <v>0</v>
      </c>
      <c r="AG61" s="56">
        <f t="shared" si="13"/>
        <v>0</v>
      </c>
      <c r="AI61" s="56">
        <f t="shared" si="14"/>
        <v>0</v>
      </c>
      <c r="AJ61" s="56">
        <f t="shared" si="15"/>
        <v>0</v>
      </c>
      <c r="AK61" s="56">
        <f t="shared" si="16"/>
        <v>0</v>
      </c>
      <c r="AM61" s="56">
        <f t="shared" si="17"/>
        <v>445060</v>
      </c>
      <c r="AN61" s="56">
        <f t="shared" si="18"/>
        <v>42534</v>
      </c>
      <c r="AO61" s="56">
        <f t="shared" si="19"/>
        <v>83336</v>
      </c>
      <c r="AP61" s="56"/>
      <c r="AQ61" s="56">
        <f t="shared" si="20"/>
        <v>570930</v>
      </c>
      <c r="AS61" s="56">
        <v>1411.0587860681326</v>
      </c>
      <c r="AT61" s="56">
        <v>134.85367008183604</v>
      </c>
      <c r="AU61" s="56">
        <v>264.21604951191728</v>
      </c>
      <c r="AV61" s="56"/>
      <c r="AW61" s="56">
        <v>1810.1285056618858</v>
      </c>
      <c r="AY61" s="16">
        <v>5.5553667738241108E-2</v>
      </c>
      <c r="AZ61" s="16">
        <v>6.4612031528974434E-3</v>
      </c>
      <c r="BA61" s="16">
        <v>5.4144346911921826E-2</v>
      </c>
      <c r="BB61" s="16">
        <f t="shared" si="21"/>
        <v>5.1527337176268562E-2</v>
      </c>
      <c r="BC61" s="16"/>
      <c r="BE61" s="16">
        <f>AM61/'2016-17 disagg'!AM61-1</f>
        <v>1.5916929742265884E-2</v>
      </c>
      <c r="BF61" s="16">
        <f>AN61/'2016-17 disagg'!AN61-1</f>
        <v>1.8388162620313064E-2</v>
      </c>
      <c r="BG61" s="16">
        <f>AO61/'2016-17 disagg'!AO61-1</f>
        <v>4.2573155017326947E-2</v>
      </c>
      <c r="BH61" s="16">
        <f>AQ61/'2016-17 disagg'!AQ61-1</f>
        <v>1.9907607550027961E-2</v>
      </c>
      <c r="BJ61" s="16">
        <f>AS61/'2016-17 disagg'!AS61-1</f>
        <v>1.3701952201788714E-2</v>
      </c>
      <c r="BK61" s="16">
        <f>AT61/'2016-17 disagg'!AT61-1</f>
        <v>1.6167797114381433E-2</v>
      </c>
      <c r="BL61" s="16">
        <f>AU61/'2016-17 disagg'!AU61-1</f>
        <v>4.03000595947971E-2</v>
      </c>
      <c r="BM61" s="16">
        <f>AW61/'2016-17 disagg'!AW61-1</f>
        <v>1.7683929237414242E-2</v>
      </c>
    </row>
    <row r="62" spans="1:65" x14ac:dyDescent="0.2">
      <c r="A62" s="156" t="s">
        <v>169</v>
      </c>
      <c r="B62" s="156" t="s">
        <v>170</v>
      </c>
      <c r="D62" s="56">
        <f>VLOOKUP(A62,'2017-18'!$A$12:$AMX270,32,FALSE)</f>
        <v>492447</v>
      </c>
      <c r="E62" s="56">
        <v>1618.5058828948015</v>
      </c>
      <c r="F62" s="16">
        <f>VLOOKUP(A62,'2017-18'!$A$12:$AMX270,34,FALSE)</f>
        <v>2.7165989116083367E-2</v>
      </c>
      <c r="G62" s="16">
        <f>VLOOKUP(A62,'2017-18'!$A$12:$AMX270,35,FALSE)</f>
        <v>2.2423873140641426E-2</v>
      </c>
      <c r="H62" s="56"/>
      <c r="I62" s="56">
        <v>492450.28180329356</v>
      </c>
      <c r="J62" s="56">
        <v>1618.5166690665867</v>
      </c>
      <c r="K62" s="16">
        <f t="shared" si="6"/>
        <v>-6.6642327455346262E-6</v>
      </c>
      <c r="L62" s="58">
        <f t="shared" si="6"/>
        <v>-6.6642327455346262E-6</v>
      </c>
      <c r="M62" s="10"/>
      <c r="N62" s="56">
        <v>384042</v>
      </c>
      <c r="O62" s="56">
        <v>36888</v>
      </c>
      <c r="P62" s="56">
        <v>71517</v>
      </c>
      <c r="R62" s="56">
        <f t="shared" si="7"/>
        <v>71517</v>
      </c>
      <c r="S62" s="56">
        <f t="shared" si="8"/>
        <v>0</v>
      </c>
      <c r="U62" s="16">
        <v>3.057965355078629E-3</v>
      </c>
      <c r="V62" s="16">
        <v>-5.1646522544386619E-2</v>
      </c>
      <c r="W62" s="56">
        <f t="shared" si="9"/>
        <v>3</v>
      </c>
      <c r="X62" s="56">
        <f t="shared" si="10"/>
        <v>3828.711931558717</v>
      </c>
      <c r="Y62" s="56">
        <f t="shared" si="10"/>
        <v>388.96889057620922</v>
      </c>
      <c r="AA62" s="56">
        <f t="shared" si="22"/>
        <v>0</v>
      </c>
      <c r="AB62" s="56">
        <v>0</v>
      </c>
      <c r="AC62" s="56">
        <f t="shared" si="11"/>
        <v>0</v>
      </c>
      <c r="AE62" s="56">
        <v>0</v>
      </c>
      <c r="AF62" s="56">
        <f t="shared" si="12"/>
        <v>0</v>
      </c>
      <c r="AG62" s="56">
        <f t="shared" si="13"/>
        <v>0</v>
      </c>
      <c r="AI62" s="56">
        <f t="shared" si="14"/>
        <v>0</v>
      </c>
      <c r="AJ62" s="56">
        <f t="shared" si="15"/>
        <v>0</v>
      </c>
      <c r="AK62" s="56">
        <f t="shared" si="16"/>
        <v>0</v>
      </c>
      <c r="AM62" s="56">
        <f t="shared" si="17"/>
        <v>384042</v>
      </c>
      <c r="AN62" s="56">
        <f t="shared" si="18"/>
        <v>36888</v>
      </c>
      <c r="AO62" s="56">
        <f t="shared" si="19"/>
        <v>71517</v>
      </c>
      <c r="AP62" s="56"/>
      <c r="AQ62" s="56">
        <f t="shared" si="20"/>
        <v>492447</v>
      </c>
      <c r="AS62" s="56">
        <v>1262.2154998988426</v>
      </c>
      <c r="AT62" s="56">
        <v>121.23831601821807</v>
      </c>
      <c r="AU62" s="56">
        <v>235.05206697774079</v>
      </c>
      <c r="AV62" s="56"/>
      <c r="AW62" s="56">
        <v>1618.5058828948015</v>
      </c>
      <c r="AY62" s="16">
        <v>3.057965355078629E-3</v>
      </c>
      <c r="AZ62" s="16">
        <v>-5.1646522544386619E-2</v>
      </c>
      <c r="BA62" s="16">
        <v>1.1810617313039673E-2</v>
      </c>
      <c r="BB62" s="16">
        <f t="shared" si="21"/>
        <v>-6.6642327455346262E-6</v>
      </c>
      <c r="BC62" s="16"/>
      <c r="BE62" s="16">
        <f>AM62/'2016-17 disagg'!AM62-1</f>
        <v>2.0029163269154715E-2</v>
      </c>
      <c r="BF62" s="16">
        <f>AN62/'2016-17 disagg'!AN62-1</f>
        <v>6.9434377989737062E-2</v>
      </c>
      <c r="BG62" s="16">
        <f>AO62/'2016-17 disagg'!AO62-1</f>
        <v>4.5127066010024919E-2</v>
      </c>
      <c r="BH62" s="16">
        <f>AQ62/'2016-17 disagg'!AQ62-1</f>
        <v>2.7165989116083367E-2</v>
      </c>
      <c r="BJ62" s="16">
        <f>AS62/'2016-17 disagg'!AS62-1</f>
        <v>1.5319995868939396E-2</v>
      </c>
      <c r="BK62" s="16">
        <f>AT62/'2016-17 disagg'!AT62-1</f>
        <v>6.4497121594676798E-2</v>
      </c>
      <c r="BL62" s="16">
        <f>AU62/'2016-17 disagg'!AU62-1</f>
        <v>4.0302029152683438E-2</v>
      </c>
      <c r="BM62" s="16">
        <f>AW62/'2016-17 disagg'!AW62-1</f>
        <v>2.2423873140641426E-2</v>
      </c>
    </row>
    <row r="63" spans="1:65" x14ac:dyDescent="0.2">
      <c r="A63" s="156" t="s">
        <v>171</v>
      </c>
      <c r="B63" s="156" t="s">
        <v>172</v>
      </c>
      <c r="D63" s="56">
        <f>VLOOKUP(A63,'2017-18'!$A$12:$AMX271,32,FALSE)</f>
        <v>375636</v>
      </c>
      <c r="E63" s="56">
        <v>1515.3886873190627</v>
      </c>
      <c r="F63" s="16">
        <f>VLOOKUP(A63,'2017-18'!$A$12:$AMX271,34,FALSE)</f>
        <v>2.3213497714606346E-2</v>
      </c>
      <c r="G63" s="16">
        <f>VLOOKUP(A63,'2017-18'!$A$12:$AMX271,35,FALSE)</f>
        <v>1.6638880843827364E-2</v>
      </c>
      <c r="H63" s="56"/>
      <c r="I63" s="56">
        <v>364555.96411240916</v>
      </c>
      <c r="J63" s="56">
        <v>1470.6896674190946</v>
      </c>
      <c r="K63" s="16">
        <f t="shared" si="6"/>
        <v>3.0393237193547584E-2</v>
      </c>
      <c r="L63" s="58">
        <f t="shared" si="6"/>
        <v>3.0393237193547584E-2</v>
      </c>
      <c r="M63" s="10"/>
      <c r="N63" s="56">
        <v>296072</v>
      </c>
      <c r="O63" s="56">
        <v>32248</v>
      </c>
      <c r="P63" s="56">
        <v>47316</v>
      </c>
      <c r="R63" s="56">
        <f t="shared" si="7"/>
        <v>47316</v>
      </c>
      <c r="S63" s="56">
        <f t="shared" si="8"/>
        <v>0</v>
      </c>
      <c r="U63" s="16">
        <v>3.7951358942641678E-2</v>
      </c>
      <c r="V63" s="16">
        <v>1.4630024707083189E-2</v>
      </c>
      <c r="W63" s="56">
        <f t="shared" si="9"/>
        <v>2</v>
      </c>
      <c r="X63" s="56">
        <f t="shared" si="10"/>
        <v>2852.4650741014275</v>
      </c>
      <c r="Y63" s="56">
        <f t="shared" si="10"/>
        <v>317.83013723953007</v>
      </c>
      <c r="AA63" s="56">
        <f t="shared" si="22"/>
        <v>0</v>
      </c>
      <c r="AB63" s="56">
        <v>0</v>
      </c>
      <c r="AC63" s="56">
        <f t="shared" si="11"/>
        <v>0</v>
      </c>
      <c r="AE63" s="56">
        <v>0</v>
      </c>
      <c r="AF63" s="56">
        <f t="shared" si="12"/>
        <v>0</v>
      </c>
      <c r="AG63" s="56">
        <f t="shared" si="13"/>
        <v>0</v>
      </c>
      <c r="AI63" s="56">
        <f t="shared" si="14"/>
        <v>0</v>
      </c>
      <c r="AJ63" s="56">
        <f t="shared" si="15"/>
        <v>0</v>
      </c>
      <c r="AK63" s="56">
        <f t="shared" si="16"/>
        <v>0</v>
      </c>
      <c r="AM63" s="56">
        <f t="shared" si="17"/>
        <v>296072</v>
      </c>
      <c r="AN63" s="56">
        <f t="shared" si="18"/>
        <v>32248</v>
      </c>
      <c r="AO63" s="56">
        <f t="shared" si="19"/>
        <v>47316</v>
      </c>
      <c r="AP63" s="56"/>
      <c r="AQ63" s="56">
        <f t="shared" si="20"/>
        <v>375636</v>
      </c>
      <c r="AS63" s="56">
        <v>1194.4120356726446</v>
      </c>
      <c r="AT63" s="56">
        <v>130.09470441774786</v>
      </c>
      <c r="AU63" s="56">
        <v>190.88194722867021</v>
      </c>
      <c r="AV63" s="56"/>
      <c r="AW63" s="56">
        <v>1515.3886873190627</v>
      </c>
      <c r="AY63" s="16">
        <v>3.7951358942641678E-2</v>
      </c>
      <c r="AZ63" s="16">
        <v>1.4630024707083189E-2</v>
      </c>
      <c r="BA63" s="16">
        <v>-4.4279134966914713E-3</v>
      </c>
      <c r="BB63" s="16">
        <f t="shared" si="21"/>
        <v>3.0393237193547584E-2</v>
      </c>
      <c r="BC63" s="16"/>
      <c r="BE63" s="16">
        <f>AM63/'2016-17 disagg'!AM63-1</f>
        <v>2.003045566358197E-2</v>
      </c>
      <c r="BF63" s="16">
        <f>AN63/'2016-17 disagg'!AN63-1</f>
        <v>1.8411495341860151E-2</v>
      </c>
      <c r="BG63" s="16">
        <f>AO63/'2016-17 disagg'!AO63-1</f>
        <v>4.7022637250780042E-2</v>
      </c>
      <c r="BH63" s="16">
        <f>AQ63/'2016-17 disagg'!AQ63-1</f>
        <v>2.3213497714606346E-2</v>
      </c>
      <c r="BJ63" s="16">
        <f>AS63/'2016-17 disagg'!AS63-1</f>
        <v>1.3476291300530852E-2</v>
      </c>
      <c r="BK63" s="16">
        <f>AT63/'2016-17 disagg'!AT63-1</f>
        <v>1.1867733542758607E-2</v>
      </c>
      <c r="BL63" s="16">
        <f>AU63/'2016-17 disagg'!AU63-1</f>
        <v>4.0295035718615146E-2</v>
      </c>
      <c r="BM63" s="16">
        <f>AW63/'2016-17 disagg'!AW63-1</f>
        <v>1.6638880843827364E-2</v>
      </c>
    </row>
    <row r="64" spans="1:65" x14ac:dyDescent="0.2">
      <c r="A64" s="156" t="s">
        <v>173</v>
      </c>
      <c r="B64" s="156" t="s">
        <v>174</v>
      </c>
      <c r="D64" s="56">
        <f>VLOOKUP(A64,'2017-18'!$A$12:$AMX272,32,FALSE)</f>
        <v>243634</v>
      </c>
      <c r="E64" s="56">
        <v>1691.7452639367198</v>
      </c>
      <c r="F64" s="16">
        <f>VLOOKUP(A64,'2017-18'!$A$12:$AMX272,34,FALSE)</f>
        <v>1.9666436478540161E-2</v>
      </c>
      <c r="G64" s="16">
        <f>VLOOKUP(A64,'2017-18'!$A$12:$AMX272,35,FALSE)</f>
        <v>1.7936124656920738E-2</v>
      </c>
      <c r="H64" s="56"/>
      <c r="I64" s="56">
        <v>228827.61739596035</v>
      </c>
      <c r="J64" s="56">
        <v>1588.9327351171828</v>
      </c>
      <c r="K64" s="16">
        <f t="shared" si="6"/>
        <v>6.4705400390630663E-2</v>
      </c>
      <c r="L64" s="58">
        <f t="shared" si="6"/>
        <v>6.4705400390630441E-2</v>
      </c>
      <c r="M64" s="10"/>
      <c r="N64" s="56">
        <v>187092</v>
      </c>
      <c r="O64" s="56">
        <v>20427</v>
      </c>
      <c r="P64" s="56">
        <v>36115</v>
      </c>
      <c r="R64" s="56">
        <f t="shared" si="7"/>
        <v>36115</v>
      </c>
      <c r="S64" s="56">
        <f t="shared" si="8"/>
        <v>0</v>
      </c>
      <c r="U64" s="16">
        <v>5.456060837400778E-2</v>
      </c>
      <c r="V64" s="16">
        <v>0.12954522598053675</v>
      </c>
      <c r="W64" s="56">
        <f t="shared" si="9"/>
        <v>2</v>
      </c>
      <c r="X64" s="56">
        <f t="shared" si="10"/>
        <v>1774.1227817002475</v>
      </c>
      <c r="Y64" s="56">
        <f t="shared" si="10"/>
        <v>180.84269252935587</v>
      </c>
      <c r="AA64" s="56">
        <f t="shared" si="22"/>
        <v>0</v>
      </c>
      <c r="AB64" s="56">
        <v>0</v>
      </c>
      <c r="AC64" s="56">
        <f t="shared" si="11"/>
        <v>0</v>
      </c>
      <c r="AE64" s="56">
        <v>0</v>
      </c>
      <c r="AF64" s="56">
        <f t="shared" si="12"/>
        <v>0</v>
      </c>
      <c r="AG64" s="56">
        <f t="shared" si="13"/>
        <v>0</v>
      </c>
      <c r="AI64" s="56">
        <f t="shared" si="14"/>
        <v>0</v>
      </c>
      <c r="AJ64" s="56">
        <f t="shared" si="15"/>
        <v>0</v>
      </c>
      <c r="AK64" s="56">
        <f t="shared" si="16"/>
        <v>0</v>
      </c>
      <c r="AM64" s="56">
        <f t="shared" si="17"/>
        <v>187092</v>
      </c>
      <c r="AN64" s="56">
        <f t="shared" si="18"/>
        <v>20427</v>
      </c>
      <c r="AO64" s="56">
        <f t="shared" si="19"/>
        <v>36115</v>
      </c>
      <c r="AP64" s="56"/>
      <c r="AQ64" s="56">
        <f t="shared" si="20"/>
        <v>243634</v>
      </c>
      <c r="AS64" s="56">
        <v>1299.1290415970218</v>
      </c>
      <c r="AT64" s="56">
        <v>141.84096023722213</v>
      </c>
      <c r="AU64" s="56">
        <v>250.77526210247601</v>
      </c>
      <c r="AV64" s="56"/>
      <c r="AW64" s="56">
        <v>1691.7452639367198</v>
      </c>
      <c r="AY64" s="16">
        <v>5.456060837400778E-2</v>
      </c>
      <c r="AZ64" s="16">
        <v>0.12954522598053675</v>
      </c>
      <c r="BA64" s="16">
        <v>8.3523572128201273E-2</v>
      </c>
      <c r="BB64" s="16">
        <f t="shared" si="21"/>
        <v>6.4705400390630663E-2</v>
      </c>
      <c r="BC64" s="16"/>
      <c r="BE64" s="16">
        <f>AM64/'2016-17 disagg'!AM64-1</f>
        <v>1.6511548304021018E-2</v>
      </c>
      <c r="BF64" s="16">
        <f>AN64/'2016-17 disagg'!AN64-1</f>
        <v>9.9876390605686538E-3</v>
      </c>
      <c r="BG64" s="16">
        <f>AO64/'2016-17 disagg'!AO64-1</f>
        <v>4.2069423204547318E-2</v>
      </c>
      <c r="BH64" s="16">
        <f>AQ64/'2016-17 disagg'!AQ64-1</f>
        <v>1.9666436478540161E-2</v>
      </c>
      <c r="BJ64" s="16">
        <f>AS64/'2016-17 disagg'!AS64-1</f>
        <v>1.4786590135428934E-2</v>
      </c>
      <c r="BK64" s="16">
        <f>AT64/'2016-17 disagg'!AT64-1</f>
        <v>8.2737515685067375E-3</v>
      </c>
      <c r="BL64" s="16">
        <f>AU64/'2016-17 disagg'!AU64-1</f>
        <v>4.0301094879310106E-2</v>
      </c>
      <c r="BM64" s="16">
        <f>AW64/'2016-17 disagg'!AW64-1</f>
        <v>1.7936124656920738E-2</v>
      </c>
    </row>
    <row r="65" spans="1:65" x14ac:dyDescent="0.2">
      <c r="A65" s="156" t="s">
        <v>175</v>
      </c>
      <c r="B65" s="156" t="s">
        <v>176</v>
      </c>
      <c r="D65" s="56">
        <f>VLOOKUP(A65,'2017-18'!$A$12:$AMX273,32,FALSE)</f>
        <v>248663</v>
      </c>
      <c r="E65" s="56">
        <v>1527.0240231716527</v>
      </c>
      <c r="F65" s="16">
        <f>VLOOKUP(A65,'2017-18'!$A$12:$AMX273,34,FALSE)</f>
        <v>2.2925665391418715E-2</v>
      </c>
      <c r="G65" s="16">
        <f>VLOOKUP(A65,'2017-18'!$A$12:$AMX273,35,FALSE)</f>
        <v>1.9940522081778989E-2</v>
      </c>
      <c r="H65" s="56"/>
      <c r="I65" s="56">
        <v>243778.64421547652</v>
      </c>
      <c r="J65" s="56">
        <v>1497.029497968125</v>
      </c>
      <c r="K65" s="16">
        <f t="shared" si="6"/>
        <v>2.0036028177292664E-2</v>
      </c>
      <c r="L65" s="58">
        <f t="shared" si="6"/>
        <v>2.0036028177292664E-2</v>
      </c>
      <c r="M65" s="10"/>
      <c r="N65" s="56">
        <v>193656</v>
      </c>
      <c r="O65" s="56">
        <v>20219</v>
      </c>
      <c r="P65" s="56">
        <v>34788</v>
      </c>
      <c r="R65" s="56">
        <f t="shared" si="7"/>
        <v>34788</v>
      </c>
      <c r="S65" s="56">
        <f t="shared" si="8"/>
        <v>0</v>
      </c>
      <c r="U65" s="16">
        <v>2.5926528965456663E-2</v>
      </c>
      <c r="V65" s="16">
        <v>4.5974643561131678E-2</v>
      </c>
      <c r="W65" s="56">
        <f t="shared" si="9"/>
        <v>2</v>
      </c>
      <c r="X65" s="56">
        <f t="shared" si="10"/>
        <v>1887.62055110596</v>
      </c>
      <c r="Y65" s="56">
        <f t="shared" si="10"/>
        <v>193.30296508108714</v>
      </c>
      <c r="AA65" s="56">
        <f t="shared" si="22"/>
        <v>0</v>
      </c>
      <c r="AB65" s="56">
        <v>0</v>
      </c>
      <c r="AC65" s="56">
        <f t="shared" si="11"/>
        <v>0</v>
      </c>
      <c r="AE65" s="56">
        <v>0</v>
      </c>
      <c r="AF65" s="56">
        <f t="shared" si="12"/>
        <v>0</v>
      </c>
      <c r="AG65" s="56">
        <f t="shared" si="13"/>
        <v>0</v>
      </c>
      <c r="AI65" s="56">
        <f t="shared" si="14"/>
        <v>0</v>
      </c>
      <c r="AJ65" s="56">
        <f t="shared" si="15"/>
        <v>0</v>
      </c>
      <c r="AK65" s="56">
        <f t="shared" si="16"/>
        <v>0</v>
      </c>
      <c r="AM65" s="56">
        <f t="shared" si="17"/>
        <v>193656</v>
      </c>
      <c r="AN65" s="56">
        <f t="shared" si="18"/>
        <v>20219</v>
      </c>
      <c r="AO65" s="56">
        <f t="shared" si="19"/>
        <v>34788</v>
      </c>
      <c r="AP65" s="56"/>
      <c r="AQ65" s="56">
        <f t="shared" si="20"/>
        <v>248663</v>
      </c>
      <c r="AS65" s="56">
        <v>1189.2294560563075</v>
      </c>
      <c r="AT65" s="56">
        <v>124.16362194820961</v>
      </c>
      <c r="AU65" s="56">
        <v>213.63094516713565</v>
      </c>
      <c r="AV65" s="56"/>
      <c r="AW65" s="56">
        <v>1527.0240231716527</v>
      </c>
      <c r="AY65" s="16">
        <v>2.5926528965456663E-2</v>
      </c>
      <c r="AZ65" s="16">
        <v>4.5974643561131678E-2</v>
      </c>
      <c r="BA65" s="16">
        <v>-2.5171922646093803E-2</v>
      </c>
      <c r="BB65" s="16">
        <f t="shared" si="21"/>
        <v>2.0036028177292664E-2</v>
      </c>
      <c r="BC65" s="16"/>
      <c r="BE65" s="16">
        <f>AM65/'2016-17 disagg'!AM65-1</f>
        <v>2.0031287364434602E-2</v>
      </c>
      <c r="BF65" s="16">
        <f>AN65/'2016-17 disagg'!AN65-1</f>
        <v>1.6336583894641654E-2</v>
      </c>
      <c r="BG65" s="16">
        <f>AO65/'2016-17 disagg'!AO65-1</f>
        <v>4.3337432144678001E-2</v>
      </c>
      <c r="BH65" s="16">
        <f>AQ65/'2016-17 disagg'!AQ65-1</f>
        <v>2.2925665391418715E-2</v>
      </c>
      <c r="BJ65" s="16">
        <f>AS65/'2016-17 disagg'!AS65-1</f>
        <v>1.7054590546554005E-2</v>
      </c>
      <c r="BK65" s="16">
        <f>AT65/'2016-17 disagg'!AT65-1</f>
        <v>1.3370669110800204E-2</v>
      </c>
      <c r="BL65" s="16">
        <f>AU65/'2016-17 disagg'!AU65-1</f>
        <v>4.0292722386543467E-2</v>
      </c>
      <c r="BM65" s="16">
        <f>AW65/'2016-17 disagg'!AW65-1</f>
        <v>1.9940522081778989E-2</v>
      </c>
    </row>
    <row r="66" spans="1:65" x14ac:dyDescent="0.2">
      <c r="A66" s="156" t="s">
        <v>177</v>
      </c>
      <c r="B66" s="156" t="s">
        <v>178</v>
      </c>
      <c r="D66" s="56">
        <f>VLOOKUP(A66,'2017-18'!$A$12:$AMX274,32,FALSE)</f>
        <v>508327</v>
      </c>
      <c r="E66" s="56">
        <v>1735.3345899261369</v>
      </c>
      <c r="F66" s="16">
        <f>VLOOKUP(A66,'2017-18'!$A$12:$AMX274,34,FALSE)</f>
        <v>2.3328146169316222E-2</v>
      </c>
      <c r="G66" s="16">
        <f>VLOOKUP(A66,'2017-18'!$A$12:$AMX274,35,FALSE)</f>
        <v>2.0632813547634798E-2</v>
      </c>
      <c r="H66" s="56"/>
      <c r="I66" s="56">
        <v>500578.07523641299</v>
      </c>
      <c r="J66" s="56">
        <v>1708.8811904864303</v>
      </c>
      <c r="K66" s="16">
        <f t="shared" si="6"/>
        <v>1.547995237291877E-2</v>
      </c>
      <c r="L66" s="58">
        <f t="shared" si="6"/>
        <v>1.547995237291877E-2</v>
      </c>
      <c r="M66" s="10"/>
      <c r="N66" s="56">
        <v>389614</v>
      </c>
      <c r="O66" s="56">
        <v>41456</v>
      </c>
      <c r="P66" s="56">
        <v>77257</v>
      </c>
      <c r="R66" s="56">
        <f t="shared" si="7"/>
        <v>77257</v>
      </c>
      <c r="S66" s="56">
        <f t="shared" si="8"/>
        <v>0</v>
      </c>
      <c r="U66" s="16">
        <v>2.2577806126455657E-2</v>
      </c>
      <c r="V66" s="16">
        <v>6.2333467289514832E-3</v>
      </c>
      <c r="W66" s="56">
        <f t="shared" si="9"/>
        <v>2</v>
      </c>
      <c r="X66" s="56">
        <f t="shared" si="10"/>
        <v>3810.1159409655611</v>
      </c>
      <c r="Y66" s="56">
        <f t="shared" si="10"/>
        <v>411.99191156568753</v>
      </c>
      <c r="AA66" s="56">
        <f t="shared" si="22"/>
        <v>0</v>
      </c>
      <c r="AB66" s="56">
        <v>0</v>
      </c>
      <c r="AC66" s="56">
        <f t="shared" si="11"/>
        <v>0</v>
      </c>
      <c r="AE66" s="56">
        <v>0</v>
      </c>
      <c r="AF66" s="56">
        <f t="shared" si="12"/>
        <v>0</v>
      </c>
      <c r="AG66" s="56">
        <f t="shared" si="13"/>
        <v>0</v>
      </c>
      <c r="AI66" s="56">
        <f t="shared" si="14"/>
        <v>0</v>
      </c>
      <c r="AJ66" s="56">
        <f t="shared" si="15"/>
        <v>0</v>
      </c>
      <c r="AK66" s="56">
        <f t="shared" si="16"/>
        <v>0</v>
      </c>
      <c r="AM66" s="56">
        <f t="shared" si="17"/>
        <v>389614</v>
      </c>
      <c r="AN66" s="56">
        <f t="shared" si="18"/>
        <v>41456</v>
      </c>
      <c r="AO66" s="56">
        <f t="shared" si="19"/>
        <v>77257</v>
      </c>
      <c r="AP66" s="56"/>
      <c r="AQ66" s="56">
        <f t="shared" si="20"/>
        <v>508327</v>
      </c>
      <c r="AS66" s="56">
        <v>1330.0703108815426</v>
      </c>
      <c r="AT66" s="56">
        <v>141.52313522590367</v>
      </c>
      <c r="AU66" s="56">
        <v>263.74114381869066</v>
      </c>
      <c r="AV66" s="56"/>
      <c r="AW66" s="56">
        <v>1735.3345899261369</v>
      </c>
      <c r="AY66" s="16">
        <v>2.2577806126455657E-2</v>
      </c>
      <c r="AZ66" s="16">
        <v>6.2333467289514832E-3</v>
      </c>
      <c r="BA66" s="16">
        <v>-1.4167773104376225E-2</v>
      </c>
      <c r="BB66" s="16">
        <f t="shared" si="21"/>
        <v>1.547995237291877E-2</v>
      </c>
      <c r="BC66" s="16"/>
      <c r="BE66" s="16">
        <f>AM66/'2016-17 disagg'!AM66-1</f>
        <v>2.0030735961336532E-2</v>
      </c>
      <c r="BF66" s="16">
        <f>AN66/'2016-17 disagg'!AN66-1</f>
        <v>1.839978382096441E-2</v>
      </c>
      <c r="BG66" s="16">
        <f>AO66/'2016-17 disagg'!AO66-1</f>
        <v>4.304094830495897E-2</v>
      </c>
      <c r="BH66" s="16">
        <f>AQ66/'2016-17 disagg'!AQ66-1</f>
        <v>2.3328146169316222E-2</v>
      </c>
      <c r="BJ66" s="16">
        <f>AS66/'2016-17 disagg'!AS66-1</f>
        <v>1.7344088351724629E-2</v>
      </c>
      <c r="BK66" s="16">
        <f>AT66/'2016-17 disagg'!AT66-1</f>
        <v>1.5717431958053973E-2</v>
      </c>
      <c r="BL66" s="16">
        <f>AU66/'2016-17 disagg'!AU66-1</f>
        <v>4.0293694352998566E-2</v>
      </c>
      <c r="BM66" s="16">
        <f>AW66/'2016-17 disagg'!AW66-1</f>
        <v>2.0632813547634798E-2</v>
      </c>
    </row>
    <row r="67" spans="1:65" x14ac:dyDescent="0.2">
      <c r="A67" s="156" t="s">
        <v>179</v>
      </c>
      <c r="B67" s="156" t="s">
        <v>180</v>
      </c>
      <c r="D67" s="56">
        <f>VLOOKUP(A67,'2017-18'!$A$12:$AMX275,32,FALSE)</f>
        <v>340691</v>
      </c>
      <c r="E67" s="56">
        <v>1584.4339932822904</v>
      </c>
      <c r="F67" s="16">
        <f>VLOOKUP(A67,'2017-18'!$A$12:$AMX275,34,FALSE)</f>
        <v>2.4613015665835514E-2</v>
      </c>
      <c r="G67" s="16">
        <f>VLOOKUP(A67,'2017-18'!$A$12:$AMX275,35,FALSE)</f>
        <v>1.7016059771340464E-2</v>
      </c>
      <c r="H67" s="56"/>
      <c r="I67" s="56">
        <v>330006.49954606697</v>
      </c>
      <c r="J67" s="56">
        <v>1534.7441402469842</v>
      </c>
      <c r="K67" s="16">
        <f t="shared" si="6"/>
        <v>3.2376636425736516E-2</v>
      </c>
      <c r="L67" s="58">
        <f t="shared" si="6"/>
        <v>3.2376636425736516E-2</v>
      </c>
      <c r="M67" s="10"/>
      <c r="N67" s="56">
        <v>255897</v>
      </c>
      <c r="O67" s="56">
        <v>26522</v>
      </c>
      <c r="P67" s="56">
        <v>58272</v>
      </c>
      <c r="R67" s="56">
        <f t="shared" si="7"/>
        <v>58272</v>
      </c>
      <c r="S67" s="56">
        <f t="shared" si="8"/>
        <v>0</v>
      </c>
      <c r="U67" s="16">
        <v>1.9536591077248922E-2</v>
      </c>
      <c r="V67" s="16">
        <v>-4.1878024888798993E-2</v>
      </c>
      <c r="W67" s="56">
        <f t="shared" si="9"/>
        <v>3</v>
      </c>
      <c r="X67" s="56">
        <f t="shared" si="10"/>
        <v>2509.9344372683827</v>
      </c>
      <c r="Y67" s="56">
        <f t="shared" si="10"/>
        <v>276.81235467876434</v>
      </c>
      <c r="AA67" s="56">
        <f t="shared" si="22"/>
        <v>0</v>
      </c>
      <c r="AB67" s="56">
        <v>0</v>
      </c>
      <c r="AC67" s="56">
        <f t="shared" si="11"/>
        <v>0</v>
      </c>
      <c r="AE67" s="56">
        <v>0</v>
      </c>
      <c r="AF67" s="56">
        <f t="shared" si="12"/>
        <v>0</v>
      </c>
      <c r="AG67" s="56">
        <f t="shared" si="13"/>
        <v>0</v>
      </c>
      <c r="AI67" s="56">
        <f t="shared" si="14"/>
        <v>0</v>
      </c>
      <c r="AJ67" s="56">
        <f t="shared" si="15"/>
        <v>0</v>
      </c>
      <c r="AK67" s="56">
        <f t="shared" si="16"/>
        <v>0</v>
      </c>
      <c r="AM67" s="56">
        <f t="shared" si="17"/>
        <v>255897</v>
      </c>
      <c r="AN67" s="56">
        <f t="shared" si="18"/>
        <v>26522</v>
      </c>
      <c r="AO67" s="56">
        <f t="shared" si="19"/>
        <v>58272</v>
      </c>
      <c r="AP67" s="56"/>
      <c r="AQ67" s="56">
        <f t="shared" si="20"/>
        <v>340691</v>
      </c>
      <c r="AS67" s="56">
        <v>1190.086927975668</v>
      </c>
      <c r="AT67" s="56">
        <v>123.34449213461144</v>
      </c>
      <c r="AU67" s="56">
        <v>271.00257317201113</v>
      </c>
      <c r="AV67" s="56"/>
      <c r="AW67" s="56">
        <v>1584.4339932822904</v>
      </c>
      <c r="AY67" s="16">
        <v>1.9536591077248922E-2</v>
      </c>
      <c r="AZ67" s="16">
        <v>-4.1878024888798993E-2</v>
      </c>
      <c r="BA67" s="16">
        <v>0.13520228975212789</v>
      </c>
      <c r="BB67" s="16">
        <f t="shared" si="21"/>
        <v>3.2376636425736516E-2</v>
      </c>
      <c r="BC67" s="16"/>
      <c r="BE67" s="16">
        <f>AM67/'2016-17 disagg'!AM67-1</f>
        <v>2.0030134889505335E-2</v>
      </c>
      <c r="BF67" s="16">
        <f>AN67/'2016-17 disagg'!AN67-1</f>
        <v>1.8666461822092417E-2</v>
      </c>
      <c r="BG67" s="16">
        <f>AO67/'2016-17 disagg'!AO67-1</f>
        <v>4.8076404251875093E-2</v>
      </c>
      <c r="BH67" s="16">
        <f>AQ67/'2016-17 disagg'!AQ67-1</f>
        <v>2.4613015665835514E-2</v>
      </c>
      <c r="BJ67" s="16">
        <f>AS67/'2016-17 disagg'!AS67-1</f>
        <v>1.2467158597645911E-2</v>
      </c>
      <c r="BK67" s="16">
        <f>AT67/'2016-17 disagg'!AT67-1</f>
        <v>1.1113596434534578E-2</v>
      </c>
      <c r="BL67" s="16">
        <f>AU67/'2016-17 disagg'!AU67-1</f>
        <v>4.0305479917102316E-2</v>
      </c>
      <c r="BM67" s="16">
        <f>AW67/'2016-17 disagg'!AW67-1</f>
        <v>1.7016059771340464E-2</v>
      </c>
    </row>
    <row r="68" spans="1:65" x14ac:dyDescent="0.2">
      <c r="A68" s="156" t="s">
        <v>181</v>
      </c>
      <c r="B68" s="156" t="s">
        <v>182</v>
      </c>
      <c r="D68" s="56">
        <f>VLOOKUP(A68,'2017-18'!$A$12:$AMX276,32,FALSE)</f>
        <v>499381</v>
      </c>
      <c r="E68" s="56">
        <v>1804.2364607829199</v>
      </c>
      <c r="F68" s="16">
        <f>VLOOKUP(A68,'2017-18'!$A$12:$AMX276,34,FALSE)</f>
        <v>2.5736827078510771E-2</v>
      </c>
      <c r="G68" s="16">
        <f>VLOOKUP(A68,'2017-18'!$A$12:$AMX276,35,FALSE)</f>
        <v>1.8546260422610983E-2</v>
      </c>
      <c r="H68" s="56"/>
      <c r="I68" s="56">
        <v>494833.98555434449</v>
      </c>
      <c r="J68" s="56">
        <v>1787.8083442735647</v>
      </c>
      <c r="K68" s="16">
        <f t="shared" si="6"/>
        <v>9.1889695906024471E-3</v>
      </c>
      <c r="L68" s="58">
        <f t="shared" si="6"/>
        <v>9.1889695906024471E-3</v>
      </c>
      <c r="M68" s="10"/>
      <c r="N68" s="56">
        <v>371875</v>
      </c>
      <c r="O68" s="56">
        <v>38060</v>
      </c>
      <c r="P68" s="56">
        <v>89446</v>
      </c>
      <c r="R68" s="56">
        <f t="shared" si="7"/>
        <v>89446</v>
      </c>
      <c r="S68" s="56">
        <f t="shared" si="8"/>
        <v>0</v>
      </c>
      <c r="U68" s="16">
        <v>-1.5338928258187834E-2</v>
      </c>
      <c r="V68" s="16">
        <v>-4.755212253979979E-2</v>
      </c>
      <c r="W68" s="56">
        <f t="shared" si="9"/>
        <v>4</v>
      </c>
      <c r="X68" s="56">
        <f t="shared" si="10"/>
        <v>3776.6802270569433</v>
      </c>
      <c r="Y68" s="56">
        <f t="shared" si="10"/>
        <v>399.60191944036757</v>
      </c>
      <c r="AA68" s="56">
        <f t="shared" si="22"/>
        <v>0</v>
      </c>
      <c r="AB68" s="56">
        <v>0</v>
      </c>
      <c r="AC68" s="56">
        <f t="shared" si="11"/>
        <v>0</v>
      </c>
      <c r="AE68" s="56">
        <v>0</v>
      </c>
      <c r="AF68" s="56">
        <f t="shared" si="12"/>
        <v>0</v>
      </c>
      <c r="AG68" s="56">
        <f t="shared" si="13"/>
        <v>0</v>
      </c>
      <c r="AI68" s="56">
        <f t="shared" si="14"/>
        <v>0</v>
      </c>
      <c r="AJ68" s="56">
        <f t="shared" si="15"/>
        <v>0</v>
      </c>
      <c r="AK68" s="56">
        <f t="shared" si="16"/>
        <v>0</v>
      </c>
      <c r="AM68" s="56">
        <f t="shared" si="17"/>
        <v>371875</v>
      </c>
      <c r="AN68" s="56">
        <f t="shared" si="18"/>
        <v>38060</v>
      </c>
      <c r="AO68" s="56">
        <f t="shared" si="19"/>
        <v>89446</v>
      </c>
      <c r="AP68" s="56"/>
      <c r="AQ68" s="56">
        <f t="shared" si="20"/>
        <v>499381</v>
      </c>
      <c r="AS68" s="56">
        <v>1343.5642001871283</v>
      </c>
      <c r="AT68" s="56">
        <v>137.5087151841939</v>
      </c>
      <c r="AU68" s="56">
        <v>323.16354541159768</v>
      </c>
      <c r="AV68" s="56"/>
      <c r="AW68" s="56">
        <v>1804.2364607829199</v>
      </c>
      <c r="AY68" s="16">
        <v>-1.5338928258187834E-2</v>
      </c>
      <c r="AZ68" s="16">
        <v>-4.755212253979979E-2</v>
      </c>
      <c r="BA68" s="16">
        <v>0.15854033904420461</v>
      </c>
      <c r="BB68" s="16">
        <f t="shared" si="21"/>
        <v>9.1889695906024471E-3</v>
      </c>
      <c r="BC68" s="16"/>
      <c r="BE68" s="16">
        <f>AM68/'2016-17 disagg'!AM68-1</f>
        <v>2.0028910533692823E-2</v>
      </c>
      <c r="BF68" s="16">
        <f>AN68/'2016-17 disagg'!AN68-1</f>
        <v>3.1436314363143536E-2</v>
      </c>
      <c r="BG68" s="16">
        <f>AO68/'2016-17 disagg'!AO68-1</f>
        <v>4.7646934807561658E-2</v>
      </c>
      <c r="BH68" s="16">
        <f>AQ68/'2016-17 disagg'!AQ68-1</f>
        <v>2.5736827078510771E-2</v>
      </c>
      <c r="BJ68" s="16">
        <f>AS68/'2016-17 disagg'!AS68-1</f>
        <v>1.2878357215813319E-2</v>
      </c>
      <c r="BK68" s="16">
        <f>AT68/'2016-17 disagg'!AT68-1</f>
        <v>2.4205793459582292E-2</v>
      </c>
      <c r="BL68" s="16">
        <f>AU68/'2016-17 disagg'!AU68-1</f>
        <v>4.0302775060427676E-2</v>
      </c>
      <c r="BM68" s="16">
        <f>AW68/'2016-17 disagg'!AW68-1</f>
        <v>1.8546260422610983E-2</v>
      </c>
    </row>
    <row r="69" spans="1:65" x14ac:dyDescent="0.2">
      <c r="A69" s="156" t="s">
        <v>183</v>
      </c>
      <c r="B69" s="156" t="s">
        <v>184</v>
      </c>
      <c r="D69" s="56">
        <f>VLOOKUP(A69,'2017-18'!$A$12:$AMX277,32,FALSE)</f>
        <v>548301</v>
      </c>
      <c r="E69" s="56">
        <v>1476.4663802066</v>
      </c>
      <c r="F69" s="16">
        <f>VLOOKUP(A69,'2017-18'!$A$12:$AMX277,34,FALSE)</f>
        <v>2.5845343291792E-2</v>
      </c>
      <c r="G69" s="16">
        <f>VLOOKUP(A69,'2017-18'!$A$12:$AMX277,35,FALSE)</f>
        <v>1.9888684892494624E-2</v>
      </c>
      <c r="H69" s="56"/>
      <c r="I69" s="56">
        <v>534086.97108784446</v>
      </c>
      <c r="J69" s="56">
        <v>1438.190805629712</v>
      </c>
      <c r="K69" s="16">
        <f t="shared" si="6"/>
        <v>2.6613697172211515E-2</v>
      </c>
      <c r="L69" s="58">
        <f t="shared" si="6"/>
        <v>2.6613697172211515E-2</v>
      </c>
      <c r="M69" s="10"/>
      <c r="N69" s="56">
        <v>417456</v>
      </c>
      <c r="O69" s="56">
        <v>44706</v>
      </c>
      <c r="P69" s="56">
        <v>86139</v>
      </c>
      <c r="R69" s="56">
        <f t="shared" si="7"/>
        <v>86139</v>
      </c>
      <c r="S69" s="56">
        <f t="shared" si="8"/>
        <v>0</v>
      </c>
      <c r="U69" s="16">
        <v>9.2257954639010098E-3</v>
      </c>
      <c r="V69" s="16">
        <v>-4.8411516223289208E-2</v>
      </c>
      <c r="W69" s="56">
        <f t="shared" si="9"/>
        <v>3</v>
      </c>
      <c r="X69" s="56">
        <f t="shared" si="10"/>
        <v>4136.398434089886</v>
      </c>
      <c r="Y69" s="56">
        <f t="shared" si="10"/>
        <v>469.80392009967005</v>
      </c>
      <c r="AA69" s="56">
        <f t="shared" si="22"/>
        <v>0</v>
      </c>
      <c r="AB69" s="56">
        <v>0</v>
      </c>
      <c r="AC69" s="56">
        <f t="shared" si="11"/>
        <v>0</v>
      </c>
      <c r="AE69" s="56">
        <v>0</v>
      </c>
      <c r="AF69" s="56">
        <f t="shared" si="12"/>
        <v>0</v>
      </c>
      <c r="AG69" s="56">
        <f t="shared" si="13"/>
        <v>0</v>
      </c>
      <c r="AI69" s="56">
        <f t="shared" si="14"/>
        <v>0</v>
      </c>
      <c r="AJ69" s="56">
        <f t="shared" si="15"/>
        <v>0</v>
      </c>
      <c r="AK69" s="56">
        <f t="shared" si="16"/>
        <v>0</v>
      </c>
      <c r="AM69" s="56">
        <f t="shared" si="17"/>
        <v>417456</v>
      </c>
      <c r="AN69" s="56">
        <f t="shared" si="18"/>
        <v>44706</v>
      </c>
      <c r="AO69" s="56">
        <f t="shared" si="19"/>
        <v>86139</v>
      </c>
      <c r="AP69" s="56"/>
      <c r="AQ69" s="56">
        <f t="shared" si="20"/>
        <v>548301</v>
      </c>
      <c r="AS69" s="56">
        <v>1124.1266188015823</v>
      </c>
      <c r="AT69" s="56">
        <v>120.3844348150309</v>
      </c>
      <c r="AU69" s="56">
        <v>231.95532658998673</v>
      </c>
      <c r="AV69" s="56"/>
      <c r="AW69" s="56">
        <v>1476.4663802066</v>
      </c>
      <c r="AY69" s="16">
        <v>9.2257954639010098E-3</v>
      </c>
      <c r="AZ69" s="16">
        <v>-4.8411516223289208E-2</v>
      </c>
      <c r="BA69" s="16">
        <v>0.17248982435022708</v>
      </c>
      <c r="BB69" s="16">
        <f t="shared" si="21"/>
        <v>2.6613697172211515E-2</v>
      </c>
      <c r="BC69" s="16"/>
      <c r="BE69" s="16">
        <f>AM69/'2016-17 disagg'!AM69-1</f>
        <v>2.0028881466259696E-2</v>
      </c>
      <c r="BF69" s="16">
        <f>AN69/'2016-17 disagg'!AN69-1</f>
        <v>4.1927890553988822E-2</v>
      </c>
      <c r="BG69" s="16">
        <f>AO69/'2016-17 disagg'!AO69-1</f>
        <v>4.6379417159655434E-2</v>
      </c>
      <c r="BH69" s="16">
        <f>AQ69/'2016-17 disagg'!AQ69-1</f>
        <v>2.5845343291792E-2</v>
      </c>
      <c r="BJ69" s="16">
        <f>AS69/'2016-17 disagg'!AS69-1</f>
        <v>1.4105996848179814E-2</v>
      </c>
      <c r="BK69" s="16">
        <f>AT69/'2016-17 disagg'!AT69-1</f>
        <v>3.587784747360101E-2</v>
      </c>
      <c r="BL69" s="16">
        <f>AU69/'2016-17 disagg'!AU69-1</f>
        <v>4.0303525910712068E-2</v>
      </c>
      <c r="BM69" s="16">
        <f>AW69/'2016-17 disagg'!AW69-1</f>
        <v>1.9888684892494624E-2</v>
      </c>
    </row>
    <row r="70" spans="1:65" x14ac:dyDescent="0.2">
      <c r="A70" s="156" t="s">
        <v>185</v>
      </c>
      <c r="B70" s="156" t="s">
        <v>186</v>
      </c>
      <c r="D70" s="56">
        <f>VLOOKUP(A70,'2017-18'!$A$12:$AMX278,32,FALSE)</f>
        <v>294758</v>
      </c>
      <c r="E70" s="56">
        <v>1740.3386466507068</v>
      </c>
      <c r="F70" s="16">
        <f>VLOOKUP(A70,'2017-18'!$A$12:$AMX278,34,FALSE)</f>
        <v>2.2088297710029625E-2</v>
      </c>
      <c r="G70" s="16">
        <f>VLOOKUP(A70,'2017-18'!$A$12:$AMX278,35,FALSE)</f>
        <v>2.0836453555836298E-2</v>
      </c>
      <c r="H70" s="56"/>
      <c r="I70" s="56">
        <v>286917.13764578477</v>
      </c>
      <c r="J70" s="56">
        <v>1694.0438699928739</v>
      </c>
      <c r="K70" s="16">
        <f t="shared" si="6"/>
        <v>2.7327967992958335E-2</v>
      </c>
      <c r="L70" s="58">
        <f t="shared" si="6"/>
        <v>2.7327967992958557E-2</v>
      </c>
      <c r="M70" s="10"/>
      <c r="N70" s="56">
        <v>225648</v>
      </c>
      <c r="O70" s="56">
        <v>27330</v>
      </c>
      <c r="P70" s="56">
        <v>41780</v>
      </c>
      <c r="R70" s="56">
        <f t="shared" si="7"/>
        <v>41780</v>
      </c>
      <c r="S70" s="56">
        <f t="shared" si="8"/>
        <v>0</v>
      </c>
      <c r="U70" s="16">
        <v>2.2854826323956967E-2</v>
      </c>
      <c r="V70" s="16">
        <v>0.19496002100351983</v>
      </c>
      <c r="W70" s="56">
        <f t="shared" si="9"/>
        <v>2</v>
      </c>
      <c r="X70" s="56">
        <f t="shared" si="10"/>
        <v>2206.0608621358074</v>
      </c>
      <c r="Y70" s="56">
        <f t="shared" si="10"/>
        <v>228.71058043471982</v>
      </c>
      <c r="AA70" s="56">
        <f t="shared" si="22"/>
        <v>0</v>
      </c>
      <c r="AB70" s="56">
        <v>0</v>
      </c>
      <c r="AC70" s="56">
        <f t="shared" si="11"/>
        <v>0</v>
      </c>
      <c r="AE70" s="56">
        <v>0</v>
      </c>
      <c r="AF70" s="56">
        <f t="shared" si="12"/>
        <v>0</v>
      </c>
      <c r="AG70" s="56">
        <f t="shared" si="13"/>
        <v>0</v>
      </c>
      <c r="AI70" s="56">
        <f t="shared" si="14"/>
        <v>0</v>
      </c>
      <c r="AJ70" s="56">
        <f t="shared" si="15"/>
        <v>0</v>
      </c>
      <c r="AK70" s="56">
        <f t="shared" si="16"/>
        <v>0</v>
      </c>
      <c r="AM70" s="56">
        <f t="shared" si="17"/>
        <v>225648</v>
      </c>
      <c r="AN70" s="56">
        <f t="shared" si="18"/>
        <v>27330</v>
      </c>
      <c r="AO70" s="56">
        <f t="shared" si="19"/>
        <v>41780</v>
      </c>
      <c r="AP70" s="56"/>
      <c r="AQ70" s="56">
        <f t="shared" si="20"/>
        <v>294758</v>
      </c>
      <c r="AS70" s="56">
        <v>1332.2927111034769</v>
      </c>
      <c r="AT70" s="56">
        <v>161.36442509775415</v>
      </c>
      <c r="AU70" s="56">
        <v>246.68151044947558</v>
      </c>
      <c r="AV70" s="56"/>
      <c r="AW70" s="56">
        <v>1740.3386466507068</v>
      </c>
      <c r="AY70" s="16">
        <v>2.2854826323956967E-2</v>
      </c>
      <c r="AZ70" s="16">
        <v>0.19496002100351983</v>
      </c>
      <c r="BA70" s="16">
        <v>-3.8213481615369083E-2</v>
      </c>
      <c r="BB70" s="16">
        <f t="shared" si="21"/>
        <v>2.7327967992958335E-2</v>
      </c>
      <c r="BC70" s="16"/>
      <c r="BE70" s="16">
        <f>AM70/'2016-17 disagg'!AM70-1</f>
        <v>2.003010618532941E-2</v>
      </c>
      <c r="BF70" s="16">
        <f>AN70/'2016-17 disagg'!AN70-1</f>
        <v>1.0015152075095068E-2</v>
      </c>
      <c r="BG70" s="16">
        <f>AO70/'2016-17 disagg'!AO70-1</f>
        <v>4.1583566015157558E-2</v>
      </c>
      <c r="BH70" s="16">
        <f>AQ70/'2016-17 disagg'!AQ70-1</f>
        <v>2.2088297710029625E-2</v>
      </c>
      <c r="BJ70" s="16">
        <f>AS70/'2016-17 disagg'!AS70-1</f>
        <v>1.878078288479812E-2</v>
      </c>
      <c r="BK70" s="16">
        <f>AT70/'2016-17 disagg'!AT70-1</f>
        <v>8.7780949963625066E-3</v>
      </c>
      <c r="BL70" s="16">
        <f>AU70/'2016-17 disagg'!AU70-1</f>
        <v>4.0307844239317436E-2</v>
      </c>
      <c r="BM70" s="16">
        <f>AW70/'2016-17 disagg'!AW70-1</f>
        <v>2.0836453555836298E-2</v>
      </c>
    </row>
    <row r="71" spans="1:65" x14ac:dyDescent="0.2">
      <c r="A71" s="156" t="s">
        <v>187</v>
      </c>
      <c r="B71" s="156" t="s">
        <v>188</v>
      </c>
      <c r="D71" s="56">
        <f>VLOOKUP(A71,'2017-18'!$A$12:$AMX279,32,FALSE)</f>
        <v>313008</v>
      </c>
      <c r="E71" s="56">
        <v>1624.7875193100535</v>
      </c>
      <c r="F71" s="16">
        <f>VLOOKUP(A71,'2017-18'!$A$12:$AMX279,34,FALSE)</f>
        <v>2.2631264273182516E-2</v>
      </c>
      <c r="G71" s="16">
        <f>VLOOKUP(A71,'2017-18'!$A$12:$AMX279,35,FALSE)</f>
        <v>1.5934904595373611E-2</v>
      </c>
      <c r="H71" s="56"/>
      <c r="I71" s="56">
        <v>299626.87828386092</v>
      </c>
      <c r="J71" s="56">
        <v>1555.3276986065844</v>
      </c>
      <c r="K71" s="16">
        <f t="shared" si="6"/>
        <v>4.4659283548861284E-2</v>
      </c>
      <c r="L71" s="58">
        <f t="shared" si="6"/>
        <v>4.4659283548861284E-2</v>
      </c>
      <c r="M71" s="10"/>
      <c r="N71" s="56">
        <v>241515</v>
      </c>
      <c r="O71" s="56">
        <v>24802</v>
      </c>
      <c r="P71" s="56">
        <v>46691</v>
      </c>
      <c r="R71" s="56">
        <f t="shared" si="7"/>
        <v>46691</v>
      </c>
      <c r="S71" s="56">
        <f t="shared" si="8"/>
        <v>0</v>
      </c>
      <c r="U71" s="16">
        <v>5.1315906207137996E-2</v>
      </c>
      <c r="V71" s="16">
        <v>1.0098997012061739E-2</v>
      </c>
      <c r="W71" s="56">
        <f t="shared" si="9"/>
        <v>2</v>
      </c>
      <c r="X71" s="56">
        <f t="shared" si="10"/>
        <v>2297.2638250221139</v>
      </c>
      <c r="Y71" s="56">
        <f t="shared" si="10"/>
        <v>245.54028935149844</v>
      </c>
      <c r="AA71" s="56">
        <f t="shared" si="22"/>
        <v>0</v>
      </c>
      <c r="AB71" s="56">
        <v>0</v>
      </c>
      <c r="AC71" s="56">
        <f t="shared" si="11"/>
        <v>0</v>
      </c>
      <c r="AE71" s="56">
        <v>0</v>
      </c>
      <c r="AF71" s="56">
        <f t="shared" si="12"/>
        <v>0</v>
      </c>
      <c r="AG71" s="56">
        <f t="shared" si="13"/>
        <v>0</v>
      </c>
      <c r="AI71" s="56">
        <f t="shared" si="14"/>
        <v>0</v>
      </c>
      <c r="AJ71" s="56">
        <f t="shared" si="15"/>
        <v>0</v>
      </c>
      <c r="AK71" s="56">
        <f t="shared" si="16"/>
        <v>0</v>
      </c>
      <c r="AM71" s="56">
        <f t="shared" si="17"/>
        <v>241515</v>
      </c>
      <c r="AN71" s="56">
        <f t="shared" si="18"/>
        <v>24802</v>
      </c>
      <c r="AO71" s="56">
        <f t="shared" si="19"/>
        <v>46691</v>
      </c>
      <c r="AP71" s="56"/>
      <c r="AQ71" s="56">
        <f t="shared" si="20"/>
        <v>313008</v>
      </c>
      <c r="AS71" s="56">
        <v>1253.6758093280926</v>
      </c>
      <c r="AT71" s="56">
        <v>128.74424952054883</v>
      </c>
      <c r="AU71" s="56">
        <v>242.36746046141221</v>
      </c>
      <c r="AV71" s="56"/>
      <c r="AW71" s="56">
        <v>1624.7875193100535</v>
      </c>
      <c r="AY71" s="16">
        <v>5.1315906207137996E-2</v>
      </c>
      <c r="AZ71" s="16">
        <v>1.0098997012061739E-2</v>
      </c>
      <c r="BA71" s="16">
        <v>2.9650229598959577E-2</v>
      </c>
      <c r="BB71" s="16">
        <f t="shared" si="21"/>
        <v>4.4659283548861284E-2</v>
      </c>
      <c r="BC71" s="16"/>
      <c r="BE71" s="16">
        <f>AM71/'2016-17 disagg'!AM71-1</f>
        <v>1.8453312192427296E-2</v>
      </c>
      <c r="BF71" s="16">
        <f>AN71/'2016-17 disagg'!AN71-1</f>
        <v>1.8395335468506246E-2</v>
      </c>
      <c r="BG71" s="16">
        <f>AO71/'2016-17 disagg'!AO71-1</f>
        <v>4.7165156544361819E-2</v>
      </c>
      <c r="BH71" s="16">
        <f>AQ71/'2016-17 disagg'!AQ71-1</f>
        <v>2.2631264273182516E-2</v>
      </c>
      <c r="BJ71" s="16">
        <f>AS71/'2016-17 disagg'!AS71-1</f>
        <v>1.1784310440027923E-2</v>
      </c>
      <c r="BK71" s="16">
        <f>AT71/'2016-17 disagg'!AT71-1</f>
        <v>1.1726713357341989E-2</v>
      </c>
      <c r="BL71" s="16">
        <f>AU71/'2016-17 disagg'!AU71-1</f>
        <v>4.0308144857677419E-2</v>
      </c>
      <c r="BM71" s="16">
        <f>AW71/'2016-17 disagg'!AW71-1</f>
        <v>1.5934904595373611E-2</v>
      </c>
    </row>
    <row r="72" spans="1:65" x14ac:dyDescent="0.2">
      <c r="A72" s="156" t="s">
        <v>189</v>
      </c>
      <c r="B72" s="156" t="s">
        <v>190</v>
      </c>
      <c r="D72" s="56">
        <f>VLOOKUP(A72,'2017-18'!$A$12:$AMX280,32,FALSE)</f>
        <v>280676</v>
      </c>
      <c r="E72" s="56">
        <v>1619.4804476374122</v>
      </c>
      <c r="F72" s="16">
        <f>VLOOKUP(A72,'2017-18'!$A$12:$AMX280,34,FALSE)</f>
        <v>2.4163121136710375E-2</v>
      </c>
      <c r="G72" s="16">
        <f>VLOOKUP(A72,'2017-18'!$A$12:$AMX280,35,FALSE)</f>
        <v>1.9193349118421743E-2</v>
      </c>
      <c r="H72" s="56"/>
      <c r="I72" s="56">
        <v>282471.36659960321</v>
      </c>
      <c r="J72" s="56">
        <v>1629.8395845226419</v>
      </c>
      <c r="K72" s="16">
        <f t="shared" si="6"/>
        <v>-6.3559242170838637E-3</v>
      </c>
      <c r="L72" s="58">
        <f t="shared" si="6"/>
        <v>-6.3559242170840857E-3</v>
      </c>
      <c r="M72" s="10"/>
      <c r="N72" s="56">
        <v>221420</v>
      </c>
      <c r="O72" s="56">
        <v>21910</v>
      </c>
      <c r="P72" s="56">
        <v>37346</v>
      </c>
      <c r="R72" s="56">
        <f t="shared" si="7"/>
        <v>37346</v>
      </c>
      <c r="S72" s="56">
        <f t="shared" si="8"/>
        <v>0</v>
      </c>
      <c r="U72" s="16">
        <v>1.0159561038935783E-2</v>
      </c>
      <c r="V72" s="16">
        <v>-4.7661982964664618E-2</v>
      </c>
      <c r="W72" s="56">
        <f t="shared" si="9"/>
        <v>3</v>
      </c>
      <c r="X72" s="56">
        <f t="shared" si="10"/>
        <v>2191.9309437834995</v>
      </c>
      <c r="Y72" s="56">
        <f t="shared" si="10"/>
        <v>230.06537183306685</v>
      </c>
      <c r="AA72" s="56">
        <f t="shared" si="22"/>
        <v>0</v>
      </c>
      <c r="AB72" s="56">
        <v>0</v>
      </c>
      <c r="AC72" s="56">
        <f t="shared" si="11"/>
        <v>0</v>
      </c>
      <c r="AE72" s="56">
        <v>0</v>
      </c>
      <c r="AF72" s="56">
        <f t="shared" si="12"/>
        <v>0</v>
      </c>
      <c r="AG72" s="56">
        <f t="shared" si="13"/>
        <v>0</v>
      </c>
      <c r="AI72" s="56">
        <f t="shared" si="14"/>
        <v>0</v>
      </c>
      <c r="AJ72" s="56">
        <f t="shared" si="15"/>
        <v>0</v>
      </c>
      <c r="AK72" s="56">
        <f t="shared" si="16"/>
        <v>0</v>
      </c>
      <c r="AM72" s="56">
        <f t="shared" si="17"/>
        <v>221420</v>
      </c>
      <c r="AN72" s="56">
        <f t="shared" si="18"/>
        <v>21910</v>
      </c>
      <c r="AO72" s="56">
        <f t="shared" si="19"/>
        <v>37346</v>
      </c>
      <c r="AP72" s="56"/>
      <c r="AQ72" s="56">
        <f t="shared" si="20"/>
        <v>280676</v>
      </c>
      <c r="AS72" s="56">
        <v>1277.5775652919231</v>
      </c>
      <c r="AT72" s="56">
        <v>126.41913312052225</v>
      </c>
      <c r="AU72" s="56">
        <v>215.48374922496686</v>
      </c>
      <c r="AV72" s="56"/>
      <c r="AW72" s="56">
        <v>1619.4804476374122</v>
      </c>
      <c r="AY72" s="16">
        <v>1.0159561038935783E-2</v>
      </c>
      <c r="AZ72" s="16">
        <v>-4.7661982964664618E-2</v>
      </c>
      <c r="BA72" s="16">
        <v>-7.2649838284588597E-2</v>
      </c>
      <c r="BB72" s="16">
        <f t="shared" si="21"/>
        <v>-6.3559242170838637E-3</v>
      </c>
      <c r="BC72" s="16"/>
      <c r="BE72" s="16">
        <f>AM72/'2016-17 disagg'!AM72-1</f>
        <v>2.0030220387705411E-2</v>
      </c>
      <c r="BF72" s="16">
        <f>AN72/'2016-17 disagg'!AN72-1</f>
        <v>3.0719292468363468E-2</v>
      </c>
      <c r="BG72" s="16">
        <f>AO72/'2016-17 disagg'!AO72-1</f>
        <v>4.537438768369495E-2</v>
      </c>
      <c r="BH72" s="16">
        <f>AQ72/'2016-17 disagg'!AQ72-1</f>
        <v>2.4163121136710375E-2</v>
      </c>
      <c r="BJ72" s="16">
        <f>AS72/'2016-17 disagg'!AS72-1</f>
        <v>1.5080503352917773E-2</v>
      </c>
      <c r="BK72" s="16">
        <f>AT72/'2016-17 disagg'!AT72-1</f>
        <v>2.5717706497630388E-2</v>
      </c>
      <c r="BL72" s="16">
        <f>AU72/'2016-17 disagg'!AU72-1</f>
        <v>4.030168757047492E-2</v>
      </c>
      <c r="BM72" s="16">
        <f>AW72/'2016-17 disagg'!AW72-1</f>
        <v>1.9193349118421743E-2</v>
      </c>
    </row>
    <row r="73" spans="1:65" x14ac:dyDescent="0.2">
      <c r="A73" s="156" t="s">
        <v>191</v>
      </c>
      <c r="B73" s="156" t="s">
        <v>192</v>
      </c>
      <c r="D73" s="56">
        <f>VLOOKUP(A73,'2017-18'!$A$12:$AMX281,32,FALSE)</f>
        <v>458195</v>
      </c>
      <c r="E73" s="56">
        <v>1754.6402478228943</v>
      </c>
      <c r="F73" s="16">
        <f>VLOOKUP(A73,'2017-18'!$A$12:$AMX281,34,FALSE)</f>
        <v>1.9221272639104559E-2</v>
      </c>
      <c r="G73" s="16">
        <f>VLOOKUP(A73,'2017-18'!$A$12:$AMX281,35,FALSE)</f>
        <v>1.5543686780882693E-2</v>
      </c>
      <c r="H73" s="56"/>
      <c r="I73" s="56">
        <v>437428.38674400252</v>
      </c>
      <c r="J73" s="56">
        <v>1675.1152957174684</v>
      </c>
      <c r="K73" s="16">
        <f t="shared" si="6"/>
        <v>4.747431553442083E-2</v>
      </c>
      <c r="L73" s="58">
        <f t="shared" si="6"/>
        <v>4.747431553442083E-2</v>
      </c>
      <c r="M73" s="10"/>
      <c r="N73" s="56">
        <v>358584</v>
      </c>
      <c r="O73" s="56">
        <v>36444</v>
      </c>
      <c r="P73" s="56">
        <v>63167</v>
      </c>
      <c r="R73" s="56">
        <f t="shared" si="7"/>
        <v>63167</v>
      </c>
      <c r="S73" s="56">
        <f t="shared" si="8"/>
        <v>0</v>
      </c>
      <c r="U73" s="16">
        <v>5.6591129686072827E-2</v>
      </c>
      <c r="V73" s="16">
        <v>4.7591857862758324E-2</v>
      </c>
      <c r="W73" s="56">
        <f t="shared" si="9"/>
        <v>2</v>
      </c>
      <c r="X73" s="56">
        <f t="shared" si="10"/>
        <v>3393.7820404240947</v>
      </c>
      <c r="Y73" s="56">
        <f t="shared" si="10"/>
        <v>347.8835743755314</v>
      </c>
      <c r="AA73" s="56">
        <f t="shared" si="22"/>
        <v>0</v>
      </c>
      <c r="AB73" s="56">
        <v>0</v>
      </c>
      <c r="AC73" s="56">
        <f t="shared" si="11"/>
        <v>0</v>
      </c>
      <c r="AE73" s="56">
        <v>0</v>
      </c>
      <c r="AF73" s="56">
        <f t="shared" si="12"/>
        <v>0</v>
      </c>
      <c r="AG73" s="56">
        <f t="shared" si="13"/>
        <v>0</v>
      </c>
      <c r="AI73" s="56">
        <f t="shared" si="14"/>
        <v>0</v>
      </c>
      <c r="AJ73" s="56">
        <f t="shared" si="15"/>
        <v>0</v>
      </c>
      <c r="AK73" s="56">
        <f t="shared" si="16"/>
        <v>0</v>
      </c>
      <c r="AM73" s="56">
        <f t="shared" si="17"/>
        <v>358584</v>
      </c>
      <c r="AN73" s="56">
        <f t="shared" si="18"/>
        <v>36444</v>
      </c>
      <c r="AO73" s="56">
        <f t="shared" si="19"/>
        <v>63167</v>
      </c>
      <c r="AP73" s="56"/>
      <c r="AQ73" s="56">
        <f t="shared" si="20"/>
        <v>458195</v>
      </c>
      <c r="AS73" s="56">
        <v>1373.1837288170423</v>
      </c>
      <c r="AT73" s="56">
        <v>139.56090570970343</v>
      </c>
      <c r="AU73" s="56">
        <v>241.8956132961485</v>
      </c>
      <c r="AV73" s="56"/>
      <c r="AW73" s="56">
        <v>1754.6402478228943</v>
      </c>
      <c r="AY73" s="16">
        <v>5.6591129686072827E-2</v>
      </c>
      <c r="AZ73" s="16">
        <v>4.7591857862758324E-2</v>
      </c>
      <c r="BA73" s="16">
        <v>-1.4989334190743664E-3</v>
      </c>
      <c r="BB73" s="16">
        <f t="shared" si="21"/>
        <v>4.747431553442083E-2</v>
      </c>
      <c r="BC73" s="16"/>
      <c r="BE73" s="16">
        <f>AM73/'2016-17 disagg'!AM73-1</f>
        <v>1.5289480837183955E-2</v>
      </c>
      <c r="BF73" s="16">
        <f>AN73/'2016-17 disagg'!AN73-1</f>
        <v>1.6030555632997823E-2</v>
      </c>
      <c r="BG73" s="16">
        <f>AO73/'2016-17 disagg'!AO73-1</f>
        <v>4.4065387348969365E-2</v>
      </c>
      <c r="BH73" s="16">
        <f>AQ73/'2016-17 disagg'!AQ73-1</f>
        <v>1.9221272639104559E-2</v>
      </c>
      <c r="BJ73" s="16">
        <f>AS73/'2016-17 disagg'!AS73-1</f>
        <v>1.1626081792283527E-2</v>
      </c>
      <c r="BK73" s="16">
        <f>AT73/'2016-17 disagg'!AT73-1</f>
        <v>1.2364482618997696E-2</v>
      </c>
      <c r="BL73" s="16">
        <f>AU73/'2016-17 disagg'!AU73-1</f>
        <v>4.0298158184264743E-2</v>
      </c>
      <c r="BM73" s="16">
        <f>AW73/'2016-17 disagg'!AW73-1</f>
        <v>1.5543686780882693E-2</v>
      </c>
    </row>
    <row r="74" spans="1:65" x14ac:dyDescent="0.2">
      <c r="A74" s="156" t="s">
        <v>193</v>
      </c>
      <c r="B74" s="156" t="s">
        <v>194</v>
      </c>
      <c r="D74" s="56">
        <f>VLOOKUP(A74,'2017-18'!$A$12:$AMX282,32,FALSE)</f>
        <v>201951</v>
      </c>
      <c r="E74" s="56">
        <v>1694.5305582866815</v>
      </c>
      <c r="F74" s="16">
        <f>VLOOKUP(A74,'2017-18'!$A$12:$AMX282,34,FALSE)</f>
        <v>2.2417642502392088E-2</v>
      </c>
      <c r="G74" s="16">
        <f>VLOOKUP(A74,'2017-18'!$A$12:$AMX282,35,FALSE)</f>
        <v>2.1586777718510586E-2</v>
      </c>
      <c r="H74" s="56"/>
      <c r="I74" s="56">
        <v>198876.12739968172</v>
      </c>
      <c r="J74" s="56">
        <v>1668.7299156353565</v>
      </c>
      <c r="K74" s="16">
        <f t="shared" si="6"/>
        <v>1.5461245351679143E-2</v>
      </c>
      <c r="L74" s="58">
        <f t="shared" si="6"/>
        <v>1.5461245351679143E-2</v>
      </c>
      <c r="M74" s="10"/>
      <c r="N74" s="56">
        <v>161278</v>
      </c>
      <c r="O74" s="56">
        <v>16160</v>
      </c>
      <c r="P74" s="56">
        <v>24513</v>
      </c>
      <c r="R74" s="56">
        <f t="shared" si="7"/>
        <v>24513</v>
      </c>
      <c r="S74" s="56">
        <f t="shared" si="8"/>
        <v>0</v>
      </c>
      <c r="U74" s="16">
        <v>1.7460511581621541E-2</v>
      </c>
      <c r="V74" s="16">
        <v>3.698684688281384E-3</v>
      </c>
      <c r="W74" s="56">
        <f t="shared" si="9"/>
        <v>2</v>
      </c>
      <c r="X74" s="56">
        <f t="shared" si="10"/>
        <v>1585.1032857215916</v>
      </c>
      <c r="Y74" s="56">
        <f t="shared" si="10"/>
        <v>161.00449513908458</v>
      </c>
      <c r="AA74" s="56">
        <f t="shared" si="22"/>
        <v>0</v>
      </c>
      <c r="AB74" s="56">
        <v>0</v>
      </c>
      <c r="AC74" s="56">
        <f t="shared" si="11"/>
        <v>0</v>
      </c>
      <c r="AE74" s="56">
        <v>0</v>
      </c>
      <c r="AF74" s="56">
        <f t="shared" si="12"/>
        <v>0</v>
      </c>
      <c r="AG74" s="56">
        <f t="shared" si="13"/>
        <v>0</v>
      </c>
      <c r="AI74" s="56">
        <f t="shared" si="14"/>
        <v>0</v>
      </c>
      <c r="AJ74" s="56">
        <f t="shared" si="15"/>
        <v>0</v>
      </c>
      <c r="AK74" s="56">
        <f t="shared" si="16"/>
        <v>0</v>
      </c>
      <c r="AM74" s="56">
        <f t="shared" si="17"/>
        <v>161278</v>
      </c>
      <c r="AN74" s="56">
        <f t="shared" si="18"/>
        <v>16160</v>
      </c>
      <c r="AO74" s="56">
        <f t="shared" si="19"/>
        <v>24513</v>
      </c>
      <c r="AP74" s="56"/>
      <c r="AQ74" s="56">
        <f t="shared" si="20"/>
        <v>201951</v>
      </c>
      <c r="AS74" s="56">
        <v>1353.2515282388274</v>
      </c>
      <c r="AT74" s="56">
        <v>135.5953366010209</v>
      </c>
      <c r="AU74" s="56">
        <v>205.68369344683327</v>
      </c>
      <c r="AV74" s="56"/>
      <c r="AW74" s="56">
        <v>1694.5305582866815</v>
      </c>
      <c r="AY74" s="16">
        <v>1.7460511581621541E-2</v>
      </c>
      <c r="AZ74" s="16">
        <v>3.698684688281384E-3</v>
      </c>
      <c r="BA74" s="16">
        <v>1.0205939472999637E-2</v>
      </c>
      <c r="BB74" s="16">
        <f t="shared" si="21"/>
        <v>1.5461245351679143E-2</v>
      </c>
      <c r="BC74" s="16"/>
      <c r="BE74" s="16">
        <f>AM74/'2016-17 disagg'!AM74-1</f>
        <v>2.0030231925672437E-2</v>
      </c>
      <c r="BF74" s="16">
        <f>AN74/'2016-17 disagg'!AN74-1</f>
        <v>1.8401814973531661E-2</v>
      </c>
      <c r="BG74" s="16">
        <f>AO74/'2016-17 disagg'!AO74-1</f>
        <v>4.115698267074408E-2</v>
      </c>
      <c r="BH74" s="16">
        <f>AQ74/'2016-17 disagg'!AQ74-1</f>
        <v>2.2417642502392088E-2</v>
      </c>
      <c r="BJ74" s="16">
        <f>AS74/'2016-17 disagg'!AS74-1</f>
        <v>1.9201307264193446E-2</v>
      </c>
      <c r="BK74" s="16">
        <f>AT74/'2016-17 disagg'!AT74-1</f>
        <v>1.7574213640448644E-2</v>
      </c>
      <c r="BL74" s="16">
        <f>AU74/'2016-17 disagg'!AU74-1</f>
        <v>4.0310889415471118E-2</v>
      </c>
      <c r="BM74" s="16">
        <f>AW74/'2016-17 disagg'!AW74-1</f>
        <v>2.1586777718510586E-2</v>
      </c>
    </row>
    <row r="75" spans="1:65" x14ac:dyDescent="0.2">
      <c r="A75" s="156" t="s">
        <v>195</v>
      </c>
      <c r="B75" s="156" t="s">
        <v>196</v>
      </c>
      <c r="D75" s="56">
        <f>VLOOKUP(A75,'2017-18'!$A$12:$AMX283,32,FALSE)</f>
        <v>1012390</v>
      </c>
      <c r="E75" s="56">
        <v>1711.0846102851488</v>
      </c>
      <c r="F75" s="16">
        <f>VLOOKUP(A75,'2017-18'!$A$12:$AMX283,34,FALSE)</f>
        <v>2.1734786356012004E-2</v>
      </c>
      <c r="G75" s="16">
        <f>VLOOKUP(A75,'2017-18'!$A$12:$AMX283,35,FALSE)</f>
        <v>1.6059035033274771E-2</v>
      </c>
      <c r="H75" s="56"/>
      <c r="I75" s="56">
        <v>953059.12077239808</v>
      </c>
      <c r="J75" s="56">
        <v>1610.8068967942645</v>
      </c>
      <c r="K75" s="16">
        <f t="shared" si="6"/>
        <v>6.2253094204185011E-2</v>
      </c>
      <c r="L75" s="58">
        <f t="shared" si="6"/>
        <v>6.2253094204185011E-2</v>
      </c>
      <c r="M75" s="10"/>
      <c r="N75" s="56">
        <v>748941</v>
      </c>
      <c r="O75" s="56">
        <v>76122</v>
      </c>
      <c r="P75" s="56">
        <v>187327</v>
      </c>
      <c r="R75" s="56">
        <f t="shared" si="7"/>
        <v>187327</v>
      </c>
      <c r="S75" s="56">
        <f t="shared" si="8"/>
        <v>0</v>
      </c>
      <c r="U75" s="16">
        <v>5.5161982115453867E-2</v>
      </c>
      <c r="V75" s="16">
        <v>-9.3677639376900101E-3</v>
      </c>
      <c r="W75" s="56">
        <f t="shared" si="9"/>
        <v>3</v>
      </c>
      <c r="X75" s="56">
        <f t="shared" si="10"/>
        <v>7097.877033993178</v>
      </c>
      <c r="Y75" s="56">
        <f t="shared" si="10"/>
        <v>768.41836181890596</v>
      </c>
      <c r="AA75" s="56">
        <f t="shared" si="22"/>
        <v>0</v>
      </c>
      <c r="AB75" s="56">
        <v>0</v>
      </c>
      <c r="AC75" s="56">
        <f t="shared" si="11"/>
        <v>0</v>
      </c>
      <c r="AE75" s="56">
        <v>0</v>
      </c>
      <c r="AF75" s="56">
        <f t="shared" si="12"/>
        <v>0</v>
      </c>
      <c r="AG75" s="56">
        <f t="shared" si="13"/>
        <v>0</v>
      </c>
      <c r="AI75" s="56">
        <f t="shared" si="14"/>
        <v>0</v>
      </c>
      <c r="AJ75" s="56">
        <f t="shared" si="15"/>
        <v>0</v>
      </c>
      <c r="AK75" s="56">
        <f t="shared" si="16"/>
        <v>0</v>
      </c>
      <c r="AM75" s="56">
        <f t="shared" si="17"/>
        <v>748941</v>
      </c>
      <c r="AN75" s="56">
        <f t="shared" si="18"/>
        <v>76122</v>
      </c>
      <c r="AO75" s="56">
        <f t="shared" si="19"/>
        <v>187327</v>
      </c>
      <c r="AP75" s="56"/>
      <c r="AQ75" s="56">
        <f t="shared" si="20"/>
        <v>1012390</v>
      </c>
      <c r="AS75" s="56">
        <v>1265.8179348981812</v>
      </c>
      <c r="AT75" s="56">
        <v>128.65712097524283</v>
      </c>
      <c r="AU75" s="56">
        <v>316.60955441172479</v>
      </c>
      <c r="AV75" s="56"/>
      <c r="AW75" s="56">
        <v>1711.0846102851488</v>
      </c>
      <c r="AY75" s="16">
        <v>5.5161982115453867E-2</v>
      </c>
      <c r="AZ75" s="16">
        <v>-9.3677639376900101E-3</v>
      </c>
      <c r="BA75" s="16">
        <v>0.12556312801630942</v>
      </c>
      <c r="BB75" s="16">
        <f t="shared" si="21"/>
        <v>6.2253094204185011E-2</v>
      </c>
      <c r="BC75" s="16"/>
      <c r="BE75" s="16">
        <f>AM75/'2016-17 disagg'!AM75-1</f>
        <v>1.6151156590510363E-2</v>
      </c>
      <c r="BF75" s="16">
        <f>AN75/'2016-17 disagg'!AN75-1</f>
        <v>1.8395387105837102E-2</v>
      </c>
      <c r="BG75" s="16">
        <f>AO75/'2016-17 disagg'!AO75-1</f>
        <v>4.611045959680582E-2</v>
      </c>
      <c r="BH75" s="16">
        <f>AQ75/'2016-17 disagg'!AQ75-1</f>
        <v>2.1734786356012004E-2</v>
      </c>
      <c r="BJ75" s="16">
        <f>AS75/'2016-17 disagg'!AS75-1</f>
        <v>1.0506422410822891E-2</v>
      </c>
      <c r="BK75" s="16">
        <f>AT75/'2016-17 disagg'!AT75-1</f>
        <v>1.2738186193602008E-2</v>
      </c>
      <c r="BL75" s="16">
        <f>AU75/'2016-17 disagg'!AU75-1</f>
        <v>4.0299301061270665E-2</v>
      </c>
      <c r="BM75" s="16">
        <f>AW75/'2016-17 disagg'!AW75-1</f>
        <v>1.6059035033274771E-2</v>
      </c>
    </row>
    <row r="76" spans="1:65" x14ac:dyDescent="0.2">
      <c r="A76" s="156" t="s">
        <v>197</v>
      </c>
      <c r="B76" s="156" t="s">
        <v>198</v>
      </c>
      <c r="D76" s="56">
        <f>VLOOKUP(A76,'2017-18'!$A$12:$AMX284,32,FALSE)</f>
        <v>517174</v>
      </c>
      <c r="E76" s="56">
        <v>1449.8800680364627</v>
      </c>
      <c r="F76" s="16">
        <f>VLOOKUP(A76,'2017-18'!$A$12:$AMX284,34,FALSE)</f>
        <v>2.3780537294050719E-2</v>
      </c>
      <c r="G76" s="16">
        <f>VLOOKUP(A76,'2017-18'!$A$12:$AMX284,35,FALSE)</f>
        <v>1.7458041832459692E-2</v>
      </c>
      <c r="H76" s="56"/>
      <c r="I76" s="56">
        <v>507999.45659508032</v>
      </c>
      <c r="J76" s="56">
        <v>1424.1595414513511</v>
      </c>
      <c r="K76" s="16">
        <f t="shared" si="6"/>
        <v>1.8060144131675004E-2</v>
      </c>
      <c r="L76" s="58">
        <f t="shared" si="6"/>
        <v>1.8060144131675004E-2</v>
      </c>
      <c r="M76" s="10"/>
      <c r="N76" s="56">
        <v>401921</v>
      </c>
      <c r="O76" s="56">
        <v>40858</v>
      </c>
      <c r="P76" s="56">
        <v>74395</v>
      </c>
      <c r="R76" s="56">
        <f t="shared" si="7"/>
        <v>74395</v>
      </c>
      <c r="S76" s="56">
        <f t="shared" si="8"/>
        <v>0</v>
      </c>
      <c r="U76" s="16">
        <v>2.0543647526934716E-2</v>
      </c>
      <c r="V76" s="16">
        <v>-4.7016249111873631E-2</v>
      </c>
      <c r="W76" s="56">
        <f t="shared" si="9"/>
        <v>3</v>
      </c>
      <c r="X76" s="56">
        <f t="shared" si="10"/>
        <v>3938.3028935015959</v>
      </c>
      <c r="Y76" s="56">
        <f t="shared" si="10"/>
        <v>428.73763547303594</v>
      </c>
      <c r="AA76" s="56">
        <f t="shared" si="22"/>
        <v>0</v>
      </c>
      <c r="AB76" s="56">
        <v>0</v>
      </c>
      <c r="AC76" s="56">
        <f t="shared" si="11"/>
        <v>0</v>
      </c>
      <c r="AE76" s="56">
        <v>0</v>
      </c>
      <c r="AF76" s="56">
        <f t="shared" si="12"/>
        <v>0</v>
      </c>
      <c r="AG76" s="56">
        <f t="shared" si="13"/>
        <v>0</v>
      </c>
      <c r="AI76" s="56">
        <f t="shared" si="14"/>
        <v>0</v>
      </c>
      <c r="AJ76" s="56">
        <f t="shared" si="15"/>
        <v>0</v>
      </c>
      <c r="AK76" s="56">
        <f t="shared" si="16"/>
        <v>0</v>
      </c>
      <c r="AM76" s="56">
        <f t="shared" si="17"/>
        <v>401921</v>
      </c>
      <c r="AN76" s="56">
        <f t="shared" si="18"/>
        <v>40858</v>
      </c>
      <c r="AO76" s="56">
        <f t="shared" si="19"/>
        <v>74395</v>
      </c>
      <c r="AP76" s="56"/>
      <c r="AQ76" s="56">
        <f t="shared" si="20"/>
        <v>517174</v>
      </c>
      <c r="AS76" s="56">
        <v>1126.772124710993</v>
      </c>
      <c r="AT76" s="56">
        <v>114.54404092207611</v>
      </c>
      <c r="AU76" s="56">
        <v>208.56390240339351</v>
      </c>
      <c r="AV76" s="56"/>
      <c r="AW76" s="56">
        <v>1449.8800680364627</v>
      </c>
      <c r="AY76" s="16">
        <v>2.0543647526934716E-2</v>
      </c>
      <c r="AZ76" s="16">
        <v>-4.7016249111873631E-2</v>
      </c>
      <c r="BA76" s="16">
        <v>4.3475401521381851E-2</v>
      </c>
      <c r="BB76" s="16">
        <f t="shared" si="21"/>
        <v>1.8060144131675004E-2</v>
      </c>
      <c r="BC76" s="16"/>
      <c r="BE76" s="16">
        <f>AM76/'2016-17 disagg'!AM76-1</f>
        <v>2.0028982638333748E-2</v>
      </c>
      <c r="BF76" s="16">
        <f>AN76/'2016-17 disagg'!AN76-1</f>
        <v>1.9894660642520101E-2</v>
      </c>
      <c r="BG76" s="16">
        <f>AO76/'2016-17 disagg'!AO76-1</f>
        <v>4.6770131277173554E-2</v>
      </c>
      <c r="BH76" s="16">
        <f>AQ76/'2016-17 disagg'!AQ76-1</f>
        <v>2.3780537294050719E-2</v>
      </c>
      <c r="BJ76" s="16">
        <f>AS76/'2016-17 disagg'!AS76-1</f>
        <v>1.3729655410969155E-2</v>
      </c>
      <c r="BK76" s="16">
        <f>AT76/'2016-17 disagg'!AT76-1</f>
        <v>1.3596162938845469E-2</v>
      </c>
      <c r="BL76" s="16">
        <f>AU76/'2016-17 disagg'!AU76-1</f>
        <v>4.0305660462147452E-2</v>
      </c>
      <c r="BM76" s="16">
        <f>AW76/'2016-17 disagg'!AW76-1</f>
        <v>1.7458041832459692E-2</v>
      </c>
    </row>
    <row r="77" spans="1:65" x14ac:dyDescent="0.2">
      <c r="A77" s="156" t="s">
        <v>199</v>
      </c>
      <c r="B77" s="156" t="s">
        <v>200</v>
      </c>
      <c r="D77" s="56">
        <f>VLOOKUP(A77,'2017-18'!$A$12:$AMX285,32,FALSE)</f>
        <v>638517</v>
      </c>
      <c r="E77" s="56">
        <v>1739.4848573994432</v>
      </c>
      <c r="F77" s="16">
        <f>VLOOKUP(A77,'2017-18'!$A$12:$AMX285,34,FALSE)</f>
        <v>2.242550983808167E-2</v>
      </c>
      <c r="G77" s="16">
        <f>VLOOKUP(A77,'2017-18'!$A$12:$AMX285,35,FALSE)</f>
        <v>1.7110892908750452E-2</v>
      </c>
      <c r="H77" s="56"/>
      <c r="I77" s="56">
        <v>616121.60398937692</v>
      </c>
      <c r="J77" s="56">
        <v>1678.4740272477904</v>
      </c>
      <c r="K77" s="16">
        <f t="shared" ref="K77:L140" si="23">D77/I77-1</f>
        <v>3.6348986735107669E-2</v>
      </c>
      <c r="L77" s="58">
        <f t="shared" si="23"/>
        <v>3.6348986735107669E-2</v>
      </c>
      <c r="M77" s="10"/>
      <c r="N77" s="56">
        <v>498603</v>
      </c>
      <c r="O77" s="56">
        <v>56320</v>
      </c>
      <c r="P77" s="56">
        <v>83594</v>
      </c>
      <c r="R77" s="56">
        <f t="shared" ref="R77:R140" si="24">ROUND(P77,0)</f>
        <v>83594</v>
      </c>
      <c r="S77" s="56">
        <f t="shared" ref="S77:S140" si="25">D77-SUM(N77:P77)</f>
        <v>0</v>
      </c>
      <c r="U77" s="16">
        <v>2.5625908570747091E-2</v>
      </c>
      <c r="V77" s="16">
        <v>0.16221307862071788</v>
      </c>
      <c r="W77" s="56">
        <f t="shared" ref="W77:W140" si="26">IF(AND(U77&lt;0,V77&gt;0),1,IF(AND(U77&gt;0,V77&gt;0),2,IF(AND(U77&gt;0,V77&lt;0),3,IF(AND(U77&lt;0,V77&lt;0),4,5))))</f>
        <v>2</v>
      </c>
      <c r="X77" s="56">
        <f t="shared" ref="X77:Y140" si="27">N77/(1+U77)/100</f>
        <v>4861.4509036225918</v>
      </c>
      <c r="Y77" s="56">
        <f t="shared" si="27"/>
        <v>484.59272259127391</v>
      </c>
      <c r="AA77" s="56">
        <f t="shared" si="22"/>
        <v>0</v>
      </c>
      <c r="AB77" s="56">
        <v>0</v>
      </c>
      <c r="AC77" s="56">
        <f t="shared" ref="AC77:AC140" si="28">S77-AA77-AB77</f>
        <v>0</v>
      </c>
      <c r="AE77" s="56">
        <v>0</v>
      </c>
      <c r="AF77" s="56">
        <f t="shared" ref="AF77:AF140" si="29">IF(W77=3,MIN(S77,-1*V77*O77),0)</f>
        <v>0</v>
      </c>
      <c r="AG77" s="56">
        <f t="shared" ref="AG77:AG140" si="30">AC77-AE77-AF77</f>
        <v>0</v>
      </c>
      <c r="AI77" s="56">
        <f t="shared" ref="AI77:AI140" si="31">AG77*X77/(X77+Y77)</f>
        <v>0</v>
      </c>
      <c r="AJ77" s="56">
        <f t="shared" ref="AJ77:AJ140" si="32">AG77*Y77/(X77+Y77)</f>
        <v>0</v>
      </c>
      <c r="AK77" s="56">
        <f t="shared" ref="AK77:AK140" si="33">S77-SUM(AA77:AB77)-SUM(AE77:AF77)-SUM(AI77:AJ77)</f>
        <v>0</v>
      </c>
      <c r="AM77" s="56">
        <f t="shared" ref="AM77:AM140" si="34">ROUND(N77+AA77+AE77+AI77,0)</f>
        <v>498603</v>
      </c>
      <c r="AN77" s="56">
        <f t="shared" ref="AN77:AN140" si="35">ROUND(O77+AB77+AF77+AJ77,0)</f>
        <v>56320</v>
      </c>
      <c r="AO77" s="56">
        <f t="shared" ref="AO77:AO140" si="36">R77</f>
        <v>83594</v>
      </c>
      <c r="AP77" s="56"/>
      <c r="AQ77" s="56">
        <f t="shared" ref="AQ77:AQ140" si="37">SUM(AM77:AP77)</f>
        <v>638517</v>
      </c>
      <c r="AS77" s="56">
        <v>1358.323064779692</v>
      </c>
      <c r="AT77" s="56">
        <v>153.43019397876117</v>
      </c>
      <c r="AU77" s="56">
        <v>227.73159864099006</v>
      </c>
      <c r="AV77" s="56"/>
      <c r="AW77" s="56">
        <v>1739.4848573994432</v>
      </c>
      <c r="AY77" s="16">
        <v>2.5625908570747091E-2</v>
      </c>
      <c r="AZ77" s="16">
        <v>0.16221307862071788</v>
      </c>
      <c r="BA77" s="16">
        <v>2.5476311479121216E-2</v>
      </c>
      <c r="BB77" s="16">
        <f t="shared" ref="BB77:BB140" si="38">SUM(AM77:AO77)/I77-1</f>
        <v>3.6348986735107669E-2</v>
      </c>
      <c r="BC77" s="16"/>
      <c r="BE77" s="16">
        <f>AM77/'2016-17 disagg'!AM77-1</f>
        <v>2.0030195658044425E-2</v>
      </c>
      <c r="BF77" s="16">
        <f>AN77/'2016-17 disagg'!AN77-1</f>
        <v>1.0006814676661424E-2</v>
      </c>
      <c r="BG77" s="16">
        <f>AO77/'2016-17 disagg'!AO77-1</f>
        <v>4.5735444969851713E-2</v>
      </c>
      <c r="BH77" s="16">
        <f>AQ77/'2016-17 disagg'!AQ77-1</f>
        <v>2.242550983808167E-2</v>
      </c>
      <c r="BJ77" s="16">
        <f>AS77/'2016-17 disagg'!AS77-1</f>
        <v>1.4728029686919664E-2</v>
      </c>
      <c r="BK77" s="16">
        <f>AT77/'2016-17 disagg'!AT77-1</f>
        <v>4.7567507215178217E-3</v>
      </c>
      <c r="BL77" s="16">
        <f>AU77/'2016-17 disagg'!AU77-1</f>
        <v>4.0299661877625459E-2</v>
      </c>
      <c r="BM77" s="16">
        <f>AW77/'2016-17 disagg'!AW77-1</f>
        <v>1.7110892908750452E-2</v>
      </c>
    </row>
    <row r="78" spans="1:65" x14ac:dyDescent="0.2">
      <c r="A78" s="156" t="s">
        <v>201</v>
      </c>
      <c r="B78" s="156" t="s">
        <v>202</v>
      </c>
      <c r="D78" s="56">
        <f>VLOOKUP(A78,'2017-18'!$A$12:$AMX286,32,FALSE)</f>
        <v>1257819</v>
      </c>
      <c r="E78" s="56">
        <v>1727.5065189903041</v>
      </c>
      <c r="F78" s="16">
        <f>VLOOKUP(A78,'2017-18'!$A$12:$AMX286,34,FALSE)</f>
        <v>2.9837658509746401E-2</v>
      </c>
      <c r="G78" s="16">
        <f>VLOOKUP(A78,'2017-18'!$A$12:$AMX286,35,FALSE)</f>
        <v>2.2345573218324866E-2</v>
      </c>
      <c r="H78" s="56"/>
      <c r="I78" s="56">
        <v>1257920.0715017316</v>
      </c>
      <c r="J78" s="56">
        <v>1727.645332029482</v>
      </c>
      <c r="K78" s="16">
        <f t="shared" si="23"/>
        <v>-8.0348111156980373E-5</v>
      </c>
      <c r="L78" s="58">
        <f t="shared" si="23"/>
        <v>-8.0348111157091395E-5</v>
      </c>
      <c r="M78" s="10"/>
      <c r="N78" s="56">
        <v>914303</v>
      </c>
      <c r="O78" s="56">
        <v>95471</v>
      </c>
      <c r="P78" s="56">
        <v>248045</v>
      </c>
      <c r="R78" s="56">
        <f t="shared" si="24"/>
        <v>248045</v>
      </c>
      <c r="S78" s="56">
        <f t="shared" si="25"/>
        <v>0</v>
      </c>
      <c r="U78" s="16">
        <v>-9.9534054041156006E-3</v>
      </c>
      <c r="V78" s="16">
        <v>-5.2912680562612335E-2</v>
      </c>
      <c r="W78" s="56">
        <f t="shared" si="26"/>
        <v>4</v>
      </c>
      <c r="X78" s="56">
        <f t="shared" si="27"/>
        <v>9234.9491932063938</v>
      </c>
      <c r="Y78" s="56">
        <f t="shared" si="27"/>
        <v>1008.0485509690284</v>
      </c>
      <c r="AA78" s="56">
        <f t="shared" ref="AA78:AA141" si="39">IF(W78=1,MIN(S78,-1*U78*N78),0)</f>
        <v>0</v>
      </c>
      <c r="AB78" s="56">
        <v>0</v>
      </c>
      <c r="AC78" s="56">
        <f t="shared" si="28"/>
        <v>0</v>
      </c>
      <c r="AE78" s="56">
        <v>0</v>
      </c>
      <c r="AF78" s="56">
        <f t="shared" si="29"/>
        <v>0</v>
      </c>
      <c r="AG78" s="56">
        <f t="shared" si="30"/>
        <v>0</v>
      </c>
      <c r="AI78" s="56">
        <f t="shared" si="31"/>
        <v>0</v>
      </c>
      <c r="AJ78" s="56">
        <f t="shared" si="32"/>
        <v>0</v>
      </c>
      <c r="AK78" s="56">
        <f t="shared" si="33"/>
        <v>0</v>
      </c>
      <c r="AM78" s="56">
        <f t="shared" si="34"/>
        <v>914303</v>
      </c>
      <c r="AN78" s="56">
        <f t="shared" si="35"/>
        <v>95471</v>
      </c>
      <c r="AO78" s="56">
        <f t="shared" si="36"/>
        <v>248045</v>
      </c>
      <c r="AP78" s="56"/>
      <c r="AQ78" s="56">
        <f t="shared" si="37"/>
        <v>1257819</v>
      </c>
      <c r="AS78" s="56">
        <v>1255.7167548211564</v>
      </c>
      <c r="AT78" s="56">
        <v>131.12123037934975</v>
      </c>
      <c r="AU78" s="56">
        <v>340.66853378979806</v>
      </c>
      <c r="AV78" s="56"/>
      <c r="AW78" s="56">
        <v>1727.5065189903041</v>
      </c>
      <c r="AY78" s="16">
        <v>-9.9534054041156006E-3</v>
      </c>
      <c r="AZ78" s="16">
        <v>-5.2912680562612335E-2</v>
      </c>
      <c r="BA78" s="16">
        <v>6.1744219555599056E-2</v>
      </c>
      <c r="BB78" s="16">
        <f t="shared" si="38"/>
        <v>-8.0348111156980373E-5</v>
      </c>
      <c r="BC78" s="16"/>
      <c r="BE78" s="16">
        <f>AM78/'2016-17 disagg'!AM78-1</f>
        <v>2.0030144508444758E-2</v>
      </c>
      <c r="BF78" s="16">
        <f>AN78/'2016-17 disagg'!AN78-1</f>
        <v>8.0893508140298387E-2</v>
      </c>
      <c r="BG78" s="16">
        <f>AO78/'2016-17 disagg'!AO78-1</f>
        <v>4.7925441802104674E-2</v>
      </c>
      <c r="BH78" s="16">
        <f>AQ78/'2016-17 disagg'!AQ78-1</f>
        <v>2.9837658509746401E-2</v>
      </c>
      <c r="BJ78" s="16">
        <f>AS78/'2016-17 disagg'!AS78-1</f>
        <v>1.2609409036858921E-2</v>
      </c>
      <c r="BK78" s="16">
        <f>AT78/'2016-17 disagg'!AT78-1</f>
        <v>7.3029990733438854E-2</v>
      </c>
      <c r="BL78" s="16">
        <f>AU78/'2016-17 disagg'!AU78-1</f>
        <v>4.0301767600490201E-2</v>
      </c>
      <c r="BM78" s="16">
        <f>AW78/'2016-17 disagg'!AW78-1</f>
        <v>2.2345573218324866E-2</v>
      </c>
    </row>
    <row r="79" spans="1:65" x14ac:dyDescent="0.2">
      <c r="A79" s="156" t="s">
        <v>203</v>
      </c>
      <c r="B79" s="156" t="s">
        <v>204</v>
      </c>
      <c r="D79" s="56">
        <f>VLOOKUP(A79,'2017-18'!$A$12:$AMX287,32,FALSE)</f>
        <v>483171.88898037188</v>
      </c>
      <c r="E79" s="56">
        <v>1624.3459181107298</v>
      </c>
      <c r="F79" s="16">
        <f>VLOOKUP(A79,'2017-18'!$A$12:$AMX287,34,FALSE)</f>
        <v>2.6407066689266179E-2</v>
      </c>
      <c r="G79" s="16">
        <f>VLOOKUP(A79,'2017-18'!$A$12:$AMX287,35,FALSE)</f>
        <v>1.9068247392339144E-2</v>
      </c>
      <c r="H79" s="56"/>
      <c r="I79" s="56">
        <v>493202.70842447749</v>
      </c>
      <c r="J79" s="56">
        <v>1658.0679143421798</v>
      </c>
      <c r="K79" s="16">
        <f t="shared" si="23"/>
        <v>-2.0338127250251303E-2</v>
      </c>
      <c r="L79" s="58">
        <f t="shared" si="23"/>
        <v>-2.0338127250251303E-2</v>
      </c>
      <c r="M79" s="10"/>
      <c r="N79" s="56">
        <v>347874</v>
      </c>
      <c r="O79" s="56">
        <v>40117</v>
      </c>
      <c r="P79" s="56">
        <v>94622</v>
      </c>
      <c r="R79" s="56">
        <f t="shared" si="24"/>
        <v>94622</v>
      </c>
      <c r="S79" s="56">
        <f t="shared" si="25"/>
        <v>558.88898037187755</v>
      </c>
      <c r="U79" s="16">
        <v>-3.7785358067743635E-2</v>
      </c>
      <c r="V79" s="16">
        <v>-8.156641032725731E-3</v>
      </c>
      <c r="W79" s="56">
        <f t="shared" si="26"/>
        <v>4</v>
      </c>
      <c r="X79" s="56">
        <f t="shared" si="27"/>
        <v>3615.347188039274</v>
      </c>
      <c r="Y79" s="56">
        <f t="shared" si="27"/>
        <v>404.46910933366098</v>
      </c>
      <c r="AA79" s="56">
        <f t="shared" si="39"/>
        <v>0</v>
      </c>
      <c r="AB79" s="56">
        <v>0</v>
      </c>
      <c r="AC79" s="56">
        <f t="shared" si="28"/>
        <v>558.88898037187755</v>
      </c>
      <c r="AE79" s="56">
        <v>0</v>
      </c>
      <c r="AF79" s="56">
        <f t="shared" si="29"/>
        <v>0</v>
      </c>
      <c r="AG79" s="56">
        <f t="shared" si="30"/>
        <v>558.88898037187755</v>
      </c>
      <c r="AI79" s="56">
        <f t="shared" si="31"/>
        <v>502.65423943231184</v>
      </c>
      <c r="AJ79" s="56">
        <f t="shared" si="32"/>
        <v>56.234740939565711</v>
      </c>
      <c r="AK79" s="56">
        <f t="shared" si="33"/>
        <v>0</v>
      </c>
      <c r="AM79" s="56">
        <f t="shared" si="34"/>
        <v>348377</v>
      </c>
      <c r="AN79" s="56">
        <f t="shared" si="35"/>
        <v>40173</v>
      </c>
      <c r="AO79" s="56">
        <f t="shared" si="36"/>
        <v>94622</v>
      </c>
      <c r="AP79" s="56"/>
      <c r="AQ79" s="56">
        <f t="shared" si="37"/>
        <v>483172</v>
      </c>
      <c r="AS79" s="56">
        <v>1171.1872541008897</v>
      </c>
      <c r="AT79" s="56">
        <v>135.05514301746396</v>
      </c>
      <c r="AU79" s="56">
        <v>318.10389422244981</v>
      </c>
      <c r="AV79" s="56"/>
      <c r="AW79" s="56">
        <v>1624.3462913408034</v>
      </c>
      <c r="AY79" s="16">
        <v>-3.6394067069014491E-2</v>
      </c>
      <c r="AZ79" s="16">
        <v>-6.7721100831988901E-3</v>
      </c>
      <c r="BA79" s="16">
        <v>3.7282186987488641E-2</v>
      </c>
      <c r="BB79" s="16">
        <f t="shared" si="38"/>
        <v>-2.033790215086273E-2</v>
      </c>
      <c r="BC79" s="16"/>
      <c r="BE79" s="16">
        <f>AM79/'2016-17 disagg'!AM79-1</f>
        <v>2.1504619652067403E-2</v>
      </c>
      <c r="BF79" s="16">
        <f>AN79/'2016-17 disagg'!AN79-1</f>
        <v>1.9826360682372091E-2</v>
      </c>
      <c r="BG79" s="16">
        <f>AO79/'2016-17 disagg'!AO79-1</f>
        <v>4.779305915443044E-2</v>
      </c>
      <c r="BH79" s="16">
        <f>AQ79/'2016-17 disagg'!AQ79-1</f>
        <v>2.6407302529416476E-2</v>
      </c>
      <c r="BJ79" s="16">
        <f>AS79/'2016-17 disagg'!AS79-1</f>
        <v>1.4200852893345051E-2</v>
      </c>
      <c r="BK79" s="16">
        <f>AT79/'2016-17 disagg'!AT79-1</f>
        <v>1.2534593489622825E-2</v>
      </c>
      <c r="BL79" s="16">
        <f>AU79/'2016-17 disagg'!AU79-1</f>
        <v>4.0301329828645649E-2</v>
      </c>
      <c r="BM79" s="16">
        <f>AW79/'2016-17 disagg'!AW79-1</f>
        <v>1.9068481546230087E-2</v>
      </c>
    </row>
    <row r="80" spans="1:65" x14ac:dyDescent="0.2">
      <c r="A80" s="156" t="s">
        <v>205</v>
      </c>
      <c r="B80" s="156" t="s">
        <v>206</v>
      </c>
      <c r="D80" s="56">
        <f>VLOOKUP(A80,'2017-18'!$A$12:$AMX288,32,FALSE)</f>
        <v>214817</v>
      </c>
      <c r="E80" s="56">
        <v>1619.8133987584447</v>
      </c>
      <c r="F80" s="16">
        <f>VLOOKUP(A80,'2017-18'!$A$12:$AMX288,34,FALSE)</f>
        <v>2.2606965363596521E-2</v>
      </c>
      <c r="G80" s="16">
        <f>VLOOKUP(A80,'2017-18'!$A$12:$AMX288,35,FALSE)</f>
        <v>1.9395710073747852E-2</v>
      </c>
      <c r="H80" s="56"/>
      <c r="I80" s="56">
        <v>216480.75064201589</v>
      </c>
      <c r="J80" s="56">
        <v>1632.3588005754812</v>
      </c>
      <c r="K80" s="16">
        <f t="shared" si="23"/>
        <v>-7.685443796188407E-3</v>
      </c>
      <c r="L80" s="58">
        <f t="shared" si="23"/>
        <v>-7.685443796188407E-3</v>
      </c>
      <c r="M80" s="10"/>
      <c r="N80" s="56">
        <v>167522</v>
      </c>
      <c r="O80" s="56">
        <v>17626</v>
      </c>
      <c r="P80" s="56">
        <v>29669</v>
      </c>
      <c r="R80" s="56">
        <f t="shared" si="24"/>
        <v>29669</v>
      </c>
      <c r="S80" s="56">
        <f t="shared" si="25"/>
        <v>0</v>
      </c>
      <c r="U80" s="16">
        <v>-1.1852714548559407E-2</v>
      </c>
      <c r="V80" s="16">
        <v>6.3987539683111327E-2</v>
      </c>
      <c r="W80" s="56">
        <f t="shared" si="26"/>
        <v>1</v>
      </c>
      <c r="X80" s="56">
        <f t="shared" si="27"/>
        <v>1695.3140737867498</v>
      </c>
      <c r="Y80" s="56">
        <f t="shared" si="27"/>
        <v>165.65983475003449</v>
      </c>
      <c r="AA80" s="56">
        <f t="shared" si="39"/>
        <v>0</v>
      </c>
      <c r="AB80" s="56">
        <v>0</v>
      </c>
      <c r="AC80" s="56">
        <f t="shared" si="28"/>
        <v>0</v>
      </c>
      <c r="AE80" s="56">
        <v>0</v>
      </c>
      <c r="AF80" s="56">
        <f t="shared" si="29"/>
        <v>0</v>
      </c>
      <c r="AG80" s="56">
        <f t="shared" si="30"/>
        <v>0</v>
      </c>
      <c r="AI80" s="56">
        <f t="shared" si="31"/>
        <v>0</v>
      </c>
      <c r="AJ80" s="56">
        <f t="shared" si="32"/>
        <v>0</v>
      </c>
      <c r="AK80" s="56">
        <f t="shared" si="33"/>
        <v>0</v>
      </c>
      <c r="AM80" s="56">
        <f t="shared" si="34"/>
        <v>167522</v>
      </c>
      <c r="AN80" s="56">
        <f t="shared" si="35"/>
        <v>17626</v>
      </c>
      <c r="AO80" s="56">
        <f t="shared" si="36"/>
        <v>29669</v>
      </c>
      <c r="AP80" s="56"/>
      <c r="AQ80" s="56">
        <f t="shared" si="37"/>
        <v>214817</v>
      </c>
      <c r="AS80" s="56">
        <v>1263.1885753306869</v>
      </c>
      <c r="AT80" s="56">
        <v>132.9076887141909</v>
      </c>
      <c r="AU80" s="56">
        <v>223.71713471356688</v>
      </c>
      <c r="AV80" s="56"/>
      <c r="AW80" s="56">
        <v>1619.8133987584447</v>
      </c>
      <c r="AY80" s="16">
        <v>-1.1852714548559407E-2</v>
      </c>
      <c r="AZ80" s="16">
        <v>6.3987539683111327E-2</v>
      </c>
      <c r="BA80" s="16">
        <v>-2.3511546889941393E-2</v>
      </c>
      <c r="BB80" s="16">
        <f t="shared" si="38"/>
        <v>-7.685443796188407E-3</v>
      </c>
      <c r="BC80" s="16"/>
      <c r="BE80" s="16">
        <f>AM80/'2016-17 disagg'!AM80-1</f>
        <v>2.0032636757757238E-2</v>
      </c>
      <c r="BF80" s="16">
        <f>AN80/'2016-17 disagg'!AN80-1</f>
        <v>1.263931977479027E-2</v>
      </c>
      <c r="BG80" s="16">
        <f>AO80/'2016-17 disagg'!AO80-1</f>
        <v>4.3580724586704145E-2</v>
      </c>
      <c r="BH80" s="16">
        <f>AQ80/'2016-17 disagg'!AQ80-1</f>
        <v>2.2606965363596521E-2</v>
      </c>
      <c r="BJ80" s="16">
        <f>AS80/'2016-17 disagg'!AS80-1</f>
        <v>1.6829465537970156E-2</v>
      </c>
      <c r="BK80" s="16">
        <f>AT80/'2016-17 disagg'!AT80-1</f>
        <v>9.4593655181913761E-3</v>
      </c>
      <c r="BL80" s="16">
        <f>AU80/'2016-17 disagg'!AU80-1</f>
        <v>4.0303606167095385E-2</v>
      </c>
      <c r="BM80" s="16">
        <f>AW80/'2016-17 disagg'!AW80-1</f>
        <v>1.9395710073747852E-2</v>
      </c>
    </row>
    <row r="81" spans="1:65" x14ac:dyDescent="0.2">
      <c r="A81" s="156" t="s">
        <v>207</v>
      </c>
      <c r="B81" s="156" t="s">
        <v>208</v>
      </c>
      <c r="D81" s="56">
        <f>VLOOKUP(A81,'2017-18'!$A$12:$AMX289,32,FALSE)</f>
        <v>790806</v>
      </c>
      <c r="E81" s="56">
        <v>1586.2573984418998</v>
      </c>
      <c r="F81" s="16">
        <f>VLOOKUP(A81,'2017-18'!$A$12:$AMX289,34,FALSE)</f>
        <v>3.2503776548450158E-2</v>
      </c>
      <c r="G81" s="16">
        <f>VLOOKUP(A81,'2017-18'!$A$12:$AMX289,35,FALSE)</f>
        <v>2.0815208342992886E-2</v>
      </c>
      <c r="H81" s="56"/>
      <c r="I81" s="56">
        <v>800459.64410473872</v>
      </c>
      <c r="J81" s="56">
        <v>1605.6213946471219</v>
      </c>
      <c r="K81" s="16">
        <f t="shared" si="23"/>
        <v>-1.206012592369432E-2</v>
      </c>
      <c r="L81" s="58">
        <f t="shared" si="23"/>
        <v>-1.206012592369432E-2</v>
      </c>
      <c r="M81" s="10"/>
      <c r="N81" s="56">
        <v>592005</v>
      </c>
      <c r="O81" s="56">
        <v>64081</v>
      </c>
      <c r="P81" s="56">
        <v>134720</v>
      </c>
      <c r="R81" s="56">
        <f t="shared" si="24"/>
        <v>134720</v>
      </c>
      <c r="S81" s="56">
        <f t="shared" si="25"/>
        <v>0</v>
      </c>
      <c r="U81" s="16">
        <v>-2.3470155486809308E-2</v>
      </c>
      <c r="V81" s="16">
        <v>-5.302252796324658E-2</v>
      </c>
      <c r="W81" s="56">
        <f t="shared" si="26"/>
        <v>4</v>
      </c>
      <c r="X81" s="56">
        <f t="shared" si="27"/>
        <v>6062.333919708517</v>
      </c>
      <c r="Y81" s="56">
        <f t="shared" si="27"/>
        <v>676.68980405811521</v>
      </c>
      <c r="AA81" s="56">
        <f t="shared" si="39"/>
        <v>0</v>
      </c>
      <c r="AB81" s="56">
        <v>0</v>
      </c>
      <c r="AC81" s="56">
        <f t="shared" si="28"/>
        <v>0</v>
      </c>
      <c r="AE81" s="56">
        <v>0</v>
      </c>
      <c r="AF81" s="56">
        <f t="shared" si="29"/>
        <v>0</v>
      </c>
      <c r="AG81" s="56">
        <f t="shared" si="30"/>
        <v>0</v>
      </c>
      <c r="AI81" s="56">
        <f t="shared" si="31"/>
        <v>0</v>
      </c>
      <c r="AJ81" s="56">
        <f t="shared" si="32"/>
        <v>0</v>
      </c>
      <c r="AK81" s="56">
        <f t="shared" si="33"/>
        <v>0</v>
      </c>
      <c r="AM81" s="56">
        <f t="shared" si="34"/>
        <v>592005</v>
      </c>
      <c r="AN81" s="56">
        <f t="shared" si="35"/>
        <v>64081</v>
      </c>
      <c r="AO81" s="56">
        <f t="shared" si="36"/>
        <v>134720</v>
      </c>
      <c r="AP81" s="56"/>
      <c r="AQ81" s="56">
        <f t="shared" si="37"/>
        <v>790806</v>
      </c>
      <c r="AS81" s="56">
        <v>1187.4875900847956</v>
      </c>
      <c r="AT81" s="56">
        <v>128.53842832446313</v>
      </c>
      <c r="AU81" s="56">
        <v>270.23138003264108</v>
      </c>
      <c r="AV81" s="56"/>
      <c r="AW81" s="56">
        <v>1586.2573984418998</v>
      </c>
      <c r="AY81" s="16">
        <v>-2.3470155486809308E-2</v>
      </c>
      <c r="AZ81" s="16">
        <v>-5.302252796324658E-2</v>
      </c>
      <c r="BA81" s="16">
        <v>6.4498295202374711E-2</v>
      </c>
      <c r="BB81" s="16">
        <f t="shared" si="38"/>
        <v>-1.206012592369432E-2</v>
      </c>
      <c r="BC81" s="16"/>
      <c r="BE81" s="16">
        <f>AM81/'2016-17 disagg'!AM81-1</f>
        <v>2.2697826439970648E-2</v>
      </c>
      <c r="BF81" s="16">
        <f>AN81/'2016-17 disagg'!AN81-1</f>
        <v>8.5934587358074799E-2</v>
      </c>
      <c r="BG81" s="16">
        <f>AO81/'2016-17 disagg'!AO81-1</f>
        <v>5.221228570312797E-2</v>
      </c>
      <c r="BH81" s="16">
        <f>AQ81/'2016-17 disagg'!AQ81-1</f>
        <v>3.2503776548450158E-2</v>
      </c>
      <c r="BJ81" s="16">
        <f>AS81/'2016-17 disagg'!AS81-1</f>
        <v>1.1120267529845185E-2</v>
      </c>
      <c r="BK81" s="16">
        <f>AT81/'2016-17 disagg'!AT81-1</f>
        <v>7.36411500077232E-2</v>
      </c>
      <c r="BL81" s="16">
        <f>AU81/'2016-17 disagg'!AU81-1</f>
        <v>4.030060523530965E-2</v>
      </c>
      <c r="BM81" s="16">
        <f>AW81/'2016-17 disagg'!AW81-1</f>
        <v>2.0815208342992886E-2</v>
      </c>
    </row>
    <row r="82" spans="1:65" x14ac:dyDescent="0.2">
      <c r="A82" s="156" t="s">
        <v>209</v>
      </c>
      <c r="B82" s="156" t="s">
        <v>210</v>
      </c>
      <c r="D82" s="56">
        <f>VLOOKUP(A82,'2017-18'!$A$12:$AMX290,32,FALSE)</f>
        <v>536505</v>
      </c>
      <c r="E82" s="56">
        <v>1690.9590963550927</v>
      </c>
      <c r="F82" s="16">
        <f>VLOOKUP(A82,'2017-18'!$A$12:$AMX290,34,FALSE)</f>
        <v>2.3430912857529851E-2</v>
      </c>
      <c r="G82" s="16">
        <f>VLOOKUP(A82,'2017-18'!$A$12:$AMX290,35,FALSE)</f>
        <v>2.0478265701915577E-2</v>
      </c>
      <c r="H82" s="56"/>
      <c r="I82" s="56">
        <v>548101.61950161529</v>
      </c>
      <c r="J82" s="56">
        <v>1727.5093787070282</v>
      </c>
      <c r="K82" s="16">
        <f t="shared" si="23"/>
        <v>-2.1157790980730895E-2</v>
      </c>
      <c r="L82" s="58">
        <f t="shared" si="23"/>
        <v>-2.1157790980730784E-2</v>
      </c>
      <c r="M82" s="10"/>
      <c r="N82" s="56">
        <v>413072</v>
      </c>
      <c r="O82" s="56">
        <v>40596</v>
      </c>
      <c r="P82" s="56">
        <v>82837</v>
      </c>
      <c r="R82" s="56">
        <f t="shared" si="24"/>
        <v>82837</v>
      </c>
      <c r="S82" s="56">
        <f t="shared" si="25"/>
        <v>0</v>
      </c>
      <c r="U82" s="16">
        <v>-2.9135896030011987E-2</v>
      </c>
      <c r="V82" s="16">
        <v>-2.6277836709300839E-2</v>
      </c>
      <c r="W82" s="56">
        <f t="shared" si="26"/>
        <v>4</v>
      </c>
      <c r="X82" s="56">
        <f t="shared" si="27"/>
        <v>4254.6840315848067</v>
      </c>
      <c r="Y82" s="56">
        <f t="shared" si="27"/>
        <v>416.91564113941502</v>
      </c>
      <c r="AA82" s="56">
        <f t="shared" si="39"/>
        <v>0</v>
      </c>
      <c r="AB82" s="56">
        <v>0</v>
      </c>
      <c r="AC82" s="56">
        <f t="shared" si="28"/>
        <v>0</v>
      </c>
      <c r="AE82" s="56">
        <v>0</v>
      </c>
      <c r="AF82" s="56">
        <f t="shared" si="29"/>
        <v>0</v>
      </c>
      <c r="AG82" s="56">
        <f t="shared" si="30"/>
        <v>0</v>
      </c>
      <c r="AI82" s="56">
        <f t="shared" si="31"/>
        <v>0</v>
      </c>
      <c r="AJ82" s="56">
        <f t="shared" si="32"/>
        <v>0</v>
      </c>
      <c r="AK82" s="56">
        <f t="shared" si="33"/>
        <v>0</v>
      </c>
      <c r="AM82" s="56">
        <f t="shared" si="34"/>
        <v>413072</v>
      </c>
      <c r="AN82" s="56">
        <f t="shared" si="35"/>
        <v>40596</v>
      </c>
      <c r="AO82" s="56">
        <f t="shared" si="36"/>
        <v>82837</v>
      </c>
      <c r="AP82" s="56"/>
      <c r="AQ82" s="56">
        <f t="shared" si="37"/>
        <v>536505</v>
      </c>
      <c r="AS82" s="56">
        <v>1301.9223601822739</v>
      </c>
      <c r="AT82" s="56">
        <v>127.95067236210537</v>
      </c>
      <c r="AU82" s="56">
        <v>261.08606381071343</v>
      </c>
      <c r="AV82" s="56"/>
      <c r="AW82" s="56">
        <v>1690.9590963550927</v>
      </c>
      <c r="AY82" s="16">
        <v>-2.9135896030011987E-2</v>
      </c>
      <c r="AZ82" s="16">
        <v>-2.6277836709300839E-2</v>
      </c>
      <c r="BA82" s="16">
        <v>2.3416222903877681E-2</v>
      </c>
      <c r="BB82" s="16">
        <f t="shared" si="38"/>
        <v>-2.1157790980730895E-2</v>
      </c>
      <c r="BC82" s="16"/>
      <c r="BE82" s="16">
        <f>AM82/'2016-17 disagg'!AM82-1</f>
        <v>2.0029089220937379E-2</v>
      </c>
      <c r="BF82" s="16">
        <f>AN82/'2016-17 disagg'!AN82-1</f>
        <v>1.8387978827484108E-2</v>
      </c>
      <c r="BG82" s="16">
        <f>AO82/'2016-17 disagg'!AO82-1</f>
        <v>4.3313433587747863E-2</v>
      </c>
      <c r="BH82" s="16">
        <f>AQ82/'2016-17 disagg'!AQ82-1</f>
        <v>2.3430912857529851E-2</v>
      </c>
      <c r="BJ82" s="16">
        <f>AS82/'2016-17 disagg'!AS82-1</f>
        <v>1.7086256489294849E-2</v>
      </c>
      <c r="BK82" s="16">
        <f>AT82/'2016-17 disagg'!AT82-1</f>
        <v>1.5449880777855141E-2</v>
      </c>
      <c r="BL82" s="16">
        <f>AU82/'2016-17 disagg'!AU82-1</f>
        <v>4.0303424408431709E-2</v>
      </c>
      <c r="BM82" s="16">
        <f>AW82/'2016-17 disagg'!AW82-1</f>
        <v>2.0478265701915577E-2</v>
      </c>
    </row>
    <row r="83" spans="1:65" x14ac:dyDescent="0.2">
      <c r="A83" s="156" t="s">
        <v>211</v>
      </c>
      <c r="B83" s="156" t="s">
        <v>212</v>
      </c>
      <c r="D83" s="56">
        <f>VLOOKUP(A83,'2017-18'!$A$12:$AMX291,32,FALSE)</f>
        <v>205904.17049684751</v>
      </c>
      <c r="E83" s="56">
        <v>1470.3413015762701</v>
      </c>
      <c r="F83" s="16">
        <f>VLOOKUP(A83,'2017-18'!$A$12:$AMX291,34,FALSE)</f>
        <v>2.7337759744779921E-2</v>
      </c>
      <c r="G83" s="16">
        <f>VLOOKUP(A83,'2017-18'!$A$12:$AMX291,35,FALSE)</f>
        <v>2.0499991481836233E-2</v>
      </c>
      <c r="H83" s="56"/>
      <c r="I83" s="56">
        <v>211152.23525281125</v>
      </c>
      <c r="J83" s="56">
        <v>1507.8172125567057</v>
      </c>
      <c r="K83" s="16">
        <f t="shared" si="23"/>
        <v>-2.4854412503283574E-2</v>
      </c>
      <c r="L83" s="58">
        <f t="shared" si="23"/>
        <v>-2.4854412503283574E-2</v>
      </c>
      <c r="M83" s="10"/>
      <c r="N83" s="56">
        <v>158765</v>
      </c>
      <c r="O83" s="56">
        <v>17964</v>
      </c>
      <c r="P83" s="56">
        <v>28422</v>
      </c>
      <c r="R83" s="56">
        <f t="shared" si="24"/>
        <v>28422</v>
      </c>
      <c r="S83" s="56">
        <f t="shared" si="25"/>
        <v>753.17049684750964</v>
      </c>
      <c r="U83" s="16">
        <v>-3.3988131218524509E-2</v>
      </c>
      <c r="V83" s="16">
        <v>2.7058148213341848E-2</v>
      </c>
      <c r="W83" s="56">
        <f t="shared" si="26"/>
        <v>1</v>
      </c>
      <c r="X83" s="56">
        <f t="shared" si="27"/>
        <v>1643.5098276821973</v>
      </c>
      <c r="Y83" s="56">
        <f t="shared" si="27"/>
        <v>174.90733150065518</v>
      </c>
      <c r="AA83" s="56">
        <f t="shared" si="39"/>
        <v>753.17049684750964</v>
      </c>
      <c r="AB83" s="56">
        <v>0</v>
      </c>
      <c r="AC83" s="56">
        <f t="shared" si="28"/>
        <v>0</v>
      </c>
      <c r="AE83" s="56">
        <v>0</v>
      </c>
      <c r="AF83" s="56">
        <f t="shared" si="29"/>
        <v>0</v>
      </c>
      <c r="AG83" s="56">
        <f t="shared" si="30"/>
        <v>0</v>
      </c>
      <c r="AI83" s="56">
        <f t="shared" si="31"/>
        <v>0</v>
      </c>
      <c r="AJ83" s="56">
        <f t="shared" si="32"/>
        <v>0</v>
      </c>
      <c r="AK83" s="56">
        <f t="shared" si="33"/>
        <v>0</v>
      </c>
      <c r="AM83" s="56">
        <f t="shared" si="34"/>
        <v>159518</v>
      </c>
      <c r="AN83" s="56">
        <f t="shared" si="35"/>
        <v>17964</v>
      </c>
      <c r="AO83" s="56">
        <f t="shared" si="36"/>
        <v>28422</v>
      </c>
      <c r="AP83" s="56"/>
      <c r="AQ83" s="56">
        <f t="shared" si="37"/>
        <v>205904</v>
      </c>
      <c r="AS83" s="56">
        <v>1139.1022492593684</v>
      </c>
      <c r="AT83" s="56">
        <v>128.27914596280854</v>
      </c>
      <c r="AU83" s="56">
        <v>202.95868885298066</v>
      </c>
      <c r="AV83" s="56"/>
      <c r="AW83" s="56">
        <v>1470.3400840751576</v>
      </c>
      <c r="AY83" s="16">
        <v>-2.9406473188149818E-2</v>
      </c>
      <c r="AZ83" s="16">
        <v>2.7058148213341848E-2</v>
      </c>
      <c r="BA83" s="16">
        <v>-3.031400857777955E-2</v>
      </c>
      <c r="BB83" s="16">
        <f t="shared" si="38"/>
        <v>-2.4855219962637731E-2</v>
      </c>
      <c r="BC83" s="16"/>
      <c r="BE83" s="16">
        <f>AM83/'2016-17 disagg'!AM83-1</f>
        <v>2.4870379769606821E-2</v>
      </c>
      <c r="BF83" s="16">
        <f>AN83/'2016-17 disagg'!AN83-1</f>
        <v>1.8425080786892645E-2</v>
      </c>
      <c r="BG83" s="16">
        <f>AO83/'2016-17 disagg'!AO83-1</f>
        <v>4.7275139098714059E-2</v>
      </c>
      <c r="BH83" s="16">
        <f>AQ83/'2016-17 disagg'!AQ83-1</f>
        <v>2.7336909068230053E-2</v>
      </c>
      <c r="BJ83" s="16">
        <f>AS83/'2016-17 disagg'!AS83-1</f>
        <v>1.8049033926969216E-2</v>
      </c>
      <c r="BK83" s="16">
        <f>AT83/'2016-17 disagg'!AT83-1</f>
        <v>1.1646633650558069E-2</v>
      </c>
      <c r="BL83" s="16">
        <f>AU83/'2016-17 disagg'!AU83-1</f>
        <v>4.0304671362301869E-2</v>
      </c>
      <c r="BM83" s="16">
        <f>AW83/'2016-17 disagg'!AW83-1</f>
        <v>2.0499146467230611E-2</v>
      </c>
    </row>
    <row r="84" spans="1:65" x14ac:dyDescent="0.2">
      <c r="A84" s="156" t="s">
        <v>213</v>
      </c>
      <c r="B84" s="156" t="s">
        <v>214</v>
      </c>
      <c r="D84" s="56">
        <f>VLOOKUP(A84,'2017-18'!$A$12:$AMX292,32,FALSE)</f>
        <v>300546</v>
      </c>
      <c r="E84" s="56">
        <v>1612.4564441341131</v>
      </c>
      <c r="F84" s="16">
        <f>VLOOKUP(A84,'2017-18'!$A$12:$AMX292,34,FALSE)</f>
        <v>2.3602256007847044E-2</v>
      </c>
      <c r="G84" s="16">
        <f>VLOOKUP(A84,'2017-18'!$A$12:$AMX292,35,FALSE)</f>
        <v>1.8140319230377955E-2</v>
      </c>
      <c r="H84" s="56"/>
      <c r="I84" s="56">
        <v>299978.82667744847</v>
      </c>
      <c r="J84" s="56">
        <v>1609.4135080148862</v>
      </c>
      <c r="K84" s="16">
        <f t="shared" si="23"/>
        <v>1.8907111839643331E-3</v>
      </c>
      <c r="L84" s="58">
        <f t="shared" si="23"/>
        <v>1.8907111839643331E-3</v>
      </c>
      <c r="M84" s="10"/>
      <c r="N84" s="56">
        <v>229716</v>
      </c>
      <c r="O84" s="56">
        <v>25298</v>
      </c>
      <c r="P84" s="56">
        <v>45532</v>
      </c>
      <c r="R84" s="56">
        <f t="shared" si="24"/>
        <v>45532</v>
      </c>
      <c r="S84" s="56">
        <f t="shared" si="25"/>
        <v>0</v>
      </c>
      <c r="U84" s="16">
        <v>1.7908900779217696E-3</v>
      </c>
      <c r="V84" s="16">
        <v>4.2890125186076267E-2</v>
      </c>
      <c r="W84" s="56">
        <f t="shared" si="26"/>
        <v>2</v>
      </c>
      <c r="X84" s="56">
        <f t="shared" si="27"/>
        <v>2293.0533934295622</v>
      </c>
      <c r="Y84" s="56">
        <f t="shared" si="27"/>
        <v>242.57588972267081</v>
      </c>
      <c r="AA84" s="56">
        <f t="shared" si="39"/>
        <v>0</v>
      </c>
      <c r="AB84" s="56">
        <v>0</v>
      </c>
      <c r="AC84" s="56">
        <f t="shared" si="28"/>
        <v>0</v>
      </c>
      <c r="AE84" s="56">
        <v>0</v>
      </c>
      <c r="AF84" s="56">
        <f t="shared" si="29"/>
        <v>0</v>
      </c>
      <c r="AG84" s="56">
        <f t="shared" si="30"/>
        <v>0</v>
      </c>
      <c r="AI84" s="56">
        <f t="shared" si="31"/>
        <v>0</v>
      </c>
      <c r="AJ84" s="56">
        <f t="shared" si="32"/>
        <v>0</v>
      </c>
      <c r="AK84" s="56">
        <f t="shared" si="33"/>
        <v>0</v>
      </c>
      <c r="AM84" s="56">
        <f t="shared" si="34"/>
        <v>229716</v>
      </c>
      <c r="AN84" s="56">
        <f t="shared" si="35"/>
        <v>25298</v>
      </c>
      <c r="AO84" s="56">
        <f t="shared" si="36"/>
        <v>45532</v>
      </c>
      <c r="AP84" s="56"/>
      <c r="AQ84" s="56">
        <f t="shared" si="37"/>
        <v>300546</v>
      </c>
      <c r="AS84" s="56">
        <v>1232.4470946900374</v>
      </c>
      <c r="AT84" s="56">
        <v>135.72605565771894</v>
      </c>
      <c r="AU84" s="56">
        <v>244.28329378635698</v>
      </c>
      <c r="AV84" s="56"/>
      <c r="AW84" s="56">
        <v>1612.4564441341131</v>
      </c>
      <c r="AY84" s="16">
        <v>1.7908900779217696E-3</v>
      </c>
      <c r="AZ84" s="16">
        <v>4.2890125186076267E-2</v>
      </c>
      <c r="BA84" s="16">
        <v>-1.9043008827004382E-2</v>
      </c>
      <c r="BB84" s="16">
        <f t="shared" si="38"/>
        <v>1.8907111839643331E-3</v>
      </c>
      <c r="BC84" s="16"/>
      <c r="BE84" s="16">
        <f>AM84/'2016-17 disagg'!AM84-1</f>
        <v>2.0030638751359797E-2</v>
      </c>
      <c r="BF84" s="16">
        <f>AN84/'2016-17 disagg'!AN84-1</f>
        <v>1.6964142145039496E-2</v>
      </c>
      <c r="BG84" s="16">
        <f>AO84/'2016-17 disagg'!AO84-1</f>
        <v>4.5871138164695013E-2</v>
      </c>
      <c r="BH84" s="16">
        <f>AQ84/'2016-17 disagg'!AQ84-1</f>
        <v>2.3602256007847044E-2</v>
      </c>
      <c r="BJ84" s="16">
        <f>AS84/'2016-17 disagg'!AS84-1</f>
        <v>1.458776010661178E-2</v>
      </c>
      <c r="BK84" s="16">
        <f>AT84/'2016-17 disagg'!AT84-1</f>
        <v>1.1537626311621141E-2</v>
      </c>
      <c r="BL84" s="16">
        <f>AU84/'2016-17 disagg'!AU84-1</f>
        <v>4.0290374737781187E-2</v>
      </c>
      <c r="BM84" s="16">
        <f>AW84/'2016-17 disagg'!AW84-1</f>
        <v>1.8140319230377955E-2</v>
      </c>
    </row>
    <row r="85" spans="1:65" x14ac:dyDescent="0.2">
      <c r="A85" s="156" t="s">
        <v>215</v>
      </c>
      <c r="B85" s="156" t="s">
        <v>216</v>
      </c>
      <c r="D85" s="56">
        <f>VLOOKUP(A85,'2017-18'!$A$12:$AMX293,32,FALSE)</f>
        <v>368791</v>
      </c>
      <c r="E85" s="56">
        <v>1697.7038305942713</v>
      </c>
      <c r="F85" s="16">
        <f>VLOOKUP(A85,'2017-18'!$A$12:$AMX293,34,FALSE)</f>
        <v>2.3529542370106071E-2</v>
      </c>
      <c r="G85" s="16">
        <f>VLOOKUP(A85,'2017-18'!$A$12:$AMX293,35,FALSE)</f>
        <v>2.1496128249767432E-2</v>
      </c>
      <c r="H85" s="56"/>
      <c r="I85" s="56">
        <v>361686.3315746297</v>
      </c>
      <c r="J85" s="56">
        <v>1664.9979814795877</v>
      </c>
      <c r="K85" s="16">
        <f t="shared" si="23"/>
        <v>1.9643176435337084E-2</v>
      </c>
      <c r="L85" s="58">
        <f t="shared" si="23"/>
        <v>1.9643176435337084E-2</v>
      </c>
      <c r="M85" s="10"/>
      <c r="N85" s="56">
        <v>280906</v>
      </c>
      <c r="O85" s="56">
        <v>27015</v>
      </c>
      <c r="P85" s="56">
        <v>60870</v>
      </c>
      <c r="R85" s="56">
        <f t="shared" si="24"/>
        <v>60870</v>
      </c>
      <c r="S85" s="56">
        <f t="shared" si="25"/>
        <v>0</v>
      </c>
      <c r="U85" s="16">
        <v>1.1735380324177314E-2</v>
      </c>
      <c r="V85" s="16">
        <v>-7.1721005669401761E-3</v>
      </c>
      <c r="W85" s="56">
        <f t="shared" si="26"/>
        <v>3</v>
      </c>
      <c r="X85" s="56">
        <f t="shared" si="27"/>
        <v>2776.4769866009128</v>
      </c>
      <c r="Y85" s="56">
        <f t="shared" si="27"/>
        <v>272.10153960647693</v>
      </c>
      <c r="AA85" s="56">
        <f t="shared" si="39"/>
        <v>0</v>
      </c>
      <c r="AB85" s="56">
        <v>0</v>
      </c>
      <c r="AC85" s="56">
        <f t="shared" si="28"/>
        <v>0</v>
      </c>
      <c r="AE85" s="56">
        <v>0</v>
      </c>
      <c r="AF85" s="56">
        <f t="shared" si="29"/>
        <v>0</v>
      </c>
      <c r="AG85" s="56">
        <f t="shared" si="30"/>
        <v>0</v>
      </c>
      <c r="AI85" s="56">
        <f t="shared" si="31"/>
        <v>0</v>
      </c>
      <c r="AJ85" s="56">
        <f t="shared" si="32"/>
        <v>0</v>
      </c>
      <c r="AK85" s="56">
        <f t="shared" si="33"/>
        <v>0</v>
      </c>
      <c r="AM85" s="56">
        <f t="shared" si="34"/>
        <v>280906</v>
      </c>
      <c r="AN85" s="56">
        <f t="shared" si="35"/>
        <v>27015</v>
      </c>
      <c r="AO85" s="56">
        <f t="shared" si="36"/>
        <v>60870</v>
      </c>
      <c r="AP85" s="56"/>
      <c r="AQ85" s="56">
        <f t="shared" si="37"/>
        <v>368791</v>
      </c>
      <c r="AS85" s="56">
        <v>1293.131318922952</v>
      </c>
      <c r="AT85" s="56">
        <v>124.36168177505482</v>
      </c>
      <c r="AU85" s="56">
        <v>280.21082989626456</v>
      </c>
      <c r="AV85" s="56"/>
      <c r="AW85" s="56">
        <v>1697.7038305942713</v>
      </c>
      <c r="AY85" s="16">
        <v>1.1735380324177314E-2</v>
      </c>
      <c r="AZ85" s="16">
        <v>-7.1721005669401761E-3</v>
      </c>
      <c r="BA85" s="16">
        <v>7.1117881747081002E-2</v>
      </c>
      <c r="BB85" s="16">
        <f t="shared" si="38"/>
        <v>1.9643176435337084E-2</v>
      </c>
      <c r="BC85" s="16"/>
      <c r="BE85" s="16">
        <f>AM85/'2016-17 disagg'!AM85-1</f>
        <v>2.0029775954101492E-2</v>
      </c>
      <c r="BF85" s="16">
        <f>AN85/'2016-17 disagg'!AN85-1</f>
        <v>1.8396350887774693E-2</v>
      </c>
      <c r="BG85" s="16">
        <f>AO85/'2016-17 disagg'!AO85-1</f>
        <v>4.2365915473662641E-2</v>
      </c>
      <c r="BH85" s="16">
        <f>AQ85/'2016-17 disagg'!AQ85-1</f>
        <v>2.3529542370106071E-2</v>
      </c>
      <c r="BJ85" s="16">
        <f>AS85/'2016-17 disagg'!AS85-1</f>
        <v>1.8003314710210105E-2</v>
      </c>
      <c r="BK85" s="16">
        <f>AT85/'2016-17 disagg'!AT85-1</f>
        <v>1.6373134718360438E-2</v>
      </c>
      <c r="BL85" s="16">
        <f>AU85/'2016-17 disagg'!AU85-1</f>
        <v>4.0295079720181981E-2</v>
      </c>
      <c r="BM85" s="16">
        <f>AW85/'2016-17 disagg'!AW85-1</f>
        <v>2.1496128249767432E-2</v>
      </c>
    </row>
    <row r="86" spans="1:65" x14ac:dyDescent="0.2">
      <c r="A86" s="156" t="s">
        <v>217</v>
      </c>
      <c r="B86" s="156" t="s">
        <v>218</v>
      </c>
      <c r="D86" s="56">
        <f>VLOOKUP(A86,'2017-18'!$A$12:$AMX294,32,FALSE)</f>
        <v>264835</v>
      </c>
      <c r="E86" s="56">
        <v>1506.7922872794579</v>
      </c>
      <c r="F86" s="16">
        <f>VLOOKUP(A86,'2017-18'!$A$12:$AMX294,34,FALSE)</f>
        <v>2.363559059987641E-2</v>
      </c>
      <c r="G86" s="16">
        <f>VLOOKUP(A86,'2017-18'!$A$12:$AMX294,35,FALSE)</f>
        <v>1.9354960934876209E-2</v>
      </c>
      <c r="H86" s="56"/>
      <c r="I86" s="56">
        <v>267934.50008125894</v>
      </c>
      <c r="J86" s="56">
        <v>1524.4270516303293</v>
      </c>
      <c r="K86" s="16">
        <f t="shared" si="23"/>
        <v>-1.1568126091708764E-2</v>
      </c>
      <c r="L86" s="58">
        <f t="shared" si="23"/>
        <v>-1.1568126091708653E-2</v>
      </c>
      <c r="M86" s="10"/>
      <c r="N86" s="56">
        <v>201481</v>
      </c>
      <c r="O86" s="56">
        <v>22270</v>
      </c>
      <c r="P86" s="56">
        <v>41084</v>
      </c>
      <c r="R86" s="56">
        <f t="shared" si="24"/>
        <v>41084</v>
      </c>
      <c r="S86" s="56">
        <f t="shared" si="25"/>
        <v>0</v>
      </c>
      <c r="U86" s="16">
        <v>-1.4748518641955921E-2</v>
      </c>
      <c r="V86" s="16">
        <v>2.642055571334434E-2</v>
      </c>
      <c r="W86" s="56">
        <f t="shared" si="26"/>
        <v>1</v>
      </c>
      <c r="X86" s="56">
        <f t="shared" si="27"/>
        <v>2044.9702823312077</v>
      </c>
      <c r="Y86" s="56">
        <f t="shared" si="27"/>
        <v>216.96759555368354</v>
      </c>
      <c r="AA86" s="56">
        <f t="shared" si="39"/>
        <v>0</v>
      </c>
      <c r="AB86" s="56">
        <v>0</v>
      </c>
      <c r="AC86" s="56">
        <f t="shared" si="28"/>
        <v>0</v>
      </c>
      <c r="AE86" s="56">
        <v>0</v>
      </c>
      <c r="AF86" s="56">
        <f t="shared" si="29"/>
        <v>0</v>
      </c>
      <c r="AG86" s="56">
        <f t="shared" si="30"/>
        <v>0</v>
      </c>
      <c r="AI86" s="56">
        <f t="shared" si="31"/>
        <v>0</v>
      </c>
      <c r="AJ86" s="56">
        <f t="shared" si="32"/>
        <v>0</v>
      </c>
      <c r="AK86" s="56">
        <f t="shared" si="33"/>
        <v>0</v>
      </c>
      <c r="AM86" s="56">
        <f t="shared" si="34"/>
        <v>201481</v>
      </c>
      <c r="AN86" s="56">
        <f t="shared" si="35"/>
        <v>22270</v>
      </c>
      <c r="AO86" s="56">
        <f t="shared" si="36"/>
        <v>41084</v>
      </c>
      <c r="AP86" s="56"/>
      <c r="AQ86" s="56">
        <f t="shared" si="37"/>
        <v>264835</v>
      </c>
      <c r="AS86" s="56">
        <v>1146.3364616963486</v>
      </c>
      <c r="AT86" s="56">
        <v>126.70630482267649</v>
      </c>
      <c r="AU86" s="56">
        <v>233.74952076043292</v>
      </c>
      <c r="AV86" s="56"/>
      <c r="AW86" s="56">
        <v>1506.7922872794579</v>
      </c>
      <c r="AY86" s="16">
        <v>-1.4748518641955921E-2</v>
      </c>
      <c r="AZ86" s="16">
        <v>2.642055571334434E-2</v>
      </c>
      <c r="BA86" s="16">
        <v>-1.5733135749184335E-2</v>
      </c>
      <c r="BB86" s="16">
        <f t="shared" si="38"/>
        <v>-1.1568126091708764E-2</v>
      </c>
      <c r="BC86" s="16"/>
      <c r="BE86" s="16">
        <f>AM86/'2016-17 disagg'!AM86-1</f>
        <v>2.0027844576635978E-2</v>
      </c>
      <c r="BF86" s="16">
        <f>AN86/'2016-17 disagg'!AN86-1</f>
        <v>1.8383025425279031E-2</v>
      </c>
      <c r="BG86" s="16">
        <f>AO86/'2016-17 disagg'!AO86-1</f>
        <v>4.4676685228977497E-2</v>
      </c>
      <c r="BH86" s="16">
        <f>AQ86/'2016-17 disagg'!AQ86-1</f>
        <v>2.363559059987641E-2</v>
      </c>
      <c r="BJ86" s="16">
        <f>AS86/'2016-17 disagg'!AS86-1</f>
        <v>1.5762301749952856E-2</v>
      </c>
      <c r="BK86" s="16">
        <f>AT86/'2016-17 disagg'!AT86-1</f>
        <v>1.4124360887820542E-2</v>
      </c>
      <c r="BL86" s="16">
        <f>AU86/'2016-17 disagg'!AU86-1</f>
        <v>4.0308066112769936E-2</v>
      </c>
      <c r="BM86" s="16">
        <f>AW86/'2016-17 disagg'!AW86-1</f>
        <v>1.9354960934876209E-2</v>
      </c>
    </row>
    <row r="87" spans="1:65" x14ac:dyDescent="0.2">
      <c r="A87" s="156" t="s">
        <v>219</v>
      </c>
      <c r="B87" s="156" t="s">
        <v>220</v>
      </c>
      <c r="D87" s="56">
        <f>VLOOKUP(A87,'2017-18'!$A$12:$AMX295,32,FALSE)</f>
        <v>932030.85944440856</v>
      </c>
      <c r="E87" s="56">
        <v>1628.439369501041</v>
      </c>
      <c r="F87" s="16">
        <f>VLOOKUP(A87,'2017-18'!$A$12:$AMX295,34,FALSE)</f>
        <v>2.7782125612881403E-2</v>
      </c>
      <c r="G87" s="16">
        <f>VLOOKUP(A87,'2017-18'!$A$12:$AMX295,35,FALSE)</f>
        <v>1.9233720571584456E-2</v>
      </c>
      <c r="H87" s="56"/>
      <c r="I87" s="56">
        <v>951786.09953599412</v>
      </c>
      <c r="J87" s="56">
        <v>1662.9556201091596</v>
      </c>
      <c r="K87" s="16">
        <f t="shared" si="23"/>
        <v>-2.0755966178972796E-2</v>
      </c>
      <c r="L87" s="58">
        <f t="shared" si="23"/>
        <v>-2.0755966178972796E-2</v>
      </c>
      <c r="M87" s="10"/>
      <c r="N87" s="56">
        <v>678927</v>
      </c>
      <c r="O87" s="56">
        <v>78763</v>
      </c>
      <c r="P87" s="56">
        <v>172033</v>
      </c>
      <c r="R87" s="56">
        <f t="shared" si="24"/>
        <v>172033</v>
      </c>
      <c r="S87" s="56">
        <f t="shared" si="25"/>
        <v>2307.8594444085611</v>
      </c>
      <c r="U87" s="16">
        <v>-3.7666906958714885E-2</v>
      </c>
      <c r="V87" s="16">
        <v>-1.5003992111073838E-2</v>
      </c>
      <c r="W87" s="56">
        <f t="shared" si="26"/>
        <v>4</v>
      </c>
      <c r="X87" s="56">
        <f t="shared" si="27"/>
        <v>7055.0104211252901</v>
      </c>
      <c r="Y87" s="56">
        <f t="shared" si="27"/>
        <v>799.62760629667218</v>
      </c>
      <c r="AA87" s="56">
        <f t="shared" si="39"/>
        <v>0</v>
      </c>
      <c r="AB87" s="56">
        <v>0</v>
      </c>
      <c r="AC87" s="56">
        <f t="shared" si="28"/>
        <v>2307.8594444085611</v>
      </c>
      <c r="AE87" s="56">
        <v>0</v>
      </c>
      <c r="AF87" s="56">
        <f t="shared" si="29"/>
        <v>0</v>
      </c>
      <c r="AG87" s="56">
        <f t="shared" si="30"/>
        <v>2307.8594444085611</v>
      </c>
      <c r="AI87" s="56">
        <f t="shared" si="31"/>
        <v>2072.9118737173512</v>
      </c>
      <c r="AJ87" s="56">
        <f t="shared" si="32"/>
        <v>234.94757069120971</v>
      </c>
      <c r="AK87" s="56">
        <f t="shared" si="33"/>
        <v>0</v>
      </c>
      <c r="AM87" s="56">
        <f t="shared" si="34"/>
        <v>681000</v>
      </c>
      <c r="AN87" s="56">
        <f t="shared" si="35"/>
        <v>78998</v>
      </c>
      <c r="AO87" s="56">
        <f t="shared" si="36"/>
        <v>172033</v>
      </c>
      <c r="AP87" s="56"/>
      <c r="AQ87" s="56">
        <f t="shared" si="37"/>
        <v>932031</v>
      </c>
      <c r="AS87" s="56">
        <v>1189.8395845940913</v>
      </c>
      <c r="AT87" s="56">
        <v>138.02488620229664</v>
      </c>
      <c r="AU87" s="56">
        <v>300.57514428263624</v>
      </c>
      <c r="AV87" s="56"/>
      <c r="AW87" s="56">
        <v>1628.4396150790242</v>
      </c>
      <c r="AY87" s="16">
        <v>-3.4728569697308975E-2</v>
      </c>
      <c r="AZ87" s="16">
        <v>-1.2065124091142021E-2</v>
      </c>
      <c r="BA87" s="16">
        <v>3.4335163211954178E-2</v>
      </c>
      <c r="BB87" s="16">
        <f t="shared" si="38"/>
        <v>-2.0755818503364276E-2</v>
      </c>
      <c r="BC87" s="16"/>
      <c r="BE87" s="16">
        <f>AM87/'2016-17 disagg'!AM87-1</f>
        <v>2.3144705113469888E-2</v>
      </c>
      <c r="BF87" s="16">
        <f>AN87/'2016-17 disagg'!AN87-1</f>
        <v>2.2641069787311174E-2</v>
      </c>
      <c r="BG87" s="16">
        <f>AO87/'2016-17 disagg'!AO87-1</f>
        <v>4.9026482837682073E-2</v>
      </c>
      <c r="BH87" s="16">
        <f>AQ87/'2016-17 disagg'!AQ87-1</f>
        <v>2.7782280608312115E-2</v>
      </c>
      <c r="BJ87" s="16">
        <f>AS87/'2016-17 disagg'!AS87-1</f>
        <v>1.4634871037543684E-2</v>
      </c>
      <c r="BK87" s="16">
        <f>AT87/'2016-17 disagg'!AT87-1</f>
        <v>1.4135424613540115E-2</v>
      </c>
      <c r="BL87" s="16">
        <f>AU87/'2016-17 disagg'!AU87-1</f>
        <v>4.0301381426722793E-2</v>
      </c>
      <c r="BM87" s="16">
        <f>AW87/'2016-17 disagg'!AW87-1</f>
        <v>1.9233874277866825E-2</v>
      </c>
    </row>
    <row r="88" spans="1:65" x14ac:dyDescent="0.2">
      <c r="A88" s="156" t="s">
        <v>221</v>
      </c>
      <c r="B88" s="156" t="s">
        <v>222</v>
      </c>
      <c r="D88" s="56">
        <f>VLOOKUP(A88,'2017-18'!$A$12:$AMX296,32,FALSE)</f>
        <v>505958</v>
      </c>
      <c r="E88" s="56">
        <v>1651.5566042585526</v>
      </c>
      <c r="F88" s="16">
        <f>VLOOKUP(A88,'2017-18'!$A$12:$AMX296,34,FALSE)</f>
        <v>2.291230730351268E-2</v>
      </c>
      <c r="G88" s="16">
        <f>VLOOKUP(A88,'2017-18'!$A$12:$AMX296,35,FALSE)</f>
        <v>1.8674362506033715E-2</v>
      </c>
      <c r="H88" s="56"/>
      <c r="I88" s="56">
        <v>513433.60876486305</v>
      </c>
      <c r="J88" s="56">
        <v>1675.9586119873813</v>
      </c>
      <c r="K88" s="16">
        <f t="shared" si="23"/>
        <v>-1.456003003552242E-2</v>
      </c>
      <c r="L88" s="58">
        <f t="shared" si="23"/>
        <v>-1.456003003552242E-2</v>
      </c>
      <c r="M88" s="10"/>
      <c r="N88" s="56">
        <v>384400</v>
      </c>
      <c r="O88" s="56">
        <v>42919</v>
      </c>
      <c r="P88" s="56">
        <v>78639</v>
      </c>
      <c r="R88" s="56">
        <f t="shared" si="24"/>
        <v>78639</v>
      </c>
      <c r="S88" s="56">
        <f t="shared" si="25"/>
        <v>0</v>
      </c>
      <c r="U88" s="16">
        <v>-2.1015881285905147E-2</v>
      </c>
      <c r="V88" s="16">
        <v>0.10436133328107178</v>
      </c>
      <c r="W88" s="56">
        <f t="shared" si="26"/>
        <v>1</v>
      </c>
      <c r="X88" s="56">
        <f t="shared" si="27"/>
        <v>3926.5192626915455</v>
      </c>
      <c r="Y88" s="56">
        <f t="shared" si="27"/>
        <v>388.63186084655007</v>
      </c>
      <c r="AA88" s="56">
        <f t="shared" si="39"/>
        <v>0</v>
      </c>
      <c r="AB88" s="56">
        <v>0</v>
      </c>
      <c r="AC88" s="56">
        <f t="shared" si="28"/>
        <v>0</v>
      </c>
      <c r="AE88" s="56">
        <v>0</v>
      </c>
      <c r="AF88" s="56">
        <f t="shared" si="29"/>
        <v>0</v>
      </c>
      <c r="AG88" s="56">
        <f t="shared" si="30"/>
        <v>0</v>
      </c>
      <c r="AI88" s="56">
        <f t="shared" si="31"/>
        <v>0</v>
      </c>
      <c r="AJ88" s="56">
        <f t="shared" si="32"/>
        <v>0</v>
      </c>
      <c r="AK88" s="56">
        <f t="shared" si="33"/>
        <v>0</v>
      </c>
      <c r="AM88" s="56">
        <f t="shared" si="34"/>
        <v>384400</v>
      </c>
      <c r="AN88" s="56">
        <f t="shared" si="35"/>
        <v>42919</v>
      </c>
      <c r="AO88" s="56">
        <f t="shared" si="36"/>
        <v>78639</v>
      </c>
      <c r="AP88" s="56"/>
      <c r="AQ88" s="56">
        <f t="shared" si="37"/>
        <v>505958</v>
      </c>
      <c r="AS88" s="56">
        <v>1254.7649383486132</v>
      </c>
      <c r="AT88" s="56">
        <v>140.09692088705549</v>
      </c>
      <c r="AU88" s="56">
        <v>256.69474502288392</v>
      </c>
      <c r="AV88" s="56"/>
      <c r="AW88" s="56">
        <v>1651.5566042585526</v>
      </c>
      <c r="AY88" s="16">
        <v>-2.1015881285905147E-2</v>
      </c>
      <c r="AZ88" s="16">
        <v>0.10436133328107178</v>
      </c>
      <c r="BA88" s="16">
        <v>-4.003364996590697E-2</v>
      </c>
      <c r="BB88" s="16">
        <f t="shared" si="38"/>
        <v>-1.456003003552242E-2</v>
      </c>
      <c r="BC88" s="16"/>
      <c r="BE88" s="16">
        <f>AM88/'2016-17 disagg'!AM88-1</f>
        <v>2.0029083035249862E-2</v>
      </c>
      <c r="BF88" s="16">
        <f>AN88/'2016-17 disagg'!AN88-1</f>
        <v>1.0001411964041917E-2</v>
      </c>
      <c r="BG88" s="16">
        <f>AO88/'2016-17 disagg'!AO88-1</f>
        <v>4.4633961662615018E-2</v>
      </c>
      <c r="BH88" s="16">
        <f>AQ88/'2016-17 disagg'!AQ88-1</f>
        <v>2.291230730351268E-2</v>
      </c>
      <c r="BJ88" s="16">
        <f>AS88/'2016-17 disagg'!AS88-1</f>
        <v>1.5803083489773773E-2</v>
      </c>
      <c r="BK88" s="16">
        <f>AT88/'2016-17 disagg'!AT88-1</f>
        <v>5.8169572471338249E-3</v>
      </c>
      <c r="BL88" s="16">
        <f>AU88/'2016-17 disagg'!AU88-1</f>
        <v>4.0306023645358735E-2</v>
      </c>
      <c r="BM88" s="16">
        <f>AW88/'2016-17 disagg'!AW88-1</f>
        <v>1.8674362506033715E-2</v>
      </c>
    </row>
    <row r="89" spans="1:65" x14ac:dyDescent="0.2">
      <c r="A89" s="156" t="s">
        <v>223</v>
      </c>
      <c r="B89" s="156" t="s">
        <v>224</v>
      </c>
      <c r="D89" s="56">
        <f>VLOOKUP(A89,'2017-18'!$A$12:$AMX297,32,FALSE)</f>
        <v>390963</v>
      </c>
      <c r="E89" s="56">
        <v>1590.9987697473891</v>
      </c>
      <c r="F89" s="16">
        <f>VLOOKUP(A89,'2017-18'!$A$12:$AMX297,34,FALSE)</f>
        <v>2.6181926989826465E-2</v>
      </c>
      <c r="G89" s="16">
        <f>VLOOKUP(A89,'2017-18'!$A$12:$AMX297,35,FALSE)</f>
        <v>2.0628989750301141E-2</v>
      </c>
      <c r="H89" s="56"/>
      <c r="I89" s="56">
        <v>400799.43578201393</v>
      </c>
      <c r="J89" s="56">
        <v>1631.0275121805182</v>
      </c>
      <c r="K89" s="16">
        <f t="shared" si="23"/>
        <v>-2.4542039992700326E-2</v>
      </c>
      <c r="L89" s="58">
        <f t="shared" si="23"/>
        <v>-2.4542039992700548E-2</v>
      </c>
      <c r="M89" s="10"/>
      <c r="N89" s="56">
        <v>297405</v>
      </c>
      <c r="O89" s="56">
        <v>30570</v>
      </c>
      <c r="P89" s="56">
        <v>62988</v>
      </c>
      <c r="R89" s="56">
        <f t="shared" si="24"/>
        <v>62988</v>
      </c>
      <c r="S89" s="56">
        <f t="shared" si="25"/>
        <v>0</v>
      </c>
      <c r="U89" s="16">
        <v>-3.4214108931144516E-2</v>
      </c>
      <c r="V89" s="16">
        <v>-4.8884014573037149E-2</v>
      </c>
      <c r="W89" s="56">
        <f t="shared" si="26"/>
        <v>4</v>
      </c>
      <c r="X89" s="56">
        <f t="shared" si="27"/>
        <v>3079.4092432936213</v>
      </c>
      <c r="Y89" s="56">
        <f t="shared" si="27"/>
        <v>321.41190420931582</v>
      </c>
      <c r="AA89" s="56">
        <f t="shared" si="39"/>
        <v>0</v>
      </c>
      <c r="AB89" s="56">
        <v>0</v>
      </c>
      <c r="AC89" s="56">
        <f t="shared" si="28"/>
        <v>0</v>
      </c>
      <c r="AE89" s="56">
        <v>0</v>
      </c>
      <c r="AF89" s="56">
        <f t="shared" si="29"/>
        <v>0</v>
      </c>
      <c r="AG89" s="56">
        <f t="shared" si="30"/>
        <v>0</v>
      </c>
      <c r="AI89" s="56">
        <f t="shared" si="31"/>
        <v>0</v>
      </c>
      <c r="AJ89" s="56">
        <f t="shared" si="32"/>
        <v>0</v>
      </c>
      <c r="AK89" s="56">
        <f t="shared" si="33"/>
        <v>0</v>
      </c>
      <c r="AM89" s="56">
        <f t="shared" si="34"/>
        <v>297405</v>
      </c>
      <c r="AN89" s="56">
        <f t="shared" si="35"/>
        <v>30570</v>
      </c>
      <c r="AO89" s="56">
        <f t="shared" si="36"/>
        <v>62988</v>
      </c>
      <c r="AP89" s="56"/>
      <c r="AQ89" s="56">
        <f t="shared" si="37"/>
        <v>390963</v>
      </c>
      <c r="AS89" s="56">
        <v>1210.2705092725457</v>
      </c>
      <c r="AT89" s="56">
        <v>124.40264779832795</v>
      </c>
      <c r="AU89" s="56">
        <v>256.32561267651556</v>
      </c>
      <c r="AV89" s="56"/>
      <c r="AW89" s="56">
        <v>1590.9987697473891</v>
      </c>
      <c r="AY89" s="16">
        <v>-3.4214108931144516E-2</v>
      </c>
      <c r="AZ89" s="16">
        <v>-4.8884014573037149E-2</v>
      </c>
      <c r="BA89" s="16">
        <v>3.7397548668088865E-2</v>
      </c>
      <c r="BB89" s="16">
        <f t="shared" si="38"/>
        <v>-2.4542039992700326E-2</v>
      </c>
      <c r="BC89" s="16"/>
      <c r="BE89" s="16">
        <f>AM89/'2016-17 disagg'!AM89-1</f>
        <v>2.0029838972441816E-2</v>
      </c>
      <c r="BF89" s="16">
        <f>AN89/'2016-17 disagg'!AN89-1</f>
        <v>4.6810259219943084E-2</v>
      </c>
      <c r="BG89" s="16">
        <f>AO89/'2016-17 disagg'!AO89-1</f>
        <v>4.596479574892065E-2</v>
      </c>
      <c r="BH89" s="16">
        <f>AQ89/'2016-17 disagg'!AQ89-1</f>
        <v>2.6181926989826465E-2</v>
      </c>
      <c r="BJ89" s="16">
        <f>AS89/'2016-17 disagg'!AS89-1</f>
        <v>1.4510192280873024E-2</v>
      </c>
      <c r="BK89" s="16">
        <f>AT89/'2016-17 disagg'!AT89-1</f>
        <v>4.1145696710846114E-2</v>
      </c>
      <c r="BL89" s="16">
        <f>AU89/'2016-17 disagg'!AU89-1</f>
        <v>4.0304808262506597E-2</v>
      </c>
      <c r="BM89" s="16">
        <f>AW89/'2016-17 disagg'!AW89-1</f>
        <v>2.0628989750301141E-2</v>
      </c>
    </row>
    <row r="90" spans="1:65" x14ac:dyDescent="0.2">
      <c r="A90" s="156" t="s">
        <v>225</v>
      </c>
      <c r="B90" s="156" t="s">
        <v>226</v>
      </c>
      <c r="D90" s="56">
        <f>VLOOKUP(A90,'2017-18'!$A$12:$AMX298,32,FALSE)</f>
        <v>331930.66754834761</v>
      </c>
      <c r="E90" s="56">
        <v>1519.6292000509472</v>
      </c>
      <c r="F90" s="16">
        <f>VLOOKUP(A90,'2017-18'!$A$12:$AMX298,34,FALSE)</f>
        <v>2.58293106913976E-2</v>
      </c>
      <c r="G90" s="16">
        <f>VLOOKUP(A90,'2017-18'!$A$12:$AMX298,35,FALSE)</f>
        <v>2.1597544575546301E-2</v>
      </c>
      <c r="H90" s="56"/>
      <c r="I90" s="56">
        <v>342071.6967269805</v>
      </c>
      <c r="J90" s="56">
        <v>1566.0563776668107</v>
      </c>
      <c r="K90" s="16">
        <f t="shared" si="23"/>
        <v>-2.9645917144459966E-2</v>
      </c>
      <c r="L90" s="58">
        <f t="shared" si="23"/>
        <v>-2.9645917144459966E-2</v>
      </c>
      <c r="M90" s="10"/>
      <c r="N90" s="56">
        <v>251986</v>
      </c>
      <c r="O90" s="56">
        <v>26148</v>
      </c>
      <c r="P90" s="56">
        <v>53128</v>
      </c>
      <c r="R90" s="56">
        <f t="shared" si="24"/>
        <v>53128</v>
      </c>
      <c r="S90" s="56">
        <f t="shared" si="25"/>
        <v>668.66754834761377</v>
      </c>
      <c r="U90" s="16">
        <v>-3.5523706230065177E-2</v>
      </c>
      <c r="V90" s="16">
        <v>-1.63729057862948E-2</v>
      </c>
      <c r="W90" s="56">
        <f t="shared" si="26"/>
        <v>4</v>
      </c>
      <c r="X90" s="56">
        <f t="shared" si="27"/>
        <v>2612.6717849646648</v>
      </c>
      <c r="Y90" s="56">
        <f t="shared" si="27"/>
        <v>265.83244965311036</v>
      </c>
      <c r="AA90" s="56">
        <f t="shared" si="39"/>
        <v>0</v>
      </c>
      <c r="AB90" s="56">
        <v>0</v>
      </c>
      <c r="AC90" s="56">
        <f t="shared" si="28"/>
        <v>668.66754834761377</v>
      </c>
      <c r="AE90" s="56">
        <v>0</v>
      </c>
      <c r="AF90" s="56">
        <f t="shared" si="29"/>
        <v>0</v>
      </c>
      <c r="AG90" s="56">
        <f t="shared" si="30"/>
        <v>668.66754834761377</v>
      </c>
      <c r="AI90" s="56">
        <f t="shared" si="31"/>
        <v>606.91550009871173</v>
      </c>
      <c r="AJ90" s="56">
        <f t="shared" si="32"/>
        <v>61.752048248902064</v>
      </c>
      <c r="AK90" s="56">
        <f t="shared" si="33"/>
        <v>0</v>
      </c>
      <c r="AM90" s="56">
        <f t="shared" si="34"/>
        <v>252593</v>
      </c>
      <c r="AN90" s="56">
        <f t="shared" si="35"/>
        <v>26210</v>
      </c>
      <c r="AO90" s="56">
        <f t="shared" si="36"/>
        <v>53128</v>
      </c>
      <c r="AP90" s="56"/>
      <c r="AQ90" s="56">
        <f t="shared" si="37"/>
        <v>331931</v>
      </c>
      <c r="AS90" s="56">
        <v>1156.4092627041136</v>
      </c>
      <c r="AT90" s="56">
        <v>119.99337580801851</v>
      </c>
      <c r="AU90" s="56">
        <v>243.2280835531632</v>
      </c>
      <c r="AV90" s="56"/>
      <c r="AW90" s="56">
        <v>1519.6307220652955</v>
      </c>
      <c r="AY90" s="16">
        <v>-3.3200414022091951E-2</v>
      </c>
      <c r="AZ90" s="16">
        <v>-1.4040609632047896E-2</v>
      </c>
      <c r="BA90" s="16">
        <v>-2.0163179493326244E-2</v>
      </c>
      <c r="BB90" s="16">
        <f t="shared" si="38"/>
        <v>-2.9644945267348843E-2</v>
      </c>
      <c r="BC90" s="16"/>
      <c r="BE90" s="16">
        <f>AM90/'2016-17 disagg'!AM90-1</f>
        <v>2.2486419093418863E-2</v>
      </c>
      <c r="BF90" s="16">
        <f>AN90/'2016-17 disagg'!AN90-1</f>
        <v>2.079763202991125E-2</v>
      </c>
      <c r="BG90" s="16">
        <f>AO90/'2016-17 disagg'!AO90-1</f>
        <v>4.4613539393224322E-2</v>
      </c>
      <c r="BH90" s="16">
        <f>AQ90/'2016-17 disagg'!AQ90-1</f>
        <v>2.5830338130808261E-2</v>
      </c>
      <c r="BJ90" s="16">
        <f>AS90/'2016-17 disagg'!AS90-1</f>
        <v>1.8268443123009792E-2</v>
      </c>
      <c r="BK90" s="16">
        <f>AT90/'2016-17 disagg'!AT90-1</f>
        <v>1.6586622668661954E-2</v>
      </c>
      <c r="BL90" s="16">
        <f>AU90/'2016-17 disagg'!AU90-1</f>
        <v>4.0304284301668991E-2</v>
      </c>
      <c r="BM90" s="16">
        <f>AW90/'2016-17 disagg'!AW90-1</f>
        <v>2.1598567776548894E-2</v>
      </c>
    </row>
    <row r="91" spans="1:65" x14ac:dyDescent="0.2">
      <c r="A91" s="156" t="s">
        <v>227</v>
      </c>
      <c r="B91" s="156" t="s">
        <v>228</v>
      </c>
      <c r="D91" s="56">
        <f>VLOOKUP(A91,'2017-18'!$A$12:$AMX299,32,FALSE)</f>
        <v>430185</v>
      </c>
      <c r="E91" s="56">
        <v>1534.3715880152604</v>
      </c>
      <c r="F91" s="16">
        <f>VLOOKUP(A91,'2017-18'!$A$12:$AMX299,34,FALSE)</f>
        <v>2.3686972165309017E-2</v>
      </c>
      <c r="G91" s="16">
        <f>VLOOKUP(A91,'2017-18'!$A$12:$AMX299,35,FALSE)</f>
        <v>1.7736076802726819E-2</v>
      </c>
      <c r="H91" s="56"/>
      <c r="I91" s="56">
        <v>431270.69255391951</v>
      </c>
      <c r="J91" s="56">
        <v>1538.2440052498309</v>
      </c>
      <c r="K91" s="16">
        <f t="shared" si="23"/>
        <v>-2.5174271580806762E-3</v>
      </c>
      <c r="L91" s="58">
        <f t="shared" si="23"/>
        <v>-2.5174271580805652E-3</v>
      </c>
      <c r="M91" s="10"/>
      <c r="N91" s="56">
        <v>326416</v>
      </c>
      <c r="O91" s="56">
        <v>35863</v>
      </c>
      <c r="P91" s="56">
        <v>67906</v>
      </c>
      <c r="R91" s="56">
        <f t="shared" si="24"/>
        <v>67906</v>
      </c>
      <c r="S91" s="56">
        <f t="shared" si="25"/>
        <v>0</v>
      </c>
      <c r="U91" s="16">
        <v>-2.672276813926644E-2</v>
      </c>
      <c r="V91" s="16">
        <v>5.1909667812087168E-2</v>
      </c>
      <c r="W91" s="56">
        <f t="shared" si="26"/>
        <v>1</v>
      </c>
      <c r="X91" s="56">
        <f t="shared" si="27"/>
        <v>3353.7823480772327</v>
      </c>
      <c r="Y91" s="56">
        <f t="shared" si="27"/>
        <v>340.9323166940087</v>
      </c>
      <c r="AA91" s="56">
        <f t="shared" si="39"/>
        <v>0</v>
      </c>
      <c r="AB91" s="56">
        <v>0</v>
      </c>
      <c r="AC91" s="56">
        <f t="shared" si="28"/>
        <v>0</v>
      </c>
      <c r="AE91" s="56">
        <v>0</v>
      </c>
      <c r="AF91" s="56">
        <f t="shared" si="29"/>
        <v>0</v>
      </c>
      <c r="AG91" s="56">
        <f t="shared" si="30"/>
        <v>0</v>
      </c>
      <c r="AI91" s="56">
        <f t="shared" si="31"/>
        <v>0</v>
      </c>
      <c r="AJ91" s="56">
        <f t="shared" si="32"/>
        <v>0</v>
      </c>
      <c r="AK91" s="56">
        <f t="shared" si="33"/>
        <v>0</v>
      </c>
      <c r="AM91" s="56">
        <f t="shared" si="34"/>
        <v>326416</v>
      </c>
      <c r="AN91" s="56">
        <f t="shared" si="35"/>
        <v>35863</v>
      </c>
      <c r="AO91" s="56">
        <f t="shared" si="36"/>
        <v>67906</v>
      </c>
      <c r="AP91" s="56"/>
      <c r="AQ91" s="56">
        <f t="shared" si="37"/>
        <v>430185</v>
      </c>
      <c r="AS91" s="56">
        <v>1164.2512785745416</v>
      </c>
      <c r="AT91" s="56">
        <v>127.91512549482498</v>
      </c>
      <c r="AU91" s="56">
        <v>242.20518394589368</v>
      </c>
      <c r="AV91" s="56"/>
      <c r="AW91" s="56">
        <v>1534.3715880152604</v>
      </c>
      <c r="AY91" s="16">
        <v>-2.672276813926644E-2</v>
      </c>
      <c r="AZ91" s="16">
        <v>5.1909667812087168E-2</v>
      </c>
      <c r="BA91" s="16">
        <v>9.8816349505994827E-2</v>
      </c>
      <c r="BB91" s="16">
        <f t="shared" si="38"/>
        <v>-2.5174271580806762E-3</v>
      </c>
      <c r="BC91" s="16"/>
      <c r="BE91" s="16">
        <f>AM91/'2016-17 disagg'!AM91-1</f>
        <v>2.0030874421104627E-2</v>
      </c>
      <c r="BF91" s="16">
        <f>AN91/'2016-17 disagg'!AN91-1</f>
        <v>1.5115061281100406E-2</v>
      </c>
      <c r="BG91" s="16">
        <f>AO91/'2016-17 disagg'!AO91-1</f>
        <v>4.6381903353057252E-2</v>
      </c>
      <c r="BH91" s="16">
        <f>AQ91/'2016-17 disagg'!AQ91-1</f>
        <v>2.3686972165309017E-2</v>
      </c>
      <c r="BJ91" s="16">
        <f>AS91/'2016-17 disagg'!AS91-1</f>
        <v>1.4101232679700093E-2</v>
      </c>
      <c r="BK91" s="16">
        <f>AT91/'2016-17 disagg'!AT91-1</f>
        <v>9.2139961362667222E-3</v>
      </c>
      <c r="BL91" s="16">
        <f>AU91/'2016-17 disagg'!AU91-1</f>
        <v>4.0299077855158627E-2</v>
      </c>
      <c r="BM91" s="16">
        <f>AW91/'2016-17 disagg'!AW91-1</f>
        <v>1.7736076802726819E-2</v>
      </c>
    </row>
    <row r="92" spans="1:65" x14ac:dyDescent="0.2">
      <c r="A92" s="156" t="s">
        <v>229</v>
      </c>
      <c r="B92" s="156" t="s">
        <v>230</v>
      </c>
      <c r="D92" s="56">
        <f>VLOOKUP(A92,'2017-18'!$A$12:$AMX300,32,FALSE)</f>
        <v>458749.6515110482</v>
      </c>
      <c r="E92" s="56">
        <v>1510.9833288105917</v>
      </c>
      <c r="F92" s="16">
        <f>VLOOKUP(A92,'2017-18'!$A$12:$AMX300,34,FALSE)</f>
        <v>2.3314071245127632E-2</v>
      </c>
      <c r="G92" s="16">
        <f>VLOOKUP(A92,'2017-18'!$A$12:$AMX300,35,FALSE)</f>
        <v>1.9024123789064928E-2</v>
      </c>
      <c r="H92" s="56"/>
      <c r="I92" s="56">
        <v>467891.35800108482</v>
      </c>
      <c r="J92" s="56">
        <v>1541.093359538304</v>
      </c>
      <c r="K92" s="16">
        <f t="shared" si="23"/>
        <v>-1.9538096469854938E-2</v>
      </c>
      <c r="L92" s="58">
        <f t="shared" si="23"/>
        <v>-1.9538096469854938E-2</v>
      </c>
      <c r="M92" s="10"/>
      <c r="N92" s="56">
        <v>343310</v>
      </c>
      <c r="O92" s="56">
        <v>45267</v>
      </c>
      <c r="P92" s="56">
        <v>69900</v>
      </c>
      <c r="R92" s="56">
        <f t="shared" si="24"/>
        <v>69900</v>
      </c>
      <c r="S92" s="56">
        <f t="shared" si="25"/>
        <v>272.65151104819961</v>
      </c>
      <c r="U92" s="16">
        <v>-3.25449261066586E-2</v>
      </c>
      <c r="V92" s="16">
        <v>0.18971185275856728</v>
      </c>
      <c r="W92" s="56">
        <f t="shared" si="26"/>
        <v>1</v>
      </c>
      <c r="X92" s="56">
        <f t="shared" si="27"/>
        <v>3548.5885522147641</v>
      </c>
      <c r="Y92" s="56">
        <f t="shared" si="27"/>
        <v>380.48708933209394</v>
      </c>
      <c r="AA92" s="56">
        <f t="shared" si="39"/>
        <v>272.65151104819961</v>
      </c>
      <c r="AB92" s="56">
        <v>0</v>
      </c>
      <c r="AC92" s="56">
        <f t="shared" si="28"/>
        <v>0</v>
      </c>
      <c r="AE92" s="56">
        <v>0</v>
      </c>
      <c r="AF92" s="56">
        <f t="shared" si="29"/>
        <v>0</v>
      </c>
      <c r="AG92" s="56">
        <f t="shared" si="30"/>
        <v>0</v>
      </c>
      <c r="AI92" s="56">
        <f t="shared" si="31"/>
        <v>0</v>
      </c>
      <c r="AJ92" s="56">
        <f t="shared" si="32"/>
        <v>0</v>
      </c>
      <c r="AK92" s="56">
        <f t="shared" si="33"/>
        <v>0</v>
      </c>
      <c r="AM92" s="56">
        <f t="shared" si="34"/>
        <v>343583</v>
      </c>
      <c r="AN92" s="56">
        <f t="shared" si="35"/>
        <v>45267</v>
      </c>
      <c r="AO92" s="56">
        <f t="shared" si="36"/>
        <v>69900</v>
      </c>
      <c r="AP92" s="56"/>
      <c r="AQ92" s="56">
        <f t="shared" si="37"/>
        <v>458750</v>
      </c>
      <c r="AS92" s="56">
        <v>1131.659028737653</v>
      </c>
      <c r="AT92" s="56">
        <v>149.0958785908131</v>
      </c>
      <c r="AU92" s="56">
        <v>230.22956929988368</v>
      </c>
      <c r="AV92" s="56"/>
      <c r="AW92" s="56">
        <v>1510.9844766283497</v>
      </c>
      <c r="AY92" s="16">
        <v>-3.1775606147517066E-2</v>
      </c>
      <c r="AZ92" s="16">
        <v>0.18971185275856728</v>
      </c>
      <c r="BA92" s="16">
        <v>-6.779856800541384E-2</v>
      </c>
      <c r="BB92" s="16">
        <f t="shared" si="38"/>
        <v>-1.9537351662442193E-2</v>
      </c>
      <c r="BC92" s="16"/>
      <c r="BE92" s="16">
        <f>AM92/'2016-17 disagg'!AM92-1</f>
        <v>2.083970894526832E-2</v>
      </c>
      <c r="BF92" s="16">
        <f>AN92/'2016-17 disagg'!AN92-1</f>
        <v>9.995760726477565E-3</v>
      </c>
      <c r="BG92" s="16">
        <f>AO92/'2016-17 disagg'!AO92-1</f>
        <v>4.4686892841129922E-2</v>
      </c>
      <c r="BH92" s="16">
        <f>AQ92/'2016-17 disagg'!AQ92-1</f>
        <v>2.3314848605168859E-2</v>
      </c>
      <c r="BJ92" s="16">
        <f>AS92/'2016-17 disagg'!AS92-1</f>
        <v>1.6560134535518412E-2</v>
      </c>
      <c r="BK92" s="16">
        <f>AT92/'2016-17 disagg'!AT92-1</f>
        <v>5.7616464246088572E-3</v>
      </c>
      <c r="BL92" s="16">
        <f>AU92/'2016-17 disagg'!AU92-1</f>
        <v>4.0307346029198721E-2</v>
      </c>
      <c r="BM92" s="16">
        <f>AW92/'2016-17 disagg'!AW92-1</f>
        <v>1.9024897890249637E-2</v>
      </c>
    </row>
    <row r="93" spans="1:65" x14ac:dyDescent="0.2">
      <c r="A93" s="156" t="s">
        <v>231</v>
      </c>
      <c r="B93" s="156" t="s">
        <v>232</v>
      </c>
      <c r="D93" s="56">
        <f>VLOOKUP(A93,'2017-18'!$A$12:$AMX301,32,FALSE)</f>
        <v>229263</v>
      </c>
      <c r="E93" s="56">
        <v>1552.5776164559402</v>
      </c>
      <c r="F93" s="16">
        <f>VLOOKUP(A93,'2017-18'!$A$12:$AMX301,34,FALSE)</f>
        <v>2.333107179203342E-2</v>
      </c>
      <c r="G93" s="16">
        <f>VLOOKUP(A93,'2017-18'!$A$12:$AMX301,35,FALSE)</f>
        <v>1.9724539407912189E-2</v>
      </c>
      <c r="H93" s="56"/>
      <c r="I93" s="56">
        <v>230765.40882226318</v>
      </c>
      <c r="J93" s="56">
        <v>1562.7519852298451</v>
      </c>
      <c r="K93" s="16">
        <f t="shared" si="23"/>
        <v>-6.5105460559747863E-3</v>
      </c>
      <c r="L93" s="58">
        <f t="shared" si="23"/>
        <v>-6.5105460559747863E-3</v>
      </c>
      <c r="M93" s="10"/>
      <c r="N93" s="56">
        <v>171646</v>
      </c>
      <c r="O93" s="56">
        <v>18843</v>
      </c>
      <c r="P93" s="56">
        <v>38774</v>
      </c>
      <c r="R93" s="56">
        <f t="shared" si="24"/>
        <v>38774</v>
      </c>
      <c r="S93" s="56">
        <f t="shared" si="25"/>
        <v>0</v>
      </c>
      <c r="U93" s="16">
        <v>-2.7677862534765008E-2</v>
      </c>
      <c r="V93" s="16">
        <v>6.6966249009784651E-2</v>
      </c>
      <c r="W93" s="56">
        <f t="shared" si="26"/>
        <v>1</v>
      </c>
      <c r="X93" s="56">
        <f t="shared" si="27"/>
        <v>1765.320292382391</v>
      </c>
      <c r="Y93" s="56">
        <f t="shared" si="27"/>
        <v>176.60352440845764</v>
      </c>
      <c r="AA93" s="56">
        <f t="shared" si="39"/>
        <v>0</v>
      </c>
      <c r="AB93" s="56">
        <v>0</v>
      </c>
      <c r="AC93" s="56">
        <f t="shared" si="28"/>
        <v>0</v>
      </c>
      <c r="AE93" s="56">
        <v>0</v>
      </c>
      <c r="AF93" s="56">
        <f t="shared" si="29"/>
        <v>0</v>
      </c>
      <c r="AG93" s="56">
        <f t="shared" si="30"/>
        <v>0</v>
      </c>
      <c r="AI93" s="56">
        <f t="shared" si="31"/>
        <v>0</v>
      </c>
      <c r="AJ93" s="56">
        <f t="shared" si="32"/>
        <v>0</v>
      </c>
      <c r="AK93" s="56">
        <f t="shared" si="33"/>
        <v>0</v>
      </c>
      <c r="AM93" s="56">
        <f t="shared" si="34"/>
        <v>171646</v>
      </c>
      <c r="AN93" s="56">
        <f t="shared" si="35"/>
        <v>18843</v>
      </c>
      <c r="AO93" s="56">
        <f t="shared" si="36"/>
        <v>38774</v>
      </c>
      <c r="AP93" s="56"/>
      <c r="AQ93" s="56">
        <f t="shared" si="37"/>
        <v>229263</v>
      </c>
      <c r="AS93" s="56">
        <v>1162.3931360672952</v>
      </c>
      <c r="AT93" s="56">
        <v>127.60550122295915</v>
      </c>
      <c r="AU93" s="56">
        <v>262.57897916568584</v>
      </c>
      <c r="AV93" s="56"/>
      <c r="AW93" s="56">
        <v>1552.5776164559402</v>
      </c>
      <c r="AY93" s="16">
        <v>-2.7677862534765008E-2</v>
      </c>
      <c r="AZ93" s="16">
        <v>6.6966249009784651E-2</v>
      </c>
      <c r="BA93" s="16">
        <v>6.0180221019310309E-2</v>
      </c>
      <c r="BB93" s="16">
        <f t="shared" si="38"/>
        <v>-6.5105460559747863E-3</v>
      </c>
      <c r="BC93" s="16"/>
      <c r="BE93" s="16">
        <f>AM93/'2016-17 disagg'!AM93-1</f>
        <v>2.0032684593671135E-2</v>
      </c>
      <c r="BF93" s="16">
        <f>AN93/'2016-17 disagg'!AN93-1</f>
        <v>1.197636949516645E-2</v>
      </c>
      <c r="BG93" s="16">
        <f>AO93/'2016-17 disagg'!AO93-1</f>
        <v>4.3967582994534293E-2</v>
      </c>
      <c r="BH93" s="16">
        <f>AQ93/'2016-17 disagg'!AQ93-1</f>
        <v>2.333107179203342E-2</v>
      </c>
      <c r="BJ93" s="16">
        <f>AS93/'2016-17 disagg'!AS93-1</f>
        <v>1.6437776737109111E-2</v>
      </c>
      <c r="BK93" s="16">
        <f>AT93/'2016-17 disagg'!AT93-1</f>
        <v>8.4098545625568288E-3</v>
      </c>
      <c r="BL93" s="16">
        <f>AU93/'2016-17 disagg'!AU93-1</f>
        <v>4.0288321219115852E-2</v>
      </c>
      <c r="BM93" s="16">
        <f>AW93/'2016-17 disagg'!AW93-1</f>
        <v>1.9724539407912189E-2</v>
      </c>
    </row>
    <row r="94" spans="1:65" x14ac:dyDescent="0.2">
      <c r="A94" s="156" t="s">
        <v>233</v>
      </c>
      <c r="B94" s="156" t="s">
        <v>234</v>
      </c>
      <c r="D94" s="56">
        <f>VLOOKUP(A94,'2017-18'!$A$12:$AMX302,32,FALSE)</f>
        <v>509644</v>
      </c>
      <c r="E94" s="56">
        <v>1777.1669216231976</v>
      </c>
      <c r="F94" s="16">
        <f>VLOOKUP(A94,'2017-18'!$A$12:$AMX302,34,FALSE)</f>
        <v>2.3739218120387484E-2</v>
      </c>
      <c r="G94" s="16">
        <f>VLOOKUP(A94,'2017-18'!$A$12:$AMX302,35,FALSE)</f>
        <v>2.0546012416187587E-2</v>
      </c>
      <c r="H94" s="56"/>
      <c r="I94" s="56">
        <v>504856.34127190779</v>
      </c>
      <c r="J94" s="56">
        <v>1760.4719959033107</v>
      </c>
      <c r="K94" s="16">
        <f t="shared" si="23"/>
        <v>9.4832100474968595E-3</v>
      </c>
      <c r="L94" s="58">
        <f t="shared" si="23"/>
        <v>9.4832100474966374E-3</v>
      </c>
      <c r="M94" s="10"/>
      <c r="N94" s="56">
        <v>386724</v>
      </c>
      <c r="O94" s="56">
        <v>38299</v>
      </c>
      <c r="P94" s="56">
        <v>84621</v>
      </c>
      <c r="R94" s="56">
        <f t="shared" si="24"/>
        <v>84621</v>
      </c>
      <c r="S94" s="56">
        <f t="shared" si="25"/>
        <v>0</v>
      </c>
      <c r="U94" s="16">
        <v>-3.2807506962178046E-3</v>
      </c>
      <c r="V94" s="16">
        <v>-2.3010396233331565E-2</v>
      </c>
      <c r="W94" s="56">
        <f t="shared" si="26"/>
        <v>4</v>
      </c>
      <c r="X94" s="56">
        <f t="shared" si="27"/>
        <v>3879.9692116925639</v>
      </c>
      <c r="Y94" s="56">
        <f t="shared" si="27"/>
        <v>392.01031262096046</v>
      </c>
      <c r="AA94" s="56">
        <f t="shared" si="39"/>
        <v>0</v>
      </c>
      <c r="AB94" s="56">
        <v>0</v>
      </c>
      <c r="AC94" s="56">
        <f t="shared" si="28"/>
        <v>0</v>
      </c>
      <c r="AE94" s="56">
        <v>0</v>
      </c>
      <c r="AF94" s="56">
        <f t="shared" si="29"/>
        <v>0</v>
      </c>
      <c r="AG94" s="56">
        <f t="shared" si="30"/>
        <v>0</v>
      </c>
      <c r="AI94" s="56">
        <f t="shared" si="31"/>
        <v>0</v>
      </c>
      <c r="AJ94" s="56">
        <f t="shared" si="32"/>
        <v>0</v>
      </c>
      <c r="AK94" s="56">
        <f t="shared" si="33"/>
        <v>0</v>
      </c>
      <c r="AM94" s="56">
        <f t="shared" si="34"/>
        <v>386724</v>
      </c>
      <c r="AN94" s="56">
        <f t="shared" si="35"/>
        <v>38299</v>
      </c>
      <c r="AO94" s="56">
        <f t="shared" si="36"/>
        <v>84621</v>
      </c>
      <c r="AP94" s="56"/>
      <c r="AQ94" s="56">
        <f t="shared" si="37"/>
        <v>509644</v>
      </c>
      <c r="AS94" s="56">
        <v>1348.5356456620884</v>
      </c>
      <c r="AT94" s="56">
        <v>133.55149070968528</v>
      </c>
      <c r="AU94" s="56">
        <v>295.07978525142374</v>
      </c>
      <c r="AV94" s="56"/>
      <c r="AW94" s="56">
        <v>1777.1669216231976</v>
      </c>
      <c r="AY94" s="16">
        <v>-3.2807506962178046E-3</v>
      </c>
      <c r="AZ94" s="16">
        <v>-2.3010396233331565E-2</v>
      </c>
      <c r="BA94" s="16">
        <v>8.9656909747895863E-2</v>
      </c>
      <c r="BB94" s="16">
        <f t="shared" si="38"/>
        <v>9.4832100474968595E-3</v>
      </c>
      <c r="BC94" s="16"/>
      <c r="BE94" s="16">
        <f>AM94/'2016-17 disagg'!AM94-1</f>
        <v>2.0030068841822013E-2</v>
      </c>
      <c r="BF94" s="16">
        <f>AN94/'2016-17 disagg'!AN94-1</f>
        <v>1.8400829632781113E-2</v>
      </c>
      <c r="BG94" s="16">
        <f>AO94/'2016-17 disagg'!AO94-1</f>
        <v>4.3557079258592424E-2</v>
      </c>
      <c r="BH94" s="16">
        <f>AQ94/'2016-17 disagg'!AQ94-1</f>
        <v>2.3739218120387484E-2</v>
      </c>
      <c r="BJ94" s="16">
        <f>AS94/'2016-17 disagg'!AS94-1</f>
        <v>1.6848432565093718E-2</v>
      </c>
      <c r="BK94" s="16">
        <f>AT94/'2016-17 disagg'!AT94-1</f>
        <v>1.5224275212685656E-2</v>
      </c>
      <c r="BL94" s="16">
        <f>AU94/'2016-17 disagg'!AU94-1</f>
        <v>4.0302058488493442E-2</v>
      </c>
      <c r="BM94" s="16">
        <f>AW94/'2016-17 disagg'!AW94-1</f>
        <v>2.0546012416187587E-2</v>
      </c>
    </row>
    <row r="95" spans="1:65" x14ac:dyDescent="0.2">
      <c r="A95" s="156" t="s">
        <v>235</v>
      </c>
      <c r="B95" s="156" t="s">
        <v>236</v>
      </c>
      <c r="D95" s="56">
        <f>VLOOKUP(A95,'2017-18'!$A$12:$AMX303,32,FALSE)</f>
        <v>277025.81978760625</v>
      </c>
      <c r="E95" s="56">
        <v>1536.2484187148987</v>
      </c>
      <c r="F95" s="16">
        <f>VLOOKUP(A95,'2017-18'!$A$12:$AMX303,34,FALSE)</f>
        <v>2.4215900071009155E-2</v>
      </c>
      <c r="G95" s="16">
        <f>VLOOKUP(A95,'2017-18'!$A$12:$AMX303,35,FALSE)</f>
        <v>2.0125759296436563E-2</v>
      </c>
      <c r="H95" s="56"/>
      <c r="I95" s="56">
        <v>283778.57886041171</v>
      </c>
      <c r="J95" s="56">
        <v>1573.6958864473781</v>
      </c>
      <c r="K95" s="16">
        <f t="shared" si="23"/>
        <v>-2.3795873176625792E-2</v>
      </c>
      <c r="L95" s="58">
        <f t="shared" si="23"/>
        <v>-2.3795873176625792E-2</v>
      </c>
      <c r="M95" s="10"/>
      <c r="N95" s="56">
        <v>209483</v>
      </c>
      <c r="O95" s="56">
        <v>22991</v>
      </c>
      <c r="P95" s="56">
        <v>44422</v>
      </c>
      <c r="R95" s="56">
        <f t="shared" si="24"/>
        <v>44422</v>
      </c>
      <c r="S95" s="56">
        <f t="shared" si="25"/>
        <v>129.8197876062477</v>
      </c>
      <c r="U95" s="16">
        <v>-3.2728903818989075E-2</v>
      </c>
      <c r="V95" s="16">
        <v>1.5611695438465523E-2</v>
      </c>
      <c r="W95" s="56">
        <f t="shared" si="26"/>
        <v>1</v>
      </c>
      <c r="X95" s="56">
        <f t="shared" si="27"/>
        <v>2165.7113587605668</v>
      </c>
      <c r="Y95" s="56">
        <f t="shared" si="27"/>
        <v>226.37588857298653</v>
      </c>
      <c r="AA95" s="56">
        <f t="shared" si="39"/>
        <v>129.8197876062477</v>
      </c>
      <c r="AB95" s="56">
        <v>0</v>
      </c>
      <c r="AC95" s="56">
        <f t="shared" si="28"/>
        <v>0</v>
      </c>
      <c r="AE95" s="56">
        <v>0</v>
      </c>
      <c r="AF95" s="56">
        <f t="shared" si="29"/>
        <v>0</v>
      </c>
      <c r="AG95" s="56">
        <f t="shared" si="30"/>
        <v>0</v>
      </c>
      <c r="AI95" s="56">
        <f t="shared" si="31"/>
        <v>0</v>
      </c>
      <c r="AJ95" s="56">
        <f t="shared" si="32"/>
        <v>0</v>
      </c>
      <c r="AK95" s="56">
        <f t="shared" si="33"/>
        <v>0</v>
      </c>
      <c r="AM95" s="56">
        <f t="shared" si="34"/>
        <v>209613</v>
      </c>
      <c r="AN95" s="56">
        <f t="shared" si="35"/>
        <v>22991</v>
      </c>
      <c r="AO95" s="56">
        <f t="shared" si="36"/>
        <v>44422</v>
      </c>
      <c r="AP95" s="56"/>
      <c r="AQ95" s="56">
        <f t="shared" si="37"/>
        <v>277026</v>
      </c>
      <c r="AS95" s="56">
        <v>1162.4102043591993</v>
      </c>
      <c r="AT95" s="56">
        <v>127.49673449844403</v>
      </c>
      <c r="AU95" s="56">
        <v>246.34247922621375</v>
      </c>
      <c r="AV95" s="56"/>
      <c r="AW95" s="56">
        <v>1536.2494180838569</v>
      </c>
      <c r="AY95" s="16">
        <v>-3.2128639155491245E-2</v>
      </c>
      <c r="AZ95" s="16">
        <v>1.5611695438465523E-2</v>
      </c>
      <c r="BA95" s="16">
        <v>-3.317357212677674E-3</v>
      </c>
      <c r="BB95" s="16">
        <f t="shared" si="38"/>
        <v>-2.3795238130828955E-2</v>
      </c>
      <c r="BC95" s="16"/>
      <c r="BE95" s="16">
        <f>AM95/'2016-17 disagg'!AM95-1</f>
        <v>2.0665241589528982E-2</v>
      </c>
      <c r="BF95" s="16">
        <f>AN95/'2016-17 disagg'!AN95-1</f>
        <v>1.8382352941176405E-2</v>
      </c>
      <c r="BG95" s="16">
        <f>AO95/'2016-17 disagg'!AO95-1</f>
        <v>4.4461686769650344E-2</v>
      </c>
      <c r="BH95" s="16">
        <f>AQ95/'2016-17 disagg'!AQ95-1</f>
        <v>2.4216566349694713E-2</v>
      </c>
      <c r="BJ95" s="16">
        <f>AS95/'2016-17 disagg'!AS95-1</f>
        <v>1.6589280142802254E-2</v>
      </c>
      <c r="BK95" s="16">
        <f>AT95/'2016-17 disagg'!AT95-1</f>
        <v>1.4315508064445925E-2</v>
      </c>
      <c r="BL95" s="16">
        <f>AU95/'2016-17 disagg'!AU95-1</f>
        <v>4.0290695739107818E-2</v>
      </c>
      <c r="BM95" s="16">
        <f>AW95/'2016-17 disagg'!AW95-1</f>
        <v>2.0126422914380493E-2</v>
      </c>
    </row>
    <row r="96" spans="1:65" x14ac:dyDescent="0.2">
      <c r="A96" s="156" t="s">
        <v>237</v>
      </c>
      <c r="B96" s="156" t="s">
        <v>238</v>
      </c>
      <c r="D96" s="56">
        <f>VLOOKUP(A96,'2017-18'!$A$12:$AMX304,32,FALSE)</f>
        <v>492899</v>
      </c>
      <c r="E96" s="56">
        <v>1753.6858581141028</v>
      </c>
      <c r="F96" s="16">
        <f>VLOOKUP(A96,'2017-18'!$A$12:$AMX304,34,FALSE)</f>
        <v>1.9416311107710138E-2</v>
      </c>
      <c r="G96" s="16">
        <f>VLOOKUP(A96,'2017-18'!$A$12:$AMX304,35,FALSE)</f>
        <v>1.4207137205390463E-2</v>
      </c>
      <c r="H96" s="56"/>
      <c r="I96" s="56">
        <v>471976.93322789355</v>
      </c>
      <c r="J96" s="56">
        <v>1679.2472152668622</v>
      </c>
      <c r="K96" s="16">
        <f t="shared" si="23"/>
        <v>4.4328579002830715E-2</v>
      </c>
      <c r="L96" s="58">
        <f t="shared" si="23"/>
        <v>4.4328579002830715E-2</v>
      </c>
      <c r="M96" s="10"/>
      <c r="N96" s="56">
        <v>377981</v>
      </c>
      <c r="O96" s="56">
        <v>38200</v>
      </c>
      <c r="P96" s="56">
        <v>76718</v>
      </c>
      <c r="R96" s="56">
        <f t="shared" si="24"/>
        <v>76718</v>
      </c>
      <c r="S96" s="56">
        <f t="shared" si="25"/>
        <v>0</v>
      </c>
      <c r="U96" s="16">
        <v>5.814396115651177E-2</v>
      </c>
      <c r="V96" s="16">
        <v>-5.0889391338685419E-3</v>
      </c>
      <c r="W96" s="56">
        <f t="shared" si="26"/>
        <v>3</v>
      </c>
      <c r="X96" s="56">
        <f t="shared" si="27"/>
        <v>3572.1131894650794</v>
      </c>
      <c r="Y96" s="56">
        <f t="shared" si="27"/>
        <v>383.95391811952061</v>
      </c>
      <c r="AA96" s="56">
        <f t="shared" si="39"/>
        <v>0</v>
      </c>
      <c r="AB96" s="56">
        <v>0</v>
      </c>
      <c r="AC96" s="56">
        <f t="shared" si="28"/>
        <v>0</v>
      </c>
      <c r="AE96" s="56">
        <v>0</v>
      </c>
      <c r="AF96" s="56">
        <f t="shared" si="29"/>
        <v>0</v>
      </c>
      <c r="AG96" s="56">
        <f t="shared" si="30"/>
        <v>0</v>
      </c>
      <c r="AI96" s="56">
        <f t="shared" si="31"/>
        <v>0</v>
      </c>
      <c r="AJ96" s="56">
        <f t="shared" si="32"/>
        <v>0</v>
      </c>
      <c r="AK96" s="56">
        <f t="shared" si="33"/>
        <v>0</v>
      </c>
      <c r="AM96" s="56">
        <f t="shared" si="34"/>
        <v>377981</v>
      </c>
      <c r="AN96" s="56">
        <f t="shared" si="35"/>
        <v>38200</v>
      </c>
      <c r="AO96" s="56">
        <f t="shared" si="36"/>
        <v>76718</v>
      </c>
      <c r="AP96" s="56"/>
      <c r="AQ96" s="56">
        <f t="shared" si="37"/>
        <v>492899</v>
      </c>
      <c r="AS96" s="56">
        <v>1344.818987938354</v>
      </c>
      <c r="AT96" s="56">
        <v>135.91181921642919</v>
      </c>
      <c r="AU96" s="56">
        <v>272.95505095931975</v>
      </c>
      <c r="AV96" s="56"/>
      <c r="AW96" s="56">
        <v>1753.6858581141028</v>
      </c>
      <c r="AY96" s="16">
        <v>5.814396115651177E-2</v>
      </c>
      <c r="AZ96" s="16">
        <v>-5.0889391338685419E-3</v>
      </c>
      <c r="BA96" s="16">
        <v>4.5538368138922092E-3</v>
      </c>
      <c r="BB96" s="16">
        <f t="shared" si="38"/>
        <v>4.4328579002830715E-2</v>
      </c>
      <c r="BC96" s="16"/>
      <c r="BE96" s="16">
        <f>AM96/'2016-17 disagg'!AM96-1</f>
        <v>1.435464479701154E-2</v>
      </c>
      <c r="BF96" s="16">
        <f>AN96/'2016-17 disagg'!AN96-1</f>
        <v>1.8395094641428855E-2</v>
      </c>
      <c r="BG96" s="16">
        <f>AO96/'2016-17 disagg'!AO96-1</f>
        <v>4.5645981272744551E-2</v>
      </c>
      <c r="BH96" s="16">
        <f>AQ96/'2016-17 disagg'!AQ96-1</f>
        <v>1.9416311107710138E-2</v>
      </c>
      <c r="BJ96" s="16">
        <f>AS96/'2016-17 disagg'!AS96-1</f>
        <v>9.1713357938119078E-3</v>
      </c>
      <c r="BK96" s="16">
        <f>AT96/'2016-17 disagg'!AT96-1</f>
        <v>1.3191139111727868E-2</v>
      </c>
      <c r="BL96" s="16">
        <f>AU96/'2016-17 disagg'!AU96-1</f>
        <v>4.0302774873788305E-2</v>
      </c>
      <c r="BM96" s="16">
        <f>AW96/'2016-17 disagg'!AW96-1</f>
        <v>1.4207137205390463E-2</v>
      </c>
    </row>
    <row r="97" spans="1:65" x14ac:dyDescent="0.2">
      <c r="A97" s="156" t="s">
        <v>239</v>
      </c>
      <c r="B97" s="156" t="s">
        <v>240</v>
      </c>
      <c r="D97" s="56">
        <f>VLOOKUP(A97,'2017-18'!$A$12:$AMX305,32,FALSE)</f>
        <v>301326</v>
      </c>
      <c r="E97" s="56">
        <v>1601.3286740626324</v>
      </c>
      <c r="F97" s="16">
        <f>VLOOKUP(A97,'2017-18'!$A$12:$AMX305,34,FALSE)</f>
        <v>2.6031646582516332E-2</v>
      </c>
      <c r="G97" s="16">
        <f>VLOOKUP(A97,'2017-18'!$A$12:$AMX305,35,FALSE)</f>
        <v>2.099096341765927E-2</v>
      </c>
      <c r="H97" s="56"/>
      <c r="I97" s="56">
        <v>308119.34751738497</v>
      </c>
      <c r="J97" s="56">
        <v>1637.4303784374979</v>
      </c>
      <c r="K97" s="16">
        <f t="shared" si="23"/>
        <v>-2.2047779771446119E-2</v>
      </c>
      <c r="L97" s="58">
        <f t="shared" si="23"/>
        <v>-2.2047779771446008E-2</v>
      </c>
      <c r="M97" s="10"/>
      <c r="N97" s="56">
        <v>233737</v>
      </c>
      <c r="O97" s="56">
        <v>22949</v>
      </c>
      <c r="P97" s="56">
        <v>44640</v>
      </c>
      <c r="R97" s="56">
        <f t="shared" si="24"/>
        <v>44640</v>
      </c>
      <c r="S97" s="56">
        <f t="shared" si="25"/>
        <v>0</v>
      </c>
      <c r="U97" s="16">
        <v>-2.2457765589993017E-2</v>
      </c>
      <c r="V97" s="16">
        <v>-4.9360336503051161E-2</v>
      </c>
      <c r="W97" s="56">
        <f t="shared" si="26"/>
        <v>4</v>
      </c>
      <c r="X97" s="56">
        <f t="shared" si="27"/>
        <v>2391.0680456795949</v>
      </c>
      <c r="Y97" s="56">
        <f t="shared" si="27"/>
        <v>241.40587523543465</v>
      </c>
      <c r="AA97" s="56">
        <f t="shared" si="39"/>
        <v>0</v>
      </c>
      <c r="AB97" s="56">
        <v>0</v>
      </c>
      <c r="AC97" s="56">
        <f t="shared" si="28"/>
        <v>0</v>
      </c>
      <c r="AE97" s="56">
        <v>0</v>
      </c>
      <c r="AF97" s="56">
        <f t="shared" si="29"/>
        <v>0</v>
      </c>
      <c r="AG97" s="56">
        <f t="shared" si="30"/>
        <v>0</v>
      </c>
      <c r="AI97" s="56">
        <f t="shared" si="31"/>
        <v>0</v>
      </c>
      <c r="AJ97" s="56">
        <f t="shared" si="32"/>
        <v>0</v>
      </c>
      <c r="AK97" s="56">
        <f t="shared" si="33"/>
        <v>0</v>
      </c>
      <c r="AM97" s="56">
        <f t="shared" si="34"/>
        <v>233737</v>
      </c>
      <c r="AN97" s="56">
        <f t="shared" si="35"/>
        <v>22949</v>
      </c>
      <c r="AO97" s="56">
        <f t="shared" si="36"/>
        <v>44640</v>
      </c>
      <c r="AP97" s="56"/>
      <c r="AQ97" s="56">
        <f t="shared" si="37"/>
        <v>301326</v>
      </c>
      <c r="AS97" s="56">
        <v>1242.1422654844837</v>
      </c>
      <c r="AT97" s="56">
        <v>121.9572547376043</v>
      </c>
      <c r="AU97" s="56">
        <v>237.22915384054451</v>
      </c>
      <c r="AV97" s="56"/>
      <c r="AW97" s="56">
        <v>1601.3286740626324</v>
      </c>
      <c r="AY97" s="16">
        <v>-2.2457765589993017E-2</v>
      </c>
      <c r="AZ97" s="16">
        <v>-4.9360336503051161E-2</v>
      </c>
      <c r="BA97" s="16">
        <v>-5.1692738522424175E-3</v>
      </c>
      <c r="BB97" s="16">
        <f t="shared" si="38"/>
        <v>-2.2047779771446119E-2</v>
      </c>
      <c r="BC97" s="16"/>
      <c r="BE97" s="16">
        <f>AM97/'2016-17 disagg'!AM97-1</f>
        <v>2.0030809916778303E-2</v>
      </c>
      <c r="BF97" s="16">
        <f>AN97/'2016-17 disagg'!AN97-1</f>
        <v>5.1067142988000302E-2</v>
      </c>
      <c r="BG97" s="16">
        <f>AO97/'2016-17 disagg'!AO97-1</f>
        <v>4.5433255269320849E-2</v>
      </c>
      <c r="BH97" s="16">
        <f>AQ97/'2016-17 disagg'!AQ97-1</f>
        <v>2.6031646582516332E-2</v>
      </c>
      <c r="BJ97" s="16">
        <f>AS97/'2016-17 disagg'!AS97-1</f>
        <v>1.5019607632415166E-2</v>
      </c>
      <c r="BK97" s="16">
        <f>AT97/'2016-17 disagg'!AT97-1</f>
        <v>4.5903465561050627E-2</v>
      </c>
      <c r="BL97" s="16">
        <f>AU97/'2016-17 disagg'!AU97-1</f>
        <v>4.0297255977905122E-2</v>
      </c>
      <c r="BM97" s="16">
        <f>AW97/'2016-17 disagg'!AW97-1</f>
        <v>2.099096341765927E-2</v>
      </c>
    </row>
    <row r="98" spans="1:65" x14ac:dyDescent="0.2">
      <c r="A98" s="156" t="s">
        <v>241</v>
      </c>
      <c r="B98" s="156" t="s">
        <v>242</v>
      </c>
      <c r="D98" s="56">
        <f>VLOOKUP(A98,'2017-18'!$A$12:$AMX306,32,FALSE)</f>
        <v>456905</v>
      </c>
      <c r="E98" s="56">
        <v>1693.2690951706024</v>
      </c>
      <c r="F98" s="16">
        <f>VLOOKUP(A98,'2017-18'!$A$12:$AMX306,34,FALSE)</f>
        <v>2.6123299638648678E-2</v>
      </c>
      <c r="G98" s="16">
        <f>VLOOKUP(A98,'2017-18'!$A$12:$AMX306,35,FALSE)</f>
        <v>2.2547212402443284E-2</v>
      </c>
      <c r="H98" s="56"/>
      <c r="I98" s="56">
        <v>465944.04835643346</v>
      </c>
      <c r="J98" s="56">
        <v>1726.7673961997034</v>
      </c>
      <c r="K98" s="16">
        <f t="shared" si="23"/>
        <v>-1.9399428726083578E-2</v>
      </c>
      <c r="L98" s="58">
        <f t="shared" si="23"/>
        <v>-1.9399428726083467E-2</v>
      </c>
      <c r="M98" s="10"/>
      <c r="N98" s="56">
        <v>344217</v>
      </c>
      <c r="O98" s="56">
        <v>35706</v>
      </c>
      <c r="P98" s="56">
        <v>76982</v>
      </c>
      <c r="R98" s="56">
        <f t="shared" si="24"/>
        <v>76982</v>
      </c>
      <c r="S98" s="56">
        <f t="shared" si="25"/>
        <v>0</v>
      </c>
      <c r="U98" s="16">
        <v>-2.0586931884738369E-2</v>
      </c>
      <c r="V98" s="16">
        <v>-4.9214855132057922E-2</v>
      </c>
      <c r="W98" s="56">
        <f t="shared" si="26"/>
        <v>4</v>
      </c>
      <c r="X98" s="56">
        <f t="shared" si="27"/>
        <v>3514.5232507709507</v>
      </c>
      <c r="Y98" s="56">
        <f t="shared" si="27"/>
        <v>375.54225781429653</v>
      </c>
      <c r="AA98" s="56">
        <f t="shared" si="39"/>
        <v>0</v>
      </c>
      <c r="AB98" s="56">
        <v>0</v>
      </c>
      <c r="AC98" s="56">
        <f t="shared" si="28"/>
        <v>0</v>
      </c>
      <c r="AE98" s="56">
        <v>0</v>
      </c>
      <c r="AF98" s="56">
        <f t="shared" si="29"/>
        <v>0</v>
      </c>
      <c r="AG98" s="56">
        <f t="shared" si="30"/>
        <v>0</v>
      </c>
      <c r="AI98" s="56">
        <f t="shared" si="31"/>
        <v>0</v>
      </c>
      <c r="AJ98" s="56">
        <f t="shared" si="32"/>
        <v>0</v>
      </c>
      <c r="AK98" s="56">
        <f t="shared" si="33"/>
        <v>0</v>
      </c>
      <c r="AM98" s="56">
        <f t="shared" si="34"/>
        <v>344217</v>
      </c>
      <c r="AN98" s="56">
        <f t="shared" si="35"/>
        <v>35706</v>
      </c>
      <c r="AO98" s="56">
        <f t="shared" si="36"/>
        <v>76982</v>
      </c>
      <c r="AP98" s="56"/>
      <c r="AQ98" s="56">
        <f t="shared" si="37"/>
        <v>456905</v>
      </c>
      <c r="AS98" s="56">
        <v>1275.6525057338818</v>
      </c>
      <c r="AT98" s="56">
        <v>132.32480780941668</v>
      </c>
      <c r="AU98" s="56">
        <v>285.29178162730398</v>
      </c>
      <c r="AV98" s="56"/>
      <c r="AW98" s="56">
        <v>1693.2690951706024</v>
      </c>
      <c r="AY98" s="16">
        <v>-2.0586931884738369E-2</v>
      </c>
      <c r="AZ98" s="16">
        <v>-4.9214855132057922E-2</v>
      </c>
      <c r="BA98" s="16">
        <v>5.7842409148389784E-4</v>
      </c>
      <c r="BB98" s="16">
        <f t="shared" si="38"/>
        <v>-1.9399428726083578E-2</v>
      </c>
      <c r="BC98" s="16"/>
      <c r="BE98" s="16">
        <f>AM98/'2016-17 disagg'!AM98-1</f>
        <v>2.0029159184254075E-2</v>
      </c>
      <c r="BF98" s="16">
        <f>AN98/'2016-17 disagg'!AN98-1</f>
        <v>4.792651072696863E-2</v>
      </c>
      <c r="BG98" s="16">
        <f>AO98/'2016-17 disagg'!AO98-1</f>
        <v>4.3936969433972406E-2</v>
      </c>
      <c r="BH98" s="16">
        <f>AQ98/'2016-17 disagg'!AQ98-1</f>
        <v>2.6123299638648678E-2</v>
      </c>
      <c r="BJ98" s="16">
        <f>AS98/'2016-17 disagg'!AS98-1</f>
        <v>1.6474310309853912E-2</v>
      </c>
      <c r="BK98" s="16">
        <f>AT98/'2016-17 disagg'!AT98-1</f>
        <v>4.4274438290048179E-2</v>
      </c>
      <c r="BL98" s="16">
        <f>AU98/'2016-17 disagg'!AU98-1</f>
        <v>4.0298800733280959E-2</v>
      </c>
      <c r="BM98" s="16">
        <f>AW98/'2016-17 disagg'!AW98-1</f>
        <v>2.2547212402443284E-2</v>
      </c>
    </row>
    <row r="99" spans="1:65" x14ac:dyDescent="0.2">
      <c r="A99" s="156" t="s">
        <v>243</v>
      </c>
      <c r="B99" s="156" t="s">
        <v>244</v>
      </c>
      <c r="D99" s="56">
        <f>VLOOKUP(A99,'2017-18'!$A$12:$AMX307,32,FALSE)</f>
        <v>180290</v>
      </c>
      <c r="E99" s="56">
        <v>1573.4114124506702</v>
      </c>
      <c r="F99" s="16">
        <f>VLOOKUP(A99,'2017-18'!$A$12:$AMX307,34,FALSE)</f>
        <v>2.2626076993323974E-2</v>
      </c>
      <c r="G99" s="16">
        <f>VLOOKUP(A99,'2017-18'!$A$12:$AMX307,35,FALSE)</f>
        <v>2.0800249505965818E-2</v>
      </c>
      <c r="H99" s="56"/>
      <c r="I99" s="56">
        <v>184336.50420874314</v>
      </c>
      <c r="J99" s="56">
        <v>1608.7257166415077</v>
      </c>
      <c r="K99" s="16">
        <f t="shared" si="23"/>
        <v>-2.1951724787841576E-2</v>
      </c>
      <c r="L99" s="58">
        <f t="shared" si="23"/>
        <v>-2.1951724787841465E-2</v>
      </c>
      <c r="M99" s="10"/>
      <c r="N99" s="56">
        <v>138906</v>
      </c>
      <c r="O99" s="56">
        <v>15593</v>
      </c>
      <c r="P99" s="56">
        <v>25791</v>
      </c>
      <c r="R99" s="56">
        <f t="shared" si="24"/>
        <v>25791</v>
      </c>
      <c r="S99" s="56">
        <f t="shared" si="25"/>
        <v>0</v>
      </c>
      <c r="U99" s="16">
        <v>-2.1736577838522342E-2</v>
      </c>
      <c r="V99" s="16">
        <v>5.6309788103762637E-2</v>
      </c>
      <c r="W99" s="56">
        <f t="shared" si="26"/>
        <v>1</v>
      </c>
      <c r="X99" s="56">
        <f t="shared" si="27"/>
        <v>1419.924294962256</v>
      </c>
      <c r="Y99" s="56">
        <f t="shared" si="27"/>
        <v>147.61767973381953</v>
      </c>
      <c r="AA99" s="56">
        <f t="shared" si="39"/>
        <v>0</v>
      </c>
      <c r="AB99" s="56">
        <v>0</v>
      </c>
      <c r="AC99" s="56">
        <f t="shared" si="28"/>
        <v>0</v>
      </c>
      <c r="AE99" s="56">
        <v>0</v>
      </c>
      <c r="AF99" s="56">
        <f t="shared" si="29"/>
        <v>0</v>
      </c>
      <c r="AG99" s="56">
        <f t="shared" si="30"/>
        <v>0</v>
      </c>
      <c r="AI99" s="56">
        <f t="shared" si="31"/>
        <v>0</v>
      </c>
      <c r="AJ99" s="56">
        <f t="shared" si="32"/>
        <v>0</v>
      </c>
      <c r="AK99" s="56">
        <f t="shared" si="33"/>
        <v>0</v>
      </c>
      <c r="AM99" s="56">
        <f t="shared" si="34"/>
        <v>138906</v>
      </c>
      <c r="AN99" s="56">
        <f t="shared" si="35"/>
        <v>15593</v>
      </c>
      <c r="AO99" s="56">
        <f t="shared" si="36"/>
        <v>25791</v>
      </c>
      <c r="AP99" s="56"/>
      <c r="AQ99" s="56">
        <f t="shared" si="37"/>
        <v>180290</v>
      </c>
      <c r="AS99" s="56">
        <v>1212.2485199282976</v>
      </c>
      <c r="AT99" s="56">
        <v>136.08189114395307</v>
      </c>
      <c r="AU99" s="56">
        <v>225.08100137841939</v>
      </c>
      <c r="AV99" s="56"/>
      <c r="AW99" s="56">
        <v>1573.4114124506702</v>
      </c>
      <c r="AY99" s="16">
        <v>-2.1736577838522342E-2</v>
      </c>
      <c r="AZ99" s="16">
        <v>5.6309788103762637E-2</v>
      </c>
      <c r="BA99" s="16">
        <v>-6.4944051129485758E-2</v>
      </c>
      <c r="BB99" s="16">
        <f t="shared" si="38"/>
        <v>-2.1951724787841576E-2</v>
      </c>
      <c r="BC99" s="16"/>
      <c r="BE99" s="16">
        <f>AM99/'2016-17 disagg'!AM99-1</f>
        <v>2.0032604385436636E-2</v>
      </c>
      <c r="BF99" s="16">
        <f>AN99/'2016-17 disagg'!AN99-1</f>
        <v>1.4178861788617825E-2</v>
      </c>
      <c r="BG99" s="16">
        <f>AO99/'2016-17 disagg'!AO99-1</f>
        <v>4.2144819783416887E-2</v>
      </c>
      <c r="BH99" s="16">
        <f>AQ99/'2016-17 disagg'!AQ99-1</f>
        <v>2.2626076993323974E-2</v>
      </c>
      <c r="BJ99" s="16">
        <f>AS99/'2016-17 disagg'!AS99-1</f>
        <v>1.8211407362410892E-2</v>
      </c>
      <c r="BK99" s="16">
        <f>AT99/'2016-17 disagg'!AT99-1</f>
        <v>1.2368116214443114E-2</v>
      </c>
      <c r="BL99" s="16">
        <f>AU99/'2016-17 disagg'!AU99-1</f>
        <v>4.0284142943096901E-2</v>
      </c>
      <c r="BM99" s="16">
        <f>AW99/'2016-17 disagg'!AW99-1</f>
        <v>2.0800249505965818E-2</v>
      </c>
    </row>
    <row r="100" spans="1:65" x14ac:dyDescent="0.2">
      <c r="A100" s="156" t="s">
        <v>245</v>
      </c>
      <c r="B100" s="156" t="s">
        <v>246</v>
      </c>
      <c r="D100" s="56">
        <f>VLOOKUP(A100,'2017-18'!$A$12:$AMX308,32,FALSE)</f>
        <v>119303.29389089724</v>
      </c>
      <c r="E100" s="56">
        <v>1551.3538089536814</v>
      </c>
      <c r="F100" s="16">
        <f>VLOOKUP(A100,'2017-18'!$A$12:$AMX308,34,FALSE)</f>
        <v>4.0278451143117122E-2</v>
      </c>
      <c r="G100" s="16">
        <f>VLOOKUP(A100,'2017-18'!$A$12:$AMX308,35,FALSE)</f>
        <v>2.4966438965622562E-2</v>
      </c>
      <c r="H100" s="56"/>
      <c r="I100" s="56">
        <v>124538.3111647989</v>
      </c>
      <c r="J100" s="56">
        <v>1619.4270676453705</v>
      </c>
      <c r="K100" s="16">
        <f t="shared" si="23"/>
        <v>-4.2035396376736367E-2</v>
      </c>
      <c r="L100" s="58">
        <f t="shared" si="23"/>
        <v>-4.2035396376736367E-2</v>
      </c>
      <c r="M100" s="10"/>
      <c r="N100" s="56">
        <v>95681</v>
      </c>
      <c r="O100" s="56">
        <v>9846</v>
      </c>
      <c r="P100" s="56">
        <v>13227</v>
      </c>
      <c r="R100" s="56">
        <f t="shared" si="24"/>
        <v>13227</v>
      </c>
      <c r="S100" s="56">
        <f t="shared" si="25"/>
        <v>549.29389089724282</v>
      </c>
      <c r="U100" s="16">
        <v>-4.3224147414450353E-2</v>
      </c>
      <c r="V100" s="16">
        <v>-5.5412513058290092E-2</v>
      </c>
      <c r="W100" s="56">
        <f t="shared" si="26"/>
        <v>4</v>
      </c>
      <c r="X100" s="56">
        <f t="shared" si="27"/>
        <v>1000.0356900880787</v>
      </c>
      <c r="Y100" s="56">
        <f t="shared" si="27"/>
        <v>104.23597746227176</v>
      </c>
      <c r="AA100" s="56">
        <f t="shared" si="39"/>
        <v>0</v>
      </c>
      <c r="AB100" s="56">
        <v>0</v>
      </c>
      <c r="AC100" s="56">
        <f t="shared" si="28"/>
        <v>549.29389089724282</v>
      </c>
      <c r="AE100" s="56">
        <v>0</v>
      </c>
      <c r="AF100" s="56">
        <f t="shared" si="29"/>
        <v>0</v>
      </c>
      <c r="AG100" s="56">
        <f t="shared" si="30"/>
        <v>549.29389089724282</v>
      </c>
      <c r="AI100" s="56">
        <f t="shared" si="31"/>
        <v>497.44416286904641</v>
      </c>
      <c r="AJ100" s="56">
        <f t="shared" si="32"/>
        <v>51.849728028196381</v>
      </c>
      <c r="AK100" s="56">
        <f t="shared" si="33"/>
        <v>0</v>
      </c>
      <c r="AM100" s="56">
        <f t="shared" si="34"/>
        <v>96178</v>
      </c>
      <c r="AN100" s="56">
        <f t="shared" si="35"/>
        <v>9898</v>
      </c>
      <c r="AO100" s="56">
        <f t="shared" si="36"/>
        <v>13227</v>
      </c>
      <c r="AP100" s="56"/>
      <c r="AQ100" s="56">
        <f t="shared" si="37"/>
        <v>119303</v>
      </c>
      <c r="AS100" s="56">
        <v>1250.645323958918</v>
      </c>
      <c r="AT100" s="56">
        <v>128.70809765794019</v>
      </c>
      <c r="AU100" s="56">
        <v>171.99656574273334</v>
      </c>
      <c r="AV100" s="56"/>
      <c r="AW100" s="56">
        <v>1551.3499873595915</v>
      </c>
      <c r="AY100" s="16">
        <v>-3.8254324787857619E-2</v>
      </c>
      <c r="AZ100" s="16">
        <v>-5.0423832444744576E-2</v>
      </c>
      <c r="BA100" s="16">
        <v>-6.2655755202397412E-2</v>
      </c>
      <c r="BB100" s="16">
        <f t="shared" si="38"/>
        <v>-4.2037756220020706E-2</v>
      </c>
      <c r="BC100" s="16"/>
      <c r="BE100" s="16">
        <f>AM100/'2016-17 disagg'!AM100-1</f>
        <v>3.1554335235316922E-2</v>
      </c>
      <c r="BF100" s="16">
        <f>AN100/'2016-17 disagg'!AN100-1</f>
        <v>0.10951687030601942</v>
      </c>
      <c r="BG100" s="16">
        <f>AO100/'2016-17 disagg'!AO100-1</f>
        <v>5.5879300710465429E-2</v>
      </c>
      <c r="BH100" s="16">
        <f>AQ100/'2016-17 disagg'!AQ100-1</f>
        <v>4.0275888528478188E-2</v>
      </c>
      <c r="BJ100" s="16">
        <f>AS100/'2016-17 disagg'!AS100-1</f>
        <v>1.637073460847116E-2</v>
      </c>
      <c r="BK100" s="16">
        <f>AT100/'2016-17 disagg'!AT100-1</f>
        <v>9.3185727609952806E-2</v>
      </c>
      <c r="BL100" s="16">
        <f>AU100/'2016-17 disagg'!AU100-1</f>
        <v>4.0337657323853637E-2</v>
      </c>
      <c r="BM100" s="16">
        <f>AW100/'2016-17 disagg'!AW100-1</f>
        <v>2.4963914070487148E-2</v>
      </c>
    </row>
    <row r="101" spans="1:65" x14ac:dyDescent="0.2">
      <c r="A101" s="156" t="s">
        <v>247</v>
      </c>
      <c r="B101" s="156" t="s">
        <v>248</v>
      </c>
      <c r="D101" s="56">
        <f>VLOOKUP(A101,'2017-18'!$A$12:$AMX309,32,FALSE)</f>
        <v>478135.47964632959</v>
      </c>
      <c r="E101" s="56">
        <v>1459.5200000537704</v>
      </c>
      <c r="F101" s="16">
        <f>VLOOKUP(A101,'2017-18'!$A$12:$AMX309,34,FALSE)</f>
        <v>2.3272816790465223E-2</v>
      </c>
      <c r="G101" s="16">
        <f>VLOOKUP(A101,'2017-18'!$A$12:$AMX309,35,FALSE)</f>
        <v>1.7955230911345543E-2</v>
      </c>
      <c r="H101" s="56"/>
      <c r="I101" s="56">
        <v>485495.26808823604</v>
      </c>
      <c r="J101" s="56">
        <v>1481.9859304948091</v>
      </c>
      <c r="K101" s="16">
        <f t="shared" si="23"/>
        <v>-1.5159341245255642E-2</v>
      </c>
      <c r="L101" s="58">
        <f t="shared" si="23"/>
        <v>-1.5159341245255753E-2</v>
      </c>
      <c r="M101" s="10"/>
      <c r="N101" s="56">
        <v>364633</v>
      </c>
      <c r="O101" s="56">
        <v>41720</v>
      </c>
      <c r="P101" s="56">
        <v>71613</v>
      </c>
      <c r="R101" s="56">
        <f t="shared" si="24"/>
        <v>71613</v>
      </c>
      <c r="S101" s="56">
        <f t="shared" si="25"/>
        <v>169.47964632959338</v>
      </c>
      <c r="U101" s="16">
        <v>-1.9436715268374871E-2</v>
      </c>
      <c r="V101" s="16">
        <v>7.7648188745932378E-2</v>
      </c>
      <c r="W101" s="56">
        <f t="shared" si="26"/>
        <v>1</v>
      </c>
      <c r="X101" s="56">
        <f t="shared" si="27"/>
        <v>3718.6075154730893</v>
      </c>
      <c r="Y101" s="56">
        <f t="shared" si="27"/>
        <v>387.13933207227763</v>
      </c>
      <c r="AA101" s="56">
        <f t="shared" si="39"/>
        <v>169.47964632959338</v>
      </c>
      <c r="AB101" s="56">
        <v>0</v>
      </c>
      <c r="AC101" s="56">
        <f t="shared" si="28"/>
        <v>0</v>
      </c>
      <c r="AE101" s="56">
        <v>0</v>
      </c>
      <c r="AF101" s="56">
        <f t="shared" si="29"/>
        <v>0</v>
      </c>
      <c r="AG101" s="56">
        <f t="shared" si="30"/>
        <v>0</v>
      </c>
      <c r="AI101" s="56">
        <f t="shared" si="31"/>
        <v>0</v>
      </c>
      <c r="AJ101" s="56">
        <f t="shared" si="32"/>
        <v>0</v>
      </c>
      <c r="AK101" s="56">
        <f t="shared" si="33"/>
        <v>0</v>
      </c>
      <c r="AM101" s="56">
        <f t="shared" si="34"/>
        <v>364802</v>
      </c>
      <c r="AN101" s="56">
        <f t="shared" si="35"/>
        <v>41720</v>
      </c>
      <c r="AO101" s="56">
        <f t="shared" si="36"/>
        <v>71613</v>
      </c>
      <c r="AP101" s="56"/>
      <c r="AQ101" s="56">
        <f t="shared" si="37"/>
        <v>478135</v>
      </c>
      <c r="AS101" s="56">
        <v>1113.5668397866043</v>
      </c>
      <c r="AT101" s="56">
        <v>127.35129893996506</v>
      </c>
      <c r="AU101" s="56">
        <v>218.60039719529527</v>
      </c>
      <c r="AV101" s="56"/>
      <c r="AW101" s="56">
        <v>1459.5185359218647</v>
      </c>
      <c r="AY101" s="16">
        <v>-1.8982244073722621E-2</v>
      </c>
      <c r="AZ101" s="16">
        <v>7.7648188745932378E-2</v>
      </c>
      <c r="BA101" s="16">
        <v>-4.4147858792919603E-2</v>
      </c>
      <c r="BB101" s="16">
        <f t="shared" si="38"/>
        <v>-1.516032919789112E-2</v>
      </c>
      <c r="BC101" s="16"/>
      <c r="BE101" s="16">
        <f>AM101/'2016-17 disagg'!AM101-1</f>
        <v>2.0502247722205658E-2</v>
      </c>
      <c r="BF101" s="16">
        <f>AN101/'2016-17 disagg'!AN101-1</f>
        <v>9.9983053719707726E-3</v>
      </c>
      <c r="BG101" s="16">
        <f>AO101/'2016-17 disagg'!AO101-1</f>
        <v>4.5735313444605019E-2</v>
      </c>
      <c r="BH101" s="16">
        <f>AQ101/'2016-17 disagg'!AQ101-1</f>
        <v>2.3271790284230764E-2</v>
      </c>
      <c r="BJ101" s="16">
        <f>AS101/'2016-17 disagg'!AS101-1</f>
        <v>1.5199059507826629E-2</v>
      </c>
      <c r="BK101" s="16">
        <f>AT101/'2016-17 disagg'!AT101-1</f>
        <v>4.7497024202902693E-3</v>
      </c>
      <c r="BL101" s="16">
        <f>AU101/'2016-17 disagg'!AU101-1</f>
        <v>4.0300997937708916E-2</v>
      </c>
      <c r="BM101" s="16">
        <f>AW101/'2016-17 disagg'!AW101-1</f>
        <v>1.7954209739500016E-2</v>
      </c>
    </row>
    <row r="102" spans="1:65" x14ac:dyDescent="0.2">
      <c r="A102" s="156" t="s">
        <v>249</v>
      </c>
      <c r="B102" s="156" t="s">
        <v>250</v>
      </c>
      <c r="D102" s="56">
        <f>VLOOKUP(A102,'2017-18'!$A$12:$AMX310,32,FALSE)</f>
        <v>161777</v>
      </c>
      <c r="E102" s="56">
        <v>1643.7935358943246</v>
      </c>
      <c r="F102" s="16">
        <f>VLOOKUP(A102,'2017-18'!$A$12:$AMX310,34,FALSE)</f>
        <v>2.3140945369913624E-2</v>
      </c>
      <c r="G102" s="16">
        <f>VLOOKUP(A102,'2017-18'!$A$12:$AMX310,35,FALSE)</f>
        <v>1.7608999200386055E-2</v>
      </c>
      <c r="H102" s="56"/>
      <c r="I102" s="56">
        <v>161225.65837427985</v>
      </c>
      <c r="J102" s="56">
        <v>1638.1914305244127</v>
      </c>
      <c r="K102" s="16">
        <f t="shared" si="23"/>
        <v>3.4196890946491809E-3</v>
      </c>
      <c r="L102" s="58">
        <f t="shared" si="23"/>
        <v>3.4196890946491809E-3</v>
      </c>
      <c r="M102" s="10"/>
      <c r="N102" s="56">
        <v>128218</v>
      </c>
      <c r="O102" s="56">
        <v>12682</v>
      </c>
      <c r="P102" s="56">
        <v>20877</v>
      </c>
      <c r="R102" s="56">
        <f t="shared" si="24"/>
        <v>20877</v>
      </c>
      <c r="S102" s="56">
        <f t="shared" si="25"/>
        <v>0</v>
      </c>
      <c r="U102" s="16">
        <v>1.4031784625937016E-2</v>
      </c>
      <c r="V102" s="16">
        <v>3.8067273905004084E-2</v>
      </c>
      <c r="W102" s="56">
        <f t="shared" si="26"/>
        <v>2</v>
      </c>
      <c r="X102" s="56">
        <f t="shared" si="27"/>
        <v>1264.437682762557</v>
      </c>
      <c r="Y102" s="56">
        <f t="shared" si="27"/>
        <v>122.16934604144508</v>
      </c>
      <c r="AA102" s="56">
        <f t="shared" si="39"/>
        <v>0</v>
      </c>
      <c r="AB102" s="56">
        <v>0</v>
      </c>
      <c r="AC102" s="56">
        <f t="shared" si="28"/>
        <v>0</v>
      </c>
      <c r="AE102" s="56">
        <v>0</v>
      </c>
      <c r="AF102" s="56">
        <f t="shared" si="29"/>
        <v>0</v>
      </c>
      <c r="AG102" s="56">
        <f t="shared" si="30"/>
        <v>0</v>
      </c>
      <c r="AI102" s="56">
        <f t="shared" si="31"/>
        <v>0</v>
      </c>
      <c r="AJ102" s="56">
        <f t="shared" si="32"/>
        <v>0</v>
      </c>
      <c r="AK102" s="56">
        <f t="shared" si="33"/>
        <v>0</v>
      </c>
      <c r="AM102" s="56">
        <f t="shared" si="34"/>
        <v>128218</v>
      </c>
      <c r="AN102" s="56">
        <f t="shared" si="35"/>
        <v>12682</v>
      </c>
      <c r="AO102" s="56">
        <f t="shared" si="36"/>
        <v>20877</v>
      </c>
      <c r="AP102" s="56"/>
      <c r="AQ102" s="56">
        <f t="shared" si="37"/>
        <v>161777</v>
      </c>
      <c r="AS102" s="56">
        <v>1302.8052169671741</v>
      </c>
      <c r="AT102" s="56">
        <v>128.86003339295343</v>
      </c>
      <c r="AU102" s="56">
        <v>212.12828553419718</v>
      </c>
      <c r="AV102" s="56"/>
      <c r="AW102" s="56">
        <v>1643.7935358943246</v>
      </c>
      <c r="AY102" s="16">
        <v>1.4031784625937016E-2</v>
      </c>
      <c r="AZ102" s="16">
        <v>3.8067273905004084E-2</v>
      </c>
      <c r="BA102" s="16">
        <v>-7.4804290854350475E-2</v>
      </c>
      <c r="BB102" s="16">
        <f t="shared" si="38"/>
        <v>3.4196890946491809E-3</v>
      </c>
      <c r="BC102" s="16"/>
      <c r="BE102" s="16">
        <f>AM102/'2016-17 disagg'!AM102-1</f>
        <v>2.0031821797931615E-2</v>
      </c>
      <c r="BF102" s="16">
        <f>AN102/'2016-17 disagg'!AN102-1</f>
        <v>1.7980414191684169E-2</v>
      </c>
      <c r="BG102" s="16">
        <f>AO102/'2016-17 disagg'!AO102-1</f>
        <v>4.5941883767535163E-2</v>
      </c>
      <c r="BH102" s="16">
        <f>AQ102/'2016-17 disagg'!AQ102-1</f>
        <v>2.3140945369913624E-2</v>
      </c>
      <c r="BJ102" s="16">
        <f>AS102/'2016-17 disagg'!AS102-1</f>
        <v>1.4516686121926581E-2</v>
      </c>
      <c r="BK102" s="16">
        <f>AT102/'2016-17 disagg'!AT102-1</f>
        <v>1.2476370121875524E-2</v>
      </c>
      <c r="BL102" s="16">
        <f>AU102/'2016-17 disagg'!AU102-1</f>
        <v>4.0286656866842296E-2</v>
      </c>
      <c r="BM102" s="16">
        <f>AW102/'2016-17 disagg'!AW102-1</f>
        <v>1.7608999200386055E-2</v>
      </c>
    </row>
    <row r="103" spans="1:65" x14ac:dyDescent="0.2">
      <c r="A103" s="156" t="s">
        <v>251</v>
      </c>
      <c r="B103" s="156" t="s">
        <v>252</v>
      </c>
      <c r="D103" s="56">
        <f>VLOOKUP(A103,'2017-18'!$A$12:$AMX311,32,FALSE)</f>
        <v>180922</v>
      </c>
      <c r="E103" s="56">
        <v>1750.6191899191504</v>
      </c>
      <c r="F103" s="16">
        <f>VLOOKUP(A103,'2017-18'!$A$12:$AMX311,34,FALSE)</f>
        <v>2.2747572047168374E-2</v>
      </c>
      <c r="G103" s="16">
        <f>VLOOKUP(A103,'2017-18'!$A$12:$AMX311,35,FALSE)</f>
        <v>1.8478576324457485E-2</v>
      </c>
      <c r="H103" s="56"/>
      <c r="I103" s="56">
        <v>179284.58622777028</v>
      </c>
      <c r="J103" s="56">
        <v>1734.7754120949871</v>
      </c>
      <c r="K103" s="16">
        <f t="shared" si="23"/>
        <v>9.1330426484599325E-3</v>
      </c>
      <c r="L103" s="58">
        <f t="shared" si="23"/>
        <v>9.1330426484599325E-3</v>
      </c>
      <c r="M103" s="10"/>
      <c r="N103" s="56">
        <v>146285</v>
      </c>
      <c r="O103" s="56">
        <v>13345</v>
      </c>
      <c r="P103" s="56">
        <v>21292</v>
      </c>
      <c r="R103" s="56">
        <f t="shared" si="24"/>
        <v>21292</v>
      </c>
      <c r="S103" s="56">
        <f t="shared" si="25"/>
        <v>0</v>
      </c>
      <c r="U103" s="16">
        <v>2.1420675579572945E-2</v>
      </c>
      <c r="V103" s="16">
        <v>-1.0501249547501867E-2</v>
      </c>
      <c r="W103" s="56">
        <f t="shared" si="26"/>
        <v>3</v>
      </c>
      <c r="X103" s="56">
        <f t="shared" si="27"/>
        <v>1432.1719101387407</v>
      </c>
      <c r="Y103" s="56">
        <f t="shared" si="27"/>
        <v>134.86626429692132</v>
      </c>
      <c r="AA103" s="56">
        <f t="shared" si="39"/>
        <v>0</v>
      </c>
      <c r="AB103" s="56">
        <v>0</v>
      </c>
      <c r="AC103" s="56">
        <f t="shared" si="28"/>
        <v>0</v>
      </c>
      <c r="AE103" s="56">
        <v>0</v>
      </c>
      <c r="AF103" s="56">
        <f t="shared" si="29"/>
        <v>0</v>
      </c>
      <c r="AG103" s="56">
        <f t="shared" si="30"/>
        <v>0</v>
      </c>
      <c r="AI103" s="56">
        <f t="shared" si="31"/>
        <v>0</v>
      </c>
      <c r="AJ103" s="56">
        <f t="shared" si="32"/>
        <v>0</v>
      </c>
      <c r="AK103" s="56">
        <f t="shared" si="33"/>
        <v>0</v>
      </c>
      <c r="AM103" s="56">
        <f t="shared" si="34"/>
        <v>146285</v>
      </c>
      <c r="AN103" s="56">
        <f t="shared" si="35"/>
        <v>13345</v>
      </c>
      <c r="AO103" s="56">
        <f t="shared" si="36"/>
        <v>21292</v>
      </c>
      <c r="AP103" s="56"/>
      <c r="AQ103" s="56">
        <f t="shared" si="37"/>
        <v>180922</v>
      </c>
      <c r="AS103" s="56">
        <v>1415.4681475847212</v>
      </c>
      <c r="AT103" s="56">
        <v>129.12754164485835</v>
      </c>
      <c r="AU103" s="56">
        <v>206.02350068957091</v>
      </c>
      <c r="AV103" s="56"/>
      <c r="AW103" s="56">
        <v>1750.6191899191504</v>
      </c>
      <c r="AY103" s="16">
        <v>2.1420675579572945E-2</v>
      </c>
      <c r="AZ103" s="16">
        <v>-1.0501249547501867E-2</v>
      </c>
      <c r="BA103" s="16">
        <v>-5.707373369438129E-2</v>
      </c>
      <c r="BB103" s="16">
        <f t="shared" si="38"/>
        <v>9.1330426484599325E-3</v>
      </c>
      <c r="BC103" s="16"/>
      <c r="BE103" s="16">
        <f>AM103/'2016-17 disagg'!AM103-1</f>
        <v>2.0033191085822688E-2</v>
      </c>
      <c r="BF103" s="16">
        <f>AN103/'2016-17 disagg'!AN103-1</f>
        <v>1.8391330891330826E-2</v>
      </c>
      <c r="BG103" s="16">
        <f>AO103/'2016-17 disagg'!AO103-1</f>
        <v>4.4647237758806746E-2</v>
      </c>
      <c r="BH103" s="16">
        <f>AQ103/'2016-17 disagg'!AQ103-1</f>
        <v>2.2747572047168374E-2</v>
      </c>
      <c r="BJ103" s="16">
        <f>AS103/'2016-17 disagg'!AS103-1</f>
        <v>1.5775525314930317E-2</v>
      </c>
      <c r="BK103" s="16">
        <f>AT103/'2016-17 disagg'!AT103-1</f>
        <v>1.4140518320914452E-2</v>
      </c>
      <c r="BL103" s="16">
        <f>AU103/'2016-17 disagg'!AU103-1</f>
        <v>4.0286831817379909E-2</v>
      </c>
      <c r="BM103" s="16">
        <f>AW103/'2016-17 disagg'!AW103-1</f>
        <v>1.8478576324457485E-2</v>
      </c>
    </row>
    <row r="104" spans="1:65" x14ac:dyDescent="0.2">
      <c r="A104" s="156" t="s">
        <v>253</v>
      </c>
      <c r="B104" s="156" t="s">
        <v>254</v>
      </c>
      <c r="D104" s="56">
        <f>VLOOKUP(A104,'2017-18'!$A$12:$AMX312,32,FALSE)</f>
        <v>582339.72150770109</v>
      </c>
      <c r="E104" s="56">
        <v>1490.6062604413007</v>
      </c>
      <c r="F104" s="16">
        <f>VLOOKUP(A104,'2017-18'!$A$12:$AMX312,34,FALSE)</f>
        <v>2.5379576754191779E-2</v>
      </c>
      <c r="G104" s="16">
        <f>VLOOKUP(A104,'2017-18'!$A$12:$AMX312,35,FALSE)</f>
        <v>1.9360209174540843E-2</v>
      </c>
      <c r="H104" s="56"/>
      <c r="I104" s="56">
        <v>594924.96252774447</v>
      </c>
      <c r="J104" s="56">
        <v>1522.8205133263177</v>
      </c>
      <c r="K104" s="16">
        <f t="shared" si="23"/>
        <v>-2.1154333424791338E-2</v>
      </c>
      <c r="L104" s="58">
        <f t="shared" si="23"/>
        <v>-2.1154333424791449E-2</v>
      </c>
      <c r="M104" s="10"/>
      <c r="N104" s="56">
        <v>436018</v>
      </c>
      <c r="O104" s="56">
        <v>50153</v>
      </c>
      <c r="P104" s="56">
        <v>95581</v>
      </c>
      <c r="R104" s="56">
        <f t="shared" si="24"/>
        <v>95581</v>
      </c>
      <c r="S104" s="56">
        <f t="shared" si="25"/>
        <v>587.72150770109147</v>
      </c>
      <c r="U104" s="16">
        <v>-1.3135789668664133E-2</v>
      </c>
      <c r="V104" s="16">
        <v>-4.7057256577119455E-2</v>
      </c>
      <c r="W104" s="56">
        <f t="shared" si="26"/>
        <v>4</v>
      </c>
      <c r="X104" s="56">
        <f t="shared" si="27"/>
        <v>4418.216766150721</v>
      </c>
      <c r="Y104" s="56">
        <f t="shared" si="27"/>
        <v>526.29604817447</v>
      </c>
      <c r="AA104" s="56">
        <f t="shared" si="39"/>
        <v>0</v>
      </c>
      <c r="AB104" s="56">
        <v>0</v>
      </c>
      <c r="AC104" s="56">
        <f t="shared" si="28"/>
        <v>587.72150770109147</v>
      </c>
      <c r="AE104" s="56">
        <v>0</v>
      </c>
      <c r="AF104" s="56">
        <f t="shared" si="29"/>
        <v>0</v>
      </c>
      <c r="AG104" s="56">
        <f t="shared" si="30"/>
        <v>587.72150770109147</v>
      </c>
      <c r="AI104" s="56">
        <f t="shared" si="31"/>
        <v>525.16418030695866</v>
      </c>
      <c r="AJ104" s="56">
        <f t="shared" si="32"/>
        <v>62.557327394132763</v>
      </c>
      <c r="AK104" s="56">
        <f t="shared" si="33"/>
        <v>0</v>
      </c>
      <c r="AM104" s="56">
        <f t="shared" si="34"/>
        <v>436543</v>
      </c>
      <c r="AN104" s="56">
        <f t="shared" si="35"/>
        <v>50216</v>
      </c>
      <c r="AO104" s="56">
        <f t="shared" si="36"/>
        <v>95581</v>
      </c>
      <c r="AP104" s="56"/>
      <c r="AQ104" s="56">
        <f t="shared" si="37"/>
        <v>582340</v>
      </c>
      <c r="AS104" s="56">
        <v>1117.4125767466155</v>
      </c>
      <c r="AT104" s="56">
        <v>128.53714285627774</v>
      </c>
      <c r="AU104" s="56">
        <v>244.65725369097262</v>
      </c>
      <c r="AV104" s="56"/>
      <c r="AW104" s="56">
        <v>1490.6069732938658</v>
      </c>
      <c r="AY104" s="16">
        <v>-1.1947527462920382E-2</v>
      </c>
      <c r="AZ104" s="16">
        <v>-4.5860211677798524E-2</v>
      </c>
      <c r="BA104" s="16">
        <v>-4.869614651212173E-2</v>
      </c>
      <c r="BB104" s="16">
        <f t="shared" si="38"/>
        <v>-2.115386531147212E-2</v>
      </c>
      <c r="BC104" s="16"/>
      <c r="BE104" s="16">
        <f>AM104/'2016-17 disagg'!AM104-1</f>
        <v>2.1258328342566246E-2</v>
      </c>
      <c r="BF104" s="16">
        <f>AN104/'2016-17 disagg'!AN104-1</f>
        <v>2.2083816734851824E-2</v>
      </c>
      <c r="BG104" s="16">
        <f>AO104/'2016-17 disagg'!AO104-1</f>
        <v>4.6442374013291099E-2</v>
      </c>
      <c r="BH104" s="16">
        <f>AQ104/'2016-17 disagg'!AQ104-1</f>
        <v>2.5380067121420824E-2</v>
      </c>
      <c r="BJ104" s="16">
        <f>AS104/'2016-17 disagg'!AS104-1</f>
        <v>1.5263154056442074E-2</v>
      </c>
      <c r="BK104" s="16">
        <f>AT104/'2016-17 disagg'!AT104-1</f>
        <v>1.6083796518324256E-2</v>
      </c>
      <c r="BL104" s="16">
        <f>AU104/'2016-17 disagg'!AU104-1</f>
        <v>4.0299359813566582E-2</v>
      </c>
      <c r="BM104" s="16">
        <f>AW104/'2016-17 disagg'!AW104-1</f>
        <v>1.9360696663127896E-2</v>
      </c>
    </row>
    <row r="105" spans="1:65" x14ac:dyDescent="0.2">
      <c r="A105" s="156" t="s">
        <v>255</v>
      </c>
      <c r="B105" s="156" t="s">
        <v>256</v>
      </c>
      <c r="D105" s="56">
        <f>VLOOKUP(A105,'2017-18'!$A$12:$AMX313,32,FALSE)</f>
        <v>437783.45643272821</v>
      </c>
      <c r="E105" s="56">
        <v>1757.3973816740877</v>
      </c>
      <c r="F105" s="16">
        <f>VLOOKUP(A105,'2017-18'!$A$12:$AMX313,34,FALSE)</f>
        <v>2.6027722152837107E-2</v>
      </c>
      <c r="G105" s="16">
        <f>VLOOKUP(A105,'2017-18'!$A$12:$AMX313,35,FALSE)</f>
        <v>1.9077298105276475E-2</v>
      </c>
      <c r="H105" s="56"/>
      <c r="I105" s="56">
        <v>446513.0398694668</v>
      </c>
      <c r="J105" s="56">
        <v>1792.4406133207071</v>
      </c>
      <c r="K105" s="16">
        <f t="shared" si="23"/>
        <v>-1.9550567748907399E-2</v>
      </c>
      <c r="L105" s="58">
        <f t="shared" si="23"/>
        <v>-1.9550567748907288E-2</v>
      </c>
      <c r="M105" s="10"/>
      <c r="N105" s="56">
        <v>340193</v>
      </c>
      <c r="O105" s="56">
        <v>36789</v>
      </c>
      <c r="P105" s="56">
        <v>59429</v>
      </c>
      <c r="R105" s="56">
        <f t="shared" si="24"/>
        <v>59429</v>
      </c>
      <c r="S105" s="56">
        <f t="shared" si="25"/>
        <v>1372.4564327282133</v>
      </c>
      <c r="U105" s="16">
        <v>-9.5557785858445543E-3</v>
      </c>
      <c r="V105" s="16">
        <v>7.9390669482966247E-2</v>
      </c>
      <c r="W105" s="56">
        <f t="shared" si="26"/>
        <v>1</v>
      </c>
      <c r="X105" s="56">
        <f t="shared" si="27"/>
        <v>3434.7517270005646</v>
      </c>
      <c r="Y105" s="56">
        <f t="shared" si="27"/>
        <v>340.83118411262643</v>
      </c>
      <c r="AA105" s="56">
        <f t="shared" si="39"/>
        <v>1372.4564327282133</v>
      </c>
      <c r="AB105" s="56">
        <v>0</v>
      </c>
      <c r="AC105" s="56">
        <f t="shared" si="28"/>
        <v>0</v>
      </c>
      <c r="AE105" s="56">
        <v>0</v>
      </c>
      <c r="AF105" s="56">
        <f t="shared" si="29"/>
        <v>0</v>
      </c>
      <c r="AG105" s="56">
        <f t="shared" si="30"/>
        <v>0</v>
      </c>
      <c r="AI105" s="56">
        <f t="shared" si="31"/>
        <v>0</v>
      </c>
      <c r="AJ105" s="56">
        <f t="shared" si="32"/>
        <v>0</v>
      </c>
      <c r="AK105" s="56">
        <f t="shared" si="33"/>
        <v>0</v>
      </c>
      <c r="AM105" s="56">
        <f t="shared" si="34"/>
        <v>341565</v>
      </c>
      <c r="AN105" s="56">
        <f t="shared" si="35"/>
        <v>36789</v>
      </c>
      <c r="AO105" s="56">
        <f t="shared" si="36"/>
        <v>59429</v>
      </c>
      <c r="AP105" s="56"/>
      <c r="AQ105" s="56">
        <f t="shared" si="37"/>
        <v>437783</v>
      </c>
      <c r="AS105" s="56">
        <v>1371.1469171602862</v>
      </c>
      <c r="AT105" s="56">
        <v>147.6823560242114</v>
      </c>
      <c r="AU105" s="56">
        <v>238.56627622829814</v>
      </c>
      <c r="AV105" s="56"/>
      <c r="AW105" s="56">
        <v>1757.3955494127958</v>
      </c>
      <c r="AY105" s="16">
        <v>-5.5613122923575675E-3</v>
      </c>
      <c r="AZ105" s="16">
        <v>7.9390669482966247E-2</v>
      </c>
      <c r="BA105" s="16">
        <v>-0.13814492735748185</v>
      </c>
      <c r="BB105" s="16">
        <f t="shared" si="38"/>
        <v>-1.9551589964805771E-2</v>
      </c>
      <c r="BC105" s="16"/>
      <c r="BE105" s="16">
        <f>AM105/'2016-17 disagg'!AM105-1</f>
        <v>2.4142986930044685E-2</v>
      </c>
      <c r="BF105" s="16">
        <f>AN105/'2016-17 disagg'!AN105-1</f>
        <v>9.9931365820178364E-3</v>
      </c>
      <c r="BG105" s="16">
        <f>AO105/'2016-17 disagg'!AO105-1</f>
        <v>4.7391610856538646E-2</v>
      </c>
      <c r="BH105" s="16">
        <f>AQ105/'2016-17 disagg'!AQ105-1</f>
        <v>2.602665241704516E-2</v>
      </c>
      <c r="BJ105" s="16">
        <f>AS105/'2016-17 disagg'!AS105-1</f>
        <v>1.720533028509208E-2</v>
      </c>
      <c r="BK105" s="16">
        <f>AT105/'2016-17 disagg'!AT105-1</f>
        <v>3.1513325714580542E-3</v>
      </c>
      <c r="BL105" s="16">
        <f>AU105/'2016-17 disagg'!AU105-1</f>
        <v>4.0296465489475963E-2</v>
      </c>
      <c r="BM105" s="16">
        <f>AW105/'2016-17 disagg'!AW105-1</f>
        <v>1.9076235615991921E-2</v>
      </c>
    </row>
    <row r="106" spans="1:65" x14ac:dyDescent="0.2">
      <c r="A106" s="156" t="s">
        <v>257</v>
      </c>
      <c r="B106" s="156" t="s">
        <v>258</v>
      </c>
      <c r="D106" s="56">
        <f>VLOOKUP(A106,'2017-18'!$A$12:$AMX314,32,FALSE)</f>
        <v>373092</v>
      </c>
      <c r="E106" s="56">
        <v>1575.6448866454241</v>
      </c>
      <c r="F106" s="16">
        <f>VLOOKUP(A106,'2017-18'!$A$12:$AMX314,34,FALSE)</f>
        <v>2.3864147795255697E-2</v>
      </c>
      <c r="G106" s="16">
        <f>VLOOKUP(A106,'2017-18'!$A$12:$AMX314,35,FALSE)</f>
        <v>1.8277121586248279E-2</v>
      </c>
      <c r="H106" s="56"/>
      <c r="I106" s="56">
        <v>375903.7152560199</v>
      </c>
      <c r="J106" s="56">
        <v>1587.5193432562619</v>
      </c>
      <c r="K106" s="16">
        <f t="shared" si="23"/>
        <v>-7.479881527919785E-3</v>
      </c>
      <c r="L106" s="58">
        <f t="shared" si="23"/>
        <v>-7.479881527919785E-3</v>
      </c>
      <c r="M106" s="10"/>
      <c r="N106" s="56">
        <v>284674</v>
      </c>
      <c r="O106" s="56">
        <v>30218</v>
      </c>
      <c r="P106" s="56">
        <v>58200</v>
      </c>
      <c r="R106" s="56">
        <f t="shared" si="24"/>
        <v>58200</v>
      </c>
      <c r="S106" s="56">
        <f t="shared" si="25"/>
        <v>0</v>
      </c>
      <c r="U106" s="16">
        <v>1.0588727811580156E-2</v>
      </c>
      <c r="V106" s="16">
        <v>3.9431161454706043E-3</v>
      </c>
      <c r="W106" s="56">
        <f t="shared" si="26"/>
        <v>2</v>
      </c>
      <c r="X106" s="56">
        <f t="shared" si="27"/>
        <v>2816.912480475205</v>
      </c>
      <c r="Y106" s="56">
        <f t="shared" si="27"/>
        <v>300.99314905428798</v>
      </c>
      <c r="AA106" s="56">
        <f t="shared" si="39"/>
        <v>0</v>
      </c>
      <c r="AB106" s="56">
        <v>0</v>
      </c>
      <c r="AC106" s="56">
        <f t="shared" si="28"/>
        <v>0</v>
      </c>
      <c r="AE106" s="56">
        <v>0</v>
      </c>
      <c r="AF106" s="56">
        <f t="shared" si="29"/>
        <v>0</v>
      </c>
      <c r="AG106" s="56">
        <f t="shared" si="30"/>
        <v>0</v>
      </c>
      <c r="AI106" s="56">
        <f t="shared" si="31"/>
        <v>0</v>
      </c>
      <c r="AJ106" s="56">
        <f t="shared" si="32"/>
        <v>0</v>
      </c>
      <c r="AK106" s="56">
        <f t="shared" si="33"/>
        <v>0</v>
      </c>
      <c r="AM106" s="56">
        <f t="shared" si="34"/>
        <v>284674</v>
      </c>
      <c r="AN106" s="56">
        <f t="shared" si="35"/>
        <v>30218</v>
      </c>
      <c r="AO106" s="56">
        <f t="shared" si="36"/>
        <v>58200</v>
      </c>
      <c r="AP106" s="56"/>
      <c r="AQ106" s="56">
        <f t="shared" si="37"/>
        <v>373092</v>
      </c>
      <c r="AS106" s="56">
        <v>1202.237336798697</v>
      </c>
      <c r="AT106" s="56">
        <v>127.61688051379132</v>
      </c>
      <c r="AU106" s="56">
        <v>245.79066933293581</v>
      </c>
      <c r="AV106" s="56"/>
      <c r="AW106" s="56">
        <v>1575.6448866454241</v>
      </c>
      <c r="AY106" s="16">
        <v>1.0588727811580156E-2</v>
      </c>
      <c r="AZ106" s="16">
        <v>3.9431161454706043E-3</v>
      </c>
      <c r="BA106" s="16">
        <v>-9.2229941761690193E-2</v>
      </c>
      <c r="BB106" s="16">
        <f t="shared" si="38"/>
        <v>-7.479881527919785E-3</v>
      </c>
      <c r="BC106" s="16"/>
      <c r="BE106" s="16">
        <f>AM106/'2016-17 disagg'!AM106-1</f>
        <v>2.0029811812930953E-2</v>
      </c>
      <c r="BF106" s="16">
        <f>AN106/'2016-17 disagg'!AN106-1</f>
        <v>1.8401186303585781E-2</v>
      </c>
      <c r="BG106" s="16">
        <f>AO106/'2016-17 disagg'!AO106-1</f>
        <v>4.6010064701653475E-2</v>
      </c>
      <c r="BH106" s="16">
        <f>AQ106/'2016-17 disagg'!AQ106-1</f>
        <v>2.3864147795255697E-2</v>
      </c>
      <c r="BJ106" s="16">
        <f>AS106/'2016-17 disagg'!AS106-1</f>
        <v>1.4463708824717481E-2</v>
      </c>
      <c r="BK106" s="16">
        <f>AT106/'2016-17 disagg'!AT106-1</f>
        <v>1.2843970405935323E-2</v>
      </c>
      <c r="BL106" s="16">
        <f>AU106/'2016-17 disagg'!AU106-1</f>
        <v>4.0302192559672712E-2</v>
      </c>
      <c r="BM106" s="16">
        <f>AW106/'2016-17 disagg'!AW106-1</f>
        <v>1.8277121586248279E-2</v>
      </c>
    </row>
    <row r="107" spans="1:65" x14ac:dyDescent="0.2">
      <c r="A107" s="156" t="s">
        <v>259</v>
      </c>
      <c r="B107" s="156" t="s">
        <v>260</v>
      </c>
      <c r="D107" s="56">
        <f>VLOOKUP(A107,'2017-18'!$A$12:$AMX315,32,FALSE)</f>
        <v>331587.08925856178</v>
      </c>
      <c r="E107" s="56">
        <v>1734.066864394621</v>
      </c>
      <c r="F107" s="16">
        <f>VLOOKUP(A107,'2017-18'!$A$12:$AMX315,34,FALSE)</f>
        <v>2.3970012378790262E-2</v>
      </c>
      <c r="G107" s="16">
        <f>VLOOKUP(A107,'2017-18'!$A$12:$AMX315,35,FALSE)</f>
        <v>1.9139066537917637E-2</v>
      </c>
      <c r="H107" s="56"/>
      <c r="I107" s="56">
        <v>338268.05548921513</v>
      </c>
      <c r="J107" s="56">
        <v>1769.0056256974822</v>
      </c>
      <c r="K107" s="16">
        <f t="shared" si="23"/>
        <v>-1.9750508870815753E-2</v>
      </c>
      <c r="L107" s="58">
        <f t="shared" si="23"/>
        <v>-1.9750508870815753E-2</v>
      </c>
      <c r="M107" s="10"/>
      <c r="N107" s="56">
        <v>257435</v>
      </c>
      <c r="O107" s="56">
        <v>26228</v>
      </c>
      <c r="P107" s="56">
        <v>47758</v>
      </c>
      <c r="R107" s="56">
        <f t="shared" si="24"/>
        <v>47758</v>
      </c>
      <c r="S107" s="56">
        <f t="shared" si="25"/>
        <v>166.08925856178394</v>
      </c>
      <c r="U107" s="16">
        <v>-1.396149836403493E-2</v>
      </c>
      <c r="V107" s="16">
        <v>3.4679545479696428E-2</v>
      </c>
      <c r="W107" s="56">
        <f t="shared" si="26"/>
        <v>1</v>
      </c>
      <c r="X107" s="56">
        <f t="shared" si="27"/>
        <v>2610.8006895560584</v>
      </c>
      <c r="Y107" s="56">
        <f t="shared" si="27"/>
        <v>253.48911278457931</v>
      </c>
      <c r="AA107" s="56">
        <f t="shared" si="39"/>
        <v>166.08925856178394</v>
      </c>
      <c r="AB107" s="56">
        <v>0</v>
      </c>
      <c r="AC107" s="56">
        <f t="shared" si="28"/>
        <v>0</v>
      </c>
      <c r="AE107" s="56">
        <v>0</v>
      </c>
      <c r="AF107" s="56">
        <f t="shared" si="29"/>
        <v>0</v>
      </c>
      <c r="AG107" s="56">
        <f t="shared" si="30"/>
        <v>0</v>
      </c>
      <c r="AI107" s="56">
        <f t="shared" si="31"/>
        <v>0</v>
      </c>
      <c r="AJ107" s="56">
        <f t="shared" si="32"/>
        <v>0</v>
      </c>
      <c r="AK107" s="56">
        <f t="shared" si="33"/>
        <v>0</v>
      </c>
      <c r="AM107" s="56">
        <f t="shared" si="34"/>
        <v>257601</v>
      </c>
      <c r="AN107" s="56">
        <f t="shared" si="35"/>
        <v>26228</v>
      </c>
      <c r="AO107" s="56">
        <f t="shared" si="36"/>
        <v>47758</v>
      </c>
      <c r="AP107" s="56"/>
      <c r="AQ107" s="56">
        <f t="shared" si="37"/>
        <v>331587</v>
      </c>
      <c r="AS107" s="56">
        <v>1347.1494301353737</v>
      </c>
      <c r="AT107" s="56">
        <v>137.16187147406484</v>
      </c>
      <c r="AU107" s="56">
        <v>249.75509599887101</v>
      </c>
      <c r="AV107" s="56"/>
      <c r="AW107" s="56">
        <v>1734.0663976083094</v>
      </c>
      <c r="AY107" s="16">
        <v>-1.332567809378582E-2</v>
      </c>
      <c r="AZ107" s="16">
        <v>3.4679545479696428E-2</v>
      </c>
      <c r="BA107" s="16">
        <v>-7.8725849854851093E-2</v>
      </c>
      <c r="BB107" s="16">
        <f t="shared" si="38"/>
        <v>-1.9750772740135814E-2</v>
      </c>
      <c r="BC107" s="16"/>
      <c r="BE107" s="16">
        <f>AM107/'2016-17 disagg'!AM107-1</f>
        <v>2.0687059196449864E-2</v>
      </c>
      <c r="BF107" s="16">
        <f>AN107/'2016-17 disagg'!AN107-1</f>
        <v>1.8404907975460016E-2</v>
      </c>
      <c r="BG107" s="16">
        <f>AO107/'2016-17 disagg'!AO107-1</f>
        <v>4.5238668446740071E-2</v>
      </c>
      <c r="BH107" s="16">
        <f>AQ107/'2016-17 disagg'!AQ107-1</f>
        <v>2.3969736740523384E-2</v>
      </c>
      <c r="BJ107" s="16">
        <f>AS107/'2016-17 disagg'!AS107-1</f>
        <v>1.5871601864840601E-2</v>
      </c>
      <c r="BK107" s="16">
        <f>AT107/'2016-17 disagg'!AT107-1</f>
        <v>1.3600217510864265E-2</v>
      </c>
      <c r="BL107" s="16">
        <f>AU107/'2016-17 disagg'!AU107-1</f>
        <v>4.0307380091604061E-2</v>
      </c>
      <c r="BM107" s="16">
        <f>AW107/'2016-17 disagg'!AW107-1</f>
        <v>1.9138792200073196E-2</v>
      </c>
    </row>
    <row r="108" spans="1:65" x14ac:dyDescent="0.2">
      <c r="A108" s="156" t="s">
        <v>261</v>
      </c>
      <c r="B108" s="156" t="s">
        <v>262</v>
      </c>
      <c r="D108" s="56">
        <f>VLOOKUP(A108,'2017-18'!$A$12:$AMX316,32,FALSE)</f>
        <v>415049</v>
      </c>
      <c r="E108" s="56">
        <v>1428.9874969826315</v>
      </c>
      <c r="F108" s="16">
        <f>VLOOKUP(A108,'2017-18'!$A$12:$AMX316,34,FALSE)</f>
        <v>3.5476475005550956E-2</v>
      </c>
      <c r="G108" s="16">
        <f>VLOOKUP(A108,'2017-18'!$A$12:$AMX316,35,FALSE)</f>
        <v>2.1783546658329822E-2</v>
      </c>
      <c r="H108" s="56"/>
      <c r="I108" s="56">
        <v>427003.15752402059</v>
      </c>
      <c r="J108" s="56">
        <v>1470.1449064422045</v>
      </c>
      <c r="K108" s="16">
        <f t="shared" si="23"/>
        <v>-2.7995478050646727E-2</v>
      </c>
      <c r="L108" s="58">
        <f t="shared" si="23"/>
        <v>-2.7995478050646838E-2</v>
      </c>
      <c r="M108" s="10"/>
      <c r="N108" s="56">
        <v>302931</v>
      </c>
      <c r="O108" s="56">
        <v>32621</v>
      </c>
      <c r="P108" s="56">
        <v>79497</v>
      </c>
      <c r="R108" s="56">
        <f t="shared" si="24"/>
        <v>79497</v>
      </c>
      <c r="S108" s="56">
        <f t="shared" si="25"/>
        <v>0</v>
      </c>
      <c r="U108" s="16">
        <v>-4.2222116034199453E-2</v>
      </c>
      <c r="V108" s="16">
        <v>-5.41950951980954E-2</v>
      </c>
      <c r="W108" s="56">
        <f t="shared" si="26"/>
        <v>4</v>
      </c>
      <c r="X108" s="56">
        <f t="shared" si="27"/>
        <v>3162.8523175506607</v>
      </c>
      <c r="Y108" s="56">
        <f t="shared" si="27"/>
        <v>344.90199653629782</v>
      </c>
      <c r="AA108" s="56">
        <f t="shared" si="39"/>
        <v>0</v>
      </c>
      <c r="AB108" s="56">
        <v>0</v>
      </c>
      <c r="AC108" s="56">
        <f t="shared" si="28"/>
        <v>0</v>
      </c>
      <c r="AE108" s="56">
        <v>0</v>
      </c>
      <c r="AF108" s="56">
        <f t="shared" si="29"/>
        <v>0</v>
      </c>
      <c r="AG108" s="56">
        <f t="shared" si="30"/>
        <v>0</v>
      </c>
      <c r="AI108" s="56">
        <f t="shared" si="31"/>
        <v>0</v>
      </c>
      <c r="AJ108" s="56">
        <f t="shared" si="32"/>
        <v>0</v>
      </c>
      <c r="AK108" s="56">
        <f t="shared" si="33"/>
        <v>0</v>
      </c>
      <c r="AM108" s="56">
        <f t="shared" si="34"/>
        <v>302931</v>
      </c>
      <c r="AN108" s="56">
        <f t="shared" si="35"/>
        <v>32621</v>
      </c>
      <c r="AO108" s="56">
        <f t="shared" si="36"/>
        <v>79497</v>
      </c>
      <c r="AP108" s="56"/>
      <c r="AQ108" s="56">
        <f t="shared" si="37"/>
        <v>415049</v>
      </c>
      <c r="AS108" s="56">
        <v>1042.9723031460032</v>
      </c>
      <c r="AT108" s="56">
        <v>112.31204300954928</v>
      </c>
      <c r="AU108" s="56">
        <v>273.70315082707884</v>
      </c>
      <c r="AV108" s="56"/>
      <c r="AW108" s="56">
        <v>1428.9874969826315</v>
      </c>
      <c r="AY108" s="16">
        <v>-4.2222116034199453E-2</v>
      </c>
      <c r="AZ108" s="16">
        <v>-5.41950951980954E-2</v>
      </c>
      <c r="BA108" s="16">
        <v>4.2888251444483716E-2</v>
      </c>
      <c r="BB108" s="16">
        <f t="shared" si="38"/>
        <v>-2.7995478050646727E-2</v>
      </c>
      <c r="BC108" s="16"/>
      <c r="BE108" s="16">
        <f>AM108/'2016-17 disagg'!AM108-1</f>
        <v>2.4668682645667905E-2</v>
      </c>
      <c r="BF108" s="16">
        <f>AN108/'2016-17 disagg'!AN108-1</f>
        <v>9.5252484555466088E-2</v>
      </c>
      <c r="BG108" s="16">
        <f>AO108/'2016-17 disagg'!AO108-1</f>
        <v>5.4238996379646354E-2</v>
      </c>
      <c r="BH108" s="16">
        <f>AQ108/'2016-17 disagg'!AQ108-1</f>
        <v>3.5476475005550956E-2</v>
      </c>
      <c r="BJ108" s="16">
        <f>AS108/'2016-17 disagg'!AS108-1</f>
        <v>1.111867432603586E-2</v>
      </c>
      <c r="BK108" s="16">
        <f>AT108/'2016-17 disagg'!AT108-1</f>
        <v>8.0769090528524545E-2</v>
      </c>
      <c r="BL108" s="16">
        <f>AU108/'2016-17 disagg'!AU108-1</f>
        <v>4.0297956301265758E-2</v>
      </c>
      <c r="BM108" s="16">
        <f>AW108/'2016-17 disagg'!AW108-1</f>
        <v>2.1783546658329822E-2</v>
      </c>
    </row>
    <row r="109" spans="1:65" x14ac:dyDescent="0.2">
      <c r="A109" s="156" t="s">
        <v>263</v>
      </c>
      <c r="B109" s="156" t="s">
        <v>264</v>
      </c>
      <c r="D109" s="56">
        <f>VLOOKUP(A109,'2017-18'!$A$12:$AMX317,32,FALSE)</f>
        <v>1016868.2508239805</v>
      </c>
      <c r="E109" s="56">
        <v>1515.6493732015247</v>
      </c>
      <c r="F109" s="16">
        <f>VLOOKUP(A109,'2017-18'!$A$12:$AMX317,34,FALSE)</f>
        <v>2.8791949518904625E-2</v>
      </c>
      <c r="G109" s="16">
        <f>VLOOKUP(A109,'2017-18'!$A$12:$AMX317,35,FALSE)</f>
        <v>2.0761603733054912E-2</v>
      </c>
      <c r="H109" s="56"/>
      <c r="I109" s="56">
        <v>1044292.7624549397</v>
      </c>
      <c r="J109" s="56">
        <v>1556.5258031914859</v>
      </c>
      <c r="K109" s="16">
        <f t="shared" si="23"/>
        <v>-2.6261325000940472E-2</v>
      </c>
      <c r="L109" s="58">
        <f t="shared" si="23"/>
        <v>-2.626132500094025E-2</v>
      </c>
      <c r="M109" s="10"/>
      <c r="N109" s="56">
        <v>773059</v>
      </c>
      <c r="O109" s="56">
        <v>82260</v>
      </c>
      <c r="P109" s="56">
        <v>157074</v>
      </c>
      <c r="R109" s="56">
        <f t="shared" si="24"/>
        <v>157074</v>
      </c>
      <c r="S109" s="56">
        <f t="shared" si="25"/>
        <v>4475.2508239805466</v>
      </c>
      <c r="U109" s="16">
        <v>-3.2301022168252813E-2</v>
      </c>
      <c r="V109" s="16">
        <v>-1.9104190138892085E-2</v>
      </c>
      <c r="W109" s="56">
        <f t="shared" si="26"/>
        <v>4</v>
      </c>
      <c r="X109" s="56">
        <f t="shared" si="27"/>
        <v>7988.6309452567284</v>
      </c>
      <c r="Y109" s="56">
        <f t="shared" si="27"/>
        <v>838.62117844756403</v>
      </c>
      <c r="AA109" s="56">
        <f t="shared" si="39"/>
        <v>0</v>
      </c>
      <c r="AB109" s="56">
        <v>0</v>
      </c>
      <c r="AC109" s="56">
        <f t="shared" si="28"/>
        <v>4475.2508239805466</v>
      </c>
      <c r="AE109" s="56">
        <v>0</v>
      </c>
      <c r="AF109" s="56">
        <f t="shared" si="29"/>
        <v>0</v>
      </c>
      <c r="AG109" s="56">
        <f t="shared" si="30"/>
        <v>4475.2508239805466</v>
      </c>
      <c r="AI109" s="56">
        <f t="shared" si="31"/>
        <v>4050.0856573737424</v>
      </c>
      <c r="AJ109" s="56">
        <f t="shared" si="32"/>
        <v>425.16516660680372</v>
      </c>
      <c r="AK109" s="56">
        <f t="shared" si="33"/>
        <v>0</v>
      </c>
      <c r="AM109" s="56">
        <f t="shared" si="34"/>
        <v>777109</v>
      </c>
      <c r="AN109" s="56">
        <f t="shared" si="35"/>
        <v>82685</v>
      </c>
      <c r="AO109" s="56">
        <f t="shared" si="36"/>
        <v>157074</v>
      </c>
      <c r="AP109" s="56"/>
      <c r="AQ109" s="56">
        <f t="shared" si="37"/>
        <v>1016868</v>
      </c>
      <c r="AS109" s="56">
        <v>1158.2865015255004</v>
      </c>
      <c r="AT109" s="56">
        <v>123.24258164380545</v>
      </c>
      <c r="AU109" s="56">
        <v>234.11991617728847</v>
      </c>
      <c r="AV109" s="56"/>
      <c r="AW109" s="56">
        <v>1515.6489993465943</v>
      </c>
      <c r="AY109" s="16">
        <v>-2.7231317449442849E-2</v>
      </c>
      <c r="AZ109" s="16">
        <v>-1.4036347697961249E-2</v>
      </c>
      <c r="BA109" s="16">
        <v>-2.7812206610548063E-2</v>
      </c>
      <c r="BB109" s="16">
        <f t="shared" si="38"/>
        <v>-2.6261565186441738E-2</v>
      </c>
      <c r="BC109" s="16"/>
      <c r="BE109" s="16">
        <f>AM109/'2016-17 disagg'!AM109-1</f>
        <v>2.5373443518028616E-2</v>
      </c>
      <c r="BF109" s="16">
        <f>AN109/'2016-17 disagg'!AN109-1</f>
        <v>2.434340931615453E-2</v>
      </c>
      <c r="BG109" s="16">
        <f>AO109/'2016-17 disagg'!AO109-1</f>
        <v>4.8481086168572496E-2</v>
      </c>
      <c r="BH109" s="16">
        <f>AQ109/'2016-17 disagg'!AQ109-1</f>
        <v>2.8791695753786373E-2</v>
      </c>
      <c r="BJ109" s="16">
        <f>AS109/'2016-17 disagg'!AS109-1</f>
        <v>1.7369781247024374E-2</v>
      </c>
      <c r="BK109" s="16">
        <f>AT109/'2016-17 disagg'!AT109-1</f>
        <v>1.63477870874702E-2</v>
      </c>
      <c r="BL109" s="16">
        <f>AU109/'2016-17 disagg'!AU109-1</f>
        <v>4.0297054717126635E-2</v>
      </c>
      <c r="BM109" s="16">
        <f>AW109/'2016-17 disagg'!AW109-1</f>
        <v>2.0761351948727524E-2</v>
      </c>
    </row>
    <row r="110" spans="1:65" x14ac:dyDescent="0.2">
      <c r="A110" s="156" t="s">
        <v>265</v>
      </c>
      <c r="B110" s="156" t="s">
        <v>266</v>
      </c>
      <c r="D110" s="56">
        <f>VLOOKUP(A110,'2017-18'!$A$12:$AMX318,32,FALSE)</f>
        <v>212546.87530592424</v>
      </c>
      <c r="E110" s="56">
        <v>1602.046775922822</v>
      </c>
      <c r="F110" s="16">
        <f>VLOOKUP(A110,'2017-18'!$A$12:$AMX318,34,FALSE)</f>
        <v>2.5384737467372132E-2</v>
      </c>
      <c r="G110" s="16">
        <f>VLOOKUP(A110,'2017-18'!$A$12:$AMX318,35,FALSE)</f>
        <v>1.9378430014927339E-2</v>
      </c>
      <c r="H110" s="56"/>
      <c r="I110" s="56">
        <v>216975.34837208592</v>
      </c>
      <c r="J110" s="56">
        <v>1635.425864595351</v>
      </c>
      <c r="K110" s="16">
        <f t="shared" si="23"/>
        <v>-2.0410028601808738E-2</v>
      </c>
      <c r="L110" s="58">
        <f t="shared" si="23"/>
        <v>-2.0410028601808738E-2</v>
      </c>
      <c r="M110" s="10"/>
      <c r="N110" s="56">
        <v>167188</v>
      </c>
      <c r="O110" s="56">
        <v>17162</v>
      </c>
      <c r="P110" s="56">
        <v>27760</v>
      </c>
      <c r="R110" s="56">
        <f t="shared" si="24"/>
        <v>27760</v>
      </c>
      <c r="S110" s="56">
        <f t="shared" si="25"/>
        <v>436.87530592424446</v>
      </c>
      <c r="U110" s="16">
        <v>-1.493737245565141E-2</v>
      </c>
      <c r="V110" s="16">
        <v>3.1751728694400239E-2</v>
      </c>
      <c r="W110" s="56">
        <f t="shared" si="26"/>
        <v>1</v>
      </c>
      <c r="X110" s="56">
        <f t="shared" si="27"/>
        <v>1697.2321893561332</v>
      </c>
      <c r="Y110" s="56">
        <f t="shared" si="27"/>
        <v>166.3384661513206</v>
      </c>
      <c r="AA110" s="56">
        <f t="shared" si="39"/>
        <v>436.87530592424446</v>
      </c>
      <c r="AB110" s="56">
        <v>0</v>
      </c>
      <c r="AC110" s="56">
        <f t="shared" si="28"/>
        <v>0</v>
      </c>
      <c r="AE110" s="56">
        <v>0</v>
      </c>
      <c r="AF110" s="56">
        <f t="shared" si="29"/>
        <v>0</v>
      </c>
      <c r="AG110" s="56">
        <f t="shared" si="30"/>
        <v>0</v>
      </c>
      <c r="AI110" s="56">
        <f t="shared" si="31"/>
        <v>0</v>
      </c>
      <c r="AJ110" s="56">
        <f t="shared" si="32"/>
        <v>0</v>
      </c>
      <c r="AK110" s="56">
        <f t="shared" si="33"/>
        <v>0</v>
      </c>
      <c r="AM110" s="56">
        <f t="shared" si="34"/>
        <v>167625</v>
      </c>
      <c r="AN110" s="56">
        <f t="shared" si="35"/>
        <v>17162</v>
      </c>
      <c r="AO110" s="56">
        <f t="shared" si="36"/>
        <v>27760</v>
      </c>
      <c r="AP110" s="56"/>
      <c r="AQ110" s="56">
        <f t="shared" si="37"/>
        <v>212547</v>
      </c>
      <c r="AS110" s="56">
        <v>1263.4534872721229</v>
      </c>
      <c r="AT110" s="56">
        <v>129.35653242991305</v>
      </c>
      <c r="AU110" s="56">
        <v>209.23769608754142</v>
      </c>
      <c r="AV110" s="56"/>
      <c r="AW110" s="56">
        <v>1602.0477157895773</v>
      </c>
      <c r="AY110" s="16">
        <v>-1.2362592158998043E-2</v>
      </c>
      <c r="AZ110" s="16">
        <v>3.1751728694400239E-2</v>
      </c>
      <c r="BA110" s="16">
        <v>-9.3352159493032105E-2</v>
      </c>
      <c r="BB110" s="16">
        <f t="shared" si="38"/>
        <v>-2.0409453909445263E-2</v>
      </c>
      <c r="BC110" s="16"/>
      <c r="BE110" s="16">
        <f>AM110/'2016-17 disagg'!AM110-1</f>
        <v>2.2696073945273287E-2</v>
      </c>
      <c r="BF110" s="16">
        <f>AN110/'2016-17 disagg'!AN110-1</f>
        <v>1.8395442677427098E-2</v>
      </c>
      <c r="BG110" s="16">
        <f>AO110/'2016-17 disagg'!AO110-1</f>
        <v>4.6441495778045905E-2</v>
      </c>
      <c r="BH110" s="16">
        <f>AQ110/'2016-17 disagg'!AQ110-1</f>
        <v>2.5385339025978615E-2</v>
      </c>
      <c r="BJ110" s="16">
        <f>AS110/'2016-17 disagg'!AS110-1</f>
        <v>1.6705515644497515E-2</v>
      </c>
      <c r="BK110" s="16">
        <f>AT110/'2016-17 disagg'!AT110-1</f>
        <v>1.2430075812305263E-2</v>
      </c>
      <c r="BL110" s="16">
        <f>AU110/'2016-17 disagg'!AU110-1</f>
        <v>4.0311845974438043E-2</v>
      </c>
      <c r="BM110" s="16">
        <f>AW110/'2016-17 disagg'!AW110-1</f>
        <v>1.9379028049836045E-2</v>
      </c>
    </row>
    <row r="111" spans="1:65" x14ac:dyDescent="0.2">
      <c r="A111" s="156" t="s">
        <v>267</v>
      </c>
      <c r="B111" s="156" t="s">
        <v>268</v>
      </c>
      <c r="D111" s="56">
        <f>VLOOKUP(A111,'2017-18'!$A$12:$AMX319,32,FALSE)</f>
        <v>506887</v>
      </c>
      <c r="E111" s="56">
        <v>1728.3153644206989</v>
      </c>
      <c r="F111" s="16">
        <f>VLOOKUP(A111,'2017-18'!$A$12:$AMX319,34,FALSE)</f>
        <v>1.6840791828153678E-2</v>
      </c>
      <c r="G111" s="16">
        <f>VLOOKUP(A111,'2017-18'!$A$12:$AMX319,35,FALSE)</f>
        <v>1.324786787779364E-2</v>
      </c>
      <c r="H111" s="56"/>
      <c r="I111" s="56">
        <v>477467.22032260086</v>
      </c>
      <c r="J111" s="56">
        <v>1628.003742236029</v>
      </c>
      <c r="K111" s="16">
        <f t="shared" si="23"/>
        <v>6.1616333907742682E-2</v>
      </c>
      <c r="L111" s="58">
        <f t="shared" si="23"/>
        <v>6.1616333907742682E-2</v>
      </c>
      <c r="M111" s="10"/>
      <c r="N111" s="56">
        <v>395277</v>
      </c>
      <c r="O111" s="56">
        <v>38875</v>
      </c>
      <c r="P111" s="56">
        <v>72735</v>
      </c>
      <c r="R111" s="56">
        <f t="shared" si="24"/>
        <v>72735</v>
      </c>
      <c r="S111" s="56">
        <f t="shared" si="25"/>
        <v>0</v>
      </c>
      <c r="U111" s="16">
        <v>6.1404072675444343E-2</v>
      </c>
      <c r="V111" s="16">
        <v>6.2301325797755602E-2</v>
      </c>
      <c r="W111" s="56">
        <f t="shared" si="26"/>
        <v>2</v>
      </c>
      <c r="X111" s="56">
        <f t="shared" si="27"/>
        <v>3724.0953768307954</v>
      </c>
      <c r="Y111" s="56">
        <f t="shared" si="27"/>
        <v>365.95078115718314</v>
      </c>
      <c r="AA111" s="56">
        <f t="shared" si="39"/>
        <v>0</v>
      </c>
      <c r="AB111" s="56">
        <v>0</v>
      </c>
      <c r="AC111" s="56">
        <f t="shared" si="28"/>
        <v>0</v>
      </c>
      <c r="AE111" s="56">
        <v>0</v>
      </c>
      <c r="AF111" s="56">
        <f t="shared" si="29"/>
        <v>0</v>
      </c>
      <c r="AG111" s="56">
        <f t="shared" si="30"/>
        <v>0</v>
      </c>
      <c r="AI111" s="56">
        <f t="shared" si="31"/>
        <v>0</v>
      </c>
      <c r="AJ111" s="56">
        <f t="shared" si="32"/>
        <v>0</v>
      </c>
      <c r="AK111" s="56">
        <f t="shared" si="33"/>
        <v>0</v>
      </c>
      <c r="AM111" s="56">
        <f t="shared" si="34"/>
        <v>395277</v>
      </c>
      <c r="AN111" s="56">
        <f t="shared" si="35"/>
        <v>38875</v>
      </c>
      <c r="AO111" s="56">
        <f t="shared" si="36"/>
        <v>72735</v>
      </c>
      <c r="AP111" s="56"/>
      <c r="AQ111" s="56">
        <f t="shared" si="37"/>
        <v>506887</v>
      </c>
      <c r="AS111" s="56">
        <v>1347.762543332381</v>
      </c>
      <c r="AT111" s="56">
        <v>132.55076534189013</v>
      </c>
      <c r="AU111" s="56">
        <v>248.00205574642777</v>
      </c>
      <c r="AV111" s="56"/>
      <c r="AW111" s="56">
        <v>1728.3153644206989</v>
      </c>
      <c r="AY111" s="16">
        <v>6.1404072675444343E-2</v>
      </c>
      <c r="AZ111" s="16">
        <v>6.2301325797755602E-2</v>
      </c>
      <c r="BA111" s="16">
        <v>6.2404804869957475E-2</v>
      </c>
      <c r="BB111" s="16">
        <f t="shared" si="38"/>
        <v>6.1616333907742682E-2</v>
      </c>
      <c r="BC111" s="16"/>
      <c r="BE111" s="16">
        <f>AM111/'2016-17 disagg'!AM111-1</f>
        <v>1.2378215569966544E-2</v>
      </c>
      <c r="BF111" s="16">
        <f>AN111/'2016-17 disagg'!AN111-1</f>
        <v>1.2950127677315182E-2</v>
      </c>
      <c r="BG111" s="16">
        <f>AO111/'2016-17 disagg'!AO111-1</f>
        <v>4.3993110377493982E-2</v>
      </c>
      <c r="BH111" s="16">
        <f>AQ111/'2016-17 disagg'!AQ111-1</f>
        <v>1.6840791828153678E-2</v>
      </c>
      <c r="BJ111" s="16">
        <f>AS111/'2016-17 disagg'!AS111-1</f>
        <v>8.8010597686098979E-3</v>
      </c>
      <c r="BK111" s="16">
        <f>AT111/'2016-17 disagg'!AT111-1</f>
        <v>9.3709510712025601E-3</v>
      </c>
      <c r="BL111" s="16">
        <f>AU111/'2016-17 disagg'!AU111-1</f>
        <v>4.0304245925525395E-2</v>
      </c>
      <c r="BM111" s="16">
        <f>AW111/'2016-17 disagg'!AW111-1</f>
        <v>1.324786787779364E-2</v>
      </c>
    </row>
    <row r="112" spans="1:65" x14ac:dyDescent="0.2">
      <c r="A112" s="156" t="s">
        <v>269</v>
      </c>
      <c r="B112" s="156" t="s">
        <v>270</v>
      </c>
      <c r="D112" s="56">
        <f>VLOOKUP(A112,'2017-18'!$A$12:$AMX320,32,FALSE)</f>
        <v>587137</v>
      </c>
      <c r="E112" s="56">
        <v>1634.4597219821035</v>
      </c>
      <c r="F112" s="16">
        <f>VLOOKUP(A112,'2017-18'!$A$12:$AMX320,34,FALSE)</f>
        <v>2.5735229889274347E-2</v>
      </c>
      <c r="G112" s="16">
        <f>VLOOKUP(A112,'2017-18'!$A$12:$AMX320,35,FALSE)</f>
        <v>2.0765784534420018E-2</v>
      </c>
      <c r="H112" s="56"/>
      <c r="I112" s="56">
        <v>589484.5905228348</v>
      </c>
      <c r="J112" s="56">
        <v>1640.9948954650902</v>
      </c>
      <c r="K112" s="16">
        <f t="shared" si="23"/>
        <v>-3.9824459546137225E-3</v>
      </c>
      <c r="L112" s="58">
        <f t="shared" si="23"/>
        <v>-3.9824459546137225E-3</v>
      </c>
      <c r="M112" s="10"/>
      <c r="N112" s="56">
        <v>428640</v>
      </c>
      <c r="O112" s="56">
        <v>47195</v>
      </c>
      <c r="P112" s="56">
        <v>111302</v>
      </c>
      <c r="R112" s="56">
        <f t="shared" si="24"/>
        <v>111302</v>
      </c>
      <c r="S112" s="56">
        <f t="shared" si="25"/>
        <v>0</v>
      </c>
      <c r="U112" s="16">
        <v>4.3517131176606938E-4</v>
      </c>
      <c r="V112" s="16">
        <v>-4.77736954219663E-2</v>
      </c>
      <c r="W112" s="56">
        <f t="shared" si="26"/>
        <v>3</v>
      </c>
      <c r="X112" s="56">
        <f t="shared" si="27"/>
        <v>4284.5354930691728</v>
      </c>
      <c r="Y112" s="56">
        <f t="shared" si="27"/>
        <v>495.62798016710775</v>
      </c>
      <c r="AA112" s="56">
        <f t="shared" si="39"/>
        <v>0</v>
      </c>
      <c r="AB112" s="56">
        <v>0</v>
      </c>
      <c r="AC112" s="56">
        <f t="shared" si="28"/>
        <v>0</v>
      </c>
      <c r="AE112" s="56">
        <v>0</v>
      </c>
      <c r="AF112" s="56">
        <f t="shared" si="29"/>
        <v>0</v>
      </c>
      <c r="AG112" s="56">
        <f t="shared" si="30"/>
        <v>0</v>
      </c>
      <c r="AI112" s="56">
        <f t="shared" si="31"/>
        <v>0</v>
      </c>
      <c r="AJ112" s="56">
        <f t="shared" si="32"/>
        <v>0</v>
      </c>
      <c r="AK112" s="56">
        <f t="shared" si="33"/>
        <v>0</v>
      </c>
      <c r="AM112" s="56">
        <f t="shared" si="34"/>
        <v>428640</v>
      </c>
      <c r="AN112" s="56">
        <f t="shared" si="35"/>
        <v>47195</v>
      </c>
      <c r="AO112" s="56">
        <f t="shared" si="36"/>
        <v>111302</v>
      </c>
      <c r="AP112" s="56"/>
      <c r="AQ112" s="56">
        <f t="shared" si="37"/>
        <v>587137</v>
      </c>
      <c r="AS112" s="56">
        <v>1193.2390825827854</v>
      </c>
      <c r="AT112" s="56">
        <v>131.38045563291936</v>
      </c>
      <c r="AU112" s="56">
        <v>309.84018376639881</v>
      </c>
      <c r="AV112" s="56"/>
      <c r="AW112" s="56">
        <v>1634.4597219821035</v>
      </c>
      <c r="AY112" s="16">
        <v>4.3517131176606938E-4</v>
      </c>
      <c r="AZ112" s="16">
        <v>-4.77736954219663E-2</v>
      </c>
      <c r="BA112" s="16">
        <v>-1.4913951672279602E-3</v>
      </c>
      <c r="BB112" s="16">
        <f t="shared" si="38"/>
        <v>-3.9824459546137225E-3</v>
      </c>
      <c r="BC112" s="16"/>
      <c r="BE112" s="16">
        <f>AM112/'2016-17 disagg'!AM112-1</f>
        <v>2.0029841298548678E-2</v>
      </c>
      <c r="BF112" s="16">
        <f>AN112/'2016-17 disagg'!AN112-1</f>
        <v>3.2464833409901361E-2</v>
      </c>
      <c r="BG112" s="16">
        <f>AO112/'2016-17 disagg'!AO112-1</f>
        <v>4.5364039371853737E-2</v>
      </c>
      <c r="BH112" s="16">
        <f>AQ112/'2016-17 disagg'!AQ112-1</f>
        <v>2.5735229889274347E-2</v>
      </c>
      <c r="BJ112" s="16">
        <f>AS112/'2016-17 disagg'!AS112-1</f>
        <v>1.5088037206277161E-2</v>
      </c>
      <c r="BK112" s="16">
        <f>AT112/'2016-17 disagg'!AT112-1</f>
        <v>2.7462784712604327E-2</v>
      </c>
      <c r="BL112" s="16">
        <f>AU112/'2016-17 disagg'!AU112-1</f>
        <v>4.0299497062870948E-2</v>
      </c>
      <c r="BM112" s="16">
        <f>AW112/'2016-17 disagg'!AW112-1</f>
        <v>2.0765784534420018E-2</v>
      </c>
    </row>
    <row r="113" spans="1:65" x14ac:dyDescent="0.2">
      <c r="A113" s="156" t="s">
        <v>271</v>
      </c>
      <c r="B113" s="156" t="s">
        <v>272</v>
      </c>
      <c r="D113" s="56">
        <f>VLOOKUP(A113,'2017-18'!$A$12:$AMX321,32,FALSE)</f>
        <v>240933.9883247801</v>
      </c>
      <c r="E113" s="56">
        <v>1585.6756939845636</v>
      </c>
      <c r="F113" s="16">
        <f>VLOOKUP(A113,'2017-18'!$A$12:$AMX321,34,FALSE)</f>
        <v>2.6119941247184197E-2</v>
      </c>
      <c r="G113" s="16">
        <f>VLOOKUP(A113,'2017-18'!$A$12:$AMX321,35,FALSE)</f>
        <v>2.0013310849492427E-2</v>
      </c>
      <c r="H113" s="56"/>
      <c r="I113" s="56">
        <v>246656.88650970109</v>
      </c>
      <c r="J113" s="56">
        <v>1623.3402037288047</v>
      </c>
      <c r="K113" s="16">
        <f t="shared" si="23"/>
        <v>-2.3201858524618535E-2</v>
      </c>
      <c r="L113" s="58">
        <f t="shared" si="23"/>
        <v>-2.3201858524618424E-2</v>
      </c>
      <c r="M113" s="10"/>
      <c r="N113" s="56">
        <v>185775</v>
      </c>
      <c r="O113" s="56">
        <v>19181</v>
      </c>
      <c r="P113" s="56">
        <v>35415</v>
      </c>
      <c r="R113" s="56">
        <f t="shared" si="24"/>
        <v>35415</v>
      </c>
      <c r="S113" s="56">
        <f t="shared" si="25"/>
        <v>562.98832478010445</v>
      </c>
      <c r="U113" s="16">
        <v>-2.3294852224558404E-2</v>
      </c>
      <c r="V113" s="16">
        <v>1.8015486634845423E-2</v>
      </c>
      <c r="W113" s="56">
        <f t="shared" si="26"/>
        <v>1</v>
      </c>
      <c r="X113" s="56">
        <f t="shared" si="27"/>
        <v>1902.0581638493863</v>
      </c>
      <c r="Y113" s="56">
        <f t="shared" si="27"/>
        <v>188.41560125381551</v>
      </c>
      <c r="AA113" s="56">
        <f t="shared" si="39"/>
        <v>562.98832478010445</v>
      </c>
      <c r="AB113" s="56">
        <v>0</v>
      </c>
      <c r="AC113" s="56">
        <f t="shared" si="28"/>
        <v>0</v>
      </c>
      <c r="AE113" s="56">
        <v>0</v>
      </c>
      <c r="AF113" s="56">
        <f t="shared" si="29"/>
        <v>0</v>
      </c>
      <c r="AG113" s="56">
        <f t="shared" si="30"/>
        <v>0</v>
      </c>
      <c r="AI113" s="56">
        <f t="shared" si="31"/>
        <v>0</v>
      </c>
      <c r="AJ113" s="56">
        <f t="shared" si="32"/>
        <v>0</v>
      </c>
      <c r="AK113" s="56">
        <f t="shared" si="33"/>
        <v>0</v>
      </c>
      <c r="AM113" s="56">
        <f t="shared" si="34"/>
        <v>186338</v>
      </c>
      <c r="AN113" s="56">
        <f t="shared" si="35"/>
        <v>19181</v>
      </c>
      <c r="AO113" s="56">
        <f t="shared" si="36"/>
        <v>35415</v>
      </c>
      <c r="AP113" s="56"/>
      <c r="AQ113" s="56">
        <f t="shared" si="37"/>
        <v>240934</v>
      </c>
      <c r="AS113" s="56">
        <v>1226.3593008197686</v>
      </c>
      <c r="AT113" s="56">
        <v>126.23725568066621</v>
      </c>
      <c r="AU113" s="56">
        <v>233.07921432306938</v>
      </c>
      <c r="AV113" s="56"/>
      <c r="AW113" s="56">
        <v>1585.6757708235041</v>
      </c>
      <c r="AY113" s="16">
        <v>-2.0334900679961021E-2</v>
      </c>
      <c r="AZ113" s="16">
        <v>1.8015486634845423E-2</v>
      </c>
      <c r="BA113" s="16">
        <v>-5.83498694722967E-2</v>
      </c>
      <c r="BB113" s="16">
        <f t="shared" si="38"/>
        <v>-2.320181119076925E-2</v>
      </c>
      <c r="BC113" s="16"/>
      <c r="BE113" s="16">
        <f>AM113/'2016-17 disagg'!AM113-1</f>
        <v>2.3121228593234289E-2</v>
      </c>
      <c r="BF113" s="16">
        <f>AN113/'2016-17 disagg'!AN113-1</f>
        <v>1.8424126579590139E-2</v>
      </c>
      <c r="BG113" s="16">
        <f>AO113/'2016-17 disagg'!AO113-1</f>
        <v>4.6542553191489366E-2</v>
      </c>
      <c r="BH113" s="16">
        <f>AQ113/'2016-17 disagg'!AQ113-1</f>
        <v>2.6119990971077645E-2</v>
      </c>
      <c r="BJ113" s="16">
        <f>AS113/'2016-17 disagg'!AS113-1</f>
        <v>1.7032444091631627E-2</v>
      </c>
      <c r="BK113" s="16">
        <f>AT113/'2016-17 disagg'!AT113-1</f>
        <v>1.2363295404674179E-2</v>
      </c>
      <c r="BL113" s="16">
        <f>AU113/'2016-17 disagg'!AU113-1</f>
        <v>4.0314384036108208E-2</v>
      </c>
      <c r="BM113" s="16">
        <f>AW113/'2016-17 disagg'!AW113-1</f>
        <v>2.0013360277469472E-2</v>
      </c>
    </row>
    <row r="114" spans="1:65" x14ac:dyDescent="0.2">
      <c r="A114" s="156" t="s">
        <v>273</v>
      </c>
      <c r="B114" s="156" t="s">
        <v>274</v>
      </c>
      <c r="D114" s="56">
        <f>VLOOKUP(A114,'2017-18'!$A$12:$AMX322,32,FALSE)</f>
        <v>153998</v>
      </c>
      <c r="E114" s="56">
        <v>1604.8672679594972</v>
      </c>
      <c r="F114" s="16">
        <f>VLOOKUP(A114,'2017-18'!$A$12:$AMX322,34,FALSE)</f>
        <v>2.3609800194089647E-2</v>
      </c>
      <c r="G114" s="16">
        <f>VLOOKUP(A114,'2017-18'!$A$12:$AMX322,35,FALSE)</f>
        <v>1.6775216140340055E-2</v>
      </c>
      <c r="H114" s="56"/>
      <c r="I114" s="56">
        <v>153812.6772999246</v>
      </c>
      <c r="J114" s="56">
        <v>1602.9359549855569</v>
      </c>
      <c r="K114" s="16">
        <f t="shared" si="23"/>
        <v>1.2048597250149395E-3</v>
      </c>
      <c r="L114" s="58">
        <f t="shared" si="23"/>
        <v>1.2048597250149395E-3</v>
      </c>
      <c r="M114" s="10"/>
      <c r="N114" s="56">
        <v>119534</v>
      </c>
      <c r="O114" s="56">
        <v>12413</v>
      </c>
      <c r="P114" s="56">
        <v>22051</v>
      </c>
      <c r="R114" s="56">
        <f t="shared" si="24"/>
        <v>22051</v>
      </c>
      <c r="S114" s="56">
        <f t="shared" si="25"/>
        <v>0</v>
      </c>
      <c r="U114" s="16">
        <v>8.2827142014363364E-3</v>
      </c>
      <c r="V114" s="16">
        <v>4.2128846891530403E-2</v>
      </c>
      <c r="W114" s="56">
        <f t="shared" si="26"/>
        <v>2</v>
      </c>
      <c r="X114" s="56">
        <f t="shared" si="27"/>
        <v>1185.5206711013723</v>
      </c>
      <c r="Y114" s="56">
        <f t="shared" si="27"/>
        <v>119.11195085929718</v>
      </c>
      <c r="AA114" s="56">
        <f t="shared" si="39"/>
        <v>0</v>
      </c>
      <c r="AB114" s="56">
        <v>0</v>
      </c>
      <c r="AC114" s="56">
        <f t="shared" si="28"/>
        <v>0</v>
      </c>
      <c r="AE114" s="56">
        <v>0</v>
      </c>
      <c r="AF114" s="56">
        <f t="shared" si="29"/>
        <v>0</v>
      </c>
      <c r="AG114" s="56">
        <f t="shared" si="30"/>
        <v>0</v>
      </c>
      <c r="AI114" s="56">
        <f t="shared" si="31"/>
        <v>0</v>
      </c>
      <c r="AJ114" s="56">
        <f t="shared" si="32"/>
        <v>0</v>
      </c>
      <c r="AK114" s="56">
        <f t="shared" si="33"/>
        <v>0</v>
      </c>
      <c r="AM114" s="56">
        <f t="shared" si="34"/>
        <v>119534</v>
      </c>
      <c r="AN114" s="56">
        <f t="shared" si="35"/>
        <v>12413</v>
      </c>
      <c r="AO114" s="56">
        <f t="shared" si="36"/>
        <v>22051</v>
      </c>
      <c r="AP114" s="56"/>
      <c r="AQ114" s="56">
        <f t="shared" si="37"/>
        <v>153998</v>
      </c>
      <c r="AS114" s="56">
        <v>1245.705814414931</v>
      </c>
      <c r="AT114" s="56">
        <v>129.36023453019675</v>
      </c>
      <c r="AU114" s="56">
        <v>229.80121901436948</v>
      </c>
      <c r="AV114" s="56"/>
      <c r="AW114" s="56">
        <v>1604.8672679594972</v>
      </c>
      <c r="AY114" s="16">
        <v>8.2827142014363364E-3</v>
      </c>
      <c r="AZ114" s="16">
        <v>4.2128846891530403E-2</v>
      </c>
      <c r="BA114" s="16">
        <v>-5.5608035493922348E-2</v>
      </c>
      <c r="BB114" s="16">
        <f t="shared" si="38"/>
        <v>1.2048597250149395E-3</v>
      </c>
      <c r="BC114" s="16"/>
      <c r="BE114" s="16">
        <f>AM114/'2016-17 disagg'!AM114-1</f>
        <v>2.0027818785360196E-2</v>
      </c>
      <c r="BF114" s="16">
        <f>AN114/'2016-17 disagg'!AN114-1</f>
        <v>1.7125532612258354E-2</v>
      </c>
      <c r="BG114" s="16">
        <f>AO114/'2016-17 disagg'!AO114-1</f>
        <v>4.7304678223699881E-2</v>
      </c>
      <c r="BH114" s="16">
        <f>AQ114/'2016-17 disagg'!AQ114-1</f>
        <v>2.3609800194089647E-2</v>
      </c>
      <c r="BJ114" s="16">
        <f>AS114/'2016-17 disagg'!AS114-1</f>
        <v>1.3217151416476725E-2</v>
      </c>
      <c r="BK114" s="16">
        <f>AT114/'2016-17 disagg'!AT114-1</f>
        <v>1.0334243642052154E-2</v>
      </c>
      <c r="BL114" s="16">
        <f>AU114/'2016-17 disagg'!AU114-1</f>
        <v>4.0311884825426691E-2</v>
      </c>
      <c r="BM114" s="16">
        <f>AW114/'2016-17 disagg'!AW114-1</f>
        <v>1.6775216140340055E-2</v>
      </c>
    </row>
    <row r="115" spans="1:65" x14ac:dyDescent="0.2">
      <c r="A115" s="156" t="s">
        <v>275</v>
      </c>
      <c r="B115" s="156" t="s">
        <v>276</v>
      </c>
      <c r="D115" s="56">
        <f>VLOOKUP(A115,'2017-18'!$A$12:$AMX323,32,FALSE)</f>
        <v>181192.43317262086</v>
      </c>
      <c r="E115" s="56">
        <v>1439.6358000102305</v>
      </c>
      <c r="F115" s="16">
        <f>VLOOKUP(A115,'2017-18'!$A$12:$AMX323,34,FALSE)</f>
        <v>2.5998908118418651E-2</v>
      </c>
      <c r="G115" s="16">
        <f>VLOOKUP(A115,'2017-18'!$A$12:$AMX323,35,FALSE)</f>
        <v>1.8723931997747023E-2</v>
      </c>
      <c r="H115" s="56"/>
      <c r="I115" s="56">
        <v>184510.77998534185</v>
      </c>
      <c r="J115" s="56">
        <v>1466.0011994079623</v>
      </c>
      <c r="K115" s="16">
        <f t="shared" si="23"/>
        <v>-1.7984568776873711E-2</v>
      </c>
      <c r="L115" s="58">
        <f t="shared" si="23"/>
        <v>-1.7984568776873711E-2</v>
      </c>
      <c r="M115" s="10"/>
      <c r="N115" s="56">
        <v>139325</v>
      </c>
      <c r="O115" s="56">
        <v>15743</v>
      </c>
      <c r="P115" s="56">
        <v>25599</v>
      </c>
      <c r="R115" s="56">
        <f t="shared" si="24"/>
        <v>25599</v>
      </c>
      <c r="S115" s="56">
        <f t="shared" si="25"/>
        <v>525.43317262086202</v>
      </c>
      <c r="U115" s="16">
        <v>-2.4713773516632731E-2</v>
      </c>
      <c r="V115" s="16">
        <v>7.390282985725527E-2</v>
      </c>
      <c r="W115" s="56">
        <f t="shared" si="26"/>
        <v>1</v>
      </c>
      <c r="X115" s="56">
        <f t="shared" si="27"/>
        <v>1428.5549843390111</v>
      </c>
      <c r="Y115" s="56">
        <f t="shared" si="27"/>
        <v>146.59613106795317</v>
      </c>
      <c r="AA115" s="56">
        <f t="shared" si="39"/>
        <v>525.43317262086202</v>
      </c>
      <c r="AB115" s="56">
        <v>0</v>
      </c>
      <c r="AC115" s="56">
        <f t="shared" si="28"/>
        <v>0</v>
      </c>
      <c r="AE115" s="56">
        <v>0</v>
      </c>
      <c r="AF115" s="56">
        <f t="shared" si="29"/>
        <v>0</v>
      </c>
      <c r="AG115" s="56">
        <f t="shared" si="30"/>
        <v>0</v>
      </c>
      <c r="AI115" s="56">
        <f t="shared" si="31"/>
        <v>0</v>
      </c>
      <c r="AJ115" s="56">
        <f t="shared" si="32"/>
        <v>0</v>
      </c>
      <c r="AK115" s="56">
        <f t="shared" si="33"/>
        <v>0</v>
      </c>
      <c r="AM115" s="56">
        <f t="shared" si="34"/>
        <v>139850</v>
      </c>
      <c r="AN115" s="56">
        <f t="shared" si="35"/>
        <v>15743</v>
      </c>
      <c r="AO115" s="56">
        <f t="shared" si="36"/>
        <v>25599</v>
      </c>
      <c r="AP115" s="56"/>
      <c r="AQ115" s="56">
        <f t="shared" si="37"/>
        <v>181192</v>
      </c>
      <c r="AS115" s="56">
        <v>1111.1560406036494</v>
      </c>
      <c r="AT115" s="56">
        <v>125.08351481747053</v>
      </c>
      <c r="AU115" s="56">
        <v>203.3928028846108</v>
      </c>
      <c r="AV115" s="56"/>
      <c r="AW115" s="56">
        <v>1439.6323583057308</v>
      </c>
      <c r="AY115" s="16">
        <v>-2.1038731213357864E-2</v>
      </c>
      <c r="AZ115" s="16">
        <v>7.390282985725527E-2</v>
      </c>
      <c r="BA115" s="16">
        <v>-5.1736760936640147E-2</v>
      </c>
      <c r="BB115" s="16">
        <f t="shared" si="38"/>
        <v>-1.7986916458786362E-2</v>
      </c>
      <c r="BC115" s="16"/>
      <c r="BE115" s="16">
        <f>AM115/'2016-17 disagg'!AM115-1</f>
        <v>2.3874543338043397E-2</v>
      </c>
      <c r="BF115" s="16">
        <f>AN115/'2016-17 disagg'!AN115-1</f>
        <v>1.052699146286673E-2</v>
      </c>
      <c r="BG115" s="16">
        <f>AO115/'2016-17 disagg'!AO115-1</f>
        <v>4.7722342733188761E-2</v>
      </c>
      <c r="BH115" s="16">
        <f>AQ115/'2016-17 disagg'!AQ115-1</f>
        <v>2.5996455286210196E-2</v>
      </c>
      <c r="BJ115" s="16">
        <f>AS115/'2016-17 disagg'!AS115-1</f>
        <v>1.6614630296802213E-2</v>
      </c>
      <c r="BK115" s="16">
        <f>AT115/'2016-17 disagg'!AT115-1</f>
        <v>3.3617209406313631E-3</v>
      </c>
      <c r="BL115" s="16">
        <f>AU115/'2016-17 disagg'!AU115-1</f>
        <v>4.0293333828630873E-2</v>
      </c>
      <c r="BM115" s="16">
        <f>AW115/'2016-17 disagg'!AW115-1</f>
        <v>1.8721496557658091E-2</v>
      </c>
    </row>
    <row r="116" spans="1:65" x14ac:dyDescent="0.2">
      <c r="A116" s="156" t="s">
        <v>277</v>
      </c>
      <c r="B116" s="156" t="s">
        <v>278</v>
      </c>
      <c r="D116" s="56">
        <f>VLOOKUP(A116,'2017-18'!$A$12:$AMX324,32,FALSE)</f>
        <v>254793.59571031563</v>
      </c>
      <c r="E116" s="56">
        <v>1534.6259388337771</v>
      </c>
      <c r="F116" s="16">
        <f>VLOOKUP(A116,'2017-18'!$A$12:$AMX324,34,FALSE)</f>
        <v>2.7509540231621443E-2</v>
      </c>
      <c r="G116" s="16">
        <f>VLOOKUP(A116,'2017-18'!$A$12:$AMX324,35,FALSE)</f>
        <v>1.8790727737716173E-2</v>
      </c>
      <c r="H116" s="56"/>
      <c r="I116" s="56">
        <v>259462.90134356567</v>
      </c>
      <c r="J116" s="56">
        <v>1562.7492420163073</v>
      </c>
      <c r="K116" s="16">
        <f t="shared" si="23"/>
        <v>-1.7996043399927997E-2</v>
      </c>
      <c r="L116" s="58">
        <f t="shared" si="23"/>
        <v>-1.7996043399928108E-2</v>
      </c>
      <c r="M116" s="10"/>
      <c r="N116" s="56">
        <v>202933</v>
      </c>
      <c r="O116" s="56">
        <v>23004</v>
      </c>
      <c r="P116" s="56">
        <v>27539</v>
      </c>
      <c r="R116" s="56">
        <f t="shared" si="24"/>
        <v>27539</v>
      </c>
      <c r="S116" s="56">
        <f t="shared" si="25"/>
        <v>1317.5957103156252</v>
      </c>
      <c r="U116" s="16">
        <v>-2.7966844764708565E-3</v>
      </c>
      <c r="V116" s="16">
        <v>0.1166714238947868</v>
      </c>
      <c r="W116" s="56">
        <f t="shared" si="26"/>
        <v>1</v>
      </c>
      <c r="X116" s="56">
        <f t="shared" si="27"/>
        <v>2035.0213125139953</v>
      </c>
      <c r="Y116" s="56">
        <f t="shared" si="27"/>
        <v>206.00509252547548</v>
      </c>
      <c r="AA116" s="56">
        <f t="shared" si="39"/>
        <v>567.53957086366029</v>
      </c>
      <c r="AB116" s="56">
        <v>0</v>
      </c>
      <c r="AC116" s="56">
        <f t="shared" si="28"/>
        <v>750.0561394519649</v>
      </c>
      <c r="AE116" s="56">
        <v>0</v>
      </c>
      <c r="AF116" s="56">
        <f t="shared" si="29"/>
        <v>0</v>
      </c>
      <c r="AG116" s="56">
        <f t="shared" si="30"/>
        <v>750.0561394519649</v>
      </c>
      <c r="AI116" s="56">
        <f t="shared" si="31"/>
        <v>681.1076504651154</v>
      </c>
      <c r="AJ116" s="56">
        <f t="shared" si="32"/>
        <v>68.94848898684954</v>
      </c>
      <c r="AK116" s="56">
        <f t="shared" si="33"/>
        <v>0</v>
      </c>
      <c r="AM116" s="56">
        <f t="shared" si="34"/>
        <v>204182</v>
      </c>
      <c r="AN116" s="56">
        <f t="shared" si="35"/>
        <v>23073</v>
      </c>
      <c r="AO116" s="56">
        <f t="shared" si="36"/>
        <v>27539</v>
      </c>
      <c r="AP116" s="56"/>
      <c r="AQ116" s="56">
        <f t="shared" si="37"/>
        <v>254794</v>
      </c>
      <c r="AS116" s="56">
        <v>1229.7914810983307</v>
      </c>
      <c r="AT116" s="56">
        <v>138.96905135311528</v>
      </c>
      <c r="AU116" s="56">
        <v>165.86784142562482</v>
      </c>
      <c r="AV116" s="56"/>
      <c r="AW116" s="56">
        <v>1534.6283738770708</v>
      </c>
      <c r="AY116" s="16">
        <v>3.3408433829156259E-3</v>
      </c>
      <c r="AZ116" s="16">
        <v>0.12002085565659959</v>
      </c>
      <c r="BA116" s="16">
        <v>-0.22118787174939203</v>
      </c>
      <c r="BB116" s="16">
        <f t="shared" si="38"/>
        <v>-1.799448522077296E-2</v>
      </c>
      <c r="BC116" s="16"/>
      <c r="BE116" s="16">
        <f>AM116/'2016-17 disagg'!AM116-1</f>
        <v>2.6308382089792248E-2</v>
      </c>
      <c r="BF116" s="16">
        <f>AN116/'2016-17 disagg'!AN116-1</f>
        <v>1.3040042149631281E-2</v>
      </c>
      <c r="BG116" s="16">
        <f>AO116/'2016-17 disagg'!AO116-1</f>
        <v>4.9184699786650521E-2</v>
      </c>
      <c r="BH116" s="16">
        <f>AQ116/'2016-17 disagg'!AQ116-1</f>
        <v>2.7511170616037361E-2</v>
      </c>
      <c r="BJ116" s="16">
        <f>AS116/'2016-17 disagg'!AS116-1</f>
        <v>1.7599761883358989E-2</v>
      </c>
      <c r="BK116" s="16">
        <f>AT116/'2016-17 disagg'!AT116-1</f>
        <v>4.4440088959356583E-3</v>
      </c>
      <c r="BL116" s="16">
        <f>AU116/'2016-17 disagg'!AU116-1</f>
        <v>4.0281965251599772E-2</v>
      </c>
      <c r="BM116" s="16">
        <f>AW116/'2016-17 disagg'!AW116-1</f>
        <v>1.8792344287695162E-2</v>
      </c>
    </row>
    <row r="117" spans="1:65" x14ac:dyDescent="0.2">
      <c r="A117" s="156" t="s">
        <v>279</v>
      </c>
      <c r="B117" s="156" t="s">
        <v>280</v>
      </c>
      <c r="D117" s="56">
        <f>VLOOKUP(A117,'2017-18'!$A$12:$AMX325,32,FALSE)</f>
        <v>207269</v>
      </c>
      <c r="E117" s="56">
        <v>1543.7858339949491</v>
      </c>
      <c r="F117" s="16">
        <f>VLOOKUP(A117,'2017-18'!$A$12:$AMX325,34,FALSE)</f>
        <v>2.2883848553042041E-2</v>
      </c>
      <c r="G117" s="16">
        <f>VLOOKUP(A117,'2017-18'!$A$12:$AMX325,35,FALSE)</f>
        <v>1.4840916441024365E-2</v>
      </c>
      <c r="H117" s="56"/>
      <c r="I117" s="56">
        <v>206783.34653420403</v>
      </c>
      <c r="J117" s="56">
        <v>1540.1685784443055</v>
      </c>
      <c r="K117" s="16">
        <f t="shared" si="23"/>
        <v>2.3486101464929021E-3</v>
      </c>
      <c r="L117" s="58">
        <f t="shared" si="23"/>
        <v>2.3486101464929021E-3</v>
      </c>
      <c r="M117" s="10"/>
      <c r="N117" s="56">
        <v>160463</v>
      </c>
      <c r="O117" s="56">
        <v>18695</v>
      </c>
      <c r="P117" s="56">
        <v>28111</v>
      </c>
      <c r="R117" s="56">
        <f t="shared" si="24"/>
        <v>28111</v>
      </c>
      <c r="S117" s="56">
        <f t="shared" si="25"/>
        <v>0</v>
      </c>
      <c r="U117" s="16">
        <v>1.3962344802758597E-2</v>
      </c>
      <c r="V117" s="16">
        <v>0.12733364818805626</v>
      </c>
      <c r="W117" s="56">
        <f t="shared" si="26"/>
        <v>2</v>
      </c>
      <c r="X117" s="56">
        <f t="shared" si="27"/>
        <v>1582.5341130514478</v>
      </c>
      <c r="Y117" s="56">
        <f t="shared" si="27"/>
        <v>165.83377982239904</v>
      </c>
      <c r="AA117" s="56">
        <f t="shared" si="39"/>
        <v>0</v>
      </c>
      <c r="AB117" s="56">
        <v>0</v>
      </c>
      <c r="AC117" s="56">
        <f t="shared" si="28"/>
        <v>0</v>
      </c>
      <c r="AE117" s="56">
        <v>0</v>
      </c>
      <c r="AF117" s="56">
        <f t="shared" si="29"/>
        <v>0</v>
      </c>
      <c r="AG117" s="56">
        <f t="shared" si="30"/>
        <v>0</v>
      </c>
      <c r="AI117" s="56">
        <f t="shared" si="31"/>
        <v>0</v>
      </c>
      <c r="AJ117" s="56">
        <f t="shared" si="32"/>
        <v>0</v>
      </c>
      <c r="AK117" s="56">
        <f t="shared" si="33"/>
        <v>0</v>
      </c>
      <c r="AM117" s="56">
        <f t="shared" si="34"/>
        <v>160463</v>
      </c>
      <c r="AN117" s="56">
        <f t="shared" si="35"/>
        <v>18695</v>
      </c>
      <c r="AO117" s="56">
        <f t="shared" si="36"/>
        <v>28111</v>
      </c>
      <c r="AP117" s="56"/>
      <c r="AQ117" s="56">
        <f t="shared" si="37"/>
        <v>207269</v>
      </c>
      <c r="AS117" s="56">
        <v>1195.1642854470833</v>
      </c>
      <c r="AT117" s="56">
        <v>139.24453809559353</v>
      </c>
      <c r="AU117" s="56">
        <v>209.37701045227223</v>
      </c>
      <c r="AV117" s="56"/>
      <c r="AW117" s="56">
        <v>1543.7858339949491</v>
      </c>
      <c r="AY117" s="16">
        <v>1.3962344802758597E-2</v>
      </c>
      <c r="AZ117" s="16">
        <v>0.12733364818805626</v>
      </c>
      <c r="BA117" s="16">
        <v>-0.12006167729391892</v>
      </c>
      <c r="BB117" s="16">
        <f t="shared" si="38"/>
        <v>2.3486101464929021E-3</v>
      </c>
      <c r="BC117" s="16"/>
      <c r="BE117" s="16">
        <f>AM117/'2016-17 disagg'!AM117-1</f>
        <v>2.003025834011396E-2</v>
      </c>
      <c r="BF117" s="16">
        <f>AN117/'2016-17 disagg'!AN117-1</f>
        <v>9.9945975148567623E-3</v>
      </c>
      <c r="BG117" s="16">
        <f>AO117/'2016-17 disagg'!AO117-1</f>
        <v>4.8526669153301061E-2</v>
      </c>
      <c r="BH117" s="16">
        <f>AQ117/'2016-17 disagg'!AQ117-1</f>
        <v>2.2883848553042041E-2</v>
      </c>
      <c r="BJ117" s="16">
        <f>AS117/'2016-17 disagg'!AS117-1</f>
        <v>1.2009763997927525E-2</v>
      </c>
      <c r="BK117" s="16">
        <f>AT117/'2016-17 disagg'!AT117-1</f>
        <v>2.0530135385259385E-3</v>
      </c>
      <c r="BL117" s="16">
        <f>AU117/'2016-17 disagg'!AU117-1</f>
        <v>4.0282107632880315E-2</v>
      </c>
      <c r="BM117" s="16">
        <f>AW117/'2016-17 disagg'!AW117-1</f>
        <v>1.4840916441024365E-2</v>
      </c>
    </row>
    <row r="118" spans="1:65" x14ac:dyDescent="0.2">
      <c r="A118" s="156" t="s">
        <v>281</v>
      </c>
      <c r="B118" s="156" t="s">
        <v>282</v>
      </c>
      <c r="D118" s="56">
        <f>VLOOKUP(A118,'2017-18'!$A$12:$AMX326,32,FALSE)</f>
        <v>861992.90113419772</v>
      </c>
      <c r="E118" s="56">
        <v>1562.817318257635</v>
      </c>
      <c r="F118" s="16">
        <f>VLOOKUP(A118,'2017-18'!$A$12:$AMX326,34,FALSE)</f>
        <v>2.3856408460541711E-2</v>
      </c>
      <c r="G118" s="16">
        <f>VLOOKUP(A118,'2017-18'!$A$12:$AMX326,35,FALSE)</f>
        <v>1.6706484585371939E-2</v>
      </c>
      <c r="H118" s="56"/>
      <c r="I118" s="56">
        <v>870576.12708789355</v>
      </c>
      <c r="J118" s="56">
        <v>1578.3789477667694</v>
      </c>
      <c r="K118" s="16">
        <f t="shared" si="23"/>
        <v>-9.859248015916755E-3</v>
      </c>
      <c r="L118" s="58">
        <f t="shared" si="23"/>
        <v>-9.8592480159168661E-3</v>
      </c>
      <c r="M118" s="10"/>
      <c r="N118" s="56">
        <v>677559</v>
      </c>
      <c r="O118" s="56">
        <v>69190</v>
      </c>
      <c r="P118" s="56">
        <v>114938</v>
      </c>
      <c r="R118" s="56">
        <f t="shared" si="24"/>
        <v>114938</v>
      </c>
      <c r="S118" s="56">
        <f t="shared" si="25"/>
        <v>305.9011341977166</v>
      </c>
      <c r="U118" s="16">
        <v>-4.3166022845856356E-3</v>
      </c>
      <c r="V118" s="16">
        <v>1.9055918917223469E-3</v>
      </c>
      <c r="W118" s="56">
        <f t="shared" si="26"/>
        <v>1</v>
      </c>
      <c r="X118" s="56">
        <f t="shared" si="27"/>
        <v>6804.9643245498755</v>
      </c>
      <c r="Y118" s="56">
        <f t="shared" si="27"/>
        <v>690.58402867440509</v>
      </c>
      <c r="AA118" s="56">
        <f t="shared" si="39"/>
        <v>305.9011341977166</v>
      </c>
      <c r="AB118" s="56">
        <v>0</v>
      </c>
      <c r="AC118" s="56">
        <f t="shared" si="28"/>
        <v>0</v>
      </c>
      <c r="AE118" s="56">
        <v>0</v>
      </c>
      <c r="AF118" s="56">
        <f t="shared" si="29"/>
        <v>0</v>
      </c>
      <c r="AG118" s="56">
        <f t="shared" si="30"/>
        <v>0</v>
      </c>
      <c r="AI118" s="56">
        <f t="shared" si="31"/>
        <v>0</v>
      </c>
      <c r="AJ118" s="56">
        <f t="shared" si="32"/>
        <v>0</v>
      </c>
      <c r="AK118" s="56">
        <f t="shared" si="33"/>
        <v>0</v>
      </c>
      <c r="AM118" s="56">
        <f t="shared" si="34"/>
        <v>677865</v>
      </c>
      <c r="AN118" s="56">
        <f t="shared" si="35"/>
        <v>69190</v>
      </c>
      <c r="AO118" s="56">
        <f t="shared" si="36"/>
        <v>114938</v>
      </c>
      <c r="AP118" s="56"/>
      <c r="AQ118" s="56">
        <f t="shared" si="37"/>
        <v>861993</v>
      </c>
      <c r="AS118" s="56">
        <v>1228.9882666629808</v>
      </c>
      <c r="AT118" s="56">
        <v>125.44341155010457</v>
      </c>
      <c r="AU118" s="56">
        <v>208.38581929102355</v>
      </c>
      <c r="AV118" s="56"/>
      <c r="AW118" s="56">
        <v>1562.8174975041088</v>
      </c>
      <c r="AY118" s="16">
        <v>-3.8669305664017495E-3</v>
      </c>
      <c r="AZ118" s="16">
        <v>1.9055918917223469E-3</v>
      </c>
      <c r="BA118" s="16">
        <v>-5.0266293449045873E-2</v>
      </c>
      <c r="BB118" s="16">
        <f t="shared" si="38"/>
        <v>-9.8591344522671598E-3</v>
      </c>
      <c r="BC118" s="16"/>
      <c r="BE118" s="16">
        <f>AM118/'2016-17 disagg'!AM118-1</f>
        <v>2.0490655682916525E-2</v>
      </c>
      <c r="BF118" s="16">
        <f>AN118/'2016-17 disagg'!AN118-1</f>
        <v>1.8398586988519261E-2</v>
      </c>
      <c r="BG118" s="16">
        <f>AO118/'2016-17 disagg'!AO118-1</f>
        <v>4.7614707329967088E-2</v>
      </c>
      <c r="BH118" s="16">
        <f>AQ118/'2016-17 disagg'!AQ118-1</f>
        <v>2.3856525891190028E-2</v>
      </c>
      <c r="BJ118" s="16">
        <f>AS118/'2016-17 disagg'!AS118-1</f>
        <v>1.3364235959250736E-2</v>
      </c>
      <c r="BK118" s="16">
        <f>AT118/'2016-17 disagg'!AT118-1</f>
        <v>1.1286776864190884E-2</v>
      </c>
      <c r="BL118" s="16">
        <f>AU118/'2016-17 disagg'!AU118-1</f>
        <v>4.0298871490076493E-2</v>
      </c>
      <c r="BM118" s="16">
        <f>AW118/'2016-17 disagg'!AW118-1</f>
        <v>1.6706601195963788E-2</v>
      </c>
    </row>
    <row r="119" spans="1:65" x14ac:dyDescent="0.2">
      <c r="A119" s="156" t="s">
        <v>283</v>
      </c>
      <c r="B119" s="156" t="s">
        <v>284</v>
      </c>
      <c r="D119" s="56">
        <f>VLOOKUP(A119,'2017-18'!$A$12:$AMX327,32,FALSE)</f>
        <v>545559.42685623944</v>
      </c>
      <c r="E119" s="56">
        <v>1421.53929616656</v>
      </c>
      <c r="F119" s="16">
        <f>VLOOKUP(A119,'2017-18'!$A$12:$AMX327,34,FALSE)</f>
        <v>2.5304554367621357E-2</v>
      </c>
      <c r="G119" s="16">
        <f>VLOOKUP(A119,'2017-18'!$A$12:$AMX327,35,FALSE)</f>
        <v>1.8281550894146514E-2</v>
      </c>
      <c r="H119" s="56"/>
      <c r="I119" s="56">
        <v>554603.98741251521</v>
      </c>
      <c r="J119" s="56">
        <v>1445.1062947635653</v>
      </c>
      <c r="K119" s="16">
        <f t="shared" si="23"/>
        <v>-1.6308141956340449E-2</v>
      </c>
      <c r="L119" s="58">
        <f t="shared" si="23"/>
        <v>-1.6308141956340338E-2</v>
      </c>
      <c r="M119" s="10"/>
      <c r="N119" s="56">
        <v>420788</v>
      </c>
      <c r="O119" s="56">
        <v>46154</v>
      </c>
      <c r="P119" s="56">
        <v>77775</v>
      </c>
      <c r="R119" s="56">
        <f t="shared" si="24"/>
        <v>77775</v>
      </c>
      <c r="S119" s="56">
        <f t="shared" si="25"/>
        <v>842.42685623944271</v>
      </c>
      <c r="U119" s="16">
        <v>-1.4249640715062628E-2</v>
      </c>
      <c r="V119" s="16">
        <v>7.5448240363722441E-3</v>
      </c>
      <c r="W119" s="56">
        <f t="shared" si="26"/>
        <v>1</v>
      </c>
      <c r="X119" s="56">
        <f t="shared" si="27"/>
        <v>4268.7075488893488</v>
      </c>
      <c r="Y119" s="56">
        <f t="shared" si="27"/>
        <v>458.08383804802162</v>
      </c>
      <c r="AA119" s="56">
        <f t="shared" si="39"/>
        <v>842.42685623944271</v>
      </c>
      <c r="AB119" s="56">
        <v>0</v>
      </c>
      <c r="AC119" s="56">
        <f t="shared" si="28"/>
        <v>0</v>
      </c>
      <c r="AE119" s="56">
        <v>0</v>
      </c>
      <c r="AF119" s="56">
        <f t="shared" si="29"/>
        <v>0</v>
      </c>
      <c r="AG119" s="56">
        <f t="shared" si="30"/>
        <v>0</v>
      </c>
      <c r="AI119" s="56">
        <f t="shared" si="31"/>
        <v>0</v>
      </c>
      <c r="AJ119" s="56">
        <f t="shared" si="32"/>
        <v>0</v>
      </c>
      <c r="AK119" s="56">
        <f t="shared" si="33"/>
        <v>0</v>
      </c>
      <c r="AM119" s="56">
        <f t="shared" si="34"/>
        <v>421630</v>
      </c>
      <c r="AN119" s="56">
        <f t="shared" si="35"/>
        <v>46154</v>
      </c>
      <c r="AO119" s="56">
        <f t="shared" si="36"/>
        <v>77775</v>
      </c>
      <c r="AP119" s="56"/>
      <c r="AQ119" s="56">
        <f t="shared" si="37"/>
        <v>545559</v>
      </c>
      <c r="AS119" s="56">
        <v>1098.6220454415229</v>
      </c>
      <c r="AT119" s="56">
        <v>120.26137107252343</v>
      </c>
      <c r="AU119" s="56">
        <v>202.65476741269467</v>
      </c>
      <c r="AV119" s="56"/>
      <c r="AW119" s="56">
        <v>1421.5381839267411</v>
      </c>
      <c r="AY119" s="16">
        <v>-1.2277146721607735E-2</v>
      </c>
      <c r="AZ119" s="16">
        <v>7.5448240363722441E-3</v>
      </c>
      <c r="BA119" s="16">
        <v>-5.0654334840742887E-2</v>
      </c>
      <c r="BB119" s="16">
        <f t="shared" si="38"/>
        <v>-1.6308911615861788E-2</v>
      </c>
      <c r="BC119" s="16"/>
      <c r="BE119" s="16">
        <f>AM119/'2016-17 disagg'!AM119-1</f>
        <v>2.207138961275068E-2</v>
      </c>
      <c r="BF119" s="16">
        <f>AN119/'2016-17 disagg'!AN119-1</f>
        <v>1.8402471315092761E-2</v>
      </c>
      <c r="BG119" s="16">
        <f>AO119/'2016-17 disagg'!AO119-1</f>
        <v>4.7474747474747447E-2</v>
      </c>
      <c r="BH119" s="16">
        <f>AQ119/'2016-17 disagg'!AQ119-1</f>
        <v>2.5303752149522074E-2</v>
      </c>
      <c r="BJ119" s="16">
        <f>AS119/'2016-17 disagg'!AS119-1</f>
        <v>1.5070532268645076E-2</v>
      </c>
      <c r="BK119" s="16">
        <f>AT119/'2016-17 disagg'!AT119-1</f>
        <v>1.1426744870717043E-2</v>
      </c>
      <c r="BL119" s="16">
        <f>AU119/'2016-17 disagg'!AU119-1</f>
        <v>4.0299885372989452E-2</v>
      </c>
      <c r="BM119" s="16">
        <f>AW119/'2016-17 disagg'!AW119-1</f>
        <v>1.8280754170981073E-2</v>
      </c>
    </row>
    <row r="120" spans="1:65" x14ac:dyDescent="0.2">
      <c r="A120" s="156" t="s">
        <v>285</v>
      </c>
      <c r="B120" s="156" t="s">
        <v>286</v>
      </c>
      <c r="D120" s="56">
        <f>VLOOKUP(A120,'2017-18'!$A$12:$AMX328,32,FALSE)</f>
        <v>434932.92659449525</v>
      </c>
      <c r="E120" s="56">
        <v>1569.854426124816</v>
      </c>
      <c r="F120" s="16">
        <f>VLOOKUP(A120,'2017-18'!$A$12:$AMX328,34,FALSE)</f>
        <v>2.7828741092538412E-2</v>
      </c>
      <c r="G120" s="16">
        <f>VLOOKUP(A120,'2017-18'!$A$12:$AMX328,35,FALSE)</f>
        <v>2.0928238823304968E-2</v>
      </c>
      <c r="H120" s="56"/>
      <c r="I120" s="56">
        <v>447012.56318882236</v>
      </c>
      <c r="J120" s="56">
        <v>1613.4548753298582</v>
      </c>
      <c r="K120" s="16">
        <f t="shared" si="23"/>
        <v>-2.7023036015264235E-2</v>
      </c>
      <c r="L120" s="58">
        <f t="shared" si="23"/>
        <v>-2.7023036015264124E-2</v>
      </c>
      <c r="M120" s="10"/>
      <c r="N120" s="56">
        <v>339380</v>
      </c>
      <c r="O120" s="56">
        <v>32937</v>
      </c>
      <c r="P120" s="56">
        <v>62210</v>
      </c>
      <c r="R120" s="56">
        <f t="shared" si="24"/>
        <v>62210</v>
      </c>
      <c r="S120" s="56">
        <f t="shared" si="25"/>
        <v>405.92659449524945</v>
      </c>
      <c r="U120" s="16">
        <v>-4.3297789858235403E-3</v>
      </c>
      <c r="V120" s="16">
        <v>-5.0279859045450626E-2</v>
      </c>
      <c r="W120" s="56">
        <f t="shared" si="26"/>
        <v>4</v>
      </c>
      <c r="X120" s="56">
        <f t="shared" si="27"/>
        <v>3408.5583041171208</v>
      </c>
      <c r="Y120" s="56">
        <f t="shared" si="27"/>
        <v>346.80742862729562</v>
      </c>
      <c r="AA120" s="56">
        <f t="shared" si="39"/>
        <v>0</v>
      </c>
      <c r="AB120" s="56">
        <v>0</v>
      </c>
      <c r="AC120" s="56">
        <f t="shared" si="28"/>
        <v>405.92659449524945</v>
      </c>
      <c r="AE120" s="56">
        <v>0</v>
      </c>
      <c r="AF120" s="56">
        <f t="shared" si="29"/>
        <v>0</v>
      </c>
      <c r="AG120" s="56">
        <f t="shared" si="30"/>
        <v>405.92659449524945</v>
      </c>
      <c r="AI120" s="56">
        <f t="shared" si="31"/>
        <v>368.43933800227086</v>
      </c>
      <c r="AJ120" s="56">
        <f t="shared" si="32"/>
        <v>37.487256492978588</v>
      </c>
      <c r="AK120" s="56">
        <f t="shared" si="33"/>
        <v>0</v>
      </c>
      <c r="AM120" s="56">
        <f t="shared" si="34"/>
        <v>339748</v>
      </c>
      <c r="AN120" s="56">
        <f t="shared" si="35"/>
        <v>32974</v>
      </c>
      <c r="AO120" s="56">
        <f t="shared" si="36"/>
        <v>62210</v>
      </c>
      <c r="AP120" s="56"/>
      <c r="AQ120" s="56">
        <f t="shared" si="37"/>
        <v>434932</v>
      </c>
      <c r="AS120" s="56">
        <v>1226.2923061337256</v>
      </c>
      <c r="AT120" s="56">
        <v>119.01692578750564</v>
      </c>
      <c r="AU120" s="56">
        <v>224.54184973739086</v>
      </c>
      <c r="AV120" s="56"/>
      <c r="AW120" s="56">
        <v>1569.851081658622</v>
      </c>
      <c r="AY120" s="16">
        <v>-3.2501436468724831E-3</v>
      </c>
      <c r="AZ120" s="16">
        <v>-4.9212984551255112E-2</v>
      </c>
      <c r="BA120" s="16">
        <v>-0.12963779760840299</v>
      </c>
      <c r="BB120" s="16">
        <f t="shared" si="38"/>
        <v>-2.7025108875339154E-2</v>
      </c>
      <c r="BC120" s="16"/>
      <c r="BE120" s="16">
        <f>AM120/'2016-17 disagg'!AM120-1</f>
        <v>2.1135142283509101E-2</v>
      </c>
      <c r="BF120" s="16">
        <f>AN120/'2016-17 disagg'!AN120-1</f>
        <v>6.2238257844211109E-2</v>
      </c>
      <c r="BG120" s="16">
        <f>AO120/'2016-17 disagg'!AO120-1</f>
        <v>4.7324029024057745E-2</v>
      </c>
      <c r="BH120" s="16">
        <f>AQ120/'2016-17 disagg'!AQ120-1</f>
        <v>2.7826551374549036E-2</v>
      </c>
      <c r="BJ120" s="16">
        <f>AS120/'2016-17 disagg'!AS120-1</f>
        <v>1.4279578623135558E-2</v>
      </c>
      <c r="BK120" s="16">
        <f>AT120/'2016-17 disagg'!AT120-1</f>
        <v>5.5106741458583297E-2</v>
      </c>
      <c r="BL120" s="16">
        <f>AU120/'2016-17 disagg'!AU120-1</f>
        <v>4.0292641838658438E-2</v>
      </c>
      <c r="BM120" s="16">
        <f>AW120/'2016-17 disagg'!AW120-1</f>
        <v>2.0926063806357975E-2</v>
      </c>
    </row>
    <row r="121" spans="1:65" x14ac:dyDescent="0.2">
      <c r="A121" s="156" t="s">
        <v>287</v>
      </c>
      <c r="B121" s="156" t="s">
        <v>288</v>
      </c>
      <c r="D121" s="56">
        <f>VLOOKUP(A121,'2017-18'!$A$12:$AMX329,32,FALSE)</f>
        <v>707995.20879372524</v>
      </c>
      <c r="E121" s="56">
        <v>1493.6491612757056</v>
      </c>
      <c r="F121" s="16">
        <f>VLOOKUP(A121,'2017-18'!$A$12:$AMX329,34,FALSE)</f>
        <v>3.686794752025091E-2</v>
      </c>
      <c r="G121" s="16">
        <f>VLOOKUP(A121,'2017-18'!$A$12:$AMX329,35,FALSE)</f>
        <v>2.5000000000000133E-2</v>
      </c>
      <c r="H121" s="56"/>
      <c r="I121" s="56">
        <v>740463.39757086977</v>
      </c>
      <c r="J121" s="56">
        <v>1562.1469170977405</v>
      </c>
      <c r="K121" s="16">
        <f t="shared" si="23"/>
        <v>-4.3848472299452212E-2</v>
      </c>
      <c r="L121" s="58">
        <f t="shared" si="23"/>
        <v>-4.3848472299452101E-2</v>
      </c>
      <c r="M121" s="10"/>
      <c r="N121" s="56">
        <v>542154</v>
      </c>
      <c r="O121" s="56">
        <v>57544</v>
      </c>
      <c r="P121" s="56">
        <v>101559</v>
      </c>
      <c r="R121" s="56">
        <f t="shared" si="24"/>
        <v>101559</v>
      </c>
      <c r="S121" s="56">
        <f t="shared" si="25"/>
        <v>6738.2087937252363</v>
      </c>
      <c r="U121" s="16">
        <v>-3.6603727788124596E-2</v>
      </c>
      <c r="V121" s="16">
        <v>-1.1156183898275995E-2</v>
      </c>
      <c r="W121" s="56">
        <f t="shared" si="26"/>
        <v>4</v>
      </c>
      <c r="X121" s="56">
        <f t="shared" si="27"/>
        <v>5627.5285221444838</v>
      </c>
      <c r="Y121" s="56">
        <f t="shared" si="27"/>
        <v>581.93214199238469</v>
      </c>
      <c r="AA121" s="56">
        <f t="shared" si="39"/>
        <v>0</v>
      </c>
      <c r="AB121" s="56">
        <v>0</v>
      </c>
      <c r="AC121" s="56">
        <f t="shared" si="28"/>
        <v>6738.2087937252363</v>
      </c>
      <c r="AE121" s="56">
        <v>0</v>
      </c>
      <c r="AF121" s="56">
        <f t="shared" si="29"/>
        <v>0</v>
      </c>
      <c r="AG121" s="56">
        <f t="shared" si="30"/>
        <v>6738.2087937252363</v>
      </c>
      <c r="AI121" s="56">
        <f t="shared" si="31"/>
        <v>6106.723953315267</v>
      </c>
      <c r="AJ121" s="56">
        <f t="shared" si="32"/>
        <v>631.4848404099688</v>
      </c>
      <c r="AK121" s="56">
        <f t="shared" si="33"/>
        <v>0</v>
      </c>
      <c r="AM121" s="56">
        <f t="shared" si="34"/>
        <v>548261</v>
      </c>
      <c r="AN121" s="56">
        <f t="shared" si="35"/>
        <v>58175</v>
      </c>
      <c r="AO121" s="56">
        <f t="shared" si="36"/>
        <v>101559</v>
      </c>
      <c r="AP121" s="56"/>
      <c r="AQ121" s="56">
        <f t="shared" si="37"/>
        <v>707995</v>
      </c>
      <c r="AS121" s="56">
        <v>1156.6597805166352</v>
      </c>
      <c r="AT121" s="56">
        <v>122.73111297640223</v>
      </c>
      <c r="AU121" s="56">
        <v>214.25782729300272</v>
      </c>
      <c r="AV121" s="56"/>
      <c r="AW121" s="56">
        <v>1493.6487207860403</v>
      </c>
      <c r="AY121" s="16">
        <v>-2.5751717041366473E-2</v>
      </c>
      <c r="AZ121" s="16">
        <v>-3.1299524333039397E-4</v>
      </c>
      <c r="BA121" s="16">
        <v>-0.15025712993511409</v>
      </c>
      <c r="BB121" s="16">
        <f t="shared" si="38"/>
        <v>-4.3848754276557211E-2</v>
      </c>
      <c r="BC121" s="16"/>
      <c r="BE121" s="16">
        <f>AM121/'2016-17 disagg'!AM121-1</f>
        <v>3.4349330445577309E-2</v>
      </c>
      <c r="BF121" s="16">
        <f>AN121/'2016-17 disagg'!AN121-1</f>
        <v>3.4038393174546711E-2</v>
      </c>
      <c r="BG121" s="16">
        <f>AO121/'2016-17 disagg'!AO121-1</f>
        <v>5.2348534303211069E-2</v>
      </c>
      <c r="BH121" s="16">
        <f>AQ121/'2016-17 disagg'!AQ121-1</f>
        <v>3.6867641739196655E-2</v>
      </c>
      <c r="BJ121" s="16">
        <f>AS121/'2016-17 disagg'!AS121-1</f>
        <v>2.25102109118962E-2</v>
      </c>
      <c r="BK121" s="16">
        <f>AT121/'2016-17 disagg'!AT121-1</f>
        <v>2.2202832615973112E-2</v>
      </c>
      <c r="BL121" s="16">
        <f>AU121/'2016-17 disagg'!AU121-1</f>
        <v>4.0303396628744048E-2</v>
      </c>
      <c r="BM121" s="16">
        <f>AW121/'2016-17 disagg'!AW121-1</f>
        <v>2.4999697718903091E-2</v>
      </c>
    </row>
    <row r="122" spans="1:65" x14ac:dyDescent="0.2">
      <c r="A122" s="156" t="s">
        <v>289</v>
      </c>
      <c r="B122" s="156" t="s">
        <v>290</v>
      </c>
      <c r="D122" s="56">
        <f>VLOOKUP(A122,'2017-18'!$A$12:$AMX330,32,FALSE)</f>
        <v>1329026.3768281378</v>
      </c>
      <c r="E122" s="56">
        <v>1413.2972593964532</v>
      </c>
      <c r="F122" s="16">
        <f>VLOOKUP(A122,'2017-18'!$A$12:$AMX330,34,FALSE)</f>
        <v>2.916320921267701E-2</v>
      </c>
      <c r="G122" s="16">
        <f>VLOOKUP(A122,'2017-18'!$A$12:$AMX330,35,FALSE)</f>
        <v>1.9764614890168009E-2</v>
      </c>
      <c r="H122" s="56"/>
      <c r="I122" s="56">
        <v>1359596.6638770036</v>
      </c>
      <c r="J122" s="56">
        <v>1445.8059467019964</v>
      </c>
      <c r="K122" s="16">
        <f t="shared" si="23"/>
        <v>-2.2484820580312426E-2</v>
      </c>
      <c r="L122" s="58">
        <f t="shared" si="23"/>
        <v>-2.2484820580312426E-2</v>
      </c>
      <c r="M122" s="10"/>
      <c r="N122" s="56">
        <v>1006145</v>
      </c>
      <c r="O122" s="56">
        <v>123657</v>
      </c>
      <c r="P122" s="56">
        <v>192300</v>
      </c>
      <c r="R122" s="56">
        <f t="shared" si="24"/>
        <v>192300</v>
      </c>
      <c r="S122" s="56">
        <f t="shared" si="25"/>
        <v>6924.3768281377852</v>
      </c>
      <c r="U122" s="16">
        <v>-2.0308259243937421E-2</v>
      </c>
      <c r="V122" s="16">
        <v>6.9760744860738688E-2</v>
      </c>
      <c r="W122" s="56">
        <f t="shared" si="26"/>
        <v>1</v>
      </c>
      <c r="X122" s="56">
        <f t="shared" si="27"/>
        <v>10270.016150422198</v>
      </c>
      <c r="Y122" s="56">
        <f t="shared" si="27"/>
        <v>1155.9313668412617</v>
      </c>
      <c r="AA122" s="56">
        <f t="shared" si="39"/>
        <v>6924.3768281377852</v>
      </c>
      <c r="AB122" s="56">
        <v>0</v>
      </c>
      <c r="AC122" s="56">
        <f t="shared" si="28"/>
        <v>0</v>
      </c>
      <c r="AE122" s="56">
        <v>0</v>
      </c>
      <c r="AF122" s="56">
        <f t="shared" si="29"/>
        <v>0</v>
      </c>
      <c r="AG122" s="56">
        <f t="shared" si="30"/>
        <v>0</v>
      </c>
      <c r="AI122" s="56">
        <f t="shared" si="31"/>
        <v>0</v>
      </c>
      <c r="AJ122" s="56">
        <f t="shared" si="32"/>
        <v>0</v>
      </c>
      <c r="AK122" s="56">
        <f t="shared" si="33"/>
        <v>0</v>
      </c>
      <c r="AM122" s="56">
        <f t="shared" si="34"/>
        <v>1013069</v>
      </c>
      <c r="AN122" s="56">
        <f t="shared" si="35"/>
        <v>123657</v>
      </c>
      <c r="AO122" s="56">
        <f t="shared" si="36"/>
        <v>192300</v>
      </c>
      <c r="AP122" s="56"/>
      <c r="AQ122" s="56">
        <f t="shared" si="37"/>
        <v>1329026</v>
      </c>
      <c r="AS122" s="56">
        <v>1077.3056624328033</v>
      </c>
      <c r="AT122" s="56">
        <v>131.49784101522516</v>
      </c>
      <c r="AU122" s="56">
        <v>204.49335522637458</v>
      </c>
      <c r="AV122" s="56"/>
      <c r="AW122" s="56">
        <v>1413.296858674403</v>
      </c>
      <c r="AY122" s="16">
        <v>-1.3566302952354281E-2</v>
      </c>
      <c r="AZ122" s="16">
        <v>6.9760744860738688E-2</v>
      </c>
      <c r="BA122" s="16">
        <v>-0.11383269348109559</v>
      </c>
      <c r="BB122" s="16">
        <f t="shared" si="38"/>
        <v>-2.2485097742023563E-2</v>
      </c>
      <c r="BC122" s="16"/>
      <c r="BE122" s="16">
        <f>AM122/'2016-17 disagg'!AM122-1</f>
        <v>2.7460641201306757E-2</v>
      </c>
      <c r="BF122" s="16">
        <f>AN122/'2016-17 disagg'!AN122-1</f>
        <v>1.1831995483221558E-2</v>
      </c>
      <c r="BG122" s="16">
        <f>AO122/'2016-17 disagg'!AO122-1</f>
        <v>4.9890261080355103E-2</v>
      </c>
      <c r="BH122" s="16">
        <f>AQ122/'2016-17 disagg'!AQ122-1</f>
        <v>2.9162917406838851E-2</v>
      </c>
      <c r="BJ122" s="16">
        <f>AS122/'2016-17 disagg'!AS122-1</f>
        <v>1.807759518629859E-2</v>
      </c>
      <c r="BK122" s="16">
        <f>AT122/'2016-17 disagg'!AT122-1</f>
        <v>2.5916744506064848E-3</v>
      </c>
      <c r="BL122" s="16">
        <f>AU122/'2016-17 disagg'!AU122-1</f>
        <v>4.0302381763724693E-2</v>
      </c>
      <c r="BM122" s="16">
        <f>AW122/'2016-17 disagg'!AW122-1</f>
        <v>1.9764325749179079E-2</v>
      </c>
    </row>
    <row r="123" spans="1:65" x14ac:dyDescent="0.2">
      <c r="A123" s="156" t="s">
        <v>291</v>
      </c>
      <c r="B123" s="156" t="s">
        <v>292</v>
      </c>
      <c r="D123" s="56">
        <f>VLOOKUP(A123,'2017-18'!$A$12:$AMX331,32,FALSE)</f>
        <v>290200.38198316644</v>
      </c>
      <c r="E123" s="56">
        <v>1571.4832565320894</v>
      </c>
      <c r="F123" s="16">
        <f>VLOOKUP(A123,'2017-18'!$A$12:$AMX331,34,FALSE)</f>
        <v>2.583815668637901E-2</v>
      </c>
      <c r="G123" s="16">
        <f>VLOOKUP(A123,'2017-18'!$A$12:$AMX331,35,FALSE)</f>
        <v>2.1394932039708214E-2</v>
      </c>
      <c r="H123" s="56"/>
      <c r="I123" s="56">
        <v>298794.20256592263</v>
      </c>
      <c r="J123" s="56">
        <v>1618.0202220010926</v>
      </c>
      <c r="K123" s="16">
        <f t="shared" si="23"/>
        <v>-2.8761671106587672E-2</v>
      </c>
      <c r="L123" s="58">
        <f t="shared" si="23"/>
        <v>-2.8761671106587561E-2</v>
      </c>
      <c r="M123" s="10"/>
      <c r="N123" s="56">
        <v>232016</v>
      </c>
      <c r="O123" s="56">
        <v>22346</v>
      </c>
      <c r="P123" s="56">
        <v>34990</v>
      </c>
      <c r="R123" s="56">
        <f t="shared" si="24"/>
        <v>34990</v>
      </c>
      <c r="S123" s="56">
        <f t="shared" si="25"/>
        <v>848.38198316644412</v>
      </c>
      <c r="U123" s="16">
        <v>1.144381641457759E-2</v>
      </c>
      <c r="V123" s="16">
        <v>-2.2041652561208491E-2</v>
      </c>
      <c r="W123" s="56">
        <f t="shared" si="26"/>
        <v>3</v>
      </c>
      <c r="X123" s="56">
        <f t="shared" si="27"/>
        <v>2293.9089273634918</v>
      </c>
      <c r="Y123" s="56">
        <f t="shared" si="27"/>
        <v>228.49643912261399</v>
      </c>
      <c r="AA123" s="56">
        <f t="shared" si="39"/>
        <v>0</v>
      </c>
      <c r="AB123" s="56">
        <v>0</v>
      </c>
      <c r="AC123" s="56">
        <f t="shared" si="28"/>
        <v>848.38198316644412</v>
      </c>
      <c r="AE123" s="56">
        <v>0</v>
      </c>
      <c r="AF123" s="56">
        <f t="shared" si="29"/>
        <v>492.54276813276493</v>
      </c>
      <c r="AG123" s="56">
        <f t="shared" si="30"/>
        <v>355.83921503367918</v>
      </c>
      <c r="AI123" s="56">
        <f t="shared" si="31"/>
        <v>323.60490622048081</v>
      </c>
      <c r="AJ123" s="56">
        <f t="shared" si="32"/>
        <v>32.234308813198325</v>
      </c>
      <c r="AK123" s="56">
        <f t="shared" si="33"/>
        <v>0</v>
      </c>
      <c r="AM123" s="56">
        <f t="shared" si="34"/>
        <v>232340</v>
      </c>
      <c r="AN123" s="56">
        <f t="shared" si="35"/>
        <v>22871</v>
      </c>
      <c r="AO123" s="56">
        <f t="shared" si="36"/>
        <v>34990</v>
      </c>
      <c r="AP123" s="56"/>
      <c r="AQ123" s="56">
        <f t="shared" si="37"/>
        <v>290201</v>
      </c>
      <c r="AS123" s="56">
        <v>1258.1596803130499</v>
      </c>
      <c r="AT123" s="56">
        <v>123.85026275475494</v>
      </c>
      <c r="AU123" s="56">
        <v>189.47666012806067</v>
      </c>
      <c r="AV123" s="56"/>
      <c r="AW123" s="56">
        <v>1571.4866031958654</v>
      </c>
      <c r="AY123" s="16">
        <v>1.2856252610867314E-2</v>
      </c>
      <c r="AZ123" s="16">
        <v>9.3463547268424207E-4</v>
      </c>
      <c r="BA123" s="16">
        <v>-0.24839431416317004</v>
      </c>
      <c r="BB123" s="16">
        <f t="shared" si="38"/>
        <v>-2.8759602737026713E-2</v>
      </c>
      <c r="BC123" s="16"/>
      <c r="BE123" s="16">
        <f>AM123/'2016-17 disagg'!AM123-1</f>
        <v>2.1454321638969542E-2</v>
      </c>
      <c r="BF123" s="16">
        <f>AN123/'2016-17 disagg'!AN123-1</f>
        <v>4.2338893446358661E-2</v>
      </c>
      <c r="BG123" s="16">
        <f>AO123/'2016-17 disagg'!AO123-1</f>
        <v>4.4820687389889313E-2</v>
      </c>
      <c r="BH123" s="16">
        <f>AQ123/'2016-17 disagg'!AQ123-1</f>
        <v>2.5840341332880934E-2</v>
      </c>
      <c r="BJ123" s="16">
        <f>AS123/'2016-17 disagg'!AS123-1</f>
        <v>1.7030084747631014E-2</v>
      </c>
      <c r="BK123" s="16">
        <f>AT123/'2016-17 disagg'!AT123-1</f>
        <v>3.7824198968133604E-2</v>
      </c>
      <c r="BL123" s="16">
        <f>AU123/'2016-17 disagg'!AU123-1</f>
        <v>4.0295243488915666E-2</v>
      </c>
      <c r="BM123" s="16">
        <f>AW123/'2016-17 disagg'!AW123-1</f>
        <v>2.1397107223825262E-2</v>
      </c>
    </row>
    <row r="124" spans="1:65" x14ac:dyDescent="0.2">
      <c r="A124" s="156" t="s">
        <v>293</v>
      </c>
      <c r="B124" s="156" t="s">
        <v>294</v>
      </c>
      <c r="D124" s="56">
        <f>VLOOKUP(A124,'2017-18'!$A$12:$AMX332,32,FALSE)</f>
        <v>913260.01103866403</v>
      </c>
      <c r="E124" s="56">
        <v>1528.7015329349329</v>
      </c>
      <c r="F124" s="16">
        <f>VLOOKUP(A124,'2017-18'!$A$12:$AMX332,34,FALSE)</f>
        <v>3.198468966067658E-2</v>
      </c>
      <c r="G124" s="16">
        <f>VLOOKUP(A124,'2017-18'!$A$12:$AMX332,35,FALSE)</f>
        <v>2.2225579263530859E-2</v>
      </c>
      <c r="H124" s="56"/>
      <c r="I124" s="56">
        <v>943454.87423276762</v>
      </c>
      <c r="J124" s="56">
        <v>1579.2445689746796</v>
      </c>
      <c r="K124" s="16">
        <f t="shared" si="23"/>
        <v>-3.200456536796048E-2</v>
      </c>
      <c r="L124" s="58">
        <f t="shared" si="23"/>
        <v>-3.200456536796048E-2</v>
      </c>
      <c r="M124" s="10"/>
      <c r="N124" s="56">
        <v>709929</v>
      </c>
      <c r="O124" s="56">
        <v>68827</v>
      </c>
      <c r="P124" s="56">
        <v>129771</v>
      </c>
      <c r="R124" s="56">
        <f t="shared" si="24"/>
        <v>129771</v>
      </c>
      <c r="S124" s="56">
        <f t="shared" si="25"/>
        <v>4733.0110386640299</v>
      </c>
      <c r="U124" s="16">
        <v>-2.2711353791062039E-2</v>
      </c>
      <c r="V124" s="16">
        <v>-4.8295750340510701E-2</v>
      </c>
      <c r="W124" s="56">
        <f t="shared" si="26"/>
        <v>4</v>
      </c>
      <c r="X124" s="56">
        <f t="shared" si="27"/>
        <v>7264.2714386781263</v>
      </c>
      <c r="Y124" s="56">
        <f t="shared" si="27"/>
        <v>723.19735910211227</v>
      </c>
      <c r="AA124" s="56">
        <f t="shared" si="39"/>
        <v>0</v>
      </c>
      <c r="AB124" s="56">
        <v>0</v>
      </c>
      <c r="AC124" s="56">
        <f t="shared" si="28"/>
        <v>4733.0110386640299</v>
      </c>
      <c r="AE124" s="56">
        <v>0</v>
      </c>
      <c r="AF124" s="56">
        <f t="shared" si="29"/>
        <v>0</v>
      </c>
      <c r="AG124" s="56">
        <f t="shared" si="30"/>
        <v>4733.0110386640299</v>
      </c>
      <c r="AI124" s="56">
        <f t="shared" si="31"/>
        <v>4304.4771475877715</v>
      </c>
      <c r="AJ124" s="56">
        <f t="shared" si="32"/>
        <v>428.53389107625867</v>
      </c>
      <c r="AK124" s="56">
        <f t="shared" si="33"/>
        <v>0</v>
      </c>
      <c r="AM124" s="56">
        <f t="shared" si="34"/>
        <v>714233</v>
      </c>
      <c r="AN124" s="56">
        <f t="shared" si="35"/>
        <v>69256</v>
      </c>
      <c r="AO124" s="56">
        <f t="shared" si="36"/>
        <v>129771</v>
      </c>
      <c r="AP124" s="56"/>
      <c r="AQ124" s="56">
        <f t="shared" si="37"/>
        <v>913260</v>
      </c>
      <c r="AS124" s="56">
        <v>1195.5511779508881</v>
      </c>
      <c r="AT124" s="56">
        <v>115.92728476584912</v>
      </c>
      <c r="AU124" s="56">
        <v>217.22305174062905</v>
      </c>
      <c r="AV124" s="56"/>
      <c r="AW124" s="56">
        <v>1528.7015144573663</v>
      </c>
      <c r="AY124" s="16">
        <v>-1.6786465058127753E-2</v>
      </c>
      <c r="AZ124" s="16">
        <v>-4.236375965220629E-2</v>
      </c>
      <c r="BA124" s="16">
        <v>-0.10322162580599648</v>
      </c>
      <c r="BB124" s="16">
        <f t="shared" si="38"/>
        <v>-3.2004577068217022E-2</v>
      </c>
      <c r="BC124" s="16"/>
      <c r="BE124" s="16">
        <f>AM124/'2016-17 disagg'!AM124-1</f>
        <v>2.6961157873244712E-2</v>
      </c>
      <c r="BF124" s="16">
        <f>AN124/'2016-17 disagg'!AN124-1</f>
        <v>5.0782139009846849E-2</v>
      </c>
      <c r="BG124" s="16">
        <f>AO124/'2016-17 disagg'!AO124-1</f>
        <v>5.0233077595416065E-2</v>
      </c>
      <c r="BH124" s="16">
        <f>AQ124/'2016-17 disagg'!AQ124-1</f>
        <v>3.1984677186975619E-2</v>
      </c>
      <c r="BJ124" s="16">
        <f>AS124/'2016-17 disagg'!AS124-1</f>
        <v>1.7249553220891833E-2</v>
      </c>
      <c r="BK124" s="16">
        <f>AT124/'2016-17 disagg'!AT124-1</f>
        <v>4.0845267852080314E-2</v>
      </c>
      <c r="BL124" s="16">
        <f>AU124/'2016-17 disagg'!AU124-1</f>
        <v>4.030139871522076E-2</v>
      </c>
      <c r="BM124" s="16">
        <f>AW124/'2016-17 disagg'!AW124-1</f>
        <v>2.2225566907789318E-2</v>
      </c>
    </row>
    <row r="125" spans="1:65" x14ac:dyDescent="0.2">
      <c r="A125" s="156" t="s">
        <v>295</v>
      </c>
      <c r="B125" s="156" t="s">
        <v>296</v>
      </c>
      <c r="D125" s="56">
        <f>VLOOKUP(A125,'2017-18'!$A$12:$AMX333,32,FALSE)</f>
        <v>407524.93609286303</v>
      </c>
      <c r="E125" s="56">
        <v>1710.6356479907843</v>
      </c>
      <c r="F125" s="16">
        <f>VLOOKUP(A125,'2017-18'!$A$12:$AMX333,34,FALSE)</f>
        <v>2.3111968278849426E-2</v>
      </c>
      <c r="G125" s="16">
        <f>VLOOKUP(A125,'2017-18'!$A$12:$AMX333,35,FALSE)</f>
        <v>1.9308408305276581E-2</v>
      </c>
      <c r="H125" s="56"/>
      <c r="I125" s="56">
        <v>415947.61487486487</v>
      </c>
      <c r="J125" s="56">
        <v>1745.9908699661698</v>
      </c>
      <c r="K125" s="16">
        <f t="shared" si="23"/>
        <v>-2.0249373913433177E-2</v>
      </c>
      <c r="L125" s="58">
        <f t="shared" si="23"/>
        <v>-2.0249373913433288E-2</v>
      </c>
      <c r="M125" s="10"/>
      <c r="N125" s="56">
        <v>325742</v>
      </c>
      <c r="O125" s="56">
        <v>33136</v>
      </c>
      <c r="P125" s="56">
        <v>48488</v>
      </c>
      <c r="R125" s="56">
        <f t="shared" si="24"/>
        <v>48488</v>
      </c>
      <c r="S125" s="56">
        <f t="shared" si="25"/>
        <v>158.93609286303399</v>
      </c>
      <c r="U125" s="16">
        <v>9.2838744697902875E-3</v>
      </c>
      <c r="V125" s="16">
        <v>2.3460621499560297E-3</v>
      </c>
      <c r="W125" s="56">
        <f t="shared" si="26"/>
        <v>2</v>
      </c>
      <c r="X125" s="56">
        <f t="shared" si="27"/>
        <v>3227.4566971668191</v>
      </c>
      <c r="Y125" s="56">
        <f t="shared" si="27"/>
        <v>330.58442838520068</v>
      </c>
      <c r="AA125" s="56">
        <f t="shared" si="39"/>
        <v>0</v>
      </c>
      <c r="AB125" s="56">
        <v>0</v>
      </c>
      <c r="AC125" s="56">
        <f t="shared" si="28"/>
        <v>158.93609286303399</v>
      </c>
      <c r="AE125" s="56">
        <v>0</v>
      </c>
      <c r="AF125" s="56">
        <f t="shared" si="29"/>
        <v>0</v>
      </c>
      <c r="AG125" s="56">
        <f t="shared" si="30"/>
        <v>158.93609286303399</v>
      </c>
      <c r="AI125" s="56">
        <f t="shared" si="31"/>
        <v>144.16903549779582</v>
      </c>
      <c r="AJ125" s="56">
        <f t="shared" si="32"/>
        <v>14.76705736523817</v>
      </c>
      <c r="AK125" s="56">
        <f t="shared" si="33"/>
        <v>0</v>
      </c>
      <c r="AM125" s="56">
        <f t="shared" si="34"/>
        <v>325886</v>
      </c>
      <c r="AN125" s="56">
        <f t="shared" si="35"/>
        <v>33151</v>
      </c>
      <c r="AO125" s="56">
        <f t="shared" si="36"/>
        <v>48488</v>
      </c>
      <c r="AP125" s="56"/>
      <c r="AQ125" s="56">
        <f t="shared" si="37"/>
        <v>407525</v>
      </c>
      <c r="AS125" s="56">
        <v>1367.9462516475141</v>
      </c>
      <c r="AT125" s="56">
        <v>139.15536779231616</v>
      </c>
      <c r="AU125" s="56">
        <v>203.53429680895977</v>
      </c>
      <c r="AV125" s="56"/>
      <c r="AW125" s="56">
        <v>1710.63591624879</v>
      </c>
      <c r="AY125" s="16">
        <v>9.7300462189771064E-3</v>
      </c>
      <c r="AZ125" s="16">
        <v>2.7998040298524707E-3</v>
      </c>
      <c r="BA125" s="16">
        <v>-0.19379487176709209</v>
      </c>
      <c r="BB125" s="16">
        <f t="shared" si="38"/>
        <v>-2.0249220271160273E-2</v>
      </c>
      <c r="BC125" s="16"/>
      <c r="BE125" s="16">
        <f>AM125/'2016-17 disagg'!AM125-1</f>
        <v>2.0479354681129491E-2</v>
      </c>
      <c r="BF125" s="16">
        <f>AN125/'2016-17 disagg'!AN125-1</f>
        <v>1.8870823985001728E-2</v>
      </c>
      <c r="BG125" s="16">
        <f>AO125/'2016-17 disagg'!AO125-1</f>
        <v>4.4189852700490917E-2</v>
      </c>
      <c r="BH125" s="16">
        <f>AQ125/'2016-17 disagg'!AQ125-1</f>
        <v>2.3112128720949698E-2</v>
      </c>
      <c r="BJ125" s="16">
        <f>AS125/'2016-17 disagg'!AS125-1</f>
        <v>1.6685581812015071E-2</v>
      </c>
      <c r="BK125" s="16">
        <f>AT125/'2016-17 disagg'!AT125-1</f>
        <v>1.508303105079345E-2</v>
      </c>
      <c r="BL125" s="16">
        <f>AU125/'2016-17 disagg'!AU125-1</f>
        <v>4.0307932781966427E-2</v>
      </c>
      <c r="BM125" s="16">
        <f>AW125/'2016-17 disagg'!AW125-1</f>
        <v>1.9308568150911087E-2</v>
      </c>
    </row>
    <row r="126" spans="1:65" x14ac:dyDescent="0.2">
      <c r="A126" s="156" t="s">
        <v>297</v>
      </c>
      <c r="B126" s="156" t="s">
        <v>298</v>
      </c>
      <c r="D126" s="56">
        <f>VLOOKUP(A126,'2017-18'!$A$12:$AMX334,32,FALSE)</f>
        <v>980809.05209322926</v>
      </c>
      <c r="E126" s="56">
        <v>1520.3334789196297</v>
      </c>
      <c r="F126" s="16">
        <f>VLOOKUP(A126,'2017-18'!$A$12:$AMX334,34,FALSE)</f>
        <v>3.3012330199880147E-2</v>
      </c>
      <c r="G126" s="16">
        <f>VLOOKUP(A126,'2017-18'!$A$12:$AMX334,35,FALSE)</f>
        <v>2.2061930801444252E-2</v>
      </c>
      <c r="H126" s="56"/>
      <c r="I126" s="56">
        <v>1012741.4804025774</v>
      </c>
      <c r="J126" s="56">
        <v>1569.8313294118252</v>
      </c>
      <c r="K126" s="16">
        <f t="shared" si="23"/>
        <v>-3.1530680758385277E-2</v>
      </c>
      <c r="L126" s="58">
        <f t="shared" si="23"/>
        <v>-3.1530680758385055E-2</v>
      </c>
      <c r="M126" s="10"/>
      <c r="N126" s="56">
        <v>749678</v>
      </c>
      <c r="O126" s="56">
        <v>74183</v>
      </c>
      <c r="P126" s="56">
        <v>152629</v>
      </c>
      <c r="R126" s="56">
        <f t="shared" si="24"/>
        <v>152629</v>
      </c>
      <c r="S126" s="56">
        <f t="shared" si="25"/>
        <v>4319.0520932292566</v>
      </c>
      <c r="U126" s="16">
        <v>-2.9331774816367062E-2</v>
      </c>
      <c r="V126" s="16">
        <v>-4.8582561213309616E-2</v>
      </c>
      <c r="W126" s="56">
        <f t="shared" si="26"/>
        <v>4</v>
      </c>
      <c r="X126" s="56">
        <f t="shared" si="27"/>
        <v>7723.3186432797311</v>
      </c>
      <c r="Y126" s="56">
        <f t="shared" si="27"/>
        <v>779.71032457217734</v>
      </c>
      <c r="AA126" s="56">
        <f t="shared" si="39"/>
        <v>0</v>
      </c>
      <c r="AB126" s="56">
        <v>0</v>
      </c>
      <c r="AC126" s="56">
        <f t="shared" si="28"/>
        <v>4319.0520932292566</v>
      </c>
      <c r="AE126" s="56">
        <v>0</v>
      </c>
      <c r="AF126" s="56">
        <f t="shared" si="29"/>
        <v>0</v>
      </c>
      <c r="AG126" s="56">
        <f t="shared" si="30"/>
        <v>4319.0520932292566</v>
      </c>
      <c r="AI126" s="56">
        <f t="shared" si="31"/>
        <v>3923.0038706266855</v>
      </c>
      <c r="AJ126" s="56">
        <f t="shared" si="32"/>
        <v>396.04822260257146</v>
      </c>
      <c r="AK126" s="56">
        <f t="shared" si="33"/>
        <v>0</v>
      </c>
      <c r="AM126" s="56">
        <f t="shared" si="34"/>
        <v>753601</v>
      </c>
      <c r="AN126" s="56">
        <f t="shared" si="35"/>
        <v>74579</v>
      </c>
      <c r="AO126" s="56">
        <f t="shared" si="36"/>
        <v>152629</v>
      </c>
      <c r="AP126" s="56"/>
      <c r="AQ126" s="56">
        <f t="shared" si="37"/>
        <v>980809</v>
      </c>
      <c r="AS126" s="56">
        <v>1168.1425937108977</v>
      </c>
      <c r="AT126" s="56">
        <v>115.6034910998858</v>
      </c>
      <c r="AU126" s="56">
        <v>236.58731336012107</v>
      </c>
      <c r="AV126" s="56"/>
      <c r="AW126" s="56">
        <v>1520.3333981709045</v>
      </c>
      <c r="AY126" s="16">
        <v>-2.4252352121029386E-2</v>
      </c>
      <c r="AZ126" s="16">
        <v>-4.3503751974541593E-2</v>
      </c>
      <c r="BA126" s="16">
        <v>-6.0389492440370063E-2</v>
      </c>
      <c r="BB126" s="16">
        <f t="shared" si="38"/>
        <v>-3.1530732196220379E-2</v>
      </c>
      <c r="BC126" s="16"/>
      <c r="BE126" s="16">
        <f>AM126/'2016-17 disagg'!AM126-1</f>
        <v>2.7300585898627716E-2</v>
      </c>
      <c r="BF126" s="16">
        <f>AN126/'2016-17 disagg'!AN126-1</f>
        <v>5.441821009472636E-2</v>
      </c>
      <c r="BG126" s="16">
        <f>AO126/'2016-17 disagg'!AO126-1</f>
        <v>5.144632511487246E-2</v>
      </c>
      <c r="BH126" s="16">
        <f>AQ126/'2016-17 disagg'!AQ126-1</f>
        <v>3.301227533400386E-2</v>
      </c>
      <c r="BJ126" s="16">
        <f>AS126/'2016-17 disagg'!AS126-1</f>
        <v>1.6410733581317505E-2</v>
      </c>
      <c r="BK126" s="16">
        <f>AT126/'2016-17 disagg'!AT126-1</f>
        <v>4.3240898657129989E-2</v>
      </c>
      <c r="BL126" s="16">
        <f>AU126/'2016-17 disagg'!AU126-1</f>
        <v>4.0300517006465864E-2</v>
      </c>
      <c r="BM126" s="16">
        <f>AW126/'2016-17 disagg'!AW126-1</f>
        <v>2.2061876517170953E-2</v>
      </c>
    </row>
    <row r="127" spans="1:65" x14ac:dyDescent="0.2">
      <c r="A127" s="156" t="s">
        <v>299</v>
      </c>
      <c r="B127" s="156" t="s">
        <v>300</v>
      </c>
      <c r="D127" s="56">
        <f>VLOOKUP(A127,'2017-18'!$A$12:$AMX335,32,FALSE)</f>
        <v>608403.63355849881</v>
      </c>
      <c r="E127" s="56">
        <v>1506.6862385864204</v>
      </c>
      <c r="F127" s="16">
        <f>VLOOKUP(A127,'2017-18'!$A$12:$AMX335,34,FALSE)</f>
        <v>2.66890884704023E-2</v>
      </c>
      <c r="G127" s="16">
        <f>VLOOKUP(A127,'2017-18'!$A$12:$AMX335,35,FALSE)</f>
        <v>2.1255164438937602E-2</v>
      </c>
      <c r="H127" s="56"/>
      <c r="I127" s="56">
        <v>625963.57912249479</v>
      </c>
      <c r="J127" s="56">
        <v>1550.1727118292786</v>
      </c>
      <c r="K127" s="16">
        <f t="shared" si="23"/>
        <v>-2.8052663365195074E-2</v>
      </c>
      <c r="L127" s="58">
        <f t="shared" si="23"/>
        <v>-2.8052663365194963E-2</v>
      </c>
      <c r="M127" s="10"/>
      <c r="N127" s="56">
        <v>467185</v>
      </c>
      <c r="O127" s="56">
        <v>54351</v>
      </c>
      <c r="P127" s="56">
        <v>84466</v>
      </c>
      <c r="R127" s="56">
        <f t="shared" si="24"/>
        <v>84466</v>
      </c>
      <c r="S127" s="56">
        <f t="shared" si="25"/>
        <v>2401.6335584988119</v>
      </c>
      <c r="U127" s="16">
        <v>-3.2790724459138554E-2</v>
      </c>
      <c r="V127" s="16">
        <v>8.0623150711748082E-2</v>
      </c>
      <c r="W127" s="56">
        <f t="shared" si="26"/>
        <v>1</v>
      </c>
      <c r="X127" s="56">
        <f t="shared" si="27"/>
        <v>4830.2369695405487</v>
      </c>
      <c r="Y127" s="56">
        <f t="shared" si="27"/>
        <v>502.9597965229778</v>
      </c>
      <c r="AA127" s="56">
        <f t="shared" si="39"/>
        <v>2401.6335584988119</v>
      </c>
      <c r="AB127" s="56">
        <v>0</v>
      </c>
      <c r="AC127" s="56">
        <f t="shared" si="28"/>
        <v>0</v>
      </c>
      <c r="AE127" s="56">
        <v>0</v>
      </c>
      <c r="AF127" s="56">
        <f t="shared" si="29"/>
        <v>0</v>
      </c>
      <c r="AG127" s="56">
        <f t="shared" si="30"/>
        <v>0</v>
      </c>
      <c r="AI127" s="56">
        <f t="shared" si="31"/>
        <v>0</v>
      </c>
      <c r="AJ127" s="56">
        <f t="shared" si="32"/>
        <v>0</v>
      </c>
      <c r="AK127" s="56">
        <f t="shared" si="33"/>
        <v>0</v>
      </c>
      <c r="AM127" s="56">
        <f t="shared" si="34"/>
        <v>469587</v>
      </c>
      <c r="AN127" s="56">
        <f t="shared" si="35"/>
        <v>54351</v>
      </c>
      <c r="AO127" s="56">
        <f t="shared" si="36"/>
        <v>84466</v>
      </c>
      <c r="AP127" s="56"/>
      <c r="AQ127" s="56">
        <f t="shared" si="37"/>
        <v>608404</v>
      </c>
      <c r="AS127" s="56">
        <v>1162.9126318343269</v>
      </c>
      <c r="AT127" s="56">
        <v>134.59798600222643</v>
      </c>
      <c r="AU127" s="56">
        <v>209.17652822697022</v>
      </c>
      <c r="AV127" s="56"/>
      <c r="AW127" s="56">
        <v>1506.6871460635236</v>
      </c>
      <c r="AY127" s="16">
        <v>-2.7817883550613764E-2</v>
      </c>
      <c r="AZ127" s="16">
        <v>8.0623150711748082E-2</v>
      </c>
      <c r="BA127" s="16">
        <v>-8.8272431255982275E-2</v>
      </c>
      <c r="BB127" s="16">
        <f t="shared" si="38"/>
        <v>-2.8052077961325805E-2</v>
      </c>
      <c r="BC127" s="16"/>
      <c r="BE127" s="16">
        <f>AM127/'2016-17 disagg'!AM127-1</f>
        <v>2.527450214077831E-2</v>
      </c>
      <c r="BF127" s="16">
        <f>AN127/'2016-17 disagg'!AN127-1</f>
        <v>9.9975842268595905E-3</v>
      </c>
      <c r="BG127" s="16">
        <f>AO127/'2016-17 disagg'!AO127-1</f>
        <v>4.5837254222178103E-2</v>
      </c>
      <c r="BH127" s="16">
        <f>AQ127/'2016-17 disagg'!AQ127-1</f>
        <v>2.6689706845228089E-2</v>
      </c>
      <c r="BJ127" s="16">
        <f>AS127/'2016-17 disagg'!AS127-1</f>
        <v>1.9848065044489216E-2</v>
      </c>
      <c r="BK127" s="16">
        <f>AT127/'2016-17 disagg'!AT127-1</f>
        <v>4.6520027784111573E-3</v>
      </c>
      <c r="BL127" s="16">
        <f>AU127/'2016-17 disagg'!AU127-1</f>
        <v>4.0301985315029487E-2</v>
      </c>
      <c r="BM127" s="16">
        <f>AW127/'2016-17 disagg'!AW127-1</f>
        <v>2.1255779540910735E-2</v>
      </c>
    </row>
    <row r="128" spans="1:65" x14ac:dyDescent="0.2">
      <c r="A128" s="156" t="s">
        <v>301</v>
      </c>
      <c r="B128" s="156" t="s">
        <v>302</v>
      </c>
      <c r="D128" s="56">
        <f>VLOOKUP(A128,'2017-18'!$A$12:$AMX336,32,FALSE)</f>
        <v>360217.90836046718</v>
      </c>
      <c r="E128" s="56">
        <v>1549.2284509693782</v>
      </c>
      <c r="F128" s="16">
        <f>VLOOKUP(A128,'2017-18'!$A$12:$AMX336,34,FALSE)</f>
        <v>3.4811572423059989E-2</v>
      </c>
      <c r="G128" s="16">
        <f>VLOOKUP(A128,'2017-18'!$A$12:$AMX336,35,FALSE)</f>
        <v>2.2774252079105217E-2</v>
      </c>
      <c r="H128" s="56"/>
      <c r="I128" s="56">
        <v>373130.2144610929</v>
      </c>
      <c r="J128" s="56">
        <v>1604.7618142876086</v>
      </c>
      <c r="K128" s="16">
        <f t="shared" si="23"/>
        <v>-3.4605361882244723E-2</v>
      </c>
      <c r="L128" s="58">
        <f t="shared" si="23"/>
        <v>-3.4605361882244834E-2</v>
      </c>
      <c r="M128" s="10"/>
      <c r="N128" s="56">
        <v>268458</v>
      </c>
      <c r="O128" s="56">
        <v>28553</v>
      </c>
      <c r="P128" s="56">
        <v>61877</v>
      </c>
      <c r="R128" s="56">
        <f t="shared" si="24"/>
        <v>61877</v>
      </c>
      <c r="S128" s="56">
        <f t="shared" si="25"/>
        <v>1329.908360467176</v>
      </c>
      <c r="U128" s="16">
        <v>-4.1726259350461259E-2</v>
      </c>
      <c r="V128" s="16">
        <v>-4.9722470097178006E-2</v>
      </c>
      <c r="W128" s="56">
        <f t="shared" si="26"/>
        <v>4</v>
      </c>
      <c r="X128" s="56">
        <f t="shared" si="27"/>
        <v>2801.4750755669602</v>
      </c>
      <c r="Y128" s="56">
        <f t="shared" si="27"/>
        <v>300.47011637663275</v>
      </c>
      <c r="AA128" s="56">
        <f t="shared" si="39"/>
        <v>0</v>
      </c>
      <c r="AB128" s="56">
        <v>0</v>
      </c>
      <c r="AC128" s="56">
        <f t="shared" si="28"/>
        <v>1329.908360467176</v>
      </c>
      <c r="AE128" s="56">
        <v>0</v>
      </c>
      <c r="AF128" s="56">
        <f t="shared" si="29"/>
        <v>0</v>
      </c>
      <c r="AG128" s="56">
        <f t="shared" si="30"/>
        <v>1329.908360467176</v>
      </c>
      <c r="AI128" s="56">
        <f t="shared" si="31"/>
        <v>1201.086703373534</v>
      </c>
      <c r="AJ128" s="56">
        <f t="shared" si="32"/>
        <v>128.82165709364205</v>
      </c>
      <c r="AK128" s="56">
        <f t="shared" si="33"/>
        <v>0</v>
      </c>
      <c r="AM128" s="56">
        <f t="shared" si="34"/>
        <v>269659</v>
      </c>
      <c r="AN128" s="56">
        <f t="shared" si="35"/>
        <v>28682</v>
      </c>
      <c r="AO128" s="56">
        <f t="shared" si="36"/>
        <v>61877</v>
      </c>
      <c r="AP128" s="56"/>
      <c r="AQ128" s="56">
        <f t="shared" si="37"/>
        <v>360218</v>
      </c>
      <c r="AS128" s="56">
        <v>1159.7518756393952</v>
      </c>
      <c r="AT128" s="56">
        <v>123.35580602571815</v>
      </c>
      <c r="AU128" s="56">
        <v>266.12116342839977</v>
      </c>
      <c r="AV128" s="56"/>
      <c r="AW128" s="56">
        <v>1549.228845093513</v>
      </c>
      <c r="AY128" s="16">
        <v>-3.7439232096588837E-2</v>
      </c>
      <c r="AZ128" s="16">
        <v>-4.542919788909261E-2</v>
      </c>
      <c r="BA128" s="16">
        <v>-1.6821857012091601E-2</v>
      </c>
      <c r="BB128" s="16">
        <f t="shared" si="38"/>
        <v>-3.4605116285589044E-2</v>
      </c>
      <c r="BC128" s="16"/>
      <c r="BE128" s="16">
        <f>AM128/'2016-17 disagg'!AM128-1</f>
        <v>2.7597297431187773E-2</v>
      </c>
      <c r="BF128" s="16">
        <f>AN128/'2016-17 disagg'!AN128-1</f>
        <v>6.6443576873024712E-2</v>
      </c>
      <c r="BG128" s="16">
        <f>AO128/'2016-17 disagg'!AO128-1</f>
        <v>5.2544737021160692E-2</v>
      </c>
      <c r="BH128" s="16">
        <f>AQ128/'2016-17 disagg'!AQ128-1</f>
        <v>3.4811835679402492E-2</v>
      </c>
      <c r="BJ128" s="16">
        <f>AS128/'2016-17 disagg'!AS128-1</f>
        <v>1.5643896267729884E-2</v>
      </c>
      <c r="BK128" s="16">
        <f>AT128/'2016-17 disagg'!AT128-1</f>
        <v>5.4038301066613892E-2</v>
      </c>
      <c r="BL128" s="16">
        <f>AU128/'2016-17 disagg'!AU128-1</f>
        <v>4.0301137786760588E-2</v>
      </c>
      <c r="BM128" s="16">
        <f>AW128/'2016-17 disagg'!AW128-1</f>
        <v>2.2774512273149972E-2</v>
      </c>
    </row>
    <row r="129" spans="1:65" x14ac:dyDescent="0.2">
      <c r="A129" s="156" t="s">
        <v>303</v>
      </c>
      <c r="B129" s="156" t="s">
        <v>304</v>
      </c>
      <c r="D129" s="56">
        <f>VLOOKUP(A129,'2017-18'!$A$12:$AMX337,32,FALSE)</f>
        <v>576683.59379888338</v>
      </c>
      <c r="E129" s="56">
        <v>1484.7408983635341</v>
      </c>
      <c r="F129" s="16">
        <f>VLOOKUP(A129,'2017-18'!$A$12:$AMX337,34,FALSE)</f>
        <v>2.7553533015365339E-2</v>
      </c>
      <c r="G129" s="16">
        <f>VLOOKUP(A129,'2017-18'!$A$12:$AMX337,35,FALSE)</f>
        <v>2.0306189806683417E-2</v>
      </c>
      <c r="H129" s="56"/>
      <c r="I129" s="56">
        <v>591028.9283166728</v>
      </c>
      <c r="J129" s="56">
        <v>1521.674678149016</v>
      </c>
      <c r="K129" s="16">
        <f t="shared" si="23"/>
        <v>-2.427179758975051E-2</v>
      </c>
      <c r="L129" s="58">
        <f t="shared" si="23"/>
        <v>-2.4271797589750621E-2</v>
      </c>
      <c r="M129" s="10"/>
      <c r="N129" s="56">
        <v>449463</v>
      </c>
      <c r="O129" s="56">
        <v>47543</v>
      </c>
      <c r="P129" s="56">
        <v>77414</v>
      </c>
      <c r="R129" s="56">
        <f t="shared" si="24"/>
        <v>77414</v>
      </c>
      <c r="S129" s="56">
        <f t="shared" si="25"/>
        <v>2263.5937988833757</v>
      </c>
      <c r="U129" s="16">
        <v>-1.7501909406779315E-2</v>
      </c>
      <c r="V129" s="16">
        <v>3.694623556780674E-2</v>
      </c>
      <c r="W129" s="56">
        <f t="shared" si="26"/>
        <v>1</v>
      </c>
      <c r="X129" s="56">
        <f t="shared" si="27"/>
        <v>4574.6959134406006</v>
      </c>
      <c r="Y129" s="56">
        <f t="shared" si="27"/>
        <v>458.49050191080164</v>
      </c>
      <c r="AA129" s="56">
        <f t="shared" si="39"/>
        <v>2263.5937988833757</v>
      </c>
      <c r="AB129" s="56">
        <v>0</v>
      </c>
      <c r="AC129" s="56">
        <f t="shared" si="28"/>
        <v>0</v>
      </c>
      <c r="AE129" s="56">
        <v>0</v>
      </c>
      <c r="AF129" s="56">
        <f t="shared" si="29"/>
        <v>0</v>
      </c>
      <c r="AG129" s="56">
        <f t="shared" si="30"/>
        <v>0</v>
      </c>
      <c r="AI129" s="56">
        <f t="shared" si="31"/>
        <v>0</v>
      </c>
      <c r="AJ129" s="56">
        <f t="shared" si="32"/>
        <v>0</v>
      </c>
      <c r="AK129" s="56">
        <f t="shared" si="33"/>
        <v>0</v>
      </c>
      <c r="AM129" s="56">
        <f t="shared" si="34"/>
        <v>451727</v>
      </c>
      <c r="AN129" s="56">
        <f t="shared" si="35"/>
        <v>47543</v>
      </c>
      <c r="AO129" s="56">
        <f t="shared" si="36"/>
        <v>77414</v>
      </c>
      <c r="AP129" s="56"/>
      <c r="AQ129" s="56">
        <f t="shared" si="37"/>
        <v>576684</v>
      </c>
      <c r="AS129" s="56">
        <v>1163.0251996192005</v>
      </c>
      <c r="AT129" s="56">
        <v>122.4051408605101</v>
      </c>
      <c r="AU129" s="56">
        <v>199.31160369719052</v>
      </c>
      <c r="AV129" s="56"/>
      <c r="AW129" s="56">
        <v>1484.7419441769011</v>
      </c>
      <c r="AY129" s="16">
        <v>-1.255294658424877E-2</v>
      </c>
      <c r="AZ129" s="16">
        <v>3.694623556780674E-2</v>
      </c>
      <c r="BA129" s="16">
        <v>-0.11738972883737608</v>
      </c>
      <c r="BB129" s="16">
        <f t="shared" si="38"/>
        <v>-2.4271110311857358E-2</v>
      </c>
      <c r="BC129" s="16"/>
      <c r="BE129" s="16">
        <f>AM129/'2016-17 disagg'!AM129-1</f>
        <v>2.5168108896892472E-2</v>
      </c>
      <c r="BF129" s="16">
        <f>AN129/'2016-17 disagg'!AN129-1</f>
        <v>1.8204013449553358E-2</v>
      </c>
      <c r="BG129" s="16">
        <f>AO129/'2016-17 disagg'!AO129-1</f>
        <v>4.7692515902016508E-2</v>
      </c>
      <c r="BH129" s="16">
        <f>AQ129/'2016-17 disagg'!AQ129-1</f>
        <v>2.7554256797690746E-2</v>
      </c>
      <c r="BJ129" s="16">
        <f>AS129/'2016-17 disagg'!AS129-1</f>
        <v>1.7937590103415557E-2</v>
      </c>
      <c r="BK129" s="16">
        <f>AT129/'2016-17 disagg'!AT129-1</f>
        <v>1.1022612476436322E-2</v>
      </c>
      <c r="BL129" s="16">
        <f>AU129/'2016-17 disagg'!AU129-1</f>
        <v>4.0303132287492938E-2</v>
      </c>
      <c r="BM129" s="16">
        <f>AW129/'2016-17 disagg'!AW129-1</f>
        <v>2.0306908484166275E-2</v>
      </c>
    </row>
    <row r="130" spans="1:65" x14ac:dyDescent="0.2">
      <c r="A130" s="156" t="s">
        <v>305</v>
      </c>
      <c r="B130" s="156" t="s">
        <v>306</v>
      </c>
      <c r="D130" s="56">
        <f>VLOOKUP(A130,'2017-18'!$A$12:$AMX338,32,FALSE)</f>
        <v>577372.82415183692</v>
      </c>
      <c r="E130" s="56">
        <v>1675.2837502537634</v>
      </c>
      <c r="F130" s="16">
        <f>VLOOKUP(A130,'2017-18'!$A$12:$AMX338,34,FALSE)</f>
        <v>2.9324514821681635E-2</v>
      </c>
      <c r="G130" s="16">
        <f>VLOOKUP(A130,'2017-18'!$A$12:$AMX338,35,FALSE)</f>
        <v>2.0497156614595502E-2</v>
      </c>
      <c r="H130" s="56"/>
      <c r="I130" s="56">
        <v>592056.8224065837</v>
      </c>
      <c r="J130" s="56">
        <v>1717.8902994987322</v>
      </c>
      <c r="K130" s="16">
        <f t="shared" si="23"/>
        <v>-2.4801670547532018E-2</v>
      </c>
      <c r="L130" s="58">
        <f t="shared" si="23"/>
        <v>-2.4801670547532129E-2</v>
      </c>
      <c r="M130" s="10"/>
      <c r="N130" s="56">
        <v>452784</v>
      </c>
      <c r="O130" s="56">
        <v>46539</v>
      </c>
      <c r="P130" s="56">
        <v>74919</v>
      </c>
      <c r="R130" s="56">
        <f t="shared" si="24"/>
        <v>74919</v>
      </c>
      <c r="S130" s="56">
        <f t="shared" si="25"/>
        <v>3130.8241518369177</v>
      </c>
      <c r="U130" s="16">
        <v>-2.3144475963867039E-2</v>
      </c>
      <c r="V130" s="16">
        <v>8.1212572668241112E-3</v>
      </c>
      <c r="W130" s="56">
        <f t="shared" si="26"/>
        <v>1</v>
      </c>
      <c r="X130" s="56">
        <f t="shared" si="27"/>
        <v>4635.1173623833856</v>
      </c>
      <c r="Y130" s="56">
        <f t="shared" si="27"/>
        <v>461.64089552257411</v>
      </c>
      <c r="AA130" s="56">
        <f t="shared" si="39"/>
        <v>3130.8241518369177</v>
      </c>
      <c r="AB130" s="56">
        <v>0</v>
      </c>
      <c r="AC130" s="56">
        <f t="shared" si="28"/>
        <v>0</v>
      </c>
      <c r="AE130" s="56">
        <v>0</v>
      </c>
      <c r="AF130" s="56">
        <f t="shared" si="29"/>
        <v>0</v>
      </c>
      <c r="AG130" s="56">
        <f t="shared" si="30"/>
        <v>0</v>
      </c>
      <c r="AI130" s="56">
        <f t="shared" si="31"/>
        <v>0</v>
      </c>
      <c r="AJ130" s="56">
        <f t="shared" si="32"/>
        <v>0</v>
      </c>
      <c r="AK130" s="56">
        <f t="shared" si="33"/>
        <v>0</v>
      </c>
      <c r="AM130" s="56">
        <f t="shared" si="34"/>
        <v>455915</v>
      </c>
      <c r="AN130" s="56">
        <f t="shared" si="35"/>
        <v>46539</v>
      </c>
      <c r="AO130" s="56">
        <f t="shared" si="36"/>
        <v>74919</v>
      </c>
      <c r="AP130" s="56"/>
      <c r="AQ130" s="56">
        <f t="shared" si="37"/>
        <v>577373</v>
      </c>
      <c r="AS130" s="56">
        <v>1322.8661950256333</v>
      </c>
      <c r="AT130" s="56">
        <v>135.03585065263908</v>
      </c>
      <c r="AU130" s="56">
        <v>217.38221481005326</v>
      </c>
      <c r="AV130" s="56"/>
      <c r="AW130" s="56">
        <v>1675.2842604883258</v>
      </c>
      <c r="AY130" s="16">
        <v>-1.6389522949279201E-2</v>
      </c>
      <c r="AZ130" s="16">
        <v>8.1212572668241112E-3</v>
      </c>
      <c r="BA130" s="16">
        <v>-9.0579101036750931E-2</v>
      </c>
      <c r="BB130" s="16">
        <f t="shared" si="38"/>
        <v>-2.480137353522438E-2</v>
      </c>
      <c r="BC130" s="16"/>
      <c r="BE130" s="16">
        <f>AM130/'2016-17 disagg'!AM130-1</f>
        <v>2.7083103360494576E-2</v>
      </c>
      <c r="BF130" s="16">
        <f>AN130/'2016-17 disagg'!AN130-1</f>
        <v>1.9876402524544146E-2</v>
      </c>
      <c r="BG130" s="16">
        <f>AO130/'2016-17 disagg'!AO130-1</f>
        <v>4.9300410369893077E-2</v>
      </c>
      <c r="BH130" s="16">
        <f>AQ130/'2016-17 disagg'!AQ130-1</f>
        <v>2.9324828318987972E-2</v>
      </c>
      <c r="BJ130" s="16">
        <f>AS130/'2016-17 disagg'!AS130-1</f>
        <v>1.8274967217560611E-2</v>
      </c>
      <c r="BK130" s="16">
        <f>AT130/'2016-17 disagg'!AT130-1</f>
        <v>1.1130070145976223E-2</v>
      </c>
      <c r="BL130" s="16">
        <f>AU130/'2016-17 disagg'!AU130-1</f>
        <v>4.0301741382802847E-2</v>
      </c>
      <c r="BM130" s="16">
        <f>AW130/'2016-17 disagg'!AW130-1</f>
        <v>2.0497467423388205E-2</v>
      </c>
    </row>
    <row r="131" spans="1:65" x14ac:dyDescent="0.2">
      <c r="A131" s="156" t="s">
        <v>307</v>
      </c>
      <c r="B131" s="156" t="s">
        <v>308</v>
      </c>
      <c r="D131" s="56">
        <f>VLOOKUP(A131,'2017-18'!$A$12:$AMX339,32,FALSE)</f>
        <v>301904</v>
      </c>
      <c r="E131" s="56">
        <v>1746.1732061294988</v>
      </c>
      <c r="F131" s="16">
        <f>VLOOKUP(A131,'2017-18'!$A$12:$AMX339,34,FALSE)</f>
        <v>2.2616495103767509E-2</v>
      </c>
      <c r="G131" s="16">
        <f>VLOOKUP(A131,'2017-18'!$A$12:$AMX339,35,FALSE)</f>
        <v>1.7639121410741643E-2</v>
      </c>
      <c r="H131" s="56"/>
      <c r="I131" s="56">
        <v>298071.80069486634</v>
      </c>
      <c r="J131" s="56">
        <v>1724.0082671185137</v>
      </c>
      <c r="K131" s="16">
        <f t="shared" si="23"/>
        <v>1.2856631510260286E-2</v>
      </c>
      <c r="L131" s="58">
        <f t="shared" si="23"/>
        <v>1.2856631510260286E-2</v>
      </c>
      <c r="M131" s="10"/>
      <c r="N131" s="56">
        <v>231342</v>
      </c>
      <c r="O131" s="56">
        <v>27721</v>
      </c>
      <c r="P131" s="56">
        <v>42841</v>
      </c>
      <c r="R131" s="56">
        <f t="shared" si="24"/>
        <v>42841</v>
      </c>
      <c r="S131" s="56">
        <f t="shared" si="25"/>
        <v>0</v>
      </c>
      <c r="U131" s="16">
        <v>2.4994016479448655E-2</v>
      </c>
      <c r="V131" s="16">
        <v>0.22217049003557965</v>
      </c>
      <c r="W131" s="56">
        <f t="shared" si="26"/>
        <v>2</v>
      </c>
      <c r="X131" s="56">
        <f t="shared" si="27"/>
        <v>2257.0082974200313</v>
      </c>
      <c r="Y131" s="56">
        <f t="shared" si="27"/>
        <v>226.81778218350689</v>
      </c>
      <c r="AA131" s="56">
        <f t="shared" si="39"/>
        <v>0</v>
      </c>
      <c r="AB131" s="56">
        <v>0</v>
      </c>
      <c r="AC131" s="56">
        <f t="shared" si="28"/>
        <v>0</v>
      </c>
      <c r="AE131" s="56">
        <v>0</v>
      </c>
      <c r="AF131" s="56">
        <f t="shared" si="29"/>
        <v>0</v>
      </c>
      <c r="AG131" s="56">
        <f t="shared" si="30"/>
        <v>0</v>
      </c>
      <c r="AI131" s="56">
        <f t="shared" si="31"/>
        <v>0</v>
      </c>
      <c r="AJ131" s="56">
        <f t="shared" si="32"/>
        <v>0</v>
      </c>
      <c r="AK131" s="56">
        <f t="shared" si="33"/>
        <v>0</v>
      </c>
      <c r="AM131" s="56">
        <f t="shared" si="34"/>
        <v>231342</v>
      </c>
      <c r="AN131" s="56">
        <f t="shared" si="35"/>
        <v>27721</v>
      </c>
      <c r="AO131" s="56">
        <f t="shared" si="36"/>
        <v>42841</v>
      </c>
      <c r="AP131" s="56"/>
      <c r="AQ131" s="56">
        <f t="shared" si="37"/>
        <v>301904</v>
      </c>
      <c r="AS131" s="56">
        <v>1338.0518371813905</v>
      </c>
      <c r="AT131" s="56">
        <v>160.33463434441356</v>
      </c>
      <c r="AU131" s="56">
        <v>247.78673460369473</v>
      </c>
      <c r="AV131" s="56"/>
      <c r="AW131" s="56">
        <v>1746.1732061294988</v>
      </c>
      <c r="AY131" s="16">
        <v>2.4994016479448655E-2</v>
      </c>
      <c r="AZ131" s="16">
        <v>0.22217049003557965</v>
      </c>
      <c r="BA131" s="16">
        <v>-0.13782056736365467</v>
      </c>
      <c r="BB131" s="16">
        <f t="shared" si="38"/>
        <v>1.2856631510260286E-2</v>
      </c>
      <c r="BC131" s="16"/>
      <c r="BE131" s="16">
        <f>AM131/'2016-17 disagg'!AM131-1</f>
        <v>2.0030952517427369E-2</v>
      </c>
      <c r="BF131" s="16">
        <f>AN131/'2016-17 disagg'!AN131-1</f>
        <v>9.9828760884614898E-3</v>
      </c>
      <c r="BG131" s="16">
        <f>AO131/'2016-17 disagg'!AO131-1</f>
        <v>4.5386886605988108E-2</v>
      </c>
      <c r="BH131" s="16">
        <f>AQ131/'2016-17 disagg'!AQ131-1</f>
        <v>2.2616495103767509E-2</v>
      </c>
      <c r="BJ131" s="16">
        <f>AS131/'2016-17 disagg'!AS131-1</f>
        <v>1.5066163416683098E-2</v>
      </c>
      <c r="BK131" s="16">
        <f>AT131/'2016-17 disagg'!AT131-1</f>
        <v>5.0669939157026445E-3</v>
      </c>
      <c r="BL131" s="16">
        <f>AU131/'2016-17 disagg'!AU131-1</f>
        <v>4.0298682755042892E-2</v>
      </c>
      <c r="BM131" s="16">
        <f>AW131/'2016-17 disagg'!AW131-1</f>
        <v>1.7639121410741643E-2</v>
      </c>
    </row>
    <row r="132" spans="1:65" x14ac:dyDescent="0.2">
      <c r="A132" s="156" t="s">
        <v>309</v>
      </c>
      <c r="B132" s="156" t="s">
        <v>310</v>
      </c>
      <c r="D132" s="56">
        <f>VLOOKUP(A132,'2017-18'!$A$12:$AMX340,32,FALSE)</f>
        <v>320374.04719877662</v>
      </c>
      <c r="E132" s="56">
        <v>1463.1148706129766</v>
      </c>
      <c r="F132" s="16">
        <f>VLOOKUP(A132,'2017-18'!$A$12:$AMX340,34,FALSE)</f>
        <v>2.5534967361327432E-2</v>
      </c>
      <c r="G132" s="16">
        <f>VLOOKUP(A132,'2017-18'!$A$12:$AMX340,35,FALSE)</f>
        <v>1.8392313986989484E-2</v>
      </c>
      <c r="H132" s="56"/>
      <c r="I132" s="56">
        <v>325978.31791639735</v>
      </c>
      <c r="J132" s="56">
        <v>1488.7089906660412</v>
      </c>
      <c r="K132" s="16">
        <f t="shared" si="23"/>
        <v>-1.7192157912349404E-2</v>
      </c>
      <c r="L132" s="58">
        <f t="shared" si="23"/>
        <v>-1.7192157912349293E-2</v>
      </c>
      <c r="M132" s="10"/>
      <c r="N132" s="56">
        <v>242637</v>
      </c>
      <c r="O132" s="56">
        <v>30345</v>
      </c>
      <c r="P132" s="56">
        <v>46597</v>
      </c>
      <c r="R132" s="56">
        <f t="shared" si="24"/>
        <v>46597</v>
      </c>
      <c r="S132" s="56">
        <f t="shared" si="25"/>
        <v>795.04719877662137</v>
      </c>
      <c r="U132" s="16">
        <v>-9.2098691089483875E-3</v>
      </c>
      <c r="V132" s="16">
        <v>0.11285084862160799</v>
      </c>
      <c r="W132" s="56">
        <f t="shared" si="26"/>
        <v>1</v>
      </c>
      <c r="X132" s="56">
        <f t="shared" si="27"/>
        <v>2448.9242720028733</v>
      </c>
      <c r="Y132" s="56">
        <f t="shared" si="27"/>
        <v>272.67805059038886</v>
      </c>
      <c r="AA132" s="56">
        <f t="shared" si="39"/>
        <v>795.04719877662137</v>
      </c>
      <c r="AB132" s="56">
        <v>0</v>
      </c>
      <c r="AC132" s="56">
        <f t="shared" si="28"/>
        <v>0</v>
      </c>
      <c r="AE132" s="56">
        <v>0</v>
      </c>
      <c r="AF132" s="56">
        <f t="shared" si="29"/>
        <v>0</v>
      </c>
      <c r="AG132" s="56">
        <f t="shared" si="30"/>
        <v>0</v>
      </c>
      <c r="AI132" s="56">
        <f t="shared" si="31"/>
        <v>0</v>
      </c>
      <c r="AJ132" s="56">
        <f t="shared" si="32"/>
        <v>0</v>
      </c>
      <c r="AK132" s="56">
        <f t="shared" si="33"/>
        <v>0</v>
      </c>
      <c r="AM132" s="56">
        <f t="shared" si="34"/>
        <v>243432</v>
      </c>
      <c r="AN132" s="56">
        <f t="shared" si="35"/>
        <v>30345</v>
      </c>
      <c r="AO132" s="56">
        <f t="shared" si="36"/>
        <v>46597</v>
      </c>
      <c r="AP132" s="56"/>
      <c r="AQ132" s="56">
        <f t="shared" si="37"/>
        <v>320374</v>
      </c>
      <c r="AS132" s="56">
        <v>1111.7285632130884</v>
      </c>
      <c r="AT132" s="56">
        <v>138.58245115967156</v>
      </c>
      <c r="AU132" s="56">
        <v>212.8036406883248</v>
      </c>
      <c r="AV132" s="56"/>
      <c r="AW132" s="56">
        <v>1463.1146550610849</v>
      </c>
      <c r="AY132" s="16">
        <v>-5.9635457779708689E-3</v>
      </c>
      <c r="AZ132" s="16">
        <v>0.11285084862160799</v>
      </c>
      <c r="BA132" s="16">
        <v>-0.1341758178297886</v>
      </c>
      <c r="BB132" s="16">
        <f t="shared" si="38"/>
        <v>-1.7192302703502693E-2</v>
      </c>
      <c r="BC132" s="16"/>
      <c r="BE132" s="16">
        <f>AM132/'2016-17 disagg'!AM132-1</f>
        <v>2.3373915383063215E-2</v>
      </c>
      <c r="BF132" s="16">
        <f>AN132/'2016-17 disagg'!AN132-1</f>
        <v>9.9850224663005083E-3</v>
      </c>
      <c r="BG132" s="16">
        <f>AO132/'2016-17 disagg'!AO132-1</f>
        <v>4.7594424460431606E-2</v>
      </c>
      <c r="BH132" s="16">
        <f>AQ132/'2016-17 disagg'!AQ132-1</f>
        <v>2.5534816275444294E-2</v>
      </c>
      <c r="BJ132" s="16">
        <f>AS132/'2016-17 disagg'!AS132-1</f>
        <v>1.6246313319207895E-2</v>
      </c>
      <c r="BK132" s="16">
        <f>AT132/'2016-17 disagg'!AT132-1</f>
        <v>2.9506714608824591E-3</v>
      </c>
      <c r="BL132" s="16">
        <f>AU132/'2016-17 disagg'!AU132-1</f>
        <v>4.029813121939041E-2</v>
      </c>
      <c r="BM132" s="16">
        <f>AW132/'2016-17 disagg'!AW132-1</f>
        <v>1.8392163953390606E-2</v>
      </c>
    </row>
    <row r="133" spans="1:65" x14ac:dyDescent="0.2">
      <c r="A133" s="156" t="s">
        <v>311</v>
      </c>
      <c r="B133" s="156" t="s">
        <v>312</v>
      </c>
      <c r="D133" s="56">
        <f>VLOOKUP(A133,'2017-18'!$A$12:$AMX341,32,FALSE)</f>
        <v>356481.04632947507</v>
      </c>
      <c r="E133" s="56">
        <v>1497.2756373411967</v>
      </c>
      <c r="F133" s="16">
        <f>VLOOKUP(A133,'2017-18'!$A$12:$AMX341,34,FALSE)</f>
        <v>2.8363117532359983E-2</v>
      </c>
      <c r="G133" s="16">
        <f>VLOOKUP(A133,'2017-18'!$A$12:$AMX341,35,FALSE)</f>
        <v>1.8604799513310732E-2</v>
      </c>
      <c r="H133" s="56"/>
      <c r="I133" s="56">
        <v>363022.57555462659</v>
      </c>
      <c r="J133" s="56">
        <v>1524.7510738072419</v>
      </c>
      <c r="K133" s="16">
        <f t="shared" si="23"/>
        <v>-1.801962099783283E-2</v>
      </c>
      <c r="L133" s="58">
        <f t="shared" si="23"/>
        <v>-1.8019620997832941E-2</v>
      </c>
      <c r="M133" s="10"/>
      <c r="N133" s="56">
        <v>270582</v>
      </c>
      <c r="O133" s="56">
        <v>33790</v>
      </c>
      <c r="P133" s="56">
        <v>50546</v>
      </c>
      <c r="R133" s="56">
        <f t="shared" si="24"/>
        <v>50546</v>
      </c>
      <c r="S133" s="56">
        <f t="shared" si="25"/>
        <v>1563.0463294750662</v>
      </c>
      <c r="U133" s="16">
        <v>-1.1097285331762685E-2</v>
      </c>
      <c r="V133" s="16">
        <v>0.1616276027971224</v>
      </c>
      <c r="W133" s="56">
        <f t="shared" si="26"/>
        <v>1</v>
      </c>
      <c r="X133" s="56">
        <f t="shared" si="27"/>
        <v>2736.1842169760489</v>
      </c>
      <c r="Y133" s="56">
        <f t="shared" si="27"/>
        <v>290.88496105495358</v>
      </c>
      <c r="AA133" s="56">
        <f t="shared" si="39"/>
        <v>1563.0463294750662</v>
      </c>
      <c r="AB133" s="56">
        <v>0</v>
      </c>
      <c r="AC133" s="56">
        <f t="shared" si="28"/>
        <v>0</v>
      </c>
      <c r="AE133" s="56">
        <v>0</v>
      </c>
      <c r="AF133" s="56">
        <f t="shared" si="29"/>
        <v>0</v>
      </c>
      <c r="AG133" s="56">
        <f t="shared" si="30"/>
        <v>0</v>
      </c>
      <c r="AI133" s="56">
        <f t="shared" si="31"/>
        <v>0</v>
      </c>
      <c r="AJ133" s="56">
        <f t="shared" si="32"/>
        <v>0</v>
      </c>
      <c r="AK133" s="56">
        <f t="shared" si="33"/>
        <v>0</v>
      </c>
      <c r="AM133" s="56">
        <f t="shared" si="34"/>
        <v>272145</v>
      </c>
      <c r="AN133" s="56">
        <f t="shared" si="35"/>
        <v>33790</v>
      </c>
      <c r="AO133" s="56">
        <f t="shared" si="36"/>
        <v>50546</v>
      </c>
      <c r="AP133" s="56"/>
      <c r="AQ133" s="56">
        <f t="shared" si="37"/>
        <v>356481</v>
      </c>
      <c r="AS133" s="56">
        <v>1143.0511734629872</v>
      </c>
      <c r="AT133" s="56">
        <v>141.92323633105272</v>
      </c>
      <c r="AU133" s="56">
        <v>212.30103295618201</v>
      </c>
      <c r="AV133" s="56"/>
      <c r="AW133" s="56">
        <v>1497.2754427502221</v>
      </c>
      <c r="AY133" s="16">
        <v>-5.3849506493873767E-3</v>
      </c>
      <c r="AZ133" s="16">
        <v>0.1616276027971224</v>
      </c>
      <c r="BA133" s="16">
        <v>-0.16197548224994884</v>
      </c>
      <c r="BB133" s="16">
        <f t="shared" si="38"/>
        <v>-1.8019748619303777E-2</v>
      </c>
      <c r="BC133" s="16"/>
      <c r="BE133" s="16">
        <f>AM133/'2016-17 disagg'!AM133-1</f>
        <v>2.6702682717954396E-2</v>
      </c>
      <c r="BF133" s="16">
        <f>AN133/'2016-17 disagg'!AN133-1</f>
        <v>1.0013450904199583E-2</v>
      </c>
      <c r="BG133" s="16">
        <f>AO133/'2016-17 disagg'!AO133-1</f>
        <v>5.0262846219377932E-2</v>
      </c>
      <c r="BH133" s="16">
        <f>AQ133/'2016-17 disagg'!AQ133-1</f>
        <v>2.8362983882832538E-2</v>
      </c>
      <c r="BJ133" s="16">
        <f>AS133/'2016-17 disagg'!AS133-1</f>
        <v>1.6960120856134742E-2</v>
      </c>
      <c r="BK133" s="16">
        <f>AT133/'2016-17 disagg'!AT133-1</f>
        <v>4.2925609070731952E-4</v>
      </c>
      <c r="BL133" s="16">
        <f>AU133/'2016-17 disagg'!AU133-1</f>
        <v>4.029671783313904E-2</v>
      </c>
      <c r="BM133" s="16">
        <f>AW133/'2016-17 disagg'!AW133-1</f>
        <v>1.8604667132007258E-2</v>
      </c>
    </row>
    <row r="134" spans="1:65" x14ac:dyDescent="0.2">
      <c r="A134" s="156" t="s">
        <v>313</v>
      </c>
      <c r="B134" s="156" t="s">
        <v>314</v>
      </c>
      <c r="D134" s="56">
        <f>VLOOKUP(A134,'2017-18'!$A$12:$AMX342,32,FALSE)</f>
        <v>309929.63983377034</v>
      </c>
      <c r="E134" s="56">
        <v>1648.0063075112064</v>
      </c>
      <c r="F134" s="16">
        <f>VLOOKUP(A134,'2017-18'!$A$12:$AMX342,34,FALSE)</f>
        <v>2.7035864393100573E-2</v>
      </c>
      <c r="G134" s="16">
        <f>VLOOKUP(A134,'2017-18'!$A$12:$AMX342,35,FALSE)</f>
        <v>1.9383194678189053E-2</v>
      </c>
      <c r="H134" s="56"/>
      <c r="I134" s="56">
        <v>316449.6611881206</v>
      </c>
      <c r="J134" s="56">
        <v>1682.6755838115953</v>
      </c>
      <c r="K134" s="16">
        <f t="shared" si="23"/>
        <v>-2.0603660404851176E-2</v>
      </c>
      <c r="L134" s="58">
        <f t="shared" si="23"/>
        <v>-2.0603660404851287E-2</v>
      </c>
      <c r="M134" s="10"/>
      <c r="N134" s="56">
        <v>242788</v>
      </c>
      <c r="O134" s="56">
        <v>24115</v>
      </c>
      <c r="P134" s="56">
        <v>42007</v>
      </c>
      <c r="R134" s="56">
        <f t="shared" si="24"/>
        <v>42007</v>
      </c>
      <c r="S134" s="56">
        <f t="shared" si="25"/>
        <v>1019.6398337703431</v>
      </c>
      <c r="U134" s="16">
        <v>-9.651645770375028E-3</v>
      </c>
      <c r="V134" s="16">
        <v>-1.762699115386368E-2</v>
      </c>
      <c r="W134" s="56">
        <f t="shared" si="26"/>
        <v>4</v>
      </c>
      <c r="X134" s="56">
        <f t="shared" si="27"/>
        <v>2451.541409273716</v>
      </c>
      <c r="Y134" s="56">
        <f t="shared" si="27"/>
        <v>245.47702128262566</v>
      </c>
      <c r="AA134" s="56">
        <f t="shared" si="39"/>
        <v>0</v>
      </c>
      <c r="AB134" s="56">
        <v>0</v>
      </c>
      <c r="AC134" s="56">
        <f t="shared" si="28"/>
        <v>1019.6398337703431</v>
      </c>
      <c r="AE134" s="56">
        <v>0</v>
      </c>
      <c r="AF134" s="56">
        <f t="shared" si="29"/>
        <v>0</v>
      </c>
      <c r="AG134" s="56">
        <f t="shared" si="30"/>
        <v>1019.6398337703431</v>
      </c>
      <c r="AI134" s="56">
        <f t="shared" si="31"/>
        <v>926.83433183559225</v>
      </c>
      <c r="AJ134" s="56">
        <f t="shared" si="32"/>
        <v>92.805501934750907</v>
      </c>
      <c r="AK134" s="56">
        <f t="shared" si="33"/>
        <v>0</v>
      </c>
      <c r="AM134" s="56">
        <f t="shared" si="34"/>
        <v>243715</v>
      </c>
      <c r="AN134" s="56">
        <f t="shared" si="35"/>
        <v>24208</v>
      </c>
      <c r="AO134" s="56">
        <f t="shared" si="36"/>
        <v>42007</v>
      </c>
      <c r="AP134" s="56"/>
      <c r="AQ134" s="56">
        <f t="shared" si="37"/>
        <v>309930</v>
      </c>
      <c r="AS134" s="56">
        <v>1295.9194785323339</v>
      </c>
      <c r="AT134" s="56">
        <v>128.72256010631571</v>
      </c>
      <c r="AU134" s="56">
        <v>223.36618400470937</v>
      </c>
      <c r="AV134" s="56"/>
      <c r="AW134" s="56">
        <v>1648.008222643359</v>
      </c>
      <c r="AY134" s="16">
        <v>-5.8703512897134713E-3</v>
      </c>
      <c r="AZ134" s="16">
        <v>-1.3838449174900735E-2</v>
      </c>
      <c r="BA134" s="16">
        <v>-0.10141260751572667</v>
      </c>
      <c r="BB134" s="16">
        <f t="shared" si="38"/>
        <v>-2.0602522257860301E-2</v>
      </c>
      <c r="BC134" s="16"/>
      <c r="BE134" s="16">
        <f>AM134/'2016-17 disagg'!AM134-1</f>
        <v>2.3926560793210649E-2</v>
      </c>
      <c r="BF134" s="16">
        <f>AN134/'2016-17 disagg'!AN134-1</f>
        <v>2.2642784724569154E-2</v>
      </c>
      <c r="BG134" s="16">
        <f>AO134/'2016-17 disagg'!AO134-1</f>
        <v>4.8104992639536936E-2</v>
      </c>
      <c r="BH134" s="16">
        <f>AQ134/'2016-17 disagg'!AQ134-1</f>
        <v>2.7037057901521333E-2</v>
      </c>
      <c r="BJ134" s="16">
        <f>AS134/'2016-17 disagg'!AS134-1</f>
        <v>1.6297059182080575E-2</v>
      </c>
      <c r="BK134" s="16">
        <f>AT134/'2016-17 disagg'!AT134-1</f>
        <v>1.5022848810783751E-2</v>
      </c>
      <c r="BL134" s="16">
        <f>AU134/'2016-17 disagg'!AU134-1</f>
        <v>4.0295332224260294E-2</v>
      </c>
      <c r="BM134" s="16">
        <f>AW134/'2016-17 disagg'!AW134-1</f>
        <v>1.9384379293516663E-2</v>
      </c>
    </row>
    <row r="135" spans="1:65" x14ac:dyDescent="0.2">
      <c r="A135" s="156" t="s">
        <v>315</v>
      </c>
      <c r="B135" s="156" t="s">
        <v>316</v>
      </c>
      <c r="D135" s="56">
        <f>VLOOKUP(A135,'2017-18'!$A$12:$AMX343,32,FALSE)</f>
        <v>264594.72386785835</v>
      </c>
      <c r="E135" s="56">
        <v>1519.6318367915192</v>
      </c>
      <c r="F135" s="16">
        <f>VLOOKUP(A135,'2017-18'!$A$12:$AMX343,34,FALSE)</f>
        <v>3.0016364848952648E-2</v>
      </c>
      <c r="G135" s="16">
        <f>VLOOKUP(A135,'2017-18'!$A$12:$AMX343,35,FALSE)</f>
        <v>1.9406042472767782E-2</v>
      </c>
      <c r="H135" s="56"/>
      <c r="I135" s="56">
        <v>270254.15085097379</v>
      </c>
      <c r="J135" s="56">
        <v>1552.1353020754084</v>
      </c>
      <c r="K135" s="16">
        <f t="shared" si="23"/>
        <v>-2.0941128805219367E-2</v>
      </c>
      <c r="L135" s="58">
        <f t="shared" si="23"/>
        <v>-2.0941128805219367E-2</v>
      </c>
      <c r="M135" s="10"/>
      <c r="N135" s="56">
        <v>204680</v>
      </c>
      <c r="O135" s="56">
        <v>20807</v>
      </c>
      <c r="P135" s="56">
        <v>38023</v>
      </c>
      <c r="R135" s="56">
        <f t="shared" si="24"/>
        <v>38023</v>
      </c>
      <c r="S135" s="56">
        <f t="shared" si="25"/>
        <v>1084.7238678583526</v>
      </c>
      <c r="U135" s="16">
        <v>-8.1395259060058622E-3</v>
      </c>
      <c r="V135" s="16">
        <v>-3.3847467244492502E-2</v>
      </c>
      <c r="W135" s="56">
        <f t="shared" si="26"/>
        <v>4</v>
      </c>
      <c r="X135" s="56">
        <f t="shared" si="27"/>
        <v>2063.5966987893439</v>
      </c>
      <c r="Y135" s="56">
        <f t="shared" si="27"/>
        <v>215.35936919460909</v>
      </c>
      <c r="AA135" s="56">
        <f t="shared" si="39"/>
        <v>0</v>
      </c>
      <c r="AB135" s="56">
        <v>0</v>
      </c>
      <c r="AC135" s="56">
        <f t="shared" si="28"/>
        <v>1084.7238678583526</v>
      </c>
      <c r="AE135" s="56">
        <v>0</v>
      </c>
      <c r="AF135" s="56">
        <f t="shared" si="29"/>
        <v>0</v>
      </c>
      <c r="AG135" s="56">
        <f t="shared" si="30"/>
        <v>1084.7238678583526</v>
      </c>
      <c r="AI135" s="56">
        <f t="shared" si="31"/>
        <v>982.21840440772678</v>
      </c>
      <c r="AJ135" s="56">
        <f t="shared" si="32"/>
        <v>102.50546345062597</v>
      </c>
      <c r="AK135" s="56">
        <f t="shared" si="33"/>
        <v>0</v>
      </c>
      <c r="AM135" s="56">
        <f t="shared" si="34"/>
        <v>205662</v>
      </c>
      <c r="AN135" s="56">
        <f t="shared" si="35"/>
        <v>20910</v>
      </c>
      <c r="AO135" s="56">
        <f t="shared" si="36"/>
        <v>38023</v>
      </c>
      <c r="AP135" s="56"/>
      <c r="AQ135" s="56">
        <f t="shared" si="37"/>
        <v>264595</v>
      </c>
      <c r="AS135" s="56">
        <v>1181.1668738122637</v>
      </c>
      <c r="AT135" s="56">
        <v>120.09121437803013</v>
      </c>
      <c r="AU135" s="56">
        <v>218.37533449525776</v>
      </c>
      <c r="AV135" s="56"/>
      <c r="AW135" s="56">
        <v>1519.6334226855515</v>
      </c>
      <c r="AY135" s="16">
        <v>-3.3808441317225713E-3</v>
      </c>
      <c r="AZ135" s="16">
        <v>-2.9064763785376924E-2</v>
      </c>
      <c r="BA135" s="16">
        <v>-0.10235347199839773</v>
      </c>
      <c r="BB135" s="16">
        <f t="shared" si="38"/>
        <v>-2.0940107055356205E-2</v>
      </c>
      <c r="BC135" s="16"/>
      <c r="BE135" s="16">
        <f>AM135/'2016-17 disagg'!AM135-1</f>
        <v>2.6544343728786446E-2</v>
      </c>
      <c r="BF135" s="16">
        <f>AN135/'2016-17 disagg'!AN135-1</f>
        <v>2.6711185308847973E-2</v>
      </c>
      <c r="BG135" s="16">
        <f>AO135/'2016-17 disagg'!AO135-1</f>
        <v>5.111405982197148E-2</v>
      </c>
      <c r="BH135" s="16">
        <f>AQ135/'2016-17 disagg'!AQ135-1</f>
        <v>3.0017439778265764E-2</v>
      </c>
      <c r="BJ135" s="16">
        <f>AS135/'2016-17 disagg'!AS135-1</f>
        <v>1.5969787059476603E-2</v>
      </c>
      <c r="BK135" s="16">
        <f>AT135/'2016-17 disagg'!AT135-1</f>
        <v>1.6134909984368617E-2</v>
      </c>
      <c r="BL135" s="16">
        <f>AU135/'2016-17 disagg'!AU135-1</f>
        <v>4.0286407554051218E-2</v>
      </c>
      <c r="BM135" s="16">
        <f>AW135/'2016-17 disagg'!AW135-1</f>
        <v>1.9407106329104584E-2</v>
      </c>
    </row>
    <row r="136" spans="1:65" x14ac:dyDescent="0.2">
      <c r="A136" s="156" t="s">
        <v>317</v>
      </c>
      <c r="B136" s="156" t="s">
        <v>318</v>
      </c>
      <c r="D136" s="56">
        <f>VLOOKUP(A136,'2017-18'!$A$12:$AMX344,32,FALSE)</f>
        <v>490913.5387982619</v>
      </c>
      <c r="E136" s="56">
        <v>1586.4115869778066</v>
      </c>
      <c r="F136" s="16">
        <f>VLOOKUP(A136,'2017-18'!$A$12:$AMX344,34,FALSE)</f>
        <v>3.2526177988095206E-2</v>
      </c>
      <c r="G136" s="16">
        <f>VLOOKUP(A136,'2017-18'!$A$12:$AMX344,35,FALSE)</f>
        <v>2.1886912363914268E-2</v>
      </c>
      <c r="H136" s="56"/>
      <c r="I136" s="56">
        <v>506565.56157154421</v>
      </c>
      <c r="J136" s="56">
        <v>1636.991879279298</v>
      </c>
      <c r="K136" s="16">
        <f t="shared" si="23"/>
        <v>-3.0898315954847488E-2</v>
      </c>
      <c r="L136" s="58">
        <f t="shared" si="23"/>
        <v>-3.0898315954847599E-2</v>
      </c>
      <c r="M136" s="10"/>
      <c r="N136" s="56">
        <v>379685</v>
      </c>
      <c r="O136" s="56">
        <v>39058</v>
      </c>
      <c r="P136" s="56">
        <v>68932</v>
      </c>
      <c r="R136" s="56">
        <f t="shared" si="24"/>
        <v>68932</v>
      </c>
      <c r="S136" s="56">
        <f t="shared" si="25"/>
        <v>3238.5387982618995</v>
      </c>
      <c r="U136" s="16">
        <v>-1.3710176106229599E-2</v>
      </c>
      <c r="V136" s="16">
        <v>-9.5746386849449028E-4</v>
      </c>
      <c r="W136" s="56">
        <f t="shared" si="26"/>
        <v>4</v>
      </c>
      <c r="X136" s="56">
        <f t="shared" si="27"/>
        <v>3849.6290928060357</v>
      </c>
      <c r="Y136" s="56">
        <f t="shared" si="27"/>
        <v>390.95432464007456</v>
      </c>
      <c r="AA136" s="56">
        <f t="shared" si="39"/>
        <v>0</v>
      </c>
      <c r="AB136" s="56">
        <v>0</v>
      </c>
      <c r="AC136" s="56">
        <f t="shared" si="28"/>
        <v>3238.5387982618995</v>
      </c>
      <c r="AE136" s="56">
        <v>0</v>
      </c>
      <c r="AF136" s="56">
        <f t="shared" si="29"/>
        <v>0</v>
      </c>
      <c r="AG136" s="56">
        <f t="shared" si="30"/>
        <v>3238.5387982618995</v>
      </c>
      <c r="AI136" s="56">
        <f t="shared" si="31"/>
        <v>2939.9664972227938</v>
      </c>
      <c r="AJ136" s="56">
        <f t="shared" si="32"/>
        <v>298.57230103910564</v>
      </c>
      <c r="AK136" s="56">
        <f t="shared" si="33"/>
        <v>0</v>
      </c>
      <c r="AM136" s="56">
        <f t="shared" si="34"/>
        <v>382625</v>
      </c>
      <c r="AN136" s="56">
        <f t="shared" si="35"/>
        <v>39357</v>
      </c>
      <c r="AO136" s="56">
        <f t="shared" si="36"/>
        <v>68932</v>
      </c>
      <c r="AP136" s="56"/>
      <c r="AQ136" s="56">
        <f t="shared" si="37"/>
        <v>490914</v>
      </c>
      <c r="AS136" s="56">
        <v>1236.4717725106921</v>
      </c>
      <c r="AT136" s="56">
        <v>127.18410859380153</v>
      </c>
      <c r="AU136" s="56">
        <v>222.75719626973415</v>
      </c>
      <c r="AV136" s="56"/>
      <c r="AW136" s="56">
        <v>1586.4130773742277</v>
      </c>
      <c r="AY136" s="16">
        <v>-6.0730767152932241E-3</v>
      </c>
      <c r="AZ136" s="16">
        <v>6.6904883641676349E-3</v>
      </c>
      <c r="BA136" s="16">
        <v>-0.16453372026603852</v>
      </c>
      <c r="BB136" s="16">
        <f t="shared" si="38"/>
        <v>-3.08974055065796E-2</v>
      </c>
      <c r="BC136" s="16"/>
      <c r="BE136" s="16">
        <f>AM136/'2016-17 disagg'!AM136-1</f>
        <v>2.9558174577548169E-2</v>
      </c>
      <c r="BF136" s="16">
        <f>AN136/'2016-17 disagg'!AN136-1</f>
        <v>2.9479466387653641E-2</v>
      </c>
      <c r="BG136" s="16">
        <f>AO136/'2016-17 disagg'!AO136-1</f>
        <v>5.112917244849724E-2</v>
      </c>
      <c r="BH136" s="16">
        <f>AQ136/'2016-17 disagg'!AQ136-1</f>
        <v>3.252714802218537E-2</v>
      </c>
      <c r="BJ136" s="16">
        <f>AS136/'2016-17 disagg'!AS136-1</f>
        <v>1.8949491593625023E-2</v>
      </c>
      <c r="BK136" s="16">
        <f>AT136/'2016-17 disagg'!AT136-1</f>
        <v>1.8871594421753235E-2</v>
      </c>
      <c r="BL136" s="16">
        <f>AU136/'2016-17 disagg'!AU136-1</f>
        <v>4.0298219481478048E-2</v>
      </c>
      <c r="BM136" s="16">
        <f>AW136/'2016-17 disagg'!AW136-1</f>
        <v>2.1887872402664099E-2</v>
      </c>
    </row>
    <row r="137" spans="1:65" x14ac:dyDescent="0.2">
      <c r="A137" s="156" t="s">
        <v>319</v>
      </c>
      <c r="B137" s="156" t="s">
        <v>320</v>
      </c>
      <c r="D137" s="56">
        <f>VLOOKUP(A137,'2017-18'!$A$12:$AMX345,32,FALSE)</f>
        <v>303714.68432834034</v>
      </c>
      <c r="E137" s="56">
        <v>1745.2546913504248</v>
      </c>
      <c r="F137" s="16">
        <f>VLOOKUP(A137,'2017-18'!$A$12:$AMX345,34,FALSE)</f>
        <v>2.6323170831596965E-2</v>
      </c>
      <c r="G137" s="16">
        <f>VLOOKUP(A137,'2017-18'!$A$12:$AMX345,35,FALSE)</f>
        <v>1.9896417564055024E-2</v>
      </c>
      <c r="H137" s="56"/>
      <c r="I137" s="56">
        <v>310749.75978083163</v>
      </c>
      <c r="J137" s="56">
        <v>1785.6807855467498</v>
      </c>
      <c r="K137" s="16">
        <f t="shared" si="23"/>
        <v>-2.2639037460408851E-2</v>
      </c>
      <c r="L137" s="58">
        <f t="shared" si="23"/>
        <v>-2.263903746040874E-2</v>
      </c>
      <c r="M137" s="10"/>
      <c r="N137" s="56">
        <v>239084</v>
      </c>
      <c r="O137" s="56">
        <v>28089</v>
      </c>
      <c r="P137" s="56">
        <v>35305</v>
      </c>
      <c r="R137" s="56">
        <f t="shared" si="24"/>
        <v>35305</v>
      </c>
      <c r="S137" s="56">
        <f t="shared" si="25"/>
        <v>1236.6843283403432</v>
      </c>
      <c r="U137" s="16">
        <v>-8.0527481109015087E-3</v>
      </c>
      <c r="V137" s="16">
        <v>0.19582317485587675</v>
      </c>
      <c r="W137" s="56">
        <f t="shared" si="26"/>
        <v>1</v>
      </c>
      <c r="X137" s="56">
        <f t="shared" si="27"/>
        <v>2410.2491291213337</v>
      </c>
      <c r="Y137" s="56">
        <f t="shared" si="27"/>
        <v>234.89258772213833</v>
      </c>
      <c r="AA137" s="56">
        <f t="shared" si="39"/>
        <v>1236.6843283403432</v>
      </c>
      <c r="AB137" s="56">
        <v>0</v>
      </c>
      <c r="AC137" s="56">
        <f t="shared" si="28"/>
        <v>0</v>
      </c>
      <c r="AE137" s="56">
        <v>0</v>
      </c>
      <c r="AF137" s="56">
        <f t="shared" si="29"/>
        <v>0</v>
      </c>
      <c r="AG137" s="56">
        <f t="shared" si="30"/>
        <v>0</v>
      </c>
      <c r="AI137" s="56">
        <f t="shared" si="31"/>
        <v>0</v>
      </c>
      <c r="AJ137" s="56">
        <f t="shared" si="32"/>
        <v>0</v>
      </c>
      <c r="AK137" s="56">
        <f t="shared" si="33"/>
        <v>0</v>
      </c>
      <c r="AM137" s="56">
        <f t="shared" si="34"/>
        <v>240321</v>
      </c>
      <c r="AN137" s="56">
        <f t="shared" si="35"/>
        <v>28089</v>
      </c>
      <c r="AO137" s="56">
        <f t="shared" si="36"/>
        <v>35305</v>
      </c>
      <c r="AP137" s="56"/>
      <c r="AQ137" s="56">
        <f t="shared" si="37"/>
        <v>303715</v>
      </c>
      <c r="AS137" s="56">
        <v>1380.9715971013002</v>
      </c>
      <c r="AT137" s="56">
        <v>161.40957798518824</v>
      </c>
      <c r="AU137" s="56">
        <v>202.87533022774292</v>
      </c>
      <c r="AV137" s="56"/>
      <c r="AW137" s="56">
        <v>1745.2565053142314</v>
      </c>
      <c r="AY137" s="16">
        <v>-2.920498564353835E-3</v>
      </c>
      <c r="AZ137" s="16">
        <v>0.19582317485587675</v>
      </c>
      <c r="BA137" s="16">
        <v>-0.23641070756306737</v>
      </c>
      <c r="BB137" s="16">
        <f t="shared" si="38"/>
        <v>-2.2638021621619875E-2</v>
      </c>
      <c r="BC137" s="16"/>
      <c r="BE137" s="16">
        <f>AM137/'2016-17 disagg'!AM137-1</f>
        <v>2.5308354914266529E-2</v>
      </c>
      <c r="BF137" s="16">
        <f>AN137/'2016-17 disagg'!AN137-1</f>
        <v>9.996044730502307E-3</v>
      </c>
      <c r="BG137" s="16">
        <f>AO137/'2016-17 disagg'!AO137-1</f>
        <v>4.68495181616011E-2</v>
      </c>
      <c r="BH137" s="16">
        <f>AQ137/'2016-17 disagg'!AQ137-1</f>
        <v>2.6324237560192643E-2</v>
      </c>
      <c r="BJ137" s="16">
        <f>AS137/'2016-17 disagg'!AS137-1</f>
        <v>1.8887956342494849E-2</v>
      </c>
      <c r="BK137" s="16">
        <f>AT137/'2016-17 disagg'!AT137-1</f>
        <v>3.671530615307228E-3</v>
      </c>
      <c r="BL137" s="16">
        <f>AU137/'2016-17 disagg'!AU137-1</f>
        <v>4.0294230555633748E-2</v>
      </c>
      <c r="BM137" s="16">
        <f>AW137/'2016-17 disagg'!AW137-1</f>
        <v>1.9897477612881964E-2</v>
      </c>
    </row>
    <row r="138" spans="1:65" x14ac:dyDescent="0.2">
      <c r="A138" s="156" t="s">
        <v>321</v>
      </c>
      <c r="B138" s="156" t="s">
        <v>322</v>
      </c>
      <c r="D138" s="56">
        <f>VLOOKUP(A138,'2017-18'!$A$12:$AMX346,32,FALSE)</f>
        <v>399387.8151026573</v>
      </c>
      <c r="E138" s="56">
        <v>1603.9295399974426</v>
      </c>
      <c r="F138" s="16">
        <f>VLOOKUP(A138,'2017-18'!$A$12:$AMX346,34,FALSE)</f>
        <v>2.7996157387196963E-2</v>
      </c>
      <c r="G138" s="16">
        <f>VLOOKUP(A138,'2017-18'!$A$12:$AMX346,35,FALSE)</f>
        <v>2.0542387515702698E-2</v>
      </c>
      <c r="H138" s="56"/>
      <c r="I138" s="56">
        <v>410063.45683733298</v>
      </c>
      <c r="J138" s="56">
        <v>1646.8025984363301</v>
      </c>
      <c r="K138" s="16">
        <f t="shared" si="23"/>
        <v>-2.6034121199223548E-2</v>
      </c>
      <c r="L138" s="58">
        <f t="shared" si="23"/>
        <v>-2.6034121199223437E-2</v>
      </c>
      <c r="M138" s="10"/>
      <c r="N138" s="56">
        <v>298725</v>
      </c>
      <c r="O138" s="56">
        <v>33948</v>
      </c>
      <c r="P138" s="56">
        <v>65117</v>
      </c>
      <c r="R138" s="56">
        <f t="shared" si="24"/>
        <v>65117</v>
      </c>
      <c r="S138" s="56">
        <f t="shared" si="25"/>
        <v>1597.8151026573032</v>
      </c>
      <c r="U138" s="16">
        <v>-1.637617251808321E-2</v>
      </c>
      <c r="V138" s="16">
        <v>6.2127918824636197E-2</v>
      </c>
      <c r="W138" s="56">
        <f t="shared" si="26"/>
        <v>1</v>
      </c>
      <c r="X138" s="56">
        <f t="shared" si="27"/>
        <v>3036.9841768141982</v>
      </c>
      <c r="Y138" s="56">
        <f t="shared" si="27"/>
        <v>319.62251813856165</v>
      </c>
      <c r="AA138" s="56">
        <f t="shared" si="39"/>
        <v>1597.8151026573032</v>
      </c>
      <c r="AB138" s="56">
        <v>0</v>
      </c>
      <c r="AC138" s="56">
        <f t="shared" si="28"/>
        <v>0</v>
      </c>
      <c r="AE138" s="56">
        <v>0</v>
      </c>
      <c r="AF138" s="56">
        <f t="shared" si="29"/>
        <v>0</v>
      </c>
      <c r="AG138" s="56">
        <f t="shared" si="30"/>
        <v>0</v>
      </c>
      <c r="AI138" s="56">
        <f t="shared" si="31"/>
        <v>0</v>
      </c>
      <c r="AJ138" s="56">
        <f t="shared" si="32"/>
        <v>0</v>
      </c>
      <c r="AK138" s="56">
        <f t="shared" si="33"/>
        <v>0</v>
      </c>
      <c r="AM138" s="56">
        <f t="shared" si="34"/>
        <v>300323</v>
      </c>
      <c r="AN138" s="56">
        <f t="shared" si="35"/>
        <v>33948</v>
      </c>
      <c r="AO138" s="56">
        <f t="shared" si="36"/>
        <v>65117</v>
      </c>
      <c r="AP138" s="56"/>
      <c r="AQ138" s="56">
        <f t="shared" si="37"/>
        <v>399388</v>
      </c>
      <c r="AS138" s="56">
        <v>1206.0882005547369</v>
      </c>
      <c r="AT138" s="56">
        <v>136.33415433527304</v>
      </c>
      <c r="AU138" s="56">
        <v>261.5079276496399</v>
      </c>
      <c r="AV138" s="56"/>
      <c r="AW138" s="56">
        <v>1603.9302825396499</v>
      </c>
      <c r="AY138" s="16">
        <v>-1.111437361837242E-2</v>
      </c>
      <c r="AZ138" s="16">
        <v>6.2127918824636197E-2</v>
      </c>
      <c r="BA138" s="16">
        <v>-0.12480429394891901</v>
      </c>
      <c r="BB138" s="16">
        <f t="shared" si="38"/>
        <v>-2.6033670299881906E-2</v>
      </c>
      <c r="BC138" s="16"/>
      <c r="BE138" s="16">
        <f>AM138/'2016-17 disagg'!AM138-1</f>
        <v>2.5486667645522321E-2</v>
      </c>
      <c r="BF138" s="16">
        <f>AN138/'2016-17 disagg'!AN138-1</f>
        <v>1.3040494166094652E-2</v>
      </c>
      <c r="BG138" s="16">
        <f>AO138/'2016-17 disagg'!AO138-1</f>
        <v>4.7891086400283278E-2</v>
      </c>
      <c r="BH138" s="16">
        <f>AQ138/'2016-17 disagg'!AQ138-1</f>
        <v>2.799663329995794E-2</v>
      </c>
      <c r="BJ138" s="16">
        <f>AS138/'2016-17 disagg'!AS138-1</f>
        <v>1.805109352203238E-2</v>
      </c>
      <c r="BK138" s="16">
        <f>AT138/'2016-17 disagg'!AT138-1</f>
        <v>5.6951644586267225E-3</v>
      </c>
      <c r="BL138" s="16">
        <f>AU138/'2016-17 disagg'!AU138-1</f>
        <v>4.0293062854874107E-2</v>
      </c>
      <c r="BM138" s="16">
        <f>AW138/'2016-17 disagg'!AW138-1</f>
        <v>2.0542859977726868E-2</v>
      </c>
    </row>
    <row r="139" spans="1:65" x14ac:dyDescent="0.2">
      <c r="A139" s="156" t="s">
        <v>323</v>
      </c>
      <c r="B139" s="156" t="s">
        <v>324</v>
      </c>
      <c r="D139" s="56">
        <f>VLOOKUP(A139,'2017-18'!$A$12:$AMX347,32,FALSE)</f>
        <v>354579.23697422602</v>
      </c>
      <c r="E139" s="56">
        <v>1594.4016427784304</v>
      </c>
      <c r="F139" s="16">
        <f>VLOOKUP(A139,'2017-18'!$A$12:$AMX347,34,FALSE)</f>
        <v>3.590299738299696E-2</v>
      </c>
      <c r="G139" s="16">
        <f>VLOOKUP(A139,'2017-18'!$A$12:$AMX347,35,FALSE)</f>
        <v>1.653308493363137E-2</v>
      </c>
      <c r="H139" s="56"/>
      <c r="I139" s="56">
        <v>358180.81838092819</v>
      </c>
      <c r="J139" s="56">
        <v>1610.5965202914181</v>
      </c>
      <c r="K139" s="16">
        <f t="shared" si="23"/>
        <v>-1.0055204583490185E-2</v>
      </c>
      <c r="L139" s="58">
        <f t="shared" si="23"/>
        <v>-1.0055204583490185E-2</v>
      </c>
      <c r="M139" s="10"/>
      <c r="N139" s="56">
        <v>270303</v>
      </c>
      <c r="O139" s="56">
        <v>29680</v>
      </c>
      <c r="P139" s="56">
        <v>54228</v>
      </c>
      <c r="R139" s="56">
        <f t="shared" si="24"/>
        <v>54228</v>
      </c>
      <c r="S139" s="56">
        <f t="shared" si="25"/>
        <v>368.23697422601981</v>
      </c>
      <c r="U139" s="16">
        <v>1.4612020337367637E-2</v>
      </c>
      <c r="V139" s="16">
        <v>-2.3090121438962274E-2</v>
      </c>
      <c r="W139" s="56">
        <f t="shared" si="26"/>
        <v>3</v>
      </c>
      <c r="X139" s="56">
        <f t="shared" si="27"/>
        <v>2664.1020861365496</v>
      </c>
      <c r="Y139" s="56">
        <f t="shared" si="27"/>
        <v>303.81512820525319</v>
      </c>
      <c r="AA139" s="56">
        <f t="shared" si="39"/>
        <v>0</v>
      </c>
      <c r="AB139" s="56">
        <v>0</v>
      </c>
      <c r="AC139" s="56">
        <f t="shared" si="28"/>
        <v>368.23697422601981</v>
      </c>
      <c r="AE139" s="56">
        <v>0</v>
      </c>
      <c r="AF139" s="56">
        <f t="shared" si="29"/>
        <v>368.23697422601981</v>
      </c>
      <c r="AG139" s="56">
        <f t="shared" si="30"/>
        <v>0</v>
      </c>
      <c r="AI139" s="56">
        <f t="shared" si="31"/>
        <v>0</v>
      </c>
      <c r="AJ139" s="56">
        <f t="shared" si="32"/>
        <v>0</v>
      </c>
      <c r="AK139" s="56">
        <f t="shared" si="33"/>
        <v>0</v>
      </c>
      <c r="AM139" s="56">
        <f t="shared" si="34"/>
        <v>270303</v>
      </c>
      <c r="AN139" s="56">
        <f t="shared" si="35"/>
        <v>30048</v>
      </c>
      <c r="AO139" s="56">
        <f t="shared" si="36"/>
        <v>54228</v>
      </c>
      <c r="AP139" s="56"/>
      <c r="AQ139" s="56">
        <f t="shared" si="37"/>
        <v>354579</v>
      </c>
      <c r="AS139" s="56">
        <v>1215.444962106636</v>
      </c>
      <c r="AT139" s="56">
        <v>135.11389152684285</v>
      </c>
      <c r="AU139" s="56">
        <v>243.84172356621517</v>
      </c>
      <c r="AV139" s="56"/>
      <c r="AW139" s="56">
        <v>1594.400577199694</v>
      </c>
      <c r="AY139" s="16">
        <v>1.4612020337367637E-2</v>
      </c>
      <c r="AZ139" s="16">
        <v>-1.0977492216911688E-2</v>
      </c>
      <c r="BA139" s="16">
        <v>-0.11665095762786404</v>
      </c>
      <c r="BB139" s="16">
        <f t="shared" si="38"/>
        <v>-1.0055866188506069E-2</v>
      </c>
      <c r="BC139" s="16"/>
      <c r="BE139" s="16">
        <f>AM139/'2016-17 disagg'!AM139-1</f>
        <v>3.038516078861897E-2</v>
      </c>
      <c r="BF139" s="16">
        <f>AN139/'2016-17 disagg'!AN139-1</f>
        <v>4.3152230515535406E-2</v>
      </c>
      <c r="BG139" s="16">
        <f>AO139/'2016-17 disagg'!AO139-1</f>
        <v>6.011377631810455E-2</v>
      </c>
      <c r="BH139" s="16">
        <f>AQ139/'2016-17 disagg'!AQ139-1</f>
        <v>3.5902305062958328E-2</v>
      </c>
      <c r="BJ139" s="16">
        <f>AS139/'2016-17 disagg'!AS139-1</f>
        <v>1.1118424034287644E-2</v>
      </c>
      <c r="BK139" s="16">
        <f>AT139/'2016-17 disagg'!AT139-1</f>
        <v>2.364676771883345E-2</v>
      </c>
      <c r="BL139" s="16">
        <f>AU139/'2016-17 disagg'!AU139-1</f>
        <v>4.029115674317918E-2</v>
      </c>
      <c r="BM139" s="16">
        <f>AW139/'2016-17 disagg'!AW139-1</f>
        <v>1.6532405558992602E-2</v>
      </c>
    </row>
    <row r="140" spans="1:65" x14ac:dyDescent="0.2">
      <c r="A140" s="156" t="s">
        <v>325</v>
      </c>
      <c r="B140" s="156" t="s">
        <v>326</v>
      </c>
      <c r="D140" s="56">
        <f>VLOOKUP(A140,'2017-18'!$A$12:$AMX348,32,FALSE)</f>
        <v>643636.99735708255</v>
      </c>
      <c r="E140" s="56">
        <v>1555.0273134934378</v>
      </c>
      <c r="F140" s="16">
        <f>VLOOKUP(A140,'2017-18'!$A$12:$AMX348,34,FALSE)</f>
        <v>3.4731272066084173E-2</v>
      </c>
      <c r="G140" s="16">
        <f>VLOOKUP(A140,'2017-18'!$A$12:$AMX348,35,FALSE)</f>
        <v>1.8942834585082613E-2</v>
      </c>
      <c r="H140" s="56"/>
      <c r="I140" s="56">
        <v>656884.01752400212</v>
      </c>
      <c r="J140" s="56">
        <v>1587.0321209649539</v>
      </c>
      <c r="K140" s="16">
        <f t="shared" si="23"/>
        <v>-2.0166452240460431E-2</v>
      </c>
      <c r="L140" s="58">
        <f t="shared" si="23"/>
        <v>-2.016645224046032E-2</v>
      </c>
      <c r="M140" s="10"/>
      <c r="N140" s="56">
        <v>469889</v>
      </c>
      <c r="O140" s="56">
        <v>49249</v>
      </c>
      <c r="P140" s="56">
        <v>124407</v>
      </c>
      <c r="R140" s="56">
        <f t="shared" si="24"/>
        <v>124407</v>
      </c>
      <c r="S140" s="56">
        <f t="shared" si="25"/>
        <v>91.997357082553208</v>
      </c>
      <c r="U140" s="16">
        <v>-9.281292900629734E-3</v>
      </c>
      <c r="V140" s="16">
        <v>-4.8781466219340874E-2</v>
      </c>
      <c r="W140" s="56">
        <f t="shared" si="26"/>
        <v>4</v>
      </c>
      <c r="X140" s="56">
        <f t="shared" si="27"/>
        <v>4742.9103400675931</v>
      </c>
      <c r="Y140" s="56">
        <f t="shared" si="27"/>
        <v>517.74642998447189</v>
      </c>
      <c r="AA140" s="56">
        <f t="shared" si="39"/>
        <v>0</v>
      </c>
      <c r="AB140" s="56">
        <v>0</v>
      </c>
      <c r="AC140" s="56">
        <f t="shared" si="28"/>
        <v>91.997357082553208</v>
      </c>
      <c r="AE140" s="56">
        <v>0</v>
      </c>
      <c r="AF140" s="56">
        <f t="shared" si="29"/>
        <v>0</v>
      </c>
      <c r="AG140" s="56">
        <f t="shared" si="30"/>
        <v>91.997357082553208</v>
      </c>
      <c r="AI140" s="56">
        <f t="shared" si="31"/>
        <v>82.943106771326924</v>
      </c>
      <c r="AJ140" s="56">
        <f t="shared" si="32"/>
        <v>9.0542503112262889</v>
      </c>
      <c r="AK140" s="56">
        <f t="shared" si="33"/>
        <v>0</v>
      </c>
      <c r="AM140" s="56">
        <f t="shared" si="34"/>
        <v>469972</v>
      </c>
      <c r="AN140" s="56">
        <f t="shared" si="35"/>
        <v>49258</v>
      </c>
      <c r="AO140" s="56">
        <f t="shared" si="36"/>
        <v>124407</v>
      </c>
      <c r="AP140" s="56"/>
      <c r="AQ140" s="56">
        <f t="shared" si="37"/>
        <v>643637</v>
      </c>
      <c r="AS140" s="56">
        <v>1135.4525914110677</v>
      </c>
      <c r="AT140" s="56">
        <v>119.00735309279355</v>
      </c>
      <c r="AU140" s="56">
        <v>300.56737537486634</v>
      </c>
      <c r="AV140" s="56"/>
      <c r="AW140" s="56">
        <v>1555.0273198787277</v>
      </c>
      <c r="AY140" s="16">
        <v>-9.1062948634565988E-3</v>
      </c>
      <c r="AZ140" s="16">
        <v>-4.8607635952654715E-2</v>
      </c>
      <c r="BA140" s="16">
        <v>-4.9009492807887245E-2</v>
      </c>
      <c r="BB140" s="16">
        <f t="shared" si="38"/>
        <v>-2.0166448217044719E-2</v>
      </c>
      <c r="BC140" s="16"/>
      <c r="BE140" s="16">
        <f>AM140/'2016-17 disagg'!AM140-1</f>
        <v>2.696938574831198E-2</v>
      </c>
      <c r="BF140" s="16">
        <f>AN140/'2016-17 disagg'!AN140-1</f>
        <v>5.6132075471698073E-2</v>
      </c>
      <c r="BG140" s="16">
        <f>AO140/'2016-17 disagg'!AO140-1</f>
        <v>5.6418399667128138E-2</v>
      </c>
      <c r="BH140" s="16">
        <f>AQ140/'2016-17 disagg'!AQ140-1</f>
        <v>3.4731276314922122E-2</v>
      </c>
      <c r="BJ140" s="16">
        <f>AS140/'2016-17 disagg'!AS140-1</f>
        <v>1.1299382937423497E-2</v>
      </c>
      <c r="BK140" s="16">
        <f>AT140/'2016-17 disagg'!AT140-1</f>
        <v>4.0017094031183253E-2</v>
      </c>
      <c r="BL140" s="16">
        <f>AU140/'2016-17 disagg'!AU140-1</f>
        <v>4.0299049351542715E-2</v>
      </c>
      <c r="BM140" s="16">
        <f>AW140/'2016-17 disagg'!AW140-1</f>
        <v>1.8942838769089754E-2</v>
      </c>
    </row>
    <row r="141" spans="1:65" x14ac:dyDescent="0.2">
      <c r="A141" s="156" t="s">
        <v>327</v>
      </c>
      <c r="B141" s="156" t="s">
        <v>328</v>
      </c>
      <c r="D141" s="56">
        <f>VLOOKUP(A141,'2017-18'!$A$12:$AMX349,32,FALSE)</f>
        <v>399567.91714650899</v>
      </c>
      <c r="E141" s="56">
        <v>1672.2434505437475</v>
      </c>
      <c r="F141" s="16">
        <f>VLOOKUP(A141,'2017-18'!$A$12:$AMX349,34,FALSE)</f>
        <v>3.0783900180605395E-2</v>
      </c>
      <c r="G141" s="16">
        <f>VLOOKUP(A141,'2017-18'!$A$12:$AMX349,35,FALSE)</f>
        <v>2.0903159244608727E-2</v>
      </c>
      <c r="H141" s="56"/>
      <c r="I141" s="56">
        <v>410745.31888694316</v>
      </c>
      <c r="J141" s="56">
        <v>1719.0223235524224</v>
      </c>
      <c r="K141" s="16">
        <f t="shared" ref="K141:L163" si="40">D141/I141-1</f>
        <v>-2.7212487218900572E-2</v>
      </c>
      <c r="L141" s="58">
        <f t="shared" si="40"/>
        <v>-2.7212487218900572E-2</v>
      </c>
      <c r="M141" s="10"/>
      <c r="N141" s="56">
        <v>299391</v>
      </c>
      <c r="O141" s="56">
        <v>28387</v>
      </c>
      <c r="P141" s="56">
        <v>69922</v>
      </c>
      <c r="R141" s="56">
        <f t="shared" ref="R141:R204" si="41">ROUND(P141,0)</f>
        <v>69922</v>
      </c>
      <c r="S141" s="56">
        <f t="shared" ref="S141:S204" si="42">D141-SUM(N141:P141)</f>
        <v>1867.9171465089894</v>
      </c>
      <c r="U141" s="16">
        <v>-3.380593918687036E-2</v>
      </c>
      <c r="V141" s="16">
        <v>-3.540540178285001E-2</v>
      </c>
      <c r="W141" s="56">
        <f t="shared" ref="W141:W204" si="43">IF(AND(U141&lt;0,V141&gt;0),1,IF(AND(U141&gt;0,V141&gt;0),2,IF(AND(U141&gt;0,V141&lt;0),3,IF(AND(U141&lt;0,V141&lt;0),4,5))))</f>
        <v>4</v>
      </c>
      <c r="X141" s="56">
        <f t="shared" ref="X141:Y204" si="44">N141/(1+U141)/100</f>
        <v>3098.6632203890645</v>
      </c>
      <c r="Y141" s="56">
        <f t="shared" si="44"/>
        <v>294.28943571182538</v>
      </c>
      <c r="AA141" s="56">
        <f t="shared" si="39"/>
        <v>0</v>
      </c>
      <c r="AB141" s="56">
        <v>0</v>
      </c>
      <c r="AC141" s="56">
        <f t="shared" ref="AC141:AC204" si="45">S141-AA141-AB141</f>
        <v>1867.9171465089894</v>
      </c>
      <c r="AE141" s="56">
        <v>0</v>
      </c>
      <c r="AF141" s="56">
        <f t="shared" ref="AF141:AF204" si="46">IF(W141=3,MIN(S141,-1*V141*O141),0)</f>
        <v>0</v>
      </c>
      <c r="AG141" s="56">
        <f t="shared" ref="AG141:AG204" si="47">AC141-AE141-AF141</f>
        <v>1867.9171465089894</v>
      </c>
      <c r="AI141" s="56">
        <f t="shared" ref="AI141:AI204" si="48">AG141*X141/(X141+Y141)</f>
        <v>1705.9024240181998</v>
      </c>
      <c r="AJ141" s="56">
        <f t="shared" ref="AJ141:AJ204" si="49">AG141*Y141/(X141+Y141)</f>
        <v>162.01472249078972</v>
      </c>
      <c r="AK141" s="56">
        <f t="shared" ref="AK141:AK204" si="50">S141-SUM(AA141:AB141)-SUM(AE141:AF141)-SUM(AI141:AJ141)</f>
        <v>0</v>
      </c>
      <c r="AM141" s="56">
        <f t="shared" ref="AM141:AM204" si="51">ROUND(N141+AA141+AE141+AI141,0)</f>
        <v>301097</v>
      </c>
      <c r="AN141" s="56">
        <f t="shared" ref="AN141:AN204" si="52">ROUND(O141+AB141+AF141+AJ141,0)</f>
        <v>28549</v>
      </c>
      <c r="AO141" s="56">
        <f t="shared" ref="AO141:AO204" si="53">R141</f>
        <v>69922</v>
      </c>
      <c r="AP141" s="56"/>
      <c r="AQ141" s="56">
        <f t="shared" ref="AQ141:AQ204" si="54">SUM(AM141:AP141)</f>
        <v>399568</v>
      </c>
      <c r="AS141" s="56">
        <v>1260.129916896582</v>
      </c>
      <c r="AT141" s="56">
        <v>119.48126018353062</v>
      </c>
      <c r="AU141" s="56">
        <v>292.6326202162187</v>
      </c>
      <c r="AV141" s="56"/>
      <c r="AW141" s="56">
        <v>1672.2437972963312</v>
      </c>
      <c r="AY141" s="16">
        <v>-2.8300339259861196E-2</v>
      </c>
      <c r="AZ141" s="16">
        <v>-2.9900617025349074E-2</v>
      </c>
      <c r="BA141" s="16">
        <v>-2.1386314030212072E-2</v>
      </c>
      <c r="BB141" s="16">
        <f t="shared" ref="BB141:BB204" si="55">SUM(AM141:AO141)/I141-1</f>
        <v>-2.7212285503902978E-2</v>
      </c>
      <c r="BC141" s="16"/>
      <c r="BE141" s="16">
        <f>AM141/'2016-17 disagg'!AM141-1</f>
        <v>2.6723726386141955E-2</v>
      </c>
      <c r="BF141" s="16">
        <f>AN141/'2016-17 disagg'!AN141-1</f>
        <v>2.6720851614759455E-2</v>
      </c>
      <c r="BG141" s="16">
        <f>AO141/'2016-17 disagg'!AO141-1</f>
        <v>5.0368790277756981E-2</v>
      </c>
      <c r="BH141" s="16">
        <f>AQ141/'2016-17 disagg'!AQ141-1</f>
        <v>3.0784113921601408E-2</v>
      </c>
      <c r="BJ141" s="16">
        <f>AS141/'2016-17 disagg'!AS141-1</f>
        <v>1.6881904883608634E-2</v>
      </c>
      <c r="BK141" s="16">
        <f>AT141/'2016-17 disagg'!AT141-1</f>
        <v>1.6879057668798492E-2</v>
      </c>
      <c r="BL141" s="16">
        <f>AU141/'2016-17 disagg'!AU141-1</f>
        <v>4.0300315302378875E-2</v>
      </c>
      <c r="BM141" s="16">
        <f>AW141/'2016-17 disagg'!AW141-1</f>
        <v>2.090337093675676E-2</v>
      </c>
    </row>
    <row r="142" spans="1:65" x14ac:dyDescent="0.2">
      <c r="A142" s="156" t="s">
        <v>329</v>
      </c>
      <c r="B142" s="156" t="s">
        <v>330</v>
      </c>
      <c r="D142" s="56">
        <f>VLOOKUP(A142,'2017-18'!$A$12:$AMX350,32,FALSE)</f>
        <v>567730</v>
      </c>
      <c r="E142" s="56">
        <v>1508.3306195642294</v>
      </c>
      <c r="F142" s="16">
        <f>VLOOKUP(A142,'2017-18'!$A$12:$AMX350,34,FALSE)</f>
        <v>3.1240747569164951E-2</v>
      </c>
      <c r="G142" s="16">
        <f>VLOOKUP(A142,'2017-18'!$A$12:$AMX350,35,FALSE)</f>
        <v>2.2496991689455959E-2</v>
      </c>
      <c r="H142" s="56"/>
      <c r="I142" s="56">
        <v>569858.4929126252</v>
      </c>
      <c r="J142" s="56">
        <v>1513.9855453804414</v>
      </c>
      <c r="K142" s="16">
        <f t="shared" si="40"/>
        <v>-3.73512536725773E-3</v>
      </c>
      <c r="L142" s="58">
        <f t="shared" si="40"/>
        <v>-3.73512536725773E-3</v>
      </c>
      <c r="M142" s="10"/>
      <c r="N142" s="56">
        <v>414713</v>
      </c>
      <c r="O142" s="56">
        <v>46687</v>
      </c>
      <c r="P142" s="56">
        <v>106330</v>
      </c>
      <c r="R142" s="56">
        <f t="shared" si="41"/>
        <v>106330</v>
      </c>
      <c r="S142" s="56">
        <f t="shared" si="42"/>
        <v>0</v>
      </c>
      <c r="U142" s="16">
        <v>1.5941718611503841E-2</v>
      </c>
      <c r="V142" s="16">
        <v>-5.5146577041085054E-2</v>
      </c>
      <c r="W142" s="56">
        <f t="shared" si="43"/>
        <v>3</v>
      </c>
      <c r="X142" s="56">
        <f t="shared" si="44"/>
        <v>4082.0550273965696</v>
      </c>
      <c r="Y142" s="56">
        <f t="shared" si="44"/>
        <v>494.11896983761142</v>
      </c>
      <c r="AA142" s="56">
        <f t="shared" ref="AA142:AA205" si="56">IF(W142=1,MIN(S142,-1*U142*N142),0)</f>
        <v>0</v>
      </c>
      <c r="AB142" s="56">
        <v>0</v>
      </c>
      <c r="AC142" s="56">
        <f t="shared" si="45"/>
        <v>0</v>
      </c>
      <c r="AE142" s="56">
        <v>0</v>
      </c>
      <c r="AF142" s="56">
        <f t="shared" si="46"/>
        <v>0</v>
      </c>
      <c r="AG142" s="56">
        <f t="shared" si="47"/>
        <v>0</v>
      </c>
      <c r="AI142" s="56">
        <f t="shared" si="48"/>
        <v>0</v>
      </c>
      <c r="AJ142" s="56">
        <f t="shared" si="49"/>
        <v>0</v>
      </c>
      <c r="AK142" s="56">
        <f t="shared" si="50"/>
        <v>0</v>
      </c>
      <c r="AM142" s="56">
        <f t="shared" si="51"/>
        <v>414713</v>
      </c>
      <c r="AN142" s="56">
        <f t="shared" si="52"/>
        <v>46687</v>
      </c>
      <c r="AO142" s="56">
        <f t="shared" si="53"/>
        <v>106330</v>
      </c>
      <c r="AP142" s="56"/>
      <c r="AQ142" s="56">
        <f t="shared" si="54"/>
        <v>567730</v>
      </c>
      <c r="AS142" s="56">
        <v>1101.7989470898847</v>
      </c>
      <c r="AT142" s="56">
        <v>124.0368337688605</v>
      </c>
      <c r="AU142" s="56">
        <v>282.49483870548414</v>
      </c>
      <c r="AV142" s="56"/>
      <c r="AW142" s="56">
        <v>1508.3306195642294</v>
      </c>
      <c r="AY142" s="16">
        <v>1.5941718611503841E-2</v>
      </c>
      <c r="AZ142" s="16">
        <v>-5.5146577041085054E-2</v>
      </c>
      <c r="BA142" s="16">
        <v>-5.2664251757086999E-2</v>
      </c>
      <c r="BB142" s="16">
        <f t="shared" si="55"/>
        <v>-3.73512536725773E-3</v>
      </c>
      <c r="BC142" s="16"/>
      <c r="BE142" s="16">
        <f>AM142/'2016-17 disagg'!AM142-1</f>
        <v>2.0031040241631715E-2</v>
      </c>
      <c r="BF142" s="16">
        <f>AN142/'2016-17 disagg'!AN142-1</f>
        <v>9.5476089915059292E-2</v>
      </c>
      <c r="BG142" s="16">
        <f>AO142/'2016-17 disagg'!AO142-1</f>
        <v>4.9198768550678951E-2</v>
      </c>
      <c r="BH142" s="16">
        <f>AQ142/'2016-17 disagg'!AQ142-1</f>
        <v>3.1240747569164951E-2</v>
      </c>
      <c r="BJ142" s="16">
        <f>AS142/'2016-17 disagg'!AS142-1</f>
        <v>1.1382330009203301E-2</v>
      </c>
      <c r="BK142" s="16">
        <f>AT142/'2016-17 disagg'!AT142-1</f>
        <v>8.6187690940470629E-2</v>
      </c>
      <c r="BL142" s="16">
        <f>AU142/'2016-17 disagg'!AU142-1</f>
        <v>4.0302748951837941E-2</v>
      </c>
      <c r="BM142" s="16">
        <f>AW142/'2016-17 disagg'!AW142-1</f>
        <v>2.2496991689455959E-2</v>
      </c>
    </row>
    <row r="143" spans="1:65" x14ac:dyDescent="0.2">
      <c r="A143" s="156" t="s">
        <v>331</v>
      </c>
      <c r="B143" s="156" t="s">
        <v>332</v>
      </c>
      <c r="D143" s="56">
        <f>VLOOKUP(A143,'2017-18'!$A$12:$AMX351,32,FALSE)</f>
        <v>571486</v>
      </c>
      <c r="E143" s="56">
        <v>1643.7799181195833</v>
      </c>
      <c r="F143" s="16">
        <f>VLOOKUP(A143,'2017-18'!$A$12:$AMX351,34,FALSE)</f>
        <v>3.1105321463754443E-2</v>
      </c>
      <c r="G143" s="16">
        <f>VLOOKUP(A143,'2017-18'!$A$12:$AMX351,35,FALSE)</f>
        <v>1.982215612871685E-2</v>
      </c>
      <c r="H143" s="56"/>
      <c r="I143" s="56">
        <v>584337.07648267143</v>
      </c>
      <c r="J143" s="56">
        <v>1680.7438007841351</v>
      </c>
      <c r="K143" s="16">
        <f t="shared" si="40"/>
        <v>-2.1992574149199196E-2</v>
      </c>
      <c r="L143" s="58">
        <f t="shared" si="40"/>
        <v>-2.1992574149199084E-2</v>
      </c>
      <c r="M143" s="10"/>
      <c r="N143" s="56">
        <v>430892</v>
      </c>
      <c r="O143" s="56">
        <v>42165</v>
      </c>
      <c r="P143" s="56">
        <v>98429</v>
      </c>
      <c r="R143" s="56">
        <f t="shared" si="41"/>
        <v>98429</v>
      </c>
      <c r="S143" s="56">
        <f t="shared" si="42"/>
        <v>0</v>
      </c>
      <c r="U143" s="16">
        <v>-1.9853696203236182E-2</v>
      </c>
      <c r="V143" s="16">
        <v>-5.1668232480216347E-2</v>
      </c>
      <c r="W143" s="56">
        <f t="shared" si="43"/>
        <v>4</v>
      </c>
      <c r="X143" s="56">
        <f t="shared" si="44"/>
        <v>4396.2008358432449</v>
      </c>
      <c r="Y143" s="56">
        <f t="shared" si="44"/>
        <v>444.62287823886879</v>
      </c>
      <c r="AA143" s="56">
        <f t="shared" si="56"/>
        <v>0</v>
      </c>
      <c r="AB143" s="56">
        <v>0</v>
      </c>
      <c r="AC143" s="56">
        <f t="shared" si="45"/>
        <v>0</v>
      </c>
      <c r="AE143" s="56">
        <v>0</v>
      </c>
      <c r="AF143" s="56">
        <f t="shared" si="46"/>
        <v>0</v>
      </c>
      <c r="AG143" s="56">
        <f t="shared" si="47"/>
        <v>0</v>
      </c>
      <c r="AI143" s="56">
        <f t="shared" si="48"/>
        <v>0</v>
      </c>
      <c r="AJ143" s="56">
        <f t="shared" si="49"/>
        <v>0</v>
      </c>
      <c r="AK143" s="56">
        <f t="shared" si="50"/>
        <v>0</v>
      </c>
      <c r="AM143" s="56">
        <f t="shared" si="51"/>
        <v>430892</v>
      </c>
      <c r="AN143" s="56">
        <f t="shared" si="52"/>
        <v>42165</v>
      </c>
      <c r="AO143" s="56">
        <f t="shared" si="53"/>
        <v>98429</v>
      </c>
      <c r="AP143" s="56"/>
      <c r="AQ143" s="56">
        <f t="shared" si="54"/>
        <v>571486</v>
      </c>
      <c r="AS143" s="56">
        <v>1239.3857705672292</v>
      </c>
      <c r="AT143" s="56">
        <v>121.28027676533149</v>
      </c>
      <c r="AU143" s="56">
        <v>283.11387078702273</v>
      </c>
      <c r="AV143" s="56"/>
      <c r="AW143" s="56">
        <v>1643.7799181195833</v>
      </c>
      <c r="AY143" s="16">
        <v>-1.9853696203236182E-2</v>
      </c>
      <c r="AZ143" s="16">
        <v>-5.1668232480216347E-2</v>
      </c>
      <c r="BA143" s="16">
        <v>-1.8210667251019608E-2</v>
      </c>
      <c r="BB143" s="16">
        <f t="shared" si="55"/>
        <v>-2.1992574149199196E-2</v>
      </c>
      <c r="BC143" s="16"/>
      <c r="BE143" s="16">
        <f>AM143/'2016-17 disagg'!AM143-1</f>
        <v>2.2306579041021068E-2</v>
      </c>
      <c r="BF143" s="16">
        <f>AN143/'2016-17 disagg'!AN143-1</f>
        <v>7.6324186343331268E-2</v>
      </c>
      <c r="BG143" s="16">
        <f>AO143/'2016-17 disagg'!AO143-1</f>
        <v>5.1805387845823336E-2</v>
      </c>
      <c r="BH143" s="16">
        <f>AQ143/'2016-17 disagg'!AQ143-1</f>
        <v>3.1105321463754443E-2</v>
      </c>
      <c r="BJ143" s="16">
        <f>AS143/'2016-17 disagg'!AS143-1</f>
        <v>1.1119696465299977E-2</v>
      </c>
      <c r="BK143" s="16">
        <f>AT143/'2016-17 disagg'!AT143-1</f>
        <v>6.4546200626633077E-2</v>
      </c>
      <c r="BL143" s="16">
        <f>AU143/'2016-17 disagg'!AU143-1</f>
        <v>4.0295706104970463E-2</v>
      </c>
      <c r="BM143" s="16">
        <f>AW143/'2016-17 disagg'!AW143-1</f>
        <v>1.982215612871685E-2</v>
      </c>
    </row>
    <row r="144" spans="1:65" x14ac:dyDescent="0.2">
      <c r="A144" s="156" t="s">
        <v>333</v>
      </c>
      <c r="B144" s="156" t="s">
        <v>334</v>
      </c>
      <c r="D144" s="56">
        <f>VLOOKUP(A144,'2017-18'!$A$12:$AMX352,32,FALSE)</f>
        <v>493683</v>
      </c>
      <c r="E144" s="56">
        <v>1847.248976097449</v>
      </c>
      <c r="F144" s="16">
        <f>VLOOKUP(A144,'2017-18'!$A$12:$AMX352,34,FALSE)</f>
        <v>1.3516759426728475E-2</v>
      </c>
      <c r="G144" s="16">
        <f>VLOOKUP(A144,'2017-18'!$A$12:$AMX352,35,FALSE)</f>
        <v>9.569101645372502E-4</v>
      </c>
      <c r="H144" s="56"/>
      <c r="I144" s="56">
        <v>446835.05898020451</v>
      </c>
      <c r="J144" s="56">
        <v>1671.9546858725662</v>
      </c>
      <c r="K144" s="16">
        <f t="shared" si="40"/>
        <v>0.10484392412429511</v>
      </c>
      <c r="L144" s="58">
        <f t="shared" si="40"/>
        <v>0.10484392412429511</v>
      </c>
      <c r="M144" s="10"/>
      <c r="N144" s="56">
        <v>355250</v>
      </c>
      <c r="O144" s="56">
        <v>36752</v>
      </c>
      <c r="P144" s="56">
        <v>101681</v>
      </c>
      <c r="R144" s="56">
        <f t="shared" si="41"/>
        <v>101681</v>
      </c>
      <c r="S144" s="56">
        <f t="shared" si="42"/>
        <v>0</v>
      </c>
      <c r="U144" s="16">
        <v>0.16565821993720986</v>
      </c>
      <c r="V144" s="16">
        <v>-3.3929000804614806E-2</v>
      </c>
      <c r="W144" s="56">
        <f t="shared" si="43"/>
        <v>3</v>
      </c>
      <c r="X144" s="56">
        <f t="shared" si="44"/>
        <v>3047.6343230276893</v>
      </c>
      <c r="Y144" s="56">
        <f t="shared" si="44"/>
        <v>380.42752582998315</v>
      </c>
      <c r="AA144" s="56">
        <f t="shared" si="56"/>
        <v>0</v>
      </c>
      <c r="AB144" s="56">
        <v>0</v>
      </c>
      <c r="AC144" s="56">
        <f t="shared" si="45"/>
        <v>0</v>
      </c>
      <c r="AE144" s="56">
        <v>0</v>
      </c>
      <c r="AF144" s="56">
        <f t="shared" si="46"/>
        <v>0</v>
      </c>
      <c r="AG144" s="56">
        <f t="shared" si="47"/>
        <v>0</v>
      </c>
      <c r="AI144" s="56">
        <f t="shared" si="48"/>
        <v>0</v>
      </c>
      <c r="AJ144" s="56">
        <f t="shared" si="49"/>
        <v>0</v>
      </c>
      <c r="AK144" s="56">
        <f t="shared" si="50"/>
        <v>0</v>
      </c>
      <c r="AM144" s="56">
        <f t="shared" si="51"/>
        <v>355250</v>
      </c>
      <c r="AN144" s="56">
        <f t="shared" si="52"/>
        <v>36752</v>
      </c>
      <c r="AO144" s="56">
        <f t="shared" si="53"/>
        <v>101681</v>
      </c>
      <c r="AP144" s="56"/>
      <c r="AQ144" s="56">
        <f t="shared" si="54"/>
        <v>493683</v>
      </c>
      <c r="AS144" s="56">
        <v>1329.2643229736871</v>
      </c>
      <c r="AT144" s="56">
        <v>137.5175859195748</v>
      </c>
      <c r="AU144" s="56">
        <v>380.46706720418712</v>
      </c>
      <c r="AV144" s="56"/>
      <c r="AW144" s="56">
        <v>1847.248976097449</v>
      </c>
      <c r="AY144" s="16">
        <v>0.16565821993720986</v>
      </c>
      <c r="AZ144" s="16">
        <v>-3.3929000804614806E-2</v>
      </c>
      <c r="BA144" s="16">
        <v>-2.2569446366456636E-2</v>
      </c>
      <c r="BB144" s="16">
        <f t="shared" si="55"/>
        <v>0.10484392412429511</v>
      </c>
      <c r="BC144" s="16"/>
      <c r="BE144" s="16">
        <f>AM144/'2016-17 disagg'!AM144-1</f>
        <v>1.6324988510478811E-3</v>
      </c>
      <c r="BF144" s="16">
        <f>AN144/'2016-17 disagg'!AN144-1</f>
        <v>2.3818146363205894E-2</v>
      </c>
      <c r="BG144" s="16">
        <f>AO144/'2016-17 disagg'!AO144-1</f>
        <v>5.3350737068920795E-2</v>
      </c>
      <c r="BH144" s="16">
        <f>AQ144/'2016-17 disagg'!AQ144-1</f>
        <v>1.3516759426728475E-2</v>
      </c>
      <c r="BJ144" s="16">
        <f>AS144/'2016-17 disagg'!AS144-1</f>
        <v>-1.0780076555003681E-2</v>
      </c>
      <c r="BK144" s="16">
        <f>AT144/'2016-17 disagg'!AT144-1</f>
        <v>1.1130638760971978E-2</v>
      </c>
      <c r="BL144" s="16">
        <f>AU144/'2016-17 disagg'!AU144-1</f>
        <v>4.0297251416362867E-2</v>
      </c>
      <c r="BM144" s="16">
        <f>AW144/'2016-17 disagg'!AW144-1</f>
        <v>9.569101645372502E-4</v>
      </c>
    </row>
    <row r="145" spans="1:65" x14ac:dyDescent="0.2">
      <c r="A145" s="156" t="s">
        <v>335</v>
      </c>
      <c r="B145" s="156" t="s">
        <v>336</v>
      </c>
      <c r="D145" s="56">
        <f>VLOOKUP(A145,'2017-18'!$A$12:$AMX353,32,FALSE)</f>
        <v>360024</v>
      </c>
      <c r="E145" s="56">
        <v>1666.8724760386604</v>
      </c>
      <c r="F145" s="16">
        <f>VLOOKUP(A145,'2017-18'!$A$12:$AMX353,34,FALSE)</f>
        <v>1.2526366116376586E-2</v>
      </c>
      <c r="G145" s="16">
        <f>VLOOKUP(A145,'2017-18'!$A$12:$AMX353,35,FALSE)</f>
        <v>8.0575281188699499E-4</v>
      </c>
      <c r="H145" s="56"/>
      <c r="I145" s="56">
        <v>320512.14608631266</v>
      </c>
      <c r="J145" s="56">
        <v>1483.9368335093127</v>
      </c>
      <c r="K145" s="16">
        <f t="shared" si="40"/>
        <v>0.12327724361200021</v>
      </c>
      <c r="L145" s="58">
        <f t="shared" si="40"/>
        <v>0.12327724361200021</v>
      </c>
      <c r="M145" s="10"/>
      <c r="N145" s="56">
        <v>267480</v>
      </c>
      <c r="O145" s="56">
        <v>28451</v>
      </c>
      <c r="P145" s="56">
        <v>64093</v>
      </c>
      <c r="R145" s="56">
        <f t="shared" si="41"/>
        <v>64093</v>
      </c>
      <c r="S145" s="56">
        <f t="shared" si="42"/>
        <v>0</v>
      </c>
      <c r="U145" s="16">
        <v>0.17833680926078355</v>
      </c>
      <c r="V145" s="16">
        <v>-4.7218571374583074E-2</v>
      </c>
      <c r="W145" s="56">
        <f t="shared" si="43"/>
        <v>3</v>
      </c>
      <c r="X145" s="56">
        <f t="shared" si="44"/>
        <v>2269.9791595902075</v>
      </c>
      <c r="Y145" s="56">
        <f t="shared" si="44"/>
        <v>298.6099345056129</v>
      </c>
      <c r="AA145" s="56">
        <f t="shared" si="56"/>
        <v>0</v>
      </c>
      <c r="AB145" s="56">
        <v>0</v>
      </c>
      <c r="AC145" s="56">
        <f t="shared" si="45"/>
        <v>0</v>
      </c>
      <c r="AE145" s="56">
        <v>0</v>
      </c>
      <c r="AF145" s="56">
        <f t="shared" si="46"/>
        <v>0</v>
      </c>
      <c r="AG145" s="56">
        <f t="shared" si="47"/>
        <v>0</v>
      </c>
      <c r="AI145" s="56">
        <f t="shared" si="48"/>
        <v>0</v>
      </c>
      <c r="AJ145" s="56">
        <f t="shared" si="49"/>
        <v>0</v>
      </c>
      <c r="AK145" s="56">
        <f t="shared" si="50"/>
        <v>0</v>
      </c>
      <c r="AM145" s="56">
        <f t="shared" si="51"/>
        <v>267480</v>
      </c>
      <c r="AN145" s="56">
        <f t="shared" si="52"/>
        <v>28451</v>
      </c>
      <c r="AO145" s="56">
        <f t="shared" si="53"/>
        <v>64093</v>
      </c>
      <c r="AP145" s="56"/>
      <c r="AQ145" s="56">
        <f t="shared" si="54"/>
        <v>360024</v>
      </c>
      <c r="AS145" s="56">
        <v>1238.4036894507612</v>
      </c>
      <c r="AT145" s="56">
        <v>131.72507614985648</v>
      </c>
      <c r="AU145" s="56">
        <v>296.74371043804263</v>
      </c>
      <c r="AV145" s="56"/>
      <c r="AW145" s="56">
        <v>1666.8724760386604</v>
      </c>
      <c r="AY145" s="16">
        <v>0.17833680926078355</v>
      </c>
      <c r="AZ145" s="16">
        <v>-4.7218571374583074E-2</v>
      </c>
      <c r="BA145" s="16">
        <v>6.9087346728764487E-3</v>
      </c>
      <c r="BB145" s="16">
        <f t="shared" si="55"/>
        <v>0.12327724361200021</v>
      </c>
      <c r="BC145" s="16"/>
      <c r="BE145" s="16">
        <f>AM145/'2016-17 disagg'!AM145-1</f>
        <v>1.6326897440122057E-3</v>
      </c>
      <c r="BF145" s="16">
        <f>AN145/'2016-17 disagg'!AN145-1</f>
        <v>2.975134822107206E-2</v>
      </c>
      <c r="BG145" s="16">
        <f>AO145/'2016-17 disagg'!AO145-1</f>
        <v>5.2482059871586495E-2</v>
      </c>
      <c r="BH145" s="16">
        <f>AQ145/'2016-17 disagg'!AQ145-1</f>
        <v>1.2526366116376586E-2</v>
      </c>
      <c r="BJ145" s="16">
        <f>AS145/'2016-17 disagg'!AS145-1</f>
        <v>-9.961822579310331E-3</v>
      </c>
      <c r="BK145" s="16">
        <f>AT145/'2016-17 disagg'!AT145-1</f>
        <v>1.7831345190860937E-2</v>
      </c>
      <c r="BL145" s="16">
        <f>AU145/'2016-17 disagg'!AU145-1</f>
        <v>4.0298934921485507E-2</v>
      </c>
      <c r="BM145" s="16">
        <f>AW145/'2016-17 disagg'!AW145-1</f>
        <v>8.0575281188699499E-4</v>
      </c>
    </row>
    <row r="146" spans="1:65" x14ac:dyDescent="0.2">
      <c r="A146" s="156" t="s">
        <v>337</v>
      </c>
      <c r="B146" s="156" t="s">
        <v>338</v>
      </c>
      <c r="D146" s="56">
        <f>VLOOKUP(A146,'2017-18'!$A$12:$AMX354,32,FALSE)</f>
        <v>525140</v>
      </c>
      <c r="E146" s="56">
        <v>1715.5200976193398</v>
      </c>
      <c r="F146" s="16">
        <f>VLOOKUP(A146,'2017-18'!$A$12:$AMX354,34,FALSE)</f>
        <v>3.303655384324844E-2</v>
      </c>
      <c r="G146" s="16">
        <f>VLOOKUP(A146,'2017-18'!$A$12:$AMX354,35,FALSE)</f>
        <v>1.9392269896614689E-2</v>
      </c>
      <c r="H146" s="56"/>
      <c r="I146" s="56">
        <v>511118.54019516794</v>
      </c>
      <c r="J146" s="56">
        <v>1669.714986423942</v>
      </c>
      <c r="K146" s="16">
        <f t="shared" si="40"/>
        <v>2.7432892180898172E-2</v>
      </c>
      <c r="L146" s="58">
        <f t="shared" si="40"/>
        <v>2.7432892180898172E-2</v>
      </c>
      <c r="M146" s="10"/>
      <c r="N146" s="56">
        <v>378756</v>
      </c>
      <c r="O146" s="56">
        <v>43963</v>
      </c>
      <c r="P146" s="56">
        <v>102421</v>
      </c>
      <c r="R146" s="56">
        <f t="shared" si="41"/>
        <v>102421</v>
      </c>
      <c r="S146" s="56">
        <f t="shared" si="42"/>
        <v>0</v>
      </c>
      <c r="U146" s="16">
        <v>5.2194364144205752E-2</v>
      </c>
      <c r="V146" s="16">
        <v>-4.9176136315550734E-2</v>
      </c>
      <c r="W146" s="56">
        <f t="shared" si="43"/>
        <v>3</v>
      </c>
      <c r="X146" s="56">
        <f t="shared" si="44"/>
        <v>3599.6771405258223</v>
      </c>
      <c r="Y146" s="56">
        <f t="shared" si="44"/>
        <v>462.36744447749828</v>
      </c>
      <c r="AA146" s="56">
        <f t="shared" si="56"/>
        <v>0</v>
      </c>
      <c r="AB146" s="56">
        <v>0</v>
      </c>
      <c r="AC146" s="56">
        <f t="shared" si="45"/>
        <v>0</v>
      </c>
      <c r="AE146" s="56">
        <v>0</v>
      </c>
      <c r="AF146" s="56">
        <f t="shared" si="46"/>
        <v>0</v>
      </c>
      <c r="AG146" s="56">
        <f t="shared" si="47"/>
        <v>0</v>
      </c>
      <c r="AI146" s="56">
        <f t="shared" si="48"/>
        <v>0</v>
      </c>
      <c r="AJ146" s="56">
        <f t="shared" si="49"/>
        <v>0</v>
      </c>
      <c r="AK146" s="56">
        <f t="shared" si="50"/>
        <v>0</v>
      </c>
      <c r="AM146" s="56">
        <f t="shared" si="51"/>
        <v>378756</v>
      </c>
      <c r="AN146" s="56">
        <f t="shared" si="52"/>
        <v>43963</v>
      </c>
      <c r="AO146" s="56">
        <f t="shared" si="53"/>
        <v>102421</v>
      </c>
      <c r="AP146" s="56"/>
      <c r="AQ146" s="56">
        <f t="shared" si="54"/>
        <v>525140</v>
      </c>
      <c r="AS146" s="56">
        <v>1237.3148685948711</v>
      </c>
      <c r="AT146" s="56">
        <v>143.61772108702257</v>
      </c>
      <c r="AU146" s="56">
        <v>334.58750793744599</v>
      </c>
      <c r="AV146" s="56"/>
      <c r="AW146" s="56">
        <v>1715.5200976193398</v>
      </c>
      <c r="AY146" s="16">
        <v>5.2194364144205752E-2</v>
      </c>
      <c r="AZ146" s="16">
        <v>-4.9176136315550734E-2</v>
      </c>
      <c r="BA146" s="16">
        <v>-2.3763079794069553E-2</v>
      </c>
      <c r="BB146" s="16">
        <f t="shared" si="55"/>
        <v>2.7432892180898172E-2</v>
      </c>
      <c r="BC146" s="16"/>
      <c r="BE146" s="16">
        <f>AM146/'2016-17 disagg'!AM146-1</f>
        <v>2.4653517042118933E-2</v>
      </c>
      <c r="BF146" s="16">
        <f>AN146/'2016-17 disagg'!AN146-1</f>
        <v>5.8074608904933767E-2</v>
      </c>
      <c r="BG146" s="16">
        <f>AO146/'2016-17 disagg'!AO146-1</f>
        <v>5.4223750167261997E-2</v>
      </c>
      <c r="BH146" s="16">
        <f>AQ146/'2016-17 disagg'!AQ146-1</f>
        <v>3.303655384324844E-2</v>
      </c>
      <c r="BJ146" s="16">
        <f>AS146/'2016-17 disagg'!AS146-1</f>
        <v>1.1119955735476861E-2</v>
      </c>
      <c r="BK146" s="16">
        <f>AT146/'2016-17 disagg'!AT146-1</f>
        <v>4.409962385052002E-2</v>
      </c>
      <c r="BL146" s="16">
        <f>AU146/'2016-17 disagg'!AU146-1</f>
        <v>4.0299627020744522E-2</v>
      </c>
      <c r="BM146" s="16">
        <f>AW146/'2016-17 disagg'!AW146-1</f>
        <v>1.9392269896614689E-2</v>
      </c>
    </row>
    <row r="147" spans="1:65" x14ac:dyDescent="0.2">
      <c r="A147" s="156" t="s">
        <v>339</v>
      </c>
      <c r="B147" s="156" t="s">
        <v>340</v>
      </c>
      <c r="D147" s="56">
        <f>VLOOKUP(A147,'2017-18'!$A$12:$AMX355,32,FALSE)</f>
        <v>654088.02315112134</v>
      </c>
      <c r="E147" s="56">
        <v>1598.9504590179538</v>
      </c>
      <c r="F147" s="16">
        <f>VLOOKUP(A147,'2017-18'!$A$12:$AMX355,34,FALSE)</f>
        <v>3.2707513358849694E-2</v>
      </c>
      <c r="G147" s="16">
        <f>VLOOKUP(A147,'2017-18'!$A$12:$AMX355,35,FALSE)</f>
        <v>2.1285407696123304E-2</v>
      </c>
      <c r="H147" s="56"/>
      <c r="I147" s="56">
        <v>673642.13315018138</v>
      </c>
      <c r="J147" s="56">
        <v>1646.7514461206649</v>
      </c>
      <c r="K147" s="16">
        <f t="shared" si="40"/>
        <v>-2.9027445043584676E-2</v>
      </c>
      <c r="L147" s="58">
        <f t="shared" si="40"/>
        <v>-2.9027445043584676E-2</v>
      </c>
      <c r="M147" s="10"/>
      <c r="N147" s="56">
        <v>477506</v>
      </c>
      <c r="O147" s="56">
        <v>50218</v>
      </c>
      <c r="P147" s="56">
        <v>124656</v>
      </c>
      <c r="R147" s="56">
        <f t="shared" si="41"/>
        <v>124656</v>
      </c>
      <c r="S147" s="56">
        <f t="shared" si="42"/>
        <v>1708.0231511213351</v>
      </c>
      <c r="U147" s="16">
        <v>-4.0028616858133304E-2</v>
      </c>
      <c r="V147" s="16">
        <v>-4.862696108884601E-2</v>
      </c>
      <c r="W147" s="56">
        <f t="shared" si="43"/>
        <v>4</v>
      </c>
      <c r="X147" s="56">
        <f t="shared" si="44"/>
        <v>4974.1691094705593</v>
      </c>
      <c r="Y147" s="56">
        <f t="shared" si="44"/>
        <v>527.84762596882581</v>
      </c>
      <c r="AA147" s="56">
        <f t="shared" si="56"/>
        <v>0</v>
      </c>
      <c r="AB147" s="56">
        <v>0</v>
      </c>
      <c r="AC147" s="56">
        <f t="shared" si="45"/>
        <v>1708.0231511213351</v>
      </c>
      <c r="AE147" s="56">
        <v>0</v>
      </c>
      <c r="AF147" s="56">
        <f t="shared" si="46"/>
        <v>0</v>
      </c>
      <c r="AG147" s="56">
        <f t="shared" si="47"/>
        <v>1708.0231511213351</v>
      </c>
      <c r="AI147" s="56">
        <f t="shared" si="48"/>
        <v>1544.1603333999724</v>
      </c>
      <c r="AJ147" s="56">
        <f t="shared" si="49"/>
        <v>163.86281772136246</v>
      </c>
      <c r="AK147" s="56">
        <f t="shared" si="50"/>
        <v>0</v>
      </c>
      <c r="AM147" s="56">
        <f t="shared" si="51"/>
        <v>479050</v>
      </c>
      <c r="AN147" s="56">
        <f t="shared" si="52"/>
        <v>50382</v>
      </c>
      <c r="AO147" s="56">
        <f t="shared" si="53"/>
        <v>124656</v>
      </c>
      <c r="AP147" s="56"/>
      <c r="AQ147" s="56">
        <f t="shared" si="54"/>
        <v>654088</v>
      </c>
      <c r="AS147" s="56">
        <v>1171.0613713768894</v>
      </c>
      <c r="AT147" s="56">
        <v>123.16128590483341</v>
      </c>
      <c r="AU147" s="56">
        <v>304.72774514217207</v>
      </c>
      <c r="AV147" s="56"/>
      <c r="AW147" s="56">
        <v>1598.950402423895</v>
      </c>
      <c r="AY147" s="16">
        <v>-3.6924580855295486E-2</v>
      </c>
      <c r="AZ147" s="16">
        <v>-4.5520003854757962E-2</v>
      </c>
      <c r="BA147" s="16">
        <v>9.8471797466928024E-3</v>
      </c>
      <c r="BB147" s="16">
        <f t="shared" si="55"/>
        <v>-2.902747941067696E-2</v>
      </c>
      <c r="BC147" s="16"/>
      <c r="BE147" s="16">
        <f>AM147/'2016-17 disagg'!AM147-1</f>
        <v>2.5734908389378974E-2</v>
      </c>
      <c r="BF147" s="16">
        <f>AN147/'2016-17 disagg'!AN147-1</f>
        <v>5.3157465666088255E-2</v>
      </c>
      <c r="BG147" s="16">
        <f>AO147/'2016-17 disagg'!AO147-1</f>
        <v>5.1931612968557417E-2</v>
      </c>
      <c r="BH147" s="16">
        <f>AQ147/'2016-17 disagg'!AQ147-1</f>
        <v>3.270747680667907E-2</v>
      </c>
      <c r="BJ147" s="16">
        <f>AS147/'2016-17 disagg'!AS147-1</f>
        <v>1.4389922172067138E-2</v>
      </c>
      <c r="BK147" s="16">
        <f>AT147/'2016-17 disagg'!AT147-1</f>
        <v>4.1509176390839286E-2</v>
      </c>
      <c r="BL147" s="16">
        <f>AU147/'2016-17 disagg'!AU147-1</f>
        <v>4.0296882052143879E-2</v>
      </c>
      <c r="BM147" s="16">
        <f>AW147/'2016-17 disagg'!AW147-1</f>
        <v>2.1285371548232623E-2</v>
      </c>
    </row>
    <row r="148" spans="1:65" x14ac:dyDescent="0.2">
      <c r="A148" s="156" t="s">
        <v>341</v>
      </c>
      <c r="B148" s="156" t="s">
        <v>342</v>
      </c>
      <c r="D148" s="56">
        <f>VLOOKUP(A148,'2017-18'!$A$12:$AMX356,32,FALSE)</f>
        <v>663610</v>
      </c>
      <c r="E148" s="56">
        <v>1524.8878072142179</v>
      </c>
      <c r="F148" s="16">
        <f>VLOOKUP(A148,'2017-18'!$A$12:$AMX356,34,FALSE)</f>
        <v>3.2733871168546536E-2</v>
      </c>
      <c r="G148" s="16">
        <f>VLOOKUP(A148,'2017-18'!$A$12:$AMX356,35,FALSE)</f>
        <v>2.2364826485947287E-2</v>
      </c>
      <c r="H148" s="56"/>
      <c r="I148" s="56">
        <v>674248.10676576954</v>
      </c>
      <c r="J148" s="56">
        <v>1549.3327663000739</v>
      </c>
      <c r="K148" s="16">
        <f t="shared" si="40"/>
        <v>-1.5777733239472291E-2</v>
      </c>
      <c r="L148" s="58">
        <f t="shared" si="40"/>
        <v>-1.577773323947218E-2</v>
      </c>
      <c r="M148" s="10"/>
      <c r="N148" s="56">
        <v>485672</v>
      </c>
      <c r="O148" s="56">
        <v>53017</v>
      </c>
      <c r="P148" s="56">
        <v>124921</v>
      </c>
      <c r="R148" s="56">
        <f t="shared" si="41"/>
        <v>124921</v>
      </c>
      <c r="S148" s="56">
        <f t="shared" si="42"/>
        <v>0</v>
      </c>
      <c r="U148" s="16">
        <v>-2.3212164299959759E-2</v>
      </c>
      <c r="V148" s="16">
        <v>-5.5694031117422882E-2</v>
      </c>
      <c r="W148" s="56">
        <f t="shared" si="43"/>
        <v>4</v>
      </c>
      <c r="X148" s="56">
        <f t="shared" si="44"/>
        <v>4972.1339911233699</v>
      </c>
      <c r="Y148" s="56">
        <f t="shared" si="44"/>
        <v>561.43878940780667</v>
      </c>
      <c r="AA148" s="56">
        <f t="shared" si="56"/>
        <v>0</v>
      </c>
      <c r="AB148" s="56">
        <v>0</v>
      </c>
      <c r="AC148" s="56">
        <f t="shared" si="45"/>
        <v>0</v>
      </c>
      <c r="AE148" s="56">
        <v>0</v>
      </c>
      <c r="AF148" s="56">
        <f t="shared" si="46"/>
        <v>0</v>
      </c>
      <c r="AG148" s="56">
        <f t="shared" si="47"/>
        <v>0</v>
      </c>
      <c r="AI148" s="56">
        <f t="shared" si="48"/>
        <v>0</v>
      </c>
      <c r="AJ148" s="56">
        <f t="shared" si="49"/>
        <v>0</v>
      </c>
      <c r="AK148" s="56">
        <f t="shared" si="50"/>
        <v>0</v>
      </c>
      <c r="AM148" s="56">
        <f t="shared" si="51"/>
        <v>485672</v>
      </c>
      <c r="AN148" s="56">
        <f t="shared" si="52"/>
        <v>53017</v>
      </c>
      <c r="AO148" s="56">
        <f t="shared" si="53"/>
        <v>124921</v>
      </c>
      <c r="AP148" s="56"/>
      <c r="AQ148" s="56">
        <f t="shared" si="54"/>
        <v>663610</v>
      </c>
      <c r="AS148" s="56">
        <v>1116.0098719207722</v>
      </c>
      <c r="AT148" s="56">
        <v>121.82603769544791</v>
      </c>
      <c r="AU148" s="56">
        <v>287.05189759799777</v>
      </c>
      <c r="AV148" s="56"/>
      <c r="AW148" s="56">
        <v>1524.8878072142179</v>
      </c>
      <c r="AY148" s="16">
        <v>-2.3212164299959759E-2</v>
      </c>
      <c r="AZ148" s="16">
        <v>-5.5694031117422882E-2</v>
      </c>
      <c r="BA148" s="16">
        <v>3.3337279016653731E-2</v>
      </c>
      <c r="BB148" s="16">
        <f t="shared" si="55"/>
        <v>-1.5777733239472291E-2</v>
      </c>
      <c r="BC148" s="16"/>
      <c r="BE148" s="16">
        <f>AM148/'2016-17 disagg'!AM148-1</f>
        <v>2.1375034699731676E-2</v>
      </c>
      <c r="BF148" s="16">
        <f>AN148/'2016-17 disagg'!AN148-1</f>
        <v>0.10012035192563085</v>
      </c>
      <c r="BG148" s="16">
        <f>AO148/'2016-17 disagg'!AO148-1</f>
        <v>5.0851307244523802E-2</v>
      </c>
      <c r="BH148" s="16">
        <f>AQ148/'2016-17 disagg'!AQ148-1</f>
        <v>3.2733871168546536E-2</v>
      </c>
      <c r="BJ148" s="16">
        <f>AS148/'2016-17 disagg'!AS148-1</f>
        <v>1.1120037097581248E-2</v>
      </c>
      <c r="BK148" s="16">
        <f>AT148/'2016-17 disagg'!AT148-1</f>
        <v>8.9074721096803255E-2</v>
      </c>
      <c r="BL148" s="16">
        <f>AU148/'2016-17 disagg'!AU148-1</f>
        <v>4.0300356545814653E-2</v>
      </c>
      <c r="BM148" s="16">
        <f>AW148/'2016-17 disagg'!AW148-1</f>
        <v>2.2364826485947287E-2</v>
      </c>
    </row>
    <row r="149" spans="1:65" x14ac:dyDescent="0.2">
      <c r="A149" s="156" t="s">
        <v>343</v>
      </c>
      <c r="B149" s="156" t="s">
        <v>344</v>
      </c>
      <c r="D149" s="56">
        <f>VLOOKUP(A149,'2017-18'!$A$12:$AMX357,32,FALSE)</f>
        <v>547616.03097170836</v>
      </c>
      <c r="E149" s="56">
        <v>1640.997107775609</v>
      </c>
      <c r="F149" s="16">
        <f>VLOOKUP(A149,'2017-18'!$A$12:$AMX357,34,FALSE)</f>
        <v>3.4954256156358054E-2</v>
      </c>
      <c r="G149" s="16">
        <f>VLOOKUP(A149,'2017-18'!$A$12:$AMX357,35,FALSE)</f>
        <v>2.0450315306625111E-2</v>
      </c>
      <c r="H149" s="56"/>
      <c r="I149" s="56">
        <v>562328.97911388916</v>
      </c>
      <c r="J149" s="56">
        <v>1685.086221283352</v>
      </c>
      <c r="K149" s="16">
        <f t="shared" si="40"/>
        <v>-2.6164307173650037E-2</v>
      </c>
      <c r="L149" s="58">
        <f t="shared" si="40"/>
        <v>-2.6164307173650037E-2</v>
      </c>
      <c r="M149" s="10"/>
      <c r="N149" s="56">
        <v>395705</v>
      </c>
      <c r="O149" s="56">
        <v>40863</v>
      </c>
      <c r="P149" s="56">
        <v>109862</v>
      </c>
      <c r="R149" s="56">
        <f t="shared" si="41"/>
        <v>109862</v>
      </c>
      <c r="S149" s="56">
        <f t="shared" si="42"/>
        <v>1186.0309717083583</v>
      </c>
      <c r="U149" s="16">
        <v>-2.4972404207021515E-2</v>
      </c>
      <c r="V149" s="16">
        <v>-4.7935190991976739E-2</v>
      </c>
      <c r="W149" s="56">
        <f t="shared" si="43"/>
        <v>4</v>
      </c>
      <c r="X149" s="56">
        <f t="shared" si="44"/>
        <v>4058.3979541438289</v>
      </c>
      <c r="Y149" s="56">
        <f t="shared" si="44"/>
        <v>429.20397449177892</v>
      </c>
      <c r="AA149" s="56">
        <f t="shared" si="56"/>
        <v>0</v>
      </c>
      <c r="AB149" s="56">
        <v>0</v>
      </c>
      <c r="AC149" s="56">
        <f t="shared" si="45"/>
        <v>1186.0309717083583</v>
      </c>
      <c r="AE149" s="56">
        <v>0</v>
      </c>
      <c r="AF149" s="56">
        <f t="shared" si="46"/>
        <v>0</v>
      </c>
      <c r="AG149" s="56">
        <f t="shared" si="47"/>
        <v>1186.0309717083583</v>
      </c>
      <c r="AI149" s="56">
        <f t="shared" si="48"/>
        <v>1072.5963990740731</v>
      </c>
      <c r="AJ149" s="56">
        <f t="shared" si="49"/>
        <v>113.43457263428515</v>
      </c>
      <c r="AK149" s="56">
        <f t="shared" si="50"/>
        <v>0</v>
      </c>
      <c r="AM149" s="56">
        <f t="shared" si="51"/>
        <v>396778</v>
      </c>
      <c r="AN149" s="56">
        <f t="shared" si="52"/>
        <v>40976</v>
      </c>
      <c r="AO149" s="56">
        <f t="shared" si="53"/>
        <v>109862</v>
      </c>
      <c r="AP149" s="56"/>
      <c r="AQ149" s="56">
        <f t="shared" si="54"/>
        <v>547616</v>
      </c>
      <c r="AS149" s="56">
        <v>1188.9928592368567</v>
      </c>
      <c r="AT149" s="56">
        <v>122.78949790585526</v>
      </c>
      <c r="AU149" s="56">
        <v>329.21465782245878</v>
      </c>
      <c r="AV149" s="56"/>
      <c r="AW149" s="56">
        <v>1640.9970149651706</v>
      </c>
      <c r="AY149" s="16">
        <v>-2.2328503800693955E-2</v>
      </c>
      <c r="AZ149" s="16">
        <v>-4.5302410153127304E-2</v>
      </c>
      <c r="BA149" s="16">
        <v>-3.2639128872592571E-2</v>
      </c>
      <c r="BB149" s="16">
        <f t="shared" si="55"/>
        <v>-2.6164362251210438E-2</v>
      </c>
      <c r="BC149" s="16"/>
      <c r="BE149" s="16">
        <f>AM149/'2016-17 disagg'!AM149-1</f>
        <v>2.8271252679018088E-2</v>
      </c>
      <c r="BF149" s="16">
        <f>AN149/'2016-17 disagg'!AN149-1</f>
        <v>4.7283136533251557E-2</v>
      </c>
      <c r="BG149" s="16">
        <f>AO149/'2016-17 disagg'!AO149-1</f>
        <v>5.5087106006184827E-2</v>
      </c>
      <c r="BH149" s="16">
        <f>AQ149/'2016-17 disagg'!AQ149-1</f>
        <v>3.4954197622093952E-2</v>
      </c>
      <c r="BJ149" s="16">
        <f>AS149/'2016-17 disagg'!AS149-1</f>
        <v>1.3860968033467369E-2</v>
      </c>
      <c r="BK149" s="16">
        <f>AT149/'2016-17 disagg'!AT149-1</f>
        <v>3.2606417659111875E-2</v>
      </c>
      <c r="BL149" s="16">
        <f>AU149/'2016-17 disagg'!AU149-1</f>
        <v>4.03010216108588E-2</v>
      </c>
      <c r="BM149" s="16">
        <f>AW149/'2016-17 disagg'!AW149-1</f>
        <v>2.0450257592665277E-2</v>
      </c>
    </row>
    <row r="150" spans="1:65" x14ac:dyDescent="0.2">
      <c r="A150" s="156" t="s">
        <v>345</v>
      </c>
      <c r="B150" s="156" t="s">
        <v>346</v>
      </c>
      <c r="D150" s="56">
        <f>VLOOKUP(A150,'2017-18'!$A$12:$AMX358,32,FALSE)</f>
        <v>504904.29884603608</v>
      </c>
      <c r="E150" s="56">
        <v>1725.9986819602316</v>
      </c>
      <c r="F150" s="16">
        <f>VLOOKUP(A150,'2017-18'!$A$12:$AMX358,34,FALSE)</f>
        <v>3.1151368721877626E-2</v>
      </c>
      <c r="G150" s="16">
        <f>VLOOKUP(A150,'2017-18'!$A$12:$AMX358,35,FALSE)</f>
        <v>1.9480737255354263E-2</v>
      </c>
      <c r="H150" s="56"/>
      <c r="I150" s="56">
        <v>516359.20216240588</v>
      </c>
      <c r="J150" s="56">
        <v>1765.1568908945255</v>
      </c>
      <c r="K150" s="16">
        <f t="shared" si="40"/>
        <v>-2.2183982135689728E-2</v>
      </c>
      <c r="L150" s="58">
        <f t="shared" si="40"/>
        <v>-2.2183982135689839E-2</v>
      </c>
      <c r="M150" s="10"/>
      <c r="N150" s="56">
        <v>367511</v>
      </c>
      <c r="O150" s="56">
        <v>37583</v>
      </c>
      <c r="P150" s="56">
        <v>99599</v>
      </c>
      <c r="R150" s="56">
        <f t="shared" si="41"/>
        <v>99599</v>
      </c>
      <c r="S150" s="56">
        <f t="shared" si="42"/>
        <v>211.29884603607934</v>
      </c>
      <c r="U150" s="16">
        <v>-2.1726619288289228E-2</v>
      </c>
      <c r="V150" s="16">
        <v>-4.9044652984094439E-2</v>
      </c>
      <c r="W150" s="56">
        <f t="shared" si="43"/>
        <v>4</v>
      </c>
      <c r="X150" s="56">
        <f t="shared" si="44"/>
        <v>3756.7310656314639</v>
      </c>
      <c r="Y150" s="56">
        <f t="shared" si="44"/>
        <v>395.2130887947086</v>
      </c>
      <c r="AA150" s="56">
        <f t="shared" si="56"/>
        <v>0</v>
      </c>
      <c r="AB150" s="56">
        <v>0</v>
      </c>
      <c r="AC150" s="56">
        <f t="shared" si="45"/>
        <v>211.29884603607934</v>
      </c>
      <c r="AE150" s="56">
        <v>0</v>
      </c>
      <c r="AF150" s="56">
        <f t="shared" si="46"/>
        <v>0</v>
      </c>
      <c r="AG150" s="56">
        <f t="shared" si="47"/>
        <v>211.29884603607934</v>
      </c>
      <c r="AI150" s="56">
        <f t="shared" si="48"/>
        <v>191.18584198431412</v>
      </c>
      <c r="AJ150" s="56">
        <f t="shared" si="49"/>
        <v>20.113004051765206</v>
      </c>
      <c r="AK150" s="56">
        <f t="shared" si="50"/>
        <v>0</v>
      </c>
      <c r="AM150" s="56">
        <f t="shared" si="51"/>
        <v>367702</v>
      </c>
      <c r="AN150" s="56">
        <f t="shared" si="52"/>
        <v>37603</v>
      </c>
      <c r="AO150" s="56">
        <f t="shared" si="53"/>
        <v>99599</v>
      </c>
      <c r="AP150" s="56"/>
      <c r="AQ150" s="56">
        <f t="shared" si="54"/>
        <v>504904</v>
      </c>
      <c r="AS150" s="56">
        <v>1256.977151520887</v>
      </c>
      <c r="AT150" s="56">
        <v>128.54461446671465</v>
      </c>
      <c r="AU150" s="56">
        <v>340.47589437731864</v>
      </c>
      <c r="AV150" s="56"/>
      <c r="AW150" s="56">
        <v>1725.9976603649202</v>
      </c>
      <c r="AY150" s="16">
        <v>-2.1218198545193245E-2</v>
      </c>
      <c r="AZ150" s="16">
        <v>-4.8538596869885486E-2</v>
      </c>
      <c r="BA150" s="16">
        <v>-1.5477586327796389E-2</v>
      </c>
      <c r="BB150" s="16">
        <f t="shared" si="55"/>
        <v>-2.2184560891785887E-2</v>
      </c>
      <c r="BC150" s="16"/>
      <c r="BE150" s="16">
        <f>AM150/'2016-17 disagg'!AM150-1</f>
        <v>2.3224880063224207E-2</v>
      </c>
      <c r="BF150" s="16">
        <f>AN150/'2016-17 disagg'!AN150-1</f>
        <v>5.5137774285874519E-2</v>
      </c>
      <c r="BG150" s="16">
        <f>AO150/'2016-17 disagg'!AO150-1</f>
        <v>5.2209556609653873E-2</v>
      </c>
      <c r="BH150" s="16">
        <f>AQ150/'2016-17 disagg'!AQ150-1</f>
        <v>3.115075839730741E-2</v>
      </c>
      <c r="BJ150" s="16">
        <f>AS150/'2016-17 disagg'!AS150-1</f>
        <v>1.1643961058678043E-2</v>
      </c>
      <c r="BK150" s="16">
        <f>AT150/'2016-17 disagg'!AT150-1</f>
        <v>4.319566327906732E-2</v>
      </c>
      <c r="BL150" s="16">
        <f>AU150/'2016-17 disagg'!AU150-1</f>
        <v>4.03005873416733E-2</v>
      </c>
      <c r="BM150" s="16">
        <f>AW150/'2016-17 disagg'!AW150-1</f>
        <v>1.9480133838473357E-2</v>
      </c>
    </row>
    <row r="151" spans="1:65" x14ac:dyDescent="0.2">
      <c r="A151" s="156" t="s">
        <v>347</v>
      </c>
      <c r="B151" s="156" t="s">
        <v>348</v>
      </c>
      <c r="D151" s="56">
        <f>VLOOKUP(A151,'2017-18'!$A$12:$AMX359,32,FALSE)</f>
        <v>350782</v>
      </c>
      <c r="E151" s="56">
        <v>1660.8800167885063</v>
      </c>
      <c r="F151" s="16">
        <f>VLOOKUP(A151,'2017-18'!$A$12:$AMX359,34,FALSE)</f>
        <v>1.9578777256529678E-2</v>
      </c>
      <c r="G151" s="16">
        <f>VLOOKUP(A151,'2017-18'!$A$12:$AMX359,35,FALSE)</f>
        <v>1.6409022224170178E-2</v>
      </c>
      <c r="H151" s="56"/>
      <c r="I151" s="56">
        <v>335146.15620543866</v>
      </c>
      <c r="J151" s="56">
        <v>1586.8475393409362</v>
      </c>
      <c r="K151" s="16">
        <f t="shared" si="40"/>
        <v>4.6653806123251096E-2</v>
      </c>
      <c r="L151" s="58">
        <f t="shared" si="40"/>
        <v>4.6653806123251096E-2</v>
      </c>
      <c r="M151" s="10"/>
      <c r="N151" s="56">
        <v>260917</v>
      </c>
      <c r="O151" s="56">
        <v>27245</v>
      </c>
      <c r="P151" s="56">
        <v>62620</v>
      </c>
      <c r="R151" s="56">
        <f t="shared" si="41"/>
        <v>62620</v>
      </c>
      <c r="S151" s="56">
        <f t="shared" si="42"/>
        <v>0</v>
      </c>
      <c r="U151" s="16">
        <v>7.0592859081075821E-2</v>
      </c>
      <c r="V151" s="16">
        <v>-5.6253640377547431E-2</v>
      </c>
      <c r="W151" s="56">
        <f t="shared" si="43"/>
        <v>3</v>
      </c>
      <c r="X151" s="56">
        <f t="shared" si="44"/>
        <v>2437.1262874287563</v>
      </c>
      <c r="Y151" s="56">
        <f t="shared" si="44"/>
        <v>288.68985530073371</v>
      </c>
      <c r="AA151" s="56">
        <f t="shared" si="56"/>
        <v>0</v>
      </c>
      <c r="AB151" s="56">
        <v>0</v>
      </c>
      <c r="AC151" s="56">
        <f t="shared" si="45"/>
        <v>0</v>
      </c>
      <c r="AE151" s="56">
        <v>0</v>
      </c>
      <c r="AF151" s="56">
        <f>IF(W151=3,MIN(S151,-1*V151*O151),0)</f>
        <v>0</v>
      </c>
      <c r="AG151" s="56">
        <f t="shared" si="47"/>
        <v>0</v>
      </c>
      <c r="AI151" s="56">
        <f t="shared" si="48"/>
        <v>0</v>
      </c>
      <c r="AJ151" s="56">
        <f t="shared" si="49"/>
        <v>0</v>
      </c>
      <c r="AK151" s="56">
        <f t="shared" si="50"/>
        <v>0</v>
      </c>
      <c r="AM151" s="56">
        <f t="shared" si="51"/>
        <v>260917</v>
      </c>
      <c r="AN151" s="56">
        <f t="shared" si="52"/>
        <v>27245</v>
      </c>
      <c r="AO151" s="56">
        <f t="shared" si="53"/>
        <v>62620</v>
      </c>
      <c r="AP151" s="56"/>
      <c r="AQ151" s="56">
        <f t="shared" si="54"/>
        <v>350782</v>
      </c>
      <c r="AS151" s="56">
        <v>1235.3878800520172</v>
      </c>
      <c r="AT151" s="56">
        <v>128.99942430741274</v>
      </c>
      <c r="AU151" s="56">
        <v>296.49271242907633</v>
      </c>
      <c r="AV151" s="56"/>
      <c r="AW151" s="56">
        <v>1660.8800167885063</v>
      </c>
      <c r="AY151" s="16">
        <v>7.0592859081075821E-2</v>
      </c>
      <c r="AZ151" s="16">
        <v>-5.6253640377547431E-2</v>
      </c>
      <c r="BA151" s="16">
        <v>8.8641370650766049E-4</v>
      </c>
      <c r="BB151" s="16">
        <f t="shared" si="55"/>
        <v>4.6653806123251096E-2</v>
      </c>
      <c r="BC151" s="16"/>
      <c r="BE151" s="16">
        <f>AM151/'2016-17 disagg'!AM151-1</f>
        <v>6.7407493151212527E-3</v>
      </c>
      <c r="BF151" s="16">
        <f>AN151/'2016-17 disagg'!AN151-1</f>
        <v>9.5540632916482293E-2</v>
      </c>
      <c r="BG151" s="16">
        <f>AO151/'2016-17 disagg'!AO151-1</f>
        <v>4.3544919759361367E-2</v>
      </c>
      <c r="BH151" s="16">
        <f>AQ151/'2016-17 disagg'!AQ151-1</f>
        <v>1.9578777256529678E-2</v>
      </c>
      <c r="BJ151" s="16">
        <f>AS151/'2016-17 disagg'!AS151-1</f>
        <v>3.6109062587470486E-3</v>
      </c>
      <c r="BK151" s="16">
        <f>AT151/'2016-17 disagg'!AT151-1</f>
        <v>9.2134721071509107E-2</v>
      </c>
      <c r="BL151" s="16">
        <f>AU151/'2016-17 disagg'!AU151-1</f>
        <v>4.0300656702218385E-2</v>
      </c>
      <c r="BM151" s="16">
        <f>AW151/'2016-17 disagg'!AW151-1</f>
        <v>1.6409022224170178E-2</v>
      </c>
    </row>
    <row r="152" spans="1:65" x14ac:dyDescent="0.2">
      <c r="A152" s="156" t="s">
        <v>349</v>
      </c>
      <c r="B152" s="156" t="s">
        <v>350</v>
      </c>
      <c r="D152" s="56">
        <f>VLOOKUP(A152,'2017-18'!$A$12:$AMX360,32,FALSE)</f>
        <v>499598</v>
      </c>
      <c r="E152" s="56">
        <v>1612.7570836063946</v>
      </c>
      <c r="F152" s="16">
        <f>VLOOKUP(A152,'2017-18'!$A$12:$AMX360,34,FALSE)</f>
        <v>3.5612269857260737E-2</v>
      </c>
      <c r="G152" s="16">
        <f>VLOOKUP(A152,'2017-18'!$A$12:$AMX360,35,FALSE)</f>
        <v>2.2680831172022575E-2</v>
      </c>
      <c r="H152" s="56"/>
      <c r="I152" s="56">
        <v>510157.52067892376</v>
      </c>
      <c r="J152" s="56">
        <v>1646.8443733361826</v>
      </c>
      <c r="K152" s="16">
        <f t="shared" si="40"/>
        <v>-2.0698549469330585E-2</v>
      </c>
      <c r="L152" s="58">
        <f t="shared" si="40"/>
        <v>-2.0698549469330696E-2</v>
      </c>
      <c r="M152" s="10"/>
      <c r="N152" s="56">
        <v>352321</v>
      </c>
      <c r="O152" s="56">
        <v>41136</v>
      </c>
      <c r="P152" s="56">
        <v>106141</v>
      </c>
      <c r="R152" s="56">
        <f t="shared" si="41"/>
        <v>106141</v>
      </c>
      <c r="S152" s="56">
        <f t="shared" si="42"/>
        <v>0</v>
      </c>
      <c r="U152" s="16">
        <v>-1.706195085058404E-2</v>
      </c>
      <c r="V152" s="16">
        <v>-5.4272043462486041E-2</v>
      </c>
      <c r="W152" s="56">
        <f t="shared" si="43"/>
        <v>4</v>
      </c>
      <c r="X152" s="56">
        <f t="shared" si="44"/>
        <v>3584.3662813224137</v>
      </c>
      <c r="Y152" s="56">
        <f t="shared" si="44"/>
        <v>434.96652198594779</v>
      </c>
      <c r="AA152" s="56">
        <f t="shared" si="56"/>
        <v>0</v>
      </c>
      <c r="AB152" s="56">
        <v>0</v>
      </c>
      <c r="AC152" s="56">
        <f t="shared" si="45"/>
        <v>0</v>
      </c>
      <c r="AE152" s="56">
        <v>0</v>
      </c>
      <c r="AF152" s="56">
        <f t="shared" si="46"/>
        <v>0</v>
      </c>
      <c r="AG152" s="56">
        <f t="shared" si="47"/>
        <v>0</v>
      </c>
      <c r="AI152" s="56">
        <f t="shared" si="48"/>
        <v>0</v>
      </c>
      <c r="AJ152" s="56">
        <f t="shared" si="49"/>
        <v>0</v>
      </c>
      <c r="AK152" s="56">
        <f t="shared" si="50"/>
        <v>0</v>
      </c>
      <c r="AM152" s="56">
        <f t="shared" si="51"/>
        <v>352321</v>
      </c>
      <c r="AN152" s="56">
        <f t="shared" si="52"/>
        <v>41136</v>
      </c>
      <c r="AO152" s="56">
        <f t="shared" si="53"/>
        <v>106141</v>
      </c>
      <c r="AP152" s="56"/>
      <c r="AQ152" s="56">
        <f t="shared" si="54"/>
        <v>499598</v>
      </c>
      <c r="AS152" s="56">
        <v>1137.3307908624306</v>
      </c>
      <c r="AT152" s="56">
        <v>132.79151516065446</v>
      </c>
      <c r="AU152" s="56">
        <v>342.63477758330964</v>
      </c>
      <c r="AV152" s="56"/>
      <c r="AW152" s="56">
        <v>1612.7570836063946</v>
      </c>
      <c r="AY152" s="16">
        <v>-1.706195085058404E-2</v>
      </c>
      <c r="AZ152" s="16">
        <v>-5.4272043462486041E-2</v>
      </c>
      <c r="BA152" s="16">
        <v>-1.9249295179963322E-2</v>
      </c>
      <c r="BB152" s="16">
        <f t="shared" si="55"/>
        <v>-2.0698549469330585E-2</v>
      </c>
      <c r="BC152" s="16"/>
      <c r="BE152" s="16">
        <f>AM152/'2016-17 disagg'!AM152-1</f>
        <v>2.3906188697888631E-2</v>
      </c>
      <c r="BF152" s="16">
        <f>AN152/'2016-17 disagg'!AN152-1</f>
        <v>9.4974446337308338E-2</v>
      </c>
      <c r="BG152" s="16">
        <f>AO152/'2016-17 disagg'!AO152-1</f>
        <v>5.3456404148677583E-2</v>
      </c>
      <c r="BH152" s="16">
        <f>AQ152/'2016-17 disagg'!AQ152-1</f>
        <v>3.5612269857260737E-2</v>
      </c>
      <c r="BJ152" s="16">
        <f>AS152/'2016-17 disagg'!AS152-1</f>
        <v>1.1120921002665485E-2</v>
      </c>
      <c r="BK152" s="16">
        <f>AT152/'2016-17 disagg'!AT152-1</f>
        <v>8.1301766583653734E-2</v>
      </c>
      <c r="BL152" s="16">
        <f>AU152/'2016-17 disagg'!AU152-1</f>
        <v>4.0302150095953726E-2</v>
      </c>
      <c r="BM152" s="16">
        <f>AW152/'2016-17 disagg'!AW152-1</f>
        <v>2.2680831172022575E-2</v>
      </c>
    </row>
    <row r="153" spans="1:65" x14ac:dyDescent="0.2">
      <c r="A153" s="156" t="s">
        <v>351</v>
      </c>
      <c r="B153" s="156" t="s">
        <v>352</v>
      </c>
      <c r="D153" s="56">
        <f>VLOOKUP(A153,'2017-18'!$A$12:$AMX361,32,FALSE)</f>
        <v>394841.01763461879</v>
      </c>
      <c r="E153" s="56">
        <v>1487.1895468232819</v>
      </c>
      <c r="F153" s="16">
        <f>VLOOKUP(A153,'2017-18'!$A$12:$AMX361,34,FALSE)</f>
        <v>3.3355537965900739E-2</v>
      </c>
      <c r="G153" s="16">
        <f>VLOOKUP(A153,'2017-18'!$A$12:$AMX361,35,FALSE)</f>
        <v>2.1550735458100156E-2</v>
      </c>
      <c r="H153" s="56"/>
      <c r="I153" s="56">
        <v>407198.72903674043</v>
      </c>
      <c r="J153" s="56">
        <v>1533.7355195036105</v>
      </c>
      <c r="K153" s="16">
        <f t="shared" si="40"/>
        <v>-3.0348108972134469E-2</v>
      </c>
      <c r="L153" s="58">
        <f t="shared" si="40"/>
        <v>-3.0348108972134247E-2</v>
      </c>
      <c r="M153" s="10"/>
      <c r="N153" s="56">
        <v>287150</v>
      </c>
      <c r="O153" s="56">
        <v>30648</v>
      </c>
      <c r="P153" s="56">
        <v>75249</v>
      </c>
      <c r="R153" s="56">
        <f t="shared" si="41"/>
        <v>75249</v>
      </c>
      <c r="S153" s="56">
        <f t="shared" si="42"/>
        <v>1794.0176346187945</v>
      </c>
      <c r="U153" s="16">
        <v>-3.0308113849172758E-2</v>
      </c>
      <c r="V153" s="16">
        <v>-4.7084195953400632E-2</v>
      </c>
      <c r="W153" s="56">
        <f t="shared" si="43"/>
        <v>4</v>
      </c>
      <c r="X153" s="56">
        <f t="shared" si="44"/>
        <v>2961.2498990770796</v>
      </c>
      <c r="Y153" s="56">
        <f t="shared" si="44"/>
        <v>321.62337816050388</v>
      </c>
      <c r="AA153" s="56">
        <f t="shared" si="56"/>
        <v>0</v>
      </c>
      <c r="AB153" s="56">
        <v>0</v>
      </c>
      <c r="AC153" s="56">
        <f t="shared" si="45"/>
        <v>1794.0176346187945</v>
      </c>
      <c r="AE153" s="56">
        <v>0</v>
      </c>
      <c r="AF153" s="56">
        <f t="shared" si="46"/>
        <v>0</v>
      </c>
      <c r="AG153" s="56">
        <f t="shared" si="47"/>
        <v>1794.0176346187945</v>
      </c>
      <c r="AI153" s="56">
        <f t="shared" si="48"/>
        <v>1618.2575721983726</v>
      </c>
      <c r="AJ153" s="56">
        <f t="shared" si="49"/>
        <v>175.76006242042209</v>
      </c>
      <c r="AK153" s="56">
        <f t="shared" si="50"/>
        <v>0</v>
      </c>
      <c r="AM153" s="56">
        <f t="shared" si="51"/>
        <v>288768</v>
      </c>
      <c r="AN153" s="56">
        <f t="shared" si="52"/>
        <v>30824</v>
      </c>
      <c r="AO153" s="56">
        <f t="shared" si="53"/>
        <v>75249</v>
      </c>
      <c r="AP153" s="56"/>
      <c r="AQ153" s="56">
        <f t="shared" si="54"/>
        <v>394841</v>
      </c>
      <c r="AS153" s="56">
        <v>1087.6599235555509</v>
      </c>
      <c r="AT153" s="56">
        <v>116.10022399876823</v>
      </c>
      <c r="AU153" s="56">
        <v>283.42933284723949</v>
      </c>
      <c r="AV153" s="56"/>
      <c r="AW153" s="56">
        <v>1487.1894804015587</v>
      </c>
      <c r="AY153" s="16">
        <v>-2.4844204840668405E-2</v>
      </c>
      <c r="AZ153" s="16">
        <v>-4.1611956932511851E-2</v>
      </c>
      <c r="BA153" s="16">
        <v>-4.6411560966407084E-2</v>
      </c>
      <c r="BB153" s="16">
        <f t="shared" si="55"/>
        <v>-3.0348152279290219E-2</v>
      </c>
      <c r="BC153" s="16"/>
      <c r="BE153" s="16">
        <f>AM153/'2016-17 disagg'!AM153-1</f>
        <v>2.8566543661931787E-2</v>
      </c>
      <c r="BF153" s="16">
        <f>AN153/'2016-17 disagg'!AN153-1</f>
        <v>3.2975871313672966E-2</v>
      </c>
      <c r="BG153" s="16">
        <f>AO153/'2016-17 disagg'!AO153-1</f>
        <v>5.2315824802819266E-2</v>
      </c>
      <c r="BH153" s="16">
        <f>AQ153/'2016-17 disagg'!AQ153-1</f>
        <v>3.3355491813575666E-2</v>
      </c>
      <c r="BJ153" s="16">
        <f>AS153/'2016-17 disagg'!AS153-1</f>
        <v>1.681644946109051E-2</v>
      </c>
      <c r="BK153" s="16">
        <f>AT153/'2016-17 disagg'!AT153-1</f>
        <v>2.1175406025429E-2</v>
      </c>
      <c r="BL153" s="16">
        <f>AU153/'2016-17 disagg'!AU153-1</f>
        <v>4.0294424586506894E-2</v>
      </c>
      <c r="BM153" s="16">
        <f>AW153/'2016-17 disagg'!AW153-1</f>
        <v>2.1550689833008008E-2</v>
      </c>
    </row>
    <row r="154" spans="1:65" x14ac:dyDescent="0.2">
      <c r="A154" s="156" t="s">
        <v>353</v>
      </c>
      <c r="B154" s="156" t="s">
        <v>354</v>
      </c>
      <c r="D154" s="56">
        <f>VLOOKUP(A154,'2017-18'!$A$12:$AMX362,32,FALSE)</f>
        <v>457807.67150313826</v>
      </c>
      <c r="E154" s="56">
        <v>1679.9969271208931</v>
      </c>
      <c r="F154" s="16">
        <f>VLOOKUP(A154,'2017-18'!$A$12:$AMX362,34,FALSE)</f>
        <v>3.3701237582783428E-2</v>
      </c>
      <c r="G154" s="16">
        <f>VLOOKUP(A154,'2017-18'!$A$12:$AMX362,35,FALSE)</f>
        <v>2.2344620194938658E-2</v>
      </c>
      <c r="H154" s="56"/>
      <c r="I154" s="56">
        <v>473356.01408473321</v>
      </c>
      <c r="J154" s="56">
        <v>1737.0540045463058</v>
      </c>
      <c r="K154" s="16">
        <f t="shared" si="40"/>
        <v>-3.2847037153755698E-2</v>
      </c>
      <c r="L154" s="58">
        <f t="shared" si="40"/>
        <v>-3.2847037153755698E-2</v>
      </c>
      <c r="M154" s="10"/>
      <c r="N154" s="56">
        <v>349692</v>
      </c>
      <c r="O154" s="56">
        <v>33420</v>
      </c>
      <c r="P154" s="56">
        <v>71680</v>
      </c>
      <c r="R154" s="56">
        <f t="shared" si="41"/>
        <v>71680</v>
      </c>
      <c r="S154" s="56">
        <f t="shared" si="42"/>
        <v>3015.6715031382628</v>
      </c>
      <c r="U154" s="16">
        <v>-2.4068828842478074E-2</v>
      </c>
      <c r="V154" s="16">
        <v>-3.7976877786732977E-2</v>
      </c>
      <c r="W154" s="56">
        <f t="shared" si="43"/>
        <v>4</v>
      </c>
      <c r="X154" s="56">
        <f t="shared" si="44"/>
        <v>3583.1625255420531</v>
      </c>
      <c r="Y154" s="56">
        <f t="shared" si="44"/>
        <v>347.39289761677117</v>
      </c>
      <c r="AA154" s="56">
        <f t="shared" si="56"/>
        <v>0</v>
      </c>
      <c r="AB154" s="56">
        <v>0</v>
      </c>
      <c r="AC154" s="56">
        <f t="shared" si="45"/>
        <v>3015.6715031382628</v>
      </c>
      <c r="AE154" s="56">
        <v>0</v>
      </c>
      <c r="AF154" s="56">
        <f t="shared" si="46"/>
        <v>0</v>
      </c>
      <c r="AG154" s="56">
        <f t="shared" si="47"/>
        <v>3015.6715031382628</v>
      </c>
      <c r="AI154" s="56">
        <f t="shared" si="48"/>
        <v>2749.138469266527</v>
      </c>
      <c r="AJ154" s="56">
        <f t="shared" si="49"/>
        <v>266.5330338717356</v>
      </c>
      <c r="AK154" s="56">
        <f t="shared" si="50"/>
        <v>0</v>
      </c>
      <c r="AM154" s="56">
        <f t="shared" si="51"/>
        <v>352441</v>
      </c>
      <c r="AN154" s="56">
        <f t="shared" si="52"/>
        <v>33687</v>
      </c>
      <c r="AO154" s="56">
        <f t="shared" si="53"/>
        <v>71680</v>
      </c>
      <c r="AP154" s="56"/>
      <c r="AQ154" s="56">
        <f t="shared" si="54"/>
        <v>457808</v>
      </c>
      <c r="AS154" s="56">
        <v>1293.3374293343529</v>
      </c>
      <c r="AT154" s="56">
        <v>123.619720696475</v>
      </c>
      <c r="AU154" s="56">
        <v>263.04098256073053</v>
      </c>
      <c r="AV154" s="56"/>
      <c r="AW154" s="56">
        <v>1679.9981325915585</v>
      </c>
      <c r="AY154" s="16">
        <v>-1.6396835232352469E-2</v>
      </c>
      <c r="AZ154" s="16">
        <v>-3.029105571519064E-2</v>
      </c>
      <c r="BA154" s="16">
        <v>-0.10735269144701021</v>
      </c>
      <c r="BB154" s="16">
        <f t="shared" si="55"/>
        <v>-3.2846343179554593E-2</v>
      </c>
      <c r="BC154" s="16"/>
      <c r="BE154" s="16">
        <f>AM154/'2016-17 disagg'!AM154-1</f>
        <v>3.0387636786757266E-2</v>
      </c>
      <c r="BF154" s="16">
        <f>AN154/'2016-17 disagg'!AN154-1</f>
        <v>3.0530147756125947E-2</v>
      </c>
      <c r="BG154" s="16">
        <f>AO154/'2016-17 disagg'!AO154-1</f>
        <v>5.1859243389193788E-2</v>
      </c>
      <c r="BH154" s="16">
        <f>AQ154/'2016-17 disagg'!AQ154-1</f>
        <v>3.3701979308258245E-2</v>
      </c>
      <c r="BJ154" s="16">
        <f>AS154/'2016-17 disagg'!AS154-1</f>
        <v>1.9067423821243157E-2</v>
      </c>
      <c r="BK154" s="16">
        <f>AT154/'2016-17 disagg'!AT154-1</f>
        <v>1.9208369113321355E-2</v>
      </c>
      <c r="BL154" s="16">
        <f>AU154/'2016-17 disagg'!AU154-1</f>
        <v>4.0303135551911451E-2</v>
      </c>
      <c r="BM154" s="16">
        <f>AW154/'2016-17 disagg'!AW154-1</f>
        <v>2.2345353771547893E-2</v>
      </c>
    </row>
    <row r="155" spans="1:65" x14ac:dyDescent="0.2">
      <c r="A155" s="156" t="s">
        <v>355</v>
      </c>
      <c r="B155" s="156" t="s">
        <v>356</v>
      </c>
      <c r="D155" s="56">
        <f>VLOOKUP(A155,'2017-18'!$A$12:$AMX363,32,FALSE)</f>
        <v>477946</v>
      </c>
      <c r="E155" s="56">
        <v>1522.2600184002467</v>
      </c>
      <c r="F155" s="16">
        <f>VLOOKUP(A155,'2017-18'!$A$12:$AMX363,34,FALSE)</f>
        <v>3.6404009038117024E-2</v>
      </c>
      <c r="G155" s="16">
        <f>VLOOKUP(A155,'2017-18'!$A$12:$AMX363,35,FALSE)</f>
        <v>2.1195547021104044E-2</v>
      </c>
      <c r="H155" s="56"/>
      <c r="I155" s="56">
        <v>491159.1448561002</v>
      </c>
      <c r="J155" s="56">
        <v>1564.3439402905278</v>
      </c>
      <c r="K155" s="16">
        <f t="shared" si="40"/>
        <v>-2.6901962417846037E-2</v>
      </c>
      <c r="L155" s="58">
        <f t="shared" si="40"/>
        <v>-2.6901962417846148E-2</v>
      </c>
      <c r="M155" s="10"/>
      <c r="N155" s="56">
        <v>352389</v>
      </c>
      <c r="O155" s="56">
        <v>38470</v>
      </c>
      <c r="P155" s="56">
        <v>87087</v>
      </c>
      <c r="R155" s="56">
        <f t="shared" si="41"/>
        <v>87087</v>
      </c>
      <c r="S155" s="56">
        <f t="shared" si="42"/>
        <v>0</v>
      </c>
      <c r="U155" s="16">
        <v>-3.4653172135317933E-2</v>
      </c>
      <c r="V155" s="16">
        <v>-5.3169143555147236E-2</v>
      </c>
      <c r="W155" s="56">
        <f t="shared" si="43"/>
        <v>4</v>
      </c>
      <c r="X155" s="56">
        <f t="shared" si="44"/>
        <v>3650.3875066277869</v>
      </c>
      <c r="Y155" s="56">
        <f t="shared" si="44"/>
        <v>406.30277032211029</v>
      </c>
      <c r="AA155" s="56">
        <f t="shared" si="56"/>
        <v>0</v>
      </c>
      <c r="AB155" s="56">
        <v>0</v>
      </c>
      <c r="AC155" s="56">
        <f t="shared" si="45"/>
        <v>0</v>
      </c>
      <c r="AE155" s="56">
        <v>0</v>
      </c>
      <c r="AF155" s="56">
        <f t="shared" si="46"/>
        <v>0</v>
      </c>
      <c r="AG155" s="56">
        <f t="shared" si="47"/>
        <v>0</v>
      </c>
      <c r="AI155" s="56">
        <f t="shared" si="48"/>
        <v>0</v>
      </c>
      <c r="AJ155" s="56">
        <f t="shared" si="49"/>
        <v>0</v>
      </c>
      <c r="AK155" s="56">
        <f t="shared" si="50"/>
        <v>0</v>
      </c>
      <c r="AM155" s="56">
        <f t="shared" si="51"/>
        <v>352389</v>
      </c>
      <c r="AN155" s="56">
        <f t="shared" si="52"/>
        <v>38470</v>
      </c>
      <c r="AO155" s="56">
        <f t="shared" si="53"/>
        <v>87087</v>
      </c>
      <c r="AP155" s="56"/>
      <c r="AQ155" s="56">
        <f t="shared" si="54"/>
        <v>477946</v>
      </c>
      <c r="AS155" s="56">
        <v>1122.3604457910403</v>
      </c>
      <c r="AT155" s="56">
        <v>122.52711165666726</v>
      </c>
      <c r="AU155" s="56">
        <v>277.3724609525392</v>
      </c>
      <c r="AV155" s="56"/>
      <c r="AW155" s="56">
        <v>1522.2600184002467</v>
      </c>
      <c r="AY155" s="16">
        <v>-3.4653172135317933E-2</v>
      </c>
      <c r="AZ155" s="16">
        <v>-5.3169143555147236E-2</v>
      </c>
      <c r="BA155" s="16">
        <v>1.8679151367637647E-2</v>
      </c>
      <c r="BB155" s="16">
        <f t="shared" si="55"/>
        <v>-2.6901962417846037E-2</v>
      </c>
      <c r="BC155" s="16"/>
      <c r="BE155" s="16">
        <f>AM155/'2016-17 disagg'!AM155-1</f>
        <v>2.6179458880194684E-2</v>
      </c>
      <c r="BF155" s="16">
        <f>AN155/'2016-17 disagg'!AN155-1</f>
        <v>9.0604978170890638E-2</v>
      </c>
      <c r="BG155" s="16">
        <f>AO155/'2016-17 disagg'!AO155-1</f>
        <v>5.5791962174940979E-2</v>
      </c>
      <c r="BH155" s="16">
        <f>AQ155/'2016-17 disagg'!AQ155-1</f>
        <v>3.6404009038117024E-2</v>
      </c>
      <c r="BJ155" s="16">
        <f>AS155/'2016-17 disagg'!AS155-1</f>
        <v>1.1121034571798916E-2</v>
      </c>
      <c r="BK155" s="16">
        <f>AT155/'2016-17 disagg'!AT155-1</f>
        <v>7.4601157034120735E-2</v>
      </c>
      <c r="BL155" s="16">
        <f>AU155/'2016-17 disagg'!AU155-1</f>
        <v>4.0298996290422773E-2</v>
      </c>
      <c r="BM155" s="16">
        <f>AW155/'2016-17 disagg'!AW155-1</f>
        <v>2.1195547021104044E-2</v>
      </c>
    </row>
    <row r="156" spans="1:65" x14ac:dyDescent="0.2">
      <c r="A156" s="156" t="s">
        <v>357</v>
      </c>
      <c r="B156" s="156" t="s">
        <v>358</v>
      </c>
      <c r="D156" s="56">
        <f>VLOOKUP(A156,'2017-18'!$A$12:$AMX364,32,FALSE)</f>
        <v>457021.98812016897</v>
      </c>
      <c r="E156" s="56">
        <v>1449.6589107136872</v>
      </c>
      <c r="F156" s="16">
        <f>VLOOKUP(A156,'2017-18'!$A$12:$AMX364,34,FALSE)</f>
        <v>3.5330923235534328E-2</v>
      </c>
      <c r="G156" s="16">
        <f>VLOOKUP(A156,'2017-18'!$A$12:$AMX364,35,FALSE)</f>
        <v>2.0125444243958235E-2</v>
      </c>
      <c r="H156" s="56"/>
      <c r="I156" s="56">
        <v>468314.86516260845</v>
      </c>
      <c r="J156" s="56">
        <v>1485.4795501089668</v>
      </c>
      <c r="K156" s="16">
        <f t="shared" si="40"/>
        <v>-2.4113855618310032E-2</v>
      </c>
      <c r="L156" s="58">
        <f t="shared" si="40"/>
        <v>-2.4113855618309921E-2</v>
      </c>
      <c r="M156" s="10"/>
      <c r="N156" s="56">
        <v>338744</v>
      </c>
      <c r="O156" s="56">
        <v>37848</v>
      </c>
      <c r="P156" s="56">
        <v>80324</v>
      </c>
      <c r="R156" s="56">
        <f t="shared" si="41"/>
        <v>80324</v>
      </c>
      <c r="S156" s="56">
        <f t="shared" si="42"/>
        <v>105.98812016897136</v>
      </c>
      <c r="U156" s="16">
        <v>-3.1966456740671778E-2</v>
      </c>
      <c r="V156" s="16">
        <v>-5.0773266206854628E-2</v>
      </c>
      <c r="W156" s="56">
        <f t="shared" si="43"/>
        <v>4</v>
      </c>
      <c r="X156" s="56">
        <f t="shared" si="44"/>
        <v>3499.3002294059274</v>
      </c>
      <c r="Y156" s="56">
        <f t="shared" si="44"/>
        <v>398.72454759842236</v>
      </c>
      <c r="AA156" s="56">
        <f t="shared" si="56"/>
        <v>0</v>
      </c>
      <c r="AB156" s="56">
        <v>0</v>
      </c>
      <c r="AC156" s="56">
        <f t="shared" si="45"/>
        <v>105.98812016897136</v>
      </c>
      <c r="AE156" s="56">
        <v>0</v>
      </c>
      <c r="AF156" s="56">
        <f t="shared" si="46"/>
        <v>0</v>
      </c>
      <c r="AG156" s="56">
        <f t="shared" si="47"/>
        <v>105.98812016897136</v>
      </c>
      <c r="AI156" s="56">
        <f t="shared" si="48"/>
        <v>95.146715179838026</v>
      </c>
      <c r="AJ156" s="56">
        <f t="shared" si="49"/>
        <v>10.841404989133339</v>
      </c>
      <c r="AK156" s="56">
        <f t="shared" si="50"/>
        <v>0</v>
      </c>
      <c r="AM156" s="56">
        <f t="shared" si="51"/>
        <v>338839</v>
      </c>
      <c r="AN156" s="56">
        <f t="shared" si="52"/>
        <v>37859</v>
      </c>
      <c r="AO156" s="56">
        <f t="shared" si="53"/>
        <v>80324</v>
      </c>
      <c r="AP156" s="56"/>
      <c r="AQ156" s="56">
        <f t="shared" si="54"/>
        <v>457022</v>
      </c>
      <c r="AS156" s="56">
        <v>1074.7863087894998</v>
      </c>
      <c r="AT156" s="56">
        <v>120.08751904137857</v>
      </c>
      <c r="AU156" s="56">
        <v>254.78512056524715</v>
      </c>
      <c r="AV156" s="56"/>
      <c r="AW156" s="56">
        <v>1449.6589483961254</v>
      </c>
      <c r="AY156" s="16">
        <v>-3.1694973890467382E-2</v>
      </c>
      <c r="AZ156" s="16">
        <v>-5.0497386528358335E-2</v>
      </c>
      <c r="BA156" s="16">
        <v>2.3074225563442186E-2</v>
      </c>
      <c r="BB156" s="16">
        <f t="shared" si="55"/>
        <v>-2.4113830251122459E-2</v>
      </c>
      <c r="BC156" s="16"/>
      <c r="BE156" s="16">
        <f>AM156/'2016-17 disagg'!AM156-1</f>
        <v>2.6480015025840853E-2</v>
      </c>
      <c r="BF156" s="16">
        <f>AN156/'2016-17 disagg'!AN156-1</f>
        <v>7.4014184397163119E-2</v>
      </c>
      <c r="BG156" s="16">
        <f>AO156/'2016-17 disagg'!AO156-1</f>
        <v>5.5811141197192438E-2</v>
      </c>
      <c r="BH156" s="16">
        <f>AQ156/'2016-17 disagg'!AQ156-1</f>
        <v>3.5330950147929752E-2</v>
      </c>
      <c r="BJ156" s="16">
        <f>AS156/'2016-17 disagg'!AS156-1</f>
        <v>1.1404525678945898E-2</v>
      </c>
      <c r="BK156" s="16">
        <f>AT156/'2016-17 disagg'!AT156-1</f>
        <v>5.8240580276009757E-2</v>
      </c>
      <c r="BL156" s="16">
        <f>AU156/'2016-17 disagg'!AU156-1</f>
        <v>4.0304877676756945E-2</v>
      </c>
      <c r="BM156" s="16">
        <f>AW156/'2016-17 disagg'!AW156-1</f>
        <v>2.0125470761102271E-2</v>
      </c>
    </row>
    <row r="157" spans="1:65" x14ac:dyDescent="0.2">
      <c r="A157" s="156" t="s">
        <v>359</v>
      </c>
      <c r="B157" s="156" t="s">
        <v>360</v>
      </c>
      <c r="D157" s="56">
        <f>VLOOKUP(A157,'2017-18'!$A$12:$AMX365,32,FALSE)</f>
        <v>464690</v>
      </c>
      <c r="E157" s="56">
        <v>1917.5049154005819</v>
      </c>
      <c r="F157" s="16">
        <f>VLOOKUP(A157,'2017-18'!$A$12:$AMX365,34,FALSE)</f>
        <v>3.9107694303009088E-2</v>
      </c>
      <c r="G157" s="16">
        <f>VLOOKUP(A157,'2017-18'!$A$12:$AMX365,35,FALSE)</f>
        <v>2.2887613556431541E-2</v>
      </c>
      <c r="H157" s="56"/>
      <c r="I157" s="56">
        <v>448596.72486417042</v>
      </c>
      <c r="J157" s="56">
        <v>1851.0973443793696</v>
      </c>
      <c r="K157" s="16">
        <f t="shared" si="40"/>
        <v>3.5874704927242762E-2</v>
      </c>
      <c r="L157" s="58">
        <f t="shared" si="40"/>
        <v>3.587470492724254E-2</v>
      </c>
      <c r="M157" s="10"/>
      <c r="N157" s="56">
        <v>335737</v>
      </c>
      <c r="O157" s="56">
        <v>35408</v>
      </c>
      <c r="P157" s="56">
        <v>93545</v>
      </c>
      <c r="R157" s="56">
        <f t="shared" si="41"/>
        <v>93545</v>
      </c>
      <c r="S157" s="56">
        <f t="shared" si="42"/>
        <v>0</v>
      </c>
      <c r="U157" s="16">
        <v>5.6382941532642006E-2</v>
      </c>
      <c r="V157" s="16">
        <v>-5.8403807539895158E-2</v>
      </c>
      <c r="W157" s="56">
        <f t="shared" si="43"/>
        <v>3</v>
      </c>
      <c r="X157" s="56">
        <f t="shared" si="44"/>
        <v>3178.1751370662946</v>
      </c>
      <c r="Y157" s="56">
        <f t="shared" si="44"/>
        <v>376.042302247311</v>
      </c>
      <c r="AA157" s="56">
        <f t="shared" si="56"/>
        <v>0</v>
      </c>
      <c r="AB157" s="56">
        <v>0</v>
      </c>
      <c r="AC157" s="56">
        <f t="shared" si="45"/>
        <v>0</v>
      </c>
      <c r="AE157" s="56">
        <v>0</v>
      </c>
      <c r="AF157" s="56">
        <f t="shared" si="46"/>
        <v>0</v>
      </c>
      <c r="AG157" s="56">
        <f t="shared" si="47"/>
        <v>0</v>
      </c>
      <c r="AI157" s="56">
        <f t="shared" si="48"/>
        <v>0</v>
      </c>
      <c r="AJ157" s="56">
        <f t="shared" si="49"/>
        <v>0</v>
      </c>
      <c r="AK157" s="56">
        <f t="shared" si="50"/>
        <v>0</v>
      </c>
      <c r="AM157" s="56">
        <f t="shared" si="51"/>
        <v>335737</v>
      </c>
      <c r="AN157" s="56">
        <f t="shared" si="52"/>
        <v>35408</v>
      </c>
      <c r="AO157" s="56">
        <f t="shared" si="53"/>
        <v>93545</v>
      </c>
      <c r="AP157" s="56"/>
      <c r="AQ157" s="56">
        <f t="shared" si="54"/>
        <v>464690</v>
      </c>
      <c r="AS157" s="56">
        <v>1385.3910085903401</v>
      </c>
      <c r="AT157" s="56">
        <v>146.10818835030622</v>
      </c>
      <c r="AU157" s="56">
        <v>386.00571845993551</v>
      </c>
      <c r="AV157" s="56"/>
      <c r="AW157" s="56">
        <v>1917.5049154005819</v>
      </c>
      <c r="AY157" s="16">
        <v>5.6382941532642006E-2</v>
      </c>
      <c r="AZ157" s="16">
        <v>-5.8403807539895158E-2</v>
      </c>
      <c r="BA157" s="16">
        <v>3.9712277210650626E-3</v>
      </c>
      <c r="BB157" s="16">
        <f t="shared" si="55"/>
        <v>3.5874704927242762E-2</v>
      </c>
      <c r="BC157" s="16"/>
      <c r="BE157" s="16">
        <f>AM157/'2016-17 disagg'!AM157-1</f>
        <v>2.6731213837478229E-2</v>
      </c>
      <c r="BF157" s="16">
        <f>AN157/'2016-17 disagg'!AN157-1</f>
        <v>0.11742986082620632</v>
      </c>
      <c r="BG157" s="16">
        <f>AO157/'2016-17 disagg'!AO157-1</f>
        <v>5.679070923428009E-2</v>
      </c>
      <c r="BH157" s="16">
        <f>AQ157/'2016-17 disagg'!AQ157-1</f>
        <v>3.9107694303009088E-2</v>
      </c>
      <c r="BJ157" s="16">
        <f>AS157/'2016-17 disagg'!AS157-1</f>
        <v>1.0704325301496231E-2</v>
      </c>
      <c r="BK157" s="16">
        <f>AT157/'2016-17 disagg'!AT157-1</f>
        <v>9.9987200483482752E-2</v>
      </c>
      <c r="BL157" s="16">
        <f>AU157/'2016-17 disagg'!AU157-1</f>
        <v>4.0294603267601925E-2</v>
      </c>
      <c r="BM157" s="16">
        <f>AW157/'2016-17 disagg'!AW157-1</f>
        <v>2.2887613556431541E-2</v>
      </c>
    </row>
    <row r="158" spans="1:65" x14ac:dyDescent="0.2">
      <c r="A158" s="156" t="s">
        <v>361</v>
      </c>
      <c r="B158" s="156" t="s">
        <v>362</v>
      </c>
      <c r="D158" s="56">
        <f>VLOOKUP(A158,'2017-18'!$A$12:$AMX366,32,FALSE)</f>
        <v>300408</v>
      </c>
      <c r="E158" s="56">
        <v>1436.2935276488695</v>
      </c>
      <c r="F158" s="16">
        <f>VLOOKUP(A158,'2017-18'!$A$12:$AMX366,34,FALSE)</f>
        <v>3.1730713091022711E-2</v>
      </c>
      <c r="G158" s="16">
        <f>VLOOKUP(A158,'2017-18'!$A$12:$AMX366,35,FALSE)</f>
        <v>1.6060291967613605E-2</v>
      </c>
      <c r="H158" s="56"/>
      <c r="I158" s="56">
        <v>302176.07010254823</v>
      </c>
      <c r="J158" s="56">
        <v>1444.7469231800121</v>
      </c>
      <c r="K158" s="16">
        <f t="shared" si="40"/>
        <v>-5.851125477766006E-3</v>
      </c>
      <c r="L158" s="58">
        <f t="shared" si="40"/>
        <v>-5.851125477766006E-3</v>
      </c>
      <c r="M158" s="10"/>
      <c r="N158" s="56">
        <v>223132</v>
      </c>
      <c r="O158" s="56">
        <v>25233</v>
      </c>
      <c r="P158" s="56">
        <v>52043</v>
      </c>
      <c r="R158" s="56">
        <f t="shared" si="41"/>
        <v>52043</v>
      </c>
      <c r="S158" s="56">
        <f t="shared" si="42"/>
        <v>0</v>
      </c>
      <c r="U158" s="16">
        <v>-6.3438426205344456E-3</v>
      </c>
      <c r="V158" s="16">
        <v>2.1022793189317879E-2</v>
      </c>
      <c r="W158" s="56">
        <f t="shared" si="43"/>
        <v>1</v>
      </c>
      <c r="X158" s="56">
        <f t="shared" si="44"/>
        <v>2245.5655142162877</v>
      </c>
      <c r="Y158" s="56">
        <f t="shared" si="44"/>
        <v>247.1345416411414</v>
      </c>
      <c r="AA158" s="56">
        <f t="shared" si="56"/>
        <v>0</v>
      </c>
      <c r="AB158" s="56">
        <v>0</v>
      </c>
      <c r="AC158" s="56">
        <f t="shared" si="45"/>
        <v>0</v>
      </c>
      <c r="AE158" s="56">
        <v>0</v>
      </c>
      <c r="AF158" s="56">
        <f t="shared" si="46"/>
        <v>0</v>
      </c>
      <c r="AG158" s="56">
        <f t="shared" si="47"/>
        <v>0</v>
      </c>
      <c r="AI158" s="56">
        <f t="shared" si="48"/>
        <v>0</v>
      </c>
      <c r="AJ158" s="56">
        <f t="shared" si="49"/>
        <v>0</v>
      </c>
      <c r="AK158" s="56">
        <f t="shared" si="50"/>
        <v>0</v>
      </c>
      <c r="AM158" s="56">
        <f t="shared" si="51"/>
        <v>223132</v>
      </c>
      <c r="AN158" s="56">
        <f t="shared" si="52"/>
        <v>25233</v>
      </c>
      <c r="AO158" s="56">
        <f t="shared" si="53"/>
        <v>52043</v>
      </c>
      <c r="AP158" s="56"/>
      <c r="AQ158" s="56">
        <f t="shared" si="54"/>
        <v>300408</v>
      </c>
      <c r="AS158" s="56">
        <v>1066.825941424155</v>
      </c>
      <c r="AT158" s="56">
        <v>120.64257470894225</v>
      </c>
      <c r="AU158" s="56">
        <v>248.82501151577225</v>
      </c>
      <c r="AV158" s="56"/>
      <c r="AW158" s="56">
        <v>1436.2935276488695</v>
      </c>
      <c r="AY158" s="16">
        <v>-6.3438426205344456E-3</v>
      </c>
      <c r="AZ158" s="16">
        <v>2.1022793189317879E-2</v>
      </c>
      <c r="BA158" s="16">
        <v>-1.6313149063112764E-2</v>
      </c>
      <c r="BB158" s="16">
        <f t="shared" si="55"/>
        <v>-5.851125477766006E-3</v>
      </c>
      <c r="BC158" s="16"/>
      <c r="BE158" s="16">
        <f>AM158/'2016-17 disagg'!AM158-1</f>
        <v>2.6715625373862295E-2</v>
      </c>
      <c r="BF158" s="16">
        <f>AN158/'2016-17 disagg'!AN158-1</f>
        <v>2.67333984375E-2</v>
      </c>
      <c r="BG158" s="16">
        <f>AO158/'2016-17 disagg'!AO158-1</f>
        <v>5.6346032841455784E-2</v>
      </c>
      <c r="BH158" s="16">
        <f>AQ158/'2016-17 disagg'!AQ158-1</f>
        <v>3.1730713091022711E-2</v>
      </c>
      <c r="BJ158" s="16">
        <f>AS158/'2016-17 disagg'!AS158-1</f>
        <v>1.1121375809079348E-2</v>
      </c>
      <c r="BK158" s="16">
        <f>AT158/'2016-17 disagg'!AT158-1</f>
        <v>1.1138878926898688E-2</v>
      </c>
      <c r="BL158" s="16">
        <f>AU158/'2016-17 disagg'!AU158-1</f>
        <v>4.0301742430564502E-2</v>
      </c>
      <c r="BM158" s="16">
        <f>AW158/'2016-17 disagg'!AW158-1</f>
        <v>1.6060291967613605E-2</v>
      </c>
    </row>
    <row r="159" spans="1:65" x14ac:dyDescent="0.2">
      <c r="A159" s="156" t="s">
        <v>363</v>
      </c>
      <c r="B159" s="156" t="s">
        <v>364</v>
      </c>
      <c r="D159" s="56">
        <f>VLOOKUP(A159,'2017-18'!$A$12:$AMX367,32,FALSE)</f>
        <v>678892</v>
      </c>
      <c r="E159" s="56">
        <v>1729.0218924851031</v>
      </c>
      <c r="F159" s="16">
        <f>VLOOKUP(A159,'2017-18'!$A$12:$AMX367,34,FALSE)</f>
        <v>2.8979708141600335E-2</v>
      </c>
      <c r="G159" s="16">
        <f>VLOOKUP(A159,'2017-18'!$A$12:$AMX367,35,FALSE)</f>
        <v>1.7993901599059114E-2</v>
      </c>
      <c r="H159" s="56"/>
      <c r="I159" s="56">
        <v>684313.43134217255</v>
      </c>
      <c r="J159" s="56">
        <v>1742.8293515201501</v>
      </c>
      <c r="K159" s="16">
        <f t="shared" si="40"/>
        <v>-7.9224388911076637E-3</v>
      </c>
      <c r="L159" s="58">
        <f t="shared" si="40"/>
        <v>-7.9224388911075527E-3</v>
      </c>
      <c r="M159" s="10"/>
      <c r="N159" s="56">
        <v>461374</v>
      </c>
      <c r="O159" s="56">
        <v>54087</v>
      </c>
      <c r="P159" s="56">
        <v>163431</v>
      </c>
      <c r="R159" s="56">
        <f t="shared" si="41"/>
        <v>163431</v>
      </c>
      <c r="S159" s="56">
        <f t="shared" si="42"/>
        <v>0</v>
      </c>
      <c r="U159" s="16">
        <v>-1.764816591901408E-2</v>
      </c>
      <c r="V159" s="16">
        <v>-2.7527138314196287E-2</v>
      </c>
      <c r="W159" s="56">
        <f t="shared" si="43"/>
        <v>4</v>
      </c>
      <c r="X159" s="56">
        <f t="shared" si="44"/>
        <v>4696.6268499068528</v>
      </c>
      <c r="Y159" s="56">
        <f t="shared" si="44"/>
        <v>556.18004502705571</v>
      </c>
      <c r="AA159" s="56">
        <f t="shared" si="56"/>
        <v>0</v>
      </c>
      <c r="AB159" s="56">
        <v>0</v>
      </c>
      <c r="AC159" s="56">
        <f t="shared" si="45"/>
        <v>0</v>
      </c>
      <c r="AE159" s="56">
        <v>0</v>
      </c>
      <c r="AF159" s="56">
        <f t="shared" si="46"/>
        <v>0</v>
      </c>
      <c r="AG159" s="56">
        <f t="shared" si="47"/>
        <v>0</v>
      </c>
      <c r="AI159" s="56">
        <f t="shared" si="48"/>
        <v>0</v>
      </c>
      <c r="AJ159" s="56">
        <f t="shared" si="49"/>
        <v>0</v>
      </c>
      <c r="AK159" s="56">
        <f t="shared" si="50"/>
        <v>0</v>
      </c>
      <c r="AM159" s="56">
        <f t="shared" si="51"/>
        <v>461374</v>
      </c>
      <c r="AN159" s="56">
        <f t="shared" si="52"/>
        <v>54087</v>
      </c>
      <c r="AO159" s="56">
        <f t="shared" si="53"/>
        <v>163431</v>
      </c>
      <c r="AP159" s="56"/>
      <c r="AQ159" s="56">
        <f t="shared" si="54"/>
        <v>678892</v>
      </c>
      <c r="AS159" s="56">
        <v>1175.0407231539361</v>
      </c>
      <c r="AT159" s="56">
        <v>137.7503448248643</v>
      </c>
      <c r="AU159" s="56">
        <v>416.23082450630278</v>
      </c>
      <c r="AV159" s="56"/>
      <c r="AW159" s="56">
        <v>1729.0218924851031</v>
      </c>
      <c r="AY159" s="16">
        <v>-1.764816591901408E-2</v>
      </c>
      <c r="AZ159" s="16">
        <v>-2.7527138314196287E-2</v>
      </c>
      <c r="BA159" s="16">
        <v>2.7656305865621178E-2</v>
      </c>
      <c r="BB159" s="16">
        <f t="shared" si="55"/>
        <v>-7.9224388911076637E-3</v>
      </c>
      <c r="BC159" s="16"/>
      <c r="BE159" s="16">
        <f>AM159/'2016-17 disagg'!AM159-1</f>
        <v>2.2032306370008081E-2</v>
      </c>
      <c r="BF159" s="16">
        <f>AN159/'2016-17 disagg'!AN159-1</f>
        <v>2.203284140511319E-2</v>
      </c>
      <c r="BG159" s="16">
        <f>AO159/'2016-17 disagg'!AO159-1</f>
        <v>5.1523905728238395E-2</v>
      </c>
      <c r="BH159" s="16">
        <f>AQ159/'2016-17 disagg'!AQ159-1</f>
        <v>2.8979708141600335E-2</v>
      </c>
      <c r="BJ159" s="16">
        <f>AS159/'2016-17 disagg'!AS159-1</f>
        <v>1.1120673118963476E-2</v>
      </c>
      <c r="BK159" s="16">
        <f>AT159/'2016-17 disagg'!AT159-1</f>
        <v>1.1121202441815914E-2</v>
      </c>
      <c r="BL159" s="16">
        <f>AU159/'2016-17 disagg'!AU159-1</f>
        <v>4.0297408148367797E-2</v>
      </c>
      <c r="BM159" s="16">
        <f>AW159/'2016-17 disagg'!AW159-1</f>
        <v>1.7993901599059114E-2</v>
      </c>
    </row>
    <row r="160" spans="1:65" x14ac:dyDescent="0.2">
      <c r="A160" s="156" t="s">
        <v>365</v>
      </c>
      <c r="B160" s="156" t="s">
        <v>366</v>
      </c>
      <c r="D160" s="56">
        <f>VLOOKUP(A160,'2017-18'!$A$12:$AMX368,32,FALSE)</f>
        <v>573644</v>
      </c>
      <c r="E160" s="56">
        <v>1782.5737295600368</v>
      </c>
      <c r="F160" s="16">
        <f>VLOOKUP(A160,'2017-18'!$A$12:$AMX368,34,FALSE)</f>
        <v>3.3799552703333458E-2</v>
      </c>
      <c r="G160" s="16">
        <f>VLOOKUP(A160,'2017-18'!$A$12:$AMX368,35,FALSE)</f>
        <v>1.9563759068743192E-2</v>
      </c>
      <c r="H160" s="56"/>
      <c r="I160" s="56">
        <v>567187.83457793551</v>
      </c>
      <c r="J160" s="56">
        <v>1762.5114768823025</v>
      </c>
      <c r="K160" s="16">
        <f t="shared" si="40"/>
        <v>1.1382764277496848E-2</v>
      </c>
      <c r="L160" s="58">
        <f t="shared" si="40"/>
        <v>1.1382764277496848E-2</v>
      </c>
      <c r="M160" s="10"/>
      <c r="N160" s="56">
        <v>415400</v>
      </c>
      <c r="O160" s="56">
        <v>43121</v>
      </c>
      <c r="P160" s="56">
        <v>115123</v>
      </c>
      <c r="R160" s="56">
        <f t="shared" si="41"/>
        <v>115123</v>
      </c>
      <c r="S160" s="56">
        <f t="shared" si="42"/>
        <v>0</v>
      </c>
      <c r="U160" s="16">
        <v>2.2099081032526335E-2</v>
      </c>
      <c r="V160" s="16">
        <v>-4.9603974878620116E-2</v>
      </c>
      <c r="W160" s="56">
        <f t="shared" si="43"/>
        <v>3</v>
      </c>
      <c r="X160" s="56">
        <f t="shared" si="44"/>
        <v>4064.1852410273395</v>
      </c>
      <c r="Y160" s="56">
        <f t="shared" si="44"/>
        <v>453.71612317604968</v>
      </c>
      <c r="AA160" s="56">
        <f t="shared" si="56"/>
        <v>0</v>
      </c>
      <c r="AB160" s="56">
        <v>0</v>
      </c>
      <c r="AC160" s="56">
        <f t="shared" si="45"/>
        <v>0</v>
      </c>
      <c r="AE160" s="56">
        <v>0</v>
      </c>
      <c r="AF160" s="56">
        <f t="shared" si="46"/>
        <v>0</v>
      </c>
      <c r="AG160" s="56">
        <f t="shared" si="47"/>
        <v>0</v>
      </c>
      <c r="AI160" s="56">
        <f t="shared" si="48"/>
        <v>0</v>
      </c>
      <c r="AJ160" s="56">
        <f t="shared" si="49"/>
        <v>0</v>
      </c>
      <c r="AK160" s="56">
        <f t="shared" si="50"/>
        <v>0</v>
      </c>
      <c r="AM160" s="56">
        <f t="shared" si="51"/>
        <v>415400</v>
      </c>
      <c r="AN160" s="56">
        <f t="shared" si="52"/>
        <v>43121</v>
      </c>
      <c r="AO160" s="56">
        <f t="shared" si="53"/>
        <v>115123</v>
      </c>
      <c r="AP160" s="56"/>
      <c r="AQ160" s="56">
        <f t="shared" si="54"/>
        <v>573644</v>
      </c>
      <c r="AS160" s="56">
        <v>1290.8373961189156</v>
      </c>
      <c r="AT160" s="56">
        <v>133.99662820906056</v>
      </c>
      <c r="AU160" s="56">
        <v>357.73970523206049</v>
      </c>
      <c r="AV160" s="56"/>
      <c r="AW160" s="56">
        <v>1782.5737295600368</v>
      </c>
      <c r="AY160" s="16">
        <v>2.2099081032526335E-2</v>
      </c>
      <c r="AZ160" s="16">
        <v>-4.9603974878620116E-2</v>
      </c>
      <c r="BA160" s="16">
        <v>-2.3804474611049953E-3</v>
      </c>
      <c r="BB160" s="16">
        <f t="shared" si="55"/>
        <v>1.1382764277496848E-2</v>
      </c>
      <c r="BC160" s="16"/>
      <c r="BE160" s="16">
        <f>AM160/'2016-17 disagg'!AM160-1</f>
        <v>2.5238539491675205E-2</v>
      </c>
      <c r="BF160" s="16">
        <f>AN160/'2016-17 disagg'!AN160-1</f>
        <v>6.2721805993690927E-2</v>
      </c>
      <c r="BG160" s="16">
        <f>AO160/'2016-17 disagg'!AO160-1</f>
        <v>5.4829162810727583E-2</v>
      </c>
      <c r="BH160" s="16">
        <f>AQ160/'2016-17 disagg'!AQ160-1</f>
        <v>3.3799552703333458E-2</v>
      </c>
      <c r="BJ160" s="16">
        <f>AS160/'2016-17 disagg'!AS160-1</f>
        <v>1.1120634104439642E-2</v>
      </c>
      <c r="BK160" s="16">
        <f>AT160/'2016-17 disagg'!AT160-1</f>
        <v>4.808774247379044E-2</v>
      </c>
      <c r="BL160" s="16">
        <f>AU160/'2016-17 disagg'!AU160-1</f>
        <v>4.0303783841222129E-2</v>
      </c>
      <c r="BM160" s="16">
        <f>AW160/'2016-17 disagg'!AW160-1</f>
        <v>1.9563759068743192E-2</v>
      </c>
    </row>
    <row r="161" spans="1:65" x14ac:dyDescent="0.2">
      <c r="A161" s="156" t="s">
        <v>367</v>
      </c>
      <c r="B161" s="156" t="s">
        <v>368</v>
      </c>
      <c r="D161" s="56">
        <f>VLOOKUP(A161,'2017-18'!$A$12:$AMX369,32,FALSE)</f>
        <v>331157</v>
      </c>
      <c r="E161" s="56">
        <v>1461.8572501904835</v>
      </c>
      <c r="F161" s="16">
        <f>VLOOKUP(A161,'2017-18'!$A$12:$AMX369,34,FALSE)</f>
        <v>2.8639143683391488E-2</v>
      </c>
      <c r="G161" s="16">
        <f>VLOOKUP(A161,'2017-18'!$A$12:$AMX369,35,FALSE)</f>
        <v>1.5638069090500695E-2</v>
      </c>
      <c r="H161" s="56"/>
      <c r="I161" s="56">
        <v>331522.56489700987</v>
      </c>
      <c r="J161" s="56">
        <v>1463.4709974315472</v>
      </c>
      <c r="K161" s="16">
        <f t="shared" si="40"/>
        <v>-1.102684811585708E-3</v>
      </c>
      <c r="L161" s="58">
        <f t="shared" si="40"/>
        <v>-1.1026848115855969E-3</v>
      </c>
      <c r="M161" s="10"/>
      <c r="N161" s="56">
        <v>243309</v>
      </c>
      <c r="O161" s="56">
        <v>28595</v>
      </c>
      <c r="P161" s="56">
        <v>59253</v>
      </c>
      <c r="R161" s="56">
        <f t="shared" si="41"/>
        <v>59253</v>
      </c>
      <c r="S161" s="56">
        <f t="shared" si="42"/>
        <v>0</v>
      </c>
      <c r="U161" s="16">
        <v>-2.7982523597089859E-3</v>
      </c>
      <c r="V161" s="16">
        <v>5.8460585962599732E-2</v>
      </c>
      <c r="W161" s="56">
        <f t="shared" si="43"/>
        <v>1</v>
      </c>
      <c r="X161" s="56">
        <f t="shared" si="44"/>
        <v>2439.9175049156252</v>
      </c>
      <c r="Y161" s="56">
        <f t="shared" si="44"/>
        <v>270.1564931111227</v>
      </c>
      <c r="AA161" s="56">
        <f t="shared" si="56"/>
        <v>0</v>
      </c>
      <c r="AB161" s="56">
        <v>0</v>
      </c>
      <c r="AC161" s="56">
        <f t="shared" si="45"/>
        <v>0</v>
      </c>
      <c r="AE161" s="56">
        <v>0</v>
      </c>
      <c r="AF161" s="56">
        <f t="shared" si="46"/>
        <v>0</v>
      </c>
      <c r="AG161" s="56">
        <f t="shared" si="47"/>
        <v>0</v>
      </c>
      <c r="AI161" s="56">
        <f t="shared" si="48"/>
        <v>0</v>
      </c>
      <c r="AJ161" s="56">
        <f t="shared" si="49"/>
        <v>0</v>
      </c>
      <c r="AK161" s="56">
        <f t="shared" si="50"/>
        <v>0</v>
      </c>
      <c r="AM161" s="56">
        <f t="shared" si="51"/>
        <v>243309</v>
      </c>
      <c r="AN161" s="56">
        <f t="shared" si="52"/>
        <v>28595</v>
      </c>
      <c r="AO161" s="56">
        <f t="shared" si="53"/>
        <v>59253</v>
      </c>
      <c r="AP161" s="56"/>
      <c r="AQ161" s="56">
        <f t="shared" si="54"/>
        <v>331157</v>
      </c>
      <c r="AS161" s="56">
        <v>1074.0616254121046</v>
      </c>
      <c r="AT161" s="56">
        <v>126.22957711658479</v>
      </c>
      <c r="AU161" s="56">
        <v>261.56604766179396</v>
      </c>
      <c r="AV161" s="56"/>
      <c r="AW161" s="56">
        <v>1461.8572501904835</v>
      </c>
      <c r="AY161" s="16">
        <v>-2.7982523597089859E-3</v>
      </c>
      <c r="AZ161" s="16">
        <v>5.8460585962599732E-2</v>
      </c>
      <c r="BA161" s="16">
        <v>-2.085700489071618E-2</v>
      </c>
      <c r="BB161" s="16">
        <f t="shared" si="55"/>
        <v>-1.102684811585708E-3</v>
      </c>
      <c r="BC161" s="16"/>
      <c r="BE161" s="16">
        <f>AM161/'2016-17 disagg'!AM161-1</f>
        <v>2.4062257988484381E-2</v>
      </c>
      <c r="BF161" s="16">
        <f>AN161/'2016-17 disagg'!AN161-1</f>
        <v>1.736222293378864E-2</v>
      </c>
      <c r="BG161" s="16">
        <f>AO161/'2016-17 disagg'!AO161-1</f>
        <v>5.3611437106582782E-2</v>
      </c>
      <c r="BH161" s="16">
        <f>AQ161/'2016-17 disagg'!AQ161-1</f>
        <v>2.8639143683391488E-2</v>
      </c>
      <c r="BJ161" s="16">
        <f>AS161/'2016-17 disagg'!AS161-1</f>
        <v>1.1119031118663303E-2</v>
      </c>
      <c r="BK161" s="16">
        <f>AT161/'2016-17 disagg'!AT161-1</f>
        <v>4.503678487396634E-3</v>
      </c>
      <c r="BL161" s="16">
        <f>AU161/'2016-17 disagg'!AU161-1</f>
        <v>4.0294735161238604E-2</v>
      </c>
      <c r="BM161" s="16">
        <f>AW161/'2016-17 disagg'!AW161-1</f>
        <v>1.5638069090500695E-2</v>
      </c>
    </row>
    <row r="162" spans="1:65" x14ac:dyDescent="0.2">
      <c r="A162" s="156" t="s">
        <v>369</v>
      </c>
      <c r="B162" s="156" t="s">
        <v>370</v>
      </c>
      <c r="D162" s="56">
        <f>VLOOKUP(A162,'2017-18'!$A$12:$AMX370,32,FALSE)</f>
        <v>580139</v>
      </c>
      <c r="E162" s="56">
        <v>1512.9067762988939</v>
      </c>
      <c r="F162" s="16">
        <f>VLOOKUP(A162,'2017-18'!$A$12:$AMX370,34,FALSE)</f>
        <v>3.1475581221685589E-2</v>
      </c>
      <c r="G162" s="16">
        <f>VLOOKUP(A162,'2017-18'!$A$12:$AMX370,35,FALSE)</f>
        <v>1.5987099807470706E-2</v>
      </c>
      <c r="H162" s="56"/>
      <c r="I162" s="56">
        <v>565829.16409608803</v>
      </c>
      <c r="J162" s="56">
        <v>1475.5890856993071</v>
      </c>
      <c r="K162" s="16">
        <f t="shared" si="40"/>
        <v>2.5290028884905391E-2</v>
      </c>
      <c r="L162" s="58">
        <f t="shared" si="40"/>
        <v>2.5290028884905391E-2</v>
      </c>
      <c r="M162" s="10"/>
      <c r="N162" s="56">
        <v>429441</v>
      </c>
      <c r="O162" s="56">
        <v>51588</v>
      </c>
      <c r="P162" s="56">
        <v>99110</v>
      </c>
      <c r="R162" s="56">
        <f t="shared" si="41"/>
        <v>99110</v>
      </c>
      <c r="S162" s="56">
        <f t="shared" si="42"/>
        <v>0</v>
      </c>
      <c r="U162" s="16">
        <v>4.1936051283313569E-2</v>
      </c>
      <c r="V162" s="16">
        <v>-2.84952310013461E-2</v>
      </c>
      <c r="W162" s="56">
        <f t="shared" si="43"/>
        <v>3</v>
      </c>
      <c r="X162" s="56">
        <f t="shared" si="44"/>
        <v>4121.5677245361994</v>
      </c>
      <c r="Y162" s="56">
        <f t="shared" si="44"/>
        <v>531.01128935447855</v>
      </c>
      <c r="AA162" s="56">
        <f t="shared" si="56"/>
        <v>0</v>
      </c>
      <c r="AB162" s="56">
        <v>0</v>
      </c>
      <c r="AC162" s="56">
        <f t="shared" si="45"/>
        <v>0</v>
      </c>
      <c r="AE162" s="56">
        <v>0</v>
      </c>
      <c r="AF162" s="56">
        <f t="shared" si="46"/>
        <v>0</v>
      </c>
      <c r="AG162" s="56">
        <f t="shared" si="47"/>
        <v>0</v>
      </c>
      <c r="AI162" s="56">
        <f t="shared" si="48"/>
        <v>0</v>
      </c>
      <c r="AJ162" s="56">
        <f t="shared" si="49"/>
        <v>0</v>
      </c>
      <c r="AK162" s="56">
        <f t="shared" si="50"/>
        <v>0</v>
      </c>
      <c r="AM162" s="56">
        <f t="shared" si="51"/>
        <v>429441</v>
      </c>
      <c r="AN162" s="56">
        <f t="shared" si="52"/>
        <v>51588</v>
      </c>
      <c r="AO162" s="56">
        <f t="shared" si="53"/>
        <v>99110</v>
      </c>
      <c r="AP162" s="56"/>
      <c r="AQ162" s="56">
        <f t="shared" si="54"/>
        <v>580139</v>
      </c>
      <c r="AS162" s="56">
        <v>1119.9112607850416</v>
      </c>
      <c r="AT162" s="56">
        <v>134.53299084479295</v>
      </c>
      <c r="AU162" s="56">
        <v>258.46252466905923</v>
      </c>
      <c r="AV162" s="56"/>
      <c r="AW162" s="56">
        <v>1512.9067762988939</v>
      </c>
      <c r="AY162" s="16">
        <v>4.1936051283313569E-2</v>
      </c>
      <c r="AZ162" s="16">
        <v>-2.84952310013461E-2</v>
      </c>
      <c r="BA162" s="16">
        <v>-1.4529624742578129E-2</v>
      </c>
      <c r="BB162" s="16">
        <f t="shared" si="55"/>
        <v>2.5290028884905391E-2</v>
      </c>
      <c r="BC162" s="16"/>
      <c r="BE162" s="16">
        <f>AM162/'2016-17 disagg'!AM162-1</f>
        <v>2.653337827274882E-2</v>
      </c>
      <c r="BF162" s="16">
        <f>AN162/'2016-17 disagg'!AN162-1</f>
        <v>2.6524723908068815E-2</v>
      </c>
      <c r="BG162" s="16">
        <f>AO162/'2016-17 disagg'!AO162-1</f>
        <v>5.6159420289854989E-2</v>
      </c>
      <c r="BH162" s="16">
        <f>AQ162/'2016-17 disagg'!AQ162-1</f>
        <v>3.1475581221685589E-2</v>
      </c>
      <c r="BJ162" s="16">
        <f>AS162/'2016-17 disagg'!AS162-1</f>
        <v>1.1119108230972952E-2</v>
      </c>
      <c r="BK162" s="16">
        <f>AT162/'2016-17 disagg'!AT162-1</f>
        <v>1.1110583818924935E-2</v>
      </c>
      <c r="BL162" s="16">
        <f>AU162/'2016-17 disagg'!AU162-1</f>
        <v>4.0300290079295253E-2</v>
      </c>
      <c r="BM162" s="16">
        <f>AW162/'2016-17 disagg'!AW162-1</f>
        <v>1.5987099807470706E-2</v>
      </c>
    </row>
    <row r="163" spans="1:65" x14ac:dyDescent="0.2">
      <c r="A163" s="156" t="s">
        <v>371</v>
      </c>
      <c r="B163" s="156" t="s">
        <v>372</v>
      </c>
      <c r="D163" s="56">
        <f>VLOOKUP(A163,'2017-18'!$A$12:$AMX371,32,FALSE)</f>
        <v>459221</v>
      </c>
      <c r="E163" s="56">
        <v>1472.7760045760481</v>
      </c>
      <c r="F163" s="16">
        <f>VLOOKUP(A163,'2017-18'!$A$12:$AMX371,34,FALSE)</f>
        <v>3.859967341695425E-2</v>
      </c>
      <c r="G163" s="16">
        <f>VLOOKUP(A163,'2017-18'!$A$12:$AMX371,35,FALSE)</f>
        <v>2.0537251406971491E-2</v>
      </c>
      <c r="H163" s="56"/>
      <c r="I163" s="56">
        <v>470311.33595590363</v>
      </c>
      <c r="J163" s="56">
        <v>1508.3440223246741</v>
      </c>
      <c r="K163" s="16">
        <f t="shared" si="40"/>
        <v>-2.3580839133640286E-2</v>
      </c>
      <c r="L163" s="58">
        <f t="shared" si="40"/>
        <v>-2.3580839133640286E-2</v>
      </c>
      <c r="M163" s="10"/>
      <c r="N163" s="56">
        <v>345428</v>
      </c>
      <c r="O163" s="56">
        <v>36599</v>
      </c>
      <c r="P163" s="56">
        <v>77194</v>
      </c>
      <c r="R163" s="56">
        <f t="shared" si="41"/>
        <v>77194</v>
      </c>
      <c r="S163" s="56">
        <f t="shared" si="42"/>
        <v>0</v>
      </c>
      <c r="U163" s="16">
        <v>-1.4673266097087745E-2</v>
      </c>
      <c r="V163" s="16">
        <v>-5.2741245263453362E-2</v>
      </c>
      <c r="W163" s="56">
        <f t="shared" si="43"/>
        <v>4</v>
      </c>
      <c r="X163" s="56">
        <f t="shared" si="44"/>
        <v>3505.7203678189881</v>
      </c>
      <c r="Y163" s="56">
        <f t="shared" si="44"/>
        <v>386.36750325077736</v>
      </c>
      <c r="AA163" s="56">
        <f t="shared" si="56"/>
        <v>0</v>
      </c>
      <c r="AB163" s="56">
        <v>0</v>
      </c>
      <c r="AC163" s="56">
        <f t="shared" si="45"/>
        <v>0</v>
      </c>
      <c r="AE163" s="56">
        <v>0</v>
      </c>
      <c r="AF163" s="56">
        <f t="shared" si="46"/>
        <v>0</v>
      </c>
      <c r="AG163" s="56">
        <f t="shared" si="47"/>
        <v>0</v>
      </c>
      <c r="AI163" s="56">
        <f t="shared" si="48"/>
        <v>0</v>
      </c>
      <c r="AJ163" s="56">
        <f t="shared" si="49"/>
        <v>0</v>
      </c>
      <c r="AK163" s="56">
        <f t="shared" si="50"/>
        <v>0</v>
      </c>
      <c r="AM163" s="56">
        <f t="shared" si="51"/>
        <v>345428</v>
      </c>
      <c r="AN163" s="56">
        <f t="shared" si="52"/>
        <v>36599</v>
      </c>
      <c r="AO163" s="56">
        <f t="shared" si="53"/>
        <v>77194</v>
      </c>
      <c r="AP163" s="56"/>
      <c r="AQ163" s="56">
        <f t="shared" si="54"/>
        <v>459221</v>
      </c>
      <c r="AS163" s="56">
        <v>1107.828408780729</v>
      </c>
      <c r="AT163" s="56">
        <v>117.37731722085614</v>
      </c>
      <c r="AU163" s="56">
        <v>247.57027857446295</v>
      </c>
      <c r="AV163" s="56"/>
      <c r="AW163" s="56">
        <v>1472.7760045760481</v>
      </c>
      <c r="AY163" s="16">
        <v>-1.4673266097087745E-2</v>
      </c>
      <c r="AZ163" s="16">
        <v>-5.2741245263453362E-2</v>
      </c>
      <c r="BA163" s="16">
        <v>-4.8192675870245116E-2</v>
      </c>
      <c r="BB163" s="16">
        <f t="shared" si="55"/>
        <v>-2.3580839133640286E-2</v>
      </c>
      <c r="BC163" s="16"/>
      <c r="BE163" s="16">
        <f>AM163/'2016-17 disagg'!AM163-1</f>
        <v>2.9015037773170382E-2</v>
      </c>
      <c r="BF163" s="16">
        <f>AN163/'2016-17 disagg'!AN163-1</f>
        <v>9.0781748278842445E-2</v>
      </c>
      <c r="BG163" s="16">
        <f>AO163/'2016-17 disagg'!AO163-1</f>
        <v>5.8713809608711642E-2</v>
      </c>
      <c r="BH163" s="16">
        <f>AQ163/'2016-17 disagg'!AQ163-1</f>
        <v>3.859967341695425E-2</v>
      </c>
      <c r="BJ163" s="16">
        <f>AS163/'2016-17 disagg'!AS163-1</f>
        <v>1.1119303408332115E-2</v>
      </c>
      <c r="BK163" s="16">
        <f>AT163/'2016-17 disagg'!AT163-1</f>
        <v>7.1811821017667699E-2</v>
      </c>
      <c r="BL163" s="16">
        <f>AU163/'2016-17 disagg'!AU163-1</f>
        <v>4.0301580039993068E-2</v>
      </c>
      <c r="BM163" s="16">
        <f>AW163/'2016-17 disagg'!AW163-1</f>
        <v>2.0537251406971491E-2</v>
      </c>
    </row>
    <row r="164" spans="1:65" x14ac:dyDescent="0.2">
      <c r="A164" s="156" t="s">
        <v>373</v>
      </c>
      <c r="B164" s="156" t="s">
        <v>374</v>
      </c>
      <c r="D164" s="56">
        <f>VLOOKUP(A164,'2017-18'!$A$12:$AMX372,32,FALSE)</f>
        <v>307992</v>
      </c>
      <c r="E164" s="56">
        <v>1430.6817064949757</v>
      </c>
      <c r="F164" s="16">
        <f>VLOOKUP(A164,'2017-18'!$A$12:$AMX372,34,FALSE)</f>
        <v>3.057680338894575E-2</v>
      </c>
      <c r="G164" s="16">
        <f>VLOOKUP(A164,'2017-18'!$A$12:$AMX372,35,FALSE)</f>
        <v>1.7666960737239501E-2</v>
      </c>
      <c r="H164" s="56"/>
      <c r="I164" s="56">
        <v>302041.90122500272</v>
      </c>
      <c r="J164" s="56">
        <v>1403.0423604430432</v>
      </c>
      <c r="K164" s="16">
        <f t="shared" ref="K164:L220" si="57">D164/I164-1</f>
        <v>1.969958059085597E-2</v>
      </c>
      <c r="L164" s="58">
        <f t="shared" si="57"/>
        <v>1.969958059085597E-2</v>
      </c>
      <c r="M164" s="10"/>
      <c r="N164" s="56">
        <v>231374</v>
      </c>
      <c r="O164" s="56">
        <v>24623</v>
      </c>
      <c r="P164" s="56">
        <v>51995</v>
      </c>
      <c r="R164" s="56">
        <f t="shared" si="41"/>
        <v>51995</v>
      </c>
      <c r="S164" s="56">
        <f t="shared" si="42"/>
        <v>0</v>
      </c>
      <c r="U164" s="16">
        <v>2.7990991894438322E-2</v>
      </c>
      <c r="V164" s="16">
        <v>-4.8193696536210417E-2</v>
      </c>
      <c r="W164" s="56">
        <f t="shared" si="43"/>
        <v>3</v>
      </c>
      <c r="X164" s="56">
        <f t="shared" si="44"/>
        <v>2250.7395670229685</v>
      </c>
      <c r="Y164" s="56">
        <f t="shared" si="44"/>
        <v>258.69759330645951</v>
      </c>
      <c r="AA164" s="56">
        <f t="shared" si="56"/>
        <v>0</v>
      </c>
      <c r="AB164" s="56">
        <v>0</v>
      </c>
      <c r="AC164" s="56">
        <f t="shared" si="45"/>
        <v>0</v>
      </c>
      <c r="AE164" s="56">
        <v>0</v>
      </c>
      <c r="AF164" s="56">
        <f t="shared" si="46"/>
        <v>0</v>
      </c>
      <c r="AG164" s="56">
        <f t="shared" si="47"/>
        <v>0</v>
      </c>
      <c r="AI164" s="56">
        <f t="shared" si="48"/>
        <v>0</v>
      </c>
      <c r="AJ164" s="56">
        <f t="shared" si="49"/>
        <v>0</v>
      </c>
      <c r="AK164" s="56">
        <f t="shared" si="50"/>
        <v>0</v>
      </c>
      <c r="AM164" s="56">
        <f t="shared" si="51"/>
        <v>231374</v>
      </c>
      <c r="AN164" s="56">
        <f t="shared" si="52"/>
        <v>24623</v>
      </c>
      <c r="AO164" s="56">
        <f t="shared" si="53"/>
        <v>51995</v>
      </c>
      <c r="AP164" s="56"/>
      <c r="AQ164" s="56">
        <f t="shared" si="54"/>
        <v>307992</v>
      </c>
      <c r="AS164" s="56">
        <v>1074.7764525006121</v>
      </c>
      <c r="AT164" s="56">
        <v>114.37854119271211</v>
      </c>
      <c r="AU164" s="56">
        <v>241.52671280165154</v>
      </c>
      <c r="AV164" s="56"/>
      <c r="AW164" s="56">
        <v>1430.6817064949757</v>
      </c>
      <c r="AY164" s="16">
        <v>2.7990991894438322E-2</v>
      </c>
      <c r="AZ164" s="16">
        <v>-4.8193696536210417E-2</v>
      </c>
      <c r="BA164" s="16">
        <v>1.7550815250468865E-2</v>
      </c>
      <c r="BB164" s="16">
        <f t="shared" si="55"/>
        <v>1.969958059085597E-2</v>
      </c>
      <c r="BC164" s="16"/>
      <c r="BE164" s="16">
        <f>AM164/'2016-17 disagg'!AM164-1</f>
        <v>2.3946398304147243E-2</v>
      </c>
      <c r="BF164" s="16">
        <f>AN164/'2016-17 disagg'!AN164-1</f>
        <v>4.6184568320870145E-2</v>
      </c>
      <c r="BG164" s="16">
        <f>AO164/'2016-17 disagg'!AO164-1</f>
        <v>5.3490021274440247E-2</v>
      </c>
      <c r="BH164" s="16">
        <f>AQ164/'2016-17 disagg'!AQ164-1</f>
        <v>3.057680338894575E-2</v>
      </c>
      <c r="BJ164" s="16">
        <f>AS164/'2016-17 disagg'!AS164-1</f>
        <v>1.1119613495466529E-2</v>
      </c>
      <c r="BK164" s="16">
        <f>AT164/'2016-17 disagg'!AT164-1</f>
        <v>3.3079210120246616E-2</v>
      </c>
      <c r="BL164" s="16">
        <f>AU164/'2016-17 disagg'!AU164-1</f>
        <v>4.0293149032534226E-2</v>
      </c>
      <c r="BM164" s="16">
        <f>AW164/'2016-17 disagg'!AW164-1</f>
        <v>1.7666960737239501E-2</v>
      </c>
    </row>
    <row r="165" spans="1:65" x14ac:dyDescent="0.2">
      <c r="A165" s="156" t="s">
        <v>375</v>
      </c>
      <c r="B165" s="156" t="s">
        <v>376</v>
      </c>
      <c r="D165" s="56">
        <f>VLOOKUP(A165,'2017-18'!$A$12:$AMX373,32,FALSE)</f>
        <v>567420</v>
      </c>
      <c r="E165" s="56">
        <v>1767.7915143658597</v>
      </c>
      <c r="F165" s="16">
        <f>VLOOKUP(A165,'2017-18'!$A$12:$AMX373,34,FALSE)</f>
        <v>3.0698248928285876E-2</v>
      </c>
      <c r="G165" s="16">
        <f>VLOOKUP(A165,'2017-18'!$A$12:$AMX373,35,FALSE)</f>
        <v>1.7199655998383356E-2</v>
      </c>
      <c r="H165" s="56"/>
      <c r="I165" s="56">
        <v>558686.72496217256</v>
      </c>
      <c r="J165" s="56">
        <v>1740.5830805699156</v>
      </c>
      <c r="K165" s="16">
        <f t="shared" si="57"/>
        <v>1.5631792644471343E-2</v>
      </c>
      <c r="L165" s="58">
        <f t="shared" si="57"/>
        <v>1.5631792644471343E-2</v>
      </c>
      <c r="M165" s="10"/>
      <c r="N165" s="56">
        <v>403327</v>
      </c>
      <c r="O165" s="56">
        <v>43208</v>
      </c>
      <c r="P165" s="56">
        <v>120885</v>
      </c>
      <c r="R165" s="56">
        <f t="shared" si="41"/>
        <v>120885</v>
      </c>
      <c r="S165" s="56">
        <f t="shared" si="42"/>
        <v>0</v>
      </c>
      <c r="U165" s="16">
        <v>2.4513615580822323E-2</v>
      </c>
      <c r="V165" s="16">
        <v>-4.6297789188381899E-2</v>
      </c>
      <c r="W165" s="56">
        <f t="shared" si="43"/>
        <v>3</v>
      </c>
      <c r="X165" s="56">
        <f t="shared" si="44"/>
        <v>3936.7656404580221</v>
      </c>
      <c r="Y165" s="56">
        <f t="shared" si="44"/>
        <v>453.05546647762509</v>
      </c>
      <c r="AA165" s="56">
        <f t="shared" si="56"/>
        <v>0</v>
      </c>
      <c r="AB165" s="56">
        <v>0</v>
      </c>
      <c r="AC165" s="56">
        <f t="shared" si="45"/>
        <v>0</v>
      </c>
      <c r="AE165" s="56">
        <v>0</v>
      </c>
      <c r="AF165" s="56">
        <f t="shared" si="46"/>
        <v>0</v>
      </c>
      <c r="AG165" s="56">
        <f t="shared" si="47"/>
        <v>0</v>
      </c>
      <c r="AI165" s="56">
        <f t="shared" si="48"/>
        <v>0</v>
      </c>
      <c r="AJ165" s="56">
        <f t="shared" si="49"/>
        <v>0</v>
      </c>
      <c r="AK165" s="56">
        <f t="shared" si="50"/>
        <v>0</v>
      </c>
      <c r="AM165" s="56">
        <f t="shared" si="51"/>
        <v>403327</v>
      </c>
      <c r="AN165" s="56">
        <f t="shared" si="52"/>
        <v>43208</v>
      </c>
      <c r="AO165" s="56">
        <f t="shared" si="53"/>
        <v>120885</v>
      </c>
      <c r="AP165" s="56"/>
      <c r="AQ165" s="56">
        <f t="shared" si="54"/>
        <v>567420</v>
      </c>
      <c r="AS165" s="56">
        <v>1256.5613621561438</v>
      </c>
      <c r="AT165" s="56">
        <v>134.61410551746513</v>
      </c>
      <c r="AU165" s="56">
        <v>376.61604669225079</v>
      </c>
      <c r="AV165" s="56"/>
      <c r="AW165" s="56">
        <v>1767.7915143658597</v>
      </c>
      <c r="AY165" s="16">
        <v>2.4513615580822323E-2</v>
      </c>
      <c r="AZ165" s="16">
        <v>-4.6297789188381899E-2</v>
      </c>
      <c r="BA165" s="16">
        <v>9.8608206425814249E-3</v>
      </c>
      <c r="BB165" s="16">
        <f t="shared" si="55"/>
        <v>1.5631792644471343E-2</v>
      </c>
      <c r="BC165" s="16"/>
      <c r="BE165" s="16">
        <f>AM165/'2016-17 disagg'!AM165-1</f>
        <v>2.4538505894575957E-2</v>
      </c>
      <c r="BF165" s="16">
        <f>AN165/'2016-17 disagg'!AN165-1</f>
        <v>2.4541768430038191E-2</v>
      </c>
      <c r="BG165" s="16">
        <f>AO165/'2016-17 disagg'!AO165-1</f>
        <v>5.4107080572026511E-2</v>
      </c>
      <c r="BH165" s="16">
        <f>AQ165/'2016-17 disagg'!AQ165-1</f>
        <v>3.0698248928285876E-2</v>
      </c>
      <c r="BJ165" s="16">
        <f>AS165/'2016-17 disagg'!AS165-1</f>
        <v>1.1120584357926733E-2</v>
      </c>
      <c r="BK165" s="16">
        <f>AT165/'2016-17 disagg'!AT165-1</f>
        <v>1.1123804165424689E-2</v>
      </c>
      <c r="BL165" s="16">
        <f>AU165/'2016-17 disagg'!AU165-1</f>
        <v>4.0301912667681128E-2</v>
      </c>
      <c r="BM165" s="16">
        <f>AW165/'2016-17 disagg'!AW165-1</f>
        <v>1.7199655998383356E-2</v>
      </c>
    </row>
    <row r="166" spans="1:65" x14ac:dyDescent="0.2">
      <c r="A166" s="156" t="s">
        <v>377</v>
      </c>
      <c r="B166" s="156" t="s">
        <v>378</v>
      </c>
      <c r="D166" s="56">
        <f>VLOOKUP(A166,'2017-18'!$A$12:$AMX374,32,FALSE)</f>
        <v>320984.2150532009</v>
      </c>
      <c r="E166" s="56">
        <v>1639.9357847528222</v>
      </c>
      <c r="F166" s="16">
        <f>VLOOKUP(A166,'2017-18'!$A$12:$AMX374,34,FALSE)</f>
        <v>3.0198876845706213E-2</v>
      </c>
      <c r="G166" s="16">
        <f>VLOOKUP(A166,'2017-18'!$A$12:$AMX374,35,FALSE)</f>
        <v>1.6257771172883073E-2</v>
      </c>
      <c r="H166" s="56"/>
      <c r="I166" s="56">
        <v>323832.666601523</v>
      </c>
      <c r="J166" s="56">
        <v>1654.4887671306433</v>
      </c>
      <c r="K166" s="16">
        <f t="shared" si="57"/>
        <v>-8.7960599473033696E-3</v>
      </c>
      <c r="L166" s="58">
        <f t="shared" si="57"/>
        <v>-8.7960599473032586E-3</v>
      </c>
      <c r="M166" s="10"/>
      <c r="N166" s="56">
        <v>239584</v>
      </c>
      <c r="O166" s="56">
        <v>25578</v>
      </c>
      <c r="P166" s="56">
        <v>55744</v>
      </c>
      <c r="R166" s="56">
        <f t="shared" si="41"/>
        <v>55744</v>
      </c>
      <c r="S166" s="56">
        <f t="shared" si="42"/>
        <v>78.215053200896364</v>
      </c>
      <c r="U166" s="16">
        <v>-2.1780197058462014E-2</v>
      </c>
      <c r="V166" s="16">
        <v>4.4552463978190682E-2</v>
      </c>
      <c r="W166" s="56">
        <f t="shared" si="43"/>
        <v>1</v>
      </c>
      <c r="X166" s="56">
        <f t="shared" si="44"/>
        <v>2449.1837036989368</v>
      </c>
      <c r="Y166" s="56">
        <f t="shared" si="44"/>
        <v>244.8704194577827</v>
      </c>
      <c r="AA166" s="56">
        <f t="shared" si="56"/>
        <v>78.215053200896364</v>
      </c>
      <c r="AB166" s="56">
        <v>0</v>
      </c>
      <c r="AC166" s="56">
        <f t="shared" si="45"/>
        <v>0</v>
      </c>
      <c r="AE166" s="56">
        <v>0</v>
      </c>
      <c r="AF166" s="56">
        <f t="shared" si="46"/>
        <v>0</v>
      </c>
      <c r="AG166" s="56">
        <f t="shared" si="47"/>
        <v>0</v>
      </c>
      <c r="AI166" s="56">
        <f t="shared" si="48"/>
        <v>0</v>
      </c>
      <c r="AJ166" s="56">
        <f t="shared" si="49"/>
        <v>0</v>
      </c>
      <c r="AK166" s="56">
        <f t="shared" si="50"/>
        <v>0</v>
      </c>
      <c r="AM166" s="56">
        <f t="shared" si="51"/>
        <v>239662</v>
      </c>
      <c r="AN166" s="56">
        <f t="shared" si="52"/>
        <v>25578</v>
      </c>
      <c r="AO166" s="56">
        <f t="shared" si="53"/>
        <v>55744</v>
      </c>
      <c r="AP166" s="56"/>
      <c r="AQ166" s="56">
        <f t="shared" si="54"/>
        <v>320984</v>
      </c>
      <c r="AS166" s="56">
        <v>1224.4536385700114</v>
      </c>
      <c r="AT166" s="56">
        <v>130.68018779507702</v>
      </c>
      <c r="AU166" s="56">
        <v>284.80085966255274</v>
      </c>
      <c r="AV166" s="56"/>
      <c r="AW166" s="56">
        <v>1639.9346860276412</v>
      </c>
      <c r="AY166" s="16">
        <v>-2.1461723601847948E-2</v>
      </c>
      <c r="AZ166" s="16">
        <v>4.4552463978190682E-2</v>
      </c>
      <c r="BA166" s="16">
        <v>2.4192763927303185E-2</v>
      </c>
      <c r="BB166" s="16">
        <f t="shared" si="55"/>
        <v>-8.7967240347258668E-3</v>
      </c>
      <c r="BC166" s="16"/>
      <c r="BE166" s="16">
        <f>AM166/'2016-17 disagg'!AM166-1</f>
        <v>2.5322683460039519E-2</v>
      </c>
      <c r="BF166" s="16">
        <f>AN166/'2016-17 disagg'!AN166-1</f>
        <v>2.4226164257397986E-2</v>
      </c>
      <c r="BG166" s="16">
        <f>AO166/'2016-17 disagg'!AO166-1</f>
        <v>5.4579163434798295E-2</v>
      </c>
      <c r="BH166" s="16">
        <f>AQ166/'2016-17 disagg'!AQ166-1</f>
        <v>3.01981866324319E-2</v>
      </c>
      <c r="BJ166" s="16">
        <f>AS166/'2016-17 disagg'!AS166-1</f>
        <v>1.1447564587239834E-2</v>
      </c>
      <c r="BK166" s="16">
        <f>AT166/'2016-17 disagg'!AT166-1</f>
        <v>1.0365883966176881E-2</v>
      </c>
      <c r="BL166" s="16">
        <f>AU166/'2016-17 disagg'!AU166-1</f>
        <v>4.0308132968509103E-2</v>
      </c>
      <c r="BM166" s="16">
        <f>AW166/'2016-17 disagg'!AW166-1</f>
        <v>1.625709029987954E-2</v>
      </c>
    </row>
    <row r="167" spans="1:65" x14ac:dyDescent="0.2">
      <c r="A167" s="156" t="s">
        <v>379</v>
      </c>
      <c r="B167" s="156" t="s">
        <v>380</v>
      </c>
      <c r="D167" s="56">
        <f>VLOOKUP(A167,'2017-18'!$A$12:$AMX375,32,FALSE)</f>
        <v>538698</v>
      </c>
      <c r="E167" s="56">
        <v>1750.4833625069807</v>
      </c>
      <c r="F167" s="16">
        <f>VLOOKUP(A167,'2017-18'!$A$12:$AMX375,34,FALSE)</f>
        <v>3.9117007671400916E-2</v>
      </c>
      <c r="G167" s="16">
        <f>VLOOKUP(A167,'2017-18'!$A$12:$AMX375,35,FALSE)</f>
        <v>1.8021854906434598E-2</v>
      </c>
      <c r="H167" s="56"/>
      <c r="I167" s="56">
        <v>499619.64657934825</v>
      </c>
      <c r="J167" s="56">
        <v>1623.4993983990414</v>
      </c>
      <c r="K167" s="16">
        <f t="shared" si="57"/>
        <v>7.8216206444646774E-2</v>
      </c>
      <c r="L167" s="58">
        <f t="shared" si="57"/>
        <v>7.8216206444646774E-2</v>
      </c>
      <c r="M167" s="10"/>
      <c r="N167" s="56">
        <v>364541</v>
      </c>
      <c r="O167" s="56">
        <v>43956</v>
      </c>
      <c r="P167" s="56">
        <v>130201</v>
      </c>
      <c r="R167" s="56">
        <f t="shared" si="41"/>
        <v>130201</v>
      </c>
      <c r="S167" s="56">
        <f t="shared" si="42"/>
        <v>0</v>
      </c>
      <c r="U167" s="16">
        <v>4.6034850089804236E-2</v>
      </c>
      <c r="V167" s="16">
        <v>-3.0485087411162515E-2</v>
      </c>
      <c r="W167" s="56">
        <f t="shared" si="43"/>
        <v>3</v>
      </c>
      <c r="X167" s="56">
        <f t="shared" si="44"/>
        <v>3484.9794915408734</v>
      </c>
      <c r="Y167" s="56">
        <f t="shared" si="44"/>
        <v>453.38137071689727</v>
      </c>
      <c r="AA167" s="56">
        <f t="shared" si="56"/>
        <v>0</v>
      </c>
      <c r="AB167" s="56">
        <v>0</v>
      </c>
      <c r="AC167" s="56">
        <f t="shared" si="45"/>
        <v>0</v>
      </c>
      <c r="AE167" s="56">
        <v>0</v>
      </c>
      <c r="AF167" s="56">
        <f t="shared" si="46"/>
        <v>0</v>
      </c>
      <c r="AG167" s="56">
        <f t="shared" si="47"/>
        <v>0</v>
      </c>
      <c r="AI167" s="56">
        <f t="shared" si="48"/>
        <v>0</v>
      </c>
      <c r="AJ167" s="56">
        <f t="shared" si="49"/>
        <v>0</v>
      </c>
      <c r="AK167" s="56">
        <f t="shared" si="50"/>
        <v>0</v>
      </c>
      <c r="AM167" s="56">
        <f t="shared" si="51"/>
        <v>364541</v>
      </c>
      <c r="AN167" s="56">
        <f t="shared" si="52"/>
        <v>43956</v>
      </c>
      <c r="AO167" s="56">
        <f t="shared" si="53"/>
        <v>130201</v>
      </c>
      <c r="AP167" s="56"/>
      <c r="AQ167" s="56">
        <f t="shared" si="54"/>
        <v>538698</v>
      </c>
      <c r="AS167" s="56">
        <v>1184.5652953076813</v>
      </c>
      <c r="AT167" s="56">
        <v>142.833733710459</v>
      </c>
      <c r="AU167" s="56">
        <v>423.08433348884051</v>
      </c>
      <c r="AV167" s="56"/>
      <c r="AW167" s="56">
        <v>1750.4833625069807</v>
      </c>
      <c r="AY167" s="16">
        <v>4.6034850089804236E-2</v>
      </c>
      <c r="AZ167" s="16">
        <v>-3.0485087411162515E-2</v>
      </c>
      <c r="BA167" s="16">
        <v>0.23082452098242845</v>
      </c>
      <c r="BB167" s="16">
        <f t="shared" si="55"/>
        <v>7.8216206444646774E-2</v>
      </c>
      <c r="BC167" s="16"/>
      <c r="BE167" s="16">
        <f>AM167/'2016-17 disagg'!AM167-1</f>
        <v>3.2071299753972715E-2</v>
      </c>
      <c r="BF167" s="16">
        <f>AN167/'2016-17 disagg'!AN167-1</f>
        <v>3.2073256633012415E-2</v>
      </c>
      <c r="BG167" s="16">
        <f>AO167/'2016-17 disagg'!AO167-1</f>
        <v>6.1859789913224938E-2</v>
      </c>
      <c r="BH167" s="16">
        <f>AQ167/'2016-17 disagg'!AQ167-1</f>
        <v>3.9117007671400916E-2</v>
      </c>
      <c r="BJ167" s="16">
        <f>AS167/'2016-17 disagg'!AS167-1</f>
        <v>1.1119182165755914E-2</v>
      </c>
      <c r="BK167" s="16">
        <f>AT167/'2016-17 disagg'!AT167-1</f>
        <v>1.1121099318121663E-2</v>
      </c>
      <c r="BL167" s="16">
        <f>AU167/'2016-17 disagg'!AU167-1</f>
        <v>4.0302935085690716E-2</v>
      </c>
      <c r="BM167" s="16">
        <f>AW167/'2016-17 disagg'!AW167-1</f>
        <v>1.8021854906434598E-2</v>
      </c>
    </row>
    <row r="168" spans="1:65" x14ac:dyDescent="0.2">
      <c r="A168" s="156" t="s">
        <v>381</v>
      </c>
      <c r="B168" s="156" t="s">
        <v>382</v>
      </c>
      <c r="D168" s="56">
        <f>VLOOKUP(A168,'2017-18'!$A$12:$AMX376,32,FALSE)</f>
        <v>480410</v>
      </c>
      <c r="E168" s="56">
        <v>1573.8819577750166</v>
      </c>
      <c r="F168" s="16">
        <f>VLOOKUP(A168,'2017-18'!$A$12:$AMX376,34,FALSE)</f>
        <v>3.1677686891051104E-2</v>
      </c>
      <c r="G168" s="16">
        <f>VLOOKUP(A168,'2017-18'!$A$12:$AMX376,35,FALSE)</f>
        <v>1.9292384213240865E-2</v>
      </c>
      <c r="H168" s="56"/>
      <c r="I168" s="56">
        <v>490540.92081881536</v>
      </c>
      <c r="J168" s="56">
        <v>1607.0720943091872</v>
      </c>
      <c r="K168" s="16">
        <f t="shared" si="57"/>
        <v>-2.0652549846208013E-2</v>
      </c>
      <c r="L168" s="58">
        <f t="shared" si="57"/>
        <v>-2.0652549846208124E-2</v>
      </c>
      <c r="M168" s="10"/>
      <c r="N168" s="56">
        <v>346651</v>
      </c>
      <c r="O168" s="56">
        <v>38723</v>
      </c>
      <c r="P168" s="56">
        <v>95036</v>
      </c>
      <c r="R168" s="56">
        <f t="shared" si="41"/>
        <v>95036</v>
      </c>
      <c r="S168" s="56">
        <f t="shared" si="42"/>
        <v>0</v>
      </c>
      <c r="U168" s="16">
        <v>-2.3325740388465133E-2</v>
      </c>
      <c r="V168" s="16">
        <v>-4.9097151436902187E-2</v>
      </c>
      <c r="W168" s="56">
        <f t="shared" si="43"/>
        <v>4</v>
      </c>
      <c r="X168" s="56">
        <f t="shared" si="44"/>
        <v>3549.3000515635372</v>
      </c>
      <c r="Y168" s="56">
        <f t="shared" si="44"/>
        <v>407.2235145631758</v>
      </c>
      <c r="AA168" s="56">
        <f t="shared" si="56"/>
        <v>0</v>
      </c>
      <c r="AB168" s="56">
        <v>0</v>
      </c>
      <c r="AC168" s="56">
        <f t="shared" si="45"/>
        <v>0</v>
      </c>
      <c r="AE168" s="56">
        <v>0</v>
      </c>
      <c r="AF168" s="56">
        <f t="shared" si="46"/>
        <v>0</v>
      </c>
      <c r="AG168" s="56">
        <f t="shared" si="47"/>
        <v>0</v>
      </c>
      <c r="AI168" s="56">
        <f t="shared" si="48"/>
        <v>0</v>
      </c>
      <c r="AJ168" s="56">
        <f t="shared" si="49"/>
        <v>0</v>
      </c>
      <c r="AK168" s="56">
        <f t="shared" si="50"/>
        <v>0</v>
      </c>
      <c r="AM168" s="56">
        <f t="shared" si="51"/>
        <v>346651</v>
      </c>
      <c r="AN168" s="56">
        <f t="shared" si="52"/>
        <v>38723</v>
      </c>
      <c r="AO168" s="56">
        <f t="shared" si="53"/>
        <v>95036</v>
      </c>
      <c r="AP168" s="56"/>
      <c r="AQ168" s="56">
        <f t="shared" si="54"/>
        <v>480410</v>
      </c>
      <c r="AS168" s="56">
        <v>1135.6711029009957</v>
      </c>
      <c r="AT168" s="56">
        <v>126.86128733981802</v>
      </c>
      <c r="AU168" s="56">
        <v>311.34956753420306</v>
      </c>
      <c r="AV168" s="56"/>
      <c r="AW168" s="56">
        <v>1573.8819577750166</v>
      </c>
      <c r="AY168" s="16">
        <v>-2.3325740388465133E-2</v>
      </c>
      <c r="AZ168" s="16">
        <v>-4.9097151436902187E-2</v>
      </c>
      <c r="BA168" s="16">
        <v>1.5537783197523414E-3</v>
      </c>
      <c r="BB168" s="16">
        <f t="shared" si="55"/>
        <v>-2.0652549846208013E-2</v>
      </c>
      <c r="BC168" s="16"/>
      <c r="BE168" s="16">
        <f>AM168/'2016-17 disagg'!AM168-1</f>
        <v>2.3405555571957004E-2</v>
      </c>
      <c r="BF168" s="16">
        <f>AN168/'2016-17 disagg'!AN168-1</f>
        <v>5.5755493756475261E-2</v>
      </c>
      <c r="BG168" s="16">
        <f>AO168/'2016-17 disagg'!AO168-1</f>
        <v>5.2937135766358612E-2</v>
      </c>
      <c r="BH168" s="16">
        <f>AQ168/'2016-17 disagg'!AQ168-1</f>
        <v>3.1677686891051104E-2</v>
      </c>
      <c r="BJ168" s="16">
        <f>AS168/'2016-17 disagg'!AS168-1</f>
        <v>1.1119559927224465E-2</v>
      </c>
      <c r="BK168" s="16">
        <f>AT168/'2016-17 disagg'!AT168-1</f>
        <v>4.3081136726094149E-2</v>
      </c>
      <c r="BL168" s="16">
        <f>AU168/'2016-17 disagg'!AU168-1</f>
        <v>4.0296613156558303E-2</v>
      </c>
      <c r="BM168" s="16">
        <f>AW168/'2016-17 disagg'!AW168-1</f>
        <v>1.9292384213240865E-2</v>
      </c>
    </row>
    <row r="169" spans="1:65" x14ac:dyDescent="0.2">
      <c r="A169" s="156" t="s">
        <v>383</v>
      </c>
      <c r="B169" s="156" t="s">
        <v>384</v>
      </c>
      <c r="D169" s="56">
        <f>VLOOKUP(A169,'2017-18'!$A$12:$AMX377,32,FALSE)</f>
        <v>575868</v>
      </c>
      <c r="E169" s="56">
        <v>1473.6159346154095</v>
      </c>
      <c r="F169" s="16">
        <f>VLOOKUP(A169,'2017-18'!$A$12:$AMX377,34,FALSE)</f>
        <v>2.6407534417487222E-2</v>
      </c>
      <c r="G169" s="16">
        <f>VLOOKUP(A169,'2017-18'!$A$12:$AMX377,35,FALSE)</f>
        <v>1.6589591656707814E-2</v>
      </c>
      <c r="H169" s="56"/>
      <c r="I169" s="56">
        <v>558412.6075758154</v>
      </c>
      <c r="J169" s="56">
        <v>1428.9485031532629</v>
      </c>
      <c r="K169" s="16">
        <f t="shared" si="57"/>
        <v>3.125895115434818E-2</v>
      </c>
      <c r="L169" s="58">
        <f t="shared" si="57"/>
        <v>3.1258951154347958E-2</v>
      </c>
      <c r="M169" s="10"/>
      <c r="N169" s="56">
        <v>417636</v>
      </c>
      <c r="O169" s="56">
        <v>47795</v>
      </c>
      <c r="P169" s="56">
        <v>110437</v>
      </c>
      <c r="R169" s="56">
        <f t="shared" si="41"/>
        <v>110437</v>
      </c>
      <c r="S169" s="56">
        <f t="shared" si="42"/>
        <v>0</v>
      </c>
      <c r="U169" s="16">
        <v>4.8302321131215686E-2</v>
      </c>
      <c r="V169" s="16">
        <v>-3.74597129798242E-2</v>
      </c>
      <c r="W169" s="56">
        <f t="shared" si="43"/>
        <v>3</v>
      </c>
      <c r="X169" s="56">
        <f t="shared" si="44"/>
        <v>3983.9270750572405</v>
      </c>
      <c r="Y169" s="56">
        <f t="shared" si="44"/>
        <v>496.55064462770031</v>
      </c>
      <c r="AA169" s="56">
        <f t="shared" si="56"/>
        <v>0</v>
      </c>
      <c r="AB169" s="56">
        <v>0</v>
      </c>
      <c r="AC169" s="56">
        <f t="shared" si="45"/>
        <v>0</v>
      </c>
      <c r="AE169" s="56">
        <v>0</v>
      </c>
      <c r="AF169" s="56">
        <f t="shared" si="46"/>
        <v>0</v>
      </c>
      <c r="AG169" s="56">
        <f t="shared" si="47"/>
        <v>0</v>
      </c>
      <c r="AI169" s="56">
        <f t="shared" si="48"/>
        <v>0</v>
      </c>
      <c r="AJ169" s="56">
        <f t="shared" si="49"/>
        <v>0</v>
      </c>
      <c r="AK169" s="56">
        <f t="shared" si="50"/>
        <v>0</v>
      </c>
      <c r="AM169" s="56">
        <f t="shared" si="51"/>
        <v>417636</v>
      </c>
      <c r="AN169" s="56">
        <f t="shared" si="52"/>
        <v>47795</v>
      </c>
      <c r="AO169" s="56">
        <f t="shared" si="53"/>
        <v>110437</v>
      </c>
      <c r="AP169" s="56"/>
      <c r="AQ169" s="56">
        <f t="shared" si="54"/>
        <v>575868</v>
      </c>
      <c r="AS169" s="56">
        <v>1068.7085659717873</v>
      </c>
      <c r="AT169" s="56">
        <v>122.30489208454628</v>
      </c>
      <c r="AU169" s="56">
        <v>282.60247655907602</v>
      </c>
      <c r="AV169" s="56"/>
      <c r="AW169" s="56">
        <v>1473.6159346154095</v>
      </c>
      <c r="AY169" s="16">
        <v>4.8302321131215686E-2</v>
      </c>
      <c r="AZ169" s="16">
        <v>-3.74597129798242E-2</v>
      </c>
      <c r="BA169" s="16">
        <v>6.5387124695659438E-4</v>
      </c>
      <c r="BB169" s="16">
        <f t="shared" si="55"/>
        <v>3.125895115434818E-2</v>
      </c>
      <c r="BC169" s="16"/>
      <c r="BE169" s="16">
        <f>AM169/'2016-17 disagg'!AM169-1</f>
        <v>2.0885277639259625E-2</v>
      </c>
      <c r="BF169" s="16">
        <f>AN169/'2016-17 disagg'!AN169-1</f>
        <v>2.0889847704893549E-2</v>
      </c>
      <c r="BG169" s="16">
        <f>AO169/'2016-17 disagg'!AO169-1</f>
        <v>5.0350475067289402E-2</v>
      </c>
      <c r="BH169" s="16">
        <f>AQ169/'2016-17 disagg'!AQ169-1</f>
        <v>2.6407534417487222E-2</v>
      </c>
      <c r="BJ169" s="16">
        <f>AS169/'2016-17 disagg'!AS169-1</f>
        <v>1.1120157172882061E-2</v>
      </c>
      <c r="BK169" s="16">
        <f>AT169/'2016-17 disagg'!AT169-1</f>
        <v>1.1124683524258661E-2</v>
      </c>
      <c r="BL169" s="16">
        <f>AU169/'2016-17 disagg'!AU169-1</f>
        <v>4.0303509805269533E-2</v>
      </c>
      <c r="BM169" s="16">
        <f>AW169/'2016-17 disagg'!AW169-1</f>
        <v>1.6589591656707814E-2</v>
      </c>
    </row>
    <row r="170" spans="1:65" x14ac:dyDescent="0.2">
      <c r="A170" s="156" t="s">
        <v>385</v>
      </c>
      <c r="B170" s="156" t="s">
        <v>386</v>
      </c>
      <c r="D170" s="56">
        <f>VLOOKUP(A170,'2017-18'!$A$12:$AMX378,32,FALSE)</f>
        <v>469443</v>
      </c>
      <c r="E170" s="56">
        <v>1904.7188269766614</v>
      </c>
      <c r="F170" s="16">
        <f>VLOOKUP(A170,'2017-18'!$A$12:$AMX378,34,FALSE)</f>
        <v>9.3290962881420469E-3</v>
      </c>
      <c r="G170" s="16">
        <f>VLOOKUP(A170,'2017-18'!$A$12:$AMX378,35,FALSE)</f>
        <v>5.2101855203519065E-3</v>
      </c>
      <c r="H170" s="56"/>
      <c r="I170" s="56">
        <v>387189.61374729802</v>
      </c>
      <c r="J170" s="56">
        <v>1570.9837976374129</v>
      </c>
      <c r="K170" s="16">
        <f t="shared" si="57"/>
        <v>0.21243696455759076</v>
      </c>
      <c r="L170" s="58">
        <f t="shared" si="57"/>
        <v>0.21243696455759076</v>
      </c>
      <c r="M170" s="10"/>
      <c r="N170" s="56">
        <v>354098</v>
      </c>
      <c r="O170" s="56">
        <v>36708</v>
      </c>
      <c r="P170" s="56">
        <v>78637</v>
      </c>
      <c r="R170" s="56">
        <f t="shared" si="41"/>
        <v>78637</v>
      </c>
      <c r="S170" s="56">
        <f t="shared" si="42"/>
        <v>0</v>
      </c>
      <c r="U170" s="16">
        <v>0.28367813292812927</v>
      </c>
      <c r="V170" s="16">
        <v>7.0675053893738404E-2</v>
      </c>
      <c r="W170" s="56">
        <f t="shared" si="43"/>
        <v>2</v>
      </c>
      <c r="X170" s="56">
        <f t="shared" si="44"/>
        <v>2758.464064448041</v>
      </c>
      <c r="Y170" s="56">
        <f t="shared" si="44"/>
        <v>342.84911996878532</v>
      </c>
      <c r="AA170" s="56">
        <f t="shared" si="56"/>
        <v>0</v>
      </c>
      <c r="AB170" s="56">
        <v>0</v>
      </c>
      <c r="AC170" s="56">
        <f t="shared" si="45"/>
        <v>0</v>
      </c>
      <c r="AE170" s="56">
        <v>0</v>
      </c>
      <c r="AF170" s="56">
        <f t="shared" si="46"/>
        <v>0</v>
      </c>
      <c r="AG170" s="56">
        <f t="shared" si="47"/>
        <v>0</v>
      </c>
      <c r="AI170" s="56">
        <f t="shared" si="48"/>
        <v>0</v>
      </c>
      <c r="AJ170" s="56">
        <f t="shared" si="49"/>
        <v>0</v>
      </c>
      <c r="AK170" s="56">
        <f t="shared" si="50"/>
        <v>0</v>
      </c>
      <c r="AM170" s="56">
        <f t="shared" si="51"/>
        <v>354098</v>
      </c>
      <c r="AN170" s="56">
        <f t="shared" si="52"/>
        <v>36708</v>
      </c>
      <c r="AO170" s="56">
        <f t="shared" si="53"/>
        <v>78637</v>
      </c>
      <c r="AP170" s="56"/>
      <c r="AQ170" s="56">
        <f t="shared" si="54"/>
        <v>469443</v>
      </c>
      <c r="AS170" s="56">
        <v>1436.7178277123778</v>
      </c>
      <c r="AT170" s="56">
        <v>148.93910166017872</v>
      </c>
      <c r="AU170" s="56">
        <v>319.06189760410467</v>
      </c>
      <c r="AV170" s="56"/>
      <c r="AW170" s="56">
        <v>1904.7188269766614</v>
      </c>
      <c r="AY170" s="16">
        <v>0.28367813292812927</v>
      </c>
      <c r="AZ170" s="16">
        <v>7.0675053893738404E-2</v>
      </c>
      <c r="BA170" s="16">
        <v>2.0487147919940885E-2</v>
      </c>
      <c r="BB170" s="16">
        <f t="shared" si="55"/>
        <v>0.21243696455759076</v>
      </c>
      <c r="BC170" s="16"/>
      <c r="BE170" s="16">
        <f>AM170/'2016-17 disagg'!AM170-1</f>
        <v>1.6321519796560491E-3</v>
      </c>
      <c r="BF170" s="16">
        <f>AN170/'2016-17 disagg'!AN170-1</f>
        <v>1.1211812346767269E-2</v>
      </c>
      <c r="BG170" s="16">
        <f>AO170/'2016-17 disagg'!AO170-1</f>
        <v>4.4565766052974132E-2</v>
      </c>
      <c r="BH170" s="16">
        <f>AQ170/'2016-17 disagg'!AQ170-1</f>
        <v>9.3290962881420469E-3</v>
      </c>
      <c r="BJ170" s="16">
        <f>AS170/'2016-17 disagg'!AS170-1</f>
        <v>-2.4553487882560399E-3</v>
      </c>
      <c r="BK170" s="16">
        <f>AT170/'2016-17 disagg'!AT170-1</f>
        <v>7.0852185155689806E-3</v>
      </c>
      <c r="BL170" s="16">
        <f>AU170/'2016-17 disagg'!AU170-1</f>
        <v>4.0303060066113172E-2</v>
      </c>
      <c r="BM170" s="16">
        <f>AW170/'2016-17 disagg'!AW170-1</f>
        <v>5.2101855203519065E-3</v>
      </c>
    </row>
    <row r="171" spans="1:65" x14ac:dyDescent="0.2">
      <c r="A171" s="156" t="s">
        <v>387</v>
      </c>
      <c r="B171" s="156" t="s">
        <v>388</v>
      </c>
      <c r="D171" s="56">
        <f>VLOOKUP(A171,'2017-18'!$A$12:$AMX379,32,FALSE)</f>
        <v>193632</v>
      </c>
      <c r="E171" s="56">
        <v>1483.7286464362564</v>
      </c>
      <c r="F171" s="16">
        <f>VLOOKUP(A171,'2017-18'!$A$12:$AMX379,34,FALSE)</f>
        <v>2.6310768121780015E-2</v>
      </c>
      <c r="G171" s="16">
        <f>VLOOKUP(A171,'2017-18'!$A$12:$AMX379,35,FALSE)</f>
        <v>1.5539735553837364E-2</v>
      </c>
      <c r="H171" s="56"/>
      <c r="I171" s="56">
        <v>192511.81850601529</v>
      </c>
      <c r="J171" s="56">
        <v>1475.145120098498</v>
      </c>
      <c r="K171" s="16">
        <f t="shared" si="57"/>
        <v>5.8187674018035374E-3</v>
      </c>
      <c r="L171" s="58">
        <f t="shared" si="57"/>
        <v>5.8187674018033153E-3</v>
      </c>
      <c r="M171" s="10"/>
      <c r="N171" s="56">
        <v>145751</v>
      </c>
      <c r="O171" s="56">
        <v>16419</v>
      </c>
      <c r="P171" s="56">
        <v>31462</v>
      </c>
      <c r="R171" s="56">
        <f t="shared" si="41"/>
        <v>31462</v>
      </c>
      <c r="S171" s="56">
        <f t="shared" si="42"/>
        <v>0</v>
      </c>
      <c r="U171" s="16">
        <v>2.1561837675340589E-2</v>
      </c>
      <c r="V171" s="16">
        <v>4.7412813621859895E-2</v>
      </c>
      <c r="W171" s="56">
        <f t="shared" si="43"/>
        <v>2</v>
      </c>
      <c r="X171" s="56">
        <f t="shared" si="44"/>
        <v>1426.7467188444512</v>
      </c>
      <c r="Y171" s="56">
        <f t="shared" si="44"/>
        <v>156.75767745502907</v>
      </c>
      <c r="AA171" s="56">
        <f t="shared" si="56"/>
        <v>0</v>
      </c>
      <c r="AB171" s="56">
        <v>0</v>
      </c>
      <c r="AC171" s="56">
        <f t="shared" si="45"/>
        <v>0</v>
      </c>
      <c r="AE171" s="56">
        <v>0</v>
      </c>
      <c r="AF171" s="56">
        <f t="shared" si="46"/>
        <v>0</v>
      </c>
      <c r="AG171" s="56">
        <f t="shared" si="47"/>
        <v>0</v>
      </c>
      <c r="AI171" s="56">
        <f t="shared" si="48"/>
        <v>0</v>
      </c>
      <c r="AJ171" s="56">
        <f t="shared" si="49"/>
        <v>0</v>
      </c>
      <c r="AK171" s="56">
        <f t="shared" si="50"/>
        <v>0</v>
      </c>
      <c r="AM171" s="56">
        <f t="shared" si="51"/>
        <v>145751</v>
      </c>
      <c r="AN171" s="56">
        <f t="shared" si="52"/>
        <v>16419</v>
      </c>
      <c r="AO171" s="56">
        <f t="shared" si="53"/>
        <v>31462</v>
      </c>
      <c r="AP171" s="56"/>
      <c r="AQ171" s="56">
        <f t="shared" si="54"/>
        <v>193632</v>
      </c>
      <c r="AS171" s="56">
        <v>1116.8346861403631</v>
      </c>
      <c r="AT171" s="56">
        <v>125.8125756374819</v>
      </c>
      <c r="AU171" s="56">
        <v>241.08138465841131</v>
      </c>
      <c r="AV171" s="56"/>
      <c r="AW171" s="56">
        <v>1483.7286464362564</v>
      </c>
      <c r="AY171" s="16">
        <v>2.1561837675340589E-2</v>
      </c>
      <c r="AZ171" s="16">
        <v>4.7412813621859895E-2</v>
      </c>
      <c r="BA171" s="16">
        <v>-7.9018440264376544E-2</v>
      </c>
      <c r="BB171" s="16">
        <f t="shared" si="55"/>
        <v>5.8187674018035374E-3</v>
      </c>
      <c r="BC171" s="16"/>
      <c r="BE171" s="16">
        <f>AM171/'2016-17 disagg'!AM171-1</f>
        <v>2.184597048410275E-2</v>
      </c>
      <c r="BF171" s="16">
        <f>AN171/'2016-17 disagg'!AN171-1</f>
        <v>1.937046004842613E-2</v>
      </c>
      <c r="BG171" s="16">
        <f>AO171/'2016-17 disagg'!AO171-1</f>
        <v>5.1326605627213695E-2</v>
      </c>
      <c r="BH171" s="16">
        <f>AQ171/'2016-17 disagg'!AQ171-1</f>
        <v>2.6310768121780015E-2</v>
      </c>
      <c r="BJ171" s="16">
        <f>AS171/'2016-17 disagg'!AS171-1</f>
        <v>1.1121795536930046E-2</v>
      </c>
      <c r="BK171" s="16">
        <f>AT171/'2016-17 disagg'!AT171-1</f>
        <v>8.6722653446194009E-3</v>
      </c>
      <c r="BL171" s="16">
        <f>AU171/'2016-17 disagg'!AU171-1</f>
        <v>4.0293034256352334E-2</v>
      </c>
      <c r="BM171" s="16">
        <f>AW171/'2016-17 disagg'!AW171-1</f>
        <v>1.5539735553837364E-2</v>
      </c>
    </row>
    <row r="172" spans="1:65" x14ac:dyDescent="0.2">
      <c r="A172" s="156" t="s">
        <v>389</v>
      </c>
      <c r="B172" s="156" t="s">
        <v>390</v>
      </c>
      <c r="D172" s="56">
        <f>VLOOKUP(A172,'2017-18'!$A$12:$AMX380,32,FALSE)</f>
        <v>310863.79812832415</v>
      </c>
      <c r="E172" s="56">
        <v>1467.2915685100695</v>
      </c>
      <c r="F172" s="16">
        <f>VLOOKUP(A172,'2017-18'!$A$12:$AMX380,34,FALSE)</f>
        <v>2.821316202717572E-2</v>
      </c>
      <c r="G172" s="16">
        <f>VLOOKUP(A172,'2017-18'!$A$12:$AMX380,35,FALSE)</f>
        <v>1.7558287815159002E-2</v>
      </c>
      <c r="H172" s="56"/>
      <c r="I172" s="56">
        <v>315134.53983903537</v>
      </c>
      <c r="J172" s="56">
        <v>1487.4496677842219</v>
      </c>
      <c r="K172" s="16">
        <f t="shared" si="57"/>
        <v>-1.355212193780031E-2</v>
      </c>
      <c r="L172" s="58">
        <f t="shared" si="57"/>
        <v>-1.355212193780031E-2</v>
      </c>
      <c r="M172" s="10"/>
      <c r="N172" s="56">
        <v>230057</v>
      </c>
      <c r="O172" s="56">
        <v>26455</v>
      </c>
      <c r="P172" s="56">
        <v>53897</v>
      </c>
      <c r="R172" s="56">
        <f t="shared" si="41"/>
        <v>53897</v>
      </c>
      <c r="S172" s="56">
        <f t="shared" si="42"/>
        <v>454.79812832415337</v>
      </c>
      <c r="U172" s="16">
        <v>-4.692804760147673E-2</v>
      </c>
      <c r="V172" s="16">
        <v>1.4683783737563294E-2</v>
      </c>
      <c r="W172" s="56">
        <f t="shared" si="43"/>
        <v>1</v>
      </c>
      <c r="X172" s="56">
        <f t="shared" si="44"/>
        <v>2413.8471331679957</v>
      </c>
      <c r="Y172" s="56">
        <f t="shared" si="44"/>
        <v>260.72162011453111</v>
      </c>
      <c r="AA172" s="56">
        <f t="shared" si="56"/>
        <v>454.79812832415337</v>
      </c>
      <c r="AB172" s="56">
        <v>0</v>
      </c>
      <c r="AC172" s="56">
        <f t="shared" si="45"/>
        <v>0</v>
      </c>
      <c r="AE172" s="56">
        <v>0</v>
      </c>
      <c r="AF172" s="56">
        <f t="shared" si="46"/>
        <v>0</v>
      </c>
      <c r="AG172" s="56">
        <f t="shared" si="47"/>
        <v>0</v>
      </c>
      <c r="AI172" s="56">
        <f t="shared" si="48"/>
        <v>0</v>
      </c>
      <c r="AJ172" s="56">
        <f t="shared" si="49"/>
        <v>0</v>
      </c>
      <c r="AK172" s="56">
        <f t="shared" si="50"/>
        <v>0</v>
      </c>
      <c r="AM172" s="56">
        <f t="shared" si="51"/>
        <v>230512</v>
      </c>
      <c r="AN172" s="56">
        <f t="shared" si="52"/>
        <v>26455</v>
      </c>
      <c r="AO172" s="56">
        <f t="shared" si="53"/>
        <v>53897</v>
      </c>
      <c r="AP172" s="56"/>
      <c r="AQ172" s="56">
        <f t="shared" si="54"/>
        <v>310864</v>
      </c>
      <c r="AS172" s="56">
        <v>1088.0273485585251</v>
      </c>
      <c r="AT172" s="56">
        <v>124.86882898120611</v>
      </c>
      <c r="AU172" s="56">
        <v>254.3963438140263</v>
      </c>
      <c r="AV172" s="56"/>
      <c r="AW172" s="56">
        <v>1467.2925213537576</v>
      </c>
      <c r="AY172" s="16">
        <v>-4.5043089793884161E-2</v>
      </c>
      <c r="AZ172" s="16">
        <v>1.4683783737563294E-2</v>
      </c>
      <c r="BA172" s="16">
        <v>0.13044547280227459</v>
      </c>
      <c r="BB172" s="16">
        <f t="shared" si="55"/>
        <v>-1.3551481348939687E-2</v>
      </c>
      <c r="BC172" s="16"/>
      <c r="BE172" s="16">
        <f>AM172/'2016-17 disagg'!AM172-1</f>
        <v>2.372884366853345E-2</v>
      </c>
      <c r="BF172" s="16">
        <f>AN172/'2016-17 disagg'!AN172-1</f>
        <v>2.1704707836094794E-2</v>
      </c>
      <c r="BG172" s="16">
        <f>AO172/'2016-17 disagg'!AO172-1</f>
        <v>5.1197534716804549E-2</v>
      </c>
      <c r="BH172" s="16">
        <f>AQ172/'2016-17 disagg'!AQ172-1</f>
        <v>2.8213829737971929E-2</v>
      </c>
      <c r="BJ172" s="16">
        <f>AS172/'2016-17 disagg'!AS172-1</f>
        <v>1.3120438272325119E-2</v>
      </c>
      <c r="BK172" s="16">
        <f>AT172/'2016-17 disagg'!AT172-1</f>
        <v>1.111727757760983E-2</v>
      </c>
      <c r="BL172" s="16">
        <f>AU172/'2016-17 disagg'!AU172-1</f>
        <v>4.0304484600321322E-2</v>
      </c>
      <c r="BM172" s="16">
        <f>AW172/'2016-17 disagg'!AW172-1</f>
        <v>1.7558948606792191E-2</v>
      </c>
    </row>
    <row r="173" spans="1:65" x14ac:dyDescent="0.2">
      <c r="A173" s="156" t="s">
        <v>391</v>
      </c>
      <c r="B173" s="156" t="s">
        <v>392</v>
      </c>
      <c r="D173" s="56">
        <f>VLOOKUP(A173,'2017-18'!$A$12:$AMX381,32,FALSE)</f>
        <v>204383.90746161586</v>
      </c>
      <c r="E173" s="56">
        <v>1431.8947662273924</v>
      </c>
      <c r="F173" s="16">
        <f>VLOOKUP(A173,'2017-18'!$A$12:$AMX381,34,FALSE)</f>
        <v>2.9387745400963228E-2</v>
      </c>
      <c r="G173" s="16">
        <f>VLOOKUP(A173,'2017-18'!$A$12:$AMX381,35,FALSE)</f>
        <v>1.9775560796940539E-2</v>
      </c>
      <c r="H173" s="56"/>
      <c r="I173" s="56">
        <v>209062.00058484697</v>
      </c>
      <c r="J173" s="56">
        <v>1464.669054292792</v>
      </c>
      <c r="K173" s="16">
        <f t="shared" si="57"/>
        <v>-2.2376582593413574E-2</v>
      </c>
      <c r="L173" s="58">
        <f t="shared" si="57"/>
        <v>-2.2376582593413574E-2</v>
      </c>
      <c r="M173" s="10"/>
      <c r="N173" s="56">
        <v>156589</v>
      </c>
      <c r="O173" s="56">
        <v>16390</v>
      </c>
      <c r="P173" s="56">
        <v>30620</v>
      </c>
      <c r="R173" s="56">
        <f t="shared" si="41"/>
        <v>30620</v>
      </c>
      <c r="S173" s="56">
        <f t="shared" si="42"/>
        <v>784.90746161586139</v>
      </c>
      <c r="U173" s="16">
        <v>-1.8405467605461689E-2</v>
      </c>
      <c r="V173" s="16">
        <v>-4.7171039316521113E-2</v>
      </c>
      <c r="W173" s="56">
        <f t="shared" si="43"/>
        <v>4</v>
      </c>
      <c r="X173" s="56">
        <f t="shared" si="44"/>
        <v>1595.251346989586</v>
      </c>
      <c r="Y173" s="56">
        <f t="shared" si="44"/>
        <v>172.0140830757621</v>
      </c>
      <c r="AA173" s="56">
        <f t="shared" si="56"/>
        <v>0</v>
      </c>
      <c r="AB173" s="56">
        <v>0</v>
      </c>
      <c r="AC173" s="56">
        <f t="shared" si="45"/>
        <v>784.90746161586139</v>
      </c>
      <c r="AE173" s="56">
        <v>0</v>
      </c>
      <c r="AF173" s="56">
        <f t="shared" si="46"/>
        <v>0</v>
      </c>
      <c r="AG173" s="56">
        <f t="shared" si="47"/>
        <v>784.90746161586139</v>
      </c>
      <c r="AI173" s="56">
        <f t="shared" si="48"/>
        <v>708.50969192476077</v>
      </c>
      <c r="AJ173" s="56">
        <f t="shared" si="49"/>
        <v>76.397769691100606</v>
      </c>
      <c r="AK173" s="56">
        <f t="shared" si="50"/>
        <v>0</v>
      </c>
      <c r="AM173" s="56">
        <f t="shared" si="51"/>
        <v>157298</v>
      </c>
      <c r="AN173" s="56">
        <f t="shared" si="52"/>
        <v>16466</v>
      </c>
      <c r="AO173" s="56">
        <f t="shared" si="53"/>
        <v>30620</v>
      </c>
      <c r="AP173" s="56"/>
      <c r="AQ173" s="56">
        <f t="shared" si="54"/>
        <v>204384</v>
      </c>
      <c r="AS173" s="56">
        <v>1102.0152502972196</v>
      </c>
      <c r="AT173" s="56">
        <v>115.35927418908071</v>
      </c>
      <c r="AU173" s="56">
        <v>214.52089005645885</v>
      </c>
      <c r="AV173" s="56"/>
      <c r="AW173" s="56">
        <v>1431.8954145427592</v>
      </c>
      <c r="AY173" s="16">
        <v>-1.3961026913792973E-2</v>
      </c>
      <c r="AZ173" s="16">
        <v>-4.2752796423785044E-2</v>
      </c>
      <c r="BA173" s="16">
        <v>-5.305190360017531E-2</v>
      </c>
      <c r="BB173" s="16">
        <f t="shared" si="55"/>
        <v>-2.2376139957334895E-2</v>
      </c>
      <c r="BC173" s="16"/>
      <c r="BE173" s="16">
        <f>AM173/'2016-17 disagg'!AM173-1</f>
        <v>2.5270334569583053E-2</v>
      </c>
      <c r="BF173" s="16">
        <f>AN173/'2016-17 disagg'!AN173-1</f>
        <v>3.1122800425825048E-2</v>
      </c>
      <c r="BG173" s="16">
        <f>AO173/'2016-17 disagg'!AO173-1</f>
        <v>5.0104598923145449E-2</v>
      </c>
      <c r="BH173" s="16">
        <f>AQ173/'2016-17 disagg'!AQ173-1</f>
        <v>2.938821147424564E-2</v>
      </c>
      <c r="BJ173" s="16">
        <f>AS173/'2016-17 disagg'!AS173-1</f>
        <v>1.5696597395285838E-2</v>
      </c>
      <c r="BK173" s="16">
        <f>AT173/'2016-17 disagg'!AT173-1</f>
        <v>2.1494414279408014E-2</v>
      </c>
      <c r="BL173" s="16">
        <f>AU173/'2016-17 disagg'!AU173-1</f>
        <v>4.0298965134051956E-2</v>
      </c>
      <c r="BM173" s="16">
        <f>AW173/'2016-17 disagg'!AW173-1</f>
        <v>1.9776022518138481E-2</v>
      </c>
    </row>
    <row r="174" spans="1:65" x14ac:dyDescent="0.2">
      <c r="A174" s="156" t="s">
        <v>393</v>
      </c>
      <c r="B174" s="156" t="s">
        <v>394</v>
      </c>
      <c r="D174" s="56">
        <f>VLOOKUP(A174,'2017-18'!$A$12:$AMX382,32,FALSE)</f>
        <v>501807</v>
      </c>
      <c r="E174" s="56">
        <v>1593.3487586718593</v>
      </c>
      <c r="F174" s="16">
        <f>VLOOKUP(A174,'2017-18'!$A$12:$AMX382,34,FALSE)</f>
        <v>3.0849031409848182E-2</v>
      </c>
      <c r="G174" s="16">
        <f>VLOOKUP(A174,'2017-18'!$A$12:$AMX382,35,FALSE)</f>
        <v>2.3652978147267634E-2</v>
      </c>
      <c r="H174" s="56"/>
      <c r="I174" s="56">
        <v>487332.89631720341</v>
      </c>
      <c r="J174" s="56">
        <v>1547.3902624056218</v>
      </c>
      <c r="K174" s="16">
        <f t="shared" si="57"/>
        <v>2.9700649786168931E-2</v>
      </c>
      <c r="L174" s="58">
        <f t="shared" si="57"/>
        <v>2.9700649786168931E-2</v>
      </c>
      <c r="M174" s="10"/>
      <c r="N174" s="56">
        <v>366587</v>
      </c>
      <c r="O174" s="56">
        <v>40503</v>
      </c>
      <c r="P174" s="56">
        <v>94717</v>
      </c>
      <c r="R174" s="56">
        <f t="shared" si="41"/>
        <v>94717</v>
      </c>
      <c r="S174" s="56">
        <f t="shared" si="42"/>
        <v>0</v>
      </c>
      <c r="U174" s="16">
        <v>4.8206368651902975E-2</v>
      </c>
      <c r="V174" s="16">
        <v>-5.5354273496297846E-2</v>
      </c>
      <c r="W174" s="56">
        <f t="shared" si="43"/>
        <v>3</v>
      </c>
      <c r="X174" s="56">
        <f t="shared" si="44"/>
        <v>3497.2788848007781</v>
      </c>
      <c r="Y174" s="56">
        <f t="shared" si="44"/>
        <v>428.76391501720582</v>
      </c>
      <c r="AA174" s="56">
        <f t="shared" si="56"/>
        <v>0</v>
      </c>
      <c r="AB174" s="56">
        <v>0</v>
      </c>
      <c r="AC174" s="56">
        <f t="shared" si="45"/>
        <v>0</v>
      </c>
      <c r="AE174" s="56">
        <v>0</v>
      </c>
      <c r="AF174" s="56">
        <f t="shared" si="46"/>
        <v>0</v>
      </c>
      <c r="AG174" s="56">
        <f t="shared" si="47"/>
        <v>0</v>
      </c>
      <c r="AI174" s="56">
        <f t="shared" si="48"/>
        <v>0</v>
      </c>
      <c r="AJ174" s="56">
        <f t="shared" si="49"/>
        <v>0</v>
      </c>
      <c r="AK174" s="56">
        <f t="shared" si="50"/>
        <v>0</v>
      </c>
      <c r="AM174" s="56">
        <f t="shared" si="51"/>
        <v>366587</v>
      </c>
      <c r="AN174" s="56">
        <f t="shared" si="52"/>
        <v>40503</v>
      </c>
      <c r="AO174" s="56">
        <f t="shared" si="53"/>
        <v>94717</v>
      </c>
      <c r="AP174" s="56"/>
      <c r="AQ174" s="56">
        <f t="shared" si="54"/>
        <v>501807</v>
      </c>
      <c r="AS174" s="56">
        <v>1163.9952041227821</v>
      </c>
      <c r="AT174" s="56">
        <v>128.60602736208605</v>
      </c>
      <c r="AU174" s="56">
        <v>300.74752718699119</v>
      </c>
      <c r="AV174" s="56"/>
      <c r="AW174" s="56">
        <v>1593.3487586718593</v>
      </c>
      <c r="AY174" s="16">
        <v>4.8206368651902975E-2</v>
      </c>
      <c r="AZ174" s="16">
        <v>-5.5354273496297846E-2</v>
      </c>
      <c r="BA174" s="16">
        <v>-1.2262752116942721E-4</v>
      </c>
      <c r="BB174" s="16">
        <f t="shared" si="55"/>
        <v>2.9700649786168931E-2</v>
      </c>
      <c r="BC174" s="16"/>
      <c r="BE174" s="16">
        <f>AM174/'2016-17 disagg'!AM174-1</f>
        <v>2.0031275390385961E-2</v>
      </c>
      <c r="BF174" s="16">
        <f>AN174/'2016-17 disagg'!AN174-1</f>
        <v>9.4971613949716094E-2</v>
      </c>
      <c r="BG174" s="16">
        <f>AO174/'2016-17 disagg'!AO174-1</f>
        <v>4.7615360792815142E-2</v>
      </c>
      <c r="BH174" s="16">
        <f>AQ174/'2016-17 disagg'!AQ174-1</f>
        <v>3.0849031409848182E-2</v>
      </c>
      <c r="BJ174" s="16">
        <f>AS174/'2016-17 disagg'!AS174-1</f>
        <v>1.2910737694222796E-2</v>
      </c>
      <c r="BK174" s="16">
        <f>AT174/'2016-17 disagg'!AT174-1</f>
        <v>8.7327939837494872E-2</v>
      </c>
      <c r="BL174" s="16">
        <f>AU174/'2016-17 disagg'!AU174-1</f>
        <v>4.0302266726410352E-2</v>
      </c>
      <c r="BM174" s="16">
        <f>AW174/'2016-17 disagg'!AW174-1</f>
        <v>2.3652978147267634E-2</v>
      </c>
    </row>
    <row r="175" spans="1:65" x14ac:dyDescent="0.2">
      <c r="A175" s="156" t="s">
        <v>395</v>
      </c>
      <c r="B175" s="156" t="s">
        <v>396</v>
      </c>
      <c r="D175" s="56">
        <f>VLOOKUP(A175,'2017-18'!$A$12:$AMX383,32,FALSE)</f>
        <v>339704</v>
      </c>
      <c r="E175" s="56">
        <v>1544.9348987910505</v>
      </c>
      <c r="F175" s="16">
        <f>VLOOKUP(A175,'2017-18'!$A$12:$AMX383,34,FALSE)</f>
        <v>2.3759869808932521E-2</v>
      </c>
      <c r="G175" s="16">
        <f>VLOOKUP(A175,'2017-18'!$A$12:$AMX383,35,FALSE)</f>
        <v>1.8085172077817901E-2</v>
      </c>
      <c r="H175" s="56"/>
      <c r="I175" s="56">
        <v>339811.74868773768</v>
      </c>
      <c r="J175" s="56">
        <v>1545.4249274865763</v>
      </c>
      <c r="K175" s="16">
        <f t="shared" si="57"/>
        <v>-3.1708346799008691E-4</v>
      </c>
      <c r="L175" s="58">
        <f t="shared" si="57"/>
        <v>-3.1708346799008691E-4</v>
      </c>
      <c r="M175" s="10"/>
      <c r="N175" s="56">
        <v>261626</v>
      </c>
      <c r="O175" s="56">
        <v>26681</v>
      </c>
      <c r="P175" s="56">
        <v>51397</v>
      </c>
      <c r="R175" s="56">
        <f t="shared" si="41"/>
        <v>51397</v>
      </c>
      <c r="S175" s="56">
        <f t="shared" si="42"/>
        <v>0</v>
      </c>
      <c r="U175" s="16">
        <v>1.875528030480611E-2</v>
      </c>
      <c r="V175" s="16">
        <v>-4.2328392303006557E-2</v>
      </c>
      <c r="W175" s="56">
        <f t="shared" si="43"/>
        <v>3</v>
      </c>
      <c r="X175" s="56">
        <f t="shared" si="44"/>
        <v>2568.0946647140117</v>
      </c>
      <c r="Y175" s="56">
        <f t="shared" si="44"/>
        <v>278.60280899589799</v>
      </c>
      <c r="AA175" s="56">
        <f t="shared" si="56"/>
        <v>0</v>
      </c>
      <c r="AB175" s="56">
        <v>0</v>
      </c>
      <c r="AC175" s="56">
        <f t="shared" si="45"/>
        <v>0</v>
      </c>
      <c r="AE175" s="56">
        <v>0</v>
      </c>
      <c r="AF175" s="56">
        <f t="shared" si="46"/>
        <v>0</v>
      </c>
      <c r="AG175" s="56">
        <f t="shared" si="47"/>
        <v>0</v>
      </c>
      <c r="AI175" s="56">
        <f t="shared" si="48"/>
        <v>0</v>
      </c>
      <c r="AJ175" s="56">
        <f t="shared" si="49"/>
        <v>0</v>
      </c>
      <c r="AK175" s="56">
        <f t="shared" si="50"/>
        <v>0</v>
      </c>
      <c r="AM175" s="56">
        <f t="shared" si="51"/>
        <v>261626</v>
      </c>
      <c r="AN175" s="56">
        <f t="shared" si="52"/>
        <v>26681</v>
      </c>
      <c r="AO175" s="56">
        <f t="shared" si="53"/>
        <v>51397</v>
      </c>
      <c r="AP175" s="56"/>
      <c r="AQ175" s="56">
        <f t="shared" si="54"/>
        <v>339704</v>
      </c>
      <c r="AS175" s="56">
        <v>1189.8450940557289</v>
      </c>
      <c r="AT175" s="56">
        <v>121.34213325319695</v>
      </c>
      <c r="AU175" s="56">
        <v>233.74767148212447</v>
      </c>
      <c r="AV175" s="56"/>
      <c r="AW175" s="56">
        <v>1544.9348987910505</v>
      </c>
      <c r="AY175" s="16">
        <v>1.875528030480611E-2</v>
      </c>
      <c r="AZ175" s="16">
        <v>-4.2328392303006557E-2</v>
      </c>
      <c r="BA175" s="16">
        <v>-6.7915585711781801E-2</v>
      </c>
      <c r="BB175" s="16">
        <f t="shared" si="55"/>
        <v>-3.1708346799008691E-4</v>
      </c>
      <c r="BC175" s="16"/>
      <c r="BE175" s="16">
        <f>AM175/'2016-17 disagg'!AM175-1</f>
        <v>2.0028149355332925E-2</v>
      </c>
      <c r="BF175" s="16">
        <f>AN175/'2016-17 disagg'!AN175-1</f>
        <v>1.8397648765219987E-2</v>
      </c>
      <c r="BG175" s="16">
        <f>AO175/'2016-17 disagg'!AO175-1</f>
        <v>4.6100301229341278E-2</v>
      </c>
      <c r="BH175" s="16">
        <f>AQ175/'2016-17 disagg'!AQ175-1</f>
        <v>2.3759869808932521E-2</v>
      </c>
      <c r="BJ175" s="16">
        <f>AS175/'2016-17 disagg'!AS175-1</f>
        <v>1.4374136538928939E-2</v>
      </c>
      <c r="BK175" s="16">
        <f>AT175/'2016-17 disagg'!AT175-1</f>
        <v>1.2752673808447135E-2</v>
      </c>
      <c r="BL175" s="16">
        <f>AU175/'2016-17 disagg'!AU175-1</f>
        <v>4.0301770557287675E-2</v>
      </c>
      <c r="BM175" s="16">
        <f>AW175/'2016-17 disagg'!AW175-1</f>
        <v>1.8085172077817901E-2</v>
      </c>
    </row>
    <row r="176" spans="1:65" x14ac:dyDescent="0.2">
      <c r="A176" s="156" t="s">
        <v>397</v>
      </c>
      <c r="B176" s="156" t="s">
        <v>398</v>
      </c>
      <c r="D176" s="56">
        <f>VLOOKUP(A176,'2017-18'!$A$12:$AMX384,32,FALSE)</f>
        <v>484056.46341600269</v>
      </c>
      <c r="E176" s="56">
        <v>1416.7284392148335</v>
      </c>
      <c r="F176" s="16">
        <f>VLOOKUP(A176,'2017-18'!$A$12:$AMX384,34,FALSE)</f>
        <v>2.6569924619540553E-2</v>
      </c>
      <c r="G176" s="16">
        <f>VLOOKUP(A176,'2017-18'!$A$12:$AMX384,35,FALSE)</f>
        <v>2.0516187666344221E-2</v>
      </c>
      <c r="H176" s="56"/>
      <c r="I176" s="56">
        <v>496627.29311864817</v>
      </c>
      <c r="J176" s="56">
        <v>1453.5205353653166</v>
      </c>
      <c r="K176" s="16">
        <f t="shared" si="57"/>
        <v>-2.5312402030313375E-2</v>
      </c>
      <c r="L176" s="58">
        <f t="shared" si="57"/>
        <v>-2.5312402030313264E-2</v>
      </c>
      <c r="M176" s="10"/>
      <c r="N176" s="56">
        <v>361032</v>
      </c>
      <c r="O176" s="56">
        <v>40250</v>
      </c>
      <c r="P176" s="56">
        <v>81947</v>
      </c>
      <c r="R176" s="56">
        <f t="shared" si="41"/>
        <v>81947</v>
      </c>
      <c r="S176" s="56">
        <f t="shared" si="42"/>
        <v>827.46341600269079</v>
      </c>
      <c r="U176" s="16">
        <v>-4.5007194060612488E-2</v>
      </c>
      <c r="V176" s="16">
        <v>-4.7248103854787948E-2</v>
      </c>
      <c r="W176" s="56">
        <f t="shared" si="43"/>
        <v>4</v>
      </c>
      <c r="X176" s="56">
        <f t="shared" si="44"/>
        <v>3780.4682690239488</v>
      </c>
      <c r="Y176" s="56">
        <f t="shared" si="44"/>
        <v>422.46045547481509</v>
      </c>
      <c r="AA176" s="56">
        <f t="shared" si="56"/>
        <v>0</v>
      </c>
      <c r="AB176" s="56">
        <v>0</v>
      </c>
      <c r="AC176" s="56">
        <f t="shared" si="45"/>
        <v>827.46341600269079</v>
      </c>
      <c r="AE176" s="56">
        <v>0</v>
      </c>
      <c r="AF176" s="56">
        <f t="shared" si="46"/>
        <v>0</v>
      </c>
      <c r="AG176" s="56">
        <f t="shared" si="47"/>
        <v>827.46341600269079</v>
      </c>
      <c r="AI176" s="56">
        <f t="shared" si="48"/>
        <v>744.29032539670334</v>
      </c>
      <c r="AJ176" s="56">
        <f t="shared" si="49"/>
        <v>83.173090605987497</v>
      </c>
      <c r="AK176" s="56">
        <f t="shared" si="50"/>
        <v>0</v>
      </c>
      <c r="AM176" s="56">
        <f t="shared" si="51"/>
        <v>361776</v>
      </c>
      <c r="AN176" s="56">
        <f t="shared" si="52"/>
        <v>40333</v>
      </c>
      <c r="AO176" s="56">
        <f t="shared" si="53"/>
        <v>81947</v>
      </c>
      <c r="AP176" s="56"/>
      <c r="AQ176" s="56">
        <f t="shared" si="54"/>
        <v>484056</v>
      </c>
      <c r="AS176" s="56">
        <v>1058.8400043424383</v>
      </c>
      <c r="AT176" s="56">
        <v>118.04595632419941</v>
      </c>
      <c r="AU176" s="56">
        <v>239.84112222991516</v>
      </c>
      <c r="AV176" s="56"/>
      <c r="AW176" s="56">
        <v>1416.7270828965529</v>
      </c>
      <c r="AY176" s="16">
        <v>-4.3039183890824506E-2</v>
      </c>
      <c r="AZ176" s="16">
        <v>-4.5283422926090999E-2</v>
      </c>
      <c r="BA176" s="16">
        <v>7.3526192798163192E-2</v>
      </c>
      <c r="BB176" s="16">
        <f t="shared" si="55"/>
        <v>-2.5313335156641914E-2</v>
      </c>
      <c r="BC176" s="16"/>
      <c r="BE176" s="16">
        <f>AM176/'2016-17 disagg'!AM176-1</f>
        <v>2.2130682058975504E-2</v>
      </c>
      <c r="BF176" s="16">
        <f>AN176/'2016-17 disagg'!AN176-1</f>
        <v>2.6885963795605594E-2</v>
      </c>
      <c r="BG176" s="16">
        <f>AO176/'2016-17 disagg'!AO176-1</f>
        <v>4.6470347857179295E-2</v>
      </c>
      <c r="BH176" s="16">
        <f>AQ176/'2016-17 disagg'!AQ176-1</f>
        <v>2.6568941823179149E-2</v>
      </c>
      <c r="BJ176" s="16">
        <f>AS176/'2016-17 disagg'!AS176-1</f>
        <v>1.6103123553139476E-2</v>
      </c>
      <c r="BK176" s="16">
        <f>AT176/'2016-17 disagg'!AT176-1</f>
        <v>2.0830363142730679E-2</v>
      </c>
      <c r="BL176" s="16">
        <f>AU176/'2016-17 disagg'!AU176-1</f>
        <v>4.0299257059253524E-2</v>
      </c>
      <c r="BM176" s="16">
        <f>AW176/'2016-17 disagg'!AW176-1</f>
        <v>2.0515210665584815E-2</v>
      </c>
    </row>
    <row r="177" spans="1:65" x14ac:dyDescent="0.2">
      <c r="A177" s="156" t="s">
        <v>399</v>
      </c>
      <c r="B177" s="156" t="s">
        <v>400</v>
      </c>
      <c r="D177" s="56">
        <f>VLOOKUP(A177,'2017-18'!$A$12:$AMX385,32,FALSE)</f>
        <v>882533.46836043289</v>
      </c>
      <c r="E177" s="56">
        <v>1723.3752157157887</v>
      </c>
      <c r="F177" s="16">
        <f>VLOOKUP(A177,'2017-18'!$A$12:$AMX385,34,FALSE)</f>
        <v>2.7647583647262941E-2</v>
      </c>
      <c r="G177" s="16">
        <f>VLOOKUP(A177,'2017-18'!$A$12:$AMX385,35,FALSE)</f>
        <v>1.9476607110363364E-2</v>
      </c>
      <c r="H177" s="56"/>
      <c r="I177" s="56">
        <v>901315.17784058314</v>
      </c>
      <c r="J177" s="56">
        <v>1760.051368844574</v>
      </c>
      <c r="K177" s="16">
        <f t="shared" si="57"/>
        <v>-2.0838115169821592E-2</v>
      </c>
      <c r="L177" s="58">
        <f t="shared" si="57"/>
        <v>-2.0838115169821481E-2</v>
      </c>
      <c r="M177" s="10"/>
      <c r="N177" s="56">
        <v>685225</v>
      </c>
      <c r="O177" s="56">
        <v>65926</v>
      </c>
      <c r="P177" s="56">
        <v>128647</v>
      </c>
      <c r="R177" s="56">
        <f t="shared" si="41"/>
        <v>128647</v>
      </c>
      <c r="S177" s="56">
        <f t="shared" si="42"/>
        <v>2735.4683604328893</v>
      </c>
      <c r="U177" s="16">
        <v>-2.6024665349208553E-2</v>
      </c>
      <c r="V177" s="16">
        <v>-4.7132339837814508E-2</v>
      </c>
      <c r="W177" s="56">
        <f t="shared" si="43"/>
        <v>4</v>
      </c>
      <c r="X177" s="56">
        <f t="shared" si="44"/>
        <v>7035.342432420839</v>
      </c>
      <c r="Y177" s="56">
        <f t="shared" si="44"/>
        <v>691.8694248556917</v>
      </c>
      <c r="AA177" s="56">
        <f t="shared" si="56"/>
        <v>0</v>
      </c>
      <c r="AB177" s="56">
        <v>0</v>
      </c>
      <c r="AC177" s="56">
        <f t="shared" si="45"/>
        <v>2735.4683604328893</v>
      </c>
      <c r="AE177" s="56">
        <v>0</v>
      </c>
      <c r="AF177" s="56">
        <f t="shared" si="46"/>
        <v>0</v>
      </c>
      <c r="AG177" s="56">
        <f t="shared" si="47"/>
        <v>2735.4683604328893</v>
      </c>
      <c r="AI177" s="56">
        <f t="shared" si="48"/>
        <v>2490.5434177497868</v>
      </c>
      <c r="AJ177" s="56">
        <f t="shared" si="49"/>
        <v>244.92494268310261</v>
      </c>
      <c r="AK177" s="56">
        <f t="shared" si="50"/>
        <v>0</v>
      </c>
      <c r="AM177" s="56">
        <f t="shared" si="51"/>
        <v>687716</v>
      </c>
      <c r="AN177" s="56">
        <f t="shared" si="52"/>
        <v>66171</v>
      </c>
      <c r="AO177" s="56">
        <f t="shared" si="53"/>
        <v>128647</v>
      </c>
      <c r="AP177" s="56"/>
      <c r="AQ177" s="56">
        <f t="shared" si="54"/>
        <v>882534</v>
      </c>
      <c r="AS177" s="56">
        <v>1342.9436416196722</v>
      </c>
      <c r="AT177" s="56">
        <v>129.21601898111331</v>
      </c>
      <c r="AU177" s="56">
        <v>251.21659327897848</v>
      </c>
      <c r="AV177" s="56"/>
      <c r="AW177" s="56">
        <v>1723.3762538797639</v>
      </c>
      <c r="AY177" s="16">
        <v>-2.2483970601330006E-2</v>
      </c>
      <c r="AZ177" s="16">
        <v>-4.3591209225616989E-2</v>
      </c>
      <c r="BA177" s="16">
        <v>4.1221122541590383E-4</v>
      </c>
      <c r="BB177" s="16">
        <f t="shared" si="55"/>
        <v>-2.0837525321142469E-2</v>
      </c>
      <c r="BC177" s="16"/>
      <c r="BE177" s="16">
        <f>AM177/'2016-17 disagg'!AM177-1</f>
        <v>2.3738814979553879E-2</v>
      </c>
      <c r="BF177" s="16">
        <f>AN177/'2016-17 disagg'!AN177-1</f>
        <v>2.8442206369189149E-2</v>
      </c>
      <c r="BG177" s="16">
        <f>AO177/'2016-17 disagg'!AO177-1</f>
        <v>4.8638734920117388E-2</v>
      </c>
      <c r="BH177" s="16">
        <f>AQ177/'2016-17 disagg'!AQ177-1</f>
        <v>2.7648202703804081E-2</v>
      </c>
      <c r="BJ177" s="16">
        <f>AS177/'2016-17 disagg'!AS177-1</f>
        <v>1.559891763515231E-2</v>
      </c>
      <c r="BK177" s="16">
        <f>AT177/'2016-17 disagg'!AT177-1</f>
        <v>2.0264911670577535E-2</v>
      </c>
      <c r="BL177" s="16">
        <f>AU177/'2016-17 disagg'!AU177-1</f>
        <v>4.0300854663243957E-2</v>
      </c>
      <c r="BM177" s="16">
        <f>AW177/'2016-17 disagg'!AW177-1</f>
        <v>1.947722124469542E-2</v>
      </c>
    </row>
    <row r="178" spans="1:65" x14ac:dyDescent="0.2">
      <c r="A178" s="156" t="s">
        <v>401</v>
      </c>
      <c r="B178" s="156" t="s">
        <v>402</v>
      </c>
      <c r="D178" s="56">
        <f>VLOOKUP(A178,'2017-18'!$A$12:$AMX386,32,FALSE)</f>
        <v>206409.40977682217</v>
      </c>
      <c r="E178" s="56">
        <v>1564.5256678908659</v>
      </c>
      <c r="F178" s="16">
        <f>VLOOKUP(A178,'2017-18'!$A$12:$AMX386,34,FALSE)</f>
        <v>2.7295805782367344E-2</v>
      </c>
      <c r="G178" s="16">
        <f>VLOOKUP(A178,'2017-18'!$A$12:$AMX386,35,FALSE)</f>
        <v>1.6424310862746205E-2</v>
      </c>
      <c r="H178" s="56"/>
      <c r="I178" s="56">
        <v>208368.54264002241</v>
      </c>
      <c r="J178" s="56">
        <v>1579.3753477315254</v>
      </c>
      <c r="K178" s="16">
        <f t="shared" si="57"/>
        <v>-9.4022487193992088E-3</v>
      </c>
      <c r="L178" s="58">
        <f t="shared" si="57"/>
        <v>-9.4022487193993198E-3</v>
      </c>
      <c r="M178" s="10"/>
      <c r="N178" s="56">
        <v>157548</v>
      </c>
      <c r="O178" s="56">
        <v>15875</v>
      </c>
      <c r="P178" s="56">
        <v>32831</v>
      </c>
      <c r="R178" s="56">
        <f t="shared" si="41"/>
        <v>32831</v>
      </c>
      <c r="S178" s="56">
        <f t="shared" si="42"/>
        <v>155.40977682216908</v>
      </c>
      <c r="U178" s="16">
        <v>-1.8540631631032145E-3</v>
      </c>
      <c r="V178" s="16">
        <v>-6.8872204881174071E-3</v>
      </c>
      <c r="W178" s="56">
        <f t="shared" si="43"/>
        <v>4</v>
      </c>
      <c r="X178" s="56">
        <f t="shared" si="44"/>
        <v>1578.4064652836864</v>
      </c>
      <c r="Y178" s="56">
        <f t="shared" si="44"/>
        <v>159.8509285904326</v>
      </c>
      <c r="AA178" s="56">
        <f t="shared" si="56"/>
        <v>0</v>
      </c>
      <c r="AB178" s="56">
        <v>0</v>
      </c>
      <c r="AC178" s="56">
        <f t="shared" si="45"/>
        <v>155.40977682216908</v>
      </c>
      <c r="AE178" s="56">
        <v>0</v>
      </c>
      <c r="AF178" s="56">
        <f t="shared" si="46"/>
        <v>0</v>
      </c>
      <c r="AG178" s="56">
        <f t="shared" si="47"/>
        <v>155.40977682216908</v>
      </c>
      <c r="AI178" s="56">
        <f t="shared" si="48"/>
        <v>141.1182241300281</v>
      </c>
      <c r="AJ178" s="56">
        <f t="shared" si="49"/>
        <v>14.291552692140973</v>
      </c>
      <c r="AK178" s="56">
        <f t="shared" si="50"/>
        <v>0</v>
      </c>
      <c r="AM178" s="56">
        <f t="shared" si="51"/>
        <v>157689</v>
      </c>
      <c r="AN178" s="56">
        <f t="shared" si="52"/>
        <v>15889</v>
      </c>
      <c r="AO178" s="56">
        <f t="shared" si="53"/>
        <v>32831</v>
      </c>
      <c r="AP178" s="56"/>
      <c r="AQ178" s="56">
        <f t="shared" si="54"/>
        <v>206409</v>
      </c>
      <c r="AS178" s="56">
        <v>1195.2385712976627</v>
      </c>
      <c r="AT178" s="56">
        <v>120.43418158114113</v>
      </c>
      <c r="AU178" s="56">
        <v>248.84980901821666</v>
      </c>
      <c r="AV178" s="56"/>
      <c r="AW178" s="56">
        <v>1564.5225618970205</v>
      </c>
      <c r="AY178" s="16">
        <v>-9.6075714148435853E-4</v>
      </c>
      <c r="AZ178" s="16">
        <v>-6.0114044935871691E-3</v>
      </c>
      <c r="BA178" s="16">
        <v>-4.9556002739329585E-2</v>
      </c>
      <c r="BB178" s="16">
        <f t="shared" si="55"/>
        <v>-9.4042153157817276E-3</v>
      </c>
      <c r="BC178" s="16"/>
      <c r="BE178" s="16">
        <f>AM178/'2016-17 disagg'!AM178-1</f>
        <v>2.2851990711311165E-2</v>
      </c>
      <c r="BF178" s="16">
        <f>AN178/'2016-17 disagg'!AN178-1</f>
        <v>2.2853096433629538E-2</v>
      </c>
      <c r="BG178" s="16">
        <f>AO178/'2016-17 disagg'!AO178-1</f>
        <v>5.1433146517213757E-2</v>
      </c>
      <c r="BH178" s="16">
        <f>AQ178/'2016-17 disagg'!AQ178-1</f>
        <v>2.7293766330720448E-2</v>
      </c>
      <c r="BJ178" s="16">
        <f>AS178/'2016-17 disagg'!AS178-1</f>
        <v>1.202752305754351E-2</v>
      </c>
      <c r="BK178" s="16">
        <f>AT178/'2016-17 disagg'!AT178-1</f>
        <v>1.2028617078407855E-2</v>
      </c>
      <c r="BL178" s="16">
        <f>AU178/'2016-17 disagg'!AU178-1</f>
        <v>4.0306214969023646E-2</v>
      </c>
      <c r="BM178" s="16">
        <f>AW178/'2016-17 disagg'!AW178-1</f>
        <v>1.6422292993868437E-2</v>
      </c>
    </row>
    <row r="179" spans="1:65" x14ac:dyDescent="0.2">
      <c r="A179" s="156" t="s">
        <v>403</v>
      </c>
      <c r="B179" s="156" t="s">
        <v>404</v>
      </c>
      <c r="D179" s="56">
        <f>VLOOKUP(A179,'2017-18'!$A$12:$AMX387,32,FALSE)</f>
        <v>418636.2247953543</v>
      </c>
      <c r="E179" s="56">
        <v>1584.7862761019935</v>
      </c>
      <c r="F179" s="16">
        <f>VLOOKUP(A179,'2017-18'!$A$12:$AMX387,34,FALSE)</f>
        <v>2.9779413070017746E-2</v>
      </c>
      <c r="G179" s="16">
        <f>VLOOKUP(A179,'2017-18'!$A$12:$AMX387,35,FALSE)</f>
        <v>1.9719798474056915E-2</v>
      </c>
      <c r="H179" s="56"/>
      <c r="I179" s="56">
        <v>428213.74681951909</v>
      </c>
      <c r="J179" s="56">
        <v>1621.0428744658373</v>
      </c>
      <c r="K179" s="16">
        <f t="shared" si="57"/>
        <v>-2.2366218028496587E-2</v>
      </c>
      <c r="L179" s="58">
        <f t="shared" si="57"/>
        <v>-2.2366218028496587E-2</v>
      </c>
      <c r="M179" s="10"/>
      <c r="N179" s="56">
        <v>313168</v>
      </c>
      <c r="O179" s="56">
        <v>32526</v>
      </c>
      <c r="P179" s="56">
        <v>71415</v>
      </c>
      <c r="R179" s="56">
        <f t="shared" si="41"/>
        <v>71415</v>
      </c>
      <c r="S179" s="56">
        <f t="shared" si="42"/>
        <v>1527.2247953542974</v>
      </c>
      <c r="U179" s="16">
        <v>-3.4628725137989314E-2</v>
      </c>
      <c r="V179" s="16">
        <v>-1.752345385607057E-2</v>
      </c>
      <c r="W179" s="56">
        <f t="shared" si="43"/>
        <v>4</v>
      </c>
      <c r="X179" s="56">
        <f t="shared" si="44"/>
        <v>3244.0161433720305</v>
      </c>
      <c r="Y179" s="56">
        <f t="shared" si="44"/>
        <v>331.06133808139833</v>
      </c>
      <c r="AA179" s="56">
        <f t="shared" si="56"/>
        <v>0</v>
      </c>
      <c r="AB179" s="56">
        <v>0</v>
      </c>
      <c r="AC179" s="56">
        <f t="shared" si="45"/>
        <v>1527.2247953542974</v>
      </c>
      <c r="AE179" s="56">
        <v>0</v>
      </c>
      <c r="AF179" s="56">
        <f t="shared" si="46"/>
        <v>0</v>
      </c>
      <c r="AG179" s="56">
        <f t="shared" si="47"/>
        <v>1527.2247953542974</v>
      </c>
      <c r="AI179" s="56">
        <f t="shared" si="48"/>
        <v>1385.7998648670475</v>
      </c>
      <c r="AJ179" s="56">
        <f t="shared" si="49"/>
        <v>141.42493048724984</v>
      </c>
      <c r="AK179" s="56">
        <f t="shared" si="50"/>
        <v>0</v>
      </c>
      <c r="AM179" s="56">
        <f t="shared" si="51"/>
        <v>314554</v>
      </c>
      <c r="AN179" s="56">
        <f t="shared" si="52"/>
        <v>32667</v>
      </c>
      <c r="AO179" s="56">
        <f t="shared" si="53"/>
        <v>71415</v>
      </c>
      <c r="AP179" s="56"/>
      <c r="AQ179" s="56">
        <f t="shared" si="54"/>
        <v>418636</v>
      </c>
      <c r="AS179" s="56">
        <v>1190.7733558811665</v>
      </c>
      <c r="AT179" s="56">
        <v>123.66395981793291</v>
      </c>
      <c r="AU179" s="56">
        <v>270.34810941922058</v>
      </c>
      <c r="AV179" s="56"/>
      <c r="AW179" s="56">
        <v>1584.7854251183198</v>
      </c>
      <c r="AY179" s="16">
        <v>-3.0356243316862264E-2</v>
      </c>
      <c r="AZ179" s="16">
        <v>-1.3264424371771999E-2</v>
      </c>
      <c r="BA179" s="16">
        <v>1.0027456497587073E-2</v>
      </c>
      <c r="BB179" s="16">
        <f t="shared" si="55"/>
        <v>-2.2366742989117228E-2</v>
      </c>
      <c r="BC179" s="16"/>
      <c r="BE179" s="16">
        <f>AM179/'2016-17 disagg'!AM179-1</f>
        <v>2.5614774142642016E-2</v>
      </c>
      <c r="BF179" s="16">
        <f>AN179/'2016-17 disagg'!AN179-1</f>
        <v>2.5522697306460618E-2</v>
      </c>
      <c r="BG179" s="16">
        <f>AO179/'2016-17 disagg'!AO179-1</f>
        <v>5.0560475447938957E-2</v>
      </c>
      <c r="BH179" s="16">
        <f>AQ179/'2016-17 disagg'!AQ179-1</f>
        <v>2.9778860108724992E-2</v>
      </c>
      <c r="BJ179" s="16">
        <f>AS179/'2016-17 disagg'!AS179-1</f>
        <v>1.5595842689118067E-2</v>
      </c>
      <c r="BK179" s="16">
        <f>AT179/'2016-17 disagg'!AT179-1</f>
        <v>1.5504665324681532E-2</v>
      </c>
      <c r="BL179" s="16">
        <f>AU179/'2016-17 disagg'!AU179-1</f>
        <v>4.0297856717536273E-2</v>
      </c>
      <c r="BM179" s="16">
        <f>AW179/'2016-17 disagg'!AW179-1</f>
        <v>1.9719250914481679E-2</v>
      </c>
    </row>
    <row r="180" spans="1:65" x14ac:dyDescent="0.2">
      <c r="A180" s="156" t="s">
        <v>405</v>
      </c>
      <c r="B180" s="156" t="s">
        <v>406</v>
      </c>
      <c r="D180" s="56">
        <f>VLOOKUP(A180,'2017-18'!$A$12:$AMX388,32,FALSE)</f>
        <v>282792.84362363972</v>
      </c>
      <c r="E180" s="56">
        <v>1543.9915656360868</v>
      </c>
      <c r="F180" s="16">
        <f>VLOOKUP(A180,'2017-18'!$A$12:$AMX388,34,FALSE)</f>
        <v>3.2795534264770998E-2</v>
      </c>
      <c r="G180" s="16">
        <f>VLOOKUP(A180,'2017-18'!$A$12:$AMX388,35,FALSE)</f>
        <v>2.173592422639814E-2</v>
      </c>
      <c r="H180" s="56"/>
      <c r="I180" s="56">
        <v>291623.47173902759</v>
      </c>
      <c r="J180" s="56">
        <v>1592.2050039774526</v>
      </c>
      <c r="K180" s="16">
        <f t="shared" si="57"/>
        <v>-3.0280923763538303E-2</v>
      </c>
      <c r="L180" s="58">
        <f t="shared" si="57"/>
        <v>-3.0280923763538525E-2</v>
      </c>
      <c r="M180" s="10"/>
      <c r="N180" s="56">
        <v>214078</v>
      </c>
      <c r="O180" s="56">
        <v>21118</v>
      </c>
      <c r="P180" s="56">
        <v>45948</v>
      </c>
      <c r="R180" s="56">
        <f t="shared" si="41"/>
        <v>45948</v>
      </c>
      <c r="S180" s="56">
        <f t="shared" si="42"/>
        <v>1648.8436236397247</v>
      </c>
      <c r="U180" s="16">
        <v>-3.6362840841590693E-2</v>
      </c>
      <c r="V180" s="16">
        <v>-3.7584188240189609E-2</v>
      </c>
      <c r="W180" s="56">
        <f t="shared" si="43"/>
        <v>4</v>
      </c>
      <c r="X180" s="56">
        <f t="shared" si="44"/>
        <v>2221.5623169509631</v>
      </c>
      <c r="Y180" s="56">
        <f t="shared" si="44"/>
        <v>219.4269851134824</v>
      </c>
      <c r="AA180" s="56">
        <f t="shared" si="56"/>
        <v>0</v>
      </c>
      <c r="AB180" s="56">
        <v>0</v>
      </c>
      <c r="AC180" s="56">
        <f t="shared" si="45"/>
        <v>1648.8436236397247</v>
      </c>
      <c r="AE180" s="56">
        <v>0</v>
      </c>
      <c r="AF180" s="56">
        <f t="shared" si="46"/>
        <v>0</v>
      </c>
      <c r="AG180" s="56">
        <f t="shared" si="47"/>
        <v>1648.8436236397247</v>
      </c>
      <c r="AI180" s="56">
        <f t="shared" si="48"/>
        <v>1500.6247088936157</v>
      </c>
      <c r="AJ180" s="56">
        <f t="shared" si="49"/>
        <v>148.21891474610905</v>
      </c>
      <c r="AK180" s="56">
        <f t="shared" si="50"/>
        <v>0</v>
      </c>
      <c r="AM180" s="56">
        <f t="shared" si="51"/>
        <v>215579</v>
      </c>
      <c r="AN180" s="56">
        <f t="shared" si="52"/>
        <v>21266</v>
      </c>
      <c r="AO180" s="56">
        <f t="shared" si="53"/>
        <v>45948</v>
      </c>
      <c r="AP180" s="56"/>
      <c r="AQ180" s="56">
        <f t="shared" si="54"/>
        <v>282793</v>
      </c>
      <c r="AS180" s="56">
        <v>1177.0176128333878</v>
      </c>
      <c r="AT180" s="56">
        <v>116.1080464911463</v>
      </c>
      <c r="AU180" s="56">
        <v>250.86676009476113</v>
      </c>
      <c r="AV180" s="56"/>
      <c r="AW180" s="56">
        <v>1543.9924194192954</v>
      </c>
      <c r="AY180" s="16">
        <v>-2.9606334447207394E-2</v>
      </c>
      <c r="AZ180" s="16">
        <v>-3.0839347813044427E-2</v>
      </c>
      <c r="BA180" s="16">
        <v>-3.3173208656881892E-2</v>
      </c>
      <c r="BB180" s="16">
        <f t="shared" si="55"/>
        <v>-3.0280387536603781E-2</v>
      </c>
      <c r="BC180" s="16"/>
      <c r="BE180" s="16">
        <f>AM180/'2016-17 disagg'!AM180-1</f>
        <v>2.9232869910625681E-2</v>
      </c>
      <c r="BF180" s="16">
        <f>AN180/'2016-17 disagg'!AN180-1</f>
        <v>2.9232407317781428E-2</v>
      </c>
      <c r="BG180" s="16">
        <f>AO180/'2016-17 disagg'!AO180-1</f>
        <v>5.1561963611397088E-2</v>
      </c>
      <c r="BH180" s="16">
        <f>AQ180/'2016-17 disagg'!AQ180-1</f>
        <v>3.2796105371184048E-2</v>
      </c>
      <c r="BJ180" s="16">
        <f>AS180/'2016-17 disagg'!AS180-1</f>
        <v>1.8211410384282756E-2</v>
      </c>
      <c r="BK180" s="16">
        <f>AT180/'2016-17 disagg'!AT180-1</f>
        <v>1.821095274507778E-2</v>
      </c>
      <c r="BL180" s="16">
        <f>AU180/'2016-17 disagg'!AU180-1</f>
        <v>4.0301394735093421E-2</v>
      </c>
      <c r="BM180" s="16">
        <f>AW180/'2016-17 disagg'!AW180-1</f>
        <v>2.173648921716298E-2</v>
      </c>
    </row>
    <row r="181" spans="1:65" x14ac:dyDescent="0.2">
      <c r="A181" s="156" t="s">
        <v>407</v>
      </c>
      <c r="B181" s="156" t="s">
        <v>408</v>
      </c>
      <c r="D181" s="56">
        <f>VLOOKUP(A181,'2017-18'!$A$12:$AMX389,32,FALSE)</f>
        <v>341589.23059855157</v>
      </c>
      <c r="E181" s="56">
        <v>1750.2252945032278</v>
      </c>
      <c r="F181" s="16">
        <f>VLOOKUP(A181,'2017-18'!$A$12:$AMX389,34,FALSE)</f>
        <v>2.4993190297520229E-2</v>
      </c>
      <c r="G181" s="16">
        <f>VLOOKUP(A181,'2017-18'!$A$12:$AMX389,35,FALSE)</f>
        <v>1.761396448306507E-2</v>
      </c>
      <c r="H181" s="56"/>
      <c r="I181" s="56">
        <v>346322.13712197106</v>
      </c>
      <c r="J181" s="56">
        <v>1774.4756278620785</v>
      </c>
      <c r="K181" s="16">
        <f t="shared" si="57"/>
        <v>-1.3666196919293716E-2</v>
      </c>
      <c r="L181" s="58">
        <f t="shared" si="57"/>
        <v>-1.3666196919293827E-2</v>
      </c>
      <c r="M181" s="10"/>
      <c r="N181" s="56">
        <v>264020</v>
      </c>
      <c r="O181" s="56">
        <v>25465</v>
      </c>
      <c r="P181" s="56">
        <v>51784</v>
      </c>
      <c r="R181" s="56">
        <f t="shared" si="41"/>
        <v>51784</v>
      </c>
      <c r="S181" s="56">
        <f t="shared" si="42"/>
        <v>320.23059855157044</v>
      </c>
      <c r="U181" s="16">
        <v>-1.4461647789092869E-2</v>
      </c>
      <c r="V181" s="16">
        <v>-4.4530350007881636E-2</v>
      </c>
      <c r="W181" s="56">
        <f t="shared" si="43"/>
        <v>4</v>
      </c>
      <c r="X181" s="56">
        <f t="shared" si="44"/>
        <v>2678.9419144136891</v>
      </c>
      <c r="Y181" s="56">
        <f t="shared" si="44"/>
        <v>266.51814633997071</v>
      </c>
      <c r="AA181" s="56">
        <f t="shared" si="56"/>
        <v>0</v>
      </c>
      <c r="AB181" s="56">
        <v>0</v>
      </c>
      <c r="AC181" s="56">
        <f t="shared" si="45"/>
        <v>320.23059855157044</v>
      </c>
      <c r="AE181" s="56">
        <v>0</v>
      </c>
      <c r="AF181" s="56">
        <f t="shared" si="46"/>
        <v>0</v>
      </c>
      <c r="AG181" s="56">
        <f t="shared" si="47"/>
        <v>320.23059855157044</v>
      </c>
      <c r="AI181" s="56">
        <f t="shared" si="48"/>
        <v>291.25472932675876</v>
      </c>
      <c r="AJ181" s="56">
        <f t="shared" si="49"/>
        <v>28.975869224811664</v>
      </c>
      <c r="AK181" s="56">
        <f t="shared" si="50"/>
        <v>0</v>
      </c>
      <c r="AM181" s="56">
        <f t="shared" si="51"/>
        <v>264311</v>
      </c>
      <c r="AN181" s="56">
        <f t="shared" si="52"/>
        <v>25494</v>
      </c>
      <c r="AO181" s="56">
        <f t="shared" si="53"/>
        <v>51784</v>
      </c>
      <c r="AP181" s="56"/>
      <c r="AQ181" s="56">
        <f t="shared" si="54"/>
        <v>341589</v>
      </c>
      <c r="AS181" s="56">
        <v>1354.2692695693088</v>
      </c>
      <c r="AT181" s="56">
        <v>130.62544032749284</v>
      </c>
      <c r="AU181" s="56">
        <v>265.32940307205183</v>
      </c>
      <c r="AV181" s="56"/>
      <c r="AW181" s="56">
        <v>1750.2241129688537</v>
      </c>
      <c r="AY181" s="16">
        <v>-1.3375398033417585E-2</v>
      </c>
      <c r="AZ181" s="16">
        <v>-4.3442243985899576E-2</v>
      </c>
      <c r="BA181" s="16">
        <v>1.5198032830565644E-4</v>
      </c>
      <c r="BB181" s="16">
        <f t="shared" si="55"/>
        <v>-1.3666862769168286E-2</v>
      </c>
      <c r="BC181" s="16"/>
      <c r="BE181" s="16">
        <f>AM181/'2016-17 disagg'!AM181-1</f>
        <v>2.1152389930303439E-2</v>
      </c>
      <c r="BF181" s="16">
        <f>AN181/'2016-17 disagg'!AN181-1</f>
        <v>1.9596864501679745E-2</v>
      </c>
      <c r="BG181" s="16">
        <f>AO181/'2016-17 disagg'!AO181-1</f>
        <v>4.783488466208019E-2</v>
      </c>
      <c r="BH181" s="16">
        <f>AQ181/'2016-17 disagg'!AQ181-1</f>
        <v>2.4992498349637016E-2</v>
      </c>
      <c r="BJ181" s="16">
        <f>AS181/'2016-17 disagg'!AS181-1</f>
        <v>1.3800815161226998E-2</v>
      </c>
      <c r="BK181" s="16">
        <f>AT181/'2016-17 disagg'!AT181-1</f>
        <v>1.225648841519611E-2</v>
      </c>
      <c r="BL181" s="16">
        <f>AU181/'2016-17 disagg'!AU181-1</f>
        <v>4.0291214808097164E-2</v>
      </c>
      <c r="BM181" s="16">
        <f>AW181/'2016-17 disagg'!AW181-1</f>
        <v>1.7613277516717041E-2</v>
      </c>
    </row>
    <row r="182" spans="1:65" x14ac:dyDescent="0.2">
      <c r="A182" s="156" t="s">
        <v>409</v>
      </c>
      <c r="B182" s="156" t="s">
        <v>410</v>
      </c>
      <c r="D182" s="56">
        <f>VLOOKUP(A182,'2017-18'!$A$12:$AMX390,32,FALSE)</f>
        <v>308497.71731774294</v>
      </c>
      <c r="E182" s="56">
        <v>1503.4526004511806</v>
      </c>
      <c r="F182" s="16">
        <f>VLOOKUP(A182,'2017-18'!$A$12:$AMX390,34,FALSE)</f>
        <v>2.5952354612140294E-2</v>
      </c>
      <c r="G182" s="16">
        <f>VLOOKUP(A182,'2017-18'!$A$12:$AMX390,35,FALSE)</f>
        <v>2.0317711305218866E-2</v>
      </c>
      <c r="H182" s="56"/>
      <c r="I182" s="56">
        <v>316074.29921247746</v>
      </c>
      <c r="J182" s="56">
        <v>1540.3768015480643</v>
      </c>
      <c r="K182" s="16">
        <f t="shared" si="57"/>
        <v>-2.3970888849906946E-2</v>
      </c>
      <c r="L182" s="58">
        <f t="shared" si="57"/>
        <v>-2.3970888849906835E-2</v>
      </c>
      <c r="M182" s="10"/>
      <c r="N182" s="56">
        <v>238426</v>
      </c>
      <c r="O182" s="56">
        <v>24889</v>
      </c>
      <c r="P182" s="56">
        <v>44468</v>
      </c>
      <c r="R182" s="56">
        <f t="shared" si="41"/>
        <v>44468</v>
      </c>
      <c r="S182" s="56">
        <f t="shared" si="42"/>
        <v>714.71731774293585</v>
      </c>
      <c r="U182" s="16">
        <v>-4.0350161037352339E-2</v>
      </c>
      <c r="V182" s="16">
        <v>-2.4848601963611272E-2</v>
      </c>
      <c r="W182" s="56">
        <f t="shared" si="43"/>
        <v>4</v>
      </c>
      <c r="X182" s="56">
        <f t="shared" si="44"/>
        <v>2484.5103945177675</v>
      </c>
      <c r="Y182" s="56">
        <f t="shared" si="44"/>
        <v>255.23216241208982</v>
      </c>
      <c r="AA182" s="56">
        <f t="shared" si="56"/>
        <v>0</v>
      </c>
      <c r="AB182" s="56">
        <v>0</v>
      </c>
      <c r="AC182" s="56">
        <f t="shared" si="45"/>
        <v>714.71731774293585</v>
      </c>
      <c r="AE182" s="56">
        <v>0</v>
      </c>
      <c r="AF182" s="56">
        <f t="shared" si="46"/>
        <v>0</v>
      </c>
      <c r="AG182" s="56">
        <f t="shared" si="47"/>
        <v>714.71731774293585</v>
      </c>
      <c r="AI182" s="56">
        <f t="shared" si="48"/>
        <v>648.1348404734963</v>
      </c>
      <c r="AJ182" s="56">
        <f t="shared" si="49"/>
        <v>66.582477269439465</v>
      </c>
      <c r="AK182" s="56">
        <f t="shared" si="50"/>
        <v>0</v>
      </c>
      <c r="AM182" s="56">
        <f t="shared" si="51"/>
        <v>239074</v>
      </c>
      <c r="AN182" s="56">
        <f t="shared" si="52"/>
        <v>24956</v>
      </c>
      <c r="AO182" s="56">
        <f t="shared" si="53"/>
        <v>44468</v>
      </c>
      <c r="AP182" s="56"/>
      <c r="AQ182" s="56">
        <f t="shared" si="54"/>
        <v>308498</v>
      </c>
      <c r="AS182" s="56">
        <v>1165.1185951241816</v>
      </c>
      <c r="AT182" s="56">
        <v>121.62217413821276</v>
      </c>
      <c r="AU182" s="56">
        <v>216.71320883066375</v>
      </c>
      <c r="AV182" s="56"/>
      <c r="AW182" s="56">
        <v>1503.4539780930581</v>
      </c>
      <c r="AY182" s="16">
        <v>-3.7742001291151017E-2</v>
      </c>
      <c r="AZ182" s="16">
        <v>-2.2223540945955356E-2</v>
      </c>
      <c r="BA182" s="16">
        <v>5.6245939019325064E-2</v>
      </c>
      <c r="BB182" s="16">
        <f t="shared" si="55"/>
        <v>-2.3969994496086389E-2</v>
      </c>
      <c r="BC182" s="16"/>
      <c r="BE182" s="16">
        <f>AM182/'2016-17 disagg'!AM182-1</f>
        <v>2.2802724348004677E-2</v>
      </c>
      <c r="BF182" s="16">
        <f>AN182/'2016-17 disagg'!AN182-1</f>
        <v>2.1154711731249165E-2</v>
      </c>
      <c r="BG182" s="16">
        <f>AO182/'2016-17 disagg'!AO182-1</f>
        <v>4.6035143845122528E-2</v>
      </c>
      <c r="BH182" s="16">
        <f>AQ182/'2016-17 disagg'!AQ182-1</f>
        <v>2.5953294711567265E-2</v>
      </c>
      <c r="BJ182" s="16">
        <f>AS182/'2016-17 disagg'!AS182-1</f>
        <v>1.7185379157323544E-2</v>
      </c>
      <c r="BK182" s="16">
        <f>AT182/'2016-17 disagg'!AT182-1</f>
        <v>1.5546417607334329E-2</v>
      </c>
      <c r="BL182" s="16">
        <f>AU182/'2016-17 disagg'!AU182-1</f>
        <v>4.0290203648265077E-2</v>
      </c>
      <c r="BM182" s="16">
        <f>AW182/'2016-17 disagg'!AW182-1</f>
        <v>2.0318646241516136E-2</v>
      </c>
    </row>
    <row r="183" spans="1:65" x14ac:dyDescent="0.2">
      <c r="A183" s="156" t="s">
        <v>411</v>
      </c>
      <c r="B183" s="156" t="s">
        <v>412</v>
      </c>
      <c r="D183" s="56">
        <f>VLOOKUP(A183,'2017-18'!$A$12:$AMX391,32,FALSE)</f>
        <v>324954</v>
      </c>
      <c r="E183" s="56">
        <v>1448.0994341530445</v>
      </c>
      <c r="F183" s="16">
        <f>VLOOKUP(A183,'2017-18'!$A$12:$AMX391,34,FALSE)</f>
        <v>2.516262958312554E-2</v>
      </c>
      <c r="G183" s="16">
        <f>VLOOKUP(A183,'2017-18'!$A$12:$AMX391,35,FALSE)</f>
        <v>1.6836315527664514E-2</v>
      </c>
      <c r="H183" s="56"/>
      <c r="I183" s="56">
        <v>325574.59449446143</v>
      </c>
      <c r="J183" s="56">
        <v>1450.8650026220218</v>
      </c>
      <c r="K183" s="16">
        <f t="shared" si="57"/>
        <v>-1.9061514778972999E-3</v>
      </c>
      <c r="L183" s="58">
        <f t="shared" si="57"/>
        <v>-1.9061514778971889E-3</v>
      </c>
      <c r="M183" s="10"/>
      <c r="N183" s="56">
        <v>246400</v>
      </c>
      <c r="O183" s="56">
        <v>26027</v>
      </c>
      <c r="P183" s="56">
        <v>52527</v>
      </c>
      <c r="R183" s="56">
        <f t="shared" si="41"/>
        <v>52527</v>
      </c>
      <c r="S183" s="56">
        <f t="shared" si="42"/>
        <v>0</v>
      </c>
      <c r="U183" s="16">
        <v>-1.9467916177365985E-2</v>
      </c>
      <c r="V183" s="16">
        <v>-4.7275776487150534E-2</v>
      </c>
      <c r="W183" s="56">
        <f t="shared" si="43"/>
        <v>4</v>
      </c>
      <c r="X183" s="56">
        <f t="shared" si="44"/>
        <v>2512.9213420472906</v>
      </c>
      <c r="Y183" s="56">
        <f t="shared" si="44"/>
        <v>273.18503463713989</v>
      </c>
      <c r="AA183" s="56">
        <f t="shared" si="56"/>
        <v>0</v>
      </c>
      <c r="AB183" s="56">
        <v>0</v>
      </c>
      <c r="AC183" s="56">
        <f t="shared" si="45"/>
        <v>0</v>
      </c>
      <c r="AE183" s="56">
        <v>0</v>
      </c>
      <c r="AF183" s="56">
        <f t="shared" si="46"/>
        <v>0</v>
      </c>
      <c r="AG183" s="56">
        <f t="shared" si="47"/>
        <v>0</v>
      </c>
      <c r="AI183" s="56">
        <f t="shared" si="48"/>
        <v>0</v>
      </c>
      <c r="AJ183" s="56">
        <f t="shared" si="49"/>
        <v>0</v>
      </c>
      <c r="AK183" s="56">
        <f t="shared" si="50"/>
        <v>0</v>
      </c>
      <c r="AM183" s="56">
        <f t="shared" si="51"/>
        <v>246400</v>
      </c>
      <c r="AN183" s="56">
        <f t="shared" si="52"/>
        <v>26027</v>
      </c>
      <c r="AO183" s="56">
        <f t="shared" si="53"/>
        <v>52527</v>
      </c>
      <c r="AP183" s="56"/>
      <c r="AQ183" s="56">
        <f t="shared" si="54"/>
        <v>324954</v>
      </c>
      <c r="AS183" s="56">
        <v>1098.0375701647315</v>
      </c>
      <c r="AT183" s="56">
        <v>115.98467466995726</v>
      </c>
      <c r="AU183" s="56">
        <v>234.07718931835575</v>
      </c>
      <c r="AV183" s="56"/>
      <c r="AW183" s="56">
        <v>1448.0994341530445</v>
      </c>
      <c r="AY183" s="16">
        <v>-1.9467916177365985E-2</v>
      </c>
      <c r="AZ183" s="16">
        <v>-4.7275776487150534E-2</v>
      </c>
      <c r="BA183" s="16">
        <v>0.11845345984347966</v>
      </c>
      <c r="BB183" s="16">
        <f t="shared" si="55"/>
        <v>-1.9061514778972999E-3</v>
      </c>
      <c r="BC183" s="16"/>
      <c r="BE183" s="16">
        <f>AM183/'2016-17 disagg'!AM183-1</f>
        <v>2.0027984533991239E-2</v>
      </c>
      <c r="BF183" s="16">
        <f>AN183/'2016-17 disagg'!AN183-1</f>
        <v>2.7354543301492118E-2</v>
      </c>
      <c r="BG183" s="16">
        <f>AO183/'2016-17 disagg'!AO183-1</f>
        <v>4.8819935306098072E-2</v>
      </c>
      <c r="BH183" s="16">
        <f>AQ183/'2016-17 disagg'!AQ183-1</f>
        <v>2.516262958312554E-2</v>
      </c>
      <c r="BJ183" s="16">
        <f>AS183/'2016-17 disagg'!AS183-1</f>
        <v>1.1743373781019528E-2</v>
      </c>
      <c r="BK183" s="16">
        <f>AT183/'2016-17 disagg'!AT183-1</f>
        <v>1.9010426644302081E-2</v>
      </c>
      <c r="BL183" s="16">
        <f>AU183/'2016-17 disagg'!AU183-1</f>
        <v>4.0301477924815865E-2</v>
      </c>
      <c r="BM183" s="16">
        <f>AW183/'2016-17 disagg'!AW183-1</f>
        <v>1.6836315527664514E-2</v>
      </c>
    </row>
    <row r="184" spans="1:65" x14ac:dyDescent="0.2">
      <c r="A184" s="156" t="s">
        <v>413</v>
      </c>
      <c r="B184" s="156" t="s">
        <v>414</v>
      </c>
      <c r="D184" s="56">
        <f>VLOOKUP(A184,'2017-18'!$A$12:$AMX392,32,FALSE)</f>
        <v>345485</v>
      </c>
      <c r="E184" s="56">
        <v>1833.5448533291926</v>
      </c>
      <c r="F184" s="16">
        <f>VLOOKUP(A184,'2017-18'!$A$12:$AMX392,34,FALSE)</f>
        <v>2.0056570571492793E-2</v>
      </c>
      <c r="G184" s="16">
        <f>VLOOKUP(A184,'2017-18'!$A$12:$AMX392,35,FALSE)</f>
        <v>1.3712738471364894E-2</v>
      </c>
      <c r="H184" s="56"/>
      <c r="I184" s="56">
        <v>334265.34926365019</v>
      </c>
      <c r="J184" s="56">
        <v>1774.0003496205359</v>
      </c>
      <c r="K184" s="16">
        <f t="shared" si="57"/>
        <v>3.3565102578132722E-2</v>
      </c>
      <c r="L184" s="58">
        <f t="shared" si="57"/>
        <v>3.3565102578132722E-2</v>
      </c>
      <c r="M184" s="10"/>
      <c r="N184" s="56">
        <v>273659</v>
      </c>
      <c r="O184" s="56">
        <v>26487</v>
      </c>
      <c r="P184" s="56">
        <v>45339</v>
      </c>
      <c r="R184" s="56">
        <f t="shared" si="41"/>
        <v>45339</v>
      </c>
      <c r="S184" s="56">
        <f t="shared" si="42"/>
        <v>0</v>
      </c>
      <c r="U184" s="16">
        <v>5.5555772957918803E-2</v>
      </c>
      <c r="V184" s="16">
        <v>-7.6646820911179248E-3</v>
      </c>
      <c r="W184" s="56">
        <f t="shared" si="43"/>
        <v>3</v>
      </c>
      <c r="X184" s="56">
        <f t="shared" si="44"/>
        <v>2592.558413404744</v>
      </c>
      <c r="Y184" s="56">
        <f t="shared" si="44"/>
        <v>266.91582494327872</v>
      </c>
      <c r="AA184" s="56">
        <f t="shared" si="56"/>
        <v>0</v>
      </c>
      <c r="AB184" s="56">
        <v>0</v>
      </c>
      <c r="AC184" s="56">
        <f t="shared" si="45"/>
        <v>0</v>
      </c>
      <c r="AE184" s="56">
        <v>0</v>
      </c>
      <c r="AF184" s="56">
        <f t="shared" si="46"/>
        <v>0</v>
      </c>
      <c r="AG184" s="56">
        <f t="shared" si="47"/>
        <v>0</v>
      </c>
      <c r="AI184" s="56">
        <f t="shared" si="48"/>
        <v>0</v>
      </c>
      <c r="AJ184" s="56">
        <f t="shared" si="49"/>
        <v>0</v>
      </c>
      <c r="AK184" s="56">
        <f t="shared" si="50"/>
        <v>0</v>
      </c>
      <c r="AM184" s="56">
        <f t="shared" si="51"/>
        <v>273659</v>
      </c>
      <c r="AN184" s="56">
        <f t="shared" si="52"/>
        <v>26487</v>
      </c>
      <c r="AO184" s="56">
        <f t="shared" si="53"/>
        <v>45339</v>
      </c>
      <c r="AP184" s="56"/>
      <c r="AQ184" s="56">
        <f t="shared" si="54"/>
        <v>345485</v>
      </c>
      <c r="AS184" s="56">
        <v>1452.3526376462466</v>
      </c>
      <c r="AT184" s="56">
        <v>140.57079910887686</v>
      </c>
      <c r="AU184" s="56">
        <v>240.62141657406912</v>
      </c>
      <c r="AV184" s="56"/>
      <c r="AW184" s="56">
        <v>1833.5448533291926</v>
      </c>
      <c r="AY184" s="16">
        <v>5.5555772957918803E-2</v>
      </c>
      <c r="AZ184" s="16">
        <v>-7.6646820911179248E-3</v>
      </c>
      <c r="BA184" s="16">
        <v>-6.1652593781880816E-2</v>
      </c>
      <c r="BB184" s="16">
        <f t="shared" si="55"/>
        <v>3.3565102578132722E-2</v>
      </c>
      <c r="BC184" s="16"/>
      <c r="BE184" s="16">
        <f>AM184/'2016-17 disagg'!AM184-1</f>
        <v>1.5914794410703426E-2</v>
      </c>
      <c r="BF184" s="16">
        <f>AN184/'2016-17 disagg'!AN184-1</f>
        <v>1.8417410027683712E-2</v>
      </c>
      <c r="BG184" s="16">
        <f>AO184/'2016-17 disagg'!AO184-1</f>
        <v>4.6799963058736571E-2</v>
      </c>
      <c r="BH184" s="16">
        <f>AQ184/'2016-17 disagg'!AQ184-1</f>
        <v>2.0056570571492793E-2</v>
      </c>
      <c r="BJ184" s="16">
        <f>AS184/'2016-17 disagg'!AS184-1</f>
        <v>9.5967204237217274E-3</v>
      </c>
      <c r="BK184" s="16">
        <f>AT184/'2016-17 disagg'!AT184-1</f>
        <v>1.2083772028133266E-2</v>
      </c>
      <c r="BL184" s="16">
        <f>AU184/'2016-17 disagg'!AU184-1</f>
        <v>4.0289811171430712E-2</v>
      </c>
      <c r="BM184" s="16">
        <f>AW184/'2016-17 disagg'!AW184-1</f>
        <v>1.3712738471364894E-2</v>
      </c>
    </row>
    <row r="185" spans="1:65" x14ac:dyDescent="0.2">
      <c r="A185" s="156" t="s">
        <v>415</v>
      </c>
      <c r="B185" s="156" t="s">
        <v>416</v>
      </c>
      <c r="D185" s="56">
        <f>VLOOKUP(A185,'2017-18'!$A$12:$AMX393,32,FALSE)</f>
        <v>264710.02501266607</v>
      </c>
      <c r="E185" s="56">
        <v>1546.3972080033129</v>
      </c>
      <c r="F185" s="16">
        <f>VLOOKUP(A185,'2017-18'!$A$12:$AMX393,34,FALSE)</f>
        <v>2.4062923179488882E-2</v>
      </c>
      <c r="G185" s="16">
        <f>VLOOKUP(A185,'2017-18'!$A$12:$AMX393,35,FALSE)</f>
        <v>1.7130046631465001E-2</v>
      </c>
      <c r="H185" s="56"/>
      <c r="I185" s="56">
        <v>267903.05189138203</v>
      </c>
      <c r="J185" s="56">
        <v>1565.0504035144752</v>
      </c>
      <c r="K185" s="16">
        <f t="shared" si="57"/>
        <v>-1.1918590908813309E-2</v>
      </c>
      <c r="L185" s="58">
        <f t="shared" si="57"/>
        <v>-1.1918590908813309E-2</v>
      </c>
      <c r="M185" s="10"/>
      <c r="N185" s="56">
        <v>203613</v>
      </c>
      <c r="O185" s="56">
        <v>21597</v>
      </c>
      <c r="P185" s="56">
        <v>39453</v>
      </c>
      <c r="R185" s="56">
        <f t="shared" si="41"/>
        <v>39453</v>
      </c>
      <c r="S185" s="56">
        <f t="shared" si="42"/>
        <v>47.025012666068505</v>
      </c>
      <c r="U185" s="16">
        <v>-8.415586012288867E-3</v>
      </c>
      <c r="V185" s="16">
        <v>2.6643477775227353E-2</v>
      </c>
      <c r="W185" s="56">
        <f t="shared" si="43"/>
        <v>1</v>
      </c>
      <c r="X185" s="56">
        <f t="shared" si="44"/>
        <v>2053.4106539770946</v>
      </c>
      <c r="Y185" s="56">
        <f t="shared" si="44"/>
        <v>210.36514104001773</v>
      </c>
      <c r="AA185" s="56">
        <f t="shared" si="56"/>
        <v>47.025012666068505</v>
      </c>
      <c r="AB185" s="56">
        <v>0</v>
      </c>
      <c r="AC185" s="56">
        <f t="shared" si="45"/>
        <v>0</v>
      </c>
      <c r="AE185" s="56">
        <v>0</v>
      </c>
      <c r="AF185" s="56">
        <f t="shared" si="46"/>
        <v>0</v>
      </c>
      <c r="AG185" s="56">
        <f t="shared" si="47"/>
        <v>0</v>
      </c>
      <c r="AI185" s="56">
        <f t="shared" si="48"/>
        <v>0</v>
      </c>
      <c r="AJ185" s="56">
        <f t="shared" si="49"/>
        <v>0</v>
      </c>
      <c r="AK185" s="56">
        <f t="shared" si="50"/>
        <v>0</v>
      </c>
      <c r="AM185" s="56">
        <f t="shared" si="51"/>
        <v>203660</v>
      </c>
      <c r="AN185" s="56">
        <f t="shared" si="52"/>
        <v>21597</v>
      </c>
      <c r="AO185" s="56">
        <f t="shared" si="53"/>
        <v>39453</v>
      </c>
      <c r="AP185" s="56"/>
      <c r="AQ185" s="56">
        <f t="shared" si="54"/>
        <v>264710</v>
      </c>
      <c r="AS185" s="56">
        <v>1189.7519006576545</v>
      </c>
      <c r="AT185" s="56">
        <v>126.1665118260992</v>
      </c>
      <c r="AU185" s="56">
        <v>230.47864939922636</v>
      </c>
      <c r="AV185" s="56"/>
      <c r="AW185" s="56">
        <v>1546.3970618829799</v>
      </c>
      <c r="AY185" s="16">
        <v>-8.1866985274160475E-3</v>
      </c>
      <c r="AZ185" s="16">
        <v>2.6643477775227353E-2</v>
      </c>
      <c r="BA185" s="16">
        <v>-4.9908460287288681E-2</v>
      </c>
      <c r="BB185" s="16">
        <f t="shared" si="55"/>
        <v>-1.1918684273431124E-2</v>
      </c>
      <c r="BC185" s="16"/>
      <c r="BE185" s="16">
        <f>AM185/'2016-17 disagg'!AM185-1</f>
        <v>2.0264008215815421E-2</v>
      </c>
      <c r="BF185" s="16">
        <f>AN185/'2016-17 disagg'!AN185-1</f>
        <v>1.8390154194369845E-2</v>
      </c>
      <c r="BG185" s="16">
        <f>AO185/'2016-17 disagg'!AO185-1</f>
        <v>4.7387703090156164E-2</v>
      </c>
      <c r="BH185" s="16">
        <f>AQ185/'2016-17 disagg'!AQ185-1</f>
        <v>2.406282641494828E-2</v>
      </c>
      <c r="BJ185" s="16">
        <f>AS185/'2016-17 disagg'!AS185-1</f>
        <v>1.335685021287647E-2</v>
      </c>
      <c r="BK185" s="16">
        <f>AT185/'2016-17 disagg'!AT185-1</f>
        <v>1.1495682129282647E-2</v>
      </c>
      <c r="BL185" s="16">
        <f>AU185/'2016-17 disagg'!AU185-1</f>
        <v>4.0296918452726427E-2</v>
      </c>
      <c r="BM185" s="16">
        <f>AW185/'2016-17 disagg'!AW185-1</f>
        <v>1.712995052201749E-2</v>
      </c>
    </row>
    <row r="186" spans="1:65" x14ac:dyDescent="0.2">
      <c r="A186" s="156" t="s">
        <v>417</v>
      </c>
      <c r="B186" s="156" t="s">
        <v>418</v>
      </c>
      <c r="D186" s="56">
        <f>VLOOKUP(A186,'2017-18'!$A$12:$AMX394,32,FALSE)</f>
        <v>350640.17728251131</v>
      </c>
      <c r="E186" s="56">
        <v>1477.9557753627605</v>
      </c>
      <c r="F186" s="16">
        <f>VLOOKUP(A186,'2017-18'!$A$12:$AMX394,34,FALSE)</f>
        <v>2.5527554699780408E-2</v>
      </c>
      <c r="G186" s="16">
        <f>VLOOKUP(A186,'2017-18'!$A$12:$AMX394,35,FALSE)</f>
        <v>1.8925834788940055E-2</v>
      </c>
      <c r="H186" s="56"/>
      <c r="I186" s="56">
        <v>357518.75386281637</v>
      </c>
      <c r="J186" s="56">
        <v>1506.9491213675624</v>
      </c>
      <c r="K186" s="16">
        <f t="shared" si="57"/>
        <v>-1.9239764364765155E-2</v>
      </c>
      <c r="L186" s="58">
        <f t="shared" si="57"/>
        <v>-1.9239764364765266E-2</v>
      </c>
      <c r="M186" s="10"/>
      <c r="N186" s="56">
        <v>262768</v>
      </c>
      <c r="O186" s="56">
        <v>28452</v>
      </c>
      <c r="P186" s="56">
        <v>59017</v>
      </c>
      <c r="R186" s="56">
        <f t="shared" si="41"/>
        <v>59017</v>
      </c>
      <c r="S186" s="56">
        <f t="shared" si="42"/>
        <v>403.17728251131484</v>
      </c>
      <c r="U186" s="16">
        <v>-2.8690523288070202E-2</v>
      </c>
      <c r="V186" s="16">
        <v>1.763212453930163E-2</v>
      </c>
      <c r="W186" s="56">
        <f t="shared" si="43"/>
        <v>1</v>
      </c>
      <c r="X186" s="56">
        <f t="shared" si="44"/>
        <v>2705.296368460446</v>
      </c>
      <c r="Y186" s="56">
        <f t="shared" si="44"/>
        <v>279.59023024042875</v>
      </c>
      <c r="AA186" s="56">
        <f t="shared" si="56"/>
        <v>403.17728251131484</v>
      </c>
      <c r="AB186" s="56">
        <v>0</v>
      </c>
      <c r="AC186" s="56">
        <f t="shared" si="45"/>
        <v>0</v>
      </c>
      <c r="AE186" s="56">
        <v>0</v>
      </c>
      <c r="AF186" s="56">
        <f t="shared" si="46"/>
        <v>0</v>
      </c>
      <c r="AG186" s="56">
        <f t="shared" si="47"/>
        <v>0</v>
      </c>
      <c r="AI186" s="56">
        <f t="shared" si="48"/>
        <v>0</v>
      </c>
      <c r="AJ186" s="56">
        <f t="shared" si="49"/>
        <v>0</v>
      </c>
      <c r="AK186" s="56">
        <f t="shared" si="50"/>
        <v>0</v>
      </c>
      <c r="AM186" s="56">
        <f t="shared" si="51"/>
        <v>263171</v>
      </c>
      <c r="AN186" s="56">
        <f t="shared" si="52"/>
        <v>28452</v>
      </c>
      <c r="AO186" s="56">
        <f t="shared" si="53"/>
        <v>59017</v>
      </c>
      <c r="AP186" s="56"/>
      <c r="AQ186" s="56">
        <f t="shared" si="54"/>
        <v>350640</v>
      </c>
      <c r="AS186" s="56">
        <v>1109.2713401311435</v>
      </c>
      <c r="AT186" s="56">
        <v>119.92578273978248</v>
      </c>
      <c r="AU186" s="56">
        <v>248.75790524229376</v>
      </c>
      <c r="AV186" s="56"/>
      <c r="AW186" s="56">
        <v>1477.9550281132197</v>
      </c>
      <c r="AY186" s="16">
        <v>-2.7200852859726954E-2</v>
      </c>
      <c r="AZ186" s="16">
        <v>1.763212453930163E-2</v>
      </c>
      <c r="BA186" s="16">
        <v>-2.2181893748041137E-4</v>
      </c>
      <c r="BB186" s="16">
        <f t="shared" si="55"/>
        <v>-1.924026023388925E-2</v>
      </c>
      <c r="BC186" s="16"/>
      <c r="BE186" s="16">
        <f>AM186/'2016-17 disagg'!AM186-1</f>
        <v>2.1594826247631982E-2</v>
      </c>
      <c r="BF186" s="16">
        <f>AN186/'2016-17 disagg'!AN186-1</f>
        <v>1.8397881022263585E-2</v>
      </c>
      <c r="BG186" s="16">
        <f>AO186/'2016-17 disagg'!AO186-1</f>
        <v>4.7031898662314164E-2</v>
      </c>
      <c r="BH186" s="16">
        <f>AQ186/'2016-17 disagg'!AQ186-1</f>
        <v>2.5527036196448138E-2</v>
      </c>
      <c r="BJ186" s="16">
        <f>AS186/'2016-17 disagg'!AS186-1</f>
        <v>1.5018422840095358E-2</v>
      </c>
      <c r="BK186" s="16">
        <f>AT186/'2016-17 disagg'!AT186-1</f>
        <v>1.1842057595100153E-2</v>
      </c>
      <c r="BL186" s="16">
        <f>AU186/'2016-17 disagg'!AU186-1</f>
        <v>4.0291746921869098E-2</v>
      </c>
      <c r="BM186" s="16">
        <f>AW186/'2016-17 disagg'!AW186-1</f>
        <v>1.8925319623415371E-2</v>
      </c>
    </row>
    <row r="187" spans="1:65" x14ac:dyDescent="0.2">
      <c r="A187" s="156" t="s">
        <v>419</v>
      </c>
      <c r="B187" s="156" t="s">
        <v>420</v>
      </c>
      <c r="D187" s="56">
        <f>VLOOKUP(A187,'2017-18'!$A$12:$AMX395,32,FALSE)</f>
        <v>263257</v>
      </c>
      <c r="E187" s="56">
        <v>1831.9616664544571</v>
      </c>
      <c r="F187" s="16">
        <f>VLOOKUP(A187,'2017-18'!$A$12:$AMX395,34,FALSE)</f>
        <v>8.6088655607063913E-3</v>
      </c>
      <c r="G187" s="16">
        <f>VLOOKUP(A187,'2017-18'!$A$12:$AMX395,35,FALSE)</f>
        <v>4.5179877586800643E-3</v>
      </c>
      <c r="H187" s="56"/>
      <c r="I187" s="56">
        <v>241702.72721279587</v>
      </c>
      <c r="J187" s="56">
        <v>1681.96906798809</v>
      </c>
      <c r="K187" s="16">
        <f t="shared" si="57"/>
        <v>8.9176787683606484E-2</v>
      </c>
      <c r="L187" s="58">
        <f t="shared" si="57"/>
        <v>8.9176787683606262E-2</v>
      </c>
      <c r="M187" s="10"/>
      <c r="N187" s="56">
        <v>207365</v>
      </c>
      <c r="O187" s="56">
        <v>19303</v>
      </c>
      <c r="P187" s="56">
        <v>36589</v>
      </c>
      <c r="R187" s="56">
        <f t="shared" si="41"/>
        <v>36589</v>
      </c>
      <c r="S187" s="56">
        <f t="shared" si="42"/>
        <v>0</v>
      </c>
      <c r="U187" s="16">
        <v>0.10064218366044031</v>
      </c>
      <c r="V187" s="16">
        <v>-1.0017958814535599E-2</v>
      </c>
      <c r="W187" s="56">
        <f t="shared" si="43"/>
        <v>3</v>
      </c>
      <c r="X187" s="56">
        <f t="shared" si="44"/>
        <v>1884.0364568833779</v>
      </c>
      <c r="Y187" s="56">
        <f t="shared" si="44"/>
        <v>194.98333501974864</v>
      </c>
      <c r="AA187" s="56">
        <f t="shared" si="56"/>
        <v>0</v>
      </c>
      <c r="AB187" s="56">
        <v>0</v>
      </c>
      <c r="AC187" s="56">
        <f t="shared" si="45"/>
        <v>0</v>
      </c>
      <c r="AE187" s="56">
        <v>0</v>
      </c>
      <c r="AF187" s="56">
        <f t="shared" si="46"/>
        <v>0</v>
      </c>
      <c r="AG187" s="56">
        <f t="shared" si="47"/>
        <v>0</v>
      </c>
      <c r="AI187" s="56">
        <f t="shared" si="48"/>
        <v>0</v>
      </c>
      <c r="AJ187" s="56">
        <f t="shared" si="49"/>
        <v>0</v>
      </c>
      <c r="AK187" s="56">
        <f t="shared" si="50"/>
        <v>0</v>
      </c>
      <c r="AM187" s="56">
        <f t="shared" si="51"/>
        <v>207365</v>
      </c>
      <c r="AN187" s="56">
        <f t="shared" si="52"/>
        <v>19303</v>
      </c>
      <c r="AO187" s="56">
        <f t="shared" si="53"/>
        <v>36589</v>
      </c>
      <c r="AP187" s="56"/>
      <c r="AQ187" s="56">
        <f t="shared" si="54"/>
        <v>263257</v>
      </c>
      <c r="AS187" s="56">
        <v>1443.018536883458</v>
      </c>
      <c r="AT187" s="56">
        <v>134.32636567145559</v>
      </c>
      <c r="AU187" s="56">
        <v>254.61676389954351</v>
      </c>
      <c r="AV187" s="56"/>
      <c r="AW187" s="56">
        <v>1831.9616664544571</v>
      </c>
      <c r="AY187" s="16">
        <v>0.10064218366044031</v>
      </c>
      <c r="AZ187" s="16">
        <v>-1.0017958814535599E-2</v>
      </c>
      <c r="BA187" s="16">
        <v>8.2490836464982786E-2</v>
      </c>
      <c r="BB187" s="16">
        <f t="shared" si="55"/>
        <v>8.9176787683606484E-2</v>
      </c>
      <c r="BC187" s="16"/>
      <c r="BE187" s="16">
        <f>AM187/'2016-17 disagg'!AM187-1</f>
        <v>1.632637288855987E-3</v>
      </c>
      <c r="BF187" s="16">
        <f>AN187/'2016-17 disagg'!AN187-1</f>
        <v>1.8412999894481308E-2</v>
      </c>
      <c r="BG187" s="16">
        <f>AO187/'2016-17 disagg'!AO187-1</f>
        <v>4.4534528533500817E-2</v>
      </c>
      <c r="BH187" s="16">
        <f>AQ187/'2016-17 disagg'!AQ187-1</f>
        <v>8.6088655607063913E-3</v>
      </c>
      <c r="BJ187" s="16">
        <f>AS187/'2016-17 disagg'!AS187-1</f>
        <v>-2.4299452062841453E-3</v>
      </c>
      <c r="BK187" s="16">
        <f>AT187/'2016-17 disagg'!AT187-1</f>
        <v>1.4282356910050309E-2</v>
      </c>
      <c r="BL187" s="16">
        <f>AU187/'2016-17 disagg'!AU187-1</f>
        <v>4.0297937658551053E-2</v>
      </c>
      <c r="BM187" s="16">
        <f>AW187/'2016-17 disagg'!AW187-1</f>
        <v>4.5179877586800643E-3</v>
      </c>
    </row>
    <row r="188" spans="1:65" x14ac:dyDescent="0.2">
      <c r="A188" s="156" t="s">
        <v>421</v>
      </c>
      <c r="B188" s="156" t="s">
        <v>422</v>
      </c>
      <c r="D188" s="56">
        <f>VLOOKUP(A188,'2017-18'!$A$12:$AMX396,32,FALSE)</f>
        <v>470428.28924784478</v>
      </c>
      <c r="E188" s="56">
        <v>1570.6794118794098</v>
      </c>
      <c r="F188" s="16">
        <f>VLOOKUP(A188,'2017-18'!$A$12:$AMX396,34,FALSE)</f>
        <v>3.0118397911518491E-2</v>
      </c>
      <c r="G188" s="16">
        <f>VLOOKUP(A188,'2017-18'!$A$12:$AMX396,35,FALSE)</f>
        <v>2.0838701781442204E-2</v>
      </c>
      <c r="H188" s="56"/>
      <c r="I188" s="56">
        <v>483451.3562337542</v>
      </c>
      <c r="J188" s="56">
        <v>1614.1611999899835</v>
      </c>
      <c r="K188" s="16">
        <f t="shared" si="57"/>
        <v>-2.6937698732222848E-2</v>
      </c>
      <c r="L188" s="58">
        <f t="shared" si="57"/>
        <v>-2.6937698732222959E-2</v>
      </c>
      <c r="M188" s="10"/>
      <c r="N188" s="56">
        <v>356297</v>
      </c>
      <c r="O188" s="56">
        <v>38187</v>
      </c>
      <c r="P188" s="56">
        <v>73528</v>
      </c>
      <c r="R188" s="56">
        <f t="shared" si="41"/>
        <v>73528</v>
      </c>
      <c r="S188" s="56">
        <f t="shared" si="42"/>
        <v>2416.2892478447757</v>
      </c>
      <c r="U188" s="16">
        <v>-1.8491803605623303E-2</v>
      </c>
      <c r="V188" s="16">
        <v>4.0758953135466847E-4</v>
      </c>
      <c r="W188" s="56">
        <f t="shared" si="43"/>
        <v>1</v>
      </c>
      <c r="X188" s="56">
        <f t="shared" si="44"/>
        <v>3630.0970415619172</v>
      </c>
      <c r="Y188" s="56">
        <f t="shared" si="44"/>
        <v>381.71441719958233</v>
      </c>
      <c r="AA188" s="56">
        <f t="shared" si="56"/>
        <v>2416.2892478447757</v>
      </c>
      <c r="AB188" s="56">
        <v>0</v>
      </c>
      <c r="AC188" s="56">
        <f t="shared" si="45"/>
        <v>0</v>
      </c>
      <c r="AE188" s="56">
        <v>0</v>
      </c>
      <c r="AF188" s="56">
        <f t="shared" si="46"/>
        <v>0</v>
      </c>
      <c r="AG188" s="56">
        <f t="shared" si="47"/>
        <v>0</v>
      </c>
      <c r="AI188" s="56">
        <f t="shared" si="48"/>
        <v>0</v>
      </c>
      <c r="AJ188" s="56">
        <f t="shared" si="49"/>
        <v>0</v>
      </c>
      <c r="AK188" s="56">
        <f t="shared" si="50"/>
        <v>0</v>
      </c>
      <c r="AM188" s="56">
        <f t="shared" si="51"/>
        <v>358713</v>
      </c>
      <c r="AN188" s="56">
        <f t="shared" si="52"/>
        <v>38187</v>
      </c>
      <c r="AO188" s="56">
        <f t="shared" si="53"/>
        <v>73528</v>
      </c>
      <c r="AP188" s="56"/>
      <c r="AQ188" s="56">
        <f t="shared" si="54"/>
        <v>470428</v>
      </c>
      <c r="AS188" s="56">
        <v>1197.6812125272929</v>
      </c>
      <c r="AT188" s="56">
        <v>127.49984657032149</v>
      </c>
      <c r="AU188" s="56">
        <v>245.49738703282787</v>
      </c>
      <c r="AV188" s="56"/>
      <c r="AW188" s="56">
        <v>1570.6784461304421</v>
      </c>
      <c r="AY188" s="16">
        <v>-1.1836334144783578E-2</v>
      </c>
      <c r="AZ188" s="16">
        <v>4.0758953135466847E-4</v>
      </c>
      <c r="BA188" s="16">
        <v>-0.10626216123192667</v>
      </c>
      <c r="BB188" s="16">
        <f t="shared" si="55"/>
        <v>-2.6938297029944103E-2</v>
      </c>
      <c r="BC188" s="16"/>
      <c r="BE188" s="16">
        <f>AM188/'2016-17 disagg'!AM188-1</f>
        <v>2.7230501368827431E-2</v>
      </c>
      <c r="BF188" s="16">
        <f>AN188/'2016-17 disagg'!AN188-1</f>
        <v>2.0306196061666615E-2</v>
      </c>
      <c r="BG188" s="16">
        <f>AO188/'2016-17 disagg'!AO188-1</f>
        <v>4.9755150407606807E-2</v>
      </c>
      <c r="BH188" s="16">
        <f>AQ188/'2016-17 disagg'!AQ188-1</f>
        <v>3.0117764532248348E-2</v>
      </c>
      <c r="BJ188" s="16">
        <f>AS188/'2016-17 disagg'!AS188-1</f>
        <v>1.7976820503040836E-2</v>
      </c>
      <c r="BK188" s="16">
        <f>AT188/'2016-17 disagg'!AT188-1</f>
        <v>1.1114891956932604E-2</v>
      </c>
      <c r="BL188" s="16">
        <f>AU188/'2016-17 disagg'!AU188-1</f>
        <v>4.0298558984217969E-2</v>
      </c>
      <c r="BM188" s="16">
        <f>AW188/'2016-17 disagg'!AW188-1</f>
        <v>2.0838074107892179E-2</v>
      </c>
    </row>
    <row r="189" spans="1:65" x14ac:dyDescent="0.2">
      <c r="A189" s="156" t="s">
        <v>423</v>
      </c>
      <c r="B189" s="156" t="s">
        <v>424</v>
      </c>
      <c r="D189" s="56">
        <f>VLOOKUP(A189,'2017-18'!$A$12:$AMX397,32,FALSE)</f>
        <v>171150.61163203555</v>
      </c>
      <c r="E189" s="56">
        <v>1440.8945643105319</v>
      </c>
      <c r="F189" s="16">
        <f>VLOOKUP(A189,'2017-18'!$A$12:$AMX397,34,FALSE)</f>
        <v>2.3866880624281661E-2</v>
      </c>
      <c r="G189" s="16">
        <f>VLOOKUP(A189,'2017-18'!$A$12:$AMX397,35,FALSE)</f>
        <v>1.7509900835937176E-2</v>
      </c>
      <c r="H189" s="56"/>
      <c r="I189" s="56">
        <v>173447.55748381326</v>
      </c>
      <c r="J189" s="56">
        <v>1460.2322503449686</v>
      </c>
      <c r="K189" s="16">
        <f t="shared" si="57"/>
        <v>-1.3242883815138606E-2</v>
      </c>
      <c r="L189" s="58">
        <f t="shared" si="57"/>
        <v>-1.3242883815138495E-2</v>
      </c>
      <c r="M189" s="10"/>
      <c r="N189" s="56">
        <v>131104</v>
      </c>
      <c r="O189" s="56">
        <v>14280</v>
      </c>
      <c r="P189" s="56">
        <v>25761</v>
      </c>
      <c r="R189" s="56">
        <f t="shared" si="41"/>
        <v>25761</v>
      </c>
      <c r="S189" s="56">
        <f t="shared" si="42"/>
        <v>5.6116320355504286</v>
      </c>
      <c r="U189" s="16">
        <v>-1.9162825668367245E-2</v>
      </c>
      <c r="V189" s="16">
        <v>-5.9343971117730154E-3</v>
      </c>
      <c r="W189" s="56">
        <f t="shared" si="43"/>
        <v>4</v>
      </c>
      <c r="X189" s="56">
        <f t="shared" si="44"/>
        <v>1336.6540689012688</v>
      </c>
      <c r="Y189" s="56">
        <f t="shared" si="44"/>
        <v>143.6524909272577</v>
      </c>
      <c r="AA189" s="56">
        <f t="shared" si="56"/>
        <v>0</v>
      </c>
      <c r="AB189" s="56">
        <v>0</v>
      </c>
      <c r="AC189" s="56">
        <f t="shared" si="45"/>
        <v>5.6116320355504286</v>
      </c>
      <c r="AE189" s="56">
        <v>0</v>
      </c>
      <c r="AF189" s="56">
        <f t="shared" si="46"/>
        <v>0</v>
      </c>
      <c r="AG189" s="56">
        <f t="shared" si="47"/>
        <v>5.6116320355504286</v>
      </c>
      <c r="AI189" s="56">
        <f t="shared" si="48"/>
        <v>5.0670658342310242</v>
      </c>
      <c r="AJ189" s="56">
        <f t="shared" si="49"/>
        <v>0.54456620131940459</v>
      </c>
      <c r="AK189" s="56">
        <f t="shared" si="50"/>
        <v>0</v>
      </c>
      <c r="AM189" s="56">
        <f t="shared" si="51"/>
        <v>131109</v>
      </c>
      <c r="AN189" s="56">
        <f t="shared" si="52"/>
        <v>14281</v>
      </c>
      <c r="AO189" s="56">
        <f t="shared" si="53"/>
        <v>25761</v>
      </c>
      <c r="AP189" s="56"/>
      <c r="AQ189" s="56">
        <f t="shared" si="54"/>
        <v>171151</v>
      </c>
      <c r="AS189" s="56">
        <v>1103.7894847746429</v>
      </c>
      <c r="AT189" s="56">
        <v>120.22986699667204</v>
      </c>
      <c r="AU189" s="56">
        <v>216.87848215820102</v>
      </c>
      <c r="AV189" s="56"/>
      <c r="AW189" s="56">
        <v>1440.8978339295161</v>
      </c>
      <c r="AY189" s="16">
        <v>-1.9125418832026231E-2</v>
      </c>
      <c r="AZ189" s="16">
        <v>-5.8647846745959464E-3</v>
      </c>
      <c r="BA189" s="16">
        <v>1.3538176517164269E-2</v>
      </c>
      <c r="BB189" s="16">
        <f t="shared" si="55"/>
        <v>-1.3240644706268512E-2</v>
      </c>
      <c r="BC189" s="16"/>
      <c r="BE189" s="16">
        <f>AM189/'2016-17 disagg'!AM189-1</f>
        <v>2.0065354391970658E-2</v>
      </c>
      <c r="BF189" s="16">
        <f>AN189/'2016-17 disagg'!AN189-1</f>
        <v>1.8470974183426137E-2</v>
      </c>
      <c r="BG189" s="16">
        <f>AO189/'2016-17 disagg'!AO189-1</f>
        <v>4.6812141899305049E-2</v>
      </c>
      <c r="BH189" s="16">
        <f>AQ189/'2016-17 disagg'!AQ189-1</f>
        <v>2.3869203941110584E-2</v>
      </c>
      <c r="BJ189" s="16">
        <f>AS189/'2016-17 disagg'!AS189-1</f>
        <v>1.37319775015039E-2</v>
      </c>
      <c r="BK189" s="16">
        <f>AT189/'2016-17 disagg'!AT189-1</f>
        <v>1.2147496473167374E-2</v>
      </c>
      <c r="BL189" s="16">
        <f>AU189/'2016-17 disagg'!AU189-1</f>
        <v>4.0312699682568898E-2</v>
      </c>
      <c r="BM189" s="16">
        <f>AW189/'2016-17 disagg'!AW189-1</f>
        <v>1.7512209727767791E-2</v>
      </c>
    </row>
    <row r="190" spans="1:65" x14ac:dyDescent="0.2">
      <c r="A190" s="156" t="s">
        <v>425</v>
      </c>
      <c r="B190" s="156" t="s">
        <v>426</v>
      </c>
      <c r="D190" s="56">
        <f>VLOOKUP(A190,'2017-18'!$A$12:$AMX398,32,FALSE)</f>
        <v>160902.59325541765</v>
      </c>
      <c r="E190" s="56">
        <v>1449.9019867566685</v>
      </c>
      <c r="F190" s="16">
        <f>VLOOKUP(A190,'2017-18'!$A$12:$AMX398,34,FALSE)</f>
        <v>2.7120873105172194E-2</v>
      </c>
      <c r="G190" s="16">
        <f>VLOOKUP(A190,'2017-18'!$A$12:$AMX398,35,FALSE)</f>
        <v>1.9920547208159167E-2</v>
      </c>
      <c r="H190" s="56"/>
      <c r="I190" s="56">
        <v>164595.47909939967</v>
      </c>
      <c r="J190" s="56">
        <v>1483.1787812055663</v>
      </c>
      <c r="K190" s="16">
        <f t="shared" si="57"/>
        <v>-2.2436131685924843E-2</v>
      </c>
      <c r="L190" s="58">
        <f t="shared" si="57"/>
        <v>-2.2436131685924954E-2</v>
      </c>
      <c r="M190" s="10"/>
      <c r="N190" s="56">
        <v>125626</v>
      </c>
      <c r="O190" s="56">
        <v>13988</v>
      </c>
      <c r="P190" s="56">
        <v>20701</v>
      </c>
      <c r="R190" s="56">
        <f t="shared" si="41"/>
        <v>20701</v>
      </c>
      <c r="S190" s="56">
        <f t="shared" si="42"/>
        <v>587.59325541765429</v>
      </c>
      <c r="U190" s="16">
        <v>-2.47887108022945E-2</v>
      </c>
      <c r="V190" s="16">
        <v>1.2187326772915785E-2</v>
      </c>
      <c r="W190" s="56">
        <f t="shared" si="43"/>
        <v>1</v>
      </c>
      <c r="X190" s="56">
        <f t="shared" si="44"/>
        <v>1288.1926346786961</v>
      </c>
      <c r="Y190" s="56">
        <f t="shared" si="44"/>
        <v>138.19576307675118</v>
      </c>
      <c r="AA190" s="56">
        <f t="shared" si="56"/>
        <v>587.59325541765429</v>
      </c>
      <c r="AB190" s="56">
        <v>0</v>
      </c>
      <c r="AC190" s="56">
        <f t="shared" si="45"/>
        <v>0</v>
      </c>
      <c r="AE190" s="56">
        <v>0</v>
      </c>
      <c r="AF190" s="56">
        <f t="shared" si="46"/>
        <v>0</v>
      </c>
      <c r="AG190" s="56">
        <f t="shared" si="47"/>
        <v>0</v>
      </c>
      <c r="AI190" s="56">
        <f t="shared" si="48"/>
        <v>0</v>
      </c>
      <c r="AJ190" s="56">
        <f t="shared" si="49"/>
        <v>0</v>
      </c>
      <c r="AK190" s="56">
        <f t="shared" si="50"/>
        <v>0</v>
      </c>
      <c r="AM190" s="56">
        <f t="shared" si="51"/>
        <v>126214</v>
      </c>
      <c r="AN190" s="56">
        <f t="shared" si="52"/>
        <v>13988</v>
      </c>
      <c r="AO190" s="56">
        <f t="shared" si="53"/>
        <v>20701</v>
      </c>
      <c r="AP190" s="56"/>
      <c r="AQ190" s="56">
        <f t="shared" si="54"/>
        <v>160903</v>
      </c>
      <c r="AS190" s="56">
        <v>1137.3211932390316</v>
      </c>
      <c r="AT190" s="56">
        <v>126.04662597673455</v>
      </c>
      <c r="AU190" s="56">
        <v>186.53783273837445</v>
      </c>
      <c r="AV190" s="56"/>
      <c r="AW190" s="56">
        <v>1449.9056519541407</v>
      </c>
      <c r="AY190" s="16">
        <v>-2.0224176087758949E-2</v>
      </c>
      <c r="AZ190" s="16">
        <v>1.2187326772915785E-2</v>
      </c>
      <c r="BA190" s="16">
        <v>-5.7187227304442922E-2</v>
      </c>
      <c r="BB190" s="16">
        <f t="shared" si="55"/>
        <v>-2.24336605088028E-2</v>
      </c>
      <c r="BC190" s="16"/>
      <c r="BE190" s="16">
        <f>AM190/'2016-17 disagg'!AM190-1</f>
        <v>2.4805332943593328E-2</v>
      </c>
      <c r="BF190" s="16">
        <f>AN190/'2016-17 disagg'!AN190-1</f>
        <v>1.8420094648707641E-2</v>
      </c>
      <c r="BG190" s="16">
        <f>AO190/'2016-17 disagg'!AO190-1</f>
        <v>4.762145748987856E-2</v>
      </c>
      <c r="BH190" s="16">
        <f>AQ190/'2016-17 disagg'!AQ190-1</f>
        <v>2.71234695571132E-2</v>
      </c>
      <c r="BJ190" s="16">
        <f>AS190/'2016-17 disagg'!AS190-1</f>
        <v>1.7621239453327497E-2</v>
      </c>
      <c r="BK190" s="16">
        <f>AT190/'2016-17 disagg'!AT190-1</f>
        <v>1.128076297553382E-2</v>
      </c>
      <c r="BL190" s="16">
        <f>AU190/'2016-17 disagg'!AU190-1</f>
        <v>4.0277418333292569E-2</v>
      </c>
      <c r="BM190" s="16">
        <f>AW190/'2016-17 disagg'!AW190-1</f>
        <v>1.9923125458444657E-2</v>
      </c>
    </row>
    <row r="191" spans="1:65" x14ac:dyDescent="0.2">
      <c r="A191" s="156" t="s">
        <v>427</v>
      </c>
      <c r="B191" s="156" t="s">
        <v>428</v>
      </c>
      <c r="D191" s="56">
        <f>VLOOKUP(A191,'2017-18'!$A$12:$AMX399,32,FALSE)</f>
        <v>340868.43699520663</v>
      </c>
      <c r="E191" s="56">
        <v>1507.1018741109299</v>
      </c>
      <c r="F191" s="16">
        <f>VLOOKUP(A191,'2017-18'!$A$12:$AMX399,34,FALSE)</f>
        <v>2.7724406253166967E-2</v>
      </c>
      <c r="G191" s="16">
        <f>VLOOKUP(A191,'2017-18'!$A$12:$AMX399,35,FALSE)</f>
        <v>2.2539351245827399E-2</v>
      </c>
      <c r="H191" s="56"/>
      <c r="I191" s="56">
        <v>352660.87243837124</v>
      </c>
      <c r="J191" s="56">
        <v>1559.2404696153749</v>
      </c>
      <c r="K191" s="16">
        <f t="shared" si="57"/>
        <v>-3.3438457069618233E-2</v>
      </c>
      <c r="L191" s="58">
        <f t="shared" si="57"/>
        <v>-3.3438457069618122E-2</v>
      </c>
      <c r="M191" s="10"/>
      <c r="N191" s="56">
        <v>259826</v>
      </c>
      <c r="O191" s="56">
        <v>27437</v>
      </c>
      <c r="P191" s="56">
        <v>52287</v>
      </c>
      <c r="R191" s="56">
        <f t="shared" si="41"/>
        <v>52287</v>
      </c>
      <c r="S191" s="56">
        <f t="shared" si="42"/>
        <v>1318.4369952066336</v>
      </c>
      <c r="U191" s="16">
        <v>-3.157662210667167E-2</v>
      </c>
      <c r="V191" s="16">
        <v>-2.1627784590832255E-2</v>
      </c>
      <c r="W191" s="56">
        <f t="shared" si="43"/>
        <v>4</v>
      </c>
      <c r="X191" s="56">
        <f t="shared" si="44"/>
        <v>2682.9794275022118</v>
      </c>
      <c r="Y191" s="56">
        <f t="shared" si="44"/>
        <v>280.43519192259049</v>
      </c>
      <c r="AA191" s="56">
        <f t="shared" si="56"/>
        <v>0</v>
      </c>
      <c r="AB191" s="56">
        <v>0</v>
      </c>
      <c r="AC191" s="56">
        <f t="shared" si="45"/>
        <v>1318.4369952066336</v>
      </c>
      <c r="AE191" s="56">
        <v>0</v>
      </c>
      <c r="AF191" s="56">
        <f t="shared" si="46"/>
        <v>0</v>
      </c>
      <c r="AG191" s="56">
        <f t="shared" si="47"/>
        <v>1318.4369952066336</v>
      </c>
      <c r="AI191" s="56">
        <f t="shared" si="48"/>
        <v>1193.6700694565063</v>
      </c>
      <c r="AJ191" s="56">
        <f t="shared" si="49"/>
        <v>124.76692575012723</v>
      </c>
      <c r="AK191" s="56">
        <f t="shared" si="50"/>
        <v>0</v>
      </c>
      <c r="AM191" s="56">
        <f t="shared" si="51"/>
        <v>261020</v>
      </c>
      <c r="AN191" s="56">
        <f t="shared" si="52"/>
        <v>27562</v>
      </c>
      <c r="AO191" s="56">
        <f t="shared" si="53"/>
        <v>52287</v>
      </c>
      <c r="AP191" s="56"/>
      <c r="AQ191" s="56">
        <f t="shared" si="54"/>
        <v>340869</v>
      </c>
      <c r="AS191" s="56">
        <v>1154.0632352122609</v>
      </c>
      <c r="AT191" s="56">
        <v>121.86150827109162</v>
      </c>
      <c r="AU191" s="56">
        <v>231.17961987412261</v>
      </c>
      <c r="AV191" s="56"/>
      <c r="AW191" s="56">
        <v>1507.104363357475</v>
      </c>
      <c r="AY191" s="16">
        <v>-2.7126345717070066E-2</v>
      </c>
      <c r="AZ191" s="16">
        <v>-1.7170426755568013E-2</v>
      </c>
      <c r="BA191" s="16">
        <v>-7.1598947154910664E-2</v>
      </c>
      <c r="BB191" s="16">
        <f t="shared" si="55"/>
        <v>-3.3436860621479658E-2</v>
      </c>
      <c r="BC191" s="16"/>
      <c r="BE191" s="16">
        <f>AM191/'2016-17 disagg'!AM191-1</f>
        <v>2.4716948540380868E-2</v>
      </c>
      <c r="BF191" s="16">
        <f>AN191/'2016-17 disagg'!AN191-1</f>
        <v>2.3050369325563258E-2</v>
      </c>
      <c r="BG191" s="16">
        <f>AO191/'2016-17 disagg'!AO191-1</f>
        <v>4.5572708366661274E-2</v>
      </c>
      <c r="BH191" s="16">
        <f>AQ191/'2016-17 disagg'!AQ191-1</f>
        <v>2.7726103722642392E-2</v>
      </c>
      <c r="BJ191" s="16">
        <f>AS191/'2016-17 disagg'!AS191-1</f>
        <v>1.9547066699678428E-2</v>
      </c>
      <c r="BK191" s="16">
        <f>AT191/'2016-17 disagg'!AT191-1</f>
        <v>1.7888895677611982E-2</v>
      </c>
      <c r="BL191" s="16">
        <f>AU191/'2016-17 disagg'!AU191-1</f>
        <v>4.0297605455736907E-2</v>
      </c>
      <c r="BM191" s="16">
        <f>AW191/'2016-17 disagg'!AW191-1</f>
        <v>2.2541040151263125E-2</v>
      </c>
    </row>
    <row r="192" spans="1:65" x14ac:dyDescent="0.2">
      <c r="A192" s="156" t="s">
        <v>429</v>
      </c>
      <c r="B192" s="156" t="s">
        <v>430</v>
      </c>
      <c r="D192" s="56">
        <f>VLOOKUP(A192,'2017-18'!$A$12:$AMX400,32,FALSE)</f>
        <v>328420.79500533157</v>
      </c>
      <c r="E192" s="56">
        <v>1453.4088272584777</v>
      </c>
      <c r="F192" s="16">
        <f>VLOOKUP(A192,'2017-18'!$A$12:$AMX400,34,FALSE)</f>
        <v>2.901615179011019E-2</v>
      </c>
      <c r="G192" s="16">
        <f>VLOOKUP(A192,'2017-18'!$A$12:$AMX400,35,FALSE)</f>
        <v>1.8881564759960723E-2</v>
      </c>
      <c r="H192" s="56"/>
      <c r="I192" s="56">
        <v>334574.29730792803</v>
      </c>
      <c r="J192" s="56">
        <v>1480.6408256616355</v>
      </c>
      <c r="K192" s="16">
        <f t="shared" si="57"/>
        <v>-1.8392035347930658E-2</v>
      </c>
      <c r="L192" s="58">
        <f t="shared" si="57"/>
        <v>-1.8392035347930547E-2</v>
      </c>
      <c r="M192" s="10"/>
      <c r="N192" s="56">
        <v>248646</v>
      </c>
      <c r="O192" s="56">
        <v>28309</v>
      </c>
      <c r="P192" s="56">
        <v>50381</v>
      </c>
      <c r="R192" s="56">
        <f t="shared" si="41"/>
        <v>50381</v>
      </c>
      <c r="S192" s="56">
        <f t="shared" si="42"/>
        <v>1084.7950053315726</v>
      </c>
      <c r="U192" s="16">
        <v>-4.9530789277204224E-2</v>
      </c>
      <c r="V192" s="16">
        <v>4.4949537252601646E-2</v>
      </c>
      <c r="W192" s="56">
        <f t="shared" si="43"/>
        <v>1</v>
      </c>
      <c r="X192" s="56">
        <f t="shared" si="44"/>
        <v>2616.0342407190042</v>
      </c>
      <c r="Y192" s="56">
        <f t="shared" si="44"/>
        <v>270.91260382229063</v>
      </c>
      <c r="AA192" s="56">
        <f t="shared" si="56"/>
        <v>1084.7950053315726</v>
      </c>
      <c r="AB192" s="56">
        <v>0</v>
      </c>
      <c r="AC192" s="56">
        <f t="shared" si="45"/>
        <v>0</v>
      </c>
      <c r="AE192" s="56">
        <v>0</v>
      </c>
      <c r="AF192" s="56">
        <f t="shared" si="46"/>
        <v>0</v>
      </c>
      <c r="AG192" s="56">
        <f t="shared" si="47"/>
        <v>0</v>
      </c>
      <c r="AI192" s="56">
        <f t="shared" si="48"/>
        <v>0</v>
      </c>
      <c r="AJ192" s="56">
        <f t="shared" si="49"/>
        <v>0</v>
      </c>
      <c r="AK192" s="56">
        <f t="shared" si="50"/>
        <v>0</v>
      </c>
      <c r="AM192" s="56">
        <f t="shared" si="51"/>
        <v>249731</v>
      </c>
      <c r="AN192" s="56">
        <f t="shared" si="52"/>
        <v>28309</v>
      </c>
      <c r="AO192" s="56">
        <f t="shared" si="53"/>
        <v>50381</v>
      </c>
      <c r="AP192" s="56"/>
      <c r="AQ192" s="56">
        <f t="shared" si="54"/>
        <v>328421</v>
      </c>
      <c r="AS192" s="56">
        <v>1105.1713087601368</v>
      </c>
      <c r="AT192" s="56">
        <v>125.27997957678747</v>
      </c>
      <c r="AU192" s="56">
        <v>222.95844611459711</v>
      </c>
      <c r="AV192" s="56"/>
      <c r="AW192" s="56">
        <v>1453.4097344515212</v>
      </c>
      <c r="AY192" s="16">
        <v>-4.5383290046835612E-2</v>
      </c>
      <c r="AZ192" s="16">
        <v>4.4949537252601646E-2</v>
      </c>
      <c r="BA192" s="16">
        <v>9.811301504539105E-2</v>
      </c>
      <c r="BB192" s="16">
        <f t="shared" si="55"/>
        <v>-1.8391422644952304E-2</v>
      </c>
      <c r="BC192" s="16"/>
      <c r="BE192" s="16">
        <f>AM192/'2016-17 disagg'!AM192-1</f>
        <v>2.5850524568884037E-2</v>
      </c>
      <c r="BF192" s="16">
        <f>AN192/'2016-17 disagg'!AN192-1</f>
        <v>1.9409434641699752E-2</v>
      </c>
      <c r="BG192" s="16">
        <f>AO192/'2016-17 disagg'!AO192-1</f>
        <v>5.0654821488154811E-2</v>
      </c>
      <c r="BH192" s="16">
        <f>AQ192/'2016-17 disagg'!AQ192-1</f>
        <v>2.9016794084471664E-2</v>
      </c>
      <c r="BJ192" s="16">
        <f>AS192/'2016-17 disagg'!AS192-1</f>
        <v>1.5747115207348061E-2</v>
      </c>
      <c r="BK192" s="16">
        <f>AT192/'2016-17 disagg'!AT192-1</f>
        <v>9.3694623664744014E-3</v>
      </c>
      <c r="BL192" s="16">
        <f>AU192/'2016-17 disagg'!AU192-1</f>
        <v>4.0307119259677338E-2</v>
      </c>
      <c r="BM192" s="16">
        <f>AW192/'2016-17 disagg'!AW192-1</f>
        <v>1.8882200728485454E-2</v>
      </c>
    </row>
    <row r="193" spans="1:65" x14ac:dyDescent="0.2">
      <c r="A193" s="156" t="s">
        <v>431</v>
      </c>
      <c r="B193" s="156" t="s">
        <v>432</v>
      </c>
      <c r="D193" s="56">
        <f>VLOOKUP(A193,'2017-18'!$A$12:$AMX401,32,FALSE)</f>
        <v>560526</v>
      </c>
      <c r="E193" s="56">
        <v>1510.0914104196825</v>
      </c>
      <c r="F193" s="16">
        <f>VLOOKUP(A193,'2017-18'!$A$12:$AMX401,34,FALSE)</f>
        <v>2.9557301711502282E-2</v>
      </c>
      <c r="G193" s="16">
        <f>VLOOKUP(A193,'2017-18'!$A$12:$AMX401,35,FALSE)</f>
        <v>2.1377875833316073E-2</v>
      </c>
      <c r="H193" s="56"/>
      <c r="I193" s="56">
        <v>571875.11532011733</v>
      </c>
      <c r="J193" s="56">
        <v>1540.6666229178925</v>
      </c>
      <c r="K193" s="16">
        <f t="shared" si="57"/>
        <v>-1.9845443552416908E-2</v>
      </c>
      <c r="L193" s="58">
        <f t="shared" si="57"/>
        <v>-1.9845443552417019E-2</v>
      </c>
      <c r="M193" s="10"/>
      <c r="N193" s="56">
        <v>425908</v>
      </c>
      <c r="O193" s="56">
        <v>43243</v>
      </c>
      <c r="P193" s="56">
        <v>91375</v>
      </c>
      <c r="R193" s="56">
        <f t="shared" si="41"/>
        <v>91375</v>
      </c>
      <c r="S193" s="56">
        <f t="shared" si="42"/>
        <v>0</v>
      </c>
      <c r="U193" s="16">
        <v>-3.5479907858200543E-2</v>
      </c>
      <c r="V193" s="16">
        <v>-5.3929805537794251E-2</v>
      </c>
      <c r="W193" s="56">
        <f t="shared" si="43"/>
        <v>4</v>
      </c>
      <c r="X193" s="56">
        <f t="shared" si="44"/>
        <v>4415.7504179538118</v>
      </c>
      <c r="Y193" s="56">
        <f t="shared" si="44"/>
        <v>457.08024894052937</v>
      </c>
      <c r="AA193" s="56">
        <f t="shared" si="56"/>
        <v>0</v>
      </c>
      <c r="AB193" s="56">
        <v>0</v>
      </c>
      <c r="AC193" s="56">
        <f t="shared" si="45"/>
        <v>0</v>
      </c>
      <c r="AE193" s="56">
        <v>0</v>
      </c>
      <c r="AF193" s="56">
        <f t="shared" si="46"/>
        <v>0</v>
      </c>
      <c r="AG193" s="56">
        <f t="shared" si="47"/>
        <v>0</v>
      </c>
      <c r="AI193" s="56">
        <f t="shared" si="48"/>
        <v>0</v>
      </c>
      <c r="AJ193" s="56">
        <f t="shared" si="49"/>
        <v>0</v>
      </c>
      <c r="AK193" s="56">
        <f t="shared" si="50"/>
        <v>0</v>
      </c>
      <c r="AM193" s="56">
        <f t="shared" si="51"/>
        <v>425908</v>
      </c>
      <c r="AN193" s="56">
        <f t="shared" si="52"/>
        <v>43243</v>
      </c>
      <c r="AO193" s="56">
        <f t="shared" si="53"/>
        <v>91375</v>
      </c>
      <c r="AP193" s="56"/>
      <c r="AQ193" s="56">
        <f t="shared" si="54"/>
        <v>560526</v>
      </c>
      <c r="AS193" s="56">
        <v>1147.4222648530597</v>
      </c>
      <c r="AT193" s="56">
        <v>116.49929327235191</v>
      </c>
      <c r="AU193" s="56">
        <v>246.1698522942709</v>
      </c>
      <c r="AV193" s="56"/>
      <c r="AW193" s="56">
        <v>1510.0914104196825</v>
      </c>
      <c r="AY193" s="16">
        <v>-3.5479907858200543E-2</v>
      </c>
      <c r="AZ193" s="16">
        <v>-5.3929805537794251E-2</v>
      </c>
      <c r="BA193" s="16">
        <v>8.0184266477931088E-2</v>
      </c>
      <c r="BB193" s="16">
        <f t="shared" si="55"/>
        <v>-1.9845443552416908E-2</v>
      </c>
      <c r="BC193" s="16"/>
      <c r="BE193" s="16">
        <f>AM193/'2016-17 disagg'!AM193-1</f>
        <v>2.0028978912452589E-2</v>
      </c>
      <c r="BF193" s="16">
        <f>AN193/'2016-17 disagg'!AN193-1</f>
        <v>8.781948078084123E-2</v>
      </c>
      <c r="BG193" s="16">
        <f>AO193/'2016-17 disagg'!AO193-1</f>
        <v>4.863605586604991E-2</v>
      </c>
      <c r="BH193" s="16">
        <f>AQ193/'2016-17 disagg'!AQ193-1</f>
        <v>2.9557301711502282E-2</v>
      </c>
      <c r="BJ193" s="16">
        <f>AS193/'2016-17 disagg'!AS193-1</f>
        <v>1.1925251793285296E-2</v>
      </c>
      <c r="BK193" s="16">
        <f>AT193/'2016-17 disagg'!AT193-1</f>
        <v>7.9177184915324439E-2</v>
      </c>
      <c r="BL193" s="16">
        <f>AU193/'2016-17 disagg'!AU193-1</f>
        <v>4.0305056826082764E-2</v>
      </c>
      <c r="BM193" s="16">
        <f>AW193/'2016-17 disagg'!AW193-1</f>
        <v>2.1377875833316073E-2</v>
      </c>
    </row>
    <row r="194" spans="1:65" x14ac:dyDescent="0.2">
      <c r="A194" s="156" t="s">
        <v>433</v>
      </c>
      <c r="B194" s="156" t="s">
        <v>434</v>
      </c>
      <c r="D194" s="56">
        <f>VLOOKUP(A194,'2017-18'!$A$12:$AMX402,32,FALSE)</f>
        <v>1055397</v>
      </c>
      <c r="E194" s="56">
        <v>1455.3960790591541</v>
      </c>
      <c r="F194" s="16">
        <f>VLOOKUP(A194,'2017-18'!$A$12:$AMX402,34,FALSE)</f>
        <v>2.5066312868532892E-2</v>
      </c>
      <c r="G194" s="16">
        <f>VLOOKUP(A194,'2017-18'!$A$12:$AMX402,35,FALSE)</f>
        <v>1.8942988891469836E-2</v>
      </c>
      <c r="H194" s="56"/>
      <c r="I194" s="56">
        <v>1055768.0041201189</v>
      </c>
      <c r="J194" s="56">
        <v>1455.9076950119527</v>
      </c>
      <c r="K194" s="16">
        <f t="shared" si="57"/>
        <v>-3.5140686085488593E-4</v>
      </c>
      <c r="L194" s="58">
        <f t="shared" si="57"/>
        <v>-3.5140686085488593E-4</v>
      </c>
      <c r="M194" s="10"/>
      <c r="N194" s="56">
        <v>744104</v>
      </c>
      <c r="O194" s="56">
        <v>92368</v>
      </c>
      <c r="P194" s="56">
        <v>218925</v>
      </c>
      <c r="R194" s="56">
        <f t="shared" si="41"/>
        <v>218925</v>
      </c>
      <c r="S194" s="56">
        <f t="shared" si="42"/>
        <v>0</v>
      </c>
      <c r="U194" s="16">
        <v>-4.7738647970491876E-2</v>
      </c>
      <c r="V194" s="16">
        <v>4.7455042461675534E-2</v>
      </c>
      <c r="W194" s="56">
        <f t="shared" si="43"/>
        <v>1</v>
      </c>
      <c r="X194" s="56">
        <f t="shared" si="44"/>
        <v>7814.0732942078084</v>
      </c>
      <c r="Y194" s="56">
        <f t="shared" si="44"/>
        <v>881.83259668044013</v>
      </c>
      <c r="AA194" s="56">
        <f t="shared" si="56"/>
        <v>0</v>
      </c>
      <c r="AB194" s="56">
        <v>0</v>
      </c>
      <c r="AC194" s="56">
        <f t="shared" si="45"/>
        <v>0</v>
      </c>
      <c r="AE194" s="56">
        <v>0</v>
      </c>
      <c r="AF194" s="56">
        <f t="shared" si="46"/>
        <v>0</v>
      </c>
      <c r="AG194" s="56">
        <f t="shared" si="47"/>
        <v>0</v>
      </c>
      <c r="AI194" s="56">
        <f t="shared" si="48"/>
        <v>0</v>
      </c>
      <c r="AJ194" s="56">
        <f t="shared" si="49"/>
        <v>0</v>
      </c>
      <c r="AK194" s="56">
        <f t="shared" si="50"/>
        <v>0</v>
      </c>
      <c r="AM194" s="56">
        <f t="shared" si="51"/>
        <v>744104</v>
      </c>
      <c r="AN194" s="56">
        <f t="shared" si="52"/>
        <v>92368</v>
      </c>
      <c r="AO194" s="56">
        <f t="shared" si="53"/>
        <v>218925</v>
      </c>
      <c r="AP194" s="56"/>
      <c r="AQ194" s="56">
        <f t="shared" si="54"/>
        <v>1055397</v>
      </c>
      <c r="AS194" s="56">
        <v>1026.1219654899842</v>
      </c>
      <c r="AT194" s="56">
        <v>127.3757884763136</v>
      </c>
      <c r="AU194" s="56">
        <v>301.89832509285634</v>
      </c>
      <c r="AV194" s="56"/>
      <c r="AW194" s="56">
        <v>1455.3960790591541</v>
      </c>
      <c r="AY194" s="16">
        <v>-4.7738647970491876E-2</v>
      </c>
      <c r="AZ194" s="16">
        <v>4.7455042461675534E-2</v>
      </c>
      <c r="BA194" s="16">
        <v>0.17589450881140256</v>
      </c>
      <c r="BB194" s="16">
        <f t="shared" si="55"/>
        <v>-3.5140686085488593E-4</v>
      </c>
      <c r="BC194" s="16"/>
      <c r="BE194" s="16">
        <f>AM194/'2016-17 disagg'!AM194-1</f>
        <v>2.0030377303657865E-2</v>
      </c>
      <c r="BF194" s="16">
        <f>AN194/'2016-17 disagg'!AN194-1</f>
        <v>1.6037839621603878E-2</v>
      </c>
      <c r="BG194" s="16">
        <f>AO194/'2016-17 disagg'!AO194-1</f>
        <v>4.6551649959127417E-2</v>
      </c>
      <c r="BH194" s="16">
        <f>AQ194/'2016-17 disagg'!AQ194-1</f>
        <v>2.5066312868532892E-2</v>
      </c>
      <c r="BJ194" s="16">
        <f>AS194/'2016-17 disagg'!AS194-1</f>
        <v>1.3937135931597178E-2</v>
      </c>
      <c r="BK194" s="16">
        <f>AT194/'2016-17 disagg'!AT194-1</f>
        <v>9.9684480253194874E-3</v>
      </c>
      <c r="BL194" s="16">
        <f>AU194/'2016-17 disagg'!AU194-1</f>
        <v>4.0299981427072584E-2</v>
      </c>
      <c r="BM194" s="16">
        <f>AW194/'2016-17 disagg'!AW194-1</f>
        <v>1.8942988891469836E-2</v>
      </c>
    </row>
    <row r="195" spans="1:65" x14ac:dyDescent="0.2">
      <c r="A195" s="156" t="s">
        <v>435</v>
      </c>
      <c r="B195" s="156" t="s">
        <v>436</v>
      </c>
      <c r="D195" s="56">
        <f>VLOOKUP(A195,'2017-18'!$A$12:$AMX403,32,FALSE)</f>
        <v>351431</v>
      </c>
      <c r="E195" s="56">
        <v>1565.0800746377492</v>
      </c>
      <c r="F195" s="16">
        <f>VLOOKUP(A195,'2017-18'!$A$12:$AMX403,34,FALSE)</f>
        <v>2.6597453888983047E-2</v>
      </c>
      <c r="G195" s="16">
        <f>VLOOKUP(A195,'2017-18'!$A$12:$AMX403,35,FALSE)</f>
        <v>1.9907610265635256E-2</v>
      </c>
      <c r="H195" s="56"/>
      <c r="I195" s="56">
        <v>346691.40419007791</v>
      </c>
      <c r="J195" s="56">
        <v>1543.9725258900701</v>
      </c>
      <c r="K195" s="16">
        <f t="shared" si="57"/>
        <v>1.3670935456258304E-2</v>
      </c>
      <c r="L195" s="58">
        <f t="shared" si="57"/>
        <v>1.3670935456258304E-2</v>
      </c>
      <c r="M195" s="10"/>
      <c r="N195" s="56">
        <v>271977</v>
      </c>
      <c r="O195" s="56">
        <v>28311</v>
      </c>
      <c r="P195" s="56">
        <v>51143</v>
      </c>
      <c r="R195" s="56">
        <f t="shared" si="41"/>
        <v>51143</v>
      </c>
      <c r="S195" s="56">
        <f t="shared" si="42"/>
        <v>0</v>
      </c>
      <c r="U195" s="16">
        <v>2.0354674154718033E-2</v>
      </c>
      <c r="V195" s="16">
        <v>-4.9566207143451169E-2</v>
      </c>
      <c r="W195" s="56">
        <f t="shared" si="43"/>
        <v>3</v>
      </c>
      <c r="X195" s="56">
        <f t="shared" si="44"/>
        <v>2665.5143244706665</v>
      </c>
      <c r="Y195" s="56">
        <f t="shared" si="44"/>
        <v>297.874509647965</v>
      </c>
      <c r="AA195" s="56">
        <f t="shared" si="56"/>
        <v>0</v>
      </c>
      <c r="AB195" s="56">
        <v>0</v>
      </c>
      <c r="AC195" s="56">
        <f t="shared" si="45"/>
        <v>0</v>
      </c>
      <c r="AE195" s="56">
        <v>0</v>
      </c>
      <c r="AF195" s="56">
        <f t="shared" si="46"/>
        <v>0</v>
      </c>
      <c r="AG195" s="56">
        <f t="shared" si="47"/>
        <v>0</v>
      </c>
      <c r="AI195" s="56">
        <f t="shared" si="48"/>
        <v>0</v>
      </c>
      <c r="AJ195" s="56">
        <f t="shared" si="49"/>
        <v>0</v>
      </c>
      <c r="AK195" s="56">
        <f t="shared" si="50"/>
        <v>0</v>
      </c>
      <c r="AM195" s="56">
        <f t="shared" si="51"/>
        <v>271977</v>
      </c>
      <c r="AN195" s="56">
        <f t="shared" si="52"/>
        <v>28311</v>
      </c>
      <c r="AO195" s="56">
        <f t="shared" si="53"/>
        <v>51143</v>
      </c>
      <c r="AP195" s="56"/>
      <c r="AQ195" s="56">
        <f t="shared" si="54"/>
        <v>351431</v>
      </c>
      <c r="AS195" s="56">
        <v>1211.2357289475065</v>
      </c>
      <c r="AT195" s="56">
        <v>126.08159779037513</v>
      </c>
      <c r="AU195" s="56">
        <v>227.76274789986772</v>
      </c>
      <c r="AV195" s="56"/>
      <c r="AW195" s="56">
        <v>1565.0800746377492</v>
      </c>
      <c r="AY195" s="16">
        <v>2.0354674154718033E-2</v>
      </c>
      <c r="AZ195" s="16">
        <v>-4.9566207143451169E-2</v>
      </c>
      <c r="BA195" s="16">
        <v>1.5698900662133086E-2</v>
      </c>
      <c r="BB195" s="16">
        <f t="shared" si="55"/>
        <v>1.3670935456258304E-2</v>
      </c>
      <c r="BC195" s="16"/>
      <c r="BE195" s="16">
        <f>AM195/'2016-17 disagg'!AM195-1</f>
        <v>2.0031053571160751E-2</v>
      </c>
      <c r="BF195" s="16">
        <f>AN195/'2016-17 disagg'!AN195-1</f>
        <v>5.4452679801854753E-2</v>
      </c>
      <c r="BG195" s="16">
        <f>AO195/'2016-17 disagg'!AO195-1</f>
        <v>4.7132532093937529E-2</v>
      </c>
      <c r="BH195" s="16">
        <f>AQ195/'2016-17 disagg'!AQ195-1</f>
        <v>2.6597453888983047E-2</v>
      </c>
      <c r="BJ195" s="16">
        <f>AS195/'2016-17 disagg'!AS195-1</f>
        <v>1.3384000031821275E-2</v>
      </c>
      <c r="BK195" s="16">
        <f>AT195/'2016-17 disagg'!AT195-1</f>
        <v>4.7581317020492397E-2</v>
      </c>
      <c r="BL195" s="16">
        <f>AU195/'2016-17 disagg'!AU195-1</f>
        <v>4.0308871207100694E-2</v>
      </c>
      <c r="BM195" s="16">
        <f>AW195/'2016-17 disagg'!AW195-1</f>
        <v>1.9907610265635256E-2</v>
      </c>
    </row>
    <row r="196" spans="1:65" x14ac:dyDescent="0.2">
      <c r="A196" s="156" t="s">
        <v>437</v>
      </c>
      <c r="B196" s="156" t="s">
        <v>438</v>
      </c>
      <c r="D196" s="56">
        <f>VLOOKUP(A196,'2017-18'!$A$12:$AMX404,32,FALSE)</f>
        <v>236090</v>
      </c>
      <c r="E196" s="56">
        <v>1516.5180409588856</v>
      </c>
      <c r="F196" s="16">
        <f>VLOOKUP(A196,'2017-18'!$A$12:$AMX404,34,FALSE)</f>
        <v>2.8575660803987324E-2</v>
      </c>
      <c r="G196" s="16">
        <f>VLOOKUP(A196,'2017-18'!$A$12:$AMX404,35,FALSE)</f>
        <v>1.5974153380766687E-2</v>
      </c>
      <c r="H196" s="56"/>
      <c r="I196" s="56">
        <v>234871.59668734274</v>
      </c>
      <c r="J196" s="56">
        <v>1508.6916586266868</v>
      </c>
      <c r="K196" s="16">
        <f t="shared" si="57"/>
        <v>5.1875293983680848E-3</v>
      </c>
      <c r="L196" s="58">
        <f t="shared" si="57"/>
        <v>5.1875293983683068E-3</v>
      </c>
      <c r="M196" s="10"/>
      <c r="N196" s="56">
        <v>175864</v>
      </c>
      <c r="O196" s="56">
        <v>20024</v>
      </c>
      <c r="P196" s="56">
        <v>40202</v>
      </c>
      <c r="R196" s="56">
        <f t="shared" si="41"/>
        <v>40202</v>
      </c>
      <c r="S196" s="56">
        <f t="shared" si="42"/>
        <v>0</v>
      </c>
      <c r="U196" s="16">
        <v>-1.1422516745062117E-3</v>
      </c>
      <c r="V196" s="16">
        <v>2.7966900095544256E-2</v>
      </c>
      <c r="W196" s="56">
        <f t="shared" si="43"/>
        <v>1</v>
      </c>
      <c r="X196" s="56">
        <f t="shared" si="44"/>
        <v>1760.6511066748205</v>
      </c>
      <c r="Y196" s="56">
        <f t="shared" si="44"/>
        <v>194.79226420752332</v>
      </c>
      <c r="AA196" s="56">
        <f t="shared" si="56"/>
        <v>0</v>
      </c>
      <c r="AB196" s="56">
        <v>0</v>
      </c>
      <c r="AC196" s="56">
        <f t="shared" si="45"/>
        <v>0</v>
      </c>
      <c r="AE196" s="56">
        <v>0</v>
      </c>
      <c r="AF196" s="56">
        <f t="shared" si="46"/>
        <v>0</v>
      </c>
      <c r="AG196" s="56">
        <f t="shared" si="47"/>
        <v>0</v>
      </c>
      <c r="AI196" s="56">
        <f t="shared" si="48"/>
        <v>0</v>
      </c>
      <c r="AJ196" s="56">
        <f t="shared" si="49"/>
        <v>0</v>
      </c>
      <c r="AK196" s="56">
        <f t="shared" si="50"/>
        <v>0</v>
      </c>
      <c r="AM196" s="56">
        <f t="shared" si="51"/>
        <v>175864</v>
      </c>
      <c r="AN196" s="56">
        <f t="shared" si="52"/>
        <v>20024</v>
      </c>
      <c r="AO196" s="56">
        <f t="shared" si="53"/>
        <v>40202</v>
      </c>
      <c r="AP196" s="56"/>
      <c r="AQ196" s="56">
        <f t="shared" si="54"/>
        <v>236090</v>
      </c>
      <c r="AS196" s="56">
        <v>1129.6578794323921</v>
      </c>
      <c r="AT196" s="56">
        <v>128.62364882951724</v>
      </c>
      <c r="AU196" s="56">
        <v>258.23651269697626</v>
      </c>
      <c r="AV196" s="56"/>
      <c r="AW196" s="56">
        <v>1516.5180409588856</v>
      </c>
      <c r="AY196" s="16">
        <v>-1.1422516745062117E-3</v>
      </c>
      <c r="AZ196" s="16">
        <v>2.7966900095544256E-2</v>
      </c>
      <c r="BA196" s="16">
        <v>2.2242597369063866E-2</v>
      </c>
      <c r="BB196" s="16">
        <f t="shared" si="55"/>
        <v>5.1875293983680848E-3</v>
      </c>
      <c r="BC196" s="16"/>
      <c r="BE196" s="16">
        <f>AM196/'2016-17 disagg'!AM196-1</f>
        <v>2.3661371719276625E-2</v>
      </c>
      <c r="BF196" s="16">
        <f>AN196/'2016-17 disagg'!AN196-1</f>
        <v>2.366954654670006E-2</v>
      </c>
      <c r="BG196" s="16">
        <f>AO196/'2016-17 disagg'!AO196-1</f>
        <v>5.3207932723795537E-2</v>
      </c>
      <c r="BH196" s="16">
        <f>AQ196/'2016-17 disagg'!AQ196-1</f>
        <v>2.8575660803987324E-2</v>
      </c>
      <c r="BJ196" s="16">
        <f>AS196/'2016-17 disagg'!AS196-1</f>
        <v>1.1120071291749634E-2</v>
      </c>
      <c r="BK196" s="16">
        <f>AT196/'2016-17 disagg'!AT196-1</f>
        <v>1.1128145965968672E-2</v>
      </c>
      <c r="BL196" s="16">
        <f>AU196/'2016-17 disagg'!AU196-1</f>
        <v>4.0304645111448378E-2</v>
      </c>
      <c r="BM196" s="16">
        <f>AW196/'2016-17 disagg'!AW196-1</f>
        <v>1.5974153380766687E-2</v>
      </c>
    </row>
    <row r="197" spans="1:65" x14ac:dyDescent="0.2">
      <c r="A197" s="156" t="s">
        <v>439</v>
      </c>
      <c r="B197" s="156" t="s">
        <v>440</v>
      </c>
      <c r="D197" s="56">
        <f>VLOOKUP(A197,'2017-18'!$A$12:$AMX405,32,FALSE)</f>
        <v>336166.42326110968</v>
      </c>
      <c r="E197" s="56">
        <v>1570.0261151220345</v>
      </c>
      <c r="F197" s="16">
        <f>VLOOKUP(A197,'2017-18'!$A$12:$AMX405,34,FALSE)</f>
        <v>2.6427885662190453E-2</v>
      </c>
      <c r="G197" s="16">
        <f>VLOOKUP(A197,'2017-18'!$A$12:$AMX405,35,FALSE)</f>
        <v>2.1610122470347992E-2</v>
      </c>
      <c r="H197" s="56"/>
      <c r="I197" s="56">
        <v>346281.45254081237</v>
      </c>
      <c r="J197" s="56">
        <v>1617.2671809319356</v>
      </c>
      <c r="K197" s="16">
        <f t="shared" si="57"/>
        <v>-2.9210427545236617E-2</v>
      </c>
      <c r="L197" s="58">
        <f t="shared" si="57"/>
        <v>-2.9210427545236395E-2</v>
      </c>
      <c r="M197" s="10"/>
      <c r="N197" s="56">
        <v>259508</v>
      </c>
      <c r="O197" s="56">
        <v>26882</v>
      </c>
      <c r="P197" s="56">
        <v>49087</v>
      </c>
      <c r="R197" s="56">
        <f t="shared" si="41"/>
        <v>49087</v>
      </c>
      <c r="S197" s="56">
        <f t="shared" si="42"/>
        <v>689.42326110968133</v>
      </c>
      <c r="U197" s="16">
        <v>-4.0593713371524176E-2</v>
      </c>
      <c r="V197" s="16">
        <v>-4.7515076716421967E-2</v>
      </c>
      <c r="W197" s="56">
        <f t="shared" si="43"/>
        <v>4</v>
      </c>
      <c r="X197" s="56">
        <f t="shared" si="44"/>
        <v>2704.8811709578977</v>
      </c>
      <c r="Y197" s="56">
        <f t="shared" si="44"/>
        <v>282.23018908611715</v>
      </c>
      <c r="AA197" s="56">
        <f t="shared" si="56"/>
        <v>0</v>
      </c>
      <c r="AB197" s="56">
        <v>0</v>
      </c>
      <c r="AC197" s="56">
        <f t="shared" si="45"/>
        <v>689.42326110968133</v>
      </c>
      <c r="AE197" s="56">
        <v>0</v>
      </c>
      <c r="AF197" s="56">
        <f t="shared" si="46"/>
        <v>0</v>
      </c>
      <c r="AG197" s="56">
        <f t="shared" si="47"/>
        <v>689.42326110968133</v>
      </c>
      <c r="AI197" s="56">
        <f t="shared" si="48"/>
        <v>624.28472628770339</v>
      </c>
      <c r="AJ197" s="56">
        <f t="shared" si="49"/>
        <v>65.138534821977913</v>
      </c>
      <c r="AK197" s="56">
        <f t="shared" si="50"/>
        <v>0</v>
      </c>
      <c r="AM197" s="56">
        <f t="shared" si="51"/>
        <v>260132</v>
      </c>
      <c r="AN197" s="56">
        <f t="shared" si="52"/>
        <v>26947</v>
      </c>
      <c r="AO197" s="56">
        <f t="shared" si="53"/>
        <v>49087</v>
      </c>
      <c r="AP197" s="56"/>
      <c r="AQ197" s="56">
        <f t="shared" si="54"/>
        <v>336166</v>
      </c>
      <c r="AS197" s="56">
        <v>1214.9161995923032</v>
      </c>
      <c r="AT197" s="56">
        <v>125.85282406783401</v>
      </c>
      <c r="AU197" s="56">
        <v>229.25511467019587</v>
      </c>
      <c r="AV197" s="56"/>
      <c r="AW197" s="56">
        <v>1570.0241383303332</v>
      </c>
      <c r="AY197" s="16">
        <v>-3.8286772842306638E-2</v>
      </c>
      <c r="AZ197" s="16">
        <v>-4.5211992124002065E-2</v>
      </c>
      <c r="BA197" s="16">
        <v>3.1882980270443007E-2</v>
      </c>
      <c r="BB197" s="16">
        <f t="shared" si="55"/>
        <v>-2.9211649848962629E-2</v>
      </c>
      <c r="BC197" s="16"/>
      <c r="BE197" s="16">
        <f>AM197/'2016-17 disagg'!AM197-1</f>
        <v>2.2483216200493761E-2</v>
      </c>
      <c r="BF197" s="16">
        <f>AN197/'2016-17 disagg'!AN197-1</f>
        <v>3.1069447101587988E-2</v>
      </c>
      <c r="BG197" s="16">
        <f>AO197/'2016-17 disagg'!AO197-1</f>
        <v>4.5204837748062277E-2</v>
      </c>
      <c r="BH197" s="16">
        <f>AQ197/'2016-17 disagg'!AQ197-1</f>
        <v>2.642659330526298E-2</v>
      </c>
      <c r="BJ197" s="16">
        <f>AS197/'2016-17 disagg'!AS197-1</f>
        <v>1.7683968175280951E-2</v>
      </c>
      <c r="BK197" s="16">
        <f>AT197/'2016-17 disagg'!AT197-1</f>
        <v>2.6229897728594409E-2</v>
      </c>
      <c r="BL197" s="16">
        <f>AU197/'2016-17 disagg'!AU197-1</f>
        <v>4.0298940835499675E-2</v>
      </c>
      <c r="BM197" s="16">
        <f>AW197/'2016-17 disagg'!AW197-1</f>
        <v>2.1608836179379587E-2</v>
      </c>
    </row>
    <row r="198" spans="1:65" x14ac:dyDescent="0.2">
      <c r="A198" s="156" t="s">
        <v>441</v>
      </c>
      <c r="B198" s="156" t="s">
        <v>442</v>
      </c>
      <c r="D198" s="56">
        <f>VLOOKUP(A198,'2017-18'!$A$12:$AMX406,32,FALSE)</f>
        <v>361552</v>
      </c>
      <c r="E198" s="56">
        <v>1788.5255392724359</v>
      </c>
      <c r="F198" s="16">
        <f>VLOOKUP(A198,'2017-18'!$A$12:$AMX406,34,FALSE)</f>
        <v>2.3707525079350589E-2</v>
      </c>
      <c r="G198" s="16">
        <f>VLOOKUP(A198,'2017-18'!$A$12:$AMX406,35,FALSE)</f>
        <v>1.904206471248826E-2</v>
      </c>
      <c r="H198" s="56"/>
      <c r="I198" s="56">
        <v>352115.99203353736</v>
      </c>
      <c r="J198" s="56">
        <v>1741.8474923060339</v>
      </c>
      <c r="K198" s="16">
        <f t="shared" si="57"/>
        <v>2.6798010257835347E-2</v>
      </c>
      <c r="L198" s="58">
        <f t="shared" si="57"/>
        <v>2.6798010257835347E-2</v>
      </c>
      <c r="M198" s="10"/>
      <c r="N198" s="56">
        <v>278897</v>
      </c>
      <c r="O198" s="56">
        <v>26673</v>
      </c>
      <c r="P198" s="56">
        <v>55982</v>
      </c>
      <c r="R198" s="56">
        <f t="shared" si="41"/>
        <v>55982</v>
      </c>
      <c r="S198" s="56">
        <f t="shared" si="42"/>
        <v>0</v>
      </c>
      <c r="U198" s="16">
        <v>4.8495469921346901E-2</v>
      </c>
      <c r="V198" s="16">
        <v>-4.6553790838961717E-2</v>
      </c>
      <c r="W198" s="56">
        <f t="shared" si="43"/>
        <v>3</v>
      </c>
      <c r="X198" s="56">
        <f t="shared" si="44"/>
        <v>2659.9733427643851</v>
      </c>
      <c r="Y198" s="56">
        <f t="shared" si="44"/>
        <v>279.75359012093884</v>
      </c>
      <c r="AA198" s="56">
        <f t="shared" si="56"/>
        <v>0</v>
      </c>
      <c r="AB198" s="56">
        <v>0</v>
      </c>
      <c r="AC198" s="56">
        <f t="shared" si="45"/>
        <v>0</v>
      </c>
      <c r="AE198" s="56">
        <v>0</v>
      </c>
      <c r="AF198" s="56">
        <f t="shared" si="46"/>
        <v>0</v>
      </c>
      <c r="AG198" s="56">
        <f t="shared" si="47"/>
        <v>0</v>
      </c>
      <c r="AI198" s="56">
        <f t="shared" si="48"/>
        <v>0</v>
      </c>
      <c r="AJ198" s="56">
        <f t="shared" si="49"/>
        <v>0</v>
      </c>
      <c r="AK198" s="56">
        <f t="shared" si="50"/>
        <v>0</v>
      </c>
      <c r="AM198" s="56">
        <f t="shared" si="51"/>
        <v>278897</v>
      </c>
      <c r="AN198" s="56">
        <f t="shared" si="52"/>
        <v>26673</v>
      </c>
      <c r="AO198" s="56">
        <f t="shared" si="53"/>
        <v>55982</v>
      </c>
      <c r="AP198" s="56"/>
      <c r="AQ198" s="56">
        <f t="shared" si="54"/>
        <v>361552</v>
      </c>
      <c r="AS198" s="56">
        <v>1379.6477611144858</v>
      </c>
      <c r="AT198" s="56">
        <v>131.94600419583816</v>
      </c>
      <c r="AU198" s="56">
        <v>276.93177396211195</v>
      </c>
      <c r="AV198" s="56"/>
      <c r="AW198" s="56">
        <v>1788.5255392724359</v>
      </c>
      <c r="AY198" s="16">
        <v>4.8495469921346901E-2</v>
      </c>
      <c r="AZ198" s="16">
        <v>-4.6553790838961717E-2</v>
      </c>
      <c r="BA198" s="16">
        <v>-3.7171931962161842E-2</v>
      </c>
      <c r="BB198" s="16">
        <f t="shared" si="55"/>
        <v>2.6798010257835347E-2</v>
      </c>
      <c r="BC198" s="16"/>
      <c r="BE198" s="16">
        <f>AM198/'2016-17 disagg'!AM198-1</f>
        <v>2.003145344159174E-2</v>
      </c>
      <c r="BF198" s="16">
        <f>AN198/'2016-17 disagg'!AN198-1</f>
        <v>1.8403268298270437E-2</v>
      </c>
      <c r="BG198" s="16">
        <f>AO198/'2016-17 disagg'!AO198-1</f>
        <v>4.5064217443249621E-2</v>
      </c>
      <c r="BH198" s="16">
        <f>AQ198/'2016-17 disagg'!AQ198-1</f>
        <v>2.3707525079350589E-2</v>
      </c>
      <c r="BJ198" s="16">
        <f>AS198/'2016-17 disagg'!AS198-1</f>
        <v>1.5382746459960295E-2</v>
      </c>
      <c r="BK198" s="16">
        <f>AT198/'2016-17 disagg'!AT198-1</f>
        <v>1.376198163256892E-2</v>
      </c>
      <c r="BL198" s="16">
        <f>AU198/'2016-17 disagg'!AU198-1</f>
        <v>4.0301425759238452E-2</v>
      </c>
      <c r="BM198" s="16">
        <f>AW198/'2016-17 disagg'!AW198-1</f>
        <v>1.904206471248826E-2</v>
      </c>
    </row>
    <row r="199" spans="1:65" x14ac:dyDescent="0.2">
      <c r="A199" s="156" t="s">
        <v>443</v>
      </c>
      <c r="B199" s="156" t="s">
        <v>444</v>
      </c>
      <c r="D199" s="56">
        <f>VLOOKUP(A199,'2017-18'!$A$12:$AMX407,32,FALSE)</f>
        <v>180233.4610520931</v>
      </c>
      <c r="E199" s="56">
        <v>1294.9118656110222</v>
      </c>
      <c r="F199" s="16">
        <f>VLOOKUP(A199,'2017-18'!$A$12:$AMX407,34,FALSE)</f>
        <v>2.5469603214057557E-2</v>
      </c>
      <c r="G199" s="16">
        <f>VLOOKUP(A199,'2017-18'!$A$12:$AMX407,35,FALSE)</f>
        <v>2.1408416674762343E-2</v>
      </c>
      <c r="H199" s="56"/>
      <c r="I199" s="56">
        <v>185555.2848877928</v>
      </c>
      <c r="J199" s="56">
        <v>1333.1472342895793</v>
      </c>
      <c r="K199" s="16">
        <f t="shared" si="57"/>
        <v>-2.8680529573263613E-2</v>
      </c>
      <c r="L199" s="58">
        <f t="shared" si="57"/>
        <v>-2.8680529573263724E-2</v>
      </c>
      <c r="M199" s="10"/>
      <c r="N199" s="56">
        <v>135306</v>
      </c>
      <c r="O199" s="56">
        <v>18535</v>
      </c>
      <c r="P199" s="56">
        <v>26015</v>
      </c>
      <c r="R199" s="56">
        <f t="shared" si="41"/>
        <v>26015</v>
      </c>
      <c r="S199" s="56">
        <f t="shared" si="42"/>
        <v>377.4610520931019</v>
      </c>
      <c r="U199" s="16">
        <v>-4.2169991304780274E-2</v>
      </c>
      <c r="V199" s="16">
        <v>3.4197279145138149E-2</v>
      </c>
      <c r="W199" s="56">
        <f t="shared" si="43"/>
        <v>1</v>
      </c>
      <c r="X199" s="56">
        <f t="shared" si="44"/>
        <v>1412.6306210046316</v>
      </c>
      <c r="Y199" s="56">
        <f t="shared" si="44"/>
        <v>179.2211251543896</v>
      </c>
      <c r="AA199" s="56">
        <f t="shared" si="56"/>
        <v>377.4610520931019</v>
      </c>
      <c r="AB199" s="56">
        <v>0</v>
      </c>
      <c r="AC199" s="56">
        <f t="shared" si="45"/>
        <v>0</v>
      </c>
      <c r="AE199" s="56">
        <v>0</v>
      </c>
      <c r="AF199" s="56">
        <f t="shared" si="46"/>
        <v>0</v>
      </c>
      <c r="AG199" s="56">
        <f t="shared" si="47"/>
        <v>0</v>
      </c>
      <c r="AI199" s="56">
        <f t="shared" si="48"/>
        <v>0</v>
      </c>
      <c r="AJ199" s="56">
        <f t="shared" si="49"/>
        <v>0</v>
      </c>
      <c r="AK199" s="56">
        <f t="shared" si="50"/>
        <v>0</v>
      </c>
      <c r="AM199" s="56">
        <f t="shared" si="51"/>
        <v>135683</v>
      </c>
      <c r="AN199" s="56">
        <f t="shared" si="52"/>
        <v>18535</v>
      </c>
      <c r="AO199" s="56">
        <f t="shared" si="53"/>
        <v>26015</v>
      </c>
      <c r="AP199" s="56"/>
      <c r="AQ199" s="56">
        <f t="shared" si="54"/>
        <v>180233</v>
      </c>
      <c r="AS199" s="56">
        <v>974.83300623583023</v>
      </c>
      <c r="AT199" s="56">
        <v>133.16723370341984</v>
      </c>
      <c r="AU199" s="56">
        <v>186.90831318017086</v>
      </c>
      <c r="AV199" s="56"/>
      <c r="AW199" s="56">
        <v>1294.908553119421</v>
      </c>
      <c r="AY199" s="16">
        <v>-3.9501211551642212E-2</v>
      </c>
      <c r="AZ199" s="16">
        <v>3.4197279145138149E-2</v>
      </c>
      <c r="BA199" s="16">
        <v>-1.3466393133334864E-2</v>
      </c>
      <c r="BB199" s="16">
        <f t="shared" si="55"/>
        <v>-2.8683014288767072E-2</v>
      </c>
      <c r="BC199" s="16"/>
      <c r="BE199" s="16">
        <f>AM199/'2016-17 disagg'!AM199-1</f>
        <v>2.2872392554787346E-2</v>
      </c>
      <c r="BF199" s="16">
        <f>AN199/'2016-17 disagg'!AN199-1</f>
        <v>1.8406593406593341E-2</v>
      </c>
      <c r="BG199" s="16">
        <f>AO199/'2016-17 disagg'!AO199-1</f>
        <v>4.4443552272362297E-2</v>
      </c>
      <c r="BH199" s="16">
        <f>AQ199/'2016-17 disagg'!AQ199-1</f>
        <v>2.5466979978037818E-2</v>
      </c>
      <c r="BJ199" s="16">
        <f>AS199/'2016-17 disagg'!AS199-1</f>
        <v>1.8821491797670564E-2</v>
      </c>
      <c r="BK199" s="16">
        <f>AT199/'2016-17 disagg'!AT199-1</f>
        <v>1.4373378637760226E-2</v>
      </c>
      <c r="BL199" s="16">
        <f>AU199/'2016-17 disagg'!AU199-1</f>
        <v>4.0307222846070356E-2</v>
      </c>
      <c r="BM199" s="16">
        <f>AW199/'2016-17 disagg'!AW199-1</f>
        <v>2.1405803827593717E-2</v>
      </c>
    </row>
    <row r="200" spans="1:65" x14ac:dyDescent="0.2">
      <c r="A200" s="156" t="s">
        <v>445</v>
      </c>
      <c r="B200" s="156" t="s">
        <v>446</v>
      </c>
      <c r="D200" s="56">
        <f>VLOOKUP(A200,'2017-18'!$A$12:$AMX408,32,FALSE)</f>
        <v>435503</v>
      </c>
      <c r="E200" s="56">
        <v>1565.6652415734904</v>
      </c>
      <c r="F200" s="16">
        <f>VLOOKUP(A200,'2017-18'!$A$12:$AMX408,34,FALSE)</f>
        <v>2.8235555219764619E-2</v>
      </c>
      <c r="G200" s="16">
        <f>VLOOKUP(A200,'2017-18'!$A$12:$AMX408,35,FALSE)</f>
        <v>2.1965885439405142E-2</v>
      </c>
      <c r="H200" s="56"/>
      <c r="I200" s="56">
        <v>441696.92795068736</v>
      </c>
      <c r="J200" s="56">
        <v>1587.9328670575899</v>
      </c>
      <c r="K200" s="16">
        <f t="shared" si="57"/>
        <v>-1.402302700954916E-2</v>
      </c>
      <c r="L200" s="58">
        <f t="shared" si="57"/>
        <v>-1.402302700954916E-2</v>
      </c>
      <c r="M200" s="10"/>
      <c r="N200" s="56">
        <v>321550</v>
      </c>
      <c r="O200" s="56">
        <v>34551</v>
      </c>
      <c r="P200" s="56">
        <v>79402</v>
      </c>
      <c r="R200" s="56">
        <f t="shared" si="41"/>
        <v>79402</v>
      </c>
      <c r="S200" s="56">
        <f t="shared" si="42"/>
        <v>0</v>
      </c>
      <c r="U200" s="16">
        <v>-4.7463520843478935E-2</v>
      </c>
      <c r="V200" s="16">
        <v>-5.0815073896513296E-2</v>
      </c>
      <c r="W200" s="56">
        <f t="shared" si="43"/>
        <v>4</v>
      </c>
      <c r="X200" s="56">
        <f t="shared" si="44"/>
        <v>3375.723733801095</v>
      </c>
      <c r="Y200" s="56">
        <f t="shared" si="44"/>
        <v>364.00704488466573</v>
      </c>
      <c r="AA200" s="56">
        <f t="shared" si="56"/>
        <v>0</v>
      </c>
      <c r="AB200" s="56">
        <v>0</v>
      </c>
      <c r="AC200" s="56">
        <f t="shared" si="45"/>
        <v>0</v>
      </c>
      <c r="AE200" s="56">
        <v>0</v>
      </c>
      <c r="AF200" s="56">
        <f t="shared" si="46"/>
        <v>0</v>
      </c>
      <c r="AG200" s="56">
        <f t="shared" si="47"/>
        <v>0</v>
      </c>
      <c r="AI200" s="56">
        <f t="shared" si="48"/>
        <v>0</v>
      </c>
      <c r="AJ200" s="56">
        <f t="shared" si="49"/>
        <v>0</v>
      </c>
      <c r="AK200" s="56">
        <f t="shared" si="50"/>
        <v>0</v>
      </c>
      <c r="AM200" s="56">
        <f t="shared" si="51"/>
        <v>321550</v>
      </c>
      <c r="AN200" s="56">
        <f t="shared" si="52"/>
        <v>34551</v>
      </c>
      <c r="AO200" s="56">
        <f t="shared" si="53"/>
        <v>79402</v>
      </c>
      <c r="AP200" s="56"/>
      <c r="AQ200" s="56">
        <f t="shared" si="54"/>
        <v>435503</v>
      </c>
      <c r="AS200" s="56">
        <v>1155.9958448689351</v>
      </c>
      <c r="AT200" s="56">
        <v>124.21338030187087</v>
      </c>
      <c r="AU200" s="56">
        <v>285.4560164026845</v>
      </c>
      <c r="AV200" s="56"/>
      <c r="AW200" s="56">
        <v>1565.6652415734904</v>
      </c>
      <c r="AY200" s="16">
        <v>-4.7463520843478935E-2</v>
      </c>
      <c r="AZ200" s="16">
        <v>-5.0815073896513296E-2</v>
      </c>
      <c r="BA200" s="16">
        <v>0.17243777345395506</v>
      </c>
      <c r="BB200" s="16">
        <f t="shared" si="55"/>
        <v>-1.402302700954916E-2</v>
      </c>
      <c r="BC200" s="16"/>
      <c r="BE200" s="16">
        <f>AM200/'2016-17 disagg'!AM200-1</f>
        <v>2.002943826212733E-2</v>
      </c>
      <c r="BF200" s="16">
        <f>AN200/'2016-17 disagg'!AN200-1</f>
        <v>6.4844207476808302E-2</v>
      </c>
      <c r="BG200" s="16">
        <f>AO200/'2016-17 disagg'!AO200-1</f>
        <v>4.66774759098878E-2</v>
      </c>
      <c r="BH200" s="16">
        <f>AQ200/'2016-17 disagg'!AQ200-1</f>
        <v>2.8235555219764619E-2</v>
      </c>
      <c r="BJ200" s="16">
        <f>AS200/'2016-17 disagg'!AS200-1</f>
        <v>1.3809805307709366E-2</v>
      </c>
      <c r="BK200" s="16">
        <f>AT200/'2016-17 disagg'!AT200-1</f>
        <v>5.8351316315325974E-2</v>
      </c>
      <c r="BL200" s="16">
        <f>AU200/'2016-17 disagg'!AU200-1</f>
        <v>4.0295356455661624E-2</v>
      </c>
      <c r="BM200" s="16">
        <f>AW200/'2016-17 disagg'!AW200-1</f>
        <v>2.1965885439405142E-2</v>
      </c>
    </row>
    <row r="201" spans="1:65" x14ac:dyDescent="0.2">
      <c r="A201" s="156" t="s">
        <v>447</v>
      </c>
      <c r="B201" s="156" t="s">
        <v>448</v>
      </c>
      <c r="D201" s="56">
        <f>VLOOKUP(A201,'2017-18'!$A$12:$AMX409,32,FALSE)</f>
        <v>474296.50273376948</v>
      </c>
      <c r="E201" s="56">
        <v>1538.8440595233353</v>
      </c>
      <c r="F201" s="16">
        <f>VLOOKUP(A201,'2017-18'!$A$12:$AMX409,34,FALSE)</f>
        <v>2.9318324374970395E-2</v>
      </c>
      <c r="G201" s="16">
        <f>VLOOKUP(A201,'2017-18'!$A$12:$AMX409,35,FALSE)</f>
        <v>2.0331197932987211E-2</v>
      </c>
      <c r="H201" s="56"/>
      <c r="I201" s="56">
        <v>486450.51299923164</v>
      </c>
      <c r="J201" s="56">
        <v>1578.2774653962233</v>
      </c>
      <c r="K201" s="16">
        <f t="shared" si="57"/>
        <v>-2.4985090858525516E-2</v>
      </c>
      <c r="L201" s="58">
        <f t="shared" si="57"/>
        <v>-2.4985090858525516E-2</v>
      </c>
      <c r="M201" s="10"/>
      <c r="N201" s="56">
        <v>352933</v>
      </c>
      <c r="O201" s="56">
        <v>35963</v>
      </c>
      <c r="P201" s="56">
        <v>83461</v>
      </c>
      <c r="R201" s="56">
        <f t="shared" si="41"/>
        <v>83461</v>
      </c>
      <c r="S201" s="56">
        <f t="shared" si="42"/>
        <v>1939.5027337694773</v>
      </c>
      <c r="U201" s="16">
        <v>-3.2156982713368754E-2</v>
      </c>
      <c r="V201" s="16">
        <v>-4.1699028386277814E-2</v>
      </c>
      <c r="W201" s="56">
        <f t="shared" si="43"/>
        <v>4</v>
      </c>
      <c r="X201" s="56">
        <f t="shared" si="44"/>
        <v>3646.5934422862838</v>
      </c>
      <c r="Y201" s="56">
        <f t="shared" si="44"/>
        <v>375.27875965147393</v>
      </c>
      <c r="AA201" s="56">
        <f t="shared" si="56"/>
        <v>0</v>
      </c>
      <c r="AB201" s="56">
        <v>0</v>
      </c>
      <c r="AC201" s="56">
        <f t="shared" si="45"/>
        <v>1939.5027337694773</v>
      </c>
      <c r="AE201" s="56">
        <v>0</v>
      </c>
      <c r="AF201" s="56">
        <f t="shared" si="46"/>
        <v>0</v>
      </c>
      <c r="AG201" s="56">
        <f t="shared" si="47"/>
        <v>1939.5027337694773</v>
      </c>
      <c r="AI201" s="56">
        <f t="shared" si="48"/>
        <v>1758.5287635078244</v>
      </c>
      <c r="AJ201" s="56">
        <f t="shared" si="49"/>
        <v>180.97397026165291</v>
      </c>
      <c r="AK201" s="56">
        <f t="shared" si="50"/>
        <v>0</v>
      </c>
      <c r="AM201" s="56">
        <f t="shared" si="51"/>
        <v>354692</v>
      </c>
      <c r="AN201" s="56">
        <f t="shared" si="52"/>
        <v>36144</v>
      </c>
      <c r="AO201" s="56">
        <f t="shared" si="53"/>
        <v>83461</v>
      </c>
      <c r="AP201" s="56"/>
      <c r="AQ201" s="56">
        <f t="shared" si="54"/>
        <v>474297</v>
      </c>
      <c r="AS201" s="56">
        <v>1150.7900100769377</v>
      </c>
      <c r="AT201" s="56">
        <v>117.26837403781545</v>
      </c>
      <c r="AU201" s="56">
        <v>270.7872887773936</v>
      </c>
      <c r="AV201" s="56"/>
      <c r="AW201" s="56">
        <v>1538.8456728921467</v>
      </c>
      <c r="AY201" s="16">
        <v>-2.733330267379408E-2</v>
      </c>
      <c r="AZ201" s="16">
        <v>-3.6875947000907239E-2</v>
      </c>
      <c r="BA201" s="16">
        <v>-9.5212610229719052E-3</v>
      </c>
      <c r="BB201" s="16">
        <f t="shared" si="55"/>
        <v>-2.4984068624573141E-2</v>
      </c>
      <c r="BC201" s="16"/>
      <c r="BE201" s="16">
        <f>AM201/'2016-17 disagg'!AM201-1</f>
        <v>2.5112499024575019E-2</v>
      </c>
      <c r="BF201" s="16">
        <f>AN201/'2016-17 disagg'!AN201-1</f>
        <v>2.515812462773348E-2</v>
      </c>
      <c r="BG201" s="16">
        <f>AO201/'2016-17 disagg'!AO201-1</f>
        <v>4.9467476454537529E-2</v>
      </c>
      <c r="BH201" s="16">
        <f>AQ201/'2016-17 disagg'!AQ201-1</f>
        <v>2.9319403542200639E-2</v>
      </c>
      <c r="BJ201" s="16">
        <f>AS201/'2016-17 disagg'!AS201-1</f>
        <v>1.6162094249079217E-2</v>
      </c>
      <c r="BK201" s="16">
        <f>AT201/'2016-17 disagg'!AT201-1</f>
        <v>1.6207321488529658E-2</v>
      </c>
      <c r="BL201" s="16">
        <f>AU201/'2016-17 disagg'!AU201-1</f>
        <v>4.0304424865639454E-2</v>
      </c>
      <c r="BM201" s="16">
        <f>AW201/'2016-17 disagg'!AW201-1</f>
        <v>2.0332267677853233E-2</v>
      </c>
    </row>
    <row r="202" spans="1:65" x14ac:dyDescent="0.2">
      <c r="A202" s="156" t="s">
        <v>449</v>
      </c>
      <c r="B202" s="156" t="s">
        <v>450</v>
      </c>
      <c r="D202" s="56">
        <f>VLOOKUP(A202,'2017-18'!$A$12:$AMX410,32,FALSE)</f>
        <v>151129</v>
      </c>
      <c r="E202" s="56">
        <v>1578.4683322970598</v>
      </c>
      <c r="F202" s="16">
        <f>VLOOKUP(A202,'2017-18'!$A$12:$AMX410,34,FALSE)</f>
        <v>2.8109417198990405E-2</v>
      </c>
      <c r="G202" s="16">
        <f>VLOOKUP(A202,'2017-18'!$A$12:$AMX410,35,FALSE)</f>
        <v>2.2786393196943644E-2</v>
      </c>
      <c r="H202" s="56"/>
      <c r="I202" s="56">
        <v>152994.47942806283</v>
      </c>
      <c r="J202" s="56">
        <v>1597.9523505976426</v>
      </c>
      <c r="K202" s="16">
        <f t="shared" si="57"/>
        <v>-1.2193115954487577E-2</v>
      </c>
      <c r="L202" s="58">
        <f t="shared" si="57"/>
        <v>-1.2193115954487466E-2</v>
      </c>
      <c r="M202" s="10"/>
      <c r="N202" s="56">
        <v>115360</v>
      </c>
      <c r="O202" s="56">
        <v>10992</v>
      </c>
      <c r="P202" s="56">
        <v>24777</v>
      </c>
      <c r="R202" s="56">
        <f t="shared" si="41"/>
        <v>24777</v>
      </c>
      <c r="S202" s="56">
        <f t="shared" si="42"/>
        <v>0</v>
      </c>
      <c r="U202" s="16">
        <v>-6.1737626095237363E-3</v>
      </c>
      <c r="V202" s="16">
        <v>-5.2626747654412331E-2</v>
      </c>
      <c r="W202" s="56">
        <f t="shared" si="43"/>
        <v>4</v>
      </c>
      <c r="X202" s="56">
        <f t="shared" si="44"/>
        <v>1160.766295553886</v>
      </c>
      <c r="Y202" s="56">
        <f t="shared" si="44"/>
        <v>116.02607496871023</v>
      </c>
      <c r="AA202" s="56">
        <f t="shared" si="56"/>
        <v>0</v>
      </c>
      <c r="AB202" s="56">
        <v>0</v>
      </c>
      <c r="AC202" s="56">
        <f t="shared" si="45"/>
        <v>0</v>
      </c>
      <c r="AE202" s="56">
        <v>0</v>
      </c>
      <c r="AF202" s="56">
        <f t="shared" si="46"/>
        <v>0</v>
      </c>
      <c r="AG202" s="56">
        <f t="shared" si="47"/>
        <v>0</v>
      </c>
      <c r="AI202" s="56">
        <f t="shared" si="48"/>
        <v>0</v>
      </c>
      <c r="AJ202" s="56">
        <f t="shared" si="49"/>
        <v>0</v>
      </c>
      <c r="AK202" s="56">
        <f t="shared" si="50"/>
        <v>0</v>
      </c>
      <c r="AM202" s="56">
        <f t="shared" si="51"/>
        <v>115360</v>
      </c>
      <c r="AN202" s="56">
        <f t="shared" si="52"/>
        <v>10992</v>
      </c>
      <c r="AO202" s="56">
        <f t="shared" si="53"/>
        <v>24777</v>
      </c>
      <c r="AP202" s="56"/>
      <c r="AQ202" s="56">
        <f t="shared" si="54"/>
        <v>151129</v>
      </c>
      <c r="AS202" s="56">
        <v>1204.8786587206216</v>
      </c>
      <c r="AT202" s="56">
        <v>114.80605250222844</v>
      </c>
      <c r="AU202" s="56">
        <v>258.7836210742098</v>
      </c>
      <c r="AV202" s="56"/>
      <c r="AW202" s="56">
        <v>1578.4683322970598</v>
      </c>
      <c r="AY202" s="16">
        <v>-6.1737626095237363E-3</v>
      </c>
      <c r="AZ202" s="16">
        <v>-5.2626747654412331E-2</v>
      </c>
      <c r="BA202" s="16">
        <v>-2.1261592830636444E-2</v>
      </c>
      <c r="BB202" s="16">
        <f t="shared" si="55"/>
        <v>-1.2193115954487577E-2</v>
      </c>
      <c r="BC202" s="16"/>
      <c r="BE202" s="16">
        <f>AM202/'2016-17 disagg'!AM202-1</f>
        <v>2.0027410584022354E-2</v>
      </c>
      <c r="BF202" s="16">
        <f>AN202/'2016-17 disagg'!AN202-1</f>
        <v>7.6802507836990497E-2</v>
      </c>
      <c r="BG202" s="16">
        <f>AO202/'2016-17 disagg'!AO202-1</f>
        <v>4.5707774120030464E-2</v>
      </c>
      <c r="BH202" s="16">
        <f>AQ202/'2016-17 disagg'!AQ202-1</f>
        <v>2.8109417198990405E-2</v>
      </c>
      <c r="BJ202" s="16">
        <f>AS202/'2016-17 disagg'!AS202-1</f>
        <v>1.4746231072918059E-2</v>
      </c>
      <c r="BK202" s="16">
        <f>AT202/'2016-17 disagg'!AT202-1</f>
        <v>7.1227375950448257E-2</v>
      </c>
      <c r="BL202" s="16">
        <f>AU202/'2016-17 disagg'!AU202-1</f>
        <v>4.0293634839084103E-2</v>
      </c>
      <c r="BM202" s="16">
        <f>AW202/'2016-17 disagg'!AW202-1</f>
        <v>2.2786393196943644E-2</v>
      </c>
    </row>
    <row r="203" spans="1:65" x14ac:dyDescent="0.2">
      <c r="A203" s="156" t="s">
        <v>451</v>
      </c>
      <c r="B203" s="156" t="s">
        <v>452</v>
      </c>
      <c r="D203" s="56">
        <f>VLOOKUP(A203,'2017-18'!$A$12:$AMX411,32,FALSE)</f>
        <v>183146.33981546486</v>
      </c>
      <c r="E203" s="56">
        <v>1638.5189747224667</v>
      </c>
      <c r="F203" s="16">
        <f>VLOOKUP(A203,'2017-18'!$A$12:$AMX411,34,FALSE)</f>
        <v>3.1548845731870001E-2</v>
      </c>
      <c r="G203" s="16">
        <f>VLOOKUP(A203,'2017-18'!$A$12:$AMX411,35,FALSE)</f>
        <v>1.9919429954579071E-2</v>
      </c>
      <c r="H203" s="56"/>
      <c r="I203" s="56">
        <v>187445.85703018773</v>
      </c>
      <c r="J203" s="56">
        <v>1676.9846112487965</v>
      </c>
      <c r="K203" s="16">
        <f t="shared" si="57"/>
        <v>-2.2937381934402756E-2</v>
      </c>
      <c r="L203" s="58">
        <f t="shared" si="57"/>
        <v>-2.2937381934402867E-2</v>
      </c>
      <c r="M203" s="10"/>
      <c r="N203" s="56">
        <v>141187</v>
      </c>
      <c r="O203" s="56">
        <v>14518</v>
      </c>
      <c r="P203" s="56">
        <v>26608</v>
      </c>
      <c r="R203" s="56">
        <f t="shared" si="41"/>
        <v>26608</v>
      </c>
      <c r="S203" s="56">
        <f t="shared" si="42"/>
        <v>833.33981546486029</v>
      </c>
      <c r="U203" s="16">
        <v>-1.7077661145206702E-2</v>
      </c>
      <c r="V203" s="16">
        <v>1.6969032761917635E-3</v>
      </c>
      <c r="W203" s="56">
        <f t="shared" si="43"/>
        <v>1</v>
      </c>
      <c r="X203" s="56">
        <f t="shared" si="44"/>
        <v>1436.4003585929031</v>
      </c>
      <c r="Y203" s="56">
        <f t="shared" si="44"/>
        <v>144.93406091719783</v>
      </c>
      <c r="AA203" s="56">
        <f t="shared" si="56"/>
        <v>833.33981546486029</v>
      </c>
      <c r="AB203" s="56">
        <v>0</v>
      </c>
      <c r="AC203" s="56">
        <f t="shared" si="45"/>
        <v>0</v>
      </c>
      <c r="AE203" s="56">
        <v>0</v>
      </c>
      <c r="AF203" s="56">
        <f t="shared" si="46"/>
        <v>0</v>
      </c>
      <c r="AG203" s="56">
        <f t="shared" si="47"/>
        <v>0</v>
      </c>
      <c r="AI203" s="56">
        <f t="shared" si="48"/>
        <v>0</v>
      </c>
      <c r="AJ203" s="56">
        <f t="shared" si="49"/>
        <v>0</v>
      </c>
      <c r="AK203" s="56">
        <f t="shared" si="50"/>
        <v>0</v>
      </c>
      <c r="AM203" s="56">
        <f t="shared" si="51"/>
        <v>142020</v>
      </c>
      <c r="AN203" s="56">
        <f t="shared" si="52"/>
        <v>14518</v>
      </c>
      <c r="AO203" s="56">
        <f t="shared" si="53"/>
        <v>26608</v>
      </c>
      <c r="AP203" s="56"/>
      <c r="AQ203" s="56">
        <f t="shared" si="54"/>
        <v>183146</v>
      </c>
      <c r="AS203" s="56">
        <v>1270.5821204210349</v>
      </c>
      <c r="AT203" s="56">
        <v>129.88530646579767</v>
      </c>
      <c r="AU203" s="56">
        <v>238.04850767612234</v>
      </c>
      <c r="AV203" s="56"/>
      <c r="AW203" s="56">
        <v>1638.515934562955</v>
      </c>
      <c r="AY203" s="16">
        <v>-1.1278442320059701E-2</v>
      </c>
      <c r="AZ203" s="16">
        <v>1.6969032761917635E-3</v>
      </c>
      <c r="BA203" s="16">
        <v>-9.2261762528696001E-2</v>
      </c>
      <c r="BB203" s="16">
        <f t="shared" si="55"/>
        <v>-2.2939194807038321E-2</v>
      </c>
      <c r="BC203" s="16"/>
      <c r="BE203" s="16">
        <f>AM203/'2016-17 disagg'!AM203-1</f>
        <v>2.8683181225554133E-2</v>
      </c>
      <c r="BF203" s="16">
        <f>AN203/'2016-17 disagg'!AN203-1</f>
        <v>2.2682445759368841E-2</v>
      </c>
      <c r="BG203" s="16">
        <f>AO203/'2016-17 disagg'!AO203-1</f>
        <v>5.2157064336272763E-2</v>
      </c>
      <c r="BH203" s="16">
        <f>AQ203/'2016-17 disagg'!AQ203-1</f>
        <v>3.1546931763778208E-2</v>
      </c>
      <c r="BJ203" s="16">
        <f>AS203/'2016-17 disagg'!AS203-1</f>
        <v>1.7086072211205172E-2</v>
      </c>
      <c r="BK203" s="16">
        <f>AT203/'2016-17 disagg'!AT203-1</f>
        <v>1.1152987489814636E-2</v>
      </c>
      <c r="BL203" s="16">
        <f>AU203/'2016-17 disagg'!AU203-1</f>
        <v>4.0295316814758841E-2</v>
      </c>
      <c r="BM203" s="16">
        <f>AW203/'2016-17 disagg'!AW203-1</f>
        <v>1.9917537564070331E-2</v>
      </c>
    </row>
    <row r="204" spans="1:65" x14ac:dyDescent="0.2">
      <c r="A204" s="156" t="s">
        <v>453</v>
      </c>
      <c r="B204" s="156" t="s">
        <v>454</v>
      </c>
      <c r="D204" s="56">
        <f>VLOOKUP(A204,'2017-18'!$A$12:$AMX412,32,FALSE)</f>
        <v>273494</v>
      </c>
      <c r="E204" s="56">
        <v>1871.313971902101</v>
      </c>
      <c r="F204" s="16">
        <f>VLOOKUP(A204,'2017-18'!$A$12:$AMX412,34,FALSE)</f>
        <v>3.0101468162198497E-2</v>
      </c>
      <c r="G204" s="16">
        <f>VLOOKUP(A204,'2017-18'!$A$12:$AMX412,35,FALSE)</f>
        <v>2.1417844135287689E-2</v>
      </c>
      <c r="H204" s="56"/>
      <c r="I204" s="56">
        <v>273624.28261269559</v>
      </c>
      <c r="J204" s="56">
        <v>1872.2053979422815</v>
      </c>
      <c r="K204" s="16">
        <f t="shared" si="57"/>
        <v>-4.7613688175474067E-4</v>
      </c>
      <c r="L204" s="58">
        <f t="shared" si="57"/>
        <v>-4.7613688175462965E-4</v>
      </c>
      <c r="M204" s="10"/>
      <c r="N204" s="56">
        <v>209350</v>
      </c>
      <c r="O204" s="56">
        <v>21163</v>
      </c>
      <c r="P204" s="56">
        <v>42981</v>
      </c>
      <c r="R204" s="56">
        <f t="shared" si="41"/>
        <v>42981</v>
      </c>
      <c r="S204" s="56">
        <f t="shared" si="42"/>
        <v>0</v>
      </c>
      <c r="U204" s="16">
        <v>7.970255476252186E-3</v>
      </c>
      <c r="V204" s="16">
        <v>-5.5425632849394502E-2</v>
      </c>
      <c r="W204" s="56">
        <f t="shared" si="43"/>
        <v>3</v>
      </c>
      <c r="X204" s="56">
        <f t="shared" si="44"/>
        <v>2076.9462081109227</v>
      </c>
      <c r="Y204" s="56">
        <f t="shared" si="44"/>
        <v>224.04800231706599</v>
      </c>
      <c r="AA204" s="56">
        <f t="shared" si="56"/>
        <v>0</v>
      </c>
      <c r="AB204" s="56">
        <v>0</v>
      </c>
      <c r="AC204" s="56">
        <f t="shared" si="45"/>
        <v>0</v>
      </c>
      <c r="AE204" s="56">
        <v>0</v>
      </c>
      <c r="AF204" s="56">
        <f t="shared" si="46"/>
        <v>0</v>
      </c>
      <c r="AG204" s="56">
        <f t="shared" si="47"/>
        <v>0</v>
      </c>
      <c r="AI204" s="56">
        <f t="shared" si="48"/>
        <v>0</v>
      </c>
      <c r="AJ204" s="56">
        <f t="shared" si="49"/>
        <v>0</v>
      </c>
      <c r="AK204" s="56">
        <f t="shared" si="50"/>
        <v>0</v>
      </c>
      <c r="AM204" s="56">
        <f t="shared" si="51"/>
        <v>209350</v>
      </c>
      <c r="AN204" s="56">
        <f t="shared" si="52"/>
        <v>21163</v>
      </c>
      <c r="AO204" s="56">
        <f t="shared" si="53"/>
        <v>42981</v>
      </c>
      <c r="AP204" s="56"/>
      <c r="AQ204" s="56">
        <f t="shared" si="54"/>
        <v>273494</v>
      </c>
      <c r="AS204" s="56">
        <v>1432.4247698951526</v>
      </c>
      <c r="AT204" s="56">
        <v>144.80250969807076</v>
      </c>
      <c r="AU204" s="56">
        <v>294.08669230887773</v>
      </c>
      <c r="AV204" s="56"/>
      <c r="AW204" s="56">
        <v>1871.313971902101</v>
      </c>
      <c r="AY204" s="16">
        <v>7.970255476252186E-3</v>
      </c>
      <c r="AZ204" s="16">
        <v>-5.5425632849394502E-2</v>
      </c>
      <c r="BA204" s="16">
        <v>-1.2495423311647547E-2</v>
      </c>
      <c r="BB204" s="16">
        <f t="shared" si="55"/>
        <v>-4.7613688175474067E-4</v>
      </c>
      <c r="BC204" s="16"/>
      <c r="BE204" s="16">
        <f>AM204/'2016-17 disagg'!AM204-1</f>
        <v>2.0030306130901065E-2</v>
      </c>
      <c r="BF204" s="16">
        <f>AN204/'2016-17 disagg'!AN204-1</f>
        <v>9.6812645763151073E-2</v>
      </c>
      <c r="BG204" s="16">
        <f>AO204/'2016-17 disagg'!AO204-1</f>
        <v>4.9135910954891671E-2</v>
      </c>
      <c r="BH204" s="16">
        <f>AQ204/'2016-17 disagg'!AQ204-1</f>
        <v>3.0101468162198497E-2</v>
      </c>
      <c r="BJ204" s="16">
        <f>AS204/'2016-17 disagg'!AS204-1</f>
        <v>1.1431580715726142E-2</v>
      </c>
      <c r="BK204" s="16">
        <f>AT204/'2016-17 disagg'!AT204-1</f>
        <v>8.7566655015501205E-2</v>
      </c>
      <c r="BL204" s="16">
        <f>AU204/'2016-17 disagg'!AU204-1</f>
        <v>4.029182900234729E-2</v>
      </c>
      <c r="BM204" s="16">
        <f>AW204/'2016-17 disagg'!AW204-1</f>
        <v>2.1417844135287689E-2</v>
      </c>
    </row>
    <row r="205" spans="1:65" x14ac:dyDescent="0.2">
      <c r="A205" s="156" t="s">
        <v>455</v>
      </c>
      <c r="B205" s="156" t="s">
        <v>456</v>
      </c>
      <c r="D205" s="56">
        <f>VLOOKUP(A205,'2017-18'!$A$12:$AMX413,32,FALSE)</f>
        <v>874245</v>
      </c>
      <c r="E205" s="56">
        <v>1562.732302525056</v>
      </c>
      <c r="F205" s="16">
        <f>VLOOKUP(A205,'2017-18'!$A$12:$AMX413,34,FALSE)</f>
        <v>2.4415022574170164E-2</v>
      </c>
      <c r="G205" s="16">
        <f>VLOOKUP(A205,'2017-18'!$A$12:$AMX413,35,FALSE)</f>
        <v>1.7547874421053988E-2</v>
      </c>
      <c r="H205" s="56"/>
      <c r="I205" s="56">
        <v>884033.78955813556</v>
      </c>
      <c r="J205" s="56">
        <v>1580.2299806874914</v>
      </c>
      <c r="K205" s="16">
        <f t="shared" si="57"/>
        <v>-1.1072868111781431E-2</v>
      </c>
      <c r="L205" s="58">
        <f t="shared" si="57"/>
        <v>-1.1072868111781431E-2</v>
      </c>
      <c r="M205" s="10"/>
      <c r="N205" s="56">
        <v>656537</v>
      </c>
      <c r="O205" s="56">
        <v>69799</v>
      </c>
      <c r="P205" s="56">
        <v>147909</v>
      </c>
      <c r="R205" s="56">
        <f t="shared" ref="R205:R220" si="58">ROUND(P205,0)</f>
        <v>147909</v>
      </c>
      <c r="S205" s="56">
        <f t="shared" ref="S205:S220" si="59">D205-SUM(N205:P205)</f>
        <v>0</v>
      </c>
      <c r="U205" s="16">
        <v>-4.674715483434766E-2</v>
      </c>
      <c r="V205" s="16">
        <v>2.2253646407656147E-2</v>
      </c>
      <c r="W205" s="56">
        <f t="shared" ref="W205:W220" si="60">IF(AND(U205&lt;0,V205&gt;0),1,IF(AND(U205&gt;0,V205&gt;0),2,IF(AND(U205&gt;0,V205&lt;0),3,IF(AND(U205&lt;0,V205&lt;0),4,5))))</f>
        <v>1</v>
      </c>
      <c r="X205" s="56">
        <f t="shared" ref="X205:Y220" si="61">N205/(1+U205)/100</f>
        <v>6887.333233040702</v>
      </c>
      <c r="Y205" s="56">
        <f t="shared" si="61"/>
        <v>682.79531450226239</v>
      </c>
      <c r="AA205" s="56">
        <f t="shared" si="56"/>
        <v>0</v>
      </c>
      <c r="AB205" s="56">
        <v>0</v>
      </c>
      <c r="AC205" s="56">
        <f t="shared" ref="AC205:AC220" si="62">S205-AA205-AB205</f>
        <v>0</v>
      </c>
      <c r="AE205" s="56">
        <v>0</v>
      </c>
      <c r="AF205" s="56">
        <f t="shared" ref="AF205:AF220" si="63">IF(W205=3,MIN(S205,-1*V205*O205),0)</f>
        <v>0</v>
      </c>
      <c r="AG205" s="56">
        <f t="shared" ref="AG205:AG219" si="64">AC205-AE205-AF205</f>
        <v>0</v>
      </c>
      <c r="AI205" s="56">
        <f t="shared" ref="AI205:AI220" si="65">AG205*X205/(X205+Y205)</f>
        <v>0</v>
      </c>
      <c r="AJ205" s="56">
        <f t="shared" ref="AJ205:AJ220" si="66">AG205*Y205/(X205+Y205)</f>
        <v>0</v>
      </c>
      <c r="AK205" s="56">
        <f t="shared" ref="AK205:AK220" si="67">S205-SUM(AA205:AB205)-SUM(AE205:AF205)-SUM(AI205:AJ205)</f>
        <v>0</v>
      </c>
      <c r="AM205" s="56">
        <f t="shared" ref="AM205:AM220" si="68">ROUND(N205+AA205+AE205+AI205,0)</f>
        <v>656537</v>
      </c>
      <c r="AN205" s="56">
        <f t="shared" ref="AN205:AN220" si="69">ROUND(O205+AB205+AF205+AJ205,0)</f>
        <v>69799</v>
      </c>
      <c r="AO205" s="56">
        <f t="shared" ref="AO205:AO220" si="70">R205</f>
        <v>147909</v>
      </c>
      <c r="AP205" s="56"/>
      <c r="AQ205" s="56">
        <f t="shared" ref="AQ205:AQ220" si="71">SUM(AM205:AP205)</f>
        <v>874245</v>
      </c>
      <c r="AS205" s="56">
        <v>1173.5744301687657</v>
      </c>
      <c r="AT205" s="56">
        <v>124.76725858763434</v>
      </c>
      <c r="AU205" s="56">
        <v>264.39061376865584</v>
      </c>
      <c r="AV205" s="56"/>
      <c r="AW205" s="56">
        <v>1562.732302525056</v>
      </c>
      <c r="AY205" s="16">
        <v>-4.674715483434766E-2</v>
      </c>
      <c r="AZ205" s="16">
        <v>2.2253646407656147E-2</v>
      </c>
      <c r="BA205" s="16">
        <v>0.16444584688672514</v>
      </c>
      <c r="BB205" s="16">
        <f t="shared" ref="BB205:BB222" si="72">SUM(AM205:AO205)/I205-1</f>
        <v>-1.1072868111781431E-2</v>
      </c>
      <c r="BC205" s="16"/>
      <c r="BE205" s="16">
        <f>AM205/'2016-17 disagg'!AM205-1</f>
        <v>2.0029674743064829E-2</v>
      </c>
      <c r="BF205" s="16">
        <f>AN205/'2016-17 disagg'!AN205-1</f>
        <v>1.8398552627739262E-2</v>
      </c>
      <c r="BG205" s="16">
        <f>AO205/'2016-17 disagg'!AO205-1</f>
        <v>4.7321314772067469E-2</v>
      </c>
      <c r="BH205" s="16">
        <f>AQ205/'2016-17 disagg'!AQ205-1</f>
        <v>2.4415022574170164E-2</v>
      </c>
      <c r="BJ205" s="16">
        <f>AS205/'2016-17 disagg'!AS205-1</f>
        <v>1.3191923692290386E-2</v>
      </c>
      <c r="BK205" s="16">
        <f>AT205/'2016-17 disagg'!AT205-1</f>
        <v>1.1571735775483205E-2</v>
      </c>
      <c r="BL205" s="16">
        <f>AU205/'2016-17 disagg'!AU205-1</f>
        <v>4.03006146905871E-2</v>
      </c>
      <c r="BM205" s="16">
        <f>AW205/'2016-17 disagg'!AW205-1</f>
        <v>1.7547874421053988E-2</v>
      </c>
    </row>
    <row r="206" spans="1:65" x14ac:dyDescent="0.2">
      <c r="A206" s="156" t="s">
        <v>457</v>
      </c>
      <c r="B206" s="156" t="s">
        <v>458</v>
      </c>
      <c r="D206" s="56">
        <f>VLOOKUP(A206,'2017-18'!$A$12:$AMX414,32,FALSE)</f>
        <v>738687.36228403251</v>
      </c>
      <c r="E206" s="56">
        <v>1520.4935356792569</v>
      </c>
      <c r="F206" s="16">
        <f>VLOOKUP(A206,'2017-18'!$A$12:$AMX414,34,FALSE)</f>
        <v>3.0063478603586047E-2</v>
      </c>
      <c r="G206" s="16">
        <f>VLOOKUP(A206,'2017-18'!$A$12:$AMX414,35,FALSE)</f>
        <v>2.0361166491433158E-2</v>
      </c>
      <c r="H206" s="56"/>
      <c r="I206" s="56">
        <v>757668.55438733788</v>
      </c>
      <c r="J206" s="56">
        <v>1559.5638939473668</v>
      </c>
      <c r="K206" s="16">
        <f t="shared" si="57"/>
        <v>-2.5052104899158545E-2</v>
      </c>
      <c r="L206" s="58">
        <f t="shared" si="57"/>
        <v>-2.5052104899158767E-2</v>
      </c>
      <c r="M206" s="10"/>
      <c r="N206" s="56">
        <v>552180</v>
      </c>
      <c r="O206" s="56">
        <v>59523</v>
      </c>
      <c r="P206" s="56">
        <v>123765</v>
      </c>
      <c r="R206" s="56">
        <f t="shared" si="58"/>
        <v>123765</v>
      </c>
      <c r="S206" s="56">
        <f t="shared" si="59"/>
        <v>3219.3622840325115</v>
      </c>
      <c r="U206" s="16">
        <v>-3.0311997949965086E-2</v>
      </c>
      <c r="V206" s="16">
        <v>1.5350299191113859E-2</v>
      </c>
      <c r="W206" s="56">
        <f t="shared" si="60"/>
        <v>1</v>
      </c>
      <c r="X206" s="56">
        <f t="shared" si="61"/>
        <v>5694.4089112438878</v>
      </c>
      <c r="Y206" s="56">
        <f t="shared" si="61"/>
        <v>586.23117605243658</v>
      </c>
      <c r="AA206" s="56">
        <f t="shared" ref="AA206:AA220" si="73">IF(W206=1,MIN(S206,-1*U206*N206),0)</f>
        <v>3219.3622840325115</v>
      </c>
      <c r="AB206" s="56">
        <v>0</v>
      </c>
      <c r="AC206" s="56">
        <f t="shared" si="62"/>
        <v>0</v>
      </c>
      <c r="AE206" s="56">
        <v>0</v>
      </c>
      <c r="AF206" s="56">
        <f t="shared" si="63"/>
        <v>0</v>
      </c>
      <c r="AG206" s="56">
        <f t="shared" si="64"/>
        <v>0</v>
      </c>
      <c r="AI206" s="56">
        <f t="shared" si="65"/>
        <v>0</v>
      </c>
      <c r="AJ206" s="56">
        <f t="shared" si="66"/>
        <v>0</v>
      </c>
      <c r="AK206" s="56">
        <f t="shared" si="67"/>
        <v>0</v>
      </c>
      <c r="AM206" s="56">
        <f t="shared" si="68"/>
        <v>555399</v>
      </c>
      <c r="AN206" s="56">
        <f t="shared" si="69"/>
        <v>59523</v>
      </c>
      <c r="AO206" s="56">
        <f t="shared" si="70"/>
        <v>123765</v>
      </c>
      <c r="AP206" s="56"/>
      <c r="AQ206" s="56">
        <f t="shared" si="71"/>
        <v>738687</v>
      </c>
      <c r="AS206" s="56">
        <v>1143.2178650133892</v>
      </c>
      <c r="AT206" s="56">
        <v>122.52048883629962</v>
      </c>
      <c r="AU206" s="56">
        <v>254.75443611418481</v>
      </c>
      <c r="AV206" s="56"/>
      <c r="AW206" s="56">
        <v>1520.4927899638737</v>
      </c>
      <c r="AY206" s="16">
        <v>-2.4659084627137284E-2</v>
      </c>
      <c r="AZ206" s="16">
        <v>1.5350299191113859E-2</v>
      </c>
      <c r="BA206" s="16">
        <v>-4.5056642327407581E-2</v>
      </c>
      <c r="BB206" s="16">
        <f t="shared" si="72"/>
        <v>-2.5052583055511168E-2</v>
      </c>
      <c r="BC206" s="16"/>
      <c r="BE206" s="16">
        <f>AM206/'2016-17 disagg'!AM206-1</f>
        <v>2.6683845875141499E-2</v>
      </c>
      <c r="BF206" s="16">
        <f>AN206/'2016-17 disagg'!AN206-1</f>
        <v>2.0732585656960678E-2</v>
      </c>
      <c r="BG206" s="16">
        <f>AO206/'2016-17 disagg'!AO206-1</f>
        <v>5.0190920661858263E-2</v>
      </c>
      <c r="BH206" s="16">
        <f>AQ206/'2016-17 disagg'!AQ206-1</f>
        <v>3.0062973416182359E-2</v>
      </c>
      <c r="BJ206" s="16">
        <f>AS206/'2016-17 disagg'!AS206-1</f>
        <v>1.701336699680045E-2</v>
      </c>
      <c r="BK206" s="16">
        <f>AT206/'2016-17 disagg'!AT206-1</f>
        <v>1.111816253178155E-2</v>
      </c>
      <c r="BL206" s="16">
        <f>AU206/'2016-17 disagg'!AU206-1</f>
        <v>4.0299025355149842E-2</v>
      </c>
      <c r="BM206" s="16">
        <f>AW206/'2016-17 disagg'!AW206-1</f>
        <v>2.0360666062460453E-2</v>
      </c>
    </row>
    <row r="207" spans="1:65" x14ac:dyDescent="0.2">
      <c r="A207" s="156" t="s">
        <v>459</v>
      </c>
      <c r="B207" s="156" t="s">
        <v>460</v>
      </c>
      <c r="D207" s="56">
        <f>VLOOKUP(A207,'2017-18'!$A$12:$AMX415,32,FALSE)</f>
        <v>221214.39289854601</v>
      </c>
      <c r="E207" s="56">
        <v>1431.0055450864065</v>
      </c>
      <c r="F207" s="16">
        <f>VLOOKUP(A207,'2017-18'!$A$12:$AMX415,34,FALSE)</f>
        <v>2.9598533422754869E-2</v>
      </c>
      <c r="G207" s="16">
        <f>VLOOKUP(A207,'2017-18'!$A$12:$AMX415,35,FALSE)</f>
        <v>2.1346811374967523E-2</v>
      </c>
      <c r="H207" s="56"/>
      <c r="I207" s="56">
        <v>227697.05467838421</v>
      </c>
      <c r="J207" s="56">
        <v>1472.9409943685096</v>
      </c>
      <c r="K207" s="16">
        <f t="shared" si="57"/>
        <v>-2.8470556147486392E-2</v>
      </c>
      <c r="L207" s="58">
        <f t="shared" si="57"/>
        <v>-2.8470556147486392E-2</v>
      </c>
      <c r="M207" s="10"/>
      <c r="N207" s="56">
        <v>168418</v>
      </c>
      <c r="O207" s="56">
        <v>18462</v>
      </c>
      <c r="P207" s="56">
        <v>34026</v>
      </c>
      <c r="R207" s="56">
        <f t="shared" si="58"/>
        <v>34026</v>
      </c>
      <c r="S207" s="56">
        <f t="shared" si="59"/>
        <v>308.39289854600793</v>
      </c>
      <c r="U207" s="16">
        <v>-3.4990986810230273E-2</v>
      </c>
      <c r="V207" s="16">
        <v>-5.0879664651683698E-2</v>
      </c>
      <c r="W207" s="56">
        <f t="shared" si="60"/>
        <v>4</v>
      </c>
      <c r="X207" s="56">
        <f t="shared" si="61"/>
        <v>1745.2479479264769</v>
      </c>
      <c r="Y207" s="56">
        <f t="shared" si="61"/>
        <v>194.51695757023958</v>
      </c>
      <c r="AA207" s="56">
        <f t="shared" si="73"/>
        <v>0</v>
      </c>
      <c r="AB207" s="56">
        <v>0</v>
      </c>
      <c r="AC207" s="56">
        <f t="shared" si="62"/>
        <v>308.39289854600793</v>
      </c>
      <c r="AE207" s="56">
        <v>0</v>
      </c>
      <c r="AF207" s="56">
        <f t="shared" si="63"/>
        <v>0</v>
      </c>
      <c r="AG207" s="56">
        <f t="shared" si="64"/>
        <v>308.39289854600793</v>
      </c>
      <c r="AI207" s="56">
        <f t="shared" si="65"/>
        <v>277.46768271627008</v>
      </c>
      <c r="AJ207" s="56">
        <f t="shared" si="66"/>
        <v>30.925215829737862</v>
      </c>
      <c r="AK207" s="56">
        <f t="shared" si="67"/>
        <v>0</v>
      </c>
      <c r="AM207" s="56">
        <f t="shared" si="68"/>
        <v>168695</v>
      </c>
      <c r="AN207" s="56">
        <f t="shared" si="69"/>
        <v>18493</v>
      </c>
      <c r="AO207" s="56">
        <f t="shared" si="70"/>
        <v>34026</v>
      </c>
      <c r="AP207" s="56"/>
      <c r="AQ207" s="56">
        <f t="shared" si="71"/>
        <v>221214</v>
      </c>
      <c r="AS207" s="56">
        <v>1091.2648009257903</v>
      </c>
      <c r="AT207" s="56">
        <v>119.62867876060724</v>
      </c>
      <c r="AU207" s="56">
        <v>220.10952379324186</v>
      </c>
      <c r="AV207" s="56"/>
      <c r="AW207" s="56">
        <v>1431.0030034796393</v>
      </c>
      <c r="AY207" s="16">
        <v>-3.3403819781447353E-2</v>
      </c>
      <c r="AZ207" s="16">
        <v>-4.9285973264196037E-2</v>
      </c>
      <c r="BA207" s="16">
        <v>9.0578517643291612E-3</v>
      </c>
      <c r="BB207" s="16">
        <f t="shared" si="72"/>
        <v>-2.8472281679450595E-2</v>
      </c>
      <c r="BC207" s="16"/>
      <c r="BE207" s="16">
        <f>AM207/'2016-17 disagg'!AM207-1</f>
        <v>2.1706609493007845E-2</v>
      </c>
      <c r="BF207" s="16">
        <f>AN207/'2016-17 disagg'!AN207-1</f>
        <v>6.9083130997803277E-2</v>
      </c>
      <c r="BG207" s="16">
        <f>AO207/'2016-17 disagg'!AO207-1</f>
        <v>4.8696295383098054E-2</v>
      </c>
      <c r="BH207" s="16">
        <f>AQ207/'2016-17 disagg'!AQ207-1</f>
        <v>2.9596704754369263E-2</v>
      </c>
      <c r="BJ207" s="16">
        <f>AS207/'2016-17 disagg'!AS207-1</f>
        <v>1.3518137304827427E-2</v>
      </c>
      <c r="BK207" s="16">
        <f>AT207/'2016-17 disagg'!AT207-1</f>
        <v>6.0514959466278828E-2</v>
      </c>
      <c r="BL207" s="16">
        <f>AU207/'2016-17 disagg'!AU207-1</f>
        <v>4.0291514236724391E-2</v>
      </c>
      <c r="BM207" s="16">
        <f>AW207/'2016-17 disagg'!AW207-1</f>
        <v>2.1344997362452878E-2</v>
      </c>
    </row>
    <row r="208" spans="1:65" x14ac:dyDescent="0.2">
      <c r="A208" s="156" t="s">
        <v>461</v>
      </c>
      <c r="B208" s="156" t="s">
        <v>462</v>
      </c>
      <c r="D208" s="56">
        <f>VLOOKUP(A208,'2017-18'!$A$12:$AMX416,32,FALSE)</f>
        <v>220740.49780350187</v>
      </c>
      <c r="E208" s="56">
        <v>1355.9422767349504</v>
      </c>
      <c r="F208" s="16">
        <f>VLOOKUP(A208,'2017-18'!$A$12:$AMX416,34,FALSE)</f>
        <v>2.6337191520680481E-2</v>
      </c>
      <c r="G208" s="16">
        <f>VLOOKUP(A208,'2017-18'!$A$12:$AMX416,35,FALSE)</f>
        <v>1.6604465685871483E-2</v>
      </c>
      <c r="H208" s="56"/>
      <c r="I208" s="56">
        <v>222875.23184826726</v>
      </c>
      <c r="J208" s="56">
        <v>1369.0553038853172</v>
      </c>
      <c r="K208" s="16">
        <f t="shared" si="57"/>
        <v>-9.5781573711102297E-3</v>
      </c>
      <c r="L208" s="58">
        <f t="shared" si="57"/>
        <v>-9.5781573711103407E-3</v>
      </c>
      <c r="M208" s="10"/>
      <c r="N208" s="56">
        <v>172223</v>
      </c>
      <c r="O208" s="56">
        <v>18506</v>
      </c>
      <c r="P208" s="56">
        <v>29652</v>
      </c>
      <c r="R208" s="56">
        <f t="shared" si="58"/>
        <v>29652</v>
      </c>
      <c r="S208" s="56">
        <f t="shared" si="59"/>
        <v>359.49780350187211</v>
      </c>
      <c r="U208" s="16">
        <v>-2.2105355551582662E-5</v>
      </c>
      <c r="V208" s="16">
        <v>-3.9425942463754415E-2</v>
      </c>
      <c r="W208" s="56">
        <f t="shared" si="60"/>
        <v>4</v>
      </c>
      <c r="X208" s="56">
        <f t="shared" si="61"/>
        <v>1722.2680713480722</v>
      </c>
      <c r="Y208" s="56">
        <f t="shared" si="61"/>
        <v>192.65562977482045</v>
      </c>
      <c r="AA208" s="56">
        <f t="shared" si="73"/>
        <v>0</v>
      </c>
      <c r="AB208" s="56">
        <v>0</v>
      </c>
      <c r="AC208" s="56">
        <f t="shared" si="62"/>
        <v>359.49780350187211</v>
      </c>
      <c r="AE208" s="56">
        <v>0</v>
      </c>
      <c r="AF208" s="56">
        <f t="shared" si="63"/>
        <v>0</v>
      </c>
      <c r="AG208" s="56">
        <f t="shared" si="64"/>
        <v>359.49780350187211</v>
      </c>
      <c r="AI208" s="56">
        <f t="shared" si="65"/>
        <v>323.32963884042641</v>
      </c>
      <c r="AJ208" s="56">
        <f t="shared" si="66"/>
        <v>36.168164661445708</v>
      </c>
      <c r="AK208" s="56">
        <f t="shared" si="67"/>
        <v>0</v>
      </c>
      <c r="AM208" s="56">
        <f t="shared" si="68"/>
        <v>172546</v>
      </c>
      <c r="AN208" s="56">
        <f t="shared" si="69"/>
        <v>18542</v>
      </c>
      <c r="AO208" s="56">
        <f t="shared" si="70"/>
        <v>29652</v>
      </c>
      <c r="AP208" s="56"/>
      <c r="AQ208" s="56">
        <f t="shared" si="71"/>
        <v>220740</v>
      </c>
      <c r="AS208" s="56">
        <v>1059.8980178516076</v>
      </c>
      <c r="AT208" s="56">
        <v>113.8979115540465</v>
      </c>
      <c r="AU208" s="56">
        <v>182.14328947258045</v>
      </c>
      <c r="AV208" s="56"/>
      <c r="AW208" s="56">
        <v>1355.9392188782344</v>
      </c>
      <c r="AY208" s="16">
        <v>1.8533285874766658E-3</v>
      </c>
      <c r="AZ208" s="16">
        <v>-3.7557323309355573E-2</v>
      </c>
      <c r="BA208" s="16">
        <v>-5.515308803064578E-2</v>
      </c>
      <c r="BB208" s="16">
        <f t="shared" si="72"/>
        <v>-9.580390923478288E-3</v>
      </c>
      <c r="BC208" s="16"/>
      <c r="BE208" s="16">
        <f>AM208/'2016-17 disagg'!AM208-1</f>
        <v>2.2712993586780028E-2</v>
      </c>
      <c r="BF208" s="16">
        <f>AN208/'2016-17 disagg'!AN208-1</f>
        <v>2.2781179325941814E-2</v>
      </c>
      <c r="BG208" s="16">
        <f>AO208/'2016-17 disagg'!AO208-1</f>
        <v>5.0260333652109246E-2</v>
      </c>
      <c r="BH208" s="16">
        <f>AQ208/'2016-17 disagg'!AQ208-1</f>
        <v>2.6334876973720833E-2</v>
      </c>
      <c r="BJ208" s="16">
        <f>AS208/'2016-17 disagg'!AS208-1</f>
        <v>1.3014635915916895E-2</v>
      </c>
      <c r="BK208" s="16">
        <f>AT208/'2016-17 disagg'!AT208-1</f>
        <v>1.3082175051690736E-2</v>
      </c>
      <c r="BL208" s="16">
        <f>AU208/'2016-17 disagg'!AU208-1</f>
        <v>4.0300745353973211E-2</v>
      </c>
      <c r="BM208" s="16">
        <f>AW208/'2016-17 disagg'!AW208-1</f>
        <v>1.6602173087693517E-2</v>
      </c>
    </row>
    <row r="209" spans="1:65" x14ac:dyDescent="0.2">
      <c r="A209" s="156" t="s">
        <v>463</v>
      </c>
      <c r="B209" s="156" t="s">
        <v>464</v>
      </c>
      <c r="D209" s="56">
        <f>VLOOKUP(A209,'2017-18'!$A$12:$AMX417,32,FALSE)</f>
        <v>297138</v>
      </c>
      <c r="E209" s="56">
        <v>1446.8820810020886</v>
      </c>
      <c r="F209" s="16">
        <f>VLOOKUP(A209,'2017-18'!$A$12:$AMX417,34,FALSE)</f>
        <v>2.3484430972719794E-2</v>
      </c>
      <c r="G209" s="16">
        <f>VLOOKUP(A209,'2017-18'!$A$12:$AMX417,35,FALSE)</f>
        <v>1.9012275818649504E-2</v>
      </c>
      <c r="H209" s="56"/>
      <c r="I209" s="56">
        <v>302328.01970362721</v>
      </c>
      <c r="J209" s="56">
        <v>1472.1543333199543</v>
      </c>
      <c r="K209" s="16">
        <f t="shared" si="57"/>
        <v>-1.7166849796836581E-2</v>
      </c>
      <c r="L209" s="58">
        <f t="shared" si="57"/>
        <v>-1.716684979683647E-2</v>
      </c>
      <c r="M209" s="10"/>
      <c r="N209" s="56">
        <v>227863</v>
      </c>
      <c r="O209" s="56">
        <v>25321</v>
      </c>
      <c r="P209" s="56">
        <v>43954</v>
      </c>
      <c r="R209" s="56">
        <f t="shared" si="58"/>
        <v>43954</v>
      </c>
      <c r="S209" s="56">
        <f t="shared" si="59"/>
        <v>0</v>
      </c>
      <c r="U209" s="16">
        <v>-2.7967352667711665E-2</v>
      </c>
      <c r="V209" s="16">
        <v>2.6301267575755682E-2</v>
      </c>
      <c r="W209" s="56">
        <f t="shared" si="60"/>
        <v>1</v>
      </c>
      <c r="X209" s="56">
        <f t="shared" si="61"/>
        <v>2344.1908111354337</v>
      </c>
      <c r="Y209" s="56">
        <f t="shared" si="61"/>
        <v>246.7209268854474</v>
      </c>
      <c r="AA209" s="56">
        <f t="shared" si="73"/>
        <v>0</v>
      </c>
      <c r="AB209" s="56">
        <v>0</v>
      </c>
      <c r="AC209" s="56">
        <f t="shared" si="62"/>
        <v>0</v>
      </c>
      <c r="AE209" s="56">
        <v>0</v>
      </c>
      <c r="AF209" s="56">
        <f t="shared" si="63"/>
        <v>0</v>
      </c>
      <c r="AG209" s="56">
        <f t="shared" si="64"/>
        <v>0</v>
      </c>
      <c r="AI209" s="56">
        <f t="shared" si="65"/>
        <v>0</v>
      </c>
      <c r="AJ209" s="56">
        <f t="shared" si="66"/>
        <v>0</v>
      </c>
      <c r="AK209" s="56">
        <f t="shared" si="67"/>
        <v>0</v>
      </c>
      <c r="AM209" s="56">
        <f t="shared" si="68"/>
        <v>227863</v>
      </c>
      <c r="AN209" s="56">
        <f t="shared" si="69"/>
        <v>25321</v>
      </c>
      <c r="AO209" s="56">
        <f t="shared" si="70"/>
        <v>43954</v>
      </c>
      <c r="AP209" s="56"/>
      <c r="AQ209" s="56">
        <f t="shared" si="71"/>
        <v>297138</v>
      </c>
      <c r="AS209" s="56">
        <v>1109.5547914550777</v>
      </c>
      <c r="AT209" s="56">
        <v>123.29793285629535</v>
      </c>
      <c r="AU209" s="56">
        <v>214.02935669071542</v>
      </c>
      <c r="AV209" s="56"/>
      <c r="AW209" s="56">
        <v>1446.8820810020886</v>
      </c>
      <c r="AY209" s="16">
        <v>-2.7967352667711665E-2</v>
      </c>
      <c r="AZ209" s="16">
        <v>2.6301267575755682E-2</v>
      </c>
      <c r="BA209" s="16">
        <v>1.6586642330340462E-2</v>
      </c>
      <c r="BB209" s="16">
        <f t="shared" si="72"/>
        <v>-1.7166849796836581E-2</v>
      </c>
      <c r="BC209" s="16"/>
      <c r="BE209" s="16">
        <f>AM209/'2016-17 disagg'!AM209-1</f>
        <v>2.0027843806096124E-2</v>
      </c>
      <c r="BF209" s="16">
        <f>AN209/'2016-17 disagg'!AN209-1</f>
        <v>1.837998712998723E-2</v>
      </c>
      <c r="BG209" s="16">
        <f>AO209/'2016-17 disagg'!AO209-1</f>
        <v>4.4857013811300916E-2</v>
      </c>
      <c r="BH209" s="16">
        <f>AQ209/'2016-17 disagg'!AQ209-1</f>
        <v>2.3484430972719794E-2</v>
      </c>
      <c r="BJ209" s="16">
        <f>AS209/'2016-17 disagg'!AS209-1</f>
        <v>1.5570792344514528E-2</v>
      </c>
      <c r="BK209" s="16">
        <f>AT209/'2016-17 disagg'!AT209-1</f>
        <v>1.3930136042445973E-2</v>
      </c>
      <c r="BL209" s="16">
        <f>AU209/'2016-17 disagg'!AU209-1</f>
        <v>4.0291470322630696E-2</v>
      </c>
      <c r="BM209" s="16">
        <f>AW209/'2016-17 disagg'!AW209-1</f>
        <v>1.9012275818649504E-2</v>
      </c>
    </row>
    <row r="210" spans="1:65" x14ac:dyDescent="0.2">
      <c r="A210" s="156" t="s">
        <v>465</v>
      </c>
      <c r="B210" s="156" t="s">
        <v>466</v>
      </c>
      <c r="D210" s="56">
        <f>VLOOKUP(A210,'2017-18'!$A$12:$AMX418,32,FALSE)</f>
        <v>784658</v>
      </c>
      <c r="E210" s="56">
        <v>1573.8845996545845</v>
      </c>
      <c r="F210" s="16">
        <f>VLOOKUP(A210,'2017-18'!$A$12:$AMX418,34,FALSE)</f>
        <v>2.6484374284581724E-2</v>
      </c>
      <c r="G210" s="16">
        <f>VLOOKUP(A210,'2017-18'!$A$12:$AMX418,35,FALSE)</f>
        <v>1.6529586025601173E-2</v>
      </c>
      <c r="H210" s="56"/>
      <c r="I210" s="56">
        <v>773014.29092343536</v>
      </c>
      <c r="J210" s="56">
        <v>1550.5293870671087</v>
      </c>
      <c r="K210" s="16">
        <f t="shared" si="57"/>
        <v>1.5062734561679614E-2</v>
      </c>
      <c r="L210" s="58">
        <f t="shared" si="57"/>
        <v>1.5062734561679614E-2</v>
      </c>
      <c r="M210" s="10"/>
      <c r="N210" s="56">
        <v>571904</v>
      </c>
      <c r="O210" s="56">
        <v>63901</v>
      </c>
      <c r="P210" s="56">
        <v>148853</v>
      </c>
      <c r="R210" s="56">
        <f t="shared" si="58"/>
        <v>148853</v>
      </c>
      <c r="S210" s="56">
        <f t="shared" si="59"/>
        <v>0</v>
      </c>
      <c r="U210" s="16">
        <v>8.4677067277207918E-3</v>
      </c>
      <c r="V210" s="16">
        <v>-1.3780616151740643E-2</v>
      </c>
      <c r="W210" s="56">
        <f t="shared" si="60"/>
        <v>3</v>
      </c>
      <c r="X210" s="56">
        <f t="shared" si="61"/>
        <v>5671.0194702784866</v>
      </c>
      <c r="Y210" s="56">
        <f t="shared" si="61"/>
        <v>647.93899862986132</v>
      </c>
      <c r="AA210" s="56">
        <f t="shared" si="73"/>
        <v>0</v>
      </c>
      <c r="AB210" s="56">
        <v>0</v>
      </c>
      <c r="AC210" s="56">
        <f t="shared" si="62"/>
        <v>0</v>
      </c>
      <c r="AE210" s="56">
        <v>0</v>
      </c>
      <c r="AF210" s="56">
        <f t="shared" si="63"/>
        <v>0</v>
      </c>
      <c r="AG210" s="56">
        <f t="shared" si="64"/>
        <v>0</v>
      </c>
      <c r="AI210" s="56">
        <f t="shared" si="65"/>
        <v>0</v>
      </c>
      <c r="AJ210" s="56">
        <f t="shared" si="66"/>
        <v>0</v>
      </c>
      <c r="AK210" s="56">
        <f t="shared" si="67"/>
        <v>0</v>
      </c>
      <c r="AM210" s="56">
        <f t="shared" si="68"/>
        <v>571904</v>
      </c>
      <c r="AN210" s="56">
        <f t="shared" si="69"/>
        <v>63901</v>
      </c>
      <c r="AO210" s="56">
        <f t="shared" si="70"/>
        <v>148853</v>
      </c>
      <c r="AP210" s="56"/>
      <c r="AQ210" s="56">
        <f t="shared" si="71"/>
        <v>784658</v>
      </c>
      <c r="AS210" s="56">
        <v>1147.1378588899308</v>
      </c>
      <c r="AT210" s="56">
        <v>128.17405774557525</v>
      </c>
      <c r="AU210" s="56">
        <v>298.57268301907817</v>
      </c>
      <c r="AV210" s="56"/>
      <c r="AW210" s="56">
        <v>1573.8845996545845</v>
      </c>
      <c r="AY210" s="16">
        <v>8.4677067277207918E-3</v>
      </c>
      <c r="AZ210" s="16">
        <v>-1.3780616151740643E-2</v>
      </c>
      <c r="BA210" s="16">
        <v>5.480896576221217E-2</v>
      </c>
      <c r="BB210" s="16">
        <f t="shared" si="72"/>
        <v>1.5062734561679614E-2</v>
      </c>
      <c r="BC210" s="16"/>
      <c r="BE210" s="16">
        <f>AM210/'2016-17 disagg'!AM210-1</f>
        <v>2.1021943159522216E-2</v>
      </c>
      <c r="BF210" s="16">
        <f>AN210/'2016-17 disagg'!AN210-1</f>
        <v>2.1027402732284095E-2</v>
      </c>
      <c r="BG210" s="16">
        <f>AO210/'2016-17 disagg'!AO210-1</f>
        <v>5.048730054552264E-2</v>
      </c>
      <c r="BH210" s="16">
        <f>AQ210/'2016-17 disagg'!AQ210-1</f>
        <v>2.6484374284581724E-2</v>
      </c>
      <c r="BJ210" s="16">
        <f>AS210/'2016-17 disagg'!AS210-1</f>
        <v>1.1120129253187727E-2</v>
      </c>
      <c r="BK210" s="16">
        <f>AT210/'2016-17 disagg'!AT210-1</f>
        <v>1.1125535879317194E-2</v>
      </c>
      <c r="BL210" s="16">
        <f>AU210/'2016-17 disagg'!AU210-1</f>
        <v>4.0299733245272806E-2</v>
      </c>
      <c r="BM210" s="16">
        <f>AW210/'2016-17 disagg'!AW210-1</f>
        <v>1.6529586025601173E-2</v>
      </c>
    </row>
    <row r="211" spans="1:65" x14ac:dyDescent="0.2">
      <c r="A211" s="156" t="s">
        <v>467</v>
      </c>
      <c r="B211" s="156" t="s">
        <v>468</v>
      </c>
      <c r="D211" s="56">
        <f>VLOOKUP(A211,'2017-18'!$A$12:$AMX419,32,FALSE)</f>
        <v>1321790</v>
      </c>
      <c r="E211" s="56">
        <v>1660.2892659658428</v>
      </c>
      <c r="F211" s="16">
        <f>VLOOKUP(A211,'2017-18'!$A$12:$AMX419,34,FALSE)</f>
        <v>2.3584120309602108E-2</v>
      </c>
      <c r="G211" s="16">
        <f>VLOOKUP(A211,'2017-18'!$A$12:$AMX419,35,FALSE)</f>
        <v>1.764946945527246E-2</v>
      </c>
      <c r="H211" s="56"/>
      <c r="I211" s="56">
        <v>1318260.7693288801</v>
      </c>
      <c r="J211" s="56">
        <v>1655.8562290988837</v>
      </c>
      <c r="K211" s="16">
        <f t="shared" si="57"/>
        <v>2.6771870583059965E-3</v>
      </c>
      <c r="L211" s="58">
        <f t="shared" si="57"/>
        <v>2.6771870583062185E-3</v>
      </c>
      <c r="M211" s="10"/>
      <c r="N211" s="56">
        <v>1027620</v>
      </c>
      <c r="O211" s="56">
        <v>105158</v>
      </c>
      <c r="P211" s="56">
        <v>189012</v>
      </c>
      <c r="R211" s="56">
        <f t="shared" si="58"/>
        <v>189012</v>
      </c>
      <c r="S211" s="56">
        <f t="shared" si="59"/>
        <v>0</v>
      </c>
      <c r="U211" s="16">
        <v>-5.6920059049357929E-3</v>
      </c>
      <c r="V211" s="16">
        <v>6.5868194750786646E-3</v>
      </c>
      <c r="W211" s="56">
        <f t="shared" si="60"/>
        <v>1</v>
      </c>
      <c r="X211" s="56">
        <f t="shared" si="61"/>
        <v>10335.027034910381</v>
      </c>
      <c r="Y211" s="56">
        <f t="shared" si="61"/>
        <v>1044.6987578760316</v>
      </c>
      <c r="AA211" s="56">
        <f t="shared" si="73"/>
        <v>0</v>
      </c>
      <c r="AB211" s="56">
        <v>0</v>
      </c>
      <c r="AC211" s="56">
        <f t="shared" si="62"/>
        <v>0</v>
      </c>
      <c r="AE211" s="56">
        <v>0</v>
      </c>
      <c r="AF211" s="56">
        <f t="shared" si="63"/>
        <v>0</v>
      </c>
      <c r="AG211" s="56">
        <f t="shared" si="64"/>
        <v>0</v>
      </c>
      <c r="AI211" s="56">
        <f t="shared" si="65"/>
        <v>0</v>
      </c>
      <c r="AJ211" s="56">
        <f t="shared" si="66"/>
        <v>0</v>
      </c>
      <c r="AK211" s="56">
        <f t="shared" si="67"/>
        <v>0</v>
      </c>
      <c r="AM211" s="56">
        <f t="shared" si="68"/>
        <v>1027620</v>
      </c>
      <c r="AN211" s="56">
        <f t="shared" si="69"/>
        <v>105158</v>
      </c>
      <c r="AO211" s="56">
        <f t="shared" si="70"/>
        <v>189012</v>
      </c>
      <c r="AP211" s="56"/>
      <c r="AQ211" s="56">
        <f t="shared" si="71"/>
        <v>1321790</v>
      </c>
      <c r="AS211" s="56">
        <v>1290.7848111211458</v>
      </c>
      <c r="AT211" s="56">
        <v>132.08807649508324</v>
      </c>
      <c r="AU211" s="56">
        <v>237.41637834961367</v>
      </c>
      <c r="AV211" s="56"/>
      <c r="AW211" s="56">
        <v>1660.2892659658428</v>
      </c>
      <c r="AY211" s="16">
        <v>-5.6920059049357929E-3</v>
      </c>
      <c r="AZ211" s="16">
        <v>6.5868194750786646E-3</v>
      </c>
      <c r="BA211" s="16">
        <v>4.8388138720178775E-2</v>
      </c>
      <c r="BB211" s="16">
        <f t="shared" si="72"/>
        <v>2.6771870583059965E-3</v>
      </c>
      <c r="BC211" s="16"/>
      <c r="BE211" s="16">
        <f>AM211/'2016-17 disagg'!AM211-1</f>
        <v>2.0029957089298556E-2</v>
      </c>
      <c r="BF211" s="16">
        <f>AN211/'2016-17 disagg'!AN211-1</f>
        <v>1.8400511340525671E-2</v>
      </c>
      <c r="BG211" s="16">
        <f>AO211/'2016-17 disagg'!AO211-1</f>
        <v>4.6369494452932924E-2</v>
      </c>
      <c r="BH211" s="16">
        <f>AQ211/'2016-17 disagg'!AQ211-1</f>
        <v>2.3584120309602108E-2</v>
      </c>
      <c r="BJ211" s="16">
        <f>AS211/'2016-17 disagg'!AS211-1</f>
        <v>1.41159129612487E-2</v>
      </c>
      <c r="BK211" s="16">
        <f>AT211/'2016-17 disagg'!AT211-1</f>
        <v>1.2495914595854529E-2</v>
      </c>
      <c r="BL211" s="16">
        <f>AU211/'2016-17 disagg'!AU211-1</f>
        <v>4.0302735999977024E-2</v>
      </c>
      <c r="BM211" s="16">
        <f>AW211/'2016-17 disagg'!AW211-1</f>
        <v>1.764946945527246E-2</v>
      </c>
    </row>
    <row r="212" spans="1:65" x14ac:dyDescent="0.2">
      <c r="A212" s="156" t="s">
        <v>469</v>
      </c>
      <c r="B212" s="156" t="s">
        <v>470</v>
      </c>
      <c r="D212" s="56">
        <f>VLOOKUP(A212,'2017-18'!$A$12:$AMX420,32,FALSE)</f>
        <v>973793</v>
      </c>
      <c r="E212" s="56">
        <v>1511.7106310119184</v>
      </c>
      <c r="F212" s="16">
        <f>VLOOKUP(A212,'2017-18'!$A$12:$AMX420,34,FALSE)</f>
        <v>2.4011550445392604E-2</v>
      </c>
      <c r="G212" s="16">
        <f>VLOOKUP(A212,'2017-18'!$A$12:$AMX420,35,FALSE)</f>
        <v>1.7072585917037086E-2</v>
      </c>
      <c r="H212" s="56"/>
      <c r="I212" s="56">
        <v>982682.57473226846</v>
      </c>
      <c r="J212" s="56">
        <v>1525.5107555023851</v>
      </c>
      <c r="K212" s="16">
        <f t="shared" si="57"/>
        <v>-9.0462321820353742E-3</v>
      </c>
      <c r="L212" s="58">
        <f t="shared" si="57"/>
        <v>-9.0462321820353742E-3</v>
      </c>
      <c r="M212" s="10"/>
      <c r="N212" s="56">
        <v>744807</v>
      </c>
      <c r="O212" s="56">
        <v>79222</v>
      </c>
      <c r="P212" s="56">
        <v>149764</v>
      </c>
      <c r="R212" s="56">
        <f t="shared" si="58"/>
        <v>149764</v>
      </c>
      <c r="S212" s="56">
        <f t="shared" si="59"/>
        <v>0</v>
      </c>
      <c r="U212" s="16">
        <v>-1.6176253936673879E-2</v>
      </c>
      <c r="V212" s="16">
        <v>-1.2350796316213719E-2</v>
      </c>
      <c r="W212" s="56">
        <f t="shared" si="60"/>
        <v>4</v>
      </c>
      <c r="X212" s="56">
        <f t="shared" si="61"/>
        <v>7570.532862011838</v>
      </c>
      <c r="Y212" s="56">
        <f t="shared" si="61"/>
        <v>802.12690603620797</v>
      </c>
      <c r="AA212" s="56">
        <f t="shared" si="73"/>
        <v>0</v>
      </c>
      <c r="AB212" s="56">
        <v>0</v>
      </c>
      <c r="AC212" s="56">
        <f t="shared" si="62"/>
        <v>0</v>
      </c>
      <c r="AE212" s="56">
        <v>0</v>
      </c>
      <c r="AF212" s="56">
        <f t="shared" si="63"/>
        <v>0</v>
      </c>
      <c r="AG212" s="56">
        <f t="shared" si="64"/>
        <v>0</v>
      </c>
      <c r="AI212" s="56">
        <f t="shared" si="65"/>
        <v>0</v>
      </c>
      <c r="AJ212" s="56">
        <f t="shared" si="66"/>
        <v>0</v>
      </c>
      <c r="AK212" s="56">
        <f t="shared" si="67"/>
        <v>0</v>
      </c>
      <c r="AM212" s="56">
        <f t="shared" si="68"/>
        <v>744807</v>
      </c>
      <c r="AN212" s="56">
        <f t="shared" si="69"/>
        <v>79222</v>
      </c>
      <c r="AO212" s="56">
        <f t="shared" si="70"/>
        <v>149764</v>
      </c>
      <c r="AP212" s="56"/>
      <c r="AQ212" s="56">
        <f t="shared" si="71"/>
        <v>973793</v>
      </c>
      <c r="AS212" s="56">
        <v>1156.2340866612246</v>
      </c>
      <c r="AT212" s="56">
        <v>122.98377541225516</v>
      </c>
      <c r="AU212" s="56">
        <v>232.49276893843859</v>
      </c>
      <c r="AV212" s="56"/>
      <c r="AW212" s="56">
        <v>1511.7106310119184</v>
      </c>
      <c r="AY212" s="16">
        <v>-1.6176253936673879E-2</v>
      </c>
      <c r="AZ212" s="16">
        <v>-1.2350796316213719E-2</v>
      </c>
      <c r="BA212" s="16">
        <v>2.9896188842931659E-2</v>
      </c>
      <c r="BB212" s="16">
        <f t="shared" si="72"/>
        <v>-9.0462321820353742E-3</v>
      </c>
      <c r="BC212" s="16"/>
      <c r="BE212" s="16">
        <f>AM212/'2016-17 disagg'!AM212-1</f>
        <v>2.003064993474224E-2</v>
      </c>
      <c r="BF212" s="16">
        <f>AN212/'2016-17 disagg'!AN212-1</f>
        <v>1.8395444203056943E-2</v>
      </c>
      <c r="BG212" s="16">
        <f>AO212/'2016-17 disagg'!AO212-1</f>
        <v>4.7395917111345831E-2</v>
      </c>
      <c r="BH212" s="16">
        <f>AQ212/'2016-17 disagg'!AQ212-1</f>
        <v>2.4011550445392604E-2</v>
      </c>
      <c r="BJ212" s="16">
        <f>AS212/'2016-17 disagg'!AS212-1</f>
        <v>1.3118661007806898E-2</v>
      </c>
      <c r="BK212" s="16">
        <f>AT212/'2016-17 disagg'!AT212-1</f>
        <v>1.1494535848956655E-2</v>
      </c>
      <c r="BL212" s="16">
        <f>AU212/'2016-17 disagg'!AU212-1</f>
        <v>4.0298494125424522E-2</v>
      </c>
      <c r="BM212" s="16">
        <f>AW212/'2016-17 disagg'!AW212-1</f>
        <v>1.7072585917037086E-2</v>
      </c>
    </row>
    <row r="213" spans="1:65" x14ac:dyDescent="0.2">
      <c r="A213" s="156" t="s">
        <v>471</v>
      </c>
      <c r="B213" s="156" t="s">
        <v>472</v>
      </c>
      <c r="D213" s="56">
        <f>VLOOKUP(A213,'2017-18'!$A$12:$AMX421,32,FALSE)</f>
        <v>968063</v>
      </c>
      <c r="E213" s="56">
        <v>1698.8470001854457</v>
      </c>
      <c r="F213" s="16">
        <f>VLOOKUP(A213,'2017-18'!$A$12:$AMX421,34,FALSE)</f>
        <v>2.3280224176804643E-2</v>
      </c>
      <c r="G213" s="16">
        <f>VLOOKUP(A213,'2017-18'!$A$12:$AMX421,35,FALSE)</f>
        <v>1.5042252378619114E-2</v>
      </c>
      <c r="H213" s="56"/>
      <c r="I213" s="56">
        <v>949378.17901457741</v>
      </c>
      <c r="J213" s="56">
        <v>1666.0571382858718</v>
      </c>
      <c r="K213" s="16">
        <f t="shared" si="57"/>
        <v>1.9681114858587589E-2</v>
      </c>
      <c r="L213" s="58">
        <f t="shared" si="57"/>
        <v>1.9681114858587589E-2</v>
      </c>
      <c r="M213" s="10"/>
      <c r="N213" s="56">
        <v>745816</v>
      </c>
      <c r="O213" s="56">
        <v>80668</v>
      </c>
      <c r="P213" s="56">
        <v>141579</v>
      </c>
      <c r="R213" s="56">
        <f t="shared" si="58"/>
        <v>141579</v>
      </c>
      <c r="S213" s="56">
        <f t="shared" si="59"/>
        <v>0</v>
      </c>
      <c r="U213" s="16">
        <v>1.2932953720479645E-2</v>
      </c>
      <c r="V213" s="16">
        <v>0.10301040966822916</v>
      </c>
      <c r="W213" s="56">
        <f t="shared" si="60"/>
        <v>2</v>
      </c>
      <c r="X213" s="56">
        <f t="shared" si="61"/>
        <v>7362.9354959835682</v>
      </c>
      <c r="Y213" s="56">
        <f t="shared" si="61"/>
        <v>731.34395915867981</v>
      </c>
      <c r="AA213" s="56">
        <f t="shared" si="73"/>
        <v>0</v>
      </c>
      <c r="AB213" s="56">
        <v>0</v>
      </c>
      <c r="AC213" s="56">
        <f t="shared" si="62"/>
        <v>0</v>
      </c>
      <c r="AE213" s="56">
        <v>0</v>
      </c>
      <c r="AF213" s="56">
        <f t="shared" si="63"/>
        <v>0</v>
      </c>
      <c r="AG213" s="56">
        <f t="shared" si="64"/>
        <v>0</v>
      </c>
      <c r="AI213" s="56">
        <f t="shared" si="65"/>
        <v>0</v>
      </c>
      <c r="AJ213" s="56">
        <f t="shared" si="66"/>
        <v>0</v>
      </c>
      <c r="AK213" s="56">
        <f t="shared" si="67"/>
        <v>0</v>
      </c>
      <c r="AM213" s="56">
        <f t="shared" si="68"/>
        <v>745816</v>
      </c>
      <c r="AN213" s="56">
        <f t="shared" si="69"/>
        <v>80668</v>
      </c>
      <c r="AO213" s="56">
        <f t="shared" si="70"/>
        <v>141579</v>
      </c>
      <c r="AP213" s="56"/>
      <c r="AQ213" s="56">
        <f t="shared" si="71"/>
        <v>968063</v>
      </c>
      <c r="AS213" s="56">
        <v>1308.8272914989091</v>
      </c>
      <c r="AT213" s="56">
        <v>141.56371001779794</v>
      </c>
      <c r="AU213" s="56">
        <v>248.45599866873872</v>
      </c>
      <c r="AV213" s="56"/>
      <c r="AW213" s="56">
        <v>1698.8470001854457</v>
      </c>
      <c r="AY213" s="16">
        <v>1.2932953720479645E-2</v>
      </c>
      <c r="AZ213" s="16">
        <v>0.10301040966822916</v>
      </c>
      <c r="BA213" s="16">
        <v>1.1638183509306232E-2</v>
      </c>
      <c r="BB213" s="16">
        <f t="shared" si="72"/>
        <v>1.9681114858587589E-2</v>
      </c>
      <c r="BC213" s="16"/>
      <c r="BE213" s="16">
        <f>AM213/'2016-17 disagg'!AM213-1</f>
        <v>2.0029514299664486E-2</v>
      </c>
      <c r="BF213" s="16">
        <f>AN213/'2016-17 disagg'!AN213-1</f>
        <v>1.0003881355719946E-2</v>
      </c>
      <c r="BG213" s="16">
        <f>AO213/'2016-17 disagg'!AO213-1</f>
        <v>4.8741101785939156E-2</v>
      </c>
      <c r="BH213" s="16">
        <f>AQ213/'2016-17 disagg'!AQ213-1</f>
        <v>2.3280224176804643E-2</v>
      </c>
      <c r="BJ213" s="16">
        <f>AS213/'2016-17 disagg'!AS213-1</f>
        <v>1.1817712514012646E-2</v>
      </c>
      <c r="BK213" s="16">
        <f>AT213/'2016-17 disagg'!AT213-1</f>
        <v>1.8727914606135876E-3</v>
      </c>
      <c r="BL213" s="16">
        <f>AU213/'2016-17 disagg'!AU213-1</f>
        <v>4.0298155840159167E-2</v>
      </c>
      <c r="BM213" s="16">
        <f>AW213/'2016-17 disagg'!AW213-1</f>
        <v>1.5042252378619114E-2</v>
      </c>
    </row>
    <row r="214" spans="1:65" x14ac:dyDescent="0.2">
      <c r="A214" s="156" t="s">
        <v>473</v>
      </c>
      <c r="B214" s="156" t="s">
        <v>474</v>
      </c>
      <c r="D214" s="56">
        <f>VLOOKUP(A214,'2017-18'!$A$12:$AMX422,32,FALSE)</f>
        <v>361896.17895016196</v>
      </c>
      <c r="E214" s="56">
        <v>1644.6638332825523</v>
      </c>
      <c r="F214" s="16">
        <f>VLOOKUP(A214,'2017-18'!$A$12:$AMX422,34,FALSE)</f>
        <v>2.6000932596674353E-2</v>
      </c>
      <c r="G214" s="16">
        <f>VLOOKUP(A214,'2017-18'!$A$12:$AMX422,35,FALSE)</f>
        <v>1.5676304249670148E-2</v>
      </c>
      <c r="H214" s="56"/>
      <c r="I214" s="56">
        <v>364105.01847526553</v>
      </c>
      <c r="J214" s="56">
        <v>1654.7020671511755</v>
      </c>
      <c r="K214" s="16">
        <f t="shared" si="57"/>
        <v>-6.0664901965739038E-3</v>
      </c>
      <c r="L214" s="58">
        <f t="shared" si="57"/>
        <v>-6.0664901965739038E-3</v>
      </c>
      <c r="M214" s="10"/>
      <c r="N214" s="56">
        <v>276591</v>
      </c>
      <c r="O214" s="56">
        <v>28732</v>
      </c>
      <c r="P214" s="56">
        <v>56536</v>
      </c>
      <c r="R214" s="56">
        <f t="shared" si="58"/>
        <v>56536</v>
      </c>
      <c r="S214" s="56">
        <f t="shared" si="59"/>
        <v>37.178950161964167</v>
      </c>
      <c r="U214" s="16">
        <v>-1.6836720696958518E-2</v>
      </c>
      <c r="V214" s="16">
        <v>1.0369234615452916E-2</v>
      </c>
      <c r="W214" s="56">
        <f t="shared" si="60"/>
        <v>1</v>
      </c>
      <c r="X214" s="56">
        <f t="shared" si="61"/>
        <v>2813.2763481165985</v>
      </c>
      <c r="Y214" s="56">
        <f t="shared" si="61"/>
        <v>284.37128740301972</v>
      </c>
      <c r="AA214" s="56">
        <f t="shared" si="73"/>
        <v>37.178950161964167</v>
      </c>
      <c r="AB214" s="56">
        <v>0</v>
      </c>
      <c r="AC214" s="56">
        <f t="shared" si="62"/>
        <v>0</v>
      </c>
      <c r="AE214" s="56">
        <v>0</v>
      </c>
      <c r="AF214" s="56">
        <f t="shared" si="63"/>
        <v>0</v>
      </c>
      <c r="AG214" s="56">
        <f t="shared" si="64"/>
        <v>0</v>
      </c>
      <c r="AI214" s="56">
        <f t="shared" si="65"/>
        <v>0</v>
      </c>
      <c r="AJ214" s="56">
        <f t="shared" si="66"/>
        <v>0</v>
      </c>
      <c r="AK214" s="56">
        <f t="shared" si="67"/>
        <v>0</v>
      </c>
      <c r="AM214" s="56">
        <f t="shared" si="68"/>
        <v>276628</v>
      </c>
      <c r="AN214" s="56">
        <f t="shared" si="69"/>
        <v>28732</v>
      </c>
      <c r="AO214" s="56">
        <f t="shared" si="70"/>
        <v>56536</v>
      </c>
      <c r="AP214" s="56"/>
      <c r="AQ214" s="56">
        <f t="shared" si="71"/>
        <v>361896</v>
      </c>
      <c r="AS214" s="56">
        <v>1257.1563153639709</v>
      </c>
      <c r="AT214" s="56">
        <v>130.57468966640258</v>
      </c>
      <c r="AU214" s="56">
        <v>256.93201499999083</v>
      </c>
      <c r="AV214" s="56"/>
      <c r="AW214" s="56">
        <v>1644.6630200303644</v>
      </c>
      <c r="AY214" s="16">
        <v>-1.6705201445304629E-2</v>
      </c>
      <c r="AZ214" s="16">
        <v>1.0369234615452916E-2</v>
      </c>
      <c r="BA214" s="16">
        <v>4.0407338533752224E-2</v>
      </c>
      <c r="BB214" s="16">
        <f t="shared" si="72"/>
        <v>-6.0669816761000916E-3</v>
      </c>
      <c r="BC214" s="16"/>
      <c r="BE214" s="16">
        <f>AM214/'2016-17 disagg'!AM214-1</f>
        <v>2.1536507186221465E-2</v>
      </c>
      <c r="BF214" s="16">
        <f>AN214/'2016-17 disagg'!AN214-1</f>
        <v>2.1400639886242523E-2</v>
      </c>
      <c r="BG214" s="16">
        <f>AO214/'2016-17 disagg'!AO214-1</f>
        <v>5.0874551571590487E-2</v>
      </c>
      <c r="BH214" s="16">
        <f>AQ214/'2016-17 disagg'!AQ214-1</f>
        <v>2.6000425260471971E-2</v>
      </c>
      <c r="BJ214" s="16">
        <f>AS214/'2016-17 disagg'!AS214-1</f>
        <v>1.1256804269283993E-2</v>
      </c>
      <c r="BK214" s="16">
        <f>AT214/'2016-17 disagg'!AT214-1</f>
        <v>1.1122304199423727E-2</v>
      </c>
      <c r="BL214" s="16">
        <f>AU214/'2016-17 disagg'!AU214-1</f>
        <v>4.0299620458378316E-2</v>
      </c>
      <c r="BM214" s="16">
        <f>AW214/'2016-17 disagg'!AW214-1</f>
        <v>1.5675802018782603E-2</v>
      </c>
    </row>
    <row r="215" spans="1:65" x14ac:dyDescent="0.2">
      <c r="A215" s="156" t="s">
        <v>475</v>
      </c>
      <c r="B215" s="156" t="s">
        <v>476</v>
      </c>
      <c r="D215" s="56">
        <f>VLOOKUP(A215,'2017-18'!$A$12:$AMX423,32,FALSE)</f>
        <v>1507831</v>
      </c>
      <c r="E215" s="56">
        <v>1655.0566240260421</v>
      </c>
      <c r="F215" s="16">
        <f>VLOOKUP(A215,'2017-18'!$A$12:$AMX423,34,FALSE)</f>
        <v>2.3694948164542762E-2</v>
      </c>
      <c r="G215" s="16">
        <f>VLOOKUP(A215,'2017-18'!$A$12:$AMX423,35,FALSE)</f>
        <v>1.8507454877411567E-2</v>
      </c>
      <c r="H215" s="56"/>
      <c r="I215" s="56">
        <v>1504619.4048591077</v>
      </c>
      <c r="J215" s="56">
        <v>1651.5314465946035</v>
      </c>
      <c r="K215" s="16">
        <f t="shared" si="57"/>
        <v>2.1344900448050375E-3</v>
      </c>
      <c r="L215" s="58">
        <f t="shared" si="57"/>
        <v>2.1344900448050375E-3</v>
      </c>
      <c r="M215" s="10"/>
      <c r="N215" s="56">
        <v>1156173</v>
      </c>
      <c r="O215" s="56">
        <v>122224</v>
      </c>
      <c r="P215" s="56">
        <v>229434</v>
      </c>
      <c r="R215" s="56">
        <f t="shared" si="58"/>
        <v>229434</v>
      </c>
      <c r="S215" s="56">
        <f t="shared" si="59"/>
        <v>0</v>
      </c>
      <c r="U215" s="16">
        <v>1.5538114421018712E-3</v>
      </c>
      <c r="V215" s="16">
        <v>3.6727646714137085E-2</v>
      </c>
      <c r="W215" s="56">
        <f t="shared" si="60"/>
        <v>2</v>
      </c>
      <c r="X215" s="56">
        <f t="shared" si="61"/>
        <v>11543.793122161529</v>
      </c>
      <c r="Y215" s="56">
        <f t="shared" si="61"/>
        <v>1178.9402972649916</v>
      </c>
      <c r="AA215" s="56">
        <f t="shared" si="73"/>
        <v>0</v>
      </c>
      <c r="AB215" s="56">
        <v>0</v>
      </c>
      <c r="AC215" s="56">
        <f t="shared" si="62"/>
        <v>0</v>
      </c>
      <c r="AE215" s="56">
        <v>0</v>
      </c>
      <c r="AF215" s="56">
        <f t="shared" si="63"/>
        <v>0</v>
      </c>
      <c r="AG215" s="56">
        <f t="shared" si="64"/>
        <v>0</v>
      </c>
      <c r="AI215" s="56">
        <f t="shared" si="65"/>
        <v>0</v>
      </c>
      <c r="AJ215" s="56">
        <f t="shared" si="66"/>
        <v>0</v>
      </c>
      <c r="AK215" s="56">
        <f t="shared" si="67"/>
        <v>0</v>
      </c>
      <c r="AM215" s="56">
        <f t="shared" si="68"/>
        <v>1156173</v>
      </c>
      <c r="AN215" s="56">
        <f t="shared" si="69"/>
        <v>122224</v>
      </c>
      <c r="AO215" s="56">
        <f t="shared" si="70"/>
        <v>229434</v>
      </c>
      <c r="AP215" s="56"/>
      <c r="AQ215" s="56">
        <f t="shared" si="71"/>
        <v>1507831</v>
      </c>
      <c r="AS215" s="56">
        <v>1269.0625024754506</v>
      </c>
      <c r="AT215" s="56">
        <v>134.15803283986003</v>
      </c>
      <c r="AU215" s="56">
        <v>251.83608871073147</v>
      </c>
      <c r="AV215" s="56"/>
      <c r="AW215" s="56">
        <v>1655.0566240260421</v>
      </c>
      <c r="AY215" s="16">
        <v>1.5538114421018712E-3</v>
      </c>
      <c r="AZ215" s="16">
        <v>3.6727646714137085E-2</v>
      </c>
      <c r="BA215" s="16">
        <v>-1.2533300026274286E-2</v>
      </c>
      <c r="BB215" s="16">
        <f t="shared" si="72"/>
        <v>2.1344900448050375E-3</v>
      </c>
      <c r="BC215" s="16"/>
      <c r="BE215" s="16">
        <f>AM215/'2016-17 disagg'!AM215-1</f>
        <v>2.0029643484168025E-2</v>
      </c>
      <c r="BF215" s="16">
        <f>AN215/'2016-17 disagg'!AN215-1</f>
        <v>1.8261796854172285E-2</v>
      </c>
      <c r="BG215" s="16">
        <f>AO215/'2016-17 disagg'!AO215-1</f>
        <v>4.5600379167654026E-2</v>
      </c>
      <c r="BH215" s="16">
        <f>AQ215/'2016-17 disagg'!AQ215-1</f>
        <v>2.3694948164542762E-2</v>
      </c>
      <c r="BJ215" s="16">
        <f>AS215/'2016-17 disagg'!AS215-1</f>
        <v>1.4860723838978629E-2</v>
      </c>
      <c r="BK215" s="16">
        <f>AT215/'2016-17 disagg'!AT215-1</f>
        <v>1.3101835632136405E-2</v>
      </c>
      <c r="BL215" s="16">
        <f>AU215/'2016-17 disagg'!AU215-1</f>
        <v>4.0301881839246878E-2</v>
      </c>
      <c r="BM215" s="16">
        <f>AW215/'2016-17 disagg'!AW215-1</f>
        <v>1.8507454877411567E-2</v>
      </c>
    </row>
    <row r="216" spans="1:65" x14ac:dyDescent="0.2">
      <c r="A216" s="156" t="s">
        <v>477</v>
      </c>
      <c r="B216" s="156" t="s">
        <v>478</v>
      </c>
      <c r="D216" s="56">
        <f>VLOOKUP(A216,'2017-18'!$A$12:$AMX424,32,FALSE)</f>
        <v>916933.69817432296</v>
      </c>
      <c r="E216" s="56">
        <v>1612.9741868580018</v>
      </c>
      <c r="F216" s="16">
        <f>VLOOKUP(A216,'2017-18'!$A$12:$AMX424,34,FALSE)</f>
        <v>2.39108833565298E-2</v>
      </c>
      <c r="G216" s="16">
        <f>VLOOKUP(A216,'2017-18'!$A$12:$AMX424,35,FALSE)</f>
        <v>1.7571889624020232E-2</v>
      </c>
      <c r="H216" s="56"/>
      <c r="I216" s="56">
        <v>929303.76209994184</v>
      </c>
      <c r="J216" s="56">
        <v>1634.734313944108</v>
      </c>
      <c r="K216" s="16">
        <f t="shared" si="57"/>
        <v>-1.3311109273534294E-2</v>
      </c>
      <c r="L216" s="58">
        <f t="shared" si="57"/>
        <v>-1.3311109273534294E-2</v>
      </c>
      <c r="M216" s="10"/>
      <c r="N216" s="56">
        <v>707250</v>
      </c>
      <c r="O216" s="56">
        <v>78957</v>
      </c>
      <c r="P216" s="56">
        <v>129784</v>
      </c>
      <c r="R216" s="56">
        <f t="shared" si="58"/>
        <v>129784</v>
      </c>
      <c r="S216" s="56">
        <f t="shared" si="59"/>
        <v>942.69817432295531</v>
      </c>
      <c r="U216" s="16">
        <v>-2.5554313435889764E-2</v>
      </c>
      <c r="V216" s="16">
        <v>0.10284175709376364</v>
      </c>
      <c r="W216" s="56">
        <f t="shared" si="60"/>
        <v>1</v>
      </c>
      <c r="X216" s="56">
        <f t="shared" si="61"/>
        <v>7257.9725042835307</v>
      </c>
      <c r="Y216" s="56">
        <f t="shared" si="61"/>
        <v>715.94133512018516</v>
      </c>
      <c r="AA216" s="56">
        <f t="shared" si="73"/>
        <v>942.69817432295531</v>
      </c>
      <c r="AB216" s="56">
        <v>0</v>
      </c>
      <c r="AC216" s="56">
        <f t="shared" si="62"/>
        <v>0</v>
      </c>
      <c r="AE216" s="56">
        <v>0</v>
      </c>
      <c r="AF216" s="56">
        <f t="shared" si="63"/>
        <v>0</v>
      </c>
      <c r="AG216" s="56">
        <f t="shared" si="64"/>
        <v>0</v>
      </c>
      <c r="AI216" s="56">
        <f t="shared" si="65"/>
        <v>0</v>
      </c>
      <c r="AJ216" s="56">
        <f t="shared" si="66"/>
        <v>0</v>
      </c>
      <c r="AK216" s="56">
        <f t="shared" si="67"/>
        <v>0</v>
      </c>
      <c r="AM216" s="56">
        <f t="shared" si="68"/>
        <v>708193</v>
      </c>
      <c r="AN216" s="56">
        <f t="shared" si="69"/>
        <v>78957</v>
      </c>
      <c r="AO216" s="56">
        <f t="shared" si="70"/>
        <v>129784</v>
      </c>
      <c r="AP216" s="56"/>
      <c r="AQ216" s="56">
        <f t="shared" si="71"/>
        <v>916934</v>
      </c>
      <c r="AS216" s="56">
        <v>1245.7793083490328</v>
      </c>
      <c r="AT216" s="56">
        <v>138.89292445606577</v>
      </c>
      <c r="AU216" s="56">
        <v>228.30248499317401</v>
      </c>
      <c r="AV216" s="56"/>
      <c r="AW216" s="56">
        <v>1612.9747177982726</v>
      </c>
      <c r="AY216" s="16">
        <v>-2.4255052520470888E-2</v>
      </c>
      <c r="AZ216" s="16">
        <v>0.10284175709376364</v>
      </c>
      <c r="BA216" s="16">
        <v>-1.6134787267617967E-2</v>
      </c>
      <c r="BB216" s="16">
        <f t="shared" si="72"/>
        <v>-1.3310784486646132E-2</v>
      </c>
      <c r="BC216" s="16"/>
      <c r="BE216" s="16">
        <f>AM216/'2016-17 disagg'!AM216-1</f>
        <v>2.1389980991170621E-2</v>
      </c>
      <c r="BF216" s="16">
        <f>AN216/'2016-17 disagg'!AN216-1</f>
        <v>1.000319795330995E-2</v>
      </c>
      <c r="BG216" s="16">
        <f>AO216/'2016-17 disagg'!AO216-1</f>
        <v>4.6780229707058973E-2</v>
      </c>
      <c r="BH216" s="16">
        <f>AQ216/'2016-17 disagg'!AQ216-1</f>
        <v>2.3911220395725019E-2</v>
      </c>
      <c r="BJ216" s="16">
        <f>AS216/'2016-17 disagg'!AS216-1</f>
        <v>1.506659407030253E-2</v>
      </c>
      <c r="BK216" s="16">
        <f>AT216/'2016-17 disagg'!AT216-1</f>
        <v>3.7503061775601143E-3</v>
      </c>
      <c r="BL216" s="16">
        <f>AU216/'2016-17 disagg'!AU216-1</f>
        <v>4.0299652712237011E-2</v>
      </c>
      <c r="BM216" s="16">
        <f>AW216/'2016-17 disagg'!AW216-1</f>
        <v>1.7572224576618334E-2</v>
      </c>
    </row>
    <row r="217" spans="1:65" x14ac:dyDescent="0.2">
      <c r="A217" s="156" t="s">
        <v>479</v>
      </c>
      <c r="B217" s="156" t="s">
        <v>480</v>
      </c>
      <c r="D217" s="56">
        <f>VLOOKUP(A217,'2017-18'!$A$12:$AMX425,32,FALSE)</f>
        <v>511312</v>
      </c>
      <c r="E217" s="56">
        <v>1767.6028811767874</v>
      </c>
      <c r="F217" s="16">
        <f>VLOOKUP(A217,'2017-18'!$A$12:$AMX425,34,FALSE)</f>
        <v>2.0599131323454367E-2</v>
      </c>
      <c r="G217" s="16">
        <f>VLOOKUP(A217,'2017-18'!$A$12:$AMX425,35,FALSE)</f>
        <v>1.6062306580146402E-2</v>
      </c>
      <c r="H217" s="56"/>
      <c r="I217" s="56">
        <v>495712.4872634433</v>
      </c>
      <c r="J217" s="56">
        <v>1713.675448106389</v>
      </c>
      <c r="K217" s="16">
        <f t="shared" si="57"/>
        <v>3.146887185084446E-2</v>
      </c>
      <c r="L217" s="58">
        <f t="shared" si="57"/>
        <v>3.146887185084446E-2</v>
      </c>
      <c r="M217" s="10"/>
      <c r="N217" s="56">
        <v>401704</v>
      </c>
      <c r="O217" s="56">
        <v>37099</v>
      </c>
      <c r="P217" s="56">
        <v>72509</v>
      </c>
      <c r="R217" s="56">
        <f t="shared" si="58"/>
        <v>72509</v>
      </c>
      <c r="S217" s="56">
        <f t="shared" si="59"/>
        <v>0</v>
      </c>
      <c r="U217" s="16">
        <v>5.453433599559987E-2</v>
      </c>
      <c r="V217" s="16">
        <v>-2.9988550096366806E-2</v>
      </c>
      <c r="W217" s="56">
        <f t="shared" si="60"/>
        <v>3</v>
      </c>
      <c r="X217" s="56">
        <f t="shared" si="61"/>
        <v>3809.3022321624635</v>
      </c>
      <c r="Y217" s="56">
        <f t="shared" si="61"/>
        <v>382.45940296566232</v>
      </c>
      <c r="AA217" s="56">
        <f t="shared" si="73"/>
        <v>0</v>
      </c>
      <c r="AB217" s="56">
        <v>0</v>
      </c>
      <c r="AC217" s="56">
        <f t="shared" si="62"/>
        <v>0</v>
      </c>
      <c r="AE217" s="56">
        <v>0</v>
      </c>
      <c r="AF217" s="56">
        <f t="shared" si="63"/>
        <v>0</v>
      </c>
      <c r="AG217" s="56">
        <f t="shared" si="64"/>
        <v>0</v>
      </c>
      <c r="AI217" s="56">
        <f t="shared" si="65"/>
        <v>0</v>
      </c>
      <c r="AJ217" s="56">
        <f t="shared" si="66"/>
        <v>0</v>
      </c>
      <c r="AK217" s="56">
        <f t="shared" si="67"/>
        <v>0</v>
      </c>
      <c r="AM217" s="56">
        <f t="shared" si="68"/>
        <v>401704</v>
      </c>
      <c r="AN217" s="56">
        <f t="shared" si="69"/>
        <v>37099</v>
      </c>
      <c r="AO217" s="56">
        <f t="shared" si="70"/>
        <v>72509</v>
      </c>
      <c r="AP217" s="56"/>
      <c r="AQ217" s="56">
        <f t="shared" si="71"/>
        <v>511312</v>
      </c>
      <c r="AS217" s="56">
        <v>1388.6886045706735</v>
      </c>
      <c r="AT217" s="56">
        <v>128.25104689265584</v>
      </c>
      <c r="AU217" s="56">
        <v>250.66322971345809</v>
      </c>
      <c r="AV217" s="56"/>
      <c r="AW217" s="56">
        <v>1767.6028811767874</v>
      </c>
      <c r="AY217" s="16">
        <v>5.453433599559987E-2</v>
      </c>
      <c r="AZ217" s="16">
        <v>-2.9988550096366806E-2</v>
      </c>
      <c r="BA217" s="16">
        <v>-5.2619769976834818E-2</v>
      </c>
      <c r="BB217" s="16">
        <f t="shared" si="72"/>
        <v>3.146887185084446E-2</v>
      </c>
      <c r="BC217" s="16"/>
      <c r="BE217" s="16">
        <f>AM217/'2016-17 disagg'!AM217-1</f>
        <v>1.6526938834383831E-2</v>
      </c>
      <c r="BF217" s="16">
        <f>AN217/'2016-17 disagg'!AN217-1</f>
        <v>1.8391940486974567E-2</v>
      </c>
      <c r="BG217" s="16">
        <f>AO217/'2016-17 disagg'!AO217-1</f>
        <v>4.4948839890474046E-2</v>
      </c>
      <c r="BH217" s="16">
        <f>AQ217/'2016-17 disagg'!AQ217-1</f>
        <v>2.0599131323454367E-2</v>
      </c>
      <c r="BJ217" s="16">
        <f>AS217/'2016-17 disagg'!AS217-1</f>
        <v>1.2008216030492846E-2</v>
      </c>
      <c r="BK217" s="16">
        <f>AT217/'2016-17 disagg'!AT217-1</f>
        <v>1.3864927272692285E-2</v>
      </c>
      <c r="BL217" s="16">
        <f>AU217/'2016-17 disagg'!AU217-1</f>
        <v>4.0303774451158958E-2</v>
      </c>
      <c r="BM217" s="16">
        <f>AW217/'2016-17 disagg'!AW217-1</f>
        <v>1.6062306580146402E-2</v>
      </c>
    </row>
    <row r="218" spans="1:65" x14ac:dyDescent="0.2">
      <c r="A218" s="156" t="s">
        <v>481</v>
      </c>
      <c r="B218" s="156" t="s">
        <v>482</v>
      </c>
      <c r="D218" s="56">
        <f>VLOOKUP(A218,'2017-18'!$A$12:$AMX426,32,FALSE)</f>
        <v>384390.49496422958</v>
      </c>
      <c r="E218" s="56">
        <v>1432.3352798590602</v>
      </c>
      <c r="F218" s="16">
        <f>VLOOKUP(A218,'2017-18'!$A$12:$AMX426,34,FALSE)</f>
        <v>2.6812914453015146E-2</v>
      </c>
      <c r="G218" s="16">
        <f>VLOOKUP(A218,'2017-18'!$A$12:$AMX426,35,FALSE)</f>
        <v>1.8471404845529005E-2</v>
      </c>
      <c r="H218" s="56"/>
      <c r="I218" s="56">
        <v>391191.93115555384</v>
      </c>
      <c r="J218" s="56">
        <v>1457.6791349703851</v>
      </c>
      <c r="K218" s="16">
        <f t="shared" si="57"/>
        <v>-1.7386442944345215E-2</v>
      </c>
      <c r="L218" s="58">
        <f t="shared" si="57"/>
        <v>-1.7386442944345104E-2</v>
      </c>
      <c r="M218" s="10"/>
      <c r="N218" s="56">
        <v>284692</v>
      </c>
      <c r="O218" s="56">
        <v>33366</v>
      </c>
      <c r="P218" s="56">
        <v>65297</v>
      </c>
      <c r="R218" s="56">
        <f t="shared" si="58"/>
        <v>65297</v>
      </c>
      <c r="S218" s="56">
        <f t="shared" si="59"/>
        <v>1035.4949642295833</v>
      </c>
      <c r="U218" s="16">
        <v>-4.0265049862159619E-2</v>
      </c>
      <c r="V218" s="16">
        <v>7.0973729909079797E-2</v>
      </c>
      <c r="W218" s="56">
        <f t="shared" si="60"/>
        <v>1</v>
      </c>
      <c r="X218" s="56">
        <f t="shared" si="61"/>
        <v>2966.3606598791839</v>
      </c>
      <c r="Y218" s="56">
        <f t="shared" si="61"/>
        <v>311.54825807755901</v>
      </c>
      <c r="AA218" s="56">
        <f t="shared" si="73"/>
        <v>1035.4949642295833</v>
      </c>
      <c r="AB218" s="56">
        <v>0</v>
      </c>
      <c r="AC218" s="56">
        <f t="shared" si="62"/>
        <v>0</v>
      </c>
      <c r="AE218" s="56">
        <v>0</v>
      </c>
      <c r="AF218" s="56">
        <f t="shared" si="63"/>
        <v>0</v>
      </c>
      <c r="AG218" s="56">
        <f t="shared" si="64"/>
        <v>0</v>
      </c>
      <c r="AI218" s="56">
        <f t="shared" si="65"/>
        <v>0</v>
      </c>
      <c r="AJ218" s="56">
        <f t="shared" si="66"/>
        <v>0</v>
      </c>
      <c r="AK218" s="56">
        <f t="shared" si="67"/>
        <v>0</v>
      </c>
      <c r="AM218" s="56">
        <f t="shared" si="68"/>
        <v>285727</v>
      </c>
      <c r="AN218" s="56">
        <f t="shared" si="69"/>
        <v>33366</v>
      </c>
      <c r="AO218" s="56">
        <f t="shared" si="70"/>
        <v>65297</v>
      </c>
      <c r="AP218" s="56"/>
      <c r="AQ218" s="56">
        <f t="shared" si="71"/>
        <v>384390</v>
      </c>
      <c r="AS218" s="56">
        <v>1064.6903809272758</v>
      </c>
      <c r="AT218" s="56">
        <v>124.33007468674464</v>
      </c>
      <c r="AU218" s="56">
        <v>243.31297988432428</v>
      </c>
      <c r="AV218" s="56"/>
      <c r="AW218" s="56">
        <v>1432.3334354983447</v>
      </c>
      <c r="AY218" s="16">
        <v>-3.6775925919819596E-2</v>
      </c>
      <c r="AZ218" s="16">
        <v>7.0973729909079797E-2</v>
      </c>
      <c r="BA218" s="16">
        <v>2.9904251716735386E-2</v>
      </c>
      <c r="BB218" s="16">
        <f t="shared" si="72"/>
        <v>-1.738770821642821E-2</v>
      </c>
      <c r="BC218" s="16"/>
      <c r="BE218" s="16">
        <f>AM218/'2016-17 disagg'!AM218-1</f>
        <v>2.3736841728113633E-2</v>
      </c>
      <c r="BF218" s="16">
        <f>AN218/'2016-17 disagg'!AN218-1</f>
        <v>1.1305428424211117E-2</v>
      </c>
      <c r="BG218" s="16">
        <f>AO218/'2016-17 disagg'!AO218-1</f>
        <v>4.8813003951299505E-2</v>
      </c>
      <c r="BH218" s="16">
        <f>AQ218/'2016-17 disagg'!AQ218-1</f>
        <v>2.6811592267191653E-2</v>
      </c>
      <c r="BJ218" s="16">
        <f>AS218/'2016-17 disagg'!AS218-1</f>
        <v>1.5420321181270236E-2</v>
      </c>
      <c r="BK218" s="16">
        <f>AT218/'2016-17 disagg'!AT218-1</f>
        <v>3.0898968229191581E-3</v>
      </c>
      <c r="BL218" s="16">
        <f>AU218/'2016-17 disagg'!AU218-1</f>
        <v>4.0292772440988944E-2</v>
      </c>
      <c r="BM218" s="16">
        <f>AW218/'2016-17 disagg'!AW218-1</f>
        <v>1.8470093400732912E-2</v>
      </c>
    </row>
    <row r="219" spans="1:65" x14ac:dyDescent="0.2">
      <c r="A219" s="156" t="s">
        <v>483</v>
      </c>
      <c r="B219" s="156" t="s">
        <v>484</v>
      </c>
      <c r="D219" s="56">
        <f>VLOOKUP(A219,'2017-18'!$A$12:$AMX427,32,FALSE)</f>
        <v>343358.12826895498</v>
      </c>
      <c r="E219" s="56">
        <v>1451.4462225798923</v>
      </c>
      <c r="F219" s="16">
        <f>VLOOKUP(A219,'2017-18'!$A$12:$AMX427,34,FALSE)</f>
        <v>3.074952574622869E-2</v>
      </c>
      <c r="G219" s="16">
        <f>VLOOKUP(A219,'2017-18'!$A$12:$AMX427,35,FALSE)</f>
        <v>1.901182537626922E-2</v>
      </c>
      <c r="H219" s="56"/>
      <c r="I219" s="56">
        <v>350103.07858390675</v>
      </c>
      <c r="J219" s="56">
        <v>1479.9585304302464</v>
      </c>
      <c r="K219" s="16">
        <f t="shared" si="57"/>
        <v>-1.9265612693934786E-2</v>
      </c>
      <c r="L219" s="58">
        <f t="shared" si="57"/>
        <v>-1.9265612693934786E-2</v>
      </c>
      <c r="M219" s="10"/>
      <c r="N219" s="56">
        <v>263223</v>
      </c>
      <c r="O219" s="56">
        <v>29089</v>
      </c>
      <c r="P219" s="56">
        <v>49784</v>
      </c>
      <c r="R219" s="56">
        <f t="shared" si="58"/>
        <v>49784</v>
      </c>
      <c r="S219" s="56">
        <f t="shared" si="59"/>
        <v>1262.1282689549844</v>
      </c>
      <c r="U219" s="16">
        <v>-1.8487186041861503E-2</v>
      </c>
      <c r="V219" s="16">
        <v>-6.3130707858896074E-3</v>
      </c>
      <c r="W219" s="56">
        <f t="shared" si="60"/>
        <v>4</v>
      </c>
      <c r="X219" s="56">
        <f t="shared" si="61"/>
        <v>2681.8091038312868</v>
      </c>
      <c r="Y219" s="56">
        <f t="shared" si="61"/>
        <v>292.73807619675523</v>
      </c>
      <c r="AA219" s="56">
        <f t="shared" si="73"/>
        <v>0</v>
      </c>
      <c r="AB219" s="56">
        <v>0</v>
      </c>
      <c r="AC219" s="56">
        <f t="shared" si="62"/>
        <v>1262.1282689549844</v>
      </c>
      <c r="AE219" s="56">
        <v>0</v>
      </c>
      <c r="AF219" s="56">
        <f t="shared" si="63"/>
        <v>0</v>
      </c>
      <c r="AG219" s="56">
        <f t="shared" si="64"/>
        <v>1262.1282689549844</v>
      </c>
      <c r="AI219" s="56">
        <f t="shared" si="65"/>
        <v>1137.9167574186504</v>
      </c>
      <c r="AJ219" s="56">
        <f t="shared" si="66"/>
        <v>124.21151153633403</v>
      </c>
      <c r="AK219" s="56">
        <f t="shared" si="67"/>
        <v>0</v>
      </c>
      <c r="AM219" s="56">
        <f t="shared" si="68"/>
        <v>264361</v>
      </c>
      <c r="AN219" s="56">
        <f t="shared" si="69"/>
        <v>29213</v>
      </c>
      <c r="AO219" s="56">
        <f t="shared" si="70"/>
        <v>49784</v>
      </c>
      <c r="AP219" s="56"/>
      <c r="AQ219" s="56">
        <f t="shared" si="71"/>
        <v>343358</v>
      </c>
      <c r="AS219" s="56">
        <v>1117.5089309284774</v>
      </c>
      <c r="AT219" s="56">
        <v>123.4894269548595</v>
      </c>
      <c r="AU219" s="56">
        <v>210.44732247700426</v>
      </c>
      <c r="AV219" s="56"/>
      <c r="AW219" s="56">
        <v>1451.4456803603412</v>
      </c>
      <c r="AY219" s="16">
        <v>-1.4243781847378623E-2</v>
      </c>
      <c r="AZ219" s="16">
        <v>-2.0772022712430838E-3</v>
      </c>
      <c r="BA219" s="16">
        <v>-5.4405503789431986E-2</v>
      </c>
      <c r="BB219" s="16">
        <f t="shared" si="72"/>
        <v>-1.9265979068762151E-2</v>
      </c>
      <c r="BC219" s="16"/>
      <c r="BE219" s="16">
        <f>AM219/'2016-17 disagg'!AM219-1</f>
        <v>2.7187174585412199E-2</v>
      </c>
      <c r="BF219" s="16">
        <f>AN219/'2016-17 disagg'!AN219-1</f>
        <v>2.714391195808874E-2</v>
      </c>
      <c r="BG219" s="16">
        <f>AO219/'2016-17 disagg'!AO219-1</f>
        <v>5.2293384062566117E-2</v>
      </c>
      <c r="BH219" s="16">
        <f>AQ219/'2016-17 disagg'!AQ219-1</f>
        <v>3.0749140687150067E-2</v>
      </c>
      <c r="BJ219" s="16">
        <f>AS219/'2016-17 disagg'!AS219-1</f>
        <v>1.549004062804249E-2</v>
      </c>
      <c r="BK219" s="16">
        <f>AT219/'2016-17 disagg'!AT219-1</f>
        <v>1.5447270655572831E-2</v>
      </c>
      <c r="BL219" s="16">
        <f>AU219/'2016-17 disagg'!AU219-1</f>
        <v>4.0310352166941454E-2</v>
      </c>
      <c r="BM219" s="16">
        <f>AW219/'2016-17 disagg'!AW219-1</f>
        <v>1.9011444702065949E-2</v>
      </c>
    </row>
    <row r="220" spans="1:65" x14ac:dyDescent="0.2">
      <c r="A220" s="156" t="s">
        <v>485</v>
      </c>
      <c r="B220" s="156" t="s">
        <v>486</v>
      </c>
      <c r="D220" s="56">
        <f>VLOOKUP(A220,'2017-18'!$A$12:$AMX428,32,FALSE)</f>
        <v>752057.26605652855</v>
      </c>
      <c r="E220" s="56">
        <v>1529.7340196564126</v>
      </c>
      <c r="F220" s="16">
        <f>VLOOKUP(A220,'2017-18'!$A$12:$AMX428,34,FALSE)</f>
        <v>2.7271526060288265E-2</v>
      </c>
      <c r="G220" s="16">
        <f>VLOOKUP(A220,'2017-18'!$A$12:$AMX428,35,FALSE)</f>
        <v>2.1420918835692637E-2</v>
      </c>
      <c r="H220" s="56"/>
      <c r="I220" s="56">
        <v>774191.35921728332</v>
      </c>
      <c r="J220" s="56">
        <v>1574.7562231912507</v>
      </c>
      <c r="K220" s="16">
        <f t="shared" si="57"/>
        <v>-2.8589951175808315E-2</v>
      </c>
      <c r="L220" s="58">
        <f t="shared" si="57"/>
        <v>-2.8589951175808315E-2</v>
      </c>
      <c r="M220" s="10"/>
      <c r="N220" s="56">
        <v>583129</v>
      </c>
      <c r="O220" s="56">
        <v>59986</v>
      </c>
      <c r="P220" s="56">
        <v>106208</v>
      </c>
      <c r="R220" s="56">
        <f t="shared" si="58"/>
        <v>106208</v>
      </c>
      <c r="S220" s="56">
        <f t="shared" si="59"/>
        <v>2734.2660565285478</v>
      </c>
      <c r="U220" s="16">
        <v>-3.1453658592684453E-2</v>
      </c>
      <c r="V220" s="16">
        <v>-1.1547257387827914E-2</v>
      </c>
      <c r="W220" s="56">
        <f t="shared" si="60"/>
        <v>4</v>
      </c>
      <c r="X220" s="56">
        <f t="shared" si="61"/>
        <v>6020.6618420828772</v>
      </c>
      <c r="Y220" s="56">
        <f t="shared" si="61"/>
        <v>606.86765703614446</v>
      </c>
      <c r="AA220" s="56">
        <f t="shared" si="73"/>
        <v>0</v>
      </c>
      <c r="AB220" s="56">
        <v>0</v>
      </c>
      <c r="AC220" s="56">
        <f t="shared" si="62"/>
        <v>2734.2660565285478</v>
      </c>
      <c r="AE220" s="56">
        <v>0</v>
      </c>
      <c r="AF220" s="56">
        <f t="shared" si="63"/>
        <v>0</v>
      </c>
      <c r="AG220" s="56">
        <f>AC220-AE220-AF220</f>
        <v>2734.2660565285478</v>
      </c>
      <c r="AI220" s="56">
        <f t="shared" si="65"/>
        <v>2483.8955925933046</v>
      </c>
      <c r="AJ220" s="56">
        <f t="shared" si="66"/>
        <v>250.37046393524295</v>
      </c>
      <c r="AK220" s="56">
        <f t="shared" si="67"/>
        <v>0</v>
      </c>
      <c r="AM220" s="56">
        <f t="shared" si="68"/>
        <v>585613</v>
      </c>
      <c r="AN220" s="56">
        <f t="shared" si="69"/>
        <v>60236</v>
      </c>
      <c r="AO220" s="56">
        <f t="shared" si="70"/>
        <v>106208</v>
      </c>
      <c r="AP220" s="56"/>
      <c r="AQ220" s="56">
        <f t="shared" si="71"/>
        <v>752057</v>
      </c>
      <c r="AS220" s="56">
        <v>1191.1754182635812</v>
      </c>
      <c r="AT220" s="56">
        <v>122.52399194438148</v>
      </c>
      <c r="AU220" s="56">
        <v>216.03406827194482</v>
      </c>
      <c r="AV220" s="56"/>
      <c r="AW220" s="56">
        <v>1529.7334784799073</v>
      </c>
      <c r="AY220" s="16">
        <v>-2.7327866337358842E-2</v>
      </c>
      <c r="AZ220" s="16">
        <v>-7.4277430736039429E-3</v>
      </c>
      <c r="BA220" s="16">
        <v>-4.6935426824408322E-2</v>
      </c>
      <c r="BB220" s="16">
        <f t="shared" si="72"/>
        <v>-2.8590294833129359E-2</v>
      </c>
      <c r="BC220" s="16"/>
      <c r="BE220" s="16">
        <f>AM220/'2016-17 disagg'!AM220-1</f>
        <v>2.4375610046214913E-2</v>
      </c>
      <c r="BF220" s="16">
        <f>AN220/'2016-17 disagg'!AN220-1</f>
        <v>2.264778785100674E-2</v>
      </c>
      <c r="BG220" s="16">
        <f>AO220/'2016-17 disagg'!AO220-1</f>
        <v>4.6260540625738811E-2</v>
      </c>
      <c r="BH220" s="16">
        <f>AQ220/'2016-17 disagg'!AQ220-1</f>
        <v>2.7271162640760904E-2</v>
      </c>
      <c r="BJ220" s="16">
        <f>AS220/'2016-17 disagg'!AS220-1</f>
        <v>1.8541495897426152E-2</v>
      </c>
      <c r="BK220" s="16">
        <f>AT220/'2016-17 disagg'!AT220-1</f>
        <v>1.6823514147282115E-2</v>
      </c>
      <c r="BL220" s="16">
        <f>AU220/'2016-17 disagg'!AU220-1</f>
        <v>4.0301785493811693E-2</v>
      </c>
      <c r="BM220" s="16">
        <f>AW220/'2016-17 disagg'!AW220-1</f>
        <v>2.1420557485944069E-2</v>
      </c>
    </row>
    <row r="221" spans="1:65" x14ac:dyDescent="0.2">
      <c r="A221" s="156"/>
      <c r="B221" s="156"/>
      <c r="D221" s="56"/>
      <c r="E221" s="56"/>
      <c r="F221" s="16"/>
      <c r="G221" s="16"/>
      <c r="H221" s="56"/>
      <c r="I221" s="56"/>
      <c r="J221" s="56"/>
      <c r="K221" s="16"/>
      <c r="L221" s="58"/>
      <c r="M221" s="10"/>
      <c r="N221" s="56"/>
      <c r="O221" s="56"/>
      <c r="P221" s="56"/>
      <c r="R221" s="56"/>
      <c r="S221" s="56"/>
      <c r="U221" s="56"/>
      <c r="V221" s="56"/>
      <c r="W221" s="56"/>
      <c r="X221" s="56"/>
      <c r="Y221" s="56"/>
      <c r="AA221" s="56"/>
      <c r="AB221" s="56"/>
      <c r="AC221" s="56"/>
      <c r="AE221" s="56"/>
      <c r="AF221" s="56"/>
      <c r="AG221" s="56"/>
      <c r="AI221" s="56"/>
      <c r="AJ221" s="56"/>
      <c r="AK221" s="56"/>
      <c r="AM221" s="56"/>
      <c r="AN221" s="56"/>
      <c r="AO221" s="56"/>
      <c r="AP221" s="56"/>
      <c r="AQ221" s="56"/>
      <c r="AS221" s="56"/>
      <c r="AT221" s="56"/>
      <c r="AU221" s="56"/>
      <c r="AV221" s="56"/>
      <c r="AW221" s="56"/>
      <c r="AY221" s="56"/>
      <c r="AZ221" s="56"/>
      <c r="BA221" s="56"/>
      <c r="BB221" s="56"/>
      <c r="BC221" s="56"/>
      <c r="BE221" s="56"/>
      <c r="BF221" s="56"/>
      <c r="BG221" s="56"/>
      <c r="BH221" s="56"/>
      <c r="BJ221" s="56"/>
      <c r="BK221" s="56"/>
      <c r="BL221" s="56"/>
      <c r="BM221" s="56"/>
    </row>
    <row r="222" spans="1:65" s="43" customFormat="1" x14ac:dyDescent="0.2">
      <c r="A222" s="2"/>
      <c r="B222" s="59" t="s">
        <v>12</v>
      </c>
      <c r="D222" s="24">
        <f>SUM(D12:D220)</f>
        <v>94829648.989833847</v>
      </c>
      <c r="E222" s="61">
        <v>1630.1113440537304</v>
      </c>
      <c r="F222" s="24"/>
      <c r="G222" s="25"/>
      <c r="H222" s="21"/>
      <c r="I222" s="24">
        <f>SUM(I12:I220)</f>
        <v>94829716.878834367</v>
      </c>
      <c r="J222" s="61">
        <v>1630.1125110582595</v>
      </c>
      <c r="K222" s="25">
        <f t="shared" ref="K222:L222" si="74">D222/I222-1</f>
        <v>-7.1590428352141799E-7</v>
      </c>
      <c r="L222" s="62">
        <f t="shared" si="74"/>
        <v>-7.1590428341039569E-7</v>
      </c>
      <c r="M222" s="63"/>
      <c r="N222" s="24">
        <f t="shared" ref="N222:P222" si="75">SUM(N12:N220)</f>
        <v>71954598</v>
      </c>
      <c r="O222" s="24">
        <f t="shared" si="75"/>
        <v>7567562</v>
      </c>
      <c r="P222" s="24">
        <f t="shared" si="75"/>
        <v>15203166</v>
      </c>
      <c r="R222" s="24">
        <f t="shared" ref="R222:S222" si="76">SUM(R12:R220)</f>
        <v>15203166</v>
      </c>
      <c r="S222" s="24">
        <f t="shared" si="76"/>
        <v>104322.98983382812</v>
      </c>
      <c r="U222" s="24"/>
      <c r="V222" s="24"/>
      <c r="W222" s="24"/>
      <c r="X222" s="24"/>
      <c r="Y222" s="24"/>
      <c r="AA222" s="24"/>
      <c r="AB222" s="24"/>
      <c r="AC222" s="24"/>
      <c r="AE222" s="24"/>
      <c r="AF222" s="24"/>
      <c r="AG222" s="24"/>
      <c r="AI222" s="24"/>
      <c r="AJ222" s="24"/>
      <c r="AK222" s="24"/>
      <c r="AM222" s="24">
        <f>SUM(AM12:AM220)</f>
        <v>72051316</v>
      </c>
      <c r="AN222" s="24">
        <f>SUM(AN12:AN220)</f>
        <v>7575166</v>
      </c>
      <c r="AO222" s="24">
        <f>SUM(AO12:AO220)</f>
        <v>15203166</v>
      </c>
      <c r="AP222" s="24"/>
      <c r="AQ222" s="24">
        <f>SUM(AQ12:AQ220)</f>
        <v>94829648</v>
      </c>
      <c r="AS222" s="61">
        <v>1238.55427934982</v>
      </c>
      <c r="AT222" s="61">
        <v>130.21627899322834</v>
      </c>
      <c r="AU222" s="61">
        <v>261.34076869554588</v>
      </c>
      <c r="AV222" s="61"/>
      <c r="AW222" s="61">
        <v>1630.1113270385943</v>
      </c>
      <c r="AY222" s="25">
        <v>-8.8237643140254285E-5</v>
      </c>
      <c r="AZ222" s="25">
        <v>9.072050526535147E-4</v>
      </c>
      <c r="BA222" s="25">
        <v>-3.793010082742132E-5</v>
      </c>
      <c r="BB222" s="25">
        <f t="shared" si="72"/>
        <v>-7.2634229686396878E-7</v>
      </c>
      <c r="BC222" s="25"/>
      <c r="BE222" s="25">
        <f>AM222/'2016-17 disagg'!AM222-1</f>
        <v>2.1405663278374121E-2</v>
      </c>
      <c r="BF222" s="177">
        <f>AN222/'2016-17 disagg'!AN222-1</f>
        <v>3.1444548986074849E-2</v>
      </c>
      <c r="BG222" s="177">
        <f>AO222/'2016-17 disagg'!AO222-1</f>
        <v>4.7953318438952008E-2</v>
      </c>
      <c r="BH222" s="177">
        <f>AQ222/'2016-17 disagg'!AQ222-1</f>
        <v>2.6372136275277791E-2</v>
      </c>
      <c r="BJ222" s="25">
        <f>AS222/'2016-17 disagg'!AS222-1</f>
        <v>1.4103959881075934E-2</v>
      </c>
      <c r="BK222" s="177">
        <f>AT222/'2016-17 disagg'!AT222-1</f>
        <v>2.4071080795891042E-2</v>
      </c>
      <c r="BL222" s="177">
        <f>AU222/'2016-17 disagg'!AU222-1</f>
        <v>4.0461834320001611E-2</v>
      </c>
      <c r="BM222" s="177">
        <f>AW222/'2016-17 disagg'!AW222-1</f>
        <v>1.9034929146154012E-2</v>
      </c>
    </row>
    <row r="223" spans="1:65" x14ac:dyDescent="0.2">
      <c r="D223" s="3"/>
      <c r="E223" s="3"/>
      <c r="F223" s="3"/>
      <c r="G223" s="3"/>
      <c r="H223" s="3"/>
      <c r="I223" s="3"/>
      <c r="J223" s="3"/>
      <c r="K223" s="3"/>
      <c r="L223" s="4"/>
      <c r="N223" s="3"/>
      <c r="O223" s="3"/>
      <c r="P223" s="3"/>
      <c r="R223" s="3"/>
      <c r="S223" s="3"/>
      <c r="U223" s="3"/>
      <c r="V223" s="3"/>
      <c r="W223" s="3"/>
      <c r="X223" s="3"/>
      <c r="Y223" s="3"/>
      <c r="AA223" s="3"/>
      <c r="AB223" s="3"/>
      <c r="AC223" s="3"/>
      <c r="AE223" s="3"/>
      <c r="AF223" s="3"/>
      <c r="AG223" s="3"/>
      <c r="AI223" s="3"/>
      <c r="AJ223" s="3"/>
      <c r="AK223" s="3"/>
      <c r="AM223" s="3"/>
      <c r="AN223" s="3"/>
      <c r="AO223" s="3"/>
      <c r="AP223" s="3"/>
      <c r="AQ223" s="3"/>
      <c r="AS223" s="3"/>
      <c r="AT223" s="3"/>
      <c r="AU223" s="3"/>
      <c r="AV223" s="3"/>
      <c r="AW223" s="3"/>
      <c r="AY223" s="3"/>
      <c r="AZ223" s="3"/>
      <c r="BA223" s="3"/>
      <c r="BB223" s="3"/>
      <c r="BC223" s="3"/>
      <c r="BE223" s="3"/>
      <c r="BF223" s="3"/>
      <c r="BG223" s="3"/>
      <c r="BH223" s="3"/>
      <c r="BJ223" s="3"/>
      <c r="BK223" s="3"/>
      <c r="BL223" s="3"/>
      <c r="BM223" s="3"/>
    </row>
    <row r="224" spans="1:65" x14ac:dyDescent="0.2">
      <c r="AQ224" s="182"/>
    </row>
    <row r="225" spans="2:65" x14ac:dyDescent="0.2">
      <c r="B225" s="43" t="s">
        <v>513</v>
      </c>
      <c r="D225" s="1"/>
      <c r="AQ225" s="175"/>
    </row>
    <row r="226" spans="2:65" x14ac:dyDescent="0.2">
      <c r="D226" s="1"/>
    </row>
    <row r="227" spans="2:65" x14ac:dyDescent="0.2">
      <c r="B227" s="1" t="s">
        <v>514</v>
      </c>
      <c r="D227" s="55">
        <v>28280565.93631779</v>
      </c>
      <c r="E227" s="166">
        <v>1750.7810053625556</v>
      </c>
      <c r="F227" s="171">
        <f>VLOOKUP(B227,'2017-18'!$B$12:$AMX435,33,FALSE)</f>
        <v>2.3604540989430545E-2</v>
      </c>
      <c r="G227" s="171">
        <f>VLOOKUP(B227,'2017-18'!$B$12:$AMX435,34,FALSE)</f>
        <v>1.9419803942261504E-2</v>
      </c>
      <c r="I227" s="175">
        <v>27785369.47430522</v>
      </c>
      <c r="J227" s="175">
        <v>1720.1245976525183</v>
      </c>
      <c r="K227" s="171">
        <f t="shared" ref="K227:L230" si="77">D227/I227-1</f>
        <v>1.7822201805540505E-2</v>
      </c>
      <c r="L227" s="170">
        <f t="shared" si="77"/>
        <v>1.7822201805540505E-2</v>
      </c>
      <c r="N227" s="55">
        <v>21777952</v>
      </c>
      <c r="O227" s="55">
        <v>2183246</v>
      </c>
      <c r="P227" s="55">
        <v>4314035</v>
      </c>
      <c r="R227" s="55">
        <v>4314035</v>
      </c>
      <c r="S227" s="55">
        <v>5332.936317788728</v>
      </c>
      <c r="U227" s="171">
        <v>1.4938558227318044E-2</v>
      </c>
      <c r="V227" s="171">
        <v>7.2928106117042812E-3</v>
      </c>
      <c r="AA227" s="55">
        <v>1354.0127626969479</v>
      </c>
      <c r="AB227" s="55">
        <v>0</v>
      </c>
      <c r="AC227" s="55">
        <v>3978.9235550917801</v>
      </c>
      <c r="AE227" s="55">
        <v>0</v>
      </c>
      <c r="AF227" s="55">
        <v>788.53811630702717</v>
      </c>
      <c r="AG227" s="55">
        <v>3190.3854387847528</v>
      </c>
      <c r="AI227" s="55">
        <v>2899.3123975441786</v>
      </c>
      <c r="AJ227" s="55">
        <v>291.07304124057396</v>
      </c>
      <c r="AK227" s="55">
        <v>0</v>
      </c>
      <c r="AM227" s="55">
        <v>21782206</v>
      </c>
      <c r="AN227" s="55">
        <v>2184325</v>
      </c>
      <c r="AO227" s="55">
        <v>4314035</v>
      </c>
      <c r="AP227" s="55"/>
      <c r="AQ227" s="55">
        <v>28280566</v>
      </c>
      <c r="AS227" s="175">
        <v>1348.4833579910915</v>
      </c>
      <c r="AT227" s="175">
        <v>135.22624434567788</v>
      </c>
      <c r="AU227" s="175">
        <v>267.07140696819681</v>
      </c>
      <c r="AV227" s="175"/>
      <c r="AW227" s="175">
        <v>1750.7810093049661</v>
      </c>
      <c r="AY227" s="171">
        <v>1.5136811425171315E-2</v>
      </c>
      <c r="AZ227" s="178">
        <v>7.7906330937562718E-3</v>
      </c>
      <c r="BA227" s="171">
        <v>3.6897793760674702E-2</v>
      </c>
      <c r="BB227" s="171">
        <f t="shared" ref="BB227:BB232" si="78">SUM(AM227:AO227)/I227-1</f>
        <v>1.7822204097473593E-2</v>
      </c>
      <c r="BC227" s="171"/>
      <c r="BE227" s="176">
        <f>AM227/'2016-17 disagg'!AM227-1</f>
        <v>1.9060775626011051E-2</v>
      </c>
      <c r="BF227" s="176">
        <f>AN227/'2016-17 disagg'!AN227-1</f>
        <v>2.8462127008416216E-2</v>
      </c>
      <c r="BG227" s="176">
        <f>AO227/'2016-17 disagg'!AO227-1</f>
        <v>4.4624019522736091E-2</v>
      </c>
      <c r="BH227" s="176">
        <f>AQ227/'2016-17 disagg'!AQ227-1</f>
        <v>2.3604543294384328E-2</v>
      </c>
      <c r="BJ227" s="176">
        <f>AS227/'2016-17 disagg'!AS227-1</f>
        <v>1.4894614564477715E-2</v>
      </c>
      <c r="BK227" s="176">
        <f>AT227/'2016-17 disagg'!AT227-1</f>
        <v>2.4257531002675359E-2</v>
      </c>
      <c r="BL227" s="176">
        <f>AU227/'2016-17 disagg'!AU227-1</f>
        <v>4.0353349884407086E-2</v>
      </c>
      <c r="BM227" s="176">
        <f>AW227/'2016-17 disagg'!AW227-1</f>
        <v>1.9419806237792159E-2</v>
      </c>
    </row>
    <row r="228" spans="2:65" x14ac:dyDescent="0.2">
      <c r="B228" s="1" t="s">
        <v>515</v>
      </c>
      <c r="D228" s="55">
        <v>27703258.918586016</v>
      </c>
      <c r="E228" s="166">
        <v>1576.7807037637817</v>
      </c>
      <c r="F228" s="171">
        <f>VLOOKUP(B228,'2017-18'!$B$12:$AMX436,33,FALSE)</f>
        <v>2.7061134779651441E-2</v>
      </c>
      <c r="G228" s="171">
        <f>VLOOKUP(B228,'2017-18'!$B$12:$AMX436,34,FALSE)</f>
        <v>1.9884275437535237E-2</v>
      </c>
      <c r="I228" s="175">
        <v>28153075.749172144</v>
      </c>
      <c r="J228" s="175">
        <v>1602.3828360176353</v>
      </c>
      <c r="K228" s="171">
        <f t="shared" si="77"/>
        <v>-1.5977537750892279E-2</v>
      </c>
      <c r="L228" s="170">
        <f t="shared" si="77"/>
        <v>-1.5977537750892279E-2</v>
      </c>
      <c r="N228" s="55">
        <v>21129848</v>
      </c>
      <c r="O228" s="55">
        <v>2273512</v>
      </c>
      <c r="P228" s="55">
        <v>4240107</v>
      </c>
      <c r="R228" s="55">
        <v>4240107</v>
      </c>
      <c r="S228" s="55">
        <v>59791.918586013722</v>
      </c>
      <c r="U228" s="171">
        <v>-1.5277124594788583E-2</v>
      </c>
      <c r="V228" s="171">
        <v>1.3071759106052516E-2</v>
      </c>
      <c r="AA228" s="55">
        <v>26017.852794353803</v>
      </c>
      <c r="AB228" s="55">
        <v>0</v>
      </c>
      <c r="AC228" s="55">
        <v>33774.065791659916</v>
      </c>
      <c r="AE228" s="55">
        <v>0</v>
      </c>
      <c r="AF228" s="55">
        <v>492.54276813276493</v>
      </c>
      <c r="AG228" s="55">
        <v>33281.523023527159</v>
      </c>
      <c r="AI228" s="55">
        <v>30156.807452353154</v>
      </c>
      <c r="AJ228" s="55">
        <v>3124.7155711739979</v>
      </c>
      <c r="AK228" s="55">
        <v>0</v>
      </c>
      <c r="AM228" s="55">
        <v>21186022</v>
      </c>
      <c r="AN228" s="55">
        <v>2277131</v>
      </c>
      <c r="AO228" s="55">
        <v>4240107</v>
      </c>
      <c r="AP228" s="55"/>
      <c r="AQ228" s="55">
        <v>27703260</v>
      </c>
      <c r="AS228" s="175">
        <v>1205.8404672636977</v>
      </c>
      <c r="AT228" s="175">
        <v>129.60699790931264</v>
      </c>
      <c r="AU228" s="175">
        <v>241.33330014138926</v>
      </c>
      <c r="AV228" s="175"/>
      <c r="AW228" s="175">
        <v>1576.7807653143998</v>
      </c>
      <c r="AY228" s="171">
        <v>-1.2659224891818144E-2</v>
      </c>
      <c r="AZ228" s="178">
        <v>1.4684377247590641E-2</v>
      </c>
      <c r="BA228" s="171">
        <v>-4.7432347515129925E-2</v>
      </c>
      <c r="BB228" s="171">
        <f t="shared" si="78"/>
        <v>-1.5977499338961976E-2</v>
      </c>
      <c r="BC228" s="171"/>
      <c r="BE228" s="176">
        <f>AM228/'2016-17 disagg'!AM228-1</f>
        <v>2.2941167665899487E-2</v>
      </c>
      <c r="BF228" s="176">
        <f>AN228/'2016-17 disagg'!AN228-1</f>
        <v>2.8118344648606408E-2</v>
      </c>
      <c r="BG228" s="176">
        <f>AO228/'2016-17 disagg'!AO228-1</f>
        <v>4.7564141301965845E-2</v>
      </c>
      <c r="BH228" s="176">
        <f>AQ228/'2016-17 disagg'!AQ228-1</f>
        <v>2.7061174871623184E-2</v>
      </c>
      <c r="BJ228" s="176">
        <f>AS228/'2016-17 disagg'!AS228-1</f>
        <v>1.5793097675719681E-2</v>
      </c>
      <c r="BK228" s="176">
        <f>AT228/'2016-17 disagg'!AT228-1</f>
        <v>2.0934097774952365E-2</v>
      </c>
      <c r="BL228" s="176">
        <f>AU228/'2016-17 disagg'!AU228-1</f>
        <v>4.0244011818552083E-2</v>
      </c>
      <c r="BM228" s="176">
        <f>AW228/'2016-17 disagg'!AW228-1</f>
        <v>1.9884315249353968E-2</v>
      </c>
    </row>
    <row r="229" spans="2:65" x14ac:dyDescent="0.2">
      <c r="B229" s="1" t="s">
        <v>516</v>
      </c>
      <c r="D229" s="55">
        <v>15573028.396757809</v>
      </c>
      <c r="E229" s="166">
        <v>1619.2684912075417</v>
      </c>
      <c r="F229" s="171">
        <f>VLOOKUP(B229,'2017-18'!$B$12:$AMX437,33,FALSE)</f>
        <v>3.0832335307760639E-2</v>
      </c>
      <c r="G229" s="171">
        <f>VLOOKUP(B229,'2017-18'!$B$12:$AMX437,34,FALSE)</f>
        <v>1.7957558841536603E-2</v>
      </c>
      <c r="I229" s="175">
        <v>15460643.528011451</v>
      </c>
      <c r="J229" s="175">
        <v>1607.5828208155606</v>
      </c>
      <c r="K229" s="171">
        <f t="shared" si="77"/>
        <v>7.2690938474029299E-3</v>
      </c>
      <c r="L229" s="170">
        <f t="shared" si="77"/>
        <v>7.2690938474029299E-3</v>
      </c>
      <c r="N229" s="55">
        <v>11365313</v>
      </c>
      <c r="O229" s="55">
        <v>1231004</v>
      </c>
      <c r="P229" s="55">
        <v>2966284</v>
      </c>
      <c r="R229" s="55">
        <v>2966284</v>
      </c>
      <c r="S229" s="55">
        <v>10427.39675781026</v>
      </c>
      <c r="U229" s="171">
        <v>1.43673396919064E-2</v>
      </c>
      <c r="V229" s="171">
        <v>-3.7122493209954199E-2</v>
      </c>
      <c r="AA229" s="55">
        <v>78.215053200896364</v>
      </c>
      <c r="AB229" s="55">
        <v>0</v>
      </c>
      <c r="AC229" s="55">
        <v>10349.181704609364</v>
      </c>
      <c r="AE229" s="55">
        <v>0</v>
      </c>
      <c r="AF229" s="55">
        <v>368.23697422601981</v>
      </c>
      <c r="AG229" s="55">
        <v>9980.944730383344</v>
      </c>
      <c r="AI229" s="55">
        <v>9059.3308618926239</v>
      </c>
      <c r="AJ229" s="55">
        <v>921.61386849071982</v>
      </c>
      <c r="AK229" s="55">
        <v>0</v>
      </c>
      <c r="AM229" s="55">
        <v>11374450</v>
      </c>
      <c r="AN229" s="55">
        <v>1232294</v>
      </c>
      <c r="AO229" s="55">
        <v>2966284</v>
      </c>
      <c r="AP229" s="55"/>
      <c r="AQ229" s="55">
        <v>15573028</v>
      </c>
      <c r="AS229" s="175">
        <v>1182.7043540002903</v>
      </c>
      <c r="AT229" s="175">
        <v>128.13274305205385</v>
      </c>
      <c r="AU229" s="175">
        <v>308.43135290070268</v>
      </c>
      <c r="AV229" s="175"/>
      <c r="AW229" s="175">
        <v>1619.2684499530469</v>
      </c>
      <c r="AY229" s="171">
        <v>1.5182827517254083E-2</v>
      </c>
      <c r="AZ229" s="178">
        <v>-3.6113469694385447E-2</v>
      </c>
      <c r="BA229" s="171">
        <v>-3.8817603911079912E-3</v>
      </c>
      <c r="BB229" s="171">
        <f t="shared" si="78"/>
        <v>7.2690681849647554E-3</v>
      </c>
      <c r="BC229" s="171"/>
      <c r="BE229" s="176">
        <f>AM229/'2016-17 disagg'!AM229-1</f>
        <v>2.2842917812418539E-2</v>
      </c>
      <c r="BF229" s="176">
        <f>AN229/'2016-17 disagg'!AN229-1</f>
        <v>5.2210309883977013E-2</v>
      </c>
      <c r="BG229" s="176">
        <f>AO229/'2016-17 disagg'!AO229-1</f>
        <v>5.3494346977726703E-2</v>
      </c>
      <c r="BH229" s="176">
        <f>AQ229/'2016-17 disagg'!AQ229-1</f>
        <v>3.0832309044996009E-2</v>
      </c>
      <c r="BJ229" s="176">
        <f>AS229/'2016-17 disagg'!AS229-1</f>
        <v>1.0067926695202623E-2</v>
      </c>
      <c r="BK229" s="176">
        <f>AT229/'2016-17 disagg'!AT229-1</f>
        <v>3.9068529139227648E-2</v>
      </c>
      <c r="BL229" s="176">
        <f>AU229/'2016-17 disagg'!AU229-1</f>
        <v>4.033652900753304E-2</v>
      </c>
      <c r="BM229" s="176">
        <f>AW229/'2016-17 disagg'!AW229-1</f>
        <v>1.7957532906785589E-2</v>
      </c>
    </row>
    <row r="230" spans="2:65" x14ac:dyDescent="0.2">
      <c r="B230" s="1" t="s">
        <v>517</v>
      </c>
      <c r="D230" s="55">
        <v>23272795.738172218</v>
      </c>
      <c r="E230" s="166">
        <v>1568.9051952568382</v>
      </c>
      <c r="F230" s="171">
        <f>VLOOKUP(B230,'2017-18'!$B$12:$AMX438,33,FALSE)</f>
        <v>2.5953312792877492E-2</v>
      </c>
      <c r="G230" s="171">
        <f>VLOOKUP(B230,'2017-18'!$B$12:$AMX438,34,FALSE)</f>
        <v>1.855707619549074E-2</v>
      </c>
      <c r="I230" s="175">
        <v>23430628.12734554</v>
      </c>
      <c r="J230" s="175">
        <v>1579.5452600835865</v>
      </c>
      <c r="K230" s="171">
        <f t="shared" si="77"/>
        <v>-6.7361569786137387E-3</v>
      </c>
      <c r="L230" s="170">
        <f t="shared" si="77"/>
        <v>-6.7361569786137387E-3</v>
      </c>
      <c r="N230" s="55">
        <v>17681485</v>
      </c>
      <c r="O230" s="55">
        <v>1879800</v>
      </c>
      <c r="P230" s="55">
        <v>3682740</v>
      </c>
      <c r="R230" s="55">
        <v>3682740</v>
      </c>
      <c r="S230" s="55">
        <v>28770.73817221541</v>
      </c>
      <c r="U230" s="171">
        <v>-1.4314877766691603E-2</v>
      </c>
      <c r="V230" s="171">
        <v>8.410629216122345E-4</v>
      </c>
      <c r="AA230" s="55">
        <v>11439.213172400516</v>
      </c>
      <c r="AB230" s="55">
        <v>0</v>
      </c>
      <c r="AC230" s="55">
        <v>17331.524999814894</v>
      </c>
      <c r="AE230" s="55">
        <v>0</v>
      </c>
      <c r="AF230" s="55">
        <v>0</v>
      </c>
      <c r="AG230" s="55">
        <v>17331.524999814894</v>
      </c>
      <c r="AI230" s="55">
        <v>15714.436099417115</v>
      </c>
      <c r="AJ230" s="55">
        <v>1617.0889003977795</v>
      </c>
      <c r="AK230" s="55">
        <v>0</v>
      </c>
      <c r="AM230" s="55">
        <v>17708638</v>
      </c>
      <c r="AN230" s="55">
        <v>1881416</v>
      </c>
      <c r="AO230" s="55">
        <v>3682740</v>
      </c>
      <c r="AP230" s="55"/>
      <c r="AQ230" s="55">
        <v>23272794</v>
      </c>
      <c r="AS230" s="175">
        <v>1193.8047526259379</v>
      </c>
      <c r="AT230" s="175">
        <v>126.83320775242463</v>
      </c>
      <c r="AU230" s="175">
        <v>248.26711770186088</v>
      </c>
      <c r="AV230" s="175"/>
      <c r="AW230" s="175">
        <v>1568.9050780802233</v>
      </c>
      <c r="AY230" s="171">
        <v>-1.2801186573672352E-2</v>
      </c>
      <c r="AZ230" s="178">
        <v>1.701451876650717E-3</v>
      </c>
      <c r="BA230" s="171">
        <v>1.8981369244507551E-2</v>
      </c>
      <c r="BB230" s="171">
        <f t="shared" si="78"/>
        <v>-6.7362311623789806E-3</v>
      </c>
      <c r="BC230" s="171"/>
      <c r="BE230" s="176">
        <f>AM230/'2016-17 disagg'!AM230-1</f>
        <v>2.1540471141165751E-2</v>
      </c>
      <c r="BF230" s="176">
        <f>AN230/'2016-17 disagg'!AN230-1</f>
        <v>2.5655898479791883E-2</v>
      </c>
      <c r="BG230" s="176">
        <f>AO230/'2016-17 disagg'!AO230-1</f>
        <v>4.7874426018484684E-2</v>
      </c>
      <c r="BH230" s="176">
        <f>AQ230/'2016-17 disagg'!AQ230-1</f>
        <v>2.5953236167638227E-2</v>
      </c>
      <c r="BJ230" s="176">
        <f>AS230/'2016-17 disagg'!AS230-1</f>
        <v>1.417604731782629E-2</v>
      </c>
      <c r="BK230" s="176">
        <f>AT230/'2016-17 disagg'!AT230-1</f>
        <v>1.8261805982530799E-2</v>
      </c>
      <c r="BL230" s="176">
        <f>AU230/'2016-17 disagg'!AU230-1</f>
        <v>4.0320157142364366E-2</v>
      </c>
      <c r="BM230" s="176">
        <f>AW230/'2016-17 disagg'!AW230-1</f>
        <v>1.8557000122653156E-2</v>
      </c>
    </row>
    <row r="231" spans="2:65" ht="15" x14ac:dyDescent="0.25">
      <c r="B231"/>
      <c r="D231" s="1"/>
      <c r="N231" s="1"/>
      <c r="O231" s="1"/>
      <c r="P231" s="1"/>
      <c r="R231" s="1"/>
      <c r="S231" s="1"/>
      <c r="AA231" s="1"/>
      <c r="AB231" s="1"/>
      <c r="AC231" s="1"/>
      <c r="AE231" s="1"/>
      <c r="AF231" s="1"/>
      <c r="AG231" s="1"/>
      <c r="AI231" s="1"/>
      <c r="AJ231" s="1"/>
      <c r="AK231" s="1"/>
      <c r="AM231" s="1"/>
      <c r="AN231" s="1"/>
      <c r="AO231" s="1"/>
      <c r="AP231" s="1"/>
      <c r="AQ231" s="1"/>
      <c r="AZ231" s="178"/>
      <c r="BE231" s="1"/>
      <c r="BF231" s="1"/>
      <c r="BG231" s="1"/>
      <c r="BH231" s="1"/>
      <c r="BJ231" s="1"/>
      <c r="BK231" s="1"/>
      <c r="BL231" s="1"/>
      <c r="BM231" s="1"/>
    </row>
    <row r="232" spans="2:65" x14ac:dyDescent="0.2">
      <c r="B232" s="1" t="s">
        <v>12</v>
      </c>
      <c r="D232" s="172">
        <f>SUM(D227:D230)</f>
        <v>94829648.989833832</v>
      </c>
      <c r="E232" s="166">
        <v>1630.1113440537299</v>
      </c>
      <c r="F232" s="171">
        <f>VLOOKUP(B232,'2017-18'!$B$12:$AMX440,33,FALSE)</f>
        <v>2.6372146988571377E-2</v>
      </c>
      <c r="G232" s="171">
        <f>VLOOKUP(B232,'2017-18'!$B$12:$AMX440,34,FALSE)</f>
        <v>1.903493978286197E-2</v>
      </c>
      <c r="I232" s="175">
        <f>SUM(I227:I230)</f>
        <v>94829716.878834367</v>
      </c>
      <c r="J232" s="175">
        <v>1630.1125110582595</v>
      </c>
      <c r="K232" s="171">
        <f t="shared" ref="K232:L232" si="79">D232/I232-1</f>
        <v>-7.159042837434626E-7</v>
      </c>
      <c r="L232" s="170">
        <f t="shared" si="79"/>
        <v>-7.159042837434626E-7</v>
      </c>
      <c r="N232" s="172">
        <f>SUM(N227:N230)</f>
        <v>71954598</v>
      </c>
      <c r="O232" s="172">
        <f>SUM(O227:O230)</f>
        <v>7567562</v>
      </c>
      <c r="P232" s="172">
        <f>SUM(P227:P230)</f>
        <v>15203166</v>
      </c>
      <c r="R232" s="172">
        <f>SUM(R227:R230)</f>
        <v>15203166</v>
      </c>
      <c r="S232" s="172">
        <f>SUM(S227:S230)</f>
        <v>104322.98983382812</v>
      </c>
      <c r="U232" s="171">
        <v>-1.4304680311547635E-3</v>
      </c>
      <c r="V232" s="171">
        <v>-9.7511990803988979E-5</v>
      </c>
      <c r="AA232" s="172">
        <f>SUM(AA227:AA230)</f>
        <v>38889.293782652167</v>
      </c>
      <c r="AB232" s="172">
        <f>SUM(AB227:AB230)</f>
        <v>0</v>
      </c>
      <c r="AC232" s="172">
        <f>SUM(AC227:AC230)</f>
        <v>65433.696051175953</v>
      </c>
      <c r="AE232" s="172">
        <f>SUM(AE227:AE230)</f>
        <v>0</v>
      </c>
      <c r="AF232" s="172">
        <f>SUM(AF227:AF230)</f>
        <v>1649.3178586658119</v>
      </c>
      <c r="AG232" s="172">
        <f>SUM(AG227:AG230)</f>
        <v>63784.37819251015</v>
      </c>
      <c r="AI232" s="172">
        <f>SUM(AI227:AI230)</f>
        <v>57829.88681120707</v>
      </c>
      <c r="AJ232" s="172">
        <f>SUM(AJ227:AJ230)</f>
        <v>5954.4913813030707</v>
      </c>
      <c r="AK232" s="172">
        <f>SUM(AK227:AK230)</f>
        <v>0</v>
      </c>
      <c r="AM232" s="172">
        <f>SUM(AM227:AM230)</f>
        <v>72051316</v>
      </c>
      <c r="AN232" s="172">
        <f>SUM(AN227:AN230)</f>
        <v>7575166</v>
      </c>
      <c r="AO232" s="172">
        <f>SUM(AO227:AO230)</f>
        <v>15203166</v>
      </c>
      <c r="AP232" s="172"/>
      <c r="AQ232" s="172">
        <f>SUM(AQ227:AQ230)</f>
        <v>94829648</v>
      </c>
      <c r="AS232" s="175">
        <v>1238.55427934982</v>
      </c>
      <c r="AT232" s="175">
        <v>130.21627899322834</v>
      </c>
      <c r="AU232" s="175">
        <v>261.34076869554588</v>
      </c>
      <c r="AV232" s="175"/>
      <c r="AW232" s="175">
        <v>1630.1113270385943</v>
      </c>
      <c r="AY232" s="171">
        <v>-8.8237643140254285E-5</v>
      </c>
      <c r="AZ232" s="178">
        <v>9.072050526535147E-4</v>
      </c>
      <c r="BA232" s="171">
        <v>-3.793010082742132E-5</v>
      </c>
      <c r="BB232" s="171">
        <f t="shared" si="78"/>
        <v>-7.2634229686396878E-7</v>
      </c>
      <c r="BC232" s="171"/>
      <c r="BE232" s="176">
        <f>AM232/'2016-17 disagg'!AM232-1</f>
        <v>2.1405663278374121E-2</v>
      </c>
      <c r="BF232" s="176">
        <f>AN232/'2016-17 disagg'!AN232-1</f>
        <v>3.1444548986074849E-2</v>
      </c>
      <c r="BG232" s="176">
        <f>AO232/'2016-17 disagg'!AO232-1</f>
        <v>4.7953318438952008E-2</v>
      </c>
      <c r="BH232" s="176">
        <f>AQ232/'2016-17 disagg'!AQ232-1</f>
        <v>2.6372136275277791E-2</v>
      </c>
      <c r="BJ232" s="176">
        <f>AS232/'2016-17 disagg'!AS232-1</f>
        <v>1.4103959881075934E-2</v>
      </c>
      <c r="BK232" s="176">
        <f>AT232/'2016-17 disagg'!AT232-1</f>
        <v>2.4071080795891042E-2</v>
      </c>
      <c r="BL232" s="176">
        <f>AU232/'2016-17 disagg'!AU232-1</f>
        <v>4.0461834320001611E-2</v>
      </c>
      <c r="BM232" s="176">
        <f>AW232/'2016-17 disagg'!AW232-1</f>
        <v>1.9034929146154012E-2</v>
      </c>
    </row>
    <row r="233" spans="2:65" ht="15" x14ac:dyDescent="0.25">
      <c r="B233"/>
      <c r="D233" s="1"/>
      <c r="N233" s="1"/>
      <c r="O233" s="1"/>
      <c r="P233" s="1"/>
      <c r="R233" s="1"/>
      <c r="S233" s="1"/>
      <c r="AA233" s="1"/>
      <c r="AB233" s="1"/>
      <c r="AC233" s="1"/>
      <c r="AE233" s="1"/>
      <c r="AF233" s="1"/>
      <c r="AG233" s="1"/>
      <c r="AI233" s="1"/>
      <c r="AJ233" s="1"/>
      <c r="AK233" s="1"/>
      <c r="AM233" s="1"/>
      <c r="AN233" s="1"/>
      <c r="AO233" s="1"/>
      <c r="AP233" s="1"/>
      <c r="AQ233" s="1"/>
      <c r="AZ233" s="178"/>
      <c r="BE233" s="1"/>
      <c r="BF233" s="1"/>
      <c r="BG233" s="1"/>
      <c r="BH233" s="1"/>
      <c r="BJ233" s="1"/>
      <c r="BK233" s="1"/>
      <c r="BL233" s="1"/>
      <c r="BM233" s="1"/>
    </row>
    <row r="234" spans="2:65" x14ac:dyDescent="0.2">
      <c r="B234" s="43" t="s">
        <v>518</v>
      </c>
      <c r="D234" s="1"/>
      <c r="N234" s="1"/>
      <c r="O234" s="1"/>
      <c r="P234" s="1"/>
      <c r="R234" s="1"/>
      <c r="S234" s="1"/>
      <c r="AA234" s="1"/>
      <c r="AB234" s="1"/>
      <c r="AC234" s="1"/>
      <c r="AE234" s="1"/>
      <c r="AF234" s="1"/>
      <c r="AG234" s="1"/>
      <c r="AI234" s="1"/>
      <c r="AJ234" s="1"/>
      <c r="AK234" s="1"/>
      <c r="AM234" s="1"/>
      <c r="AN234" s="1"/>
      <c r="AO234" s="1"/>
      <c r="AP234" s="1"/>
      <c r="AQ234" s="1"/>
      <c r="AZ234" s="178"/>
      <c r="BE234" s="1"/>
      <c r="BF234" s="1"/>
      <c r="BG234" s="1"/>
      <c r="BH234" s="1"/>
      <c r="BJ234" s="1"/>
      <c r="BK234" s="1"/>
      <c r="BL234" s="1"/>
      <c r="BM234" s="1"/>
    </row>
    <row r="235" spans="2:65" x14ac:dyDescent="0.2">
      <c r="D235" s="1"/>
      <c r="N235" s="1"/>
      <c r="O235" s="1"/>
      <c r="P235" s="1"/>
      <c r="R235" s="1"/>
      <c r="S235" s="1"/>
      <c r="AA235" s="1"/>
      <c r="AB235" s="1"/>
      <c r="AC235" s="1"/>
      <c r="AE235" s="1"/>
      <c r="AF235" s="1"/>
      <c r="AG235" s="1"/>
      <c r="AI235" s="1"/>
      <c r="AJ235" s="1"/>
      <c r="AK235" s="1"/>
      <c r="AM235" s="1"/>
      <c r="AN235" s="1"/>
      <c r="AO235" s="1"/>
      <c r="AP235" s="1"/>
      <c r="AQ235" s="1"/>
      <c r="AZ235" s="178"/>
      <c r="BE235" s="1"/>
      <c r="BF235" s="1"/>
      <c r="BG235" s="1"/>
      <c r="BH235" s="1"/>
      <c r="BJ235" s="1"/>
      <c r="BK235" s="1"/>
      <c r="BL235" s="1"/>
      <c r="BM235" s="1"/>
    </row>
    <row r="236" spans="2:65" x14ac:dyDescent="0.2">
      <c r="B236" s="1" t="s">
        <v>519</v>
      </c>
      <c r="D236" s="55">
        <v>2261689</v>
      </c>
      <c r="E236" s="166">
        <v>1816.6258839269119</v>
      </c>
      <c r="F236" s="171">
        <f>VLOOKUP(B236,'2017-18'!$B$12:$AMX444,33,FALSE)</f>
        <v>2.2845792708214185E-2</v>
      </c>
      <c r="G236" s="171">
        <f>VLOOKUP(B236,'2017-18'!$B$12:$AMX444,34,FALSE)</f>
        <v>1.9313936184718106E-2</v>
      </c>
      <c r="I236" s="175">
        <v>2220864.5558403456</v>
      </c>
      <c r="J236" s="175">
        <v>1783.8350174738507</v>
      </c>
      <c r="K236" s="171">
        <f t="shared" ref="K236:L260" si="80">D236/I236-1</f>
        <v>1.838223049320864E-2</v>
      </c>
      <c r="L236" s="170">
        <f t="shared" si="80"/>
        <v>1.838223049320864E-2</v>
      </c>
      <c r="N236" s="55">
        <v>1770878</v>
      </c>
      <c r="O236" s="55">
        <v>176267</v>
      </c>
      <c r="P236" s="55">
        <v>314544</v>
      </c>
      <c r="R236" s="55">
        <v>314544</v>
      </c>
      <c r="S236" s="55">
        <v>0</v>
      </c>
      <c r="U236" s="171">
        <v>1.8505948692616014E-2</v>
      </c>
      <c r="V236" s="171">
        <v>4.7557311460473928E-2</v>
      </c>
      <c r="AA236" s="55">
        <v>0</v>
      </c>
      <c r="AB236" s="55">
        <v>0</v>
      </c>
      <c r="AC236" s="55">
        <v>0</v>
      </c>
      <c r="AE236" s="55">
        <v>0</v>
      </c>
      <c r="AF236" s="55">
        <v>0</v>
      </c>
      <c r="AG236" s="55">
        <v>0</v>
      </c>
      <c r="AI236" s="55">
        <v>0</v>
      </c>
      <c r="AJ236" s="55">
        <v>0</v>
      </c>
      <c r="AK236" s="55">
        <v>0</v>
      </c>
      <c r="AM236" s="55">
        <v>1770878</v>
      </c>
      <c r="AN236" s="55">
        <v>176267</v>
      </c>
      <c r="AO236" s="55">
        <v>314544</v>
      </c>
      <c r="AP236" s="55"/>
      <c r="AQ236" s="55">
        <v>2261689</v>
      </c>
      <c r="AS236" s="175">
        <v>1422.3983987527561</v>
      </c>
      <c r="AT236" s="175">
        <v>141.5805597861355</v>
      </c>
      <c r="AU236" s="175">
        <v>252.64692538802046</v>
      </c>
      <c r="AV236" s="175"/>
      <c r="AW236" s="175">
        <v>1816.6258839269119</v>
      </c>
      <c r="AY236" s="171">
        <v>1.8505948692616014E-2</v>
      </c>
      <c r="AZ236" s="178">
        <v>4.7557311460473928E-2</v>
      </c>
      <c r="BA236" s="171">
        <v>2.0576729387693504E-3</v>
      </c>
      <c r="BB236" s="171">
        <f t="shared" ref="BB236:BB260" si="81">SUM(AM236:AO236)/I236-1</f>
        <v>1.838223049320864E-2</v>
      </c>
      <c r="BC236" s="171"/>
      <c r="BE236" s="176">
        <f>AM236/'2016-17 disagg'!AM236-1</f>
        <v>2.0029906042495105E-2</v>
      </c>
      <c r="BF236" s="176">
        <f>AN236/'2016-17 disagg'!AN236-1</f>
        <v>1.4679046955680786E-2</v>
      </c>
      <c r="BG236" s="176">
        <f>AO236/'2016-17 disagg'!AO236-1</f>
        <v>4.3776049271283979E-2</v>
      </c>
      <c r="BH236" s="176">
        <f>AQ236/'2016-17 disagg'!AQ236-1</f>
        <v>2.2845792708214185E-2</v>
      </c>
      <c r="BJ236" s="176">
        <f>AS236/'2016-17 disagg'!AS236-1</f>
        <v>1.6507772693069578E-2</v>
      </c>
      <c r="BK236" s="176">
        <f>AT236/'2016-17 disagg'!AT236-1</f>
        <v>1.1175389965748295E-2</v>
      </c>
      <c r="BL236" s="176">
        <f>AU236/'2016-17 disagg'!AU236-1</f>
        <v>4.0171921185732762E-2</v>
      </c>
      <c r="BM236" s="176">
        <f>AW236/'2016-17 disagg'!AW236-1</f>
        <v>1.9313936184718106E-2</v>
      </c>
    </row>
    <row r="237" spans="2:65" x14ac:dyDescent="0.2">
      <c r="B237" s="1" t="s">
        <v>520</v>
      </c>
      <c r="D237" s="55">
        <v>3689615.3056469243</v>
      </c>
      <c r="E237" s="166">
        <v>1828.5425607116831</v>
      </c>
      <c r="F237" s="171">
        <f>VLOOKUP(B237,'2017-18'!$B$12:$AMX445,33,FALSE)</f>
        <v>2.0131675860400655E-2</v>
      </c>
      <c r="G237" s="171">
        <f>VLOOKUP(B237,'2017-18'!$B$12:$AMX445,34,FALSE)</f>
        <v>1.8067346697743236E-2</v>
      </c>
      <c r="I237" s="175">
        <v>3549778.5219878042</v>
      </c>
      <c r="J237" s="175">
        <v>1759.2406174759235</v>
      </c>
      <c r="K237" s="171">
        <f t="shared" si="80"/>
        <v>3.9393100947834325E-2</v>
      </c>
      <c r="L237" s="170">
        <f t="shared" si="80"/>
        <v>3.9393100947834325E-2</v>
      </c>
      <c r="N237" s="55">
        <v>2911558</v>
      </c>
      <c r="O237" s="55">
        <v>273955</v>
      </c>
      <c r="P237" s="55">
        <v>503199</v>
      </c>
      <c r="R237" s="55">
        <v>503199</v>
      </c>
      <c r="S237" s="55">
        <v>903.30564692406915</v>
      </c>
      <c r="U237" s="171">
        <v>5.0935329392108653E-2</v>
      </c>
      <c r="V237" s="171">
        <v>1.6134854310094537E-2</v>
      </c>
      <c r="AA237" s="55">
        <v>0</v>
      </c>
      <c r="AB237" s="55">
        <v>0</v>
      </c>
      <c r="AC237" s="55">
        <v>903.30564692406915</v>
      </c>
      <c r="AE237" s="55">
        <v>0</v>
      </c>
      <c r="AF237" s="55">
        <v>530.92403058868399</v>
      </c>
      <c r="AG237" s="55">
        <v>372.38161633538516</v>
      </c>
      <c r="AI237" s="55">
        <v>340.81509135499135</v>
      </c>
      <c r="AJ237" s="55">
        <v>31.566524980393783</v>
      </c>
      <c r="AK237" s="55">
        <v>0</v>
      </c>
      <c r="AM237" s="55">
        <v>2911899</v>
      </c>
      <c r="AN237" s="55">
        <v>274517</v>
      </c>
      <c r="AO237" s="55">
        <v>503199</v>
      </c>
      <c r="AP237" s="55"/>
      <c r="AQ237" s="55">
        <v>3689615</v>
      </c>
      <c r="AS237" s="175">
        <v>1443.1128486063683</v>
      </c>
      <c r="AT237" s="175">
        <v>136.04833473306402</v>
      </c>
      <c r="AU237" s="175">
        <v>249.38122589618524</v>
      </c>
      <c r="AV237" s="175"/>
      <c r="AW237" s="175">
        <v>1828.5424092356177</v>
      </c>
      <c r="AY237" s="171">
        <v>5.1058414334027358E-2</v>
      </c>
      <c r="AZ237" s="178">
        <v>1.8219385667880506E-2</v>
      </c>
      <c r="BA237" s="171">
        <v>-1.2810848538915121E-2</v>
      </c>
      <c r="BB237" s="171">
        <f t="shared" si="81"/>
        <v>3.9393014844737451E-2</v>
      </c>
      <c r="BC237" s="171"/>
      <c r="BE237" s="176">
        <f>AM237/'2016-17 disagg'!AM237-1</f>
        <v>1.6483522237570103E-2</v>
      </c>
      <c r="BF237" s="176">
        <f>AN237/'2016-17 disagg'!AN237-1</f>
        <v>1.886925506526671E-2</v>
      </c>
      <c r="BG237" s="176">
        <f>AO237/'2016-17 disagg'!AO237-1</f>
        <v>4.2486808330795434E-2</v>
      </c>
      <c r="BH237" s="176">
        <f>AQ237/'2016-17 disagg'!AQ237-1</f>
        <v>2.0131591352915867E-2</v>
      </c>
      <c r="BJ237" s="176">
        <f>AS237/'2016-17 disagg'!AS237-1</f>
        <v>1.4426575445337653E-2</v>
      </c>
      <c r="BK237" s="176">
        <f>AT237/'2016-17 disagg'!AT237-1</f>
        <v>1.6807480525825591E-2</v>
      </c>
      <c r="BL237" s="176">
        <f>AU237/'2016-17 disagg'!AU237-1</f>
        <v>4.0377241525796581E-2</v>
      </c>
      <c r="BM237" s="176">
        <f>AW237/'2016-17 disagg'!AW237-1</f>
        <v>1.8067262361266989E-2</v>
      </c>
    </row>
    <row r="238" spans="2:65" x14ac:dyDescent="0.2">
      <c r="B238" s="1" t="s">
        <v>55</v>
      </c>
      <c r="D238" s="55">
        <v>2725897</v>
      </c>
      <c r="E238" s="166">
        <v>1775.3803940035225</v>
      </c>
      <c r="F238" s="171">
        <f>VLOOKUP(B238,'2017-18'!$B$12:$AMX446,33,FALSE)</f>
        <v>2.43935894439129E-2</v>
      </c>
      <c r="G238" s="171">
        <f>VLOOKUP(B238,'2017-18'!$B$12:$AMX446,34,FALSE)</f>
        <v>2.1913179222089685E-2</v>
      </c>
      <c r="I238" s="175">
        <v>2698102.9064335399</v>
      </c>
      <c r="J238" s="175">
        <v>1757.2780633626389</v>
      </c>
      <c r="K238" s="171">
        <f t="shared" si="80"/>
        <v>1.0301346735213768E-2</v>
      </c>
      <c r="L238" s="170">
        <f t="shared" si="80"/>
        <v>1.0301346735213768E-2</v>
      </c>
      <c r="N238" s="55">
        <v>2103811</v>
      </c>
      <c r="O238" s="55">
        <v>202024</v>
      </c>
      <c r="P238" s="55">
        <v>420062</v>
      </c>
      <c r="R238" s="55">
        <v>420062</v>
      </c>
      <c r="S238" s="55">
        <v>0</v>
      </c>
      <c r="U238" s="171">
        <v>1.2738964470013769E-2</v>
      </c>
      <c r="V238" s="171">
        <v>-1.7196349866556937E-2</v>
      </c>
      <c r="AA238" s="55">
        <v>0</v>
      </c>
      <c r="AB238" s="55">
        <v>0</v>
      </c>
      <c r="AC238" s="55">
        <v>0</v>
      </c>
      <c r="AE238" s="55">
        <v>0</v>
      </c>
      <c r="AF238" s="55">
        <v>0</v>
      </c>
      <c r="AG238" s="55">
        <v>0</v>
      </c>
      <c r="AI238" s="55">
        <v>0</v>
      </c>
      <c r="AJ238" s="55">
        <v>0</v>
      </c>
      <c r="AK238" s="55">
        <v>0</v>
      </c>
      <c r="AM238" s="55">
        <v>2103811</v>
      </c>
      <c r="AN238" s="55">
        <v>202024</v>
      </c>
      <c r="AO238" s="55">
        <v>420062</v>
      </c>
      <c r="AP238" s="55"/>
      <c r="AQ238" s="55">
        <v>2725897</v>
      </c>
      <c r="AS238" s="175">
        <v>1370.2149428569548</v>
      </c>
      <c r="AT238" s="175">
        <v>131.57850377991818</v>
      </c>
      <c r="AU238" s="175">
        <v>273.5869473666495</v>
      </c>
      <c r="AV238" s="175"/>
      <c r="AW238" s="175">
        <v>1775.3803940035225</v>
      </c>
      <c r="AY238" s="171">
        <v>1.2738964470013769E-2</v>
      </c>
      <c r="AZ238" s="178">
        <v>-1.7196349866556937E-2</v>
      </c>
      <c r="BA238" s="171">
        <v>1.1719026817336387E-2</v>
      </c>
      <c r="BB238" s="171">
        <f t="shared" si="81"/>
        <v>1.0301346735213768E-2</v>
      </c>
      <c r="BC238" s="171"/>
      <c r="BE238" s="176">
        <f>AM238/'2016-17 disagg'!AM238-1</f>
        <v>2.0030070317609949E-2</v>
      </c>
      <c r="BF238" s="176">
        <f>AN238/'2016-17 disagg'!AN238-1</f>
        <v>3.2552196468273342E-2</v>
      </c>
      <c r="BG238" s="176">
        <f>AO238/'2016-17 disagg'!AO238-1</f>
        <v>4.2772173015053427E-2</v>
      </c>
      <c r="BH238" s="176">
        <f>AQ238/'2016-17 disagg'!AQ238-1</f>
        <v>2.43935894439129E-2</v>
      </c>
      <c r="BJ238" s="176">
        <f>AS238/'2016-17 disagg'!AS238-1</f>
        <v>1.7560225680690156E-2</v>
      </c>
      <c r="BK238" s="176">
        <f>AT238/'2016-17 disagg'!AT238-1</f>
        <v>3.0052031444713911E-2</v>
      </c>
      <c r="BL238" s="176">
        <f>AU238/'2016-17 disagg'!AU238-1</f>
        <v>4.0247261903121112E-2</v>
      </c>
      <c r="BM238" s="176">
        <f>AW238/'2016-17 disagg'!AW238-1</f>
        <v>2.1913179222089685E-2</v>
      </c>
    </row>
    <row r="239" spans="2:65" x14ac:dyDescent="0.2">
      <c r="B239" s="1" t="s">
        <v>521</v>
      </c>
      <c r="D239" s="55">
        <v>5291677.0508226585</v>
      </c>
      <c r="E239" s="166">
        <v>1772.8080602888053</v>
      </c>
      <c r="F239" s="171">
        <f>VLOOKUP(B239,'2017-18'!$B$12:$AMX447,33,FALSE)</f>
        <v>2.6979666972526406E-2</v>
      </c>
      <c r="G239" s="171">
        <f>VLOOKUP(B239,'2017-18'!$B$12:$AMX447,34,FALSE)</f>
        <v>2.0817999682031463E-2</v>
      </c>
      <c r="I239" s="175">
        <v>5334907.793373106</v>
      </c>
      <c r="J239" s="175">
        <v>1787.2911453504285</v>
      </c>
      <c r="K239" s="171">
        <f t="shared" si="80"/>
        <v>-8.1033720215647476E-3</v>
      </c>
      <c r="L239" s="170">
        <f t="shared" si="80"/>
        <v>-8.1033720215647476E-3</v>
      </c>
      <c r="N239" s="55">
        <v>3939557</v>
      </c>
      <c r="O239" s="55">
        <v>404871</v>
      </c>
      <c r="P239" s="55">
        <v>945827</v>
      </c>
      <c r="R239" s="55">
        <v>945827</v>
      </c>
      <c r="S239" s="55">
        <v>1422.0508226581733</v>
      </c>
      <c r="U239" s="171">
        <v>-2.3451920883133082E-2</v>
      </c>
      <c r="V239" s="171">
        <v>-1.9640582670150342E-2</v>
      </c>
      <c r="AA239" s="55">
        <v>0</v>
      </c>
      <c r="AB239" s="55">
        <v>0</v>
      </c>
      <c r="AC239" s="55">
        <v>1422.0508226581733</v>
      </c>
      <c r="AE239" s="55">
        <v>0</v>
      </c>
      <c r="AF239" s="55">
        <v>0</v>
      </c>
      <c r="AG239" s="55">
        <v>1422.0508226581733</v>
      </c>
      <c r="AI239" s="55">
        <v>1291.8271014354136</v>
      </c>
      <c r="AJ239" s="55">
        <v>130.22372122275939</v>
      </c>
      <c r="AK239" s="55">
        <v>0</v>
      </c>
      <c r="AM239" s="55">
        <v>3940849</v>
      </c>
      <c r="AN239" s="55">
        <v>405001</v>
      </c>
      <c r="AO239" s="55">
        <v>945827</v>
      </c>
      <c r="AP239" s="55"/>
      <c r="AQ239" s="55">
        <v>5291677</v>
      </c>
      <c r="AS239" s="175">
        <v>1320.2560935752792</v>
      </c>
      <c r="AT239" s="175">
        <v>135.68270140624057</v>
      </c>
      <c r="AU239" s="175">
        <v>316.86924828077042</v>
      </c>
      <c r="AV239" s="175"/>
      <c r="AW239" s="175">
        <v>1772.8080432622903</v>
      </c>
      <c r="AY239" s="171">
        <v>-2.3131656417301305E-2</v>
      </c>
      <c r="AZ239" s="178">
        <v>-1.9325799136005184E-2</v>
      </c>
      <c r="BA239" s="171">
        <v>6.540887378707283E-2</v>
      </c>
      <c r="BB239" s="171">
        <f t="shared" si="81"/>
        <v>-8.103381548000943E-3</v>
      </c>
      <c r="BC239" s="171"/>
      <c r="BE239" s="176">
        <f>AM239/'2016-17 disagg'!AM239-1</f>
        <v>2.0622492211660459E-2</v>
      </c>
      <c r="BF239" s="176">
        <f>AN239/'2016-17 disagg'!AN239-1</f>
        <v>4.4336486963876265E-2</v>
      </c>
      <c r="BG239" s="176">
        <f>AO239/'2016-17 disagg'!AO239-1</f>
        <v>4.6694893496467493E-2</v>
      </c>
      <c r="BH239" s="176">
        <f>AQ239/'2016-17 disagg'!AQ239-1</f>
        <v>2.6979657109143629E-2</v>
      </c>
      <c r="BJ239" s="176">
        <f>AS239/'2016-17 disagg'!AS239-1</f>
        <v>1.4498966665392521E-2</v>
      </c>
      <c r="BK239" s="176">
        <f>AT239/'2016-17 disagg'!AT239-1</f>
        <v>3.8070682314632176E-2</v>
      </c>
      <c r="BL239" s="176">
        <f>AU239/'2016-17 disagg'!AU239-1</f>
        <v>4.0414938891915719E-2</v>
      </c>
      <c r="BM239" s="176">
        <f>AW239/'2016-17 disagg'!AW239-1</f>
        <v>2.0817989877826903E-2</v>
      </c>
    </row>
    <row r="240" spans="2:65" x14ac:dyDescent="0.2">
      <c r="B240" s="1" t="s">
        <v>522</v>
      </c>
      <c r="D240" s="55">
        <v>2212180.4895421164</v>
      </c>
      <c r="E240" s="166">
        <v>1691.5785939863583</v>
      </c>
      <c r="F240" s="171">
        <f>VLOOKUP(B240,'2017-18'!$B$12:$AMX448,33,FALSE)</f>
        <v>2.3820626424411406E-2</v>
      </c>
      <c r="G240" s="171">
        <f>VLOOKUP(B240,'2017-18'!$B$12:$AMX448,34,FALSE)</f>
        <v>2.011302559717576E-2</v>
      </c>
      <c r="I240" s="175">
        <v>2232446.0026345663</v>
      </c>
      <c r="J240" s="175">
        <v>1707.074937212147</v>
      </c>
      <c r="K240" s="171">
        <f t="shared" si="80"/>
        <v>-9.0777170281091113E-3</v>
      </c>
      <c r="L240" s="170">
        <f t="shared" si="80"/>
        <v>-9.0777170281088893E-3</v>
      </c>
      <c r="N240" s="55">
        <v>1708208</v>
      </c>
      <c r="O240" s="55">
        <v>169724</v>
      </c>
      <c r="P240" s="55">
        <v>333461</v>
      </c>
      <c r="R240" s="55">
        <v>333461</v>
      </c>
      <c r="S240" s="55">
        <v>787.48954211641103</v>
      </c>
      <c r="U240" s="171">
        <v>-2.60959876782203E-2</v>
      </c>
      <c r="V240" s="171">
        <v>7.3907863556585962E-3</v>
      </c>
      <c r="AA240" s="55">
        <v>0</v>
      </c>
      <c r="AB240" s="55">
        <v>0</v>
      </c>
      <c r="AC240" s="55">
        <v>787.48954211641103</v>
      </c>
      <c r="AE240" s="55">
        <v>0</v>
      </c>
      <c r="AF240" s="55">
        <v>0</v>
      </c>
      <c r="AG240" s="55">
        <v>787.48954211641103</v>
      </c>
      <c r="AI240" s="55">
        <v>717.53802607788964</v>
      </c>
      <c r="AJ240" s="55">
        <v>69.951516038521419</v>
      </c>
      <c r="AK240" s="55">
        <v>0</v>
      </c>
      <c r="AM240" s="55">
        <v>1708926</v>
      </c>
      <c r="AN240" s="55">
        <v>169794</v>
      </c>
      <c r="AO240" s="55">
        <v>333461</v>
      </c>
      <c r="AP240" s="55"/>
      <c r="AQ240" s="55">
        <v>2212181</v>
      </c>
      <c r="AS240" s="175">
        <v>1306.7571357638515</v>
      </c>
      <c r="AT240" s="175">
        <v>129.83565181282714</v>
      </c>
      <c r="AU240" s="175">
        <v>254.98619673932618</v>
      </c>
      <c r="AV240" s="175"/>
      <c r="AW240" s="175">
        <v>1691.5789843160048</v>
      </c>
      <c r="AY240" s="171">
        <v>-2.5686632915306817E-2</v>
      </c>
      <c r="AZ240" s="178">
        <v>7.8062688746005637E-3</v>
      </c>
      <c r="BA240" s="171">
        <v>7.5724516243179885E-2</v>
      </c>
      <c r="BB240" s="171">
        <f t="shared" si="81"/>
        <v>-9.0774883740305512E-3</v>
      </c>
      <c r="BC240" s="171"/>
      <c r="BE240" s="176">
        <f>AM240/'2016-17 disagg'!AM240-1</f>
        <v>2.0458420042217318E-2</v>
      </c>
      <c r="BF240" s="176">
        <f>AN240/'2016-17 disagg'!AN240-1</f>
        <v>1.8810865299803803E-2</v>
      </c>
      <c r="BG240" s="176">
        <f>AO240/'2016-17 disagg'!AO240-1</f>
        <v>4.4065663286232626E-2</v>
      </c>
      <c r="BH240" s="176">
        <f>AQ240/'2016-17 disagg'!AQ240-1</f>
        <v>2.3820862669741594E-2</v>
      </c>
      <c r="BJ240" s="176">
        <f>AS240/'2016-17 disagg'!AS240-1</f>
        <v>1.6762994901661665E-2</v>
      </c>
      <c r="BK240" s="176">
        <f>AT240/'2016-17 disagg'!AT240-1</f>
        <v>1.5121406512306867E-2</v>
      </c>
      <c r="BL240" s="176">
        <f>AU240/'2016-17 disagg'!AU240-1</f>
        <v>4.0284748332011233E-2</v>
      </c>
      <c r="BM240" s="176">
        <f>AW240/'2016-17 disagg'!AW240-1</f>
        <v>2.0113260986981407E-2</v>
      </c>
    </row>
    <row r="241" spans="2:65" x14ac:dyDescent="0.2">
      <c r="B241" s="1" t="s">
        <v>523</v>
      </c>
      <c r="D241" s="55">
        <v>2525195</v>
      </c>
      <c r="E241" s="166">
        <v>1975.9798922642681</v>
      </c>
      <c r="F241" s="171">
        <f>VLOOKUP(B241,'2017-18'!$B$12:$AMX449,33,FALSE)</f>
        <v>2.3638341842050048E-2</v>
      </c>
      <c r="G241" s="171">
        <f>VLOOKUP(B241,'2017-18'!$B$12:$AMX449,34,FALSE)</f>
        <v>2.1624852428764108E-2</v>
      </c>
      <c r="I241" s="175">
        <v>2429348.1178103955</v>
      </c>
      <c r="J241" s="175">
        <v>1900.9791450178652</v>
      </c>
      <c r="K241" s="171">
        <f t="shared" si="80"/>
        <v>3.945374542533342E-2</v>
      </c>
      <c r="L241" s="170">
        <f t="shared" si="80"/>
        <v>3.945374542533342E-2</v>
      </c>
      <c r="N241" s="55">
        <v>1956553</v>
      </c>
      <c r="O241" s="55">
        <v>186070</v>
      </c>
      <c r="P241" s="55">
        <v>382572</v>
      </c>
      <c r="R241" s="55">
        <v>382572</v>
      </c>
      <c r="S241" s="55">
        <v>0</v>
      </c>
      <c r="U241" s="171">
        <v>4.0987254312019994E-2</v>
      </c>
      <c r="V241" s="171">
        <v>8.2352441670736631E-3</v>
      </c>
      <c r="AA241" s="55">
        <v>0</v>
      </c>
      <c r="AB241" s="55">
        <v>0</v>
      </c>
      <c r="AC241" s="55">
        <v>0</v>
      </c>
      <c r="AE241" s="55">
        <v>0</v>
      </c>
      <c r="AF241" s="55">
        <v>0</v>
      </c>
      <c r="AG241" s="55">
        <v>0</v>
      </c>
      <c r="AI241" s="55">
        <v>0</v>
      </c>
      <c r="AJ241" s="55">
        <v>0</v>
      </c>
      <c r="AK241" s="55">
        <v>0</v>
      </c>
      <c r="AM241" s="55">
        <v>1956553</v>
      </c>
      <c r="AN241" s="55">
        <v>186070</v>
      </c>
      <c r="AO241" s="55">
        <v>382572</v>
      </c>
      <c r="AP241" s="55"/>
      <c r="AQ241" s="55">
        <v>2525195</v>
      </c>
      <c r="AS241" s="175">
        <v>1531.014193418461</v>
      </c>
      <c r="AT241" s="175">
        <v>145.60086589495558</v>
      </c>
      <c r="AU241" s="175">
        <v>299.36483295085156</v>
      </c>
      <c r="AV241" s="175"/>
      <c r="AW241" s="175">
        <v>1975.9798922642681</v>
      </c>
      <c r="AY241" s="171">
        <v>4.0987254312019994E-2</v>
      </c>
      <c r="AZ241" s="178">
        <v>8.2352441670736631E-3</v>
      </c>
      <c r="BA241" s="171">
        <v>4.733568614040351E-2</v>
      </c>
      <c r="BB241" s="171">
        <f t="shared" si="81"/>
        <v>3.945374542533342E-2</v>
      </c>
      <c r="BC241" s="171"/>
      <c r="BE241" s="176">
        <f>AM241/'2016-17 disagg'!AM241-1</f>
        <v>1.7822465149693656E-2</v>
      </c>
      <c r="BF241" s="176">
        <f>AN241/'2016-17 disagg'!AN241-1</f>
        <v>4.8057317306717362E-2</v>
      </c>
      <c r="BG241" s="176">
        <f>AO241/'2016-17 disagg'!AO241-1</f>
        <v>4.228567692228058E-2</v>
      </c>
      <c r="BH241" s="176">
        <f>AQ241/'2016-17 disagg'!AQ241-1</f>
        <v>2.3638341842050048E-2</v>
      </c>
      <c r="BJ241" s="176">
        <f>AS241/'2016-17 disagg'!AS241-1</f>
        <v>1.582041552492508E-2</v>
      </c>
      <c r="BK241" s="176">
        <f>AT241/'2016-17 disagg'!AT241-1</f>
        <v>4.5995795940571238E-2</v>
      </c>
      <c r="BL241" s="176">
        <f>AU241/'2016-17 disagg'!AU241-1</f>
        <v>4.0235508332145509E-2</v>
      </c>
      <c r="BM241" s="176">
        <f>AW241/'2016-17 disagg'!AW241-1</f>
        <v>2.1624852428764108E-2</v>
      </c>
    </row>
    <row r="242" spans="2:65" x14ac:dyDescent="0.2">
      <c r="B242" s="1" t="s">
        <v>524</v>
      </c>
      <c r="D242" s="55">
        <v>4071087.0903060902</v>
      </c>
      <c r="E242" s="166">
        <v>1615.8001407199235</v>
      </c>
      <c r="F242" s="171">
        <f>VLOOKUP(B242,'2017-18'!$B$12:$AMX450,33,FALSE)</f>
        <v>2.4082424496878474E-2</v>
      </c>
      <c r="G242" s="171">
        <f>VLOOKUP(B242,'2017-18'!$B$12:$AMX450,34,FALSE)</f>
        <v>1.7766600027103507E-2</v>
      </c>
      <c r="I242" s="175">
        <v>3997196.6336833425</v>
      </c>
      <c r="J242" s="175">
        <v>1586.4732784935695</v>
      </c>
      <c r="K242" s="171">
        <f t="shared" si="80"/>
        <v>1.8485569611485175E-2</v>
      </c>
      <c r="L242" s="170">
        <f t="shared" si="80"/>
        <v>1.8485569611485175E-2</v>
      </c>
      <c r="N242" s="55">
        <v>3141153</v>
      </c>
      <c r="O242" s="55">
        <v>338200</v>
      </c>
      <c r="P242" s="55">
        <v>589514</v>
      </c>
      <c r="R242" s="55">
        <v>589514</v>
      </c>
      <c r="S242" s="55">
        <v>2220.0903060900746</v>
      </c>
      <c r="U242" s="171">
        <v>1.1983168853533455E-2</v>
      </c>
      <c r="V242" s="171">
        <v>1.9153945108682402E-2</v>
      </c>
      <c r="AA242" s="55">
        <v>1354.0127626969479</v>
      </c>
      <c r="AB242" s="55">
        <v>0</v>
      </c>
      <c r="AC242" s="55">
        <v>866.07754339312669</v>
      </c>
      <c r="AE242" s="55">
        <v>0</v>
      </c>
      <c r="AF242" s="55">
        <v>257.61408571834323</v>
      </c>
      <c r="AG242" s="55">
        <v>608.46345767478351</v>
      </c>
      <c r="AI242" s="55">
        <v>549.13217867588412</v>
      </c>
      <c r="AJ242" s="55">
        <v>59.331278998899357</v>
      </c>
      <c r="AK242" s="55">
        <v>0</v>
      </c>
      <c r="AM242" s="55">
        <v>3143056</v>
      </c>
      <c r="AN242" s="55">
        <v>338517</v>
      </c>
      <c r="AO242" s="55">
        <v>589514</v>
      </c>
      <c r="AP242" s="55"/>
      <c r="AQ242" s="55">
        <v>4071087</v>
      </c>
      <c r="AS242" s="175">
        <v>1247.467866551772</v>
      </c>
      <c r="AT242" s="175">
        <v>134.35620611961932</v>
      </c>
      <c r="AU242" s="175">
        <v>233.97603220636265</v>
      </c>
      <c r="AV242" s="175"/>
      <c r="AW242" s="175">
        <v>1615.8001048777539</v>
      </c>
      <c r="AY242" s="171">
        <v>1.2596257095439656E-2</v>
      </c>
      <c r="AZ242" s="178">
        <v>2.0109213590643993E-2</v>
      </c>
      <c r="BA242" s="171">
        <v>5.00877222991718E-2</v>
      </c>
      <c r="BB242" s="171">
        <f t="shared" si="81"/>
        <v>1.8485547019128967E-2</v>
      </c>
      <c r="BC242" s="171"/>
      <c r="BE242" s="176">
        <f>AM242/'2016-17 disagg'!AM242-1</f>
        <v>1.9788674220474256E-2</v>
      </c>
      <c r="BF242" s="176">
        <f>AN242/'2016-17 disagg'!AN242-1</f>
        <v>2.5392719320033619E-2</v>
      </c>
      <c r="BG242" s="176">
        <f>AO242/'2016-17 disagg'!AO242-1</f>
        <v>4.6813376874053292E-2</v>
      </c>
      <c r="BH242" s="176">
        <f>AQ242/'2016-17 disagg'!AQ242-1</f>
        <v>2.4082401780371132E-2</v>
      </c>
      <c r="BJ242" s="176">
        <f>AS242/'2016-17 disagg'!AS242-1</f>
        <v>1.3499330600691417E-2</v>
      </c>
      <c r="BK242" s="176">
        <f>AT242/'2016-17 disagg'!AT242-1</f>
        <v>1.9068813867801682E-2</v>
      </c>
      <c r="BL242" s="176">
        <f>AU242/'2016-17 disagg'!AU242-1</f>
        <v>4.0357363780969324E-2</v>
      </c>
      <c r="BM242" s="176">
        <f>AW242/'2016-17 disagg'!AW242-1</f>
        <v>1.7766577450695431E-2</v>
      </c>
    </row>
    <row r="243" spans="2:65" x14ac:dyDescent="0.2">
      <c r="B243" s="1" t="s">
        <v>525</v>
      </c>
      <c r="D243" s="55">
        <v>2715595</v>
      </c>
      <c r="E243" s="166">
        <v>1760.8900373505983</v>
      </c>
      <c r="F243" s="171">
        <f>VLOOKUP(B243,'2017-18'!$B$12:$AMX451,33,FALSE)</f>
        <v>2.0696620336316363E-2</v>
      </c>
      <c r="G243" s="171">
        <f>VLOOKUP(B243,'2017-18'!$B$12:$AMX451,34,FALSE)</f>
        <v>1.6065780908344207E-2</v>
      </c>
      <c r="I243" s="175">
        <v>2580826.2356508309</v>
      </c>
      <c r="J243" s="175">
        <v>1673.5010951524787</v>
      </c>
      <c r="K243" s="171">
        <f t="shared" si="80"/>
        <v>5.2219232154226525E-2</v>
      </c>
      <c r="L243" s="170">
        <f t="shared" si="80"/>
        <v>5.2219232154226525E-2</v>
      </c>
      <c r="N243" s="55">
        <v>2081563</v>
      </c>
      <c r="O243" s="55">
        <v>206887</v>
      </c>
      <c r="P243" s="55">
        <v>427145</v>
      </c>
      <c r="R243" s="55">
        <v>427145</v>
      </c>
      <c r="S243" s="55">
        <v>0</v>
      </c>
      <c r="U243" s="171">
        <v>5.2837481674179454E-2</v>
      </c>
      <c r="V243" s="171">
        <v>1.5181415827753675E-2</v>
      </c>
      <c r="AA243" s="55">
        <v>0</v>
      </c>
      <c r="AB243" s="55">
        <v>0</v>
      </c>
      <c r="AC243" s="55">
        <v>0</v>
      </c>
      <c r="AE243" s="55">
        <v>0</v>
      </c>
      <c r="AF243" s="55">
        <v>0</v>
      </c>
      <c r="AG243" s="55">
        <v>0</v>
      </c>
      <c r="AI243" s="55">
        <v>0</v>
      </c>
      <c r="AJ243" s="55">
        <v>0</v>
      </c>
      <c r="AK243" s="55">
        <v>0</v>
      </c>
      <c r="AM243" s="55">
        <v>2081563</v>
      </c>
      <c r="AN243" s="55">
        <v>206887</v>
      </c>
      <c r="AO243" s="55">
        <v>427145</v>
      </c>
      <c r="AP243" s="55"/>
      <c r="AQ243" s="55">
        <v>2715595</v>
      </c>
      <c r="AS243" s="175">
        <v>1349.7607518122634</v>
      </c>
      <c r="AT243" s="175">
        <v>134.15301514303613</v>
      </c>
      <c r="AU243" s="175">
        <v>276.97627039529874</v>
      </c>
      <c r="AV243" s="175"/>
      <c r="AW243" s="175">
        <v>1760.8900373505983</v>
      </c>
      <c r="AY243" s="171">
        <v>5.2837481674179454E-2</v>
      </c>
      <c r="AZ243" s="178">
        <v>1.5181415827753675E-2</v>
      </c>
      <c r="BA243" s="171">
        <v>6.8036084367721461E-2</v>
      </c>
      <c r="BB243" s="171">
        <f t="shared" si="81"/>
        <v>5.2219232154226525E-2</v>
      </c>
      <c r="BC243" s="171"/>
      <c r="BE243" s="176">
        <f>AM243/'2016-17 disagg'!AM243-1</f>
        <v>1.6159944543705951E-2</v>
      </c>
      <c r="BF243" s="176">
        <f>AN243/'2016-17 disagg'!AN243-1</f>
        <v>1.7303607253845277E-2</v>
      </c>
      <c r="BG243" s="176">
        <f>AO243/'2016-17 disagg'!AO243-1</f>
        <v>4.5123231295096877E-2</v>
      </c>
      <c r="BH243" s="176">
        <f>AQ243/'2016-17 disagg'!AQ243-1</f>
        <v>2.0696620336316363E-2</v>
      </c>
      <c r="BJ243" s="176">
        <f>AS243/'2016-17 disagg'!AS243-1</f>
        <v>1.1549687742063774E-2</v>
      </c>
      <c r="BK243" s="176">
        <f>AT243/'2016-17 disagg'!AT243-1</f>
        <v>1.2688161722991032E-2</v>
      </c>
      <c r="BL243" s="176">
        <f>AU243/'2016-17 disagg'!AU243-1</f>
        <v>4.0381569796329453E-2</v>
      </c>
      <c r="BM243" s="176">
        <f>AW243/'2016-17 disagg'!AW243-1</f>
        <v>1.6065780908344207E-2</v>
      </c>
    </row>
    <row r="244" spans="2:65" x14ac:dyDescent="0.2">
      <c r="B244" s="1" t="s">
        <v>526</v>
      </c>
      <c r="D244" s="55">
        <v>2787630</v>
      </c>
      <c r="E244" s="166">
        <v>1618.2665190204455</v>
      </c>
      <c r="F244" s="171">
        <f>VLOOKUP(B244,'2017-18'!$B$12:$AMX452,33,FALSE)</f>
        <v>2.3617189797867422E-2</v>
      </c>
      <c r="G244" s="171">
        <f>VLOOKUP(B244,'2017-18'!$B$12:$AMX452,34,FALSE)</f>
        <v>1.99068605417414E-2</v>
      </c>
      <c r="I244" s="175">
        <v>2741898.7068912936</v>
      </c>
      <c r="J244" s="175">
        <v>1591.7187273446025</v>
      </c>
      <c r="K244" s="171">
        <f t="shared" si="80"/>
        <v>1.6678695312036362E-2</v>
      </c>
      <c r="L244" s="170">
        <f t="shared" si="80"/>
        <v>1.6678695312036362E-2</v>
      </c>
      <c r="N244" s="55">
        <v>2164671</v>
      </c>
      <c r="O244" s="55">
        <v>225248</v>
      </c>
      <c r="P244" s="55">
        <v>397711</v>
      </c>
      <c r="R244" s="55">
        <v>397711</v>
      </c>
      <c r="S244" s="55">
        <v>0</v>
      </c>
      <c r="U244" s="171">
        <v>2.0014203475410497E-2</v>
      </c>
      <c r="V244" s="171">
        <v>1.2976766902201398E-2</v>
      </c>
      <c r="AA244" s="55">
        <v>0</v>
      </c>
      <c r="AB244" s="55">
        <v>0</v>
      </c>
      <c r="AC244" s="55">
        <v>0</v>
      </c>
      <c r="AE244" s="55">
        <v>0</v>
      </c>
      <c r="AF244" s="55">
        <v>0</v>
      </c>
      <c r="AG244" s="55">
        <v>0</v>
      </c>
      <c r="AI244" s="55">
        <v>0</v>
      </c>
      <c r="AJ244" s="55">
        <v>0</v>
      </c>
      <c r="AK244" s="55">
        <v>0</v>
      </c>
      <c r="AM244" s="55">
        <v>2164671</v>
      </c>
      <c r="AN244" s="55">
        <v>225248</v>
      </c>
      <c r="AO244" s="55">
        <v>397711</v>
      </c>
      <c r="AP244" s="55"/>
      <c r="AQ244" s="55">
        <v>2787630</v>
      </c>
      <c r="AS244" s="175">
        <v>1256.6282483667153</v>
      </c>
      <c r="AT244" s="175">
        <v>130.76028629205356</v>
      </c>
      <c r="AU244" s="175">
        <v>230.87798436167654</v>
      </c>
      <c r="AV244" s="175"/>
      <c r="AW244" s="175">
        <v>1618.2665190204455</v>
      </c>
      <c r="AY244" s="171">
        <v>2.0014203475410497E-2</v>
      </c>
      <c r="AZ244" s="178">
        <v>1.2976766902201398E-2</v>
      </c>
      <c r="BA244" s="171">
        <v>9.3538793625036476E-4</v>
      </c>
      <c r="BB244" s="171">
        <f t="shared" si="81"/>
        <v>1.6678695312036362E-2</v>
      </c>
      <c r="BC244" s="171"/>
      <c r="BE244" s="176">
        <f>AM244/'2016-17 disagg'!AM244-1</f>
        <v>1.9724900944460666E-2</v>
      </c>
      <c r="BF244" s="176">
        <f>AN244/'2016-17 disagg'!AN244-1</f>
        <v>2.5887668288061771E-2</v>
      </c>
      <c r="BG244" s="176">
        <f>AO244/'2016-17 disagg'!AO244-1</f>
        <v>4.3997899986874867E-2</v>
      </c>
      <c r="BH244" s="176">
        <f>AQ244/'2016-17 disagg'!AQ244-1</f>
        <v>2.3617189797867422E-2</v>
      </c>
      <c r="BJ244" s="176">
        <f>AS244/'2016-17 disagg'!AS244-1</f>
        <v>1.6028680159108522E-2</v>
      </c>
      <c r="BK244" s="176">
        <f>AT244/'2016-17 disagg'!AT244-1</f>
        <v>2.2169109175255164E-2</v>
      </c>
      <c r="BL244" s="176">
        <f>AU244/'2016-17 disagg'!AU244-1</f>
        <v>4.0213696292112244E-2</v>
      </c>
      <c r="BM244" s="176">
        <f>AW244/'2016-17 disagg'!AW244-1</f>
        <v>1.99068605417414E-2</v>
      </c>
    </row>
    <row r="245" spans="2:65" x14ac:dyDescent="0.2">
      <c r="B245" s="1" t="s">
        <v>527</v>
      </c>
      <c r="D245" s="55">
        <v>4550293.7484247806</v>
      </c>
      <c r="E245" s="166">
        <v>1677.9431966883194</v>
      </c>
      <c r="F245" s="171">
        <f>VLOOKUP(B245,'2017-18'!$B$12:$AMX453,33,FALSE)</f>
        <v>2.6471266620944123E-2</v>
      </c>
      <c r="G245" s="171">
        <f>VLOOKUP(B245,'2017-18'!$B$12:$AMX453,34,FALSE)</f>
        <v>2.0109939463798243E-2</v>
      </c>
      <c r="I245" s="175">
        <v>4589730.9163301596</v>
      </c>
      <c r="J245" s="175">
        <v>1692.4858462933898</v>
      </c>
      <c r="K245" s="171">
        <f t="shared" si="80"/>
        <v>-8.5924793031030289E-3</v>
      </c>
      <c r="L245" s="170">
        <f t="shared" si="80"/>
        <v>-8.5924793031028068E-3</v>
      </c>
      <c r="N245" s="55">
        <v>3373779</v>
      </c>
      <c r="O245" s="55">
        <v>359423</v>
      </c>
      <c r="P245" s="55">
        <v>814225</v>
      </c>
      <c r="R245" s="55">
        <v>814225</v>
      </c>
      <c r="S245" s="55">
        <v>2866.7484247804387</v>
      </c>
      <c r="U245" s="171">
        <v>-1.7137035823689417E-2</v>
      </c>
      <c r="V245" s="171">
        <v>-3.119675346612194E-2</v>
      </c>
      <c r="AA245" s="55">
        <v>0</v>
      </c>
      <c r="AB245" s="55">
        <v>0</v>
      </c>
      <c r="AC245" s="55">
        <v>2866.7484247804387</v>
      </c>
      <c r="AE245" s="55">
        <v>0</v>
      </c>
      <c r="AF245" s="55">
        <v>0</v>
      </c>
      <c r="AG245" s="55">
        <v>2866.7484247804387</v>
      </c>
      <c r="AI245" s="55">
        <v>2575.5661131496631</v>
      </c>
      <c r="AJ245" s="55">
        <v>291.18231163077542</v>
      </c>
      <c r="AK245" s="55">
        <v>0</v>
      </c>
      <c r="AM245" s="55">
        <v>3376355</v>
      </c>
      <c r="AN245" s="55">
        <v>359714</v>
      </c>
      <c r="AO245" s="55">
        <v>814225</v>
      </c>
      <c r="AP245" s="55"/>
      <c r="AQ245" s="55">
        <v>4550294</v>
      </c>
      <c r="AS245" s="175">
        <v>1245.0475101340026</v>
      </c>
      <c r="AT245" s="175">
        <v>132.64630646372865</v>
      </c>
      <c r="AU245" s="175">
        <v>300.24947286018744</v>
      </c>
      <c r="AV245" s="175"/>
      <c r="AW245" s="175">
        <v>1677.9432894579186</v>
      </c>
      <c r="AY245" s="171">
        <v>-1.6386585069292581E-2</v>
      </c>
      <c r="AZ245" s="178">
        <v>-3.0412380332679234E-2</v>
      </c>
      <c r="BA245" s="171">
        <v>3.5737881945595129E-2</v>
      </c>
      <c r="BB245" s="171">
        <f t="shared" si="81"/>
        <v>-8.5924244904737046E-3</v>
      </c>
      <c r="BC245" s="171"/>
      <c r="BE245" s="176">
        <f>AM245/'2016-17 disagg'!AM245-1</f>
        <v>2.0169186455293975E-2</v>
      </c>
      <c r="BF245" s="176">
        <f>AN245/'2016-17 disagg'!AN245-1</f>
        <v>4.0790935604833045E-2</v>
      </c>
      <c r="BG245" s="176">
        <f>AO245/'2016-17 disagg'!AO245-1</f>
        <v>4.6926371525299881E-2</v>
      </c>
      <c r="BH245" s="176">
        <f>AQ245/'2016-17 disagg'!AQ245-1</f>
        <v>2.6471323372166733E-2</v>
      </c>
      <c r="BJ245" s="176">
        <f>AS245/'2016-17 disagg'!AS245-1</f>
        <v>1.3846915036976881E-2</v>
      </c>
      <c r="BK245" s="176">
        <f>AT245/'2016-17 disagg'!AT245-1</f>
        <v>3.4340865487069827E-2</v>
      </c>
      <c r="BL245" s="176">
        <f>AU245/'2016-17 disagg'!AU245-1</f>
        <v>4.0438278409318462E-2</v>
      </c>
      <c r="BM245" s="176">
        <f>AW245/'2016-17 disagg'!AW245-1</f>
        <v>2.0109995863317964E-2</v>
      </c>
    </row>
    <row r="246" spans="2:65" x14ac:dyDescent="0.2">
      <c r="B246" s="1" t="s">
        <v>528</v>
      </c>
      <c r="D246" s="55">
        <v>2643333.6578328013</v>
      </c>
      <c r="E246" s="166">
        <v>1622.2419388753531</v>
      </c>
      <c r="F246" s="171">
        <f>VLOOKUP(B246,'2017-18'!$B$12:$AMX454,33,FALSE)</f>
        <v>2.4015282683503836E-2</v>
      </c>
      <c r="G246" s="171">
        <f>VLOOKUP(B246,'2017-18'!$B$12:$AMX454,34,FALSE)</f>
        <v>2.0190912712549469E-2</v>
      </c>
      <c r="I246" s="175">
        <v>2664224.951915883</v>
      </c>
      <c r="J246" s="175">
        <v>1635.0631479264796</v>
      </c>
      <c r="K246" s="171">
        <f t="shared" si="80"/>
        <v>-7.8414152183577945E-3</v>
      </c>
      <c r="L246" s="170">
        <f t="shared" si="80"/>
        <v>-7.8414152183576835E-3</v>
      </c>
      <c r="N246" s="55">
        <v>2011432</v>
      </c>
      <c r="O246" s="55">
        <v>211805</v>
      </c>
      <c r="P246" s="55">
        <v>418545</v>
      </c>
      <c r="R246" s="55">
        <v>418545</v>
      </c>
      <c r="S246" s="55">
        <v>1551.6578328013711</v>
      </c>
      <c r="U246" s="171">
        <v>-1.7159264231656923E-2</v>
      </c>
      <c r="V246" s="171">
        <v>2.7121207143873338E-2</v>
      </c>
      <c r="AA246" s="55">
        <v>882.99028445375734</v>
      </c>
      <c r="AB246" s="55">
        <v>0</v>
      </c>
      <c r="AC246" s="55">
        <v>668.66754834761377</v>
      </c>
      <c r="AE246" s="55">
        <v>0</v>
      </c>
      <c r="AF246" s="55">
        <v>0</v>
      </c>
      <c r="AG246" s="55">
        <v>668.66754834761377</v>
      </c>
      <c r="AI246" s="55">
        <v>606.91550009871173</v>
      </c>
      <c r="AJ246" s="55">
        <v>61.752048248902064</v>
      </c>
      <c r="AK246" s="55">
        <v>0</v>
      </c>
      <c r="AM246" s="55">
        <v>2012922</v>
      </c>
      <c r="AN246" s="55">
        <v>211867</v>
      </c>
      <c r="AO246" s="55">
        <v>418545</v>
      </c>
      <c r="AP246" s="55"/>
      <c r="AQ246" s="55">
        <v>2643334</v>
      </c>
      <c r="AS246" s="175">
        <v>1235.3516092864741</v>
      </c>
      <c r="AT246" s="175">
        <v>130.02502799646356</v>
      </c>
      <c r="AU246" s="175">
        <v>256.86551158405905</v>
      </c>
      <c r="AV246" s="175"/>
      <c r="AW246" s="175">
        <v>1622.2421488669968</v>
      </c>
      <c r="AY246" s="171">
        <v>-1.6431209444671913E-2</v>
      </c>
      <c r="AZ246" s="178">
        <v>2.7421868199291932E-2</v>
      </c>
      <c r="BA246" s="171">
        <v>1.7210770564198397E-2</v>
      </c>
      <c r="BB246" s="171">
        <f t="shared" si="81"/>
        <v>-7.8412867880619519E-3</v>
      </c>
      <c r="BC246" s="171"/>
      <c r="BE246" s="176">
        <f>AM246/'2016-17 disagg'!AM246-1</f>
        <v>2.0786203182359575E-2</v>
      </c>
      <c r="BF246" s="176">
        <f>AN246/'2016-17 disagg'!AN246-1</f>
        <v>1.5929415713634931E-2</v>
      </c>
      <c r="BG246" s="176">
        <f>AO246/'2016-17 disagg'!AO246-1</f>
        <v>4.4107228386684794E-2</v>
      </c>
      <c r="BH246" s="176">
        <f>AQ246/'2016-17 disagg'!AQ246-1</f>
        <v>2.4015415237500504E-2</v>
      </c>
      <c r="BJ246" s="176">
        <f>AS246/'2016-17 disagg'!AS246-1</f>
        <v>1.6973892791849687E-2</v>
      </c>
      <c r="BK246" s="176">
        <f>AT246/'2016-17 disagg'!AT246-1</f>
        <v>1.2135243872876122E-2</v>
      </c>
      <c r="BL246" s="176">
        <f>AU246/'2016-17 disagg'!AU246-1</f>
        <v>4.0207821416669232E-2</v>
      </c>
      <c r="BM246" s="176">
        <f>AW246/'2016-17 disagg'!AW246-1</f>
        <v>2.0191044771499245E-2</v>
      </c>
    </row>
    <row r="247" spans="2:65" x14ac:dyDescent="0.2">
      <c r="B247" s="1" t="s">
        <v>529</v>
      </c>
      <c r="D247" s="55">
        <v>2726737.651511048</v>
      </c>
      <c r="E247" s="166">
        <v>1560.4361753412452</v>
      </c>
      <c r="F247" s="171">
        <f>VLOOKUP(B247,'2017-18'!$B$12:$AMX455,33,FALSE)</f>
        <v>2.634024307484828E-2</v>
      </c>
      <c r="G247" s="171">
        <f>VLOOKUP(B247,'2017-18'!$B$12:$AMX455,34,FALSE)</f>
        <v>1.9641589538657911E-2</v>
      </c>
      <c r="I247" s="175">
        <v>2759990.8731445782</v>
      </c>
      <c r="J247" s="175">
        <v>1579.4660698948505</v>
      </c>
      <c r="K247" s="171">
        <f t="shared" si="80"/>
        <v>-1.2048308549529096E-2</v>
      </c>
      <c r="L247" s="170">
        <f t="shared" si="80"/>
        <v>-1.2048308549529207E-2</v>
      </c>
      <c r="N247" s="55">
        <v>2065571</v>
      </c>
      <c r="O247" s="55">
        <v>231321</v>
      </c>
      <c r="P247" s="55">
        <v>429573</v>
      </c>
      <c r="R247" s="55">
        <v>429573</v>
      </c>
      <c r="S247" s="55">
        <v>272.65151104819961</v>
      </c>
      <c r="U247" s="171">
        <v>-2.1692568541185508E-2</v>
      </c>
      <c r="V247" s="171">
        <v>2.9614302310092988E-2</v>
      </c>
      <c r="AA247" s="55">
        <v>272.65151104819961</v>
      </c>
      <c r="AB247" s="55">
        <v>0</v>
      </c>
      <c r="AC247" s="55">
        <v>0</v>
      </c>
      <c r="AE247" s="55">
        <v>0</v>
      </c>
      <c r="AF247" s="55">
        <v>0</v>
      </c>
      <c r="AG247" s="55">
        <v>0</v>
      </c>
      <c r="AI247" s="55">
        <v>0</v>
      </c>
      <c r="AJ247" s="55">
        <v>0</v>
      </c>
      <c r="AK247" s="55">
        <v>0</v>
      </c>
      <c r="AM247" s="55">
        <v>2065844</v>
      </c>
      <c r="AN247" s="55">
        <v>231321</v>
      </c>
      <c r="AO247" s="55">
        <v>429573</v>
      </c>
      <c r="AP247" s="55"/>
      <c r="AQ247" s="55">
        <v>2726738</v>
      </c>
      <c r="AS247" s="175">
        <v>1182.2251064106813</v>
      </c>
      <c r="AT247" s="175">
        <v>132.37857933126858</v>
      </c>
      <c r="AU247" s="175">
        <v>245.83268902983747</v>
      </c>
      <c r="AV247" s="175"/>
      <c r="AW247" s="175">
        <v>1560.4363747717873</v>
      </c>
      <c r="AY247" s="171">
        <v>-2.1563268735568464E-2</v>
      </c>
      <c r="AZ247" s="178">
        <v>2.9614302310092988E-2</v>
      </c>
      <c r="BA247" s="171">
        <v>1.3260573386391528E-2</v>
      </c>
      <c r="BB247" s="171">
        <f t="shared" si="81"/>
        <v>-1.2048182284998599E-2</v>
      </c>
      <c r="BC247" s="171"/>
      <c r="BE247" s="176">
        <f>AM247/'2016-17 disagg'!AM247-1</f>
        <v>2.0928136255273122E-2</v>
      </c>
      <c r="BF247" s="176">
        <f>AN247/'2016-17 disagg'!AN247-1</f>
        <v>3.6797827090551349E-2</v>
      </c>
      <c r="BG247" s="176">
        <f>AO247/'2016-17 disagg'!AO247-1</f>
        <v>4.735329183642123E-2</v>
      </c>
      <c r="BH247" s="176">
        <f>AQ247/'2016-17 disagg'!AQ247-1</f>
        <v>2.6340374245603204E-2</v>
      </c>
      <c r="BJ247" s="176">
        <f>AS247/'2016-17 disagg'!AS247-1</f>
        <v>1.4264806120586115E-2</v>
      </c>
      <c r="BK247" s="176">
        <f>AT247/'2016-17 disagg'!AT247-1</f>
        <v>3.0030919646732102E-2</v>
      </c>
      <c r="BL247" s="176">
        <f>AU247/'2016-17 disagg'!AU247-1</f>
        <v>4.0517491643123238E-2</v>
      </c>
      <c r="BM247" s="176">
        <f>AW247/'2016-17 disagg'!AW247-1</f>
        <v>1.9641719853295658E-2</v>
      </c>
    </row>
    <row r="248" spans="2:65" x14ac:dyDescent="0.2">
      <c r="B248" s="1" t="s">
        <v>530</v>
      </c>
      <c r="D248" s="55">
        <v>4513502.7250009635</v>
      </c>
      <c r="E248" s="166">
        <v>1510.8871145248179</v>
      </c>
      <c r="F248" s="171">
        <f>VLOOKUP(B248,'2017-18'!$B$12:$AMX456,33,FALSE)</f>
        <v>3.3012133164982416E-2</v>
      </c>
      <c r="G248" s="171">
        <f>VLOOKUP(B248,'2017-18'!$B$12:$AMX456,34,FALSE)</f>
        <v>2.2351869381384892E-2</v>
      </c>
      <c r="I248" s="175">
        <v>4665624.1978110671</v>
      </c>
      <c r="J248" s="175">
        <v>1561.8095105252048</v>
      </c>
      <c r="K248" s="171">
        <f t="shared" si="80"/>
        <v>-3.260474190816165E-2</v>
      </c>
      <c r="L248" s="170">
        <f t="shared" si="80"/>
        <v>-3.2604741908161872E-2</v>
      </c>
      <c r="N248" s="55">
        <v>3441890</v>
      </c>
      <c r="O248" s="55">
        <v>353834</v>
      </c>
      <c r="P248" s="55">
        <v>695634</v>
      </c>
      <c r="R248" s="55">
        <v>695634</v>
      </c>
      <c r="S248" s="55">
        <v>22144.725000963488</v>
      </c>
      <c r="U248" s="171">
        <v>-3.2310194370915202E-2</v>
      </c>
      <c r="V248" s="171">
        <v>-3.6680250499934619E-2</v>
      </c>
      <c r="AA248" s="55">
        <v>0</v>
      </c>
      <c r="AB248" s="55">
        <v>0</v>
      </c>
      <c r="AC248" s="55">
        <v>22144.725000963488</v>
      </c>
      <c r="AE248" s="55">
        <v>0</v>
      </c>
      <c r="AF248" s="55">
        <v>0</v>
      </c>
      <c r="AG248" s="55">
        <v>22144.725000963488</v>
      </c>
      <c r="AI248" s="55">
        <v>20082.821495146047</v>
      </c>
      <c r="AJ248" s="55">
        <v>2061.9035058174413</v>
      </c>
      <c r="AK248" s="55">
        <v>0</v>
      </c>
      <c r="AM248" s="55">
        <v>3461972</v>
      </c>
      <c r="AN248" s="55">
        <v>355896</v>
      </c>
      <c r="AO248" s="55">
        <v>695634</v>
      </c>
      <c r="AP248" s="55"/>
      <c r="AQ248" s="55">
        <v>4513502</v>
      </c>
      <c r="AS248" s="175">
        <v>1158.8890501100998</v>
      </c>
      <c r="AT248" s="175">
        <v>119.13556128645294</v>
      </c>
      <c r="AU248" s="175">
        <v>232.86226043546543</v>
      </c>
      <c r="AV248" s="175"/>
      <c r="AW248" s="175">
        <v>1510.8868718320182</v>
      </c>
      <c r="AY248" s="171">
        <v>-2.6664125880451195E-2</v>
      </c>
      <c r="AZ248" s="178">
        <v>-3.10664165453991E-2</v>
      </c>
      <c r="BA248" s="171">
        <v>-6.1863320799193988E-2</v>
      </c>
      <c r="BB248" s="171">
        <f t="shared" si="81"/>
        <v>-3.2604897300223423E-2</v>
      </c>
      <c r="BC248" s="171"/>
      <c r="BE248" s="176">
        <f>AM248/'2016-17 disagg'!AM248-1</f>
        <v>2.7815977294049166E-2</v>
      </c>
      <c r="BF248" s="176">
        <f>AN248/'2016-17 disagg'!AN248-1</f>
        <v>4.9162930142474304E-2</v>
      </c>
      <c r="BG248" s="176">
        <f>AO248/'2016-17 disagg'!AO248-1</f>
        <v>5.1179799475644661E-2</v>
      </c>
      <c r="BH248" s="176">
        <f>AQ248/'2016-17 disagg'!AQ248-1</f>
        <v>3.301196723292521E-2</v>
      </c>
      <c r="BJ248" s="176">
        <f>AS248/'2016-17 disagg'!AS248-1</f>
        <v>1.7209335719200913E-2</v>
      </c>
      <c r="BK248" s="176">
        <f>AT248/'2016-17 disagg'!AT248-1</f>
        <v>3.8335996722995924E-2</v>
      </c>
      <c r="BL248" s="176">
        <f>AU248/'2016-17 disagg'!AU248-1</f>
        <v>4.0332052787455774E-2</v>
      </c>
      <c r="BM248" s="176">
        <f>AW248/'2016-17 disagg'!AW248-1</f>
        <v>2.2351705161679059E-2</v>
      </c>
    </row>
    <row r="249" spans="2:65" x14ac:dyDescent="0.2">
      <c r="B249" s="1" t="s">
        <v>531</v>
      </c>
      <c r="D249" s="55">
        <v>2878972.680153314</v>
      </c>
      <c r="E249" s="166">
        <v>1524.68789025518</v>
      </c>
      <c r="F249" s="171">
        <f>VLOOKUP(B249,'2017-18'!$B$12:$AMX457,33,FALSE)</f>
        <v>2.4924769364218058E-2</v>
      </c>
      <c r="G249" s="171">
        <f>VLOOKUP(B249,'2017-18'!$B$12:$AMX457,34,FALSE)</f>
        <v>1.8373953049978908E-2</v>
      </c>
      <c r="I249" s="175">
        <v>2923687.2210317519</v>
      </c>
      <c r="J249" s="175">
        <v>1548.3684619624614</v>
      </c>
      <c r="K249" s="171">
        <f t="shared" si="80"/>
        <v>-1.5293886622611552E-2</v>
      </c>
      <c r="L249" s="170">
        <f t="shared" si="80"/>
        <v>-1.5293886622611552E-2</v>
      </c>
      <c r="N249" s="55">
        <v>2209702</v>
      </c>
      <c r="O249" s="55">
        <v>246733</v>
      </c>
      <c r="P249" s="55">
        <v>418248</v>
      </c>
      <c r="R249" s="55">
        <v>418248</v>
      </c>
      <c r="S249" s="55">
        <v>4289.680153313966</v>
      </c>
      <c r="U249" s="171">
        <v>-7.9790548435600961E-3</v>
      </c>
      <c r="V249" s="171">
        <v>3.4440793865669006E-2</v>
      </c>
      <c r="AA249" s="55">
        <v>2951.9025061609095</v>
      </c>
      <c r="AB249" s="55">
        <v>0</v>
      </c>
      <c r="AC249" s="55">
        <v>1337.7776471530565</v>
      </c>
      <c r="AE249" s="55">
        <v>0</v>
      </c>
      <c r="AF249" s="55">
        <v>0</v>
      </c>
      <c r="AG249" s="55">
        <v>1337.7776471530565</v>
      </c>
      <c r="AI249" s="55">
        <v>1206.2718307720741</v>
      </c>
      <c r="AJ249" s="55">
        <v>131.50581638098231</v>
      </c>
      <c r="AK249" s="55">
        <v>0</v>
      </c>
      <c r="AM249" s="55">
        <v>2213859</v>
      </c>
      <c r="AN249" s="55">
        <v>246865</v>
      </c>
      <c r="AO249" s="55">
        <v>418248</v>
      </c>
      <c r="AP249" s="55"/>
      <c r="AQ249" s="55">
        <v>2878972</v>
      </c>
      <c r="AS249" s="175">
        <v>1172.4473911481125</v>
      </c>
      <c r="AT249" s="175">
        <v>130.73832850952965</v>
      </c>
      <c r="AU249" s="175">
        <v>221.50181039213237</v>
      </c>
      <c r="AV249" s="175"/>
      <c r="AW249" s="175">
        <v>1524.6875300497745</v>
      </c>
      <c r="AY249" s="171">
        <v>-6.1128162878565373E-3</v>
      </c>
      <c r="AZ249" s="178">
        <v>3.4994210655438618E-2</v>
      </c>
      <c r="BA249" s="171">
        <v>-8.6183884317461823E-2</v>
      </c>
      <c r="BB249" s="171">
        <f t="shared" si="81"/>
        <v>-1.5294119258069006E-2</v>
      </c>
      <c r="BC249" s="171"/>
      <c r="BE249" s="176">
        <f>AM249/'2016-17 disagg'!AM249-1</f>
        <v>2.194883375471024E-2</v>
      </c>
      <c r="BF249" s="176">
        <f>AN249/'2016-17 disagg'!AN249-1</f>
        <v>1.5316215693774504E-2</v>
      </c>
      <c r="BG249" s="176">
        <f>AO249/'2016-17 disagg'!AO249-1</f>
        <v>4.6907696466653936E-2</v>
      </c>
      <c r="BH249" s="176">
        <f>AQ249/'2016-17 disagg'!AQ249-1</f>
        <v>2.4924527227158766E-2</v>
      </c>
      <c r="BJ249" s="176">
        <f>AS249/'2016-17 disagg'!AS249-1</f>
        <v>1.5417038160940866E-2</v>
      </c>
      <c r="BK249" s="176">
        <f>AT249/'2016-17 disagg'!AT249-1</f>
        <v>8.8268125407953146E-3</v>
      </c>
      <c r="BL249" s="176">
        <f>AU249/'2016-17 disagg'!AU249-1</f>
        <v>4.0216376066844806E-2</v>
      </c>
      <c r="BM249" s="176">
        <f>AW249/'2016-17 disagg'!AW249-1</f>
        <v>1.8373712460540759E-2</v>
      </c>
    </row>
    <row r="250" spans="2:65" x14ac:dyDescent="0.2">
      <c r="B250" s="1" t="s">
        <v>532</v>
      </c>
      <c r="D250" s="55">
        <v>3418974.2871960844</v>
      </c>
      <c r="E250" s="166">
        <v>1625.3835368584939</v>
      </c>
      <c r="F250" s="171">
        <f>VLOOKUP(B250,'2017-18'!$B$12:$AMX458,33,FALSE)</f>
        <v>2.3405997161167313E-2</v>
      </c>
      <c r="G250" s="171">
        <f>VLOOKUP(B250,'2017-18'!$B$12:$AMX458,34,FALSE)</f>
        <v>1.7709454859805129E-2</v>
      </c>
      <c r="I250" s="175">
        <v>3418261.9301916477</v>
      </c>
      <c r="J250" s="175">
        <v>1625.0448816800347</v>
      </c>
      <c r="K250" s="171">
        <f t="shared" si="80"/>
        <v>2.0839743091216612E-4</v>
      </c>
      <c r="L250" s="170">
        <f t="shared" si="80"/>
        <v>2.0839743091216612E-4</v>
      </c>
      <c r="N250" s="55">
        <v>2645236</v>
      </c>
      <c r="O250" s="55">
        <v>272014</v>
      </c>
      <c r="P250" s="55">
        <v>499727</v>
      </c>
      <c r="R250" s="55">
        <v>499727</v>
      </c>
      <c r="S250" s="55">
        <v>1997.2871960847115</v>
      </c>
      <c r="U250" s="171">
        <v>4.4803998649305399E-3</v>
      </c>
      <c r="V250" s="171">
        <v>1.3786162607172692E-2</v>
      </c>
      <c r="AA250" s="55">
        <v>1997.2871960847115</v>
      </c>
      <c r="AB250" s="55">
        <v>0</v>
      </c>
      <c r="AC250" s="55">
        <v>0</v>
      </c>
      <c r="AE250" s="55">
        <v>0</v>
      </c>
      <c r="AF250" s="55">
        <v>0</v>
      </c>
      <c r="AG250" s="55">
        <v>0</v>
      </c>
      <c r="AI250" s="55">
        <v>0</v>
      </c>
      <c r="AJ250" s="55">
        <v>0</v>
      </c>
      <c r="AK250" s="55">
        <v>0</v>
      </c>
      <c r="AM250" s="55">
        <v>2647233</v>
      </c>
      <c r="AN250" s="55">
        <v>272014</v>
      </c>
      <c r="AO250" s="55">
        <v>499727</v>
      </c>
      <c r="AP250" s="55"/>
      <c r="AQ250" s="55">
        <v>3418974</v>
      </c>
      <c r="AS250" s="175">
        <v>1258.4970154768962</v>
      </c>
      <c r="AT250" s="175">
        <v>129.31570706769389</v>
      </c>
      <c r="AU250" s="175">
        <v>237.5706777806196</v>
      </c>
      <c r="AV250" s="175"/>
      <c r="AW250" s="175">
        <v>1625.3834003252098</v>
      </c>
      <c r="AY250" s="171">
        <v>5.2387243995013488E-3</v>
      </c>
      <c r="AZ250" s="178">
        <v>1.3786162607172692E-2</v>
      </c>
      <c r="BA250" s="171">
        <v>-3.2492732743582331E-2</v>
      </c>
      <c r="BB250" s="171">
        <f t="shared" si="81"/>
        <v>2.0831341275018289E-4</v>
      </c>
      <c r="BC250" s="171"/>
      <c r="BE250" s="176">
        <f>AM250/'2016-17 disagg'!AM250-1</f>
        <v>1.9648558423955409E-2</v>
      </c>
      <c r="BF250" s="176">
        <f>AN250/'2016-17 disagg'!AN250-1</f>
        <v>1.9489232199209949E-2</v>
      </c>
      <c r="BG250" s="176">
        <f>AO250/'2016-17 disagg'!AO250-1</f>
        <v>4.601199384608945E-2</v>
      </c>
      <c r="BH250" s="176">
        <f>AQ250/'2016-17 disagg'!AQ250-1</f>
        <v>2.3405911194391837E-2</v>
      </c>
      <c r="BJ250" s="176">
        <f>AS250/'2016-17 disagg'!AS250-1</f>
        <v>1.397293099779473E-2</v>
      </c>
      <c r="BK250" s="176">
        <f>AT250/'2016-17 disagg'!AT250-1</f>
        <v>1.3814491623997727E-2</v>
      </c>
      <c r="BL250" s="176">
        <f>AU250/'2016-17 disagg'!AU250-1</f>
        <v>4.0189620724175645E-2</v>
      </c>
      <c r="BM250" s="176">
        <f>AW250/'2016-17 disagg'!AW250-1</f>
        <v>1.770936937154266E-2</v>
      </c>
    </row>
    <row r="251" spans="2:65" x14ac:dyDescent="0.2">
      <c r="B251" s="1" t="s">
        <v>56</v>
      </c>
      <c r="D251" s="55">
        <v>2944627.6290282723</v>
      </c>
      <c r="E251" s="166">
        <v>1577.7058735302314</v>
      </c>
      <c r="F251" s="171">
        <f>VLOOKUP(B251,'2017-18'!$B$12:$AMX459,33,FALSE)</f>
        <v>2.8764191064890587E-2</v>
      </c>
      <c r="G251" s="171">
        <f>VLOOKUP(B251,'2017-18'!$B$12:$AMX459,34,FALSE)</f>
        <v>2.06403208439212E-2</v>
      </c>
      <c r="I251" s="175">
        <v>3022161.8900886406</v>
      </c>
      <c r="J251" s="175">
        <v>1619.2480562730925</v>
      </c>
      <c r="K251" s="171">
        <f t="shared" si="80"/>
        <v>-2.565523088443622E-2</v>
      </c>
      <c r="L251" s="170">
        <f t="shared" si="80"/>
        <v>-2.5655230884436442E-2</v>
      </c>
      <c r="N251" s="55">
        <v>2300796</v>
      </c>
      <c r="O251" s="55">
        <v>233345</v>
      </c>
      <c r="P251" s="55">
        <v>398495</v>
      </c>
      <c r="R251" s="55">
        <v>398495</v>
      </c>
      <c r="S251" s="55">
        <v>11991.629028272582</v>
      </c>
      <c r="U251" s="171">
        <v>-1.1560216379124744E-2</v>
      </c>
      <c r="V251" s="171">
        <v>-5.8690472993274678E-3</v>
      </c>
      <c r="AA251" s="55">
        <v>5394.4179507202934</v>
      </c>
      <c r="AB251" s="55">
        <v>0</v>
      </c>
      <c r="AC251" s="55">
        <v>6597.2110775522888</v>
      </c>
      <c r="AE251" s="55">
        <v>0</v>
      </c>
      <c r="AF251" s="55">
        <v>492.54276813276493</v>
      </c>
      <c r="AG251" s="55">
        <v>6104.6683094195241</v>
      </c>
      <c r="AI251" s="55">
        <v>5541.0634776888646</v>
      </c>
      <c r="AJ251" s="55">
        <v>563.6048317306595</v>
      </c>
      <c r="AK251" s="55">
        <v>0</v>
      </c>
      <c r="AM251" s="55">
        <v>2311732</v>
      </c>
      <c r="AN251" s="55">
        <v>234402</v>
      </c>
      <c r="AO251" s="55">
        <v>398495</v>
      </c>
      <c r="AP251" s="55"/>
      <c r="AQ251" s="55">
        <v>2944629</v>
      </c>
      <c r="AS251" s="175">
        <v>1238.605899935598</v>
      </c>
      <c r="AT251" s="175">
        <v>125.59055295194428</v>
      </c>
      <c r="AU251" s="175">
        <v>213.51015519741739</v>
      </c>
      <c r="AV251" s="175"/>
      <c r="AW251" s="175">
        <v>1577.7066080849597</v>
      </c>
      <c r="AY251" s="171">
        <v>-6.8620260686069745E-3</v>
      </c>
      <c r="AZ251" s="178">
        <v>-1.365859242996259E-3</v>
      </c>
      <c r="BA251" s="171">
        <v>-0.13320627103632376</v>
      </c>
      <c r="BB251" s="171">
        <f t="shared" si="81"/>
        <v>-2.5654777245029292E-2</v>
      </c>
      <c r="BC251" s="171"/>
      <c r="BE251" s="176">
        <f>AM251/'2016-17 disagg'!AM251-1</f>
        <v>2.5290170354502317E-2</v>
      </c>
      <c r="BF251" s="176">
        <f>AN251/'2016-17 disagg'!AN251-1</f>
        <v>2.9989849589369788E-2</v>
      </c>
      <c r="BG251" s="176">
        <f>AO251/'2016-17 disagg'!AO251-1</f>
        <v>4.8646216273825038E-2</v>
      </c>
      <c r="BH251" s="176">
        <f>AQ251/'2016-17 disagg'!AQ251-1</f>
        <v>2.8764670041113938E-2</v>
      </c>
      <c r="BJ251" s="176">
        <f>AS251/'2016-17 disagg'!AS251-1</f>
        <v>1.7193733527542276E-2</v>
      </c>
      <c r="BK251" s="176">
        <f>AT251/'2016-17 disagg'!AT251-1</f>
        <v>2.1856300677331353E-2</v>
      </c>
      <c r="BL251" s="176">
        <f>AU251/'2016-17 disagg'!AU251-1</f>
        <v>4.0365343122611419E-2</v>
      </c>
      <c r="BM251" s="176">
        <f>AW251/'2016-17 disagg'!AW251-1</f>
        <v>2.0640796037799891E-2</v>
      </c>
    </row>
    <row r="252" spans="2:65" x14ac:dyDescent="0.2">
      <c r="B252" s="1" t="s">
        <v>533</v>
      </c>
      <c r="D252" s="55">
        <v>4026816.5394387492</v>
      </c>
      <c r="E252" s="166">
        <v>1527.981738637124</v>
      </c>
      <c r="F252" s="171">
        <f>VLOOKUP(B252,'2017-18'!$B$12:$AMX460,33,FALSE)</f>
        <v>2.6991845267014591E-2</v>
      </c>
      <c r="G252" s="171">
        <f>VLOOKUP(B252,'2017-18'!$B$12:$AMX460,34,FALSE)</f>
        <v>1.9536373215584435E-2</v>
      </c>
      <c r="I252" s="175">
        <v>4109393.7686584177</v>
      </c>
      <c r="J252" s="175">
        <v>1559.3157954631872</v>
      </c>
      <c r="K252" s="171">
        <f t="shared" si="80"/>
        <v>-2.0094747271354185E-2</v>
      </c>
      <c r="L252" s="170">
        <f t="shared" si="80"/>
        <v>-2.0094747271354074E-2</v>
      </c>
      <c r="N252" s="55">
        <v>3081442</v>
      </c>
      <c r="O252" s="55">
        <v>365037</v>
      </c>
      <c r="P252" s="55">
        <v>565660</v>
      </c>
      <c r="R252" s="55">
        <v>565660</v>
      </c>
      <c r="S252" s="55">
        <v>14677.539438748965</v>
      </c>
      <c r="U252" s="171">
        <v>-1.2898072740731847E-2</v>
      </c>
      <c r="V252" s="171">
        <v>9.4770036683775816E-2</v>
      </c>
      <c r="AA252" s="55">
        <v>14518.603345885931</v>
      </c>
      <c r="AB252" s="55">
        <v>0</v>
      </c>
      <c r="AC252" s="55">
        <v>158.93609286303399</v>
      </c>
      <c r="AE252" s="55">
        <v>0</v>
      </c>
      <c r="AF252" s="55">
        <v>0</v>
      </c>
      <c r="AG252" s="55">
        <v>158.93609286303399</v>
      </c>
      <c r="AI252" s="55">
        <v>144.16903549779582</v>
      </c>
      <c r="AJ252" s="55">
        <v>14.76705736523817</v>
      </c>
      <c r="AK252" s="55">
        <v>0</v>
      </c>
      <c r="AM252" s="55">
        <v>3096105</v>
      </c>
      <c r="AN252" s="55">
        <v>365052</v>
      </c>
      <c r="AO252" s="55">
        <v>565660</v>
      </c>
      <c r="AP252" s="55"/>
      <c r="AQ252" s="55">
        <v>4026817</v>
      </c>
      <c r="AS252" s="175">
        <v>1174.8218113662715</v>
      </c>
      <c r="AT252" s="175">
        <v>138.51954371149563</v>
      </c>
      <c r="AU252" s="175">
        <v>214.6405583200328</v>
      </c>
      <c r="AV252" s="175"/>
      <c r="AW252" s="175">
        <v>1527.9819133977999</v>
      </c>
      <c r="AY252" s="171">
        <v>-8.2009615962084226E-3</v>
      </c>
      <c r="AZ252" s="178">
        <v>9.4815022673005123E-2</v>
      </c>
      <c r="BA252" s="171">
        <v>-0.13540778518165486</v>
      </c>
      <c r="BB252" s="171">
        <f t="shared" si="81"/>
        <v>-2.0094635196124422E-2</v>
      </c>
      <c r="BC252" s="171"/>
      <c r="BE252" s="176">
        <f>AM252/'2016-17 disagg'!AM252-1</f>
        <v>2.508628179116501E-2</v>
      </c>
      <c r="BF252" s="176">
        <f>AN252/'2016-17 disagg'!AN252-1</f>
        <v>1.1700800931186528E-2</v>
      </c>
      <c r="BG252" s="176">
        <f>AO252/'2016-17 disagg'!AO252-1</f>
        <v>4.7875572417268142E-2</v>
      </c>
      <c r="BH252" s="176">
        <f>AQ252/'2016-17 disagg'!AQ252-1</f>
        <v>2.6991962727704433E-2</v>
      </c>
      <c r="BJ252" s="176">
        <f>AS252/'2016-17 disagg'!AS252-1</f>
        <v>1.7644643223712064E-2</v>
      </c>
      <c r="BK252" s="176">
        <f>AT252/'2016-17 disagg'!AT252-1</f>
        <v>4.3563345846293622E-3</v>
      </c>
      <c r="BL252" s="176">
        <f>AU252/'2016-17 disagg'!AU252-1</f>
        <v>4.0268494445288461E-2</v>
      </c>
      <c r="BM252" s="176">
        <f>AW252/'2016-17 disagg'!AW252-1</f>
        <v>1.9536489823565484E-2</v>
      </c>
    </row>
    <row r="253" spans="2:65" x14ac:dyDescent="0.2">
      <c r="B253" s="1" t="s">
        <v>516</v>
      </c>
      <c r="D253" s="55">
        <v>15573028.396757809</v>
      </c>
      <c r="E253" s="166">
        <v>1619.2684912075417</v>
      </c>
      <c r="F253" s="171">
        <f>VLOOKUP(B253,'2017-18'!$B$12:$AMX461,33,FALSE)</f>
        <v>3.0832335307760639E-2</v>
      </c>
      <c r="G253" s="171">
        <f>VLOOKUP(B253,'2017-18'!$B$12:$AMX461,34,FALSE)</f>
        <v>1.7957558841536603E-2</v>
      </c>
      <c r="I253" s="175">
        <v>15460643.528011451</v>
      </c>
      <c r="J253" s="175">
        <v>1607.5828208155606</v>
      </c>
      <c r="K253" s="171">
        <f t="shared" si="80"/>
        <v>7.2690938474029299E-3</v>
      </c>
      <c r="L253" s="170">
        <f t="shared" si="80"/>
        <v>7.2690938474029299E-3</v>
      </c>
      <c r="N253" s="55">
        <v>11365313</v>
      </c>
      <c r="O253" s="55">
        <v>1231004</v>
      </c>
      <c r="P253" s="55">
        <v>2966284</v>
      </c>
      <c r="R253" s="55">
        <v>2966284</v>
      </c>
      <c r="S253" s="55">
        <v>10427.39675781026</v>
      </c>
      <c r="U253" s="171">
        <v>1.43673396919064E-2</v>
      </c>
      <c r="V253" s="171">
        <v>-3.7122493209954199E-2</v>
      </c>
      <c r="AA253" s="55">
        <v>78.215053200896364</v>
      </c>
      <c r="AB253" s="55">
        <v>0</v>
      </c>
      <c r="AC253" s="55">
        <v>10349.181704609364</v>
      </c>
      <c r="AE253" s="55">
        <v>0</v>
      </c>
      <c r="AF253" s="55">
        <v>368.23697422601981</v>
      </c>
      <c r="AG253" s="55">
        <v>9980.944730383344</v>
      </c>
      <c r="AI253" s="55">
        <v>9059.3308618926239</v>
      </c>
      <c r="AJ253" s="55">
        <v>921.61386849071982</v>
      </c>
      <c r="AK253" s="55">
        <v>0</v>
      </c>
      <c r="AM253" s="55">
        <v>11374450</v>
      </c>
      <c r="AN253" s="55">
        <v>1232294</v>
      </c>
      <c r="AO253" s="55">
        <v>2966284</v>
      </c>
      <c r="AP253" s="55"/>
      <c r="AQ253" s="55">
        <v>15573028</v>
      </c>
      <c r="AS253" s="175">
        <v>1182.7043540002903</v>
      </c>
      <c r="AT253" s="175">
        <v>128.13274305205385</v>
      </c>
      <c r="AU253" s="175">
        <v>308.43135290070268</v>
      </c>
      <c r="AV253" s="175"/>
      <c r="AW253" s="175">
        <v>1619.2684499530469</v>
      </c>
      <c r="AY253" s="171">
        <v>1.5182827517254083E-2</v>
      </c>
      <c r="AZ253" s="178">
        <v>-3.6113469694385447E-2</v>
      </c>
      <c r="BA253" s="171">
        <v>-3.8817603911079912E-3</v>
      </c>
      <c r="BB253" s="171">
        <f t="shared" si="81"/>
        <v>7.2690681849647554E-3</v>
      </c>
      <c r="BC253" s="171"/>
      <c r="BE253" s="176">
        <f>AM253/'2016-17 disagg'!AM253-1</f>
        <v>2.2842917812418539E-2</v>
      </c>
      <c r="BF253" s="176">
        <f>AN253/'2016-17 disagg'!AN253-1</f>
        <v>5.2210309883977013E-2</v>
      </c>
      <c r="BG253" s="176">
        <f>AO253/'2016-17 disagg'!AO253-1</f>
        <v>5.3494346977726703E-2</v>
      </c>
      <c r="BH253" s="176">
        <f>AQ253/'2016-17 disagg'!AQ253-1</f>
        <v>3.0832309044996009E-2</v>
      </c>
      <c r="BJ253" s="176">
        <f>AS253/'2016-17 disagg'!AS253-1</f>
        <v>1.0067926695202623E-2</v>
      </c>
      <c r="BK253" s="176">
        <f>AT253/'2016-17 disagg'!AT253-1</f>
        <v>3.9068529139227648E-2</v>
      </c>
      <c r="BL253" s="176">
        <f>AU253/'2016-17 disagg'!AU253-1</f>
        <v>4.033652900753304E-2</v>
      </c>
      <c r="BM253" s="176">
        <f>AW253/'2016-17 disagg'!AW253-1</f>
        <v>1.7957532906785589E-2</v>
      </c>
    </row>
    <row r="254" spans="2:65" x14ac:dyDescent="0.2">
      <c r="B254" s="1" t="s">
        <v>534</v>
      </c>
      <c r="D254" s="55">
        <v>2979280.2161426963</v>
      </c>
      <c r="E254" s="166">
        <v>1601.806880890244</v>
      </c>
      <c r="F254" s="171">
        <f>VLOOKUP(B254,'2017-18'!$B$12:$AMX462,33,FALSE)</f>
        <v>2.8385540354794569E-2</v>
      </c>
      <c r="G254" s="171">
        <f>VLOOKUP(B254,'2017-18'!$B$12:$AMX462,34,FALSE)</f>
        <v>1.9618342478216588E-2</v>
      </c>
      <c r="I254" s="175">
        <v>3014843.3563107848</v>
      </c>
      <c r="J254" s="175">
        <v>1620.9273658713653</v>
      </c>
      <c r="K254" s="171">
        <f t="shared" si="80"/>
        <v>-1.1796015900343959E-2</v>
      </c>
      <c r="L254" s="170">
        <f t="shared" si="80"/>
        <v>-1.1796015900343959E-2</v>
      </c>
      <c r="N254" s="55">
        <v>2258456</v>
      </c>
      <c r="O254" s="55">
        <v>235690</v>
      </c>
      <c r="P254" s="55">
        <v>477138</v>
      </c>
      <c r="R254" s="55">
        <v>477138</v>
      </c>
      <c r="S254" s="55">
        <v>7996.2161426964449</v>
      </c>
      <c r="U254" s="171">
        <v>-6.6906587297924647E-3</v>
      </c>
      <c r="V254" s="171">
        <v>-1.0995357883122114E-2</v>
      </c>
      <c r="AA254" s="55">
        <v>6468.9913473421475</v>
      </c>
      <c r="AB254" s="55">
        <v>0</v>
      </c>
      <c r="AC254" s="55">
        <v>1527.2247953542974</v>
      </c>
      <c r="AE254" s="55">
        <v>0</v>
      </c>
      <c r="AF254" s="55">
        <v>0</v>
      </c>
      <c r="AG254" s="55">
        <v>1527.2247953542974</v>
      </c>
      <c r="AI254" s="55">
        <v>1385.7998648670475</v>
      </c>
      <c r="AJ254" s="55">
        <v>141.42493048724984</v>
      </c>
      <c r="AK254" s="55">
        <v>0</v>
      </c>
      <c r="AM254" s="55">
        <v>2266310</v>
      </c>
      <c r="AN254" s="55">
        <v>235831</v>
      </c>
      <c r="AO254" s="55">
        <v>477138</v>
      </c>
      <c r="AP254" s="55"/>
      <c r="AQ254" s="55">
        <v>2979279</v>
      </c>
      <c r="AS254" s="175">
        <v>1218.479192578405</v>
      </c>
      <c r="AT254" s="175">
        <v>126.79428960069798</v>
      </c>
      <c r="AU254" s="175">
        <v>256.53274485329678</v>
      </c>
      <c r="AV254" s="175"/>
      <c r="AW254" s="175">
        <v>1601.8062270323996</v>
      </c>
      <c r="AY254" s="171">
        <v>-3.2363290610558648E-3</v>
      </c>
      <c r="AZ254" s="178">
        <v>-1.0403692328629033E-2</v>
      </c>
      <c r="BA254" s="171">
        <v>-5.1160301668891406E-2</v>
      </c>
      <c r="BB254" s="171">
        <f t="shared" si="81"/>
        <v>-1.1796419285380222E-2</v>
      </c>
      <c r="BC254" s="171"/>
      <c r="BE254" s="176">
        <f>AM254/'2016-17 disagg'!AM254-1</f>
        <v>2.4224152385153186E-2</v>
      </c>
      <c r="BF254" s="176">
        <f>AN254/'2016-17 disagg'!AN254-1</f>
        <v>2.721455856923205E-2</v>
      </c>
      <c r="BG254" s="176">
        <f>AO254/'2016-17 disagg'!AO254-1</f>
        <v>4.9222216846910527E-2</v>
      </c>
      <c r="BH254" s="176">
        <f>AQ254/'2016-17 disagg'!AQ254-1</f>
        <v>2.8385120567640199E-2</v>
      </c>
      <c r="BJ254" s="176">
        <f>AS254/'2016-17 disagg'!AS254-1</f>
        <v>1.5492431195420098E-2</v>
      </c>
      <c r="BK254" s="176">
        <f>AT254/'2016-17 disagg'!AT254-1</f>
        <v>1.84573435527986E-2</v>
      </c>
      <c r="BL254" s="176">
        <f>AU254/'2016-17 disagg'!AU254-1</f>
        <v>4.0277382025112995E-2</v>
      </c>
      <c r="BM254" s="176">
        <f>AW254/'2016-17 disagg'!AW254-1</f>
        <v>1.9617926269833941E-2</v>
      </c>
    </row>
    <row r="255" spans="2:65" x14ac:dyDescent="0.2">
      <c r="B255" s="1" t="s">
        <v>535</v>
      </c>
      <c r="D255" s="55">
        <v>3245032.725647537</v>
      </c>
      <c r="E255" s="166">
        <v>1433.6764714764709</v>
      </c>
      <c r="F255" s="171">
        <f>VLOOKUP(B255,'2017-18'!$B$12:$AMX463,33,FALSE)</f>
        <v>2.6573180056759016E-2</v>
      </c>
      <c r="G255" s="171">
        <f>VLOOKUP(B255,'2017-18'!$B$12:$AMX463,34,FALSE)</f>
        <v>1.9029970013215936E-2</v>
      </c>
      <c r="I255" s="175">
        <v>3285634.0423476491</v>
      </c>
      <c r="J255" s="175">
        <v>1451.6143961093571</v>
      </c>
      <c r="K255" s="171">
        <f t="shared" si="80"/>
        <v>-1.2357224260770572E-2</v>
      </c>
      <c r="L255" s="170">
        <f t="shared" si="80"/>
        <v>-1.2357224260770461E-2</v>
      </c>
      <c r="N255" s="55">
        <v>2400323</v>
      </c>
      <c r="O255" s="55">
        <v>279258</v>
      </c>
      <c r="P255" s="55">
        <v>561746</v>
      </c>
      <c r="R255" s="55">
        <v>561746</v>
      </c>
      <c r="S255" s="55">
        <v>3705.7256475368922</v>
      </c>
      <c r="U255" s="171">
        <v>-3.4824262601319322E-2</v>
      </c>
      <c r="V255" s="171">
        <v>4.5024209905490942E-3</v>
      </c>
      <c r="AA255" s="55">
        <v>1419.8524358349096</v>
      </c>
      <c r="AB255" s="55">
        <v>0</v>
      </c>
      <c r="AC255" s="55">
        <v>2285.8732117019827</v>
      </c>
      <c r="AE255" s="55">
        <v>0</v>
      </c>
      <c r="AF255" s="55">
        <v>0</v>
      </c>
      <c r="AG255" s="55">
        <v>2285.8732117019827</v>
      </c>
      <c r="AI255" s="55">
        <v>2058.6644047123914</v>
      </c>
      <c r="AJ255" s="55">
        <v>227.20880698959107</v>
      </c>
      <c r="AK255" s="55">
        <v>0</v>
      </c>
      <c r="AM255" s="55">
        <v>2403801</v>
      </c>
      <c r="AN255" s="55">
        <v>279485</v>
      </c>
      <c r="AO255" s="55">
        <v>561746</v>
      </c>
      <c r="AP255" s="55"/>
      <c r="AQ255" s="55">
        <v>3245032</v>
      </c>
      <c r="AS255" s="175">
        <v>1062.014847669654</v>
      </c>
      <c r="AT255" s="175">
        <v>123.4782828116609</v>
      </c>
      <c r="AU255" s="175">
        <v>248.18302039937481</v>
      </c>
      <c r="AV255" s="175"/>
      <c r="AW255" s="175">
        <v>1433.6761508806899</v>
      </c>
      <c r="AY255" s="171">
        <v>-3.3425750311651403E-2</v>
      </c>
      <c r="AZ255" s="178">
        <v>5.3189492531766636E-3</v>
      </c>
      <c r="BA255" s="171">
        <v>7.8829962121611974E-2</v>
      </c>
      <c r="BB255" s="171">
        <f t="shared" si="81"/>
        <v>-1.23574451154147E-2</v>
      </c>
      <c r="BC255" s="171"/>
      <c r="BE255" s="176">
        <f>AM255/'2016-17 disagg'!AM255-1</f>
        <v>2.2029883668574612E-2</v>
      </c>
      <c r="BF255" s="176">
        <f>AN255/'2016-17 disagg'!AN255-1</f>
        <v>2.3777079349729391E-2</v>
      </c>
      <c r="BG255" s="176">
        <f>AO255/'2016-17 disagg'!AO255-1</f>
        <v>4.7929962149265037E-2</v>
      </c>
      <c r="BH255" s="176">
        <f>AQ255/'2016-17 disagg'!AQ255-1</f>
        <v>2.657295049657793E-2</v>
      </c>
      <c r="BJ255" s="176">
        <f>AS255/'2016-17 disagg'!AS255-1</f>
        <v>1.4520057547007914E-2</v>
      </c>
      <c r="BK255" s="176">
        <f>AT255/'2016-17 disagg'!AT255-1</f>
        <v>1.6254414918857263E-2</v>
      </c>
      <c r="BL255" s="176">
        <f>AU255/'2016-17 disagg'!AU255-1</f>
        <v>4.0229823504519757E-2</v>
      </c>
      <c r="BM255" s="176">
        <f>AW255/'2016-17 disagg'!AW255-1</f>
        <v>1.9029742139831773E-2</v>
      </c>
    </row>
    <row r="256" spans="2:65" x14ac:dyDescent="0.2">
      <c r="B256" s="1" t="s">
        <v>536</v>
      </c>
      <c r="D256" s="55">
        <v>4686872.6573883928</v>
      </c>
      <c r="E256" s="166">
        <v>1597.6040945560087</v>
      </c>
      <c r="F256" s="171">
        <f>VLOOKUP(B256,'2017-18'!$B$12:$AMX464,33,FALSE)</f>
        <v>2.740207682212481E-2</v>
      </c>
      <c r="G256" s="171">
        <f>VLOOKUP(B256,'2017-18'!$B$12:$AMX464,34,FALSE)</f>
        <v>1.9400143767410283E-2</v>
      </c>
      <c r="I256" s="175">
        <v>4731544.0829185294</v>
      </c>
      <c r="J256" s="175">
        <v>1612.8311462712068</v>
      </c>
      <c r="K256" s="171">
        <f t="shared" si="80"/>
        <v>-9.4411939838848769E-3</v>
      </c>
      <c r="L256" s="170">
        <f t="shared" si="80"/>
        <v>-9.4411939838849879E-3</v>
      </c>
      <c r="N256" s="55">
        <v>3568099</v>
      </c>
      <c r="O256" s="55">
        <v>361648</v>
      </c>
      <c r="P256" s="55">
        <v>749876</v>
      </c>
      <c r="R256" s="55">
        <v>749876</v>
      </c>
      <c r="S256" s="55">
        <v>7249.6573883932142</v>
      </c>
      <c r="U256" s="171">
        <v>-1.1574861560206817E-2</v>
      </c>
      <c r="V256" s="171">
        <v>-3.4284418377056203E-2</v>
      </c>
      <c r="AA256" s="55">
        <v>450.20229517738335</v>
      </c>
      <c r="AB256" s="55">
        <v>0</v>
      </c>
      <c r="AC256" s="55">
        <v>6799.4550932158309</v>
      </c>
      <c r="AE256" s="55">
        <v>0</v>
      </c>
      <c r="AF256" s="55">
        <v>0</v>
      </c>
      <c r="AG256" s="55">
        <v>6799.4550932158309</v>
      </c>
      <c r="AI256" s="55">
        <v>6182.0698436080147</v>
      </c>
      <c r="AJ256" s="55">
        <v>617.38524960781729</v>
      </c>
      <c r="AK256" s="55">
        <v>0</v>
      </c>
      <c r="AM256" s="55">
        <v>3574732</v>
      </c>
      <c r="AN256" s="55">
        <v>362265</v>
      </c>
      <c r="AO256" s="55">
        <v>749876</v>
      </c>
      <c r="AP256" s="55"/>
      <c r="AQ256" s="55">
        <v>4686873</v>
      </c>
      <c r="AS256" s="175">
        <v>1218.5111262064165</v>
      </c>
      <c r="AT256" s="175">
        <v>123.4844830703861</v>
      </c>
      <c r="AU256" s="175">
        <v>255.60860206448001</v>
      </c>
      <c r="AV256" s="175"/>
      <c r="AW256" s="175">
        <v>1597.6042113412827</v>
      </c>
      <c r="AY256" s="171">
        <v>-9.7374058328654201E-3</v>
      </c>
      <c r="AZ256" s="178">
        <v>-3.2636831458667803E-2</v>
      </c>
      <c r="BA256" s="171">
        <v>3.6161360654265451E-3</v>
      </c>
      <c r="BB256" s="171">
        <f t="shared" si="81"/>
        <v>-9.4411215737791876E-3</v>
      </c>
      <c r="BC256" s="171"/>
      <c r="BE256" s="176">
        <f>AM256/'2016-17 disagg'!AM256-1</f>
        <v>2.1814736101920529E-2</v>
      </c>
      <c r="BF256" s="176">
        <f>AN256/'2016-17 disagg'!AN256-1</f>
        <v>4.0288885379126116E-2</v>
      </c>
      <c r="BG256" s="176">
        <f>AO256/'2016-17 disagg'!AO256-1</f>
        <v>4.8457952680161842E-2</v>
      </c>
      <c r="BH256" s="176">
        <f>AQ256/'2016-17 disagg'!AQ256-1</f>
        <v>2.7402151925483231E-2</v>
      </c>
      <c r="BJ256" s="176">
        <f>AS256/'2016-17 disagg'!AS256-1</f>
        <v>1.3856320115553045E-2</v>
      </c>
      <c r="BK256" s="176">
        <f>AT256/'2016-17 disagg'!AT256-1</f>
        <v>3.2186583265706892E-2</v>
      </c>
      <c r="BL256" s="176">
        <f>AU256/'2016-17 disagg'!AU256-1</f>
        <v>4.0292025690818134E-2</v>
      </c>
      <c r="BM256" s="176">
        <f>AW256/'2016-17 disagg'!AW256-1</f>
        <v>1.9400218285825499E-2</v>
      </c>
    </row>
    <row r="257" spans="2:65" x14ac:dyDescent="0.2">
      <c r="B257" s="1" t="s">
        <v>537</v>
      </c>
      <c r="D257" s="55">
        <v>4560179.3725793911</v>
      </c>
      <c r="E257" s="166">
        <v>1587.0279498822033</v>
      </c>
      <c r="F257" s="171">
        <f>VLOOKUP(B257,'2017-18'!$B$12:$AMX465,33,FALSE)</f>
        <v>2.4606984888852823E-2</v>
      </c>
      <c r="G257" s="171">
        <f>VLOOKUP(B257,'2017-18'!$B$12:$AMX465,34,FALSE)</f>
        <v>1.8328748120022498E-2</v>
      </c>
      <c r="I257" s="175">
        <v>4581976.5397401666</v>
      </c>
      <c r="J257" s="175">
        <v>1594.6137728698718</v>
      </c>
      <c r="K257" s="171">
        <f t="shared" si="80"/>
        <v>-4.7571538116193413E-3</v>
      </c>
      <c r="L257" s="170">
        <f t="shared" si="80"/>
        <v>-4.7571538116192302E-3</v>
      </c>
      <c r="N257" s="55">
        <v>3491455</v>
      </c>
      <c r="O257" s="55">
        <v>364639</v>
      </c>
      <c r="P257" s="55">
        <v>700278</v>
      </c>
      <c r="R257" s="55">
        <v>700278</v>
      </c>
      <c r="S257" s="55">
        <v>3807.3725793908234</v>
      </c>
      <c r="U257" s="171">
        <v>-2.0246077186547806E-2</v>
      </c>
      <c r="V257" s="171">
        <v>-7.2904645492309905E-3</v>
      </c>
      <c r="AA257" s="55">
        <v>1084.7950053315726</v>
      </c>
      <c r="AB257" s="55">
        <v>0</v>
      </c>
      <c r="AC257" s="55">
        <v>2722.5775740592508</v>
      </c>
      <c r="AE257" s="55">
        <v>0</v>
      </c>
      <c r="AF257" s="55">
        <v>0</v>
      </c>
      <c r="AG257" s="55">
        <v>2722.5775740592508</v>
      </c>
      <c r="AI257" s="55">
        <v>2466.0896362177059</v>
      </c>
      <c r="AJ257" s="55">
        <v>256.48793784154464</v>
      </c>
      <c r="AK257" s="55">
        <v>0</v>
      </c>
      <c r="AM257" s="55">
        <v>3495006</v>
      </c>
      <c r="AN257" s="55">
        <v>364896</v>
      </c>
      <c r="AO257" s="55">
        <v>700278</v>
      </c>
      <c r="AP257" s="55"/>
      <c r="AQ257" s="55">
        <v>4560180</v>
      </c>
      <c r="AS257" s="175">
        <v>1216.3276384166911</v>
      </c>
      <c r="AT257" s="175">
        <v>126.99065178935227</v>
      </c>
      <c r="AU257" s="175">
        <v>243.70987803029914</v>
      </c>
      <c r="AV257" s="175"/>
      <c r="AW257" s="175">
        <v>1587.0281682363425</v>
      </c>
      <c r="AY257" s="171">
        <v>-1.9249614055872888E-2</v>
      </c>
      <c r="AZ257" s="178">
        <v>-6.5907962454816449E-3</v>
      </c>
      <c r="BA257" s="171">
        <v>7.5603943511800775E-2</v>
      </c>
      <c r="BB257" s="171">
        <f t="shared" si="81"/>
        <v>-4.7570168793144019E-3</v>
      </c>
      <c r="BC257" s="171"/>
      <c r="BE257" s="176">
        <f>AM257/'2016-17 disagg'!AM257-1</f>
        <v>2.005164166741813E-2</v>
      </c>
      <c r="BF257" s="176">
        <f>AN257/'2016-17 disagg'!AN257-1</f>
        <v>2.6918563255105887E-2</v>
      </c>
      <c r="BG257" s="176">
        <f>AO257/'2016-17 disagg'!AO257-1</f>
        <v>4.6709554757050631E-2</v>
      </c>
      <c r="BH257" s="176">
        <f>AQ257/'2016-17 disagg'!AQ257-1</f>
        <v>2.4607125861276335E-2</v>
      </c>
      <c r="BJ257" s="176">
        <f>AS257/'2016-17 disagg'!AS257-1</f>
        <v>1.3801317575086625E-2</v>
      </c>
      <c r="BK257" s="176">
        <f>AT257/'2016-17 disagg'!AT257-1</f>
        <v>2.0626162385789071E-2</v>
      </c>
      <c r="BL257" s="176">
        <f>AU257/'2016-17 disagg'!AU257-1</f>
        <v>4.0295885408822896E-2</v>
      </c>
      <c r="BM257" s="176">
        <f>AW257/'2016-17 disagg'!AW257-1</f>
        <v>1.8328888228643203E-2</v>
      </c>
    </row>
    <row r="258" spans="2:65" x14ac:dyDescent="0.2">
      <c r="B258" s="1" t="s">
        <v>538</v>
      </c>
      <c r="D258" s="55">
        <v>2366346.3943254836</v>
      </c>
      <c r="E258" s="166">
        <v>1499.8523646314245</v>
      </c>
      <c r="F258" s="171">
        <f>VLOOKUP(B258,'2017-18'!$B$12:$AMX466,33,FALSE)</f>
        <v>2.5953070742889217E-2</v>
      </c>
      <c r="G258" s="171">
        <f>VLOOKUP(B258,'2017-18'!$B$12:$AMX466,34,FALSE)</f>
        <v>1.8958570373667216E-2</v>
      </c>
      <c r="I258" s="175">
        <v>2409305.032237086</v>
      </c>
      <c r="J258" s="175">
        <v>1527.0806752488256</v>
      </c>
      <c r="K258" s="171">
        <f t="shared" si="80"/>
        <v>-1.7830302654419206E-2</v>
      </c>
      <c r="L258" s="170">
        <f t="shared" si="80"/>
        <v>-1.7830302654418984E-2</v>
      </c>
      <c r="N258" s="55">
        <v>1819022</v>
      </c>
      <c r="O258" s="55">
        <v>193618</v>
      </c>
      <c r="P258" s="55">
        <v>349710</v>
      </c>
      <c r="R258" s="55">
        <v>349710</v>
      </c>
      <c r="S258" s="55">
        <v>3996.3943254835322</v>
      </c>
      <c r="U258" s="171">
        <v>-2.2934423139363447E-2</v>
      </c>
      <c r="V258" s="171">
        <v>-6.2991319720171468E-3</v>
      </c>
      <c r="AA258" s="55">
        <v>0</v>
      </c>
      <c r="AB258" s="55">
        <v>0</v>
      </c>
      <c r="AC258" s="55">
        <v>3996.3943254835322</v>
      </c>
      <c r="AE258" s="55">
        <v>0</v>
      </c>
      <c r="AF258" s="55">
        <v>0</v>
      </c>
      <c r="AG258" s="55">
        <v>3996.3943254835322</v>
      </c>
      <c r="AI258" s="55">
        <v>3621.812350011955</v>
      </c>
      <c r="AJ258" s="55">
        <v>374.58197547157698</v>
      </c>
      <c r="AK258" s="55">
        <v>0</v>
      </c>
      <c r="AM258" s="55">
        <v>1822644</v>
      </c>
      <c r="AN258" s="55">
        <v>193992</v>
      </c>
      <c r="AO258" s="55">
        <v>349710</v>
      </c>
      <c r="AP258" s="55"/>
      <c r="AQ258" s="55">
        <v>2366346</v>
      </c>
      <c r="AS258" s="175">
        <v>1155.2395371348437</v>
      </c>
      <c r="AT258" s="175">
        <v>122.95721396381444</v>
      </c>
      <c r="AU258" s="175">
        <v>221.65536359893989</v>
      </c>
      <c r="AV258" s="175"/>
      <c r="AW258" s="175">
        <v>1499.8521146975979</v>
      </c>
      <c r="AY258" s="171">
        <v>-2.0988909825401691E-2</v>
      </c>
      <c r="AZ258" s="178">
        <v>-4.3796610310795625E-3</v>
      </c>
      <c r="BA258" s="171">
        <v>-8.5904969086707528E-3</v>
      </c>
      <c r="BB258" s="171">
        <f t="shared" si="81"/>
        <v>-1.7830466322148353E-2</v>
      </c>
      <c r="BC258" s="171"/>
      <c r="BE258" s="176">
        <f>AM258/'2016-17 disagg'!AM258-1</f>
        <v>2.2456933982268668E-2</v>
      </c>
      <c r="BF258" s="176">
        <f>AN258/'2016-17 disagg'!AN258-1</f>
        <v>2.1021273908146343E-2</v>
      </c>
      <c r="BG258" s="176">
        <f>AO258/'2016-17 disagg'!AO258-1</f>
        <v>4.7424792437910979E-2</v>
      </c>
      <c r="BH258" s="176">
        <f>AQ258/'2016-17 disagg'!AQ258-1</f>
        <v>2.59528997791445E-2</v>
      </c>
      <c r="BJ258" s="176">
        <f>AS258/'2016-17 disagg'!AS258-1</f>
        <v>1.548626874796688E-2</v>
      </c>
      <c r="BK258" s="176">
        <f>AT258/'2016-17 disagg'!AT258-1</f>
        <v>1.406039637779033E-2</v>
      </c>
      <c r="BL258" s="176">
        <f>AU258/'2016-17 disagg'!AU258-1</f>
        <v>4.0283907239200722E-2</v>
      </c>
      <c r="BM258" s="176">
        <f>AW258/'2016-17 disagg'!AW258-1</f>
        <v>1.8958400575478596E-2</v>
      </c>
    </row>
    <row r="259" spans="2:65" x14ac:dyDescent="0.2">
      <c r="B259" s="1" t="s">
        <v>539</v>
      </c>
      <c r="D259" s="55">
        <v>2447878.3720887145</v>
      </c>
      <c r="E259" s="166">
        <v>1573.7616719126136</v>
      </c>
      <c r="F259" s="171">
        <f>VLOOKUP(B259,'2017-18'!$B$12:$AMX467,33,FALSE)</f>
        <v>2.5498980352304246E-2</v>
      </c>
      <c r="G259" s="171">
        <f>VLOOKUP(B259,'2017-18'!$B$12:$AMX467,34,FALSE)</f>
        <v>1.7093733165746583E-2</v>
      </c>
      <c r="I259" s="175">
        <v>2457615.0026541967</v>
      </c>
      <c r="J259" s="175">
        <v>1580.0214339057939</v>
      </c>
      <c r="K259" s="171">
        <f t="shared" si="80"/>
        <v>-3.961820934103466E-3</v>
      </c>
      <c r="L259" s="170">
        <f t="shared" si="80"/>
        <v>-3.9618209341035771E-3</v>
      </c>
      <c r="N259" s="55">
        <v>1840437</v>
      </c>
      <c r="O259" s="55">
        <v>204956</v>
      </c>
      <c r="P259" s="55">
        <v>400470</v>
      </c>
      <c r="R259" s="55">
        <v>400470</v>
      </c>
      <c r="S259" s="55">
        <v>2015.3720887145028</v>
      </c>
      <c r="U259" s="171">
        <v>-1.6263029366901605E-2</v>
      </c>
      <c r="V259" s="171">
        <v>4.580065634283681E-2</v>
      </c>
      <c r="AA259" s="55">
        <v>2015.3720887145028</v>
      </c>
      <c r="AB259" s="55">
        <v>0</v>
      </c>
      <c r="AC259" s="55">
        <v>0</v>
      </c>
      <c r="AE259" s="55">
        <v>0</v>
      </c>
      <c r="AF259" s="55">
        <v>0</v>
      </c>
      <c r="AG259" s="55">
        <v>0</v>
      </c>
      <c r="AI259" s="55">
        <v>0</v>
      </c>
      <c r="AJ259" s="55">
        <v>0</v>
      </c>
      <c r="AK259" s="55">
        <v>0</v>
      </c>
      <c r="AM259" s="55">
        <v>1842452</v>
      </c>
      <c r="AN259" s="55">
        <v>204956</v>
      </c>
      <c r="AO259" s="55">
        <v>400470</v>
      </c>
      <c r="AP259" s="55"/>
      <c r="AQ259" s="55">
        <v>2447878</v>
      </c>
      <c r="AS259" s="175">
        <v>1184.5279459144851</v>
      </c>
      <c r="AT259" s="175">
        <v>131.76794276477716</v>
      </c>
      <c r="AU259" s="175">
        <v>257.46554401437533</v>
      </c>
      <c r="AV259" s="175"/>
      <c r="AW259" s="175">
        <v>1573.7614326936377</v>
      </c>
      <c r="AY259" s="171">
        <v>-1.5185986253866135E-2</v>
      </c>
      <c r="AZ259" s="178">
        <v>4.580065634283681E-2</v>
      </c>
      <c r="BA259" s="171">
        <v>2.4817235201216592E-2</v>
      </c>
      <c r="BB259" s="171">
        <f t="shared" si="81"/>
        <v>-3.9619723364647808E-3</v>
      </c>
      <c r="BC259" s="171"/>
      <c r="BE259" s="176">
        <f>AM259/'2016-17 disagg'!AM259-1</f>
        <v>2.1660884035557437E-2</v>
      </c>
      <c r="BF259" s="176">
        <f>AN259/'2016-17 disagg'!AN259-1</f>
        <v>1.5221687809275686E-2</v>
      </c>
      <c r="BG259" s="176">
        <f>AO259/'2016-17 disagg'!AO259-1</f>
        <v>4.9064808508408886E-2</v>
      </c>
      <c r="BH259" s="176">
        <f>AQ259/'2016-17 disagg'!AQ259-1</f>
        <v>2.5498824471766435E-2</v>
      </c>
      <c r="BJ259" s="176">
        <f>AS259/'2016-17 disagg'!AS259-1</f>
        <v>1.3287094850310543E-2</v>
      </c>
      <c r="BK259" s="176">
        <f>AT259/'2016-17 disagg'!AT259-1</f>
        <v>6.9006758934375689E-3</v>
      </c>
      <c r="BL259" s="176">
        <f>AU259/'2016-17 disagg'!AU259-1</f>
        <v>4.0466409875966836E-2</v>
      </c>
      <c r="BM259" s="176">
        <f>AW259/'2016-17 disagg'!AW259-1</f>
        <v>1.7093578562844769E-2</v>
      </c>
    </row>
    <row r="260" spans="2:65" x14ac:dyDescent="0.2">
      <c r="B260" s="1" t="s">
        <v>540</v>
      </c>
      <c r="D260" s="55">
        <v>2987206</v>
      </c>
      <c r="E260" s="166">
        <v>1687.545078060904</v>
      </c>
      <c r="F260" s="171">
        <f>VLOOKUP(B260,'2017-18'!$B$12:$AMX468,33,FALSE)</f>
        <v>2.3029417173722422E-2</v>
      </c>
      <c r="G260" s="171">
        <f>VLOOKUP(B260,'2017-18'!$B$12:$AMX468,34,FALSE)</f>
        <v>1.696688204367125E-2</v>
      </c>
      <c r="I260" s="175">
        <v>2949710.0711371284</v>
      </c>
      <c r="J260" s="175">
        <v>1666.3627189601721</v>
      </c>
      <c r="K260" s="171">
        <f t="shared" si="80"/>
        <v>1.2711733681818105E-2</v>
      </c>
      <c r="L260" s="170">
        <f t="shared" si="80"/>
        <v>1.2711733681818105E-2</v>
      </c>
      <c r="N260" s="55">
        <v>2303693</v>
      </c>
      <c r="O260" s="55">
        <v>239991</v>
      </c>
      <c r="P260" s="55">
        <v>443522</v>
      </c>
      <c r="R260" s="55">
        <v>443522</v>
      </c>
      <c r="S260" s="55">
        <v>0</v>
      </c>
      <c r="U260" s="171">
        <v>1.4126550179786257E-2</v>
      </c>
      <c r="V260" s="171">
        <v>4.6741527414891904E-2</v>
      </c>
      <c r="AA260" s="55">
        <v>0</v>
      </c>
      <c r="AB260" s="55">
        <v>0</v>
      </c>
      <c r="AC260" s="55">
        <v>0</v>
      </c>
      <c r="AE260" s="55">
        <v>0</v>
      </c>
      <c r="AF260" s="55">
        <v>0</v>
      </c>
      <c r="AG260" s="55">
        <v>0</v>
      </c>
      <c r="AI260" s="55">
        <v>0</v>
      </c>
      <c r="AJ260" s="55">
        <v>0</v>
      </c>
      <c r="AK260" s="55">
        <v>0</v>
      </c>
      <c r="AM260" s="55">
        <v>2303693</v>
      </c>
      <c r="AN260" s="55">
        <v>239991</v>
      </c>
      <c r="AO260" s="55">
        <v>443522</v>
      </c>
      <c r="AP260" s="55"/>
      <c r="AQ260" s="55">
        <v>2987206</v>
      </c>
      <c r="AS260" s="175">
        <v>1301.4120162832285</v>
      </c>
      <c r="AT260" s="175">
        <v>135.57673318442531</v>
      </c>
      <c r="AU260" s="175">
        <v>250.55632859325007</v>
      </c>
      <c r="AV260" s="175"/>
      <c r="AW260" s="175">
        <v>1687.545078060904</v>
      </c>
      <c r="AY260" s="171">
        <v>1.4126550179786257E-2</v>
      </c>
      <c r="AZ260" s="178">
        <v>4.6741527414891904E-2</v>
      </c>
      <c r="BA260" s="171">
        <v>-1.1832072645383329E-2</v>
      </c>
      <c r="BB260" s="171">
        <f t="shared" si="81"/>
        <v>1.2711733681818105E-2</v>
      </c>
      <c r="BC260" s="171"/>
      <c r="BE260" s="176">
        <f>AM260/'2016-17 disagg'!AM260-1</f>
        <v>1.9417084768923454E-2</v>
      </c>
      <c r="BF260" s="176">
        <f>AN260/'2016-17 disagg'!AN260-1</f>
        <v>1.5491050649515614E-2</v>
      </c>
      <c r="BG260" s="176">
        <f>AO260/'2016-17 disagg'!AO260-1</f>
        <v>4.6494123642987439E-2</v>
      </c>
      <c r="BH260" s="176">
        <f>AQ260/'2016-17 disagg'!AQ260-1</f>
        <v>2.3029417173722422E-2</v>
      </c>
      <c r="BJ260" s="176">
        <f>AS260/'2016-17 disagg'!AS260-1</f>
        <v>1.3375956542464484E-2</v>
      </c>
      <c r="BK260" s="176">
        <f>AT260/'2016-17 disagg'!AT260-1</f>
        <v>9.4731883422676244E-3</v>
      </c>
      <c r="BL260" s="176">
        <f>AU260/'2016-17 disagg'!AU260-1</f>
        <v>4.0292535221898351E-2</v>
      </c>
      <c r="BM260" s="176">
        <f>AW260/'2016-17 disagg'!AW260-1</f>
        <v>1.696688204367125E-2</v>
      </c>
    </row>
    <row r="261" spans="2:65" ht="15" x14ac:dyDescent="0.25">
      <c r="B261"/>
      <c r="D261" s="1"/>
      <c r="N261" s="1"/>
      <c r="O261" s="1"/>
      <c r="P261" s="1"/>
      <c r="R261" s="1"/>
      <c r="S261" s="1"/>
      <c r="AA261" s="1"/>
      <c r="AB261" s="1"/>
      <c r="AC261" s="1"/>
      <c r="AE261" s="1"/>
      <c r="AF261" s="1"/>
      <c r="AG261" s="1"/>
      <c r="AI261" s="1"/>
      <c r="AJ261" s="1"/>
      <c r="AK261" s="1"/>
      <c r="AM261" s="1"/>
      <c r="AN261" s="1"/>
      <c r="AO261" s="1"/>
      <c r="AP261" s="1"/>
      <c r="AQ261" s="1"/>
      <c r="AZ261" s="178"/>
      <c r="BE261" s="1"/>
      <c r="BF261" s="1"/>
      <c r="BG261" s="1"/>
      <c r="BH261" s="1"/>
      <c r="BJ261" s="1"/>
      <c r="BK261" s="1"/>
      <c r="BL261" s="1"/>
      <c r="BM261" s="1"/>
    </row>
    <row r="262" spans="2:65" x14ac:dyDescent="0.2">
      <c r="B262" s="1" t="s">
        <v>12</v>
      </c>
      <c r="D262" s="172">
        <f>SUM(D236:D260)</f>
        <v>94829648.989833832</v>
      </c>
      <c r="E262" s="166">
        <v>1630.1113440537299</v>
      </c>
      <c r="F262" s="171">
        <f>VLOOKUP(B262,'2017-18'!$B$12:$AMX470,33,FALSE)</f>
        <v>2.6372146988571377E-2</v>
      </c>
      <c r="G262" s="171">
        <f>VLOOKUP(B262,'2017-18'!$B$12:$AMX470,34,FALSE)</f>
        <v>1.903493978286197E-2</v>
      </c>
      <c r="I262" s="175">
        <f>SUM(I236:I260)</f>
        <v>94829716.878834352</v>
      </c>
      <c r="J262" s="175">
        <v>1630.1125110582593</v>
      </c>
      <c r="K262" s="171">
        <f t="shared" ref="K262:L262" si="82">D262/I262-1</f>
        <v>-7.1590428352141799E-7</v>
      </c>
      <c r="L262" s="170">
        <f t="shared" si="82"/>
        <v>-7.159042836324403E-7</v>
      </c>
      <c r="N262" s="172">
        <f>SUM(N236:N260)</f>
        <v>71954598</v>
      </c>
      <c r="O262" s="172">
        <f>SUM(O236:O260)</f>
        <v>7567562</v>
      </c>
      <c r="P262" s="172">
        <f>SUM(P236:P260)</f>
        <v>15203166</v>
      </c>
      <c r="R262" s="172">
        <f>SUM(R236:R260)</f>
        <v>15203166</v>
      </c>
      <c r="S262" s="172">
        <f>SUM(S236:S260)</f>
        <v>104322.98983382812</v>
      </c>
      <c r="U262" s="171">
        <v>-1.4304680311547635E-3</v>
      </c>
      <c r="V262" s="171">
        <v>-9.7511990803988979E-5</v>
      </c>
      <c r="AA262" s="172">
        <f>SUM(AA236:AA260)</f>
        <v>38889.293782652167</v>
      </c>
      <c r="AB262" s="172">
        <f>SUM(AB236:AB260)</f>
        <v>0</v>
      </c>
      <c r="AC262" s="172">
        <f>SUM(AC236:AC260)</f>
        <v>65433.696051175953</v>
      </c>
      <c r="AE262" s="172">
        <f>SUM(AE236:AE260)</f>
        <v>0</v>
      </c>
      <c r="AF262" s="172">
        <f>SUM(AF236:AF260)</f>
        <v>1649.3178586658119</v>
      </c>
      <c r="AG262" s="172">
        <f>SUM(AG236:AG260)</f>
        <v>63784.378192510143</v>
      </c>
      <c r="AI262" s="172">
        <f>SUM(AI236:AI260)</f>
        <v>57829.886811207078</v>
      </c>
      <c r="AJ262" s="172">
        <f>SUM(AJ236:AJ260)</f>
        <v>5954.4913813030716</v>
      </c>
      <c r="AK262" s="172">
        <f>SUM(AK236:AK260)</f>
        <v>0</v>
      </c>
      <c r="AM262" s="172">
        <f>SUM(AM236:AM260)</f>
        <v>72051316</v>
      </c>
      <c r="AN262" s="172">
        <f>SUM(AN236:AN260)</f>
        <v>7575166</v>
      </c>
      <c r="AO262" s="172">
        <f>SUM(AO236:AO260)</f>
        <v>15203166</v>
      </c>
      <c r="AP262" s="172"/>
      <c r="AQ262" s="172">
        <f>SUM(AQ236:AQ260)</f>
        <v>94829648</v>
      </c>
      <c r="AS262" s="175">
        <v>1238.55427934982</v>
      </c>
      <c r="AT262" s="175">
        <v>130.21627899322834</v>
      </c>
      <c r="AU262" s="175">
        <v>261.34076869554588</v>
      </c>
      <c r="AV262" s="175"/>
      <c r="AW262" s="175">
        <v>1630.1113270385943</v>
      </c>
      <c r="AY262" s="171">
        <v>-8.8237643140254285E-5</v>
      </c>
      <c r="AZ262" s="178">
        <v>9.072050526535147E-4</v>
      </c>
      <c r="BA262" s="171">
        <v>-3.793010082742132E-5</v>
      </c>
      <c r="BB262" s="171">
        <f t="shared" ref="BB262" si="83">SUM(AM262:AO262)/I262-1</f>
        <v>-7.2634229664192418E-7</v>
      </c>
      <c r="BC262" s="171"/>
      <c r="BE262" s="176">
        <f>AM262/'2016-17 disagg'!AM262-1</f>
        <v>2.1405663278374121E-2</v>
      </c>
      <c r="BF262" s="176">
        <f>AN262/'2016-17 disagg'!AN262-1</f>
        <v>3.1444548986074849E-2</v>
      </c>
      <c r="BG262" s="176">
        <f>AO262/'2016-17 disagg'!AO262-1</f>
        <v>4.7953318438952008E-2</v>
      </c>
      <c r="BH262" s="176">
        <f>AQ262/'2016-17 disagg'!AQ262-1</f>
        <v>2.6372136275277791E-2</v>
      </c>
      <c r="BJ262" s="176">
        <f>AS262/'2016-17 disagg'!AS262-1</f>
        <v>1.4103959881075934E-2</v>
      </c>
      <c r="BK262" s="176">
        <f>AT262/'2016-17 disagg'!AT262-1</f>
        <v>2.4071080795891042E-2</v>
      </c>
      <c r="BL262" s="176">
        <f>AU262/'2016-17 disagg'!AU262-1</f>
        <v>4.0461834320001611E-2</v>
      </c>
      <c r="BM262" s="176">
        <f>AW262/'2016-17 disagg'!AW262-1</f>
        <v>1.9034929146154012E-2</v>
      </c>
    </row>
    <row r="263" spans="2:65" ht="15" x14ac:dyDescent="0.25">
      <c r="B263"/>
      <c r="D263" s="1"/>
      <c r="N263" s="1"/>
      <c r="O263" s="1"/>
      <c r="P263" s="1"/>
      <c r="R263" s="1"/>
      <c r="S263" s="1"/>
      <c r="AA263" s="1"/>
      <c r="AB263" s="1"/>
      <c r="AC263" s="1"/>
      <c r="AE263" s="1"/>
      <c r="AF263" s="1"/>
      <c r="AG263" s="1"/>
      <c r="AI263" s="1"/>
      <c r="AJ263" s="1"/>
      <c r="AK263" s="1"/>
      <c r="AM263" s="1"/>
      <c r="AN263" s="1"/>
      <c r="AO263" s="1"/>
      <c r="AP263" s="1"/>
      <c r="AQ263" s="1"/>
      <c r="AZ263" s="178"/>
      <c r="BE263" s="1"/>
      <c r="BF263" s="1"/>
      <c r="BG263" s="1"/>
      <c r="BH263" s="1"/>
      <c r="BJ263" s="1"/>
      <c r="BK263" s="1"/>
      <c r="BL263" s="1"/>
      <c r="BM263" s="1"/>
    </row>
    <row r="264" spans="2:65" ht="15" x14ac:dyDescent="0.25">
      <c r="B264" s="174" t="s">
        <v>541</v>
      </c>
      <c r="D264" s="1"/>
      <c r="N264" s="1"/>
      <c r="O264" s="1"/>
      <c r="P264" s="1"/>
      <c r="R264" s="1"/>
      <c r="S264" s="1"/>
      <c r="AA264" s="1"/>
      <c r="AB264" s="1"/>
      <c r="AC264" s="1"/>
      <c r="AE264" s="1"/>
      <c r="AF264" s="1"/>
      <c r="AG264" s="1"/>
      <c r="AI264" s="1"/>
      <c r="AJ264" s="1"/>
      <c r="AK264" s="1"/>
      <c r="AM264" s="1"/>
      <c r="AN264" s="1"/>
      <c r="AO264" s="1"/>
      <c r="AP264" s="1"/>
      <c r="AQ264" s="1"/>
      <c r="AZ264" s="178"/>
      <c r="BE264" s="1"/>
      <c r="BF264" s="1"/>
      <c r="BG264" s="1"/>
      <c r="BH264" s="1"/>
      <c r="BJ264" s="1"/>
      <c r="BK264" s="1"/>
      <c r="BL264" s="1"/>
      <c r="BM264" s="1"/>
    </row>
    <row r="265" spans="2:65" ht="15" x14ac:dyDescent="0.25">
      <c r="B265" t="s">
        <v>542</v>
      </c>
      <c r="D265" s="55">
        <v>6977575.9330548523</v>
      </c>
      <c r="E265" s="166">
        <v>1479.6592078213612</v>
      </c>
      <c r="F265" s="171">
        <f>VLOOKUP(B265,'2017-18'!$B$12:$AMX473,33,FALSE)</f>
        <v>2.7278104536810011E-2</v>
      </c>
      <c r="G265" s="171">
        <f>VLOOKUP(B265,'2017-18'!$B$12:$AMX473,34,FALSE)</f>
        <v>1.9141986053786031E-2</v>
      </c>
      <c r="I265" s="175">
        <v>7084747.707417151</v>
      </c>
      <c r="J265" s="175">
        <v>1502.3859691314742</v>
      </c>
      <c r="K265" s="171">
        <f t="shared" ref="K265:L274" si="84">D265/I265-1</f>
        <v>-1.5127112324705427E-2</v>
      </c>
      <c r="L265" s="170">
        <f t="shared" si="84"/>
        <v>-1.5127112324705316E-2</v>
      </c>
      <c r="N265" s="55">
        <v>5279625</v>
      </c>
      <c r="O265" s="55">
        <v>567209</v>
      </c>
      <c r="P265" s="55">
        <v>1120324</v>
      </c>
      <c r="R265" s="55">
        <v>1120324</v>
      </c>
      <c r="S265" s="55">
        <v>10417.933054852969</v>
      </c>
      <c r="U265" s="171">
        <v>-2.7017024948892021E-2</v>
      </c>
      <c r="V265" s="171">
        <v>-6.9554049049606048E-3</v>
      </c>
      <c r="AA265" s="55">
        <v>3225.2764905351505</v>
      </c>
      <c r="AB265" s="55">
        <v>0</v>
      </c>
      <c r="AC265" s="55">
        <v>7192.6565643178183</v>
      </c>
      <c r="AE265" s="55">
        <v>0</v>
      </c>
      <c r="AF265" s="55">
        <v>0</v>
      </c>
      <c r="AG265" s="55">
        <v>7192.6565643178183</v>
      </c>
      <c r="AI265" s="55">
        <v>6511.487946570338</v>
      </c>
      <c r="AJ265" s="55">
        <v>681.16861774748031</v>
      </c>
      <c r="AK265" s="55">
        <v>0</v>
      </c>
      <c r="AM265" s="55">
        <v>5289362</v>
      </c>
      <c r="AN265" s="55">
        <v>567890</v>
      </c>
      <c r="AO265" s="55">
        <v>1120324</v>
      </c>
      <c r="AP265" s="55"/>
      <c r="AQ265" s="55">
        <v>6977576</v>
      </c>
      <c r="AS265" s="175">
        <v>1121.6579026713523</v>
      </c>
      <c r="AT265" s="175">
        <v>120.42630214155021</v>
      </c>
      <c r="AU265" s="175">
        <v>237.57501720479334</v>
      </c>
      <c r="AV265" s="175"/>
      <c r="AW265" s="175">
        <v>1479.6592220176958</v>
      </c>
      <c r="AY265" s="171">
        <v>-2.5222591588933141E-2</v>
      </c>
      <c r="AZ265" s="178">
        <v>-5.7631400268297606E-3</v>
      </c>
      <c r="BA265" s="171">
        <v>3.0334163067749831E-2</v>
      </c>
      <c r="BB265" s="171">
        <f t="shared" ref="BB265:BB274" si="85">SUM(AM265:AO265)/I265-1</f>
        <v>-1.5127102875512555E-2</v>
      </c>
      <c r="BC265" s="171"/>
      <c r="BE265" s="176">
        <f>AM265/'2016-17 disagg'!AM265-1</f>
        <v>2.262714635018237E-2</v>
      </c>
      <c r="BF265" s="176">
        <f>AN265/'2016-17 disagg'!AN265-1</f>
        <v>2.9504273814163762E-2</v>
      </c>
      <c r="BG265" s="176">
        <f>AO265/'2016-17 disagg'!AO265-1</f>
        <v>4.8645906362410285E-2</v>
      </c>
      <c r="BH265" s="176">
        <f>AQ265/'2016-17 disagg'!AQ265-1</f>
        <v>2.7278114392852437E-2</v>
      </c>
      <c r="BJ265" s="176">
        <f>AS265/'2016-17 disagg'!AS265-1</f>
        <v>1.4527863799608243E-2</v>
      </c>
      <c r="BK265" s="176">
        <f>AT265/'2016-17 disagg'!AT265-1</f>
        <v>2.1350523905994345E-2</v>
      </c>
      <c r="BL265" s="176">
        <f>AU265/'2016-17 disagg'!AU265-1</f>
        <v>4.0340553310278526E-2</v>
      </c>
      <c r="BM265" s="176">
        <f>AW265/'2016-17 disagg'!AW265-1</f>
        <v>1.9141995831767789E-2</v>
      </c>
    </row>
    <row r="266" spans="2:65" ht="15" x14ac:dyDescent="0.25">
      <c r="B266" t="s">
        <v>543</v>
      </c>
      <c r="D266" s="55">
        <v>10442467.772886926</v>
      </c>
      <c r="E266" s="166">
        <v>1509.0071930688753</v>
      </c>
      <c r="F266" s="171">
        <f>VLOOKUP(B266,'2017-18'!$B$12:$AMX474,33,FALSE)</f>
        <v>2.8046511939594954E-2</v>
      </c>
      <c r="G266" s="171">
        <f>VLOOKUP(B266,'2017-18'!$B$12:$AMX474,34,FALSE)</f>
        <v>2.0170138068990706E-2</v>
      </c>
      <c r="I266" s="175">
        <v>10625851.340817066</v>
      </c>
      <c r="J266" s="175">
        <v>1535.5073584623194</v>
      </c>
      <c r="K266" s="171">
        <f t="shared" si="84"/>
        <v>-1.7258247085173206E-2</v>
      </c>
      <c r="L266" s="170">
        <f t="shared" si="84"/>
        <v>-1.7258247085173095E-2</v>
      </c>
      <c r="N266" s="55">
        <v>7921125</v>
      </c>
      <c r="O266" s="55">
        <v>844311</v>
      </c>
      <c r="P266" s="55">
        <v>1647664</v>
      </c>
      <c r="R266" s="55">
        <v>1647664</v>
      </c>
      <c r="S266" s="55">
        <v>29367.772886927123</v>
      </c>
      <c r="U266" s="171">
        <v>-2.377741331561789E-2</v>
      </c>
      <c r="V266" s="171">
        <v>5.4673616905596134E-3</v>
      </c>
      <c r="AA266" s="55">
        <v>7486.1179692518781</v>
      </c>
      <c r="AB266" s="55">
        <v>0</v>
      </c>
      <c r="AC266" s="55">
        <v>21881.654917675245</v>
      </c>
      <c r="AE266" s="55">
        <v>0</v>
      </c>
      <c r="AF266" s="55">
        <v>492.54276813276493</v>
      </c>
      <c r="AG266" s="55">
        <v>21389.112149542481</v>
      </c>
      <c r="AI266" s="55">
        <v>19408.097883015376</v>
      </c>
      <c r="AJ266" s="55">
        <v>1981.0142665271019</v>
      </c>
      <c r="AK266" s="55">
        <v>0</v>
      </c>
      <c r="AM266" s="55">
        <v>7948018</v>
      </c>
      <c r="AN266" s="55">
        <v>846785</v>
      </c>
      <c r="AO266" s="55">
        <v>1647664</v>
      </c>
      <c r="AP266" s="55"/>
      <c r="AQ266" s="55">
        <v>10442467</v>
      </c>
      <c r="AS266" s="175">
        <v>1148.5423363030536</v>
      </c>
      <c r="AT266" s="175">
        <v>122.36615748056701</v>
      </c>
      <c r="AU266" s="175">
        <v>238.09858759786835</v>
      </c>
      <c r="AV266" s="175"/>
      <c r="AW266" s="175">
        <v>1509.0070813814889</v>
      </c>
      <c r="AY266" s="171">
        <v>-2.0463041427318807E-2</v>
      </c>
      <c r="AZ266" s="178">
        <v>8.4135820439867892E-3</v>
      </c>
      <c r="BA266" s="171">
        <v>-1.4599298530786342E-2</v>
      </c>
      <c r="BB266" s="171">
        <f t="shared" si="85"/>
        <v>-1.7258319821644053E-2</v>
      </c>
      <c r="BC266" s="171"/>
      <c r="BE266" s="176">
        <f>AM266/'2016-17 disagg'!AM266-1</f>
        <v>2.4149936860552002E-2</v>
      </c>
      <c r="BF266" s="176">
        <f>AN266/'2016-17 disagg'!AN266-1</f>
        <v>2.6034200938084284E-2</v>
      </c>
      <c r="BG266" s="176">
        <f>AO266/'2016-17 disagg'!AO266-1</f>
        <v>4.8343051147686111E-2</v>
      </c>
      <c r="BH266" s="176">
        <f>AQ266/'2016-17 disagg'!AQ266-1</f>
        <v>2.8046435849945706E-2</v>
      </c>
      <c r="BJ266" s="176">
        <f>AS266/'2016-17 disagg'!AS266-1</f>
        <v>1.6303416582932995E-2</v>
      </c>
      <c r="BK266" s="176">
        <f>AT266/'2016-17 disagg'!AT266-1</f>
        <v>1.8173244379447784E-2</v>
      </c>
      <c r="BL266" s="176">
        <f>AU266/'2016-17 disagg'!AU266-1</f>
        <v>4.0311175430399304E-2</v>
      </c>
      <c r="BM266" s="176">
        <f>AW266/'2016-17 disagg'!AW266-1</f>
        <v>2.0170062562302027E-2</v>
      </c>
    </row>
    <row r="267" spans="2:65" ht="15" x14ac:dyDescent="0.25">
      <c r="B267" t="s">
        <v>544</v>
      </c>
      <c r="D267" s="55">
        <v>10890823.02803541</v>
      </c>
      <c r="E267" s="166">
        <v>1575.8485256952081</v>
      </c>
      <c r="F267" s="171">
        <f>VLOOKUP(B267,'2017-18'!$B$12:$AMX475,33,FALSE)</f>
        <v>2.6728660556481598E-2</v>
      </c>
      <c r="G267" s="171">
        <f>VLOOKUP(B267,'2017-18'!$B$12:$AMX475,34,FALSE)</f>
        <v>1.9075405094241216E-2</v>
      </c>
      <c r="I267" s="175">
        <v>11049150.914728839</v>
      </c>
      <c r="J267" s="175">
        <v>1598.757792164786</v>
      </c>
      <c r="K267" s="171">
        <f t="shared" si="84"/>
        <v>-1.4329416614481505E-2</v>
      </c>
      <c r="L267" s="170">
        <f t="shared" si="84"/>
        <v>-1.4329416614481505E-2</v>
      </c>
      <c r="N267" s="55">
        <v>8328946</v>
      </c>
      <c r="O267" s="55">
        <v>889395</v>
      </c>
      <c r="P267" s="55">
        <v>1651842</v>
      </c>
      <c r="R267" s="55">
        <v>1651842</v>
      </c>
      <c r="S267" s="55">
        <v>20640.028035408817</v>
      </c>
      <c r="U267" s="171">
        <v>-1.7026890349676749E-2</v>
      </c>
      <c r="V267" s="171">
        <v>1.6121723597623649E-2</v>
      </c>
      <c r="AA267" s="55">
        <v>10689.956781295779</v>
      </c>
      <c r="AB267" s="55">
        <v>0</v>
      </c>
      <c r="AC267" s="55">
        <v>9950.0712541130379</v>
      </c>
      <c r="AE267" s="55">
        <v>0</v>
      </c>
      <c r="AF267" s="55">
        <v>0</v>
      </c>
      <c r="AG267" s="55">
        <v>9950.0712541130379</v>
      </c>
      <c r="AI267" s="55">
        <v>9048.7202158423115</v>
      </c>
      <c r="AJ267" s="55">
        <v>901.35103827072749</v>
      </c>
      <c r="AK267" s="55">
        <v>0</v>
      </c>
      <c r="AM267" s="55">
        <v>8348685</v>
      </c>
      <c r="AN267" s="55">
        <v>890297</v>
      </c>
      <c r="AO267" s="55">
        <v>1651842</v>
      </c>
      <c r="AP267" s="55"/>
      <c r="AQ267" s="55">
        <v>10890824</v>
      </c>
      <c r="AS267" s="175">
        <v>1208.0136565323428</v>
      </c>
      <c r="AT267" s="175">
        <v>128.82159697841939</v>
      </c>
      <c r="AU267" s="175">
        <v>239.01341282294138</v>
      </c>
      <c r="AV267" s="175"/>
      <c r="AW267" s="175">
        <v>1575.8486663337037</v>
      </c>
      <c r="AY267" s="171">
        <v>-1.4697315129548305E-2</v>
      </c>
      <c r="AZ267" s="178">
        <v>1.7152246362744927E-2</v>
      </c>
      <c r="BA267" s="171">
        <v>-2.8698721987456155E-2</v>
      </c>
      <c r="BB267" s="171">
        <f t="shared" si="85"/>
        <v>-1.4329328647125661E-2</v>
      </c>
      <c r="BC267" s="171"/>
      <c r="BE267" s="176">
        <f>AM267/'2016-17 disagg'!AM267-1</f>
        <v>2.2908551539186917E-2</v>
      </c>
      <c r="BF267" s="176">
        <f>AN267/'2016-17 disagg'!AN267-1</f>
        <v>2.3815903411619432E-2</v>
      </c>
      <c r="BG267" s="176">
        <f>AO267/'2016-17 disagg'!AO267-1</f>
        <v>4.811977119361921E-2</v>
      </c>
      <c r="BH267" s="176">
        <f>AQ267/'2016-17 disagg'!AQ267-1</f>
        <v>2.672875218811499E-2</v>
      </c>
      <c r="BJ267" s="176">
        <f>AS267/'2016-17 disagg'!AS267-1</f>
        <v>1.5283771244072764E-2</v>
      </c>
      <c r="BK267" s="176">
        <f>AT267/'2016-17 disagg'!AT267-1</f>
        <v>1.6184359697950512E-2</v>
      </c>
      <c r="BL267" s="176">
        <f>AU267/'2016-17 disagg'!AU267-1</f>
        <v>4.030706597545386E-2</v>
      </c>
      <c r="BM267" s="176">
        <f>AW267/'2016-17 disagg'!AW267-1</f>
        <v>1.9075496042850526E-2</v>
      </c>
    </row>
    <row r="268" spans="2:65" ht="15" x14ac:dyDescent="0.25">
      <c r="B268" t="s">
        <v>545</v>
      </c>
      <c r="D268" s="55">
        <v>8622830.5795700457</v>
      </c>
      <c r="E268" s="166">
        <v>1584.78268014119</v>
      </c>
      <c r="F268" s="171">
        <f>VLOOKUP(B268,'2017-18'!$B$12:$AMX476,33,FALSE)</f>
        <v>2.6921469936625142E-2</v>
      </c>
      <c r="G268" s="171">
        <f>VLOOKUP(B268,'2017-18'!$B$12:$AMX476,34,FALSE)</f>
        <v>1.8799859874179425E-2</v>
      </c>
      <c r="I268" s="175">
        <v>8669235.5013264865</v>
      </c>
      <c r="J268" s="175">
        <v>1593.3114011446105</v>
      </c>
      <c r="K268" s="171">
        <f t="shared" si="84"/>
        <v>-5.352827449357056E-3</v>
      </c>
      <c r="L268" s="170">
        <f t="shared" si="84"/>
        <v>-5.352827449357167E-3</v>
      </c>
      <c r="N268" s="55">
        <v>6544034</v>
      </c>
      <c r="O268" s="55">
        <v>701744</v>
      </c>
      <c r="P268" s="55">
        <v>1367274</v>
      </c>
      <c r="R268" s="55">
        <v>1367274</v>
      </c>
      <c r="S268" s="55">
        <v>9778.5795700471208</v>
      </c>
      <c r="U268" s="171">
        <v>-6.5035928438840207E-3</v>
      </c>
      <c r="V268" s="171">
        <v>2.3593039896346424E-2</v>
      </c>
      <c r="AA268" s="55">
        <v>4933.1420654975809</v>
      </c>
      <c r="AB268" s="55">
        <v>0</v>
      </c>
      <c r="AC268" s="55">
        <v>4845.4375045495399</v>
      </c>
      <c r="AE268" s="55">
        <v>0</v>
      </c>
      <c r="AF268" s="55">
        <v>0</v>
      </c>
      <c r="AG268" s="55">
        <v>4845.4375045495399</v>
      </c>
      <c r="AI268" s="55">
        <v>4402.3712869132905</v>
      </c>
      <c r="AJ268" s="55">
        <v>443.06621763624855</v>
      </c>
      <c r="AK268" s="55">
        <v>0</v>
      </c>
      <c r="AM268" s="55">
        <v>6553370</v>
      </c>
      <c r="AN268" s="55">
        <v>702187</v>
      </c>
      <c r="AO268" s="55">
        <v>1367274</v>
      </c>
      <c r="AP268" s="55"/>
      <c r="AQ268" s="55">
        <v>8622831</v>
      </c>
      <c r="AS268" s="175">
        <v>1204.4382847047336</v>
      </c>
      <c r="AT268" s="175">
        <v>129.05435002479072</v>
      </c>
      <c r="AU268" s="175">
        <v>251.29012268212844</v>
      </c>
      <c r="AV268" s="175"/>
      <c r="AW268" s="175">
        <v>1584.7827574116529</v>
      </c>
      <c r="AY268" s="171">
        <v>-5.0862281943101495E-3</v>
      </c>
      <c r="AZ268" s="178">
        <v>2.423921815604535E-2</v>
      </c>
      <c r="BA268" s="171">
        <v>-2.1133992419740899E-2</v>
      </c>
      <c r="BB268" s="171">
        <f t="shared" si="85"/>
        <v>-5.352778952583126E-3</v>
      </c>
      <c r="BC268" s="171"/>
      <c r="BE268" s="176">
        <f>AM268/'2016-17 disagg'!AM268-1</f>
        <v>2.2420686523046962E-2</v>
      </c>
      <c r="BF268" s="176">
        <f>AN268/'2016-17 disagg'!AN268-1</f>
        <v>2.7338657880529693E-2</v>
      </c>
      <c r="BG268" s="176">
        <f>AO268/'2016-17 disagg'!AO268-1</f>
        <v>4.8832669154620145E-2</v>
      </c>
      <c r="BH268" s="176">
        <f>AQ268/'2016-17 disagg'!AQ268-1</f>
        <v>2.6921520007021638E-2</v>
      </c>
      <c r="BJ268" s="176">
        <f>AS268/'2016-17 disagg'!AS268-1</f>
        <v>1.4334671789874909E-2</v>
      </c>
      <c r="BK268" s="176">
        <f>AT268/'2016-17 disagg'!AT268-1</f>
        <v>1.9213748405322306E-2</v>
      </c>
      <c r="BL268" s="176">
        <f>AU268/'2016-17 disagg'!AU268-1</f>
        <v>4.0537770071291224E-2</v>
      </c>
      <c r="BM268" s="176">
        <f>AW268/'2016-17 disagg'!AW268-1</f>
        <v>1.8799909548584459E-2</v>
      </c>
    </row>
    <row r="269" spans="2:65" ht="15" x14ac:dyDescent="0.25">
      <c r="B269" t="s">
        <v>546</v>
      </c>
      <c r="D269" s="55">
        <v>9260966.7670618705</v>
      </c>
      <c r="E269" s="166">
        <v>1638.4134941099369</v>
      </c>
      <c r="F269" s="171">
        <f>VLOOKUP(B269,'2017-18'!$B$12:$AMX477,33,FALSE)</f>
        <v>2.5784689564369634E-2</v>
      </c>
      <c r="G269" s="171">
        <f>VLOOKUP(B269,'2017-18'!$B$12:$AMX477,34,FALSE)</f>
        <v>2.0040570912973177E-2</v>
      </c>
      <c r="I269" s="175">
        <v>9278422.6074548699</v>
      </c>
      <c r="J269" s="175">
        <v>1641.501712129749</v>
      </c>
      <c r="K269" s="171">
        <f t="shared" si="84"/>
        <v>-1.8813370689727549E-3</v>
      </c>
      <c r="L269" s="170">
        <f t="shared" si="84"/>
        <v>-1.8813370689728659E-3</v>
      </c>
      <c r="N269" s="55">
        <v>7142834</v>
      </c>
      <c r="O269" s="55">
        <v>723887</v>
      </c>
      <c r="P269" s="55">
        <v>1386613</v>
      </c>
      <c r="R269" s="55">
        <v>1386613</v>
      </c>
      <c r="S269" s="55">
        <v>7632.7670618707489</v>
      </c>
      <c r="U269" s="171">
        <v>-2.6239614011038803E-3</v>
      </c>
      <c r="V269" s="171">
        <v>4.703915234211431E-3</v>
      </c>
      <c r="AA269" s="55">
        <v>436.87530592424446</v>
      </c>
      <c r="AB269" s="55">
        <v>0</v>
      </c>
      <c r="AC269" s="55">
        <v>7195.8917559465044</v>
      </c>
      <c r="AE269" s="55">
        <v>0</v>
      </c>
      <c r="AF269" s="55">
        <v>0</v>
      </c>
      <c r="AG269" s="55">
        <v>7195.8917559465044</v>
      </c>
      <c r="AI269" s="55">
        <v>6521.8628863209506</v>
      </c>
      <c r="AJ269" s="55">
        <v>674.02886962555363</v>
      </c>
      <c r="AK269" s="55">
        <v>0</v>
      </c>
      <c r="AM269" s="55">
        <v>7149793</v>
      </c>
      <c r="AN269" s="55">
        <v>724560</v>
      </c>
      <c r="AO269" s="55">
        <v>1386613</v>
      </c>
      <c r="AP269" s="55"/>
      <c r="AQ269" s="55">
        <v>9260966</v>
      </c>
      <c r="AS269" s="175">
        <v>1264.9130081058747</v>
      </c>
      <c r="AT269" s="175">
        <v>128.18628023960869</v>
      </c>
      <c r="AU269" s="175">
        <v>245.31407005891097</v>
      </c>
      <c r="AV269" s="175"/>
      <c r="AW269" s="175">
        <v>1638.4133584043943</v>
      </c>
      <c r="AY269" s="171">
        <v>-1.6522546734086818E-3</v>
      </c>
      <c r="AZ269" s="178">
        <v>5.6379915955118154E-3</v>
      </c>
      <c r="BA269" s="171">
        <v>-6.9368658843813602E-3</v>
      </c>
      <c r="BB269" s="171">
        <f t="shared" si="85"/>
        <v>-1.8814197405542243E-3</v>
      </c>
      <c r="BC269" s="171"/>
      <c r="BE269" s="176">
        <f>AM269/'2016-17 disagg'!AM269-1</f>
        <v>2.1501733888665386E-2</v>
      </c>
      <c r="BF269" s="176">
        <f>AN269/'2016-17 disagg'!AN269-1</f>
        <v>2.9984348946006101E-2</v>
      </c>
      <c r="BG269" s="176">
        <f>AO269/'2016-17 disagg'!AO269-1</f>
        <v>4.6172708170648447E-2</v>
      </c>
      <c r="BH269" s="176">
        <f>AQ269/'2016-17 disagg'!AQ269-1</f>
        <v>2.5784604601282846E-2</v>
      </c>
      <c r="BJ269" s="176">
        <f>AS269/'2016-17 disagg'!AS269-1</f>
        <v>1.5781598638298755E-2</v>
      </c>
      <c r="BK269" s="176">
        <f>AT269/'2016-17 disagg'!AT269-1</f>
        <v>2.4216713330446504E-2</v>
      </c>
      <c r="BL269" s="176">
        <f>AU269/'2016-17 disagg'!AU269-1</f>
        <v>4.0314422092956104E-2</v>
      </c>
      <c r="BM269" s="176">
        <f>AW269/'2016-17 disagg'!AW269-1</f>
        <v>2.0040486425656923E-2</v>
      </c>
    </row>
    <row r="270" spans="2:65" ht="15" x14ac:dyDescent="0.25">
      <c r="B270" t="s">
        <v>547</v>
      </c>
      <c r="D270" s="55">
        <v>7607469.2733321441</v>
      </c>
      <c r="E270" s="166">
        <v>1621.2689042062289</v>
      </c>
      <c r="F270" s="171">
        <f>VLOOKUP(B270,'2017-18'!$B$12:$AMX478,33,FALSE)</f>
        <v>2.5109561960411364E-2</v>
      </c>
      <c r="G270" s="171">
        <f>VLOOKUP(B270,'2017-18'!$B$12:$AMX478,34,FALSE)</f>
        <v>1.8457743282866312E-2</v>
      </c>
      <c r="I270" s="175">
        <v>7616867.7473883769</v>
      </c>
      <c r="J270" s="175">
        <v>1623.2718638222177</v>
      </c>
      <c r="K270" s="171">
        <f t="shared" si="84"/>
        <v>-1.233902749519955E-3</v>
      </c>
      <c r="L270" s="170">
        <f t="shared" si="84"/>
        <v>-1.2339027495200661E-3</v>
      </c>
      <c r="N270" s="55">
        <v>5873562</v>
      </c>
      <c r="O270" s="55">
        <v>605688</v>
      </c>
      <c r="P270" s="55">
        <v>1119988</v>
      </c>
      <c r="R270" s="55">
        <v>1119988</v>
      </c>
      <c r="S270" s="55">
        <v>8231.2733321438136</v>
      </c>
      <c r="U270" s="171">
        <v>3.4782280114298292E-3</v>
      </c>
      <c r="V270" s="171">
        <v>-2.8156252145522531E-3</v>
      </c>
      <c r="AA270" s="55">
        <v>7025.5227847491333</v>
      </c>
      <c r="AB270" s="55">
        <v>0</v>
      </c>
      <c r="AC270" s="55">
        <v>1205.7505473946803</v>
      </c>
      <c r="AE270" s="55">
        <v>0</v>
      </c>
      <c r="AF270" s="55">
        <v>0</v>
      </c>
      <c r="AG270" s="55">
        <v>1205.7505473946803</v>
      </c>
      <c r="AI270" s="55">
        <v>1091.03906165643</v>
      </c>
      <c r="AJ270" s="55">
        <v>114.71148573825054</v>
      </c>
      <c r="AK270" s="55">
        <v>0</v>
      </c>
      <c r="AM270" s="55">
        <v>5881678</v>
      </c>
      <c r="AN270" s="55">
        <v>605803</v>
      </c>
      <c r="AO270" s="55">
        <v>1119988</v>
      </c>
      <c r="AP270" s="55"/>
      <c r="AQ270" s="55">
        <v>7607469</v>
      </c>
      <c r="AS270" s="175">
        <v>1253.4761960040255</v>
      </c>
      <c r="AT270" s="175">
        <v>129.10595241151023</v>
      </c>
      <c r="AU270" s="175">
        <v>238.6866975394023</v>
      </c>
      <c r="AV270" s="175"/>
      <c r="AW270" s="175">
        <v>1621.2688459549381</v>
      </c>
      <c r="AY270" s="171">
        <v>4.8648191972453514E-3</v>
      </c>
      <c r="AZ270" s="178">
        <v>-2.626293078039188E-3</v>
      </c>
      <c r="BA270" s="171">
        <v>-3.1375399041758345E-2</v>
      </c>
      <c r="BB270" s="171">
        <f t="shared" si="85"/>
        <v>-1.2339386346309489E-3</v>
      </c>
      <c r="BC270" s="171"/>
      <c r="BE270" s="176">
        <f>AM270/'2016-17 disagg'!AM270-1</f>
        <v>2.1072181012920188E-2</v>
      </c>
      <c r="BF270" s="176">
        <f>AN270/'2016-17 disagg'!AN270-1</f>
        <v>2.4757809552969023E-2</v>
      </c>
      <c r="BG270" s="176">
        <f>AO270/'2016-17 disagg'!AO270-1</f>
        <v>4.7045570342116427E-2</v>
      </c>
      <c r="BH270" s="176">
        <f>AQ270/'2016-17 disagg'!AQ270-1</f>
        <v>2.5109525128794496E-2</v>
      </c>
      <c r="BJ270" s="176">
        <f>AS270/'2016-17 disagg'!AS270-1</f>
        <v>1.4446560438476919E-2</v>
      </c>
      <c r="BK270" s="176">
        <f>AT270/'2016-17 disagg'!AT270-1</f>
        <v>1.8108273356556293E-2</v>
      </c>
      <c r="BL270" s="176">
        <f>AU270/'2016-17 disagg'!AU270-1</f>
        <v>4.0251411415608063E-2</v>
      </c>
      <c r="BM270" s="176">
        <f>AW270/'2016-17 disagg'!AW270-1</f>
        <v>1.8457706690245601E-2</v>
      </c>
    </row>
    <row r="271" spans="2:65" ht="15" x14ac:dyDescent="0.25">
      <c r="B271" t="s">
        <v>548</v>
      </c>
      <c r="D271" s="55">
        <v>9173914.8373811655</v>
      </c>
      <c r="E271" s="166">
        <v>1662.4903146783467</v>
      </c>
      <c r="F271" s="171">
        <f>VLOOKUP(B271,'2017-18'!$B$12:$AMX479,33,FALSE)</f>
        <v>2.4746487650614046E-2</v>
      </c>
      <c r="G271" s="171">
        <f>VLOOKUP(B271,'2017-18'!$B$12:$AMX479,34,FALSE)</f>
        <v>1.6631282048204188E-2</v>
      </c>
      <c r="I271" s="175">
        <v>8985243.7057712078</v>
      </c>
      <c r="J271" s="175">
        <v>1628.2994665485098</v>
      </c>
      <c r="K271" s="171">
        <f t="shared" si="84"/>
        <v>2.0997886956452216E-2</v>
      </c>
      <c r="L271" s="170">
        <f t="shared" si="84"/>
        <v>2.0997886956452216E-2</v>
      </c>
      <c r="N271" s="55">
        <v>6939481</v>
      </c>
      <c r="O271" s="55">
        <v>729652</v>
      </c>
      <c r="P271" s="55">
        <v>1499061</v>
      </c>
      <c r="R271" s="55">
        <v>1499061</v>
      </c>
      <c r="S271" s="55">
        <v>5720.837381164718</v>
      </c>
      <c r="U271" s="171">
        <v>2.6982855820616658E-2</v>
      </c>
      <c r="V271" s="171">
        <v>-5.8385449485794938E-3</v>
      </c>
      <c r="AA271" s="55">
        <v>1366.5041159465909</v>
      </c>
      <c r="AB271" s="55">
        <v>0</v>
      </c>
      <c r="AC271" s="55">
        <v>4354.3332652181271</v>
      </c>
      <c r="AE271" s="55">
        <v>0</v>
      </c>
      <c r="AF271" s="55">
        <v>257.61408571834323</v>
      </c>
      <c r="AG271" s="55">
        <v>4096.7191794997834</v>
      </c>
      <c r="AI271" s="55">
        <v>3708.7568487648095</v>
      </c>
      <c r="AJ271" s="55">
        <v>387.96233073497433</v>
      </c>
      <c r="AK271" s="55">
        <v>0</v>
      </c>
      <c r="AM271" s="55">
        <v>6944556</v>
      </c>
      <c r="AN271" s="55">
        <v>730298</v>
      </c>
      <c r="AO271" s="55">
        <v>1499061</v>
      </c>
      <c r="AP271" s="55"/>
      <c r="AQ271" s="55">
        <v>9173915</v>
      </c>
      <c r="AS271" s="175">
        <v>1258.4874935504822</v>
      </c>
      <c r="AT271" s="175">
        <v>132.3440835619916</v>
      </c>
      <c r="AU271" s="175">
        <v>271.65876703554255</v>
      </c>
      <c r="AV271" s="175"/>
      <c r="AW271" s="175">
        <v>1662.4903441480162</v>
      </c>
      <c r="AY271" s="171">
        <v>2.7733911698324176E-2</v>
      </c>
      <c r="AZ271" s="178">
        <v>-4.9583605593593871E-3</v>
      </c>
      <c r="BA271" s="171">
        <v>3.2848815092580974E-3</v>
      </c>
      <c r="BB271" s="171">
        <f t="shared" si="85"/>
        <v>2.0997905054885635E-2</v>
      </c>
      <c r="BC271" s="171"/>
      <c r="BE271" s="176">
        <f>AM271/'2016-17 disagg'!AM271-1</f>
        <v>1.7853366100194057E-2</v>
      </c>
      <c r="BF271" s="176">
        <f>AN271/'2016-17 disagg'!AN271-1</f>
        <v>4.2713833308108962E-2</v>
      </c>
      <c r="BG271" s="176">
        <f>AO271/'2016-17 disagg'!AO271-1</f>
        <v>4.8847434241551246E-2</v>
      </c>
      <c r="BH271" s="176">
        <f>AQ271/'2016-17 disagg'!AQ271-1</f>
        <v>2.4746505815495867E-2</v>
      </c>
      <c r="BJ271" s="176">
        <f>AS271/'2016-17 disagg'!AS271-1</f>
        <v>9.7927487294087179E-3</v>
      </c>
      <c r="BK271" s="176">
        <f>AT271/'2016-17 disagg'!AT271-1</f>
        <v>3.4456340119552786E-2</v>
      </c>
      <c r="BL271" s="176">
        <f>AU271/'2016-17 disagg'!AU271-1</f>
        <v>4.0541367641660386E-2</v>
      </c>
      <c r="BM271" s="176">
        <f>AW271/'2016-17 disagg'!AW271-1</f>
        <v>1.6631300069234189E-2</v>
      </c>
    </row>
    <row r="272" spans="2:65" ht="15" x14ac:dyDescent="0.25">
      <c r="B272" t="s">
        <v>549</v>
      </c>
      <c r="D272" s="55">
        <v>11130942.773195084</v>
      </c>
      <c r="E272" s="166">
        <v>1701.5209633166239</v>
      </c>
      <c r="F272" s="171">
        <f>VLOOKUP(B272,'2017-18'!$B$12:$AMX480,33,FALSE)</f>
        <v>2.5831509620994675E-2</v>
      </c>
      <c r="G272" s="171">
        <f>VLOOKUP(B272,'2017-18'!$B$12:$AMX480,34,FALSE)</f>
        <v>1.9122454026234026E-2</v>
      </c>
      <c r="I272" s="175">
        <v>11040816.996242937</v>
      </c>
      <c r="J272" s="175">
        <v>1687.7439722796591</v>
      </c>
      <c r="K272" s="171">
        <f t="shared" si="84"/>
        <v>8.1629626668766608E-3</v>
      </c>
      <c r="L272" s="170">
        <f t="shared" si="84"/>
        <v>8.1629626668764388E-3</v>
      </c>
      <c r="N272" s="55">
        <v>8463996</v>
      </c>
      <c r="O272" s="55">
        <v>866405</v>
      </c>
      <c r="P272" s="55">
        <v>1794088</v>
      </c>
      <c r="R272" s="55">
        <v>1794088</v>
      </c>
      <c r="S272" s="55">
        <v>6453.7731950842426</v>
      </c>
      <c r="U272" s="171">
        <v>8.8582601061415467E-3</v>
      </c>
      <c r="V272" s="171">
        <v>-7.443893590455275E-3</v>
      </c>
      <c r="AA272" s="55">
        <v>2371.8855067548575</v>
      </c>
      <c r="AB272" s="55">
        <v>0</v>
      </c>
      <c r="AC272" s="55">
        <v>4081.8876883293851</v>
      </c>
      <c r="AE272" s="55">
        <v>0</v>
      </c>
      <c r="AF272" s="55">
        <v>0</v>
      </c>
      <c r="AG272" s="55">
        <v>4081.8876883293851</v>
      </c>
      <c r="AI272" s="55">
        <v>3696.0052973119518</v>
      </c>
      <c r="AJ272" s="55">
        <v>385.88239101743352</v>
      </c>
      <c r="AK272" s="55">
        <v>0</v>
      </c>
      <c r="AM272" s="55">
        <v>8470063</v>
      </c>
      <c r="AN272" s="55">
        <v>866791</v>
      </c>
      <c r="AO272" s="55">
        <v>1794088</v>
      </c>
      <c r="AP272" s="55"/>
      <c r="AQ272" s="55">
        <v>11130942</v>
      </c>
      <c r="AS272" s="175">
        <v>1294.7681116300987</v>
      </c>
      <c r="AT272" s="175">
        <v>132.50118048094387</v>
      </c>
      <c r="AU272" s="175">
        <v>274.25155301185134</v>
      </c>
      <c r="AV272" s="175"/>
      <c r="AW272" s="175">
        <v>1701.5208451228941</v>
      </c>
      <c r="AY272" s="171">
        <v>9.5814106208704786E-3</v>
      </c>
      <c r="AZ272" s="178">
        <v>-7.0016908595452731E-3</v>
      </c>
      <c r="BA272" s="171">
        <v>8.9143665770445857E-3</v>
      </c>
      <c r="BB272" s="171">
        <f t="shared" si="85"/>
        <v>8.1628926362724563E-3</v>
      </c>
      <c r="BC272" s="171"/>
      <c r="BE272" s="176">
        <f>AM272/'2016-17 disagg'!AM272-1</f>
        <v>2.0883234606503098E-2</v>
      </c>
      <c r="BF272" s="176">
        <f>AN272/'2016-17 disagg'!AN272-1</f>
        <v>3.069157411591239E-2</v>
      </c>
      <c r="BG272" s="176">
        <f>AO272/'2016-17 disagg'!AO272-1</f>
        <v>4.7413267167773387E-2</v>
      </c>
      <c r="BH272" s="176">
        <f>AQ272/'2016-17 disagg'!AQ272-1</f>
        <v>2.5831438363070003E-2</v>
      </c>
      <c r="BJ272" s="176">
        <f>AS272/'2016-17 disagg'!AS272-1</f>
        <v>1.4206541297223874E-2</v>
      </c>
      <c r="BK272" s="176">
        <f>AT272/'2016-17 disagg'!AT272-1</f>
        <v>2.3950733142573677E-2</v>
      </c>
      <c r="BL272" s="176">
        <f>AU272/'2016-17 disagg'!AU272-1</f>
        <v>4.0563064406196503E-2</v>
      </c>
      <c r="BM272" s="176">
        <f>AW272/'2016-17 disagg'!AW272-1</f>
        <v>1.9122383234344564E-2</v>
      </c>
    </row>
    <row r="273" spans="2:65" ht="15" x14ac:dyDescent="0.25">
      <c r="B273" t="s">
        <v>550</v>
      </c>
      <c r="D273" s="55">
        <v>9815725.0305780098</v>
      </c>
      <c r="E273" s="166">
        <v>1755.7781445593114</v>
      </c>
      <c r="F273" s="171">
        <f>VLOOKUP(B273,'2017-18'!$B$12:$AMX481,33,FALSE)</f>
        <v>2.5217552076004512E-2</v>
      </c>
      <c r="G273" s="171">
        <f>VLOOKUP(B273,'2017-18'!$B$12:$AMX481,34,FALSE)</f>
        <v>1.7527599409287831E-2</v>
      </c>
      <c r="I273" s="175">
        <v>9627645.0223081671</v>
      </c>
      <c r="J273" s="175">
        <v>1722.1355183732678</v>
      </c>
      <c r="K273" s="171">
        <f t="shared" si="84"/>
        <v>1.9535411602114916E-2</v>
      </c>
      <c r="L273" s="170">
        <f t="shared" si="84"/>
        <v>1.9535411602115138E-2</v>
      </c>
      <c r="N273" s="55">
        <v>7406841</v>
      </c>
      <c r="O273" s="55">
        <v>774880</v>
      </c>
      <c r="P273" s="55">
        <v>1631955</v>
      </c>
      <c r="R273" s="55">
        <v>1631955</v>
      </c>
      <c r="S273" s="55">
        <v>2049.0305780089693</v>
      </c>
      <c r="U273" s="171">
        <v>2.4874483946355053E-2</v>
      </c>
      <c r="V273" s="171">
        <v>-2.3804310325685751E-3</v>
      </c>
      <c r="AA273" s="55">
        <v>558.00342338380869</v>
      </c>
      <c r="AB273" s="55">
        <v>0</v>
      </c>
      <c r="AC273" s="55">
        <v>1491.0271546251606</v>
      </c>
      <c r="AE273" s="55">
        <v>0</v>
      </c>
      <c r="AF273" s="55">
        <v>530.92403058868399</v>
      </c>
      <c r="AG273" s="55">
        <v>960.10312403647663</v>
      </c>
      <c r="AI273" s="55">
        <v>865.97927166194995</v>
      </c>
      <c r="AJ273" s="55">
        <v>94.12385237452655</v>
      </c>
      <c r="AK273" s="55">
        <v>0</v>
      </c>
      <c r="AM273" s="55">
        <v>7408265</v>
      </c>
      <c r="AN273" s="55">
        <v>775505</v>
      </c>
      <c r="AO273" s="55">
        <v>1631955</v>
      </c>
      <c r="AP273" s="55"/>
      <c r="AQ273" s="55">
        <v>9815725</v>
      </c>
      <c r="AS273" s="175">
        <v>1325.1461033783401</v>
      </c>
      <c r="AT273" s="175">
        <v>138.71769286066569</v>
      </c>
      <c r="AU273" s="175">
        <v>291.91434285069431</v>
      </c>
      <c r="AV273" s="175"/>
      <c r="AW273" s="175">
        <v>1755.7781390896998</v>
      </c>
      <c r="AY273" s="171">
        <v>2.5071520883578113E-2</v>
      </c>
      <c r="AZ273" s="178">
        <v>-1.5757745301363535E-3</v>
      </c>
      <c r="BA273" s="171">
        <v>4.994478470254915E-3</v>
      </c>
      <c r="BB273" s="171">
        <f t="shared" si="85"/>
        <v>1.9535408426051726E-2</v>
      </c>
      <c r="BC273" s="171"/>
      <c r="BE273" s="176">
        <f>AM273/'2016-17 disagg'!AM273-1</f>
        <v>1.9318055483702024E-2</v>
      </c>
      <c r="BF273" s="176">
        <f>AN273/'2016-17 disagg'!AN273-1</f>
        <v>3.3522977913003293E-2</v>
      </c>
      <c r="BG273" s="176">
        <f>AO273/'2016-17 disagg'!AO273-1</f>
        <v>4.8767086313597607E-2</v>
      </c>
      <c r="BH273" s="176">
        <f>AQ273/'2016-17 disagg'!AQ273-1</f>
        <v>2.521754888224037E-2</v>
      </c>
      <c r="BJ273" s="176">
        <f>AS273/'2016-17 disagg'!AS273-1</f>
        <v>1.1672353765928234E-2</v>
      </c>
      <c r="BK273" s="176">
        <f>AT273/'2016-17 disagg'!AT273-1</f>
        <v>2.5770727901265555E-2</v>
      </c>
      <c r="BL273" s="176">
        <f>AU273/'2016-17 disagg'!AU273-1</f>
        <v>4.0900493280898509E-2</v>
      </c>
      <c r="BM273" s="176">
        <f>AW273/'2016-17 disagg'!AW273-1</f>
        <v>1.7527596239479193E-2</v>
      </c>
    </row>
    <row r="274" spans="2:65" ht="15" x14ac:dyDescent="0.25">
      <c r="B274" t="s">
        <v>551</v>
      </c>
      <c r="D274" s="55">
        <v>10906932.99473832</v>
      </c>
      <c r="E274" s="166">
        <v>1761.8225078395667</v>
      </c>
      <c r="F274" s="171">
        <f>VLOOKUP(B274,'2017-18'!$B$12:$AMX482,33,FALSE)</f>
        <v>2.7747176480107827E-2</v>
      </c>
      <c r="G274" s="171">
        <f>VLOOKUP(B274,'2017-18'!$B$12:$AMX482,34,FALSE)</f>
        <v>2.1034325831887024E-2</v>
      </c>
      <c r="I274" s="175">
        <v>10851735.335379262</v>
      </c>
      <c r="J274" s="175">
        <v>1752.9063002598773</v>
      </c>
      <c r="K274" s="171">
        <f t="shared" si="84"/>
        <v>5.0865283434531339E-3</v>
      </c>
      <c r="L274" s="170">
        <f t="shared" si="84"/>
        <v>5.0865283434531339E-3</v>
      </c>
      <c r="N274" s="55">
        <v>8054154</v>
      </c>
      <c r="O274" s="55">
        <v>864391</v>
      </c>
      <c r="P274" s="55">
        <v>1984357</v>
      </c>
      <c r="R274" s="55">
        <v>1984357</v>
      </c>
      <c r="S274" s="55">
        <v>4030.9947383195977</v>
      </c>
      <c r="U274" s="171">
        <v>-1.7866155318326804E-3</v>
      </c>
      <c r="V274" s="171">
        <v>-2.3375384041285918E-2</v>
      </c>
      <c r="AA274" s="55">
        <v>796.00933931313921</v>
      </c>
      <c r="AB274" s="55">
        <v>0</v>
      </c>
      <c r="AC274" s="55">
        <v>3234.9853990064585</v>
      </c>
      <c r="AE274" s="55">
        <v>0</v>
      </c>
      <c r="AF274" s="55">
        <v>368.23697422601981</v>
      </c>
      <c r="AG274" s="55">
        <v>2866.7484247804387</v>
      </c>
      <c r="AI274" s="55">
        <v>2575.5661131496631</v>
      </c>
      <c r="AJ274" s="55">
        <v>291.18231163077542</v>
      </c>
      <c r="AK274" s="55">
        <v>0</v>
      </c>
      <c r="AM274" s="55">
        <v>8057526</v>
      </c>
      <c r="AN274" s="55">
        <v>865050</v>
      </c>
      <c r="AO274" s="55">
        <v>1984357</v>
      </c>
      <c r="AP274" s="55"/>
      <c r="AQ274" s="55">
        <v>10906933</v>
      </c>
      <c r="AS274" s="175">
        <v>1301.551102509831</v>
      </c>
      <c r="AT274" s="175">
        <v>139.7335585670005</v>
      </c>
      <c r="AU274" s="175">
        <v>320.53784761266684</v>
      </c>
      <c r="AV274" s="175"/>
      <c r="AW274" s="175">
        <v>1761.8225086894984</v>
      </c>
      <c r="AY274" s="171">
        <v>-1.3686975813655966E-3</v>
      </c>
      <c r="AZ274" s="178">
        <v>-2.263081865141392E-2</v>
      </c>
      <c r="BA274" s="171">
        <v>4.5451676765446702E-2</v>
      </c>
      <c r="BB274" s="171">
        <f t="shared" si="85"/>
        <v>5.0865288283230559E-3</v>
      </c>
      <c r="BC274" s="171"/>
      <c r="BE274" s="176">
        <f>AM274/'2016-17 disagg'!AM274-1</f>
        <v>2.1228816620469049E-2</v>
      </c>
      <c r="BF274" s="176">
        <f>AN274/'2016-17 disagg'!AN274-1</f>
        <v>4.4896549141724584E-2</v>
      </c>
      <c r="BG274" s="176">
        <f>AO274/'2016-17 disagg'!AO274-1</f>
        <v>4.739949624080797E-2</v>
      </c>
      <c r="BH274" s="176">
        <f>AQ274/'2016-17 disagg'!AQ274-1</f>
        <v>2.7747176975909671E-2</v>
      </c>
      <c r="BJ274" s="176">
        <f>AS274/'2016-17 disagg'!AS274-1</f>
        <v>1.4558541400535141E-2</v>
      </c>
      <c r="BK274" s="176">
        <f>AT274/'2016-17 disagg'!AT274-1</f>
        <v>3.8071685364182706E-2</v>
      </c>
      <c r="BL274" s="176">
        <f>AU274/'2016-17 disagg'!AU274-1</f>
        <v>4.0558284172129255E-2</v>
      </c>
      <c r="BM274" s="176">
        <f>AW274/'2016-17 disagg'!AW274-1</f>
        <v>2.1034326324450348E-2</v>
      </c>
    </row>
    <row r="275" spans="2:65" ht="15" x14ac:dyDescent="0.25">
      <c r="B275"/>
      <c r="D275" s="1"/>
      <c r="N275" s="1"/>
      <c r="O275" s="1"/>
      <c r="P275" s="1"/>
      <c r="R275" s="1"/>
      <c r="S275" s="1"/>
      <c r="AA275" s="1"/>
      <c r="AB275" s="1"/>
      <c r="AC275" s="1"/>
      <c r="AE275" s="1"/>
      <c r="AF275" s="1"/>
      <c r="AG275" s="1"/>
      <c r="AI275" s="1"/>
      <c r="AJ275" s="1"/>
      <c r="AK275" s="1"/>
      <c r="AM275" s="1"/>
      <c r="AN275" s="1"/>
      <c r="AO275" s="1"/>
      <c r="AP275" s="1"/>
      <c r="AQ275" s="1"/>
      <c r="AZ275" s="178"/>
      <c r="BE275" s="1"/>
      <c r="BF275" s="1"/>
      <c r="BG275" s="1"/>
      <c r="BH275" s="1"/>
      <c r="BJ275" s="1"/>
      <c r="BK275" s="1"/>
      <c r="BL275" s="1"/>
      <c r="BM275" s="1"/>
    </row>
    <row r="276" spans="2:65" ht="15" x14ac:dyDescent="0.25">
      <c r="B276" t="s">
        <v>12</v>
      </c>
      <c r="D276" s="172">
        <f>SUM(D265:D274)</f>
        <v>94829648.989833817</v>
      </c>
      <c r="E276" s="166">
        <v>1630.1113440537297</v>
      </c>
      <c r="F276" s="171">
        <f>VLOOKUP(B276,'2017-18'!$B$12:$AMX484,33,FALSE)</f>
        <v>2.6372146988571377E-2</v>
      </c>
      <c r="G276" s="171">
        <f>VLOOKUP(B276,'2017-18'!$B$12:$AMX484,34,FALSE)</f>
        <v>1.903493978286197E-2</v>
      </c>
      <c r="I276" s="175">
        <f>SUM(I265:I274)</f>
        <v>94829716.878834367</v>
      </c>
      <c r="J276" s="175">
        <v>1630.1125110582595</v>
      </c>
      <c r="K276" s="171">
        <f t="shared" ref="K276:L276" si="86">D276/I276-1</f>
        <v>-7.159042838544849E-7</v>
      </c>
      <c r="L276" s="170">
        <f t="shared" si="86"/>
        <v>-7.159042838544849E-7</v>
      </c>
      <c r="N276" s="172">
        <f>SUM(N265:N274)</f>
        <v>71954598</v>
      </c>
      <c r="O276" s="172">
        <f>SUM(O265:O274)</f>
        <v>7567562</v>
      </c>
      <c r="P276" s="172">
        <f>SUM(P265:P274)</f>
        <v>15203166</v>
      </c>
      <c r="R276" s="172">
        <f>SUM(R265:R274)</f>
        <v>15203166</v>
      </c>
      <c r="S276" s="172">
        <f>SUM(S265:S274)</f>
        <v>104322.98983382812</v>
      </c>
      <c r="U276" s="171">
        <v>-1.4304680311547635E-3</v>
      </c>
      <c r="V276" s="171">
        <v>-9.7511990803988979E-5</v>
      </c>
      <c r="AA276" s="172">
        <f>SUM(AA265:AA274)</f>
        <v>38889.293782652167</v>
      </c>
      <c r="AB276" s="172">
        <f>SUM(AB265:AB274)</f>
        <v>0</v>
      </c>
      <c r="AC276" s="172">
        <f>SUM(AC265:AC274)</f>
        <v>65433.696051175953</v>
      </c>
      <c r="AE276" s="172">
        <f>SUM(AE265:AE274)</f>
        <v>0</v>
      </c>
      <c r="AF276" s="172">
        <f>SUM(AF265:AF274)</f>
        <v>1649.3178586658119</v>
      </c>
      <c r="AG276" s="172">
        <f>SUM(AG265:AG274)</f>
        <v>63784.37819251015</v>
      </c>
      <c r="AI276" s="172">
        <f>SUM(AI265:AI274)</f>
        <v>57829.886811207078</v>
      </c>
      <c r="AJ276" s="172">
        <f>SUM(AJ265:AJ274)</f>
        <v>5954.4913813030716</v>
      </c>
      <c r="AK276" s="172">
        <f>SUM(AK265:AK274)</f>
        <v>0</v>
      </c>
      <c r="AM276" s="172">
        <f>SUM(AM265:AM274)</f>
        <v>72051316</v>
      </c>
      <c r="AN276" s="172">
        <f>SUM(AN265:AN274)</f>
        <v>7575166</v>
      </c>
      <c r="AO276" s="172">
        <f>SUM(AO265:AO274)</f>
        <v>15203166</v>
      </c>
      <c r="AP276" s="172"/>
      <c r="AQ276" s="172">
        <f>SUM(AQ265:AQ274)</f>
        <v>94829648</v>
      </c>
      <c r="AS276" s="175">
        <v>1238.55427934982</v>
      </c>
      <c r="AT276" s="175">
        <v>130.21627899322834</v>
      </c>
      <c r="AU276" s="175">
        <v>261.34076869554588</v>
      </c>
      <c r="AV276" s="175"/>
      <c r="AW276" s="175">
        <v>1630.1113270385943</v>
      </c>
      <c r="AY276" s="171">
        <v>-8.8237643140254285E-5</v>
      </c>
      <c r="AZ276" s="178">
        <v>9.072050526535147E-4</v>
      </c>
      <c r="BA276" s="171">
        <v>-3.793010082742132E-5</v>
      </c>
      <c r="BB276" s="171">
        <f t="shared" ref="BB276" si="87">SUM(AM276:AO276)/I276-1</f>
        <v>-7.2634229686396878E-7</v>
      </c>
      <c r="BC276" s="171"/>
      <c r="BE276" s="176">
        <f>AM276/'2016-17 disagg'!AM276-1</f>
        <v>2.1405663278374121E-2</v>
      </c>
      <c r="BF276" s="176">
        <f>AN276/'2016-17 disagg'!AN276-1</f>
        <v>3.1444548986074849E-2</v>
      </c>
      <c r="BG276" s="176">
        <f>AO276/'2016-17 disagg'!AO276-1</f>
        <v>4.7953318438952008E-2</v>
      </c>
      <c r="BH276" s="176">
        <f>AQ276/'2016-17 disagg'!AQ276-1</f>
        <v>2.6372136275277791E-2</v>
      </c>
      <c r="BJ276" s="176">
        <f>AS276/'2016-17 disagg'!AS276-1</f>
        <v>1.4103959881075934E-2</v>
      </c>
      <c r="BK276" s="176">
        <f>AT276/'2016-17 disagg'!AT276-1</f>
        <v>2.4071080795891042E-2</v>
      </c>
      <c r="BL276" s="176">
        <f>AU276/'2016-17 disagg'!AU276-1</f>
        <v>4.0461834320001611E-2</v>
      </c>
      <c r="BM276" s="176">
        <f>AW276/'2016-17 disagg'!AW276-1</f>
        <v>1.9034929146154012E-2</v>
      </c>
    </row>
    <row r="277" spans="2:65" ht="15" x14ac:dyDescent="0.25">
      <c r="B277"/>
      <c r="D277" s="1"/>
      <c r="N277" s="1"/>
      <c r="O277" s="1"/>
      <c r="P277" s="1"/>
      <c r="R277" s="1"/>
      <c r="S277" s="1"/>
      <c r="AA277" s="1"/>
      <c r="AB277" s="1"/>
      <c r="AC277" s="1"/>
      <c r="AE277" s="1"/>
      <c r="AF277" s="1"/>
      <c r="AG277" s="1"/>
      <c r="AI277" s="1"/>
      <c r="AJ277" s="1"/>
      <c r="AK277" s="1"/>
      <c r="AM277" s="1"/>
      <c r="AN277" s="1"/>
      <c r="AO277" s="1"/>
      <c r="AP277" s="1"/>
      <c r="AQ277" s="1"/>
      <c r="AZ277" s="178"/>
      <c r="BE277" s="1"/>
      <c r="BF277" s="1"/>
      <c r="BG277" s="1"/>
      <c r="BH277" s="1"/>
      <c r="BJ277" s="1"/>
      <c r="BK277" s="1"/>
      <c r="BL277" s="1"/>
      <c r="BM277" s="1"/>
    </row>
    <row r="278" spans="2:65" ht="15" x14ac:dyDescent="0.25">
      <c r="B278" s="174" t="s">
        <v>552</v>
      </c>
      <c r="D278" s="1"/>
      <c r="N278" s="1"/>
      <c r="O278" s="1"/>
      <c r="P278" s="1"/>
      <c r="R278" s="1"/>
      <c r="S278" s="1"/>
      <c r="AA278" s="1"/>
      <c r="AB278" s="1"/>
      <c r="AC278" s="1"/>
      <c r="AE278" s="1"/>
      <c r="AF278" s="1"/>
      <c r="AG278" s="1"/>
      <c r="AI278" s="1"/>
      <c r="AJ278" s="1"/>
      <c r="AK278" s="1"/>
      <c r="AM278" s="1"/>
      <c r="AN278" s="1"/>
      <c r="AO278" s="1"/>
      <c r="AP278" s="1"/>
      <c r="AQ278" s="1"/>
      <c r="AZ278" s="178"/>
      <c r="BE278" s="1"/>
      <c r="BF278" s="1"/>
      <c r="BG278" s="1"/>
      <c r="BH278" s="1"/>
      <c r="BJ278" s="1"/>
      <c r="BK278" s="1"/>
      <c r="BL278" s="1"/>
      <c r="BM278" s="1"/>
    </row>
    <row r="279" spans="2:65" ht="15" x14ac:dyDescent="0.25">
      <c r="B279" t="s">
        <v>553</v>
      </c>
      <c r="D279" s="55">
        <v>9768942.0062116683</v>
      </c>
      <c r="E279" s="166">
        <v>1642.2002550919763</v>
      </c>
      <c r="F279" s="171">
        <f>VLOOKUP(B279,'2017-18'!$B$12:$AMX487,33,FALSE)</f>
        <v>3.0135627372736673E-2</v>
      </c>
      <c r="G279" s="171">
        <f>VLOOKUP(B279,'2017-18'!$B$12:$AMX487,34,FALSE)</f>
        <v>1.8022482309671295E-2</v>
      </c>
      <c r="I279" s="175">
        <v>9621834.3145919293</v>
      </c>
      <c r="J279" s="175">
        <v>1617.4708331596607</v>
      </c>
      <c r="K279" s="171">
        <f t="shared" ref="K279:L288" si="88">D279/I279-1</f>
        <v>1.5288944582702246E-2</v>
      </c>
      <c r="L279" s="170">
        <f t="shared" si="88"/>
        <v>1.5288944582702468E-2</v>
      </c>
      <c r="N279" s="55">
        <v>7031085</v>
      </c>
      <c r="O279" s="55">
        <v>790257</v>
      </c>
      <c r="P279" s="55">
        <v>1945847</v>
      </c>
      <c r="R279" s="55">
        <v>1945847</v>
      </c>
      <c r="S279" s="55">
        <v>1753.0062116683403</v>
      </c>
      <c r="U279" s="171">
        <v>2.3169430537917535E-2</v>
      </c>
      <c r="V279" s="171">
        <v>-3.9129889596105305E-2</v>
      </c>
      <c r="AA279" s="55">
        <v>1173.4703914062411</v>
      </c>
      <c r="AB279" s="55">
        <v>0</v>
      </c>
      <c r="AC279" s="55">
        <v>579.53582026209915</v>
      </c>
      <c r="AE279" s="55">
        <v>0</v>
      </c>
      <c r="AF279" s="55">
        <v>368.23697422601981</v>
      </c>
      <c r="AG279" s="55">
        <v>211.29884603607934</v>
      </c>
      <c r="AI279" s="55">
        <v>191.18584198431412</v>
      </c>
      <c r="AJ279" s="55">
        <v>20.113004051765206</v>
      </c>
      <c r="AK279" s="55">
        <v>0</v>
      </c>
      <c r="AM279" s="55">
        <v>7032449</v>
      </c>
      <c r="AN279" s="55">
        <v>790645</v>
      </c>
      <c r="AO279" s="55">
        <v>1945847</v>
      </c>
      <c r="AP279" s="55"/>
      <c r="AQ279" s="55">
        <v>9768941</v>
      </c>
      <c r="AS279" s="175">
        <v>1182.1842666665414</v>
      </c>
      <c r="AT279" s="175">
        <v>132.91075122173908</v>
      </c>
      <c r="AU279" s="175">
        <v>327.10506805528053</v>
      </c>
      <c r="AV279" s="175"/>
      <c r="AW279" s="175">
        <v>1642.2000859435611</v>
      </c>
      <c r="AY279" s="171">
        <v>2.3367920970511324E-2</v>
      </c>
      <c r="AZ279" s="178">
        <v>-3.8658122053601085E-2</v>
      </c>
      <c r="BA279" s="171">
        <v>9.5040755902822127E-3</v>
      </c>
      <c r="BB279" s="171">
        <f t="shared" ref="BB279:BB288" si="89">SUM(AM279:AO279)/I279-1</f>
        <v>1.5288840006834947E-2</v>
      </c>
      <c r="BC279" s="171"/>
      <c r="BE279" s="176">
        <f>AM279/'2016-17 disagg'!AM279-1</f>
        <v>2.1469386925097034E-2</v>
      </c>
      <c r="BF279" s="176">
        <f>AN279/'2016-17 disagg'!AN279-1</f>
        <v>5.3617355845471115E-2</v>
      </c>
      <c r="BG279" s="176">
        <f>AO279/'2016-17 disagg'!AO279-1</f>
        <v>5.288426939723867E-2</v>
      </c>
      <c r="BH279" s="176">
        <f>AQ279/'2016-17 disagg'!AQ279-1</f>
        <v>3.0135521267644849E-2</v>
      </c>
      <c r="BJ279" s="176">
        <f>AS279/'2016-17 disagg'!AS279-1</f>
        <v>9.4581463345149164E-3</v>
      </c>
      <c r="BK279" s="176">
        <f>AT279/'2016-17 disagg'!AT279-1</f>
        <v>4.1228094147116812E-2</v>
      </c>
      <c r="BL279" s="176">
        <f>AU279/'2016-17 disagg'!AU279-1</f>
        <v>4.0503627906024908E-2</v>
      </c>
      <c r="BM279" s="176">
        <f>AW279/'2016-17 disagg'!AW279-1</f>
        <v>1.8022377452246774E-2</v>
      </c>
    </row>
    <row r="280" spans="2:65" ht="15" x14ac:dyDescent="0.25">
      <c r="B280" t="s">
        <v>554</v>
      </c>
      <c r="D280" s="55">
        <v>10348963.827669851</v>
      </c>
      <c r="E280" s="166">
        <v>1585.4629556449574</v>
      </c>
      <c r="F280" s="171">
        <f>VLOOKUP(B280,'2017-18'!$B$12:$AMX488,33,FALSE)</f>
        <v>2.9961733107493727E-2</v>
      </c>
      <c r="G280" s="171">
        <f>VLOOKUP(B280,'2017-18'!$B$12:$AMX488,34,FALSE)</f>
        <v>1.9266215110756102E-2</v>
      </c>
      <c r="I280" s="175">
        <v>10407144.679325683</v>
      </c>
      <c r="J280" s="175">
        <v>1594.3762716603799</v>
      </c>
      <c r="K280" s="171">
        <f t="shared" si="88"/>
        <v>-5.5904720697705912E-3</v>
      </c>
      <c r="L280" s="170">
        <f t="shared" si="88"/>
        <v>-5.5904720697707022E-3</v>
      </c>
      <c r="N280" s="55">
        <v>7606060</v>
      </c>
      <c r="O280" s="55">
        <v>832181</v>
      </c>
      <c r="P280" s="55">
        <v>1902691</v>
      </c>
      <c r="R280" s="55">
        <v>1902691</v>
      </c>
      <c r="S280" s="55">
        <v>8031.8276698520931</v>
      </c>
      <c r="U280" s="171">
        <v>-7.9909494856560404E-3</v>
      </c>
      <c r="V280" s="171">
        <v>-3.1548051599797788E-2</v>
      </c>
      <c r="AA280" s="55">
        <v>0</v>
      </c>
      <c r="AB280" s="55">
        <v>0</v>
      </c>
      <c r="AC280" s="55">
        <v>8031.8276698520931</v>
      </c>
      <c r="AE280" s="55">
        <v>0</v>
      </c>
      <c r="AF280" s="55">
        <v>0</v>
      </c>
      <c r="AG280" s="55">
        <v>8031.8276698520931</v>
      </c>
      <c r="AI280" s="55">
        <v>7237.7817753853933</v>
      </c>
      <c r="AJ280" s="55">
        <v>794.04589446669843</v>
      </c>
      <c r="AK280" s="55">
        <v>0</v>
      </c>
      <c r="AM280" s="55">
        <v>7613298</v>
      </c>
      <c r="AN280" s="55">
        <v>832975</v>
      </c>
      <c r="AO280" s="55">
        <v>1902691</v>
      </c>
      <c r="AP280" s="55"/>
      <c r="AQ280" s="55">
        <v>10348964</v>
      </c>
      <c r="AS280" s="175">
        <v>1166.3585021925458</v>
      </c>
      <c r="AT280" s="175">
        <v>127.61190660917724</v>
      </c>
      <c r="AU280" s="175">
        <v>291.4925732442415</v>
      </c>
      <c r="AV280" s="175"/>
      <c r="AW280" s="175">
        <v>1585.4629820459645</v>
      </c>
      <c r="AY280" s="171">
        <v>-7.0469441126215226E-3</v>
      </c>
      <c r="AZ280" s="178">
        <v>-3.0624032850235183E-2</v>
      </c>
      <c r="BA280" s="171">
        <v>1.1786856367487442E-2</v>
      </c>
      <c r="BB280" s="171">
        <f t="shared" si="89"/>
        <v>-5.5904555109397291E-3</v>
      </c>
      <c r="BC280" s="171"/>
      <c r="BE280" s="176">
        <f>AM280/'2016-17 disagg'!AM280-1</f>
        <v>2.2740956693525938E-2</v>
      </c>
      <c r="BF280" s="176">
        <f>AN280/'2016-17 disagg'!AN280-1</f>
        <v>4.9581288919465782E-2</v>
      </c>
      <c r="BG280" s="176">
        <f>AO280/'2016-17 disagg'!AO280-1</f>
        <v>5.1053129614295312E-2</v>
      </c>
      <c r="BH280" s="176">
        <f>AQ280/'2016-17 disagg'!AQ280-1</f>
        <v>2.9961750258337361E-2</v>
      </c>
      <c r="BJ280" s="176">
        <f>AS280/'2016-17 disagg'!AS280-1</f>
        <v>1.2120422010831078E-2</v>
      </c>
      <c r="BK280" s="176">
        <f>AT280/'2016-17 disagg'!AT280-1</f>
        <v>3.8682033924032133E-2</v>
      </c>
      <c r="BL280" s="176">
        <f>AU280/'2016-17 disagg'!AU280-1</f>
        <v>4.013859046010726E-2</v>
      </c>
      <c r="BM280" s="176">
        <f>AW280/'2016-17 disagg'!AW280-1</f>
        <v>1.9266232083498647E-2</v>
      </c>
    </row>
    <row r="281" spans="2:65" ht="15" x14ac:dyDescent="0.25">
      <c r="B281" t="s">
        <v>555</v>
      </c>
      <c r="D281" s="55">
        <v>9799731.2896005288</v>
      </c>
      <c r="E281" s="166">
        <v>1683.0902747719861</v>
      </c>
      <c r="F281" s="171">
        <f>VLOOKUP(B281,'2017-18'!$B$12:$AMX489,33,FALSE)</f>
        <v>2.7390164482392176E-2</v>
      </c>
      <c r="G281" s="171">
        <f>VLOOKUP(B281,'2017-18'!$B$12:$AMX489,34,FALSE)</f>
        <v>2.0026222897649992E-2</v>
      </c>
      <c r="I281" s="175">
        <v>9755697.3729394879</v>
      </c>
      <c r="J281" s="175">
        <v>1675.527510579567</v>
      </c>
      <c r="K281" s="171">
        <f t="shared" si="88"/>
        <v>4.5136616048775391E-3</v>
      </c>
      <c r="L281" s="170">
        <f t="shared" si="88"/>
        <v>4.5136616048775391E-3</v>
      </c>
      <c r="N281" s="55">
        <v>7401977</v>
      </c>
      <c r="O281" s="55">
        <v>775321</v>
      </c>
      <c r="P281" s="55">
        <v>1616322</v>
      </c>
      <c r="R281" s="55">
        <v>1616322</v>
      </c>
      <c r="S281" s="55">
        <v>6111.2896005299408</v>
      </c>
      <c r="U281" s="171">
        <v>-3.0255259808631418E-4</v>
      </c>
      <c r="V281" s="171">
        <v>-1.5086065941759763E-2</v>
      </c>
      <c r="AA281" s="55">
        <v>636.21847658470506</v>
      </c>
      <c r="AB281" s="55">
        <v>0</v>
      </c>
      <c r="AC281" s="55">
        <v>5475.0711239452357</v>
      </c>
      <c r="AE281" s="55">
        <v>0</v>
      </c>
      <c r="AF281" s="55">
        <v>0</v>
      </c>
      <c r="AG281" s="55">
        <v>5475.0711239452357</v>
      </c>
      <c r="AI281" s="55">
        <v>4944.3465888185565</v>
      </c>
      <c r="AJ281" s="55">
        <v>530.72453512667903</v>
      </c>
      <c r="AK281" s="55">
        <v>0</v>
      </c>
      <c r="AM281" s="55">
        <v>7407557</v>
      </c>
      <c r="AN281" s="55">
        <v>775852</v>
      </c>
      <c r="AO281" s="55">
        <v>1616322</v>
      </c>
      <c r="AP281" s="55"/>
      <c r="AQ281" s="55">
        <v>9799731</v>
      </c>
      <c r="AS281" s="175">
        <v>1272.2376540823877</v>
      </c>
      <c r="AT281" s="175">
        <v>133.25150631917225</v>
      </c>
      <c r="AU281" s="175">
        <v>277.60106463193642</v>
      </c>
      <c r="AV281" s="175"/>
      <c r="AW281" s="175">
        <v>1683.0902250334964</v>
      </c>
      <c r="AY281" s="171">
        <v>4.5107197498417406E-4</v>
      </c>
      <c r="AZ281" s="178">
        <v>-1.441152043224192E-2</v>
      </c>
      <c r="BA281" s="171">
        <v>3.3266663831436061E-2</v>
      </c>
      <c r="BB281" s="171">
        <f t="shared" si="89"/>
        <v>4.5136319196055208E-3</v>
      </c>
      <c r="BC281" s="171"/>
      <c r="BE281" s="176">
        <f>AM281/'2016-17 disagg'!AM281-1</f>
        <v>2.1212942111492383E-2</v>
      </c>
      <c r="BF281" s="176">
        <f>AN281/'2016-17 disagg'!AN281-1</f>
        <v>4.5670556332769952E-2</v>
      </c>
      <c r="BG281" s="176">
        <f>AO281/'2016-17 disagg'!AO281-1</f>
        <v>4.7641332106143297E-2</v>
      </c>
      <c r="BH281" s="176">
        <f>AQ281/'2016-17 disagg'!AQ281-1</f>
        <v>2.7390134121076715E-2</v>
      </c>
      <c r="BJ281" s="176">
        <f>AS281/'2016-17 disagg'!AS281-1</f>
        <v>1.3893276505115182E-2</v>
      </c>
      <c r="BK281" s="176">
        <f>AT281/'2016-17 disagg'!AT281-1</f>
        <v>3.8175587858354953E-2</v>
      </c>
      <c r="BL281" s="176">
        <f>AU281/'2016-17 disagg'!AU281-1</f>
        <v>4.0132237861233877E-2</v>
      </c>
      <c r="BM281" s="176">
        <f>AW281/'2016-17 disagg'!AW281-1</f>
        <v>2.0026192753952676E-2</v>
      </c>
    </row>
    <row r="282" spans="2:65" ht="15" x14ac:dyDescent="0.25">
      <c r="B282" t="s">
        <v>556</v>
      </c>
      <c r="D282" s="55">
        <v>12217289.762582002</v>
      </c>
      <c r="E282" s="166">
        <v>1575.2919469839155</v>
      </c>
      <c r="F282" s="171">
        <f>VLOOKUP(B282,'2017-18'!$B$12:$AMX490,33,FALSE)</f>
        <v>2.7151204184274746E-2</v>
      </c>
      <c r="G282" s="171">
        <f>VLOOKUP(B282,'2017-18'!$B$12:$AMX490,34,FALSE)</f>
        <v>1.9944934931237723E-2</v>
      </c>
      <c r="I282" s="175">
        <v>12296824.884366954</v>
      </c>
      <c r="J282" s="175">
        <v>1585.5471704651452</v>
      </c>
      <c r="K282" s="171">
        <f t="shared" si="88"/>
        <v>-6.4679396944218315E-3</v>
      </c>
      <c r="L282" s="170">
        <f t="shared" si="88"/>
        <v>-6.4679396944218315E-3</v>
      </c>
      <c r="N282" s="55">
        <v>9247108</v>
      </c>
      <c r="O282" s="55">
        <v>978989</v>
      </c>
      <c r="P282" s="55">
        <v>1963229</v>
      </c>
      <c r="R282" s="55">
        <v>1963229</v>
      </c>
      <c r="S282" s="55">
        <v>27963.762582002732</v>
      </c>
      <c r="U282" s="171">
        <v>-1.1089661632749714E-2</v>
      </c>
      <c r="V282" s="171">
        <v>-6.2755311107024481E-3</v>
      </c>
      <c r="AA282" s="55">
        <v>10853.126317783084</v>
      </c>
      <c r="AB282" s="55">
        <v>0</v>
      </c>
      <c r="AC282" s="55">
        <v>17110.636264219647</v>
      </c>
      <c r="AE282" s="55">
        <v>0</v>
      </c>
      <c r="AF282" s="55">
        <v>0</v>
      </c>
      <c r="AG282" s="55">
        <v>17110.636264219647</v>
      </c>
      <c r="AI282" s="55">
        <v>15539.089941689217</v>
      </c>
      <c r="AJ282" s="55">
        <v>1571.5463225304295</v>
      </c>
      <c r="AK282" s="55">
        <v>0</v>
      </c>
      <c r="AM282" s="55">
        <v>9273499</v>
      </c>
      <c r="AN282" s="55">
        <v>980561</v>
      </c>
      <c r="AO282" s="55">
        <v>1963229</v>
      </c>
      <c r="AP282" s="55"/>
      <c r="AQ282" s="55">
        <v>12217289</v>
      </c>
      <c r="AS282" s="175">
        <v>1195.7208659980281</v>
      </c>
      <c r="AT282" s="175">
        <v>126.43310233644198</v>
      </c>
      <c r="AU282" s="175">
        <v>253.13788032245893</v>
      </c>
      <c r="AV282" s="175"/>
      <c r="AW282" s="175">
        <v>1575.291848656929</v>
      </c>
      <c r="AY282" s="171">
        <v>-8.2673378597549751E-3</v>
      </c>
      <c r="AZ282" s="178">
        <v>-4.6798698059339339E-3</v>
      </c>
      <c r="BA282" s="171">
        <v>1.2141971700809773E-3</v>
      </c>
      <c r="BB282" s="171">
        <f t="shared" si="89"/>
        <v>-6.4680017089669972E-3</v>
      </c>
      <c r="BC282" s="171"/>
      <c r="BE282" s="176">
        <f>AM282/'2016-17 disagg'!AM282-1</f>
        <v>2.2922015355689718E-2</v>
      </c>
      <c r="BF282" s="176">
        <f>AN282/'2016-17 disagg'!AN282-1</f>
        <v>2.7456153770388125E-2</v>
      </c>
      <c r="BG282" s="176">
        <f>AO282/'2016-17 disagg'!AO282-1</f>
        <v>4.7451543010130326E-2</v>
      </c>
      <c r="BH282" s="176">
        <f>AQ282/'2016-17 disagg'!AQ282-1</f>
        <v>2.7151140071280944E-2</v>
      </c>
      <c r="BJ282" s="176">
        <f>AS282/'2016-17 disagg'!AS282-1</f>
        <v>1.5745417170842879E-2</v>
      </c>
      <c r="BK282" s="176">
        <f>AT282/'2016-17 disagg'!AT282-1</f>
        <v>2.0247745057437871E-2</v>
      </c>
      <c r="BL282" s="176">
        <f>AU282/'2016-17 disagg'!AU282-1</f>
        <v>4.0102850998972484E-2</v>
      </c>
      <c r="BM282" s="176">
        <f>AW282/'2016-17 disagg'!AW282-1</f>
        <v>1.9944871268046782E-2</v>
      </c>
    </row>
    <row r="283" spans="2:65" ht="15" x14ac:dyDescent="0.25">
      <c r="B283" t="s">
        <v>557</v>
      </c>
      <c r="D283" s="55">
        <v>8654744.4878147542</v>
      </c>
      <c r="E283" s="166">
        <v>1618.2734827450693</v>
      </c>
      <c r="F283" s="171">
        <f>VLOOKUP(B283,'2017-18'!$B$12:$AMX491,33,FALSE)</f>
        <v>2.715843010603658E-2</v>
      </c>
      <c r="G283" s="171">
        <f>VLOOKUP(B283,'2017-18'!$B$12:$AMX491,34,FALSE)</f>
        <v>1.9704346427271702E-2</v>
      </c>
      <c r="I283" s="175">
        <v>8735033.3414902054</v>
      </c>
      <c r="J283" s="175">
        <v>1633.2859794219976</v>
      </c>
      <c r="K283" s="171">
        <f t="shared" si="88"/>
        <v>-9.1915909804362039E-3</v>
      </c>
      <c r="L283" s="170">
        <f t="shared" si="88"/>
        <v>-9.191590980436315E-3</v>
      </c>
      <c r="N283" s="55">
        <v>6620959</v>
      </c>
      <c r="O283" s="55">
        <v>674541</v>
      </c>
      <c r="P283" s="55">
        <v>1340794</v>
      </c>
      <c r="R283" s="55">
        <v>1340794</v>
      </c>
      <c r="S283" s="55">
        <v>18450.487814753084</v>
      </c>
      <c r="U283" s="171">
        <v>-1.0368104560105285E-2</v>
      </c>
      <c r="V283" s="171">
        <v>-1.3637212348456274E-2</v>
      </c>
      <c r="AA283" s="55">
        <v>1539.593133655726</v>
      </c>
      <c r="AB283" s="55">
        <v>0</v>
      </c>
      <c r="AC283" s="55">
        <v>16910.894681097358</v>
      </c>
      <c r="AE283" s="55">
        <v>0</v>
      </c>
      <c r="AF283" s="55">
        <v>257.61408571834323</v>
      </c>
      <c r="AG283" s="55">
        <v>16653.280595379016</v>
      </c>
      <c r="AI283" s="55">
        <v>15103.965283254798</v>
      </c>
      <c r="AJ283" s="55">
        <v>1549.3153121242162</v>
      </c>
      <c r="AK283" s="55">
        <v>0</v>
      </c>
      <c r="AM283" s="55">
        <v>6637604</v>
      </c>
      <c r="AN283" s="55">
        <v>676347</v>
      </c>
      <c r="AO283" s="55">
        <v>1340794</v>
      </c>
      <c r="AP283" s="55"/>
      <c r="AQ283" s="55">
        <v>8654745</v>
      </c>
      <c r="AS283" s="175">
        <v>1241.1063731905417</v>
      </c>
      <c r="AT283" s="175">
        <v>126.46409339700038</v>
      </c>
      <c r="AU283" s="175">
        <v>250.70311192647819</v>
      </c>
      <c r="AV283" s="175"/>
      <c r="AW283" s="175">
        <v>1618.2735785140203</v>
      </c>
      <c r="AY283" s="171">
        <v>-7.8801835656394648E-3</v>
      </c>
      <c r="AZ283" s="178">
        <v>-1.0996348124489574E-2</v>
      </c>
      <c r="BA283" s="171">
        <v>-1.473155777734303E-2</v>
      </c>
      <c r="BB283" s="171">
        <f t="shared" si="89"/>
        <v>-9.1915323446846164E-3</v>
      </c>
      <c r="BC283" s="171"/>
      <c r="BE283" s="176">
        <f>AM283/'2016-17 disagg'!AM283-1</f>
        <v>2.2632525321217178E-2</v>
      </c>
      <c r="BF283" s="176">
        <f>AN283/'2016-17 disagg'!AN283-1</f>
        <v>3.1916549186180587E-2</v>
      </c>
      <c r="BG283" s="176">
        <f>AO283/'2016-17 disagg'!AO283-1</f>
        <v>4.7676200343965691E-2</v>
      </c>
      <c r="BH283" s="176">
        <f>AQ283/'2016-17 disagg'!AQ283-1</f>
        <v>2.7158490892971843E-2</v>
      </c>
      <c r="BJ283" s="176">
        <f>AS283/'2016-17 disagg'!AS283-1</f>
        <v>1.5211286111230571E-2</v>
      </c>
      <c r="BK283" s="176">
        <f>AT283/'2016-17 disagg'!AT283-1</f>
        <v>2.4427935860637406E-2</v>
      </c>
      <c r="BL283" s="176">
        <f>AU283/'2016-17 disagg'!AU283-1</f>
        <v>4.0073219307429575E-2</v>
      </c>
      <c r="BM283" s="176">
        <f>AW283/'2016-17 disagg'!AW283-1</f>
        <v>1.9704406773076499E-2</v>
      </c>
    </row>
    <row r="284" spans="2:65" ht="15" x14ac:dyDescent="0.25">
      <c r="B284" t="s">
        <v>558</v>
      </c>
      <c r="D284" s="55">
        <v>8492733.197278453</v>
      </c>
      <c r="E284" s="166">
        <v>1640.089098434408</v>
      </c>
      <c r="F284" s="171">
        <f>VLOOKUP(B284,'2017-18'!$B$12:$AMX492,33,FALSE)</f>
        <v>2.3236277326881716E-2</v>
      </c>
      <c r="G284" s="171">
        <f>VLOOKUP(B284,'2017-18'!$B$12:$AMX492,34,FALSE)</f>
        <v>1.7250605486044845E-2</v>
      </c>
      <c r="I284" s="175">
        <v>8410456.4280017149</v>
      </c>
      <c r="J284" s="175">
        <v>1624.2000755238066</v>
      </c>
      <c r="K284" s="171">
        <f t="shared" si="88"/>
        <v>9.7826758846055739E-3</v>
      </c>
      <c r="L284" s="170">
        <f t="shared" si="88"/>
        <v>9.7826758846055739E-3</v>
      </c>
      <c r="N284" s="55">
        <v>6575838</v>
      </c>
      <c r="O284" s="55">
        <v>674427</v>
      </c>
      <c r="P284" s="55">
        <v>1233669</v>
      </c>
      <c r="R284" s="55">
        <v>1233669</v>
      </c>
      <c r="S284" s="55">
        <v>8799.1972784521931</v>
      </c>
      <c r="U284" s="171">
        <v>1.076696784680653E-2</v>
      </c>
      <c r="V284" s="171">
        <v>1.854177779350219E-2</v>
      </c>
      <c r="AA284" s="55">
        <v>3936.4225255408965</v>
      </c>
      <c r="AB284" s="55">
        <v>0</v>
      </c>
      <c r="AC284" s="55">
        <v>4862.7747529112967</v>
      </c>
      <c r="AE284" s="55">
        <v>0</v>
      </c>
      <c r="AF284" s="55">
        <v>0</v>
      </c>
      <c r="AG284" s="55">
        <v>4862.7747529112967</v>
      </c>
      <c r="AI284" s="55">
        <v>4420.2631264988231</v>
      </c>
      <c r="AJ284" s="55">
        <v>442.51162641247402</v>
      </c>
      <c r="AK284" s="55">
        <v>0</v>
      </c>
      <c r="AM284" s="55">
        <v>6584193</v>
      </c>
      <c r="AN284" s="55">
        <v>674870</v>
      </c>
      <c r="AO284" s="55">
        <v>1233669</v>
      </c>
      <c r="AP284" s="55"/>
      <c r="AQ284" s="55">
        <v>8492732</v>
      </c>
      <c r="AS284" s="175">
        <v>1271.5180037386122</v>
      </c>
      <c r="AT284" s="175">
        <v>130.32870621852629</v>
      </c>
      <c r="AU284" s="175">
        <v>238.24215726273667</v>
      </c>
      <c r="AV284" s="175"/>
      <c r="AW284" s="175">
        <v>1640.0888672198753</v>
      </c>
      <c r="AY284" s="171">
        <v>1.2051208428213833E-2</v>
      </c>
      <c r="AZ284" s="178">
        <v>1.9210810924682464E-2</v>
      </c>
      <c r="BA284" s="171">
        <v>-7.1206248816071405E-3</v>
      </c>
      <c r="BB284" s="171">
        <f t="shared" si="89"/>
        <v>9.7825335286629844E-3</v>
      </c>
      <c r="BC284" s="171"/>
      <c r="BE284" s="176">
        <f>AM284/'2016-17 disagg'!AM284-1</f>
        <v>1.9313126321611973E-2</v>
      </c>
      <c r="BF284" s="176">
        <f>AN284/'2016-17 disagg'!AN284-1</f>
        <v>2.0355091494344668E-2</v>
      </c>
      <c r="BG284" s="176">
        <f>AO284/'2016-17 disagg'!AO284-1</f>
        <v>4.6344994643888526E-2</v>
      </c>
      <c r="BH284" s="176">
        <f>AQ284/'2016-17 disagg'!AQ284-1</f>
        <v>2.3236133074293397E-2</v>
      </c>
      <c r="BJ284" s="176">
        <f>AS284/'2016-17 disagg'!AS284-1</f>
        <v>1.3350403915836973E-2</v>
      </c>
      <c r="BK284" s="176">
        <f>AT284/'2016-17 disagg'!AT284-1</f>
        <v>1.4386273857456722E-2</v>
      </c>
      <c r="BL284" s="176">
        <f>AU284/'2016-17 disagg'!AU284-1</f>
        <v>4.0224142687190545E-2</v>
      </c>
      <c r="BM284" s="176">
        <f>AW284/'2016-17 disagg'!AW284-1</f>
        <v>1.7250462077297302E-2</v>
      </c>
    </row>
    <row r="285" spans="2:65" ht="15" x14ac:dyDescent="0.25">
      <c r="B285" t="s">
        <v>559</v>
      </c>
      <c r="D285" s="55">
        <v>7756424.9417461213</v>
      </c>
      <c r="E285" s="166">
        <v>1620.2868941862971</v>
      </c>
      <c r="F285" s="171">
        <f>VLOOKUP(B285,'2017-18'!$B$12:$AMX493,33,FALSE)</f>
        <v>2.5152249996843956E-2</v>
      </c>
      <c r="G285" s="171">
        <f>VLOOKUP(B285,'2017-18'!$B$12:$AMX493,34,FALSE)</f>
        <v>1.947661651355026E-2</v>
      </c>
      <c r="I285" s="175">
        <v>7771095.1029822975</v>
      </c>
      <c r="J285" s="175">
        <v>1623.3514336055653</v>
      </c>
      <c r="K285" s="171">
        <f t="shared" si="88"/>
        <v>-1.8877855748472561E-3</v>
      </c>
      <c r="L285" s="170">
        <f t="shared" si="88"/>
        <v>-1.8877855748472561E-3</v>
      </c>
      <c r="N285" s="55">
        <v>5976193</v>
      </c>
      <c r="O285" s="55">
        <v>604268</v>
      </c>
      <c r="P285" s="55">
        <v>1167235</v>
      </c>
      <c r="R285" s="55">
        <v>1167235</v>
      </c>
      <c r="S285" s="55">
        <v>8728.9417461207486</v>
      </c>
      <c r="U285" s="171">
        <v>-2.992615171529156E-3</v>
      </c>
      <c r="V285" s="171">
        <v>5.2903458038531248E-3</v>
      </c>
      <c r="AA285" s="55">
        <v>5886.1333654272021</v>
      </c>
      <c r="AB285" s="55">
        <v>0</v>
      </c>
      <c r="AC285" s="55">
        <v>2842.8083806935465</v>
      </c>
      <c r="AE285" s="55">
        <v>0</v>
      </c>
      <c r="AF285" s="55">
        <v>530.92403058868399</v>
      </c>
      <c r="AG285" s="55">
        <v>2311.8843501048623</v>
      </c>
      <c r="AI285" s="55">
        <v>2099.3438548628155</v>
      </c>
      <c r="AJ285" s="55">
        <v>212.54049524204669</v>
      </c>
      <c r="AK285" s="55">
        <v>0</v>
      </c>
      <c r="AM285" s="55">
        <v>5984179</v>
      </c>
      <c r="AN285" s="55">
        <v>605011</v>
      </c>
      <c r="AO285" s="55">
        <v>1167235</v>
      </c>
      <c r="AP285" s="55"/>
      <c r="AQ285" s="55">
        <v>7756425</v>
      </c>
      <c r="AS285" s="175">
        <v>1250.0716346753024</v>
      </c>
      <c r="AT285" s="175">
        <v>126.38443632226566</v>
      </c>
      <c r="AU285" s="175">
        <v>243.83083535773687</v>
      </c>
      <c r="AV285" s="175"/>
      <c r="AW285" s="175">
        <v>1620.2869063553048</v>
      </c>
      <c r="AY285" s="171">
        <v>-1.6603119853302317E-3</v>
      </c>
      <c r="AZ285" s="178">
        <v>6.526437615652414E-3</v>
      </c>
      <c r="BA285" s="171">
        <v>-7.3485123008218967E-3</v>
      </c>
      <c r="BB285" s="171">
        <f t="shared" si="89"/>
        <v>-1.8877780786220599E-3</v>
      </c>
      <c r="BC285" s="171"/>
      <c r="BE285" s="176">
        <f>AM285/'2016-17 disagg'!AM285-1</f>
        <v>2.1069507602935245E-2</v>
      </c>
      <c r="BF285" s="176">
        <f>AN285/'2016-17 disagg'!AN285-1</f>
        <v>2.60719288783966E-2</v>
      </c>
      <c r="BG285" s="176">
        <f>AO285/'2016-17 disagg'!AO285-1</f>
        <v>4.6111033935749335E-2</v>
      </c>
      <c r="BH285" s="176">
        <f>AQ285/'2016-17 disagg'!AQ285-1</f>
        <v>2.5152257696150704E-2</v>
      </c>
      <c r="BJ285" s="176">
        <f>AS285/'2016-17 disagg'!AS285-1</f>
        <v>1.5416477737235423E-2</v>
      </c>
      <c r="BK285" s="176">
        <f>AT285/'2016-17 disagg'!AT285-1</f>
        <v>2.0391203702377014E-2</v>
      </c>
      <c r="BL285" s="176">
        <f>AU285/'2016-17 disagg'!AU285-1</f>
        <v>4.031936463836705E-2</v>
      </c>
      <c r="BM285" s="176">
        <f>AW285/'2016-17 disagg'!AW285-1</f>
        <v>1.9476624170230439E-2</v>
      </c>
    </row>
    <row r="286" spans="2:65" ht="15" x14ac:dyDescent="0.25">
      <c r="B286" t="s">
        <v>560</v>
      </c>
      <c r="D286" s="55">
        <v>8312569.3436130295</v>
      </c>
      <c r="E286" s="166">
        <v>1619.1772074788648</v>
      </c>
      <c r="F286" s="171">
        <f>VLOOKUP(B286,'2017-18'!$B$12:$AMX494,33,FALSE)</f>
        <v>2.4462082539100427E-2</v>
      </c>
      <c r="G286" s="171">
        <f>VLOOKUP(B286,'2017-18'!$B$12:$AMX494,34,FALSE)</f>
        <v>1.9645291636225304E-2</v>
      </c>
      <c r="I286" s="175">
        <v>8398571.2434061095</v>
      </c>
      <c r="J286" s="175">
        <v>1635.9292260411919</v>
      </c>
      <c r="K286" s="171">
        <f t="shared" si="88"/>
        <v>-1.0240063137001099E-2</v>
      </c>
      <c r="L286" s="170">
        <f t="shared" si="88"/>
        <v>-1.0240063137001099E-2</v>
      </c>
      <c r="N286" s="55">
        <v>6439262</v>
      </c>
      <c r="O286" s="55">
        <v>664244</v>
      </c>
      <c r="P286" s="55">
        <v>1201564</v>
      </c>
      <c r="R286" s="55">
        <v>1201564</v>
      </c>
      <c r="S286" s="55">
        <v>7499.3436130297778</v>
      </c>
      <c r="U286" s="171">
        <v>-1.3837798478674612E-2</v>
      </c>
      <c r="V286" s="171">
        <v>1.3699336681447738E-2</v>
      </c>
      <c r="AA286" s="55">
        <v>4096.4100081536162</v>
      </c>
      <c r="AB286" s="55">
        <v>0</v>
      </c>
      <c r="AC286" s="55">
        <v>3402.9336048761616</v>
      </c>
      <c r="AE286" s="55">
        <v>0</v>
      </c>
      <c r="AF286" s="55">
        <v>0</v>
      </c>
      <c r="AG286" s="55">
        <v>3402.9336048761616</v>
      </c>
      <c r="AI286" s="55">
        <v>3090.8110926920162</v>
      </c>
      <c r="AJ286" s="55">
        <v>312.12251218414502</v>
      </c>
      <c r="AK286" s="55">
        <v>0</v>
      </c>
      <c r="AM286" s="55">
        <v>6446449</v>
      </c>
      <c r="AN286" s="55">
        <v>664556</v>
      </c>
      <c r="AO286" s="55">
        <v>1201564</v>
      </c>
      <c r="AP286" s="55"/>
      <c r="AQ286" s="55">
        <v>8312569</v>
      </c>
      <c r="AS286" s="175">
        <v>1255.6819508513242</v>
      </c>
      <c r="AT286" s="175">
        <v>129.44661076663331</v>
      </c>
      <c r="AU286" s="175">
        <v>234.04857892968991</v>
      </c>
      <c r="AV286" s="175"/>
      <c r="AW286" s="175">
        <v>1619.1771405476475</v>
      </c>
      <c r="AY286" s="171">
        <v>-1.2737121453522682E-2</v>
      </c>
      <c r="AZ286" s="178">
        <v>1.4175478269545794E-2</v>
      </c>
      <c r="BA286" s="171">
        <v>-9.9881142797986211E-3</v>
      </c>
      <c r="BB286" s="171">
        <f t="shared" si="89"/>
        <v>-1.024010405027298E-2</v>
      </c>
      <c r="BC286" s="171"/>
      <c r="BE286" s="176">
        <f>AM286/'2016-17 disagg'!AM286-1</f>
        <v>2.1168524474656003E-2</v>
      </c>
      <c r="BF286" s="176">
        <f>AN286/'2016-17 disagg'!AN286-1</f>
        <v>1.9999201873754924E-2</v>
      </c>
      <c r="BG286" s="176">
        <f>AO286/'2016-17 disagg'!AO286-1</f>
        <v>4.5074538591333591E-2</v>
      </c>
      <c r="BH286" s="176">
        <f>AQ286/'2016-17 disagg'!AQ286-1</f>
        <v>2.4462040191361112E-2</v>
      </c>
      <c r="BJ286" s="176">
        <f>AS286/'2016-17 disagg'!AS286-1</f>
        <v>1.6367219142982892E-2</v>
      </c>
      <c r="BK286" s="176">
        <f>AT286/'2016-17 disagg'!AT286-1</f>
        <v>1.5203394434646578E-2</v>
      </c>
      <c r="BL286" s="176">
        <f>AU286/'2016-17 disagg'!AU286-1</f>
        <v>4.0160832543925107E-2</v>
      </c>
      <c r="BM286" s="176">
        <f>AW286/'2016-17 disagg'!AW286-1</f>
        <v>1.9645249487595606E-2</v>
      </c>
    </row>
    <row r="287" spans="2:65" ht="15" x14ac:dyDescent="0.25">
      <c r="B287" t="s">
        <v>561</v>
      </c>
      <c r="D287" s="55">
        <v>9750624.2773470134</v>
      </c>
      <c r="E287" s="166">
        <v>1641.7075820851844</v>
      </c>
      <c r="F287" s="171">
        <f>VLOOKUP(B287,'2017-18'!$B$12:$AMX495,33,FALSE)</f>
        <v>2.434919407758307E-2</v>
      </c>
      <c r="G287" s="171">
        <f>VLOOKUP(B287,'2017-18'!$B$12:$AMX495,34,FALSE)</f>
        <v>1.9046457844811515E-2</v>
      </c>
      <c r="I287" s="175">
        <v>9731389.0079820752</v>
      </c>
      <c r="J287" s="175">
        <v>1638.4689497000522</v>
      </c>
      <c r="K287" s="171">
        <f t="shared" si="88"/>
        <v>1.9766211533791544E-3</v>
      </c>
      <c r="L287" s="170">
        <f t="shared" si="88"/>
        <v>1.9766211533791544E-3</v>
      </c>
      <c r="N287" s="55">
        <v>7490089</v>
      </c>
      <c r="O287" s="55">
        <v>791334</v>
      </c>
      <c r="P287" s="55">
        <v>1459831</v>
      </c>
      <c r="R287" s="55">
        <v>1459831</v>
      </c>
      <c r="S287" s="55">
        <v>9370.2773470137618</v>
      </c>
      <c r="U287" s="171">
        <v>-2.8348903530573955E-3</v>
      </c>
      <c r="V287" s="171">
        <v>4.3176521098384546E-2</v>
      </c>
      <c r="AA287" s="55">
        <v>7216.08062870918</v>
      </c>
      <c r="AB287" s="55">
        <v>0</v>
      </c>
      <c r="AC287" s="55">
        <v>2154.1967183045822</v>
      </c>
      <c r="AE287" s="55">
        <v>0</v>
      </c>
      <c r="AF287" s="55">
        <v>0</v>
      </c>
      <c r="AG287" s="55">
        <v>2154.1967183045822</v>
      </c>
      <c r="AI287" s="55">
        <v>1953.5272172263153</v>
      </c>
      <c r="AJ287" s="55">
        <v>200.6695010782669</v>
      </c>
      <c r="AK287" s="55">
        <v>0</v>
      </c>
      <c r="AM287" s="55">
        <v>7499259</v>
      </c>
      <c r="AN287" s="55">
        <v>791535</v>
      </c>
      <c r="AO287" s="55">
        <v>1459831</v>
      </c>
      <c r="AP287" s="55"/>
      <c r="AQ287" s="55">
        <v>9750625</v>
      </c>
      <c r="AS287" s="175">
        <v>1262.6463711583337</v>
      </c>
      <c r="AT287" s="175">
        <v>133.27033982888332</v>
      </c>
      <c r="AU287" s="175">
        <v>245.79099277067795</v>
      </c>
      <c r="AV287" s="175"/>
      <c r="AW287" s="175">
        <v>1641.7077037578949</v>
      </c>
      <c r="AY287" s="171">
        <v>-1.6140765475789465E-3</v>
      </c>
      <c r="AZ287" s="178">
        <v>4.3441489469187244E-2</v>
      </c>
      <c r="BA287" s="171">
        <v>-1.0906848737070041E-3</v>
      </c>
      <c r="BB287" s="171">
        <f t="shared" si="89"/>
        <v>1.9766954133830783E-3</v>
      </c>
      <c r="BC287" s="171"/>
      <c r="BE287" s="176">
        <f>AM287/'2016-17 disagg'!AM287-1</f>
        <v>2.095019830173328E-2</v>
      </c>
      <c r="BF287" s="176">
        <f>AN287/'2016-17 disagg'!AN287-1</f>
        <v>1.8223006062757952E-2</v>
      </c>
      <c r="BG287" s="176">
        <f>AO287/'2016-17 disagg'!AO287-1</f>
        <v>4.5644065963425406E-2</v>
      </c>
      <c r="BH287" s="176">
        <f>AQ287/'2016-17 disagg'!AQ287-1</f>
        <v>2.4349269995696865E-2</v>
      </c>
      <c r="BJ287" s="176">
        <f>AS287/'2016-17 disagg'!AS287-1</f>
        <v>1.5665057609779209E-2</v>
      </c>
      <c r="BK287" s="176">
        <f>AT287/'2016-17 disagg'!AT287-1</f>
        <v>1.2951983194279038E-2</v>
      </c>
      <c r="BL287" s="176">
        <f>AU287/'2016-17 disagg'!AU287-1</f>
        <v>4.0231092821820136E-2</v>
      </c>
      <c r="BM287" s="176">
        <f>AW287/'2016-17 disagg'!AW287-1</f>
        <v>1.9046533369920793E-2</v>
      </c>
    </row>
    <row r="288" spans="2:65" ht="15" x14ac:dyDescent="0.25">
      <c r="B288" t="s">
        <v>562</v>
      </c>
      <c r="D288" s="55">
        <v>9727625.855970405</v>
      </c>
      <c r="E288" s="166">
        <v>1696.7683986413801</v>
      </c>
      <c r="F288" s="171">
        <f>VLOOKUP(B288,'2017-18'!$B$12:$AMX496,33,FALSE)</f>
        <v>2.349476469556433E-2</v>
      </c>
      <c r="G288" s="171">
        <f>VLOOKUP(B288,'2017-18'!$B$12:$AMX496,34,FALSE)</f>
        <v>1.7871454526642294E-2</v>
      </c>
      <c r="I288" s="175">
        <v>9701670.5037479028</v>
      </c>
      <c r="J288" s="175">
        <v>1692.2410635979872</v>
      </c>
      <c r="K288" s="171">
        <f t="shared" si="88"/>
        <v>2.6753487672535048E-3</v>
      </c>
      <c r="L288" s="170">
        <f t="shared" si="88"/>
        <v>2.6753487672537268E-3</v>
      </c>
      <c r="N288" s="55">
        <v>7566027</v>
      </c>
      <c r="O288" s="55">
        <v>782000</v>
      </c>
      <c r="P288" s="55">
        <v>1371984</v>
      </c>
      <c r="R288" s="55">
        <v>1371984</v>
      </c>
      <c r="S288" s="55">
        <v>7614.8559704054496</v>
      </c>
      <c r="U288" s="171">
        <v>4.4899412105565695E-3</v>
      </c>
      <c r="V288" s="171">
        <v>3.8168034936414186E-2</v>
      </c>
      <c r="AA288" s="55">
        <v>3551.8389353915118</v>
      </c>
      <c r="AB288" s="55">
        <v>0</v>
      </c>
      <c r="AC288" s="55">
        <v>4063.0170350139379</v>
      </c>
      <c r="AE288" s="55">
        <v>0</v>
      </c>
      <c r="AF288" s="55">
        <v>492.54276813276493</v>
      </c>
      <c r="AG288" s="55">
        <v>3570.4742668811732</v>
      </c>
      <c r="AI288" s="55">
        <v>3249.5720887948223</v>
      </c>
      <c r="AJ288" s="55">
        <v>320.90217808635077</v>
      </c>
      <c r="AK288" s="55">
        <v>0</v>
      </c>
      <c r="AM288" s="55">
        <v>7572829</v>
      </c>
      <c r="AN288" s="55">
        <v>782814</v>
      </c>
      <c r="AO288" s="55">
        <v>1371984</v>
      </c>
      <c r="AP288" s="55"/>
      <c r="AQ288" s="55">
        <v>9727627</v>
      </c>
      <c r="AS288" s="175">
        <v>1320.911918875727</v>
      </c>
      <c r="AT288" s="175">
        <v>136.54452554821762</v>
      </c>
      <c r="AU288" s="175">
        <v>239.31215376800338</v>
      </c>
      <c r="AV288" s="175"/>
      <c r="AW288" s="175">
        <v>1696.7685981919478</v>
      </c>
      <c r="AY288" s="171">
        <v>5.3929964838346223E-3</v>
      </c>
      <c r="AZ288" s="178">
        <v>3.9248685550785201E-2</v>
      </c>
      <c r="BA288" s="171">
        <v>-3.1230296395270085E-2</v>
      </c>
      <c r="BB288" s="171">
        <f t="shared" si="89"/>
        <v>2.6754666881410039E-3</v>
      </c>
      <c r="BC288" s="171"/>
      <c r="BE288" s="176">
        <f>AM288/'2016-17 disagg'!AM288-1</f>
        <v>2.0010050821164915E-2</v>
      </c>
      <c r="BF288" s="176">
        <f>AN288/'2016-17 disagg'!AN288-1</f>
        <v>1.8623243661044508E-2</v>
      </c>
      <c r="BG288" s="176">
        <f>AO288/'2016-17 disagg'!AO288-1</f>
        <v>4.6075911533883795E-2</v>
      </c>
      <c r="BH288" s="176">
        <f>AQ288/'2016-17 disagg'!AQ288-1</f>
        <v>2.3494885064945237E-2</v>
      </c>
      <c r="BJ288" s="176">
        <f>AS288/'2016-17 disagg'!AS288-1</f>
        <v>1.4405886453122241E-2</v>
      </c>
      <c r="BK288" s="176">
        <f>AT288/'2016-17 disagg'!AT288-1</f>
        <v>1.3026698723090258E-2</v>
      </c>
      <c r="BL288" s="176">
        <f>AU288/'2016-17 disagg'!AU288-1</f>
        <v>4.0328535471298332E-2</v>
      </c>
      <c r="BM288" s="176">
        <f>AW288/'2016-17 disagg'!AW288-1</f>
        <v>1.787157423468666E-2</v>
      </c>
    </row>
    <row r="289" spans="2:65" ht="15" x14ac:dyDescent="0.25">
      <c r="B289"/>
      <c r="D289" s="1"/>
      <c r="N289" s="1"/>
      <c r="O289" s="1"/>
      <c r="P289" s="1"/>
      <c r="R289" s="1"/>
      <c r="S289" s="1"/>
      <c r="AA289" s="1"/>
      <c r="AB289" s="1"/>
      <c r="AC289" s="1"/>
      <c r="AE289" s="1"/>
      <c r="AF289" s="1"/>
      <c r="AG289" s="1"/>
      <c r="AI289" s="1"/>
      <c r="AJ289" s="1"/>
      <c r="AK289" s="1"/>
      <c r="AM289" s="1"/>
      <c r="AN289" s="1"/>
      <c r="AO289" s="1"/>
      <c r="AP289" s="1"/>
      <c r="AQ289" s="1"/>
      <c r="AZ289" s="178"/>
      <c r="BE289" s="1"/>
      <c r="BF289" s="1"/>
      <c r="BG289" s="1"/>
      <c r="BH289" s="1"/>
      <c r="BJ289" s="1"/>
      <c r="BK289" s="1"/>
      <c r="BL289" s="1"/>
      <c r="BM289" s="1"/>
    </row>
    <row r="290" spans="2:65" ht="15" x14ac:dyDescent="0.25">
      <c r="B290" t="s">
        <v>12</v>
      </c>
      <c r="D290" s="172">
        <f>SUM(D279:D288)</f>
        <v>94829648.989833832</v>
      </c>
      <c r="E290" s="166">
        <v>1630.1113440537299</v>
      </c>
      <c r="F290" s="171">
        <f>VLOOKUP(B290,'2017-18'!$B$12:$AMX498,33,FALSE)</f>
        <v>2.6372146988571377E-2</v>
      </c>
      <c r="G290" s="171">
        <f>VLOOKUP(B290,'2017-18'!$B$12:$AMX498,34,FALSE)</f>
        <v>1.903493978286197E-2</v>
      </c>
      <c r="I290" s="175">
        <f>SUM(I279:I288)</f>
        <v>94829716.878834367</v>
      </c>
      <c r="J290" s="175">
        <v>1630.1125110582595</v>
      </c>
      <c r="K290" s="171">
        <f t="shared" ref="K290:L290" si="90">D290/I290-1</f>
        <v>-7.159042837434626E-7</v>
      </c>
      <c r="L290" s="170">
        <f t="shared" si="90"/>
        <v>-7.159042837434626E-7</v>
      </c>
      <c r="N290" s="172">
        <f>SUM(N279:N288)</f>
        <v>71954598</v>
      </c>
      <c r="O290" s="172">
        <f>SUM(O279:O288)</f>
        <v>7567562</v>
      </c>
      <c r="P290" s="172">
        <f>SUM(P279:P288)</f>
        <v>15203166</v>
      </c>
      <c r="R290" s="172">
        <f>SUM(R279:R288)</f>
        <v>15203166</v>
      </c>
      <c r="S290" s="172">
        <f>SUM(S279:S288)</f>
        <v>104322.98983382812</v>
      </c>
      <c r="U290" s="171">
        <v>-1.4304680311547635E-3</v>
      </c>
      <c r="V290" s="171">
        <v>-9.7511990803988979E-5</v>
      </c>
      <c r="AA290" s="172">
        <f>SUM(AA279:AA288)</f>
        <v>38889.293782652167</v>
      </c>
      <c r="AB290" s="172">
        <f>SUM(AB279:AB288)</f>
        <v>0</v>
      </c>
      <c r="AC290" s="172">
        <f>SUM(AC279:AC288)</f>
        <v>65433.696051175961</v>
      </c>
      <c r="AE290" s="172">
        <f>SUM(AE279:AE288)</f>
        <v>0</v>
      </c>
      <c r="AF290" s="172">
        <f>SUM(AF279:AF288)</f>
        <v>1649.3178586658119</v>
      </c>
      <c r="AG290" s="172">
        <f>SUM(AG279:AG288)</f>
        <v>63784.37819251015</v>
      </c>
      <c r="AI290" s="172">
        <f>SUM(AI279:AI288)</f>
        <v>57829.886811207063</v>
      </c>
      <c r="AJ290" s="172">
        <f>SUM(AJ279:AJ288)</f>
        <v>5954.4913813030707</v>
      </c>
      <c r="AK290" s="172">
        <f>SUM(AK279:AK288)</f>
        <v>0</v>
      </c>
      <c r="AM290" s="172">
        <f>SUM(AM279:AM288)</f>
        <v>72051316</v>
      </c>
      <c r="AN290" s="172">
        <f>SUM(AN279:AN288)</f>
        <v>7575166</v>
      </c>
      <c r="AO290" s="172">
        <f>SUM(AO279:AO288)</f>
        <v>15203166</v>
      </c>
      <c r="AP290" s="172"/>
      <c r="AQ290" s="172">
        <f>SUM(AQ279:AQ288)</f>
        <v>94829648</v>
      </c>
      <c r="AS290" s="175">
        <v>1238.55427934982</v>
      </c>
      <c r="AT290" s="175">
        <v>130.21627899322834</v>
      </c>
      <c r="AU290" s="175">
        <v>261.34076869554588</v>
      </c>
      <c r="AV290" s="175"/>
      <c r="AW290" s="175">
        <v>1630.1113270385943</v>
      </c>
      <c r="AY290" s="171">
        <v>-8.8237643140254285E-5</v>
      </c>
      <c r="AZ290" s="178">
        <v>9.072050526535147E-4</v>
      </c>
      <c r="BA290" s="171">
        <v>-3.793010082742132E-5</v>
      </c>
      <c r="BB290" s="171">
        <f t="shared" ref="BB290" si="91">SUM(AM290:AO290)/I290-1</f>
        <v>-7.2634229686396878E-7</v>
      </c>
      <c r="BC290" s="171"/>
      <c r="BE290" s="176">
        <f>AM290/'2016-17 disagg'!AM290-1</f>
        <v>2.1405663278374121E-2</v>
      </c>
      <c r="BF290" s="176">
        <f>AN290/'2016-17 disagg'!AN290-1</f>
        <v>3.1444548986074849E-2</v>
      </c>
      <c r="BG290" s="176">
        <f>AO290/'2016-17 disagg'!AO290-1</f>
        <v>4.7953318438952008E-2</v>
      </c>
      <c r="BH290" s="176">
        <f>AQ290/'2016-17 disagg'!AQ290-1</f>
        <v>2.6372136275277791E-2</v>
      </c>
      <c r="BJ290" s="176">
        <f>AS290/'2016-17 disagg'!AS290-1</f>
        <v>1.4103959881075934E-2</v>
      </c>
      <c r="BK290" s="176">
        <f>AT290/'2016-17 disagg'!AT290-1</f>
        <v>2.4071080795891042E-2</v>
      </c>
      <c r="BL290" s="176">
        <f>AU290/'2016-17 disagg'!AU290-1</f>
        <v>4.0461834320001611E-2</v>
      </c>
      <c r="BM290" s="176">
        <f>AW290/'2016-17 disagg'!AW290-1</f>
        <v>1.9034929146154012E-2</v>
      </c>
    </row>
    <row r="291" spans="2:65" ht="15" x14ac:dyDescent="0.25">
      <c r="B291"/>
      <c r="D291" s="1"/>
      <c r="N291" s="1"/>
      <c r="O291" s="1"/>
      <c r="P291" s="1"/>
      <c r="R291" s="1"/>
      <c r="S291" s="1"/>
      <c r="AA291" s="1"/>
      <c r="AB291" s="1"/>
      <c r="AC291" s="1"/>
      <c r="AE291" s="1"/>
      <c r="AF291" s="1"/>
      <c r="AG291" s="1"/>
      <c r="AI291" s="1"/>
      <c r="AJ291" s="1"/>
      <c r="AK291" s="1"/>
      <c r="AM291" s="1"/>
      <c r="AN291" s="1"/>
      <c r="AO291" s="1"/>
      <c r="AP291" s="1"/>
      <c r="AQ291" s="1"/>
      <c r="AZ291" s="178"/>
      <c r="BE291" s="1"/>
      <c r="BF291" s="1"/>
      <c r="BG291" s="1"/>
      <c r="BH291" s="1"/>
      <c r="BJ291" s="1"/>
      <c r="BK291" s="1"/>
      <c r="BL291" s="1"/>
      <c r="BM291" s="1"/>
    </row>
    <row r="292" spans="2:65" ht="15" x14ac:dyDescent="0.25">
      <c r="B292" s="174" t="s">
        <v>563</v>
      </c>
      <c r="D292" s="1"/>
      <c r="N292" s="1"/>
      <c r="O292" s="1"/>
      <c r="P292" s="1"/>
      <c r="R292" s="1"/>
      <c r="S292" s="1"/>
      <c r="AA292" s="1"/>
      <c r="AB292" s="1"/>
      <c r="AC292" s="1"/>
      <c r="AE292" s="1"/>
      <c r="AF292" s="1"/>
      <c r="AG292" s="1"/>
      <c r="AI292" s="1"/>
      <c r="AJ292" s="1"/>
      <c r="AK292" s="1"/>
      <c r="AM292" s="1"/>
      <c r="AN292" s="1"/>
      <c r="AO292" s="1"/>
      <c r="AP292" s="1"/>
      <c r="AQ292" s="1"/>
      <c r="AZ292" s="178"/>
      <c r="BE292" s="1"/>
      <c r="BF292" s="1"/>
      <c r="BG292" s="1"/>
      <c r="BH292" s="1"/>
      <c r="BJ292" s="1"/>
      <c r="BK292" s="1"/>
      <c r="BL292" s="1"/>
      <c r="BM292" s="1"/>
    </row>
    <row r="293" spans="2:65" ht="15" x14ac:dyDescent="0.25">
      <c r="B293"/>
      <c r="D293" s="1"/>
      <c r="N293" s="1"/>
      <c r="O293" s="1"/>
      <c r="P293" s="1"/>
      <c r="R293" s="1"/>
      <c r="S293" s="1"/>
      <c r="AA293" s="1"/>
      <c r="AB293" s="1"/>
      <c r="AC293" s="1"/>
      <c r="AE293" s="1"/>
      <c r="AF293" s="1"/>
      <c r="AG293" s="1"/>
      <c r="AI293" s="1"/>
      <c r="AJ293" s="1"/>
      <c r="AK293" s="1"/>
      <c r="AM293" s="1"/>
      <c r="AN293" s="1"/>
      <c r="AO293" s="1"/>
      <c r="AP293" s="1"/>
      <c r="AQ293" s="1"/>
      <c r="AZ293" s="178"/>
      <c r="BE293" s="1"/>
      <c r="BF293" s="1"/>
      <c r="BG293" s="1"/>
      <c r="BH293" s="1"/>
      <c r="BJ293" s="1"/>
      <c r="BK293" s="1"/>
      <c r="BL293" s="1"/>
      <c r="BM293" s="1"/>
    </row>
    <row r="294" spans="2:65" ht="15" x14ac:dyDescent="0.25">
      <c r="B294" t="s">
        <v>564</v>
      </c>
      <c r="D294" s="55">
        <v>6605550.3056469243</v>
      </c>
      <c r="E294" s="166">
        <v>1866.4827935860583</v>
      </c>
      <c r="F294" s="171">
        <f>VLOOKUP(B294,'2017-18'!$B$12:$AMX502,33,FALSE)</f>
        <v>2.149812382385563E-2</v>
      </c>
      <c r="G294" s="171">
        <f>VLOOKUP(B294,'2017-18'!$B$12:$AMX502,34,FALSE)</f>
        <v>1.8601715986007461E-2</v>
      </c>
      <c r="I294" s="175">
        <v>6419254.4886242272</v>
      </c>
      <c r="J294" s="175">
        <v>1813.8425257960055</v>
      </c>
      <c r="K294" s="171">
        <f t="shared" ref="K294:L305" si="92">D294/I294-1</f>
        <v>2.9021410095648736E-2</v>
      </c>
      <c r="L294" s="170">
        <f t="shared" si="92"/>
        <v>2.9021410095648514E-2</v>
      </c>
      <c r="N294" s="55">
        <v>5163127</v>
      </c>
      <c r="O294" s="55">
        <v>497377</v>
      </c>
      <c r="P294" s="55">
        <v>944143</v>
      </c>
      <c r="R294" s="55">
        <v>944143</v>
      </c>
      <c r="S294" s="55">
        <v>903.30564692406915</v>
      </c>
      <c r="U294" s="171">
        <v>3.0681059595015991E-2</v>
      </c>
      <c r="V294" s="171">
        <v>2.3989269870990482E-2</v>
      </c>
      <c r="AA294" s="55">
        <v>0</v>
      </c>
      <c r="AB294" s="55">
        <v>0</v>
      </c>
      <c r="AC294" s="55">
        <v>903.30564692406915</v>
      </c>
      <c r="AE294" s="55">
        <v>0</v>
      </c>
      <c r="AF294" s="55">
        <v>530.92403058868399</v>
      </c>
      <c r="AG294" s="55">
        <v>372.38161633538516</v>
      </c>
      <c r="AI294" s="55">
        <v>340.81509135499135</v>
      </c>
      <c r="AJ294" s="55">
        <v>31.566524980393783</v>
      </c>
      <c r="AK294" s="55">
        <v>0</v>
      </c>
      <c r="AM294" s="55">
        <v>5163468</v>
      </c>
      <c r="AN294" s="55">
        <v>497939</v>
      </c>
      <c r="AO294" s="55">
        <v>944143</v>
      </c>
      <c r="AP294" s="55"/>
      <c r="AQ294" s="55">
        <v>6605550</v>
      </c>
      <c r="AS294" s="175">
        <v>1459.0039786682623</v>
      </c>
      <c r="AT294" s="175">
        <v>140.69903834672661</v>
      </c>
      <c r="AU294" s="175">
        <v>266.77969020661874</v>
      </c>
      <c r="AV294" s="175"/>
      <c r="AW294" s="175">
        <v>1866.4827072216076</v>
      </c>
      <c r="AY294" s="171">
        <v>3.0749131180572986E-2</v>
      </c>
      <c r="AZ294" s="178">
        <v>2.5146303609316689E-2</v>
      </c>
      <c r="BA294" s="171">
        <v>2.1692126027292646E-2</v>
      </c>
      <c r="BB294" s="171">
        <f t="shared" ref="BB294:BB305" si="93">SUM(AM294:AO294)/I294-1</f>
        <v>2.9021362481564283E-2</v>
      </c>
      <c r="BC294" s="171"/>
      <c r="BE294" s="176">
        <f>AM294/'2016-17 disagg'!AM294-1</f>
        <v>1.7765022647802109E-2</v>
      </c>
      <c r="BF294" s="176">
        <f>AN294/'2016-17 disagg'!AN294-1</f>
        <v>2.0032366437233717E-2</v>
      </c>
      <c r="BG294" s="176">
        <f>AO294/'2016-17 disagg'!AO294-1</f>
        <v>4.3215046539790913E-2</v>
      </c>
      <c r="BH294" s="176">
        <f>AQ294/'2016-17 disagg'!AQ294-1</f>
        <v>2.1498076557882939E-2</v>
      </c>
      <c r="BJ294" s="176">
        <f>AS294/'2016-17 disagg'!AS294-1</f>
        <v>1.4879199835275081E-2</v>
      </c>
      <c r="BK294" s="176">
        <f>AT294/'2016-17 disagg'!AT294-1</f>
        <v>1.7140114682577812E-2</v>
      </c>
      <c r="BL294" s="176">
        <f>AU294/'2016-17 disagg'!AU294-1</f>
        <v>4.0257061432537267E-2</v>
      </c>
      <c r="BM294" s="176">
        <f>AW294/'2016-17 disagg'!AW294-1</f>
        <v>1.8601668854055342E-2</v>
      </c>
    </row>
    <row r="295" spans="2:65" ht="15" x14ac:dyDescent="0.25">
      <c r="B295" t="s">
        <v>565</v>
      </c>
      <c r="D295" s="55">
        <v>7577059.0471987762</v>
      </c>
      <c r="E295" s="166">
        <v>1697.0118292464535</v>
      </c>
      <c r="F295" s="171">
        <f>VLOOKUP(B295,'2017-18'!$B$12:$AMX503,33,FALSE)</f>
        <v>2.5453854489377647E-2</v>
      </c>
      <c r="G295" s="171">
        <f>VLOOKUP(B295,'2017-18'!$B$12:$AMX503,34,FALSE)</f>
        <v>1.9249441095645858E-2</v>
      </c>
      <c r="I295" s="175">
        <v>7404641.9401562028</v>
      </c>
      <c r="J295" s="175">
        <v>1658.3960723422138</v>
      </c>
      <c r="K295" s="171">
        <f t="shared" si="92"/>
        <v>2.3285002628896434E-2</v>
      </c>
      <c r="L295" s="170">
        <f t="shared" si="92"/>
        <v>2.3285002628896434E-2</v>
      </c>
      <c r="N295" s="55">
        <v>5712253</v>
      </c>
      <c r="O295" s="55">
        <v>586813</v>
      </c>
      <c r="P295" s="55">
        <v>1277198</v>
      </c>
      <c r="R295" s="55">
        <v>1277198</v>
      </c>
      <c r="S295" s="55">
        <v>795.04719877662137</v>
      </c>
      <c r="U295" s="171">
        <v>2.1111171105294479E-2</v>
      </c>
      <c r="V295" s="171">
        <v>-3.2010409842844867E-2</v>
      </c>
      <c r="AA295" s="55">
        <v>795.04719877662137</v>
      </c>
      <c r="AB295" s="55">
        <v>0</v>
      </c>
      <c r="AC295" s="55">
        <v>0</v>
      </c>
      <c r="AE295" s="55">
        <v>0</v>
      </c>
      <c r="AF295" s="55">
        <v>0</v>
      </c>
      <c r="AG295" s="55">
        <v>0</v>
      </c>
      <c r="AI295" s="55">
        <v>0</v>
      </c>
      <c r="AJ295" s="55">
        <v>0</v>
      </c>
      <c r="AK295" s="55">
        <v>0</v>
      </c>
      <c r="AM295" s="55">
        <v>5713048</v>
      </c>
      <c r="AN295" s="55">
        <v>586813</v>
      </c>
      <c r="AO295" s="55">
        <v>1277198</v>
      </c>
      <c r="AP295" s="55"/>
      <c r="AQ295" s="55">
        <v>7577059</v>
      </c>
      <c r="AS295" s="175">
        <v>1279.5347082107082</v>
      </c>
      <c r="AT295" s="175">
        <v>131.42679717188625</v>
      </c>
      <c r="AU295" s="175">
        <v>286.05031329288676</v>
      </c>
      <c r="AV295" s="175"/>
      <c r="AW295" s="175">
        <v>1697.0118186754812</v>
      </c>
      <c r="AY295" s="171">
        <v>2.1253283749995022E-2</v>
      </c>
      <c r="AZ295" s="178">
        <v>-3.2010409842844867E-2</v>
      </c>
      <c r="BA295" s="171">
        <v>6.0558039088137505E-2</v>
      </c>
      <c r="BB295" s="171">
        <f t="shared" si="93"/>
        <v>2.3284996254681944E-2</v>
      </c>
      <c r="BC295" s="171"/>
      <c r="BE295" s="176">
        <f>AM295/'2016-17 disagg'!AM295-1</f>
        <v>1.9123614570794256E-2</v>
      </c>
      <c r="BF295" s="176">
        <f>AN295/'2016-17 disagg'!AN295-1</f>
        <v>4.2489198715215615E-2</v>
      </c>
      <c r="BG295" s="176">
        <f>AO295/'2016-17 disagg'!AO295-1</f>
        <v>4.6676844983900789E-2</v>
      </c>
      <c r="BH295" s="176">
        <f>AQ295/'2016-17 disagg'!AQ295-1</f>
        <v>2.5453848101653076E-2</v>
      </c>
      <c r="BJ295" s="176">
        <f>AS295/'2016-17 disagg'!AS295-1</f>
        <v>1.2957501706300834E-2</v>
      </c>
      <c r="BK295" s="176">
        <f>AT295/'2016-17 disagg'!AT295-1</f>
        <v>3.6181714551971611E-2</v>
      </c>
      <c r="BL295" s="176">
        <f>AU295/'2016-17 disagg'!AU295-1</f>
        <v>4.0344023855483746E-2</v>
      </c>
      <c r="BM295" s="176">
        <f>AW295/'2016-17 disagg'!AW295-1</f>
        <v>1.9249434746569483E-2</v>
      </c>
    </row>
    <row r="296" spans="2:65" ht="15" x14ac:dyDescent="0.25">
      <c r="B296" t="s">
        <v>566</v>
      </c>
      <c r="D296" s="55">
        <v>7379487.511415611</v>
      </c>
      <c r="E296" s="166">
        <v>1704.3738905976252</v>
      </c>
      <c r="F296" s="171">
        <f>VLOOKUP(B296,'2017-18'!$B$12:$AMX504,33,FALSE)</f>
        <v>2.2493298797393813E-2</v>
      </c>
      <c r="G296" s="171">
        <f>VLOOKUP(B296,'2017-18'!$B$12:$AMX504,34,FALSE)</f>
        <v>1.8028994803624299E-2</v>
      </c>
      <c r="I296" s="175">
        <v>7281781.0748976944</v>
      </c>
      <c r="J296" s="175">
        <v>1681.8075133137199</v>
      </c>
      <c r="K296" s="171">
        <f t="shared" si="92"/>
        <v>1.3417931068367084E-2</v>
      </c>
      <c r="L296" s="170">
        <f t="shared" si="92"/>
        <v>1.3417931068367084E-2</v>
      </c>
      <c r="N296" s="55">
        <v>5737545</v>
      </c>
      <c r="O296" s="55">
        <v>586972</v>
      </c>
      <c r="P296" s="55">
        <v>1053163</v>
      </c>
      <c r="R296" s="55">
        <v>1053163</v>
      </c>
      <c r="S296" s="55">
        <v>1807.5114156103809</v>
      </c>
      <c r="U296" s="171">
        <v>1.2484826137955096E-2</v>
      </c>
      <c r="V296" s="171">
        <v>4.0691115069360739E-2</v>
      </c>
      <c r="AA296" s="55">
        <v>1258.2175247131381</v>
      </c>
      <c r="AB296" s="55">
        <v>0</v>
      </c>
      <c r="AC296" s="55">
        <v>549.29389089724282</v>
      </c>
      <c r="AE296" s="55">
        <v>0</v>
      </c>
      <c r="AF296" s="55">
        <v>0</v>
      </c>
      <c r="AG296" s="55">
        <v>549.29389089724282</v>
      </c>
      <c r="AI296" s="55">
        <v>497.44416286904641</v>
      </c>
      <c r="AJ296" s="55">
        <v>51.849728028196381</v>
      </c>
      <c r="AK296" s="55">
        <v>0</v>
      </c>
      <c r="AM296" s="55">
        <v>5739300</v>
      </c>
      <c r="AN296" s="55">
        <v>587024</v>
      </c>
      <c r="AO296" s="55">
        <v>1053163</v>
      </c>
      <c r="AP296" s="55"/>
      <c r="AQ296" s="55">
        <v>7379487</v>
      </c>
      <c r="AS296" s="175">
        <v>1325.5545259985784</v>
      </c>
      <c r="AT296" s="175">
        <v>135.57965606777648</v>
      </c>
      <c r="AU296" s="175">
        <v>243.23959041420397</v>
      </c>
      <c r="AV296" s="175"/>
      <c r="AW296" s="175">
        <v>1704.373772480559</v>
      </c>
      <c r="AY296" s="171">
        <v>1.2794524949881092E-2</v>
      </c>
      <c r="AZ296" s="178">
        <v>4.0783310162114006E-2</v>
      </c>
      <c r="BA296" s="171">
        <v>2.0926550353652651E-3</v>
      </c>
      <c r="BB296" s="171">
        <f t="shared" si="93"/>
        <v>1.3417860836152373E-2</v>
      </c>
      <c r="BC296" s="171"/>
      <c r="BE296" s="176">
        <f>AM296/'2016-17 disagg'!AM296-1</f>
        <v>1.9013850690936529E-2</v>
      </c>
      <c r="BF296" s="176">
        <f>AN296/'2016-17 disagg'!AN296-1</f>
        <v>1.7564843271952624E-2</v>
      </c>
      <c r="BG296" s="176">
        <f>AO296/'2016-17 disagg'!AO296-1</f>
        <v>4.4753776850133375E-2</v>
      </c>
      <c r="BH296" s="176">
        <f>AQ296/'2016-17 disagg'!AQ296-1</f>
        <v>2.2493227936235316E-2</v>
      </c>
      <c r="BJ296" s="176">
        <f>AS296/'2016-17 disagg'!AS296-1</f>
        <v>1.4564738301939384E-2</v>
      </c>
      <c r="BK296" s="176">
        <f>AT296/'2016-17 disagg'!AT296-1</f>
        <v>1.3122057388581743E-2</v>
      </c>
      <c r="BL296" s="176">
        <f>AU296/'2016-17 disagg'!AU296-1</f>
        <v>4.0192281470179614E-2</v>
      </c>
      <c r="BM296" s="176">
        <f>AW296/'2016-17 disagg'!AW296-1</f>
        <v>1.8028924251852319E-2</v>
      </c>
    </row>
    <row r="297" spans="2:65" ht="15" x14ac:dyDescent="0.25">
      <c r="B297" t="s">
        <v>567</v>
      </c>
      <c r="D297" s="55">
        <v>21673342.397989333</v>
      </c>
      <c r="E297" s="166">
        <v>1586.2763365299934</v>
      </c>
      <c r="F297" s="171">
        <f>VLOOKUP(B297,'2017-18'!$B$12:$AMX505,33,FALSE)</f>
        <v>2.5579040926706709E-2</v>
      </c>
      <c r="G297" s="171">
        <f>VLOOKUP(B297,'2017-18'!$B$12:$AMX505,34,FALSE)</f>
        <v>1.9410163576331518E-2</v>
      </c>
      <c r="I297" s="175">
        <v>21895313.947003759</v>
      </c>
      <c r="J297" s="175">
        <v>1602.5224793315374</v>
      </c>
      <c r="K297" s="171">
        <f t="shared" si="92"/>
        <v>-1.0137856417665181E-2</v>
      </c>
      <c r="L297" s="170">
        <f t="shared" si="92"/>
        <v>-1.0137856417665181E-2</v>
      </c>
      <c r="N297" s="55">
        <v>16644117</v>
      </c>
      <c r="O297" s="55">
        <v>1752914</v>
      </c>
      <c r="P297" s="55">
        <v>3245646</v>
      </c>
      <c r="R297" s="55">
        <v>3245646</v>
      </c>
      <c r="S297" s="55">
        <v>30665.39798932962</v>
      </c>
      <c r="U297" s="171">
        <v>-1.4687217780789852E-2</v>
      </c>
      <c r="V297" s="171">
        <v>1.7996744773680629E-2</v>
      </c>
      <c r="AA297" s="55">
        <v>9877.6222659181039</v>
      </c>
      <c r="AB297" s="55">
        <v>0</v>
      </c>
      <c r="AC297" s="55">
        <v>20787.775723411516</v>
      </c>
      <c r="AE297" s="55">
        <v>0</v>
      </c>
      <c r="AF297" s="55">
        <v>492.54276813276493</v>
      </c>
      <c r="AG297" s="55">
        <v>20295.232955278749</v>
      </c>
      <c r="AI297" s="55">
        <v>18413.478215763418</v>
      </c>
      <c r="AJ297" s="55">
        <v>1881.7547395153322</v>
      </c>
      <c r="AK297" s="55">
        <v>0</v>
      </c>
      <c r="AM297" s="55">
        <v>16672409</v>
      </c>
      <c r="AN297" s="55">
        <v>1755288</v>
      </c>
      <c r="AO297" s="55">
        <v>3245646</v>
      </c>
      <c r="AP297" s="55"/>
      <c r="AQ297" s="55">
        <v>21673343</v>
      </c>
      <c r="AS297" s="175">
        <v>1220.2570043881749</v>
      </c>
      <c r="AT297" s="175">
        <v>128.46988558872991</v>
      </c>
      <c r="AU297" s="175">
        <v>237.54949061437148</v>
      </c>
      <c r="AV297" s="175"/>
      <c r="AW297" s="175">
        <v>1586.2763805912764</v>
      </c>
      <c r="AY297" s="171">
        <v>-1.301236358248381E-2</v>
      </c>
      <c r="AZ297" s="178">
        <v>1.9375434356907695E-2</v>
      </c>
      <c r="BA297" s="171">
        <v>-1.0827327085849991E-2</v>
      </c>
      <c r="BB297" s="171">
        <f t="shared" si="93"/>
        <v>-1.0137828922710423E-2</v>
      </c>
      <c r="BC297" s="171"/>
      <c r="BE297" s="176">
        <f>AM297/'2016-17 disagg'!AM297-1</f>
        <v>2.1886729772998548E-2</v>
      </c>
      <c r="BF297" s="176">
        <f>AN297/'2016-17 disagg'!AN297-1</f>
        <v>2.2822982761705024E-2</v>
      </c>
      <c r="BG297" s="176">
        <f>AO297/'2016-17 disagg'!AO297-1</f>
        <v>4.6528522302420328E-2</v>
      </c>
      <c r="BH297" s="176">
        <f>AQ297/'2016-17 disagg'!AQ297-1</f>
        <v>2.5579069413753652E-2</v>
      </c>
      <c r="BJ297" s="176">
        <f>AS297/'2016-17 disagg'!AS297-1</f>
        <v>1.5740061744126344E-2</v>
      </c>
      <c r="BK297" s="176">
        <f>AT297/'2016-17 disagg'!AT297-1</f>
        <v>1.667068315337783E-2</v>
      </c>
      <c r="BL297" s="176">
        <f>AU297/'2016-17 disagg'!AU297-1</f>
        <v>4.0233633424894499E-2</v>
      </c>
      <c r="BM297" s="176">
        <f>AW297/'2016-17 disagg'!AW297-1</f>
        <v>1.9410191892028195E-2</v>
      </c>
    </row>
    <row r="298" spans="2:65" ht="15" x14ac:dyDescent="0.25">
      <c r="B298" t="s">
        <v>568</v>
      </c>
      <c r="D298" s="55">
        <v>12452550.698935065</v>
      </c>
      <c r="E298" s="166">
        <v>1662.8397314579454</v>
      </c>
      <c r="F298" s="171">
        <f>VLOOKUP(B298,'2017-18'!$B$12:$AMX506,33,FALSE)</f>
        <v>2.6497982247041252E-2</v>
      </c>
      <c r="G298" s="171">
        <f>VLOOKUP(B298,'2017-18'!$B$12:$AMX506,34,FALSE)</f>
        <v>1.9675285687343891E-2</v>
      </c>
      <c r="I298" s="175">
        <v>12500354.733469121</v>
      </c>
      <c r="J298" s="175">
        <v>1669.2231985779799</v>
      </c>
      <c r="K298" s="171">
        <f t="shared" si="92"/>
        <v>-3.8242142365818577E-3</v>
      </c>
      <c r="L298" s="170">
        <f t="shared" si="92"/>
        <v>-3.8242142365818577E-3</v>
      </c>
      <c r="N298" s="55">
        <v>9345268</v>
      </c>
      <c r="O298" s="55">
        <v>1001935</v>
      </c>
      <c r="P298" s="55">
        <v>2097029</v>
      </c>
      <c r="R298" s="55">
        <v>2097029</v>
      </c>
      <c r="S298" s="55">
        <v>8318.6989350662625</v>
      </c>
      <c r="U298" s="171">
        <v>-6.9448005238509358E-3</v>
      </c>
      <c r="V298" s="171">
        <v>-1.6178425383187589E-2</v>
      </c>
      <c r="AA298" s="55">
        <v>2222.902221674769</v>
      </c>
      <c r="AB298" s="55">
        <v>0</v>
      </c>
      <c r="AC298" s="55">
        <v>6095.7967133914935</v>
      </c>
      <c r="AE298" s="55">
        <v>0</v>
      </c>
      <c r="AF298" s="55">
        <v>625.85105994436299</v>
      </c>
      <c r="AG298" s="55">
        <v>5469.9456534471301</v>
      </c>
      <c r="AI298" s="55">
        <v>4928.0156314990545</v>
      </c>
      <c r="AJ298" s="55">
        <v>541.93002194807571</v>
      </c>
      <c r="AK298" s="55">
        <v>0</v>
      </c>
      <c r="AM298" s="55">
        <v>9352419</v>
      </c>
      <c r="AN298" s="55">
        <v>1003103</v>
      </c>
      <c r="AO298" s="55">
        <v>2097029</v>
      </c>
      <c r="AP298" s="55"/>
      <c r="AQ298" s="55">
        <v>12452551</v>
      </c>
      <c r="AS298" s="175">
        <v>1248.8665394289178</v>
      </c>
      <c r="AT298" s="175">
        <v>133.94842257396354</v>
      </c>
      <c r="AU298" s="175">
        <v>280.02480965748902</v>
      </c>
      <c r="AV298" s="175"/>
      <c r="AW298" s="175">
        <v>1662.8397716603704</v>
      </c>
      <c r="AY298" s="171">
        <v>-6.1849145867698407E-3</v>
      </c>
      <c r="AZ298" s="178">
        <v>-1.5031541005306348E-2</v>
      </c>
      <c r="BA298" s="171">
        <v>1.2411626259741348E-2</v>
      </c>
      <c r="BB298" s="171">
        <f t="shared" si="93"/>
        <v>-3.8241901520705834E-3</v>
      </c>
      <c r="BC298" s="171"/>
      <c r="BE298" s="176">
        <f>AM298/'2016-17 disagg'!AM298-1</f>
        <v>2.0815762470569155E-2</v>
      </c>
      <c r="BF298" s="176">
        <f>AN298/'2016-17 disagg'!AN298-1</f>
        <v>3.741015378569279E-2</v>
      </c>
      <c r="BG298" s="176">
        <f>AO298/'2016-17 disagg'!AO298-1</f>
        <v>4.7226411513837885E-2</v>
      </c>
      <c r="BH298" s="176">
        <f>AQ298/'2016-17 disagg'!AQ298-1</f>
        <v>2.6498007064651441E-2</v>
      </c>
      <c r="BJ298" s="176">
        <f>AS298/'2016-17 disagg'!AS298-1</f>
        <v>1.4030833214841776E-2</v>
      </c>
      <c r="BK298" s="176">
        <f>AT298/'2016-17 disagg'!AT298-1</f>
        <v>3.0514928651654838E-2</v>
      </c>
      <c r="BL298" s="176">
        <f>AU298/'2016-17 disagg'!AU298-1</f>
        <v>4.026594187957766E-2</v>
      </c>
      <c r="BM298" s="176">
        <f>AW298/'2016-17 disagg'!AW298-1</f>
        <v>1.9675310340001806E-2</v>
      </c>
    </row>
    <row r="299" spans="2:65" ht="15" x14ac:dyDescent="0.25">
      <c r="B299" t="s">
        <v>569</v>
      </c>
      <c r="D299" s="55">
        <v>6687817.9611055292</v>
      </c>
      <c r="E299" s="166">
        <v>1717.5145550066495</v>
      </c>
      <c r="F299" s="171">
        <f>VLOOKUP(B299,'2017-18'!$B$12:$AMX507,33,FALSE)</f>
        <v>2.2545378766519519E-2</v>
      </c>
      <c r="G299" s="171">
        <f>VLOOKUP(B299,'2017-18'!$B$12:$AMX507,34,FALSE)</f>
        <v>1.8322486174922492E-2</v>
      </c>
      <c r="I299" s="175">
        <v>6607064.3680367209</v>
      </c>
      <c r="J299" s="175">
        <v>1696.7760312801702</v>
      </c>
      <c r="K299" s="171">
        <f t="shared" si="92"/>
        <v>1.2222310631552658E-2</v>
      </c>
      <c r="L299" s="170">
        <f t="shared" si="92"/>
        <v>1.2222310631552658E-2</v>
      </c>
      <c r="N299" s="55">
        <v>5198853</v>
      </c>
      <c r="O299" s="55">
        <v>533036</v>
      </c>
      <c r="P299" s="55">
        <v>955723</v>
      </c>
      <c r="R299" s="55">
        <v>955723</v>
      </c>
      <c r="S299" s="55">
        <v>205.9611055291025</v>
      </c>
      <c r="U299" s="171">
        <v>1.4538714353730109E-2</v>
      </c>
      <c r="V299" s="171">
        <v>3.9672946985532809E-2</v>
      </c>
      <c r="AA299" s="55">
        <v>47.025012666068505</v>
      </c>
      <c r="AB299" s="55">
        <v>0</v>
      </c>
      <c r="AC299" s="55">
        <v>158.93609286303399</v>
      </c>
      <c r="AE299" s="55">
        <v>0</v>
      </c>
      <c r="AF299" s="55">
        <v>0</v>
      </c>
      <c r="AG299" s="55">
        <v>158.93609286303399</v>
      </c>
      <c r="AI299" s="55">
        <v>144.16903549779582</v>
      </c>
      <c r="AJ299" s="55">
        <v>14.76705736523817</v>
      </c>
      <c r="AK299" s="55">
        <v>0</v>
      </c>
      <c r="AM299" s="55">
        <v>5199044</v>
      </c>
      <c r="AN299" s="55">
        <v>533051</v>
      </c>
      <c r="AO299" s="55">
        <v>955723</v>
      </c>
      <c r="AP299" s="55"/>
      <c r="AQ299" s="55">
        <v>6687818</v>
      </c>
      <c r="AS299" s="175">
        <v>1335.1789468629484</v>
      </c>
      <c r="AT299" s="175">
        <v>136.89410453234123</v>
      </c>
      <c r="AU299" s="175">
        <v>245.44151359994214</v>
      </c>
      <c r="AV299" s="175"/>
      <c r="AW299" s="175">
        <v>1717.5145649952319</v>
      </c>
      <c r="AY299" s="171">
        <v>1.4575987362688503E-2</v>
      </c>
      <c r="AZ299" s="178">
        <v>3.9702204098006844E-2</v>
      </c>
      <c r="BA299" s="171">
        <v>-1.4735830379416726E-2</v>
      </c>
      <c r="BB299" s="171">
        <f t="shared" si="93"/>
        <v>1.222231651835326E-2</v>
      </c>
      <c r="BC299" s="171"/>
      <c r="BE299" s="176">
        <f>AM299/'2016-17 disagg'!AM299-1</f>
        <v>1.9049538050466275E-2</v>
      </c>
      <c r="BF299" s="176">
        <f>AN299/'2016-17 disagg'!AN299-1</f>
        <v>1.8086981765954135E-2</v>
      </c>
      <c r="BG299" s="176">
        <f>AO299/'2016-17 disagg'!AO299-1</f>
        <v>4.4590491471441451E-2</v>
      </c>
      <c r="BH299" s="176">
        <f>AQ299/'2016-17 disagg'!AQ299-1</f>
        <v>2.2545384713356098E-2</v>
      </c>
      <c r="BJ299" s="176">
        <f>AS299/'2016-17 disagg'!AS299-1</f>
        <v>1.484108252950489E-2</v>
      </c>
      <c r="BK299" s="176">
        <f>AT299/'2016-17 disagg'!AT299-1</f>
        <v>1.3882501395521274E-2</v>
      </c>
      <c r="BL299" s="176">
        <f>AU299/'2016-17 disagg'!AU299-1</f>
        <v>4.0276557303543292E-2</v>
      </c>
      <c r="BM299" s="176">
        <f>AW299/'2016-17 disagg'!AW299-1</f>
        <v>1.8322492097200271E-2</v>
      </c>
    </row>
    <row r="300" spans="2:65" ht="15" x14ac:dyDescent="0.25">
      <c r="B300" t="s">
        <v>570</v>
      </c>
      <c r="D300" s="55">
        <v>3901697.8299992392</v>
      </c>
      <c r="E300" s="166">
        <v>1564.010389262831</v>
      </c>
      <c r="F300" s="171">
        <f>VLOOKUP(B300,'2017-18'!$B$12:$AMX508,33,FALSE)</f>
        <v>3.1082278915678163E-2</v>
      </c>
      <c r="G300" s="171">
        <f>VLOOKUP(B300,'2017-18'!$B$12:$AMX508,34,FALSE)</f>
        <v>2.0610595462341008E-2</v>
      </c>
      <c r="I300" s="175">
        <v>4005073.4903842397</v>
      </c>
      <c r="J300" s="175">
        <v>1605.4489152286101</v>
      </c>
      <c r="K300" s="171">
        <f t="shared" si="92"/>
        <v>-2.5811176906789468E-2</v>
      </c>
      <c r="L300" s="170">
        <f t="shared" si="92"/>
        <v>-2.5811176906789579E-2</v>
      </c>
      <c r="N300" s="55">
        <v>2965995</v>
      </c>
      <c r="O300" s="55">
        <v>302907</v>
      </c>
      <c r="P300" s="55">
        <v>617822</v>
      </c>
      <c r="R300" s="55">
        <v>617822</v>
      </c>
      <c r="S300" s="55">
        <v>14973.82999923898</v>
      </c>
      <c r="U300" s="171">
        <v>-2.1149313068363207E-2</v>
      </c>
      <c r="V300" s="171">
        <v>-2.447616549592313E-2</v>
      </c>
      <c r="AA300" s="55">
        <v>2416.2892478447757</v>
      </c>
      <c r="AB300" s="55">
        <v>0</v>
      </c>
      <c r="AC300" s="55">
        <v>12557.540751394205</v>
      </c>
      <c r="AE300" s="55">
        <v>0</v>
      </c>
      <c r="AF300" s="55">
        <v>0</v>
      </c>
      <c r="AG300" s="55">
        <v>12557.540751394205</v>
      </c>
      <c r="AI300" s="55">
        <v>11410.499979333244</v>
      </c>
      <c r="AJ300" s="55">
        <v>1147.0407720609603</v>
      </c>
      <c r="AK300" s="55">
        <v>0</v>
      </c>
      <c r="AM300" s="55">
        <v>2979821</v>
      </c>
      <c r="AN300" s="55">
        <v>304054</v>
      </c>
      <c r="AO300" s="55">
        <v>617822</v>
      </c>
      <c r="AP300" s="55"/>
      <c r="AQ300" s="55">
        <v>3901697</v>
      </c>
      <c r="AS300" s="175">
        <v>1194.4725617422987</v>
      </c>
      <c r="AT300" s="175">
        <v>121.8812003432397</v>
      </c>
      <c r="AU300" s="175">
        <v>247.65629446894644</v>
      </c>
      <c r="AV300" s="175"/>
      <c r="AW300" s="175">
        <v>1564.0100565544849</v>
      </c>
      <c r="AY300" s="171">
        <v>-1.6586395869407466E-2</v>
      </c>
      <c r="AZ300" s="178">
        <v>-2.0782207158294153E-2</v>
      </c>
      <c r="BA300" s="171">
        <v>-7.022763618698491E-2</v>
      </c>
      <c r="BB300" s="171">
        <f t="shared" si="93"/>
        <v>-2.5811384143745619E-2</v>
      </c>
      <c r="BC300" s="171"/>
      <c r="BE300" s="176">
        <f>AM300/'2016-17 disagg'!AM300-1</f>
        <v>2.6435399405527304E-2</v>
      </c>
      <c r="BF300" s="176">
        <f>AN300/'2016-17 disagg'!AN300-1</f>
        <v>3.711460468733474E-2</v>
      </c>
      <c r="BG300" s="176">
        <f>AO300/'2016-17 disagg'!AO300-1</f>
        <v>5.1021553850603141E-2</v>
      </c>
      <c r="BH300" s="176">
        <f>AQ300/'2016-17 disagg'!AQ300-1</f>
        <v>3.1082059575907595E-2</v>
      </c>
      <c r="BJ300" s="176">
        <f>AS300/'2016-17 disagg'!AS300-1</f>
        <v>1.6010909713804811E-2</v>
      </c>
      <c r="BK300" s="176">
        <f>AT300/'2016-17 disagg'!AT300-1</f>
        <v>2.6581656864257397E-2</v>
      </c>
      <c r="BL300" s="176">
        <f>AU300/'2016-17 disagg'!AU300-1</f>
        <v>4.03473668922818E-2</v>
      </c>
      <c r="BM300" s="176">
        <f>AW300/'2016-17 disagg'!AW300-1</f>
        <v>2.0610378350187863E-2</v>
      </c>
    </row>
    <row r="301" spans="2:65" ht="15" x14ac:dyDescent="0.25">
      <c r="B301" t="s">
        <v>571</v>
      </c>
      <c r="D301" s="55">
        <v>13169163.457688788</v>
      </c>
      <c r="E301" s="166">
        <v>1508.3771246479466</v>
      </c>
      <c r="F301" s="171">
        <f>VLOOKUP(B301,'2017-18'!$B$12:$AMX509,33,FALSE)</f>
        <v>2.8311635986789652E-2</v>
      </c>
      <c r="G301" s="171">
        <f>VLOOKUP(B301,'2017-18'!$B$12:$AMX509,34,FALSE)</f>
        <v>2.0222565435508599E-2</v>
      </c>
      <c r="I301" s="175">
        <v>13453110.593191884</v>
      </c>
      <c r="J301" s="175">
        <v>1540.9000229457972</v>
      </c>
      <c r="K301" s="171">
        <f t="shared" si="92"/>
        <v>-2.110642988743372E-2</v>
      </c>
      <c r="L301" s="170">
        <f t="shared" si="92"/>
        <v>-2.1106429887433831E-2</v>
      </c>
      <c r="N301" s="55">
        <v>9972184</v>
      </c>
      <c r="O301" s="55">
        <v>1082662</v>
      </c>
      <c r="P301" s="55">
        <v>2075263</v>
      </c>
      <c r="R301" s="55">
        <v>2075263</v>
      </c>
      <c r="S301" s="55">
        <v>39054.45768878705</v>
      </c>
      <c r="U301" s="171">
        <v>-2.9000108422903015E-2</v>
      </c>
      <c r="V301" s="171">
        <v>3.670080074187787E-3</v>
      </c>
      <c r="AA301" s="55">
        <v>22193.97525785779</v>
      </c>
      <c r="AB301" s="55">
        <v>0</v>
      </c>
      <c r="AC301" s="55">
        <v>16860.48243092926</v>
      </c>
      <c r="AE301" s="55">
        <v>0</v>
      </c>
      <c r="AF301" s="55">
        <v>0</v>
      </c>
      <c r="AG301" s="55">
        <v>16860.48243092926</v>
      </c>
      <c r="AI301" s="55">
        <v>15304.110648267062</v>
      </c>
      <c r="AJ301" s="55">
        <v>1556.3717826622008</v>
      </c>
      <c r="AK301" s="55">
        <v>0</v>
      </c>
      <c r="AM301" s="55">
        <v>10009682</v>
      </c>
      <c r="AN301" s="55">
        <v>1084219</v>
      </c>
      <c r="AO301" s="55">
        <v>2075263</v>
      </c>
      <c r="AP301" s="55"/>
      <c r="AQ301" s="55">
        <v>13169164</v>
      </c>
      <c r="AS301" s="175">
        <v>1146.4946427546356</v>
      </c>
      <c r="AT301" s="175">
        <v>124.1848916951396</v>
      </c>
      <c r="AU301" s="175">
        <v>237.69765231372119</v>
      </c>
      <c r="AV301" s="175"/>
      <c r="AW301" s="175">
        <v>1508.3771867634964</v>
      </c>
      <c r="AY301" s="171">
        <v>-2.534889681927055E-2</v>
      </c>
      <c r="AZ301" s="178">
        <v>5.1134800592942398E-3</v>
      </c>
      <c r="BA301" s="171">
        <v>-1.3841981714505902E-2</v>
      </c>
      <c r="BB301" s="171">
        <f t="shared" si="93"/>
        <v>-2.1106389576220352E-2</v>
      </c>
      <c r="BC301" s="171"/>
      <c r="BE301" s="176">
        <f>AM301/'2016-17 disagg'!AM301-1</f>
        <v>2.4276848827283537E-2</v>
      </c>
      <c r="BF301" s="176">
        <f>AN301/'2016-17 disagg'!AN301-1</f>
        <v>2.7786335667504325E-2</v>
      </c>
      <c r="BG301" s="176">
        <f>AO301/'2016-17 disagg'!AO301-1</f>
        <v>4.8513497332060895E-2</v>
      </c>
      <c r="BH301" s="176">
        <f>AQ301/'2016-17 disagg'!AQ301-1</f>
        <v>2.8311678333057921E-2</v>
      </c>
      <c r="BJ301" s="176">
        <f>AS301/'2016-17 disagg'!AS301-1</f>
        <v>1.6219517368365466E-2</v>
      </c>
      <c r="BK301" s="176">
        <f>AT301/'2016-17 disagg'!AT301-1</f>
        <v>1.9701397318169445E-2</v>
      </c>
      <c r="BL301" s="176">
        <f>AU301/'2016-17 disagg'!AU301-1</f>
        <v>4.0265511646524699E-2</v>
      </c>
      <c r="BM301" s="176">
        <f>AW301/'2016-17 disagg'!AW301-1</f>
        <v>2.0222607448665997E-2</v>
      </c>
    </row>
    <row r="302" spans="2:65" ht="15" x14ac:dyDescent="0.25">
      <c r="B302" t="s">
        <v>572</v>
      </c>
      <c r="D302" s="55">
        <v>5496724.2644412033</v>
      </c>
      <c r="E302" s="166">
        <v>1552.1977101600837</v>
      </c>
      <c r="F302" s="171">
        <f>VLOOKUP(B302,'2017-18'!$B$12:$AMX510,33,FALSE)</f>
        <v>3.358312646679118E-2</v>
      </c>
      <c r="G302" s="171">
        <f>VLOOKUP(B302,'2017-18'!$B$12:$AMX510,34,FALSE)</f>
        <v>2.0298692583575528E-2</v>
      </c>
      <c r="I302" s="175">
        <v>5624481.0690484187</v>
      </c>
      <c r="J302" s="175">
        <v>1588.2744369574482</v>
      </c>
      <c r="K302" s="171">
        <f t="shared" si="92"/>
        <v>-2.2714416323714293E-2</v>
      </c>
      <c r="L302" s="170">
        <f t="shared" si="92"/>
        <v>-2.2714416323714293E-2</v>
      </c>
      <c r="N302" s="55">
        <v>4026023</v>
      </c>
      <c r="O302" s="55">
        <v>431896</v>
      </c>
      <c r="P302" s="55">
        <v>1032378</v>
      </c>
      <c r="R302" s="55">
        <v>1032378</v>
      </c>
      <c r="S302" s="55">
        <v>6427.2644412032678</v>
      </c>
      <c r="U302" s="171">
        <v>-2.4261849558561477E-2</v>
      </c>
      <c r="V302" s="171">
        <v>-4.3634806696097761E-2</v>
      </c>
      <c r="AA302" s="55">
        <v>0</v>
      </c>
      <c r="AB302" s="55">
        <v>0</v>
      </c>
      <c r="AC302" s="55">
        <v>6427.2644412032678</v>
      </c>
      <c r="AE302" s="55">
        <v>0</v>
      </c>
      <c r="AF302" s="55">
        <v>0</v>
      </c>
      <c r="AG302" s="55">
        <v>6427.2644412032678</v>
      </c>
      <c r="AI302" s="55">
        <v>5805.3766719814312</v>
      </c>
      <c r="AJ302" s="55">
        <v>621.88776922183661</v>
      </c>
      <c r="AK302" s="55">
        <v>0</v>
      </c>
      <c r="AM302" s="55">
        <v>4031828</v>
      </c>
      <c r="AN302" s="55">
        <v>432518</v>
      </c>
      <c r="AO302" s="55">
        <v>1032378</v>
      </c>
      <c r="AP302" s="55"/>
      <c r="AQ302" s="55">
        <v>5496724</v>
      </c>
      <c r="AS302" s="175">
        <v>1138.5315850467748</v>
      </c>
      <c r="AT302" s="175">
        <v>122.13700686171656</v>
      </c>
      <c r="AU302" s="175">
        <v>291.52904357711174</v>
      </c>
      <c r="AV302" s="175"/>
      <c r="AW302" s="175">
        <v>1552.1976354856031</v>
      </c>
      <c r="AY302" s="171">
        <v>-2.2854962423710878E-2</v>
      </c>
      <c r="AZ302" s="178">
        <v>-4.2257486345284034E-2</v>
      </c>
      <c r="BA302" s="171">
        <v>-1.3729140886080793E-2</v>
      </c>
      <c r="BB302" s="171">
        <f t="shared" si="93"/>
        <v>-2.2714463339821189E-2</v>
      </c>
      <c r="BC302" s="171"/>
      <c r="BE302" s="176">
        <f>AM302/'2016-17 disagg'!AM302-1</f>
        <v>2.5738171197712267E-2</v>
      </c>
      <c r="BF302" s="176">
        <f>AN302/'2016-17 disagg'!AN302-1</f>
        <v>6.0722291162895736E-2</v>
      </c>
      <c r="BG302" s="176">
        <f>AO302/'2016-17 disagg'!AO302-1</f>
        <v>5.3761992105803014E-2</v>
      </c>
      <c r="BH302" s="176">
        <f>AQ302/'2016-17 disagg'!AQ302-1</f>
        <v>3.3583076742272899E-2</v>
      </c>
      <c r="BJ302" s="176">
        <f>AS302/'2016-17 disagg'!AS302-1</f>
        <v>1.255456693034529E-2</v>
      </c>
      <c r="BK302" s="176">
        <f>AT302/'2016-17 disagg'!AT302-1</f>
        <v>4.7089043110970508E-2</v>
      </c>
      <c r="BL302" s="176">
        <f>AU302/'2016-17 disagg'!AU302-1</f>
        <v>4.0218203363210359E-2</v>
      </c>
      <c r="BM302" s="176">
        <f>AW302/'2016-17 disagg'!AW302-1</f>
        <v>2.0298643498156688E-2</v>
      </c>
    </row>
    <row r="303" spans="2:65" ht="15" x14ac:dyDescent="0.25">
      <c r="B303" t="s">
        <v>573</v>
      </c>
      <c r="D303" s="55">
        <v>3992563</v>
      </c>
      <c r="E303" s="166">
        <v>1655.8580583407197</v>
      </c>
      <c r="F303" s="171">
        <f>VLOOKUP(B303,'2017-18'!$B$12:$AMX511,33,FALSE)</f>
        <v>3.1960147969248176E-2</v>
      </c>
      <c r="G303" s="171">
        <f>VLOOKUP(B303,'2017-18'!$B$12:$AMX511,34,FALSE)</f>
        <v>1.9254072388514398E-2</v>
      </c>
      <c r="I303" s="175">
        <v>3967151.7087650853</v>
      </c>
      <c r="J303" s="175">
        <v>1645.319090924507</v>
      </c>
      <c r="K303" s="171">
        <f t="shared" si="92"/>
        <v>6.4054246220961453E-3</v>
      </c>
      <c r="L303" s="170">
        <f t="shared" si="92"/>
        <v>6.4054246220961453E-3</v>
      </c>
      <c r="N303" s="55">
        <v>2855332</v>
      </c>
      <c r="O303" s="55">
        <v>323790</v>
      </c>
      <c r="P303" s="55">
        <v>813441</v>
      </c>
      <c r="R303" s="55">
        <v>813441</v>
      </c>
      <c r="S303" s="55">
        <v>0</v>
      </c>
      <c r="U303" s="171">
        <v>1.6666264192228164E-2</v>
      </c>
      <c r="V303" s="171">
        <v>-4.3573926046891587E-2</v>
      </c>
      <c r="AA303" s="55">
        <v>0</v>
      </c>
      <c r="AB303" s="55">
        <v>0</v>
      </c>
      <c r="AC303" s="55">
        <v>0</v>
      </c>
      <c r="AE303" s="55">
        <v>0</v>
      </c>
      <c r="AF303" s="55">
        <v>0</v>
      </c>
      <c r="AG303" s="55">
        <v>0</v>
      </c>
      <c r="AI303" s="55">
        <v>0</v>
      </c>
      <c r="AJ303" s="55">
        <v>0</v>
      </c>
      <c r="AK303" s="55">
        <v>0</v>
      </c>
      <c r="AM303" s="55">
        <v>2855332</v>
      </c>
      <c r="AN303" s="55">
        <v>323790</v>
      </c>
      <c r="AO303" s="55">
        <v>813441</v>
      </c>
      <c r="AP303" s="55"/>
      <c r="AQ303" s="55">
        <v>3992563</v>
      </c>
      <c r="AS303" s="175">
        <v>1184.2078638303576</v>
      </c>
      <c r="AT303" s="175">
        <v>134.28724373545055</v>
      </c>
      <c r="AU303" s="175">
        <v>337.36295077491161</v>
      </c>
      <c r="AV303" s="175"/>
      <c r="AW303" s="175">
        <v>1655.8580583407197</v>
      </c>
      <c r="AY303" s="171">
        <v>1.6666264192228164E-2</v>
      </c>
      <c r="AZ303" s="178">
        <v>-4.3573926046891587E-2</v>
      </c>
      <c r="BA303" s="171">
        <v>-8.1024848416725304E-3</v>
      </c>
      <c r="BB303" s="171">
        <f t="shared" si="93"/>
        <v>6.4054246220961453E-3</v>
      </c>
      <c r="BC303" s="171"/>
      <c r="BE303" s="176">
        <f>AM303/'2016-17 disagg'!AM303-1</f>
        <v>2.3813903389738655E-2</v>
      </c>
      <c r="BF303" s="176">
        <f>AN303/'2016-17 disagg'!AN303-1</f>
        <v>5.2424584201442581E-2</v>
      </c>
      <c r="BG303" s="176">
        <f>AO303/'2016-17 disagg'!AO303-1</f>
        <v>5.3224382197339493E-2</v>
      </c>
      <c r="BH303" s="176">
        <f>AQ303/'2016-17 disagg'!AQ303-1</f>
        <v>3.1960147969248176E-2</v>
      </c>
      <c r="BJ303" s="176">
        <f>AS303/'2016-17 disagg'!AS303-1</f>
        <v>1.1208128968434483E-2</v>
      </c>
      <c r="BK303" s="176">
        <f>AT303/'2016-17 disagg'!AT303-1</f>
        <v>3.9466538935643891E-2</v>
      </c>
      <c r="BL303" s="176">
        <f>AU303/'2016-17 disagg'!AU303-1</f>
        <v>4.0256489367363812E-2</v>
      </c>
      <c r="BM303" s="176">
        <f>AW303/'2016-17 disagg'!AW303-1</f>
        <v>1.9254072388514398E-2</v>
      </c>
    </row>
    <row r="304" spans="2:65" ht="15" x14ac:dyDescent="0.25">
      <c r="B304" t="s">
        <v>574</v>
      </c>
      <c r="D304" s="55">
        <v>2640504.515413363</v>
      </c>
      <c r="E304" s="166">
        <v>1522.0795465952713</v>
      </c>
      <c r="F304" s="171">
        <f>VLOOKUP(B304,'2017-18'!$B$12:$AMX512,33,FALSE)</f>
        <v>3.1472460225920873E-2</v>
      </c>
      <c r="G304" s="171">
        <f>VLOOKUP(B304,'2017-18'!$B$12:$AMX512,34,FALSE)</f>
        <v>1.8740801735593449E-2</v>
      </c>
      <c r="I304" s="175">
        <v>2675177.5112184198</v>
      </c>
      <c r="J304" s="175">
        <v>1542.0662792162525</v>
      </c>
      <c r="K304" s="171">
        <f t="shared" si="92"/>
        <v>-1.2961007506849476E-2</v>
      </c>
      <c r="L304" s="170">
        <f t="shared" si="92"/>
        <v>-1.2961007506849476E-2</v>
      </c>
      <c r="N304" s="55">
        <v>1978242</v>
      </c>
      <c r="O304" s="55">
        <v>210945</v>
      </c>
      <c r="P304" s="55">
        <v>450146</v>
      </c>
      <c r="R304" s="55">
        <v>450146</v>
      </c>
      <c r="S304" s="55">
        <v>1171.5154133627657</v>
      </c>
      <c r="U304" s="171">
        <v>-1.5468273006490785E-2</v>
      </c>
      <c r="V304" s="171">
        <v>-2.4735417149418071E-2</v>
      </c>
      <c r="AA304" s="55">
        <v>78.215053200896364</v>
      </c>
      <c r="AB304" s="55">
        <v>0</v>
      </c>
      <c r="AC304" s="55">
        <v>1093.3003601618693</v>
      </c>
      <c r="AE304" s="55">
        <v>0</v>
      </c>
      <c r="AF304" s="55">
        <v>0</v>
      </c>
      <c r="AG304" s="55">
        <v>1093.3003601618693</v>
      </c>
      <c r="AI304" s="55">
        <v>985.97737464103079</v>
      </c>
      <c r="AJ304" s="55">
        <v>107.32298552083847</v>
      </c>
      <c r="AK304" s="55">
        <v>0</v>
      </c>
      <c r="AM304" s="55">
        <v>1979306</v>
      </c>
      <c r="AN304" s="55">
        <v>211052</v>
      </c>
      <c r="AO304" s="55">
        <v>450146</v>
      </c>
      <c r="AP304" s="55"/>
      <c r="AQ304" s="55">
        <v>2640504</v>
      </c>
      <c r="AS304" s="175">
        <v>1140.9414986672261</v>
      </c>
      <c r="AT304" s="175">
        <v>121.65778569696418</v>
      </c>
      <c r="AU304" s="175">
        <v>259.47996512871538</v>
      </c>
      <c r="AV304" s="175"/>
      <c r="AW304" s="175">
        <v>1522.0792494929058</v>
      </c>
      <c r="AY304" s="171">
        <v>-1.4938741352870433E-2</v>
      </c>
      <c r="AZ304" s="178">
        <v>-2.4240722748673726E-2</v>
      </c>
      <c r="BA304" s="171">
        <v>1.3043708859727943E-3</v>
      </c>
      <c r="BB304" s="171">
        <f t="shared" si="93"/>
        <v>-1.296120017195701E-2</v>
      </c>
      <c r="BC304" s="171"/>
      <c r="BE304" s="176">
        <f>AM304/'2016-17 disagg'!AM304-1</f>
        <v>2.4351896129490402E-2</v>
      </c>
      <c r="BF304" s="176">
        <f>AN304/'2016-17 disagg'!AN304-1</f>
        <v>5.3353430291172899E-2</v>
      </c>
      <c r="BG304" s="176">
        <f>AO304/'2016-17 disagg'!AO304-1</f>
        <v>5.340924780552414E-2</v>
      </c>
      <c r="BH304" s="176">
        <f>AQ304/'2016-17 disagg'!AQ304-1</f>
        <v>3.1472258887621063E-2</v>
      </c>
      <c r="BJ304" s="176">
        <f>AS304/'2016-17 disagg'!AS304-1</f>
        <v>1.1708128100450077E-2</v>
      </c>
      <c r="BK304" s="176">
        <f>AT304/'2016-17 disagg'!AT304-1</f>
        <v>4.0351690873772883E-2</v>
      </c>
      <c r="BL304" s="176">
        <f>AU304/'2016-17 disagg'!AU304-1</f>
        <v>4.0406819422050821E-2</v>
      </c>
      <c r="BM304" s="176">
        <f>AW304/'2016-17 disagg'!AW304-1</f>
        <v>1.8740602882450386E-2</v>
      </c>
    </row>
    <row r="305" spans="2:65" ht="15" x14ac:dyDescent="0.25">
      <c r="B305" t="s">
        <v>575</v>
      </c>
      <c r="D305" s="55">
        <v>3253188</v>
      </c>
      <c r="E305" s="166">
        <v>1728.786424112692</v>
      </c>
      <c r="F305" s="171">
        <f>VLOOKUP(B305,'2017-18'!$B$12:$AMX513,33,FALSE)</f>
        <v>2.3500774424089821E-2</v>
      </c>
      <c r="G305" s="171">
        <f>VLOOKUP(B305,'2017-18'!$B$12:$AMX513,34,FALSE)</f>
        <v>1.194677761277152E-2</v>
      </c>
      <c r="I305" s="175">
        <v>2996311.9540385883</v>
      </c>
      <c r="J305" s="175">
        <v>1592.2791515733134</v>
      </c>
      <c r="K305" s="171">
        <f t="shared" si="92"/>
        <v>8.5730741625611007E-2</v>
      </c>
      <c r="L305" s="170">
        <f t="shared" si="92"/>
        <v>8.5730741625610785E-2</v>
      </c>
      <c r="N305" s="55">
        <v>2355659</v>
      </c>
      <c r="O305" s="55">
        <v>256315</v>
      </c>
      <c r="P305" s="55">
        <v>641214</v>
      </c>
      <c r="R305" s="55">
        <v>641214</v>
      </c>
      <c r="S305" s="55">
        <v>0</v>
      </c>
      <c r="U305" s="171">
        <v>0.11324537457302042</v>
      </c>
      <c r="V305" s="171">
        <v>-2.7839689074074969E-2</v>
      </c>
      <c r="AA305" s="55">
        <v>0</v>
      </c>
      <c r="AB305" s="55">
        <v>0</v>
      </c>
      <c r="AC305" s="55">
        <v>0</v>
      </c>
      <c r="AE305" s="55">
        <v>0</v>
      </c>
      <c r="AF305" s="55">
        <v>0</v>
      </c>
      <c r="AG305" s="55">
        <v>0</v>
      </c>
      <c r="AI305" s="55">
        <v>0</v>
      </c>
      <c r="AJ305" s="55">
        <v>0</v>
      </c>
      <c r="AK305" s="55">
        <v>0</v>
      </c>
      <c r="AM305" s="55">
        <v>2355659</v>
      </c>
      <c r="AN305" s="55">
        <v>256315</v>
      </c>
      <c r="AO305" s="55">
        <v>641214</v>
      </c>
      <c r="AP305" s="55"/>
      <c r="AQ305" s="55">
        <v>3253188</v>
      </c>
      <c r="AS305" s="175">
        <v>1251.8278375055115</v>
      </c>
      <c r="AT305" s="175">
        <v>136.20912541680488</v>
      </c>
      <c r="AU305" s="175">
        <v>340.7494611903756</v>
      </c>
      <c r="AV305" s="175"/>
      <c r="AW305" s="175">
        <v>1728.786424112692</v>
      </c>
      <c r="AY305" s="171">
        <v>0.11324537457302042</v>
      </c>
      <c r="AZ305" s="178">
        <v>-2.7839689074074969E-2</v>
      </c>
      <c r="BA305" s="171">
        <v>3.9871141340925398E-2</v>
      </c>
      <c r="BB305" s="171">
        <f t="shared" si="93"/>
        <v>8.5730741625611007E-2</v>
      </c>
      <c r="BC305" s="171"/>
      <c r="BE305" s="176">
        <f>AM305/'2016-17 disagg'!AM305-1</f>
        <v>1.3750442719327349E-2</v>
      </c>
      <c r="BF305" s="176">
        <f>AN305/'2016-17 disagg'!AN305-1</f>
        <v>4.282110744944867E-2</v>
      </c>
      <c r="BG305" s="176">
        <f>AO305/'2016-17 disagg'!AO305-1</f>
        <v>5.2906925191381182E-2</v>
      </c>
      <c r="BH305" s="176">
        <f>AQ305/'2016-17 disagg'!AQ305-1</f>
        <v>2.3500774424089821E-2</v>
      </c>
      <c r="BJ305" s="176">
        <f>AS305/'2016-17 disagg'!AS305-1</f>
        <v>2.3065145120013675E-3</v>
      </c>
      <c r="BK305" s="176">
        <f>AT305/'2016-17 disagg'!AT305-1</f>
        <v>3.1049009126390636E-2</v>
      </c>
      <c r="BL305" s="176">
        <f>AU305/'2016-17 disagg'!AU305-1</f>
        <v>4.1020971061916489E-2</v>
      </c>
      <c r="BM305" s="176">
        <f>AW305/'2016-17 disagg'!AW305-1</f>
        <v>1.194677761277152E-2</v>
      </c>
    </row>
    <row r="306" spans="2:65" ht="15" x14ac:dyDescent="0.25">
      <c r="B306"/>
      <c r="D306" s="1"/>
      <c r="N306" s="1"/>
      <c r="O306" s="1"/>
      <c r="P306" s="1"/>
      <c r="R306" s="1"/>
      <c r="S306" s="1"/>
      <c r="AA306" s="1"/>
      <c r="AB306" s="1"/>
      <c r="AC306" s="1"/>
      <c r="AE306" s="1"/>
      <c r="AF306" s="1"/>
      <c r="AG306" s="1"/>
      <c r="AI306" s="1"/>
      <c r="AJ306" s="1"/>
      <c r="AK306" s="1"/>
      <c r="AM306" s="1"/>
      <c r="AN306" s="1"/>
      <c r="AO306" s="1"/>
      <c r="AP306" s="1"/>
      <c r="AQ306" s="1"/>
      <c r="AZ306" s="178"/>
      <c r="BE306" s="1"/>
      <c r="BF306" s="1"/>
      <c r="BG306" s="1"/>
      <c r="BH306" s="1"/>
      <c r="BJ306" s="1"/>
      <c r="BK306" s="1"/>
      <c r="BL306" s="1"/>
      <c r="BM306" s="1"/>
    </row>
    <row r="307" spans="2:65" ht="15" x14ac:dyDescent="0.25">
      <c r="B307" t="s">
        <v>12</v>
      </c>
      <c r="D307" s="172">
        <f>SUM(D294:D305)</f>
        <v>94829648.989833832</v>
      </c>
      <c r="E307" s="166">
        <v>1630.1113440537299</v>
      </c>
      <c r="F307" s="171">
        <f>VLOOKUP(B307,'2017-18'!$B$12:$AMX515,33,FALSE)</f>
        <v>2.6372146988571377E-2</v>
      </c>
      <c r="G307" s="171">
        <f>VLOOKUP(B307,'2017-18'!$B$12:$AMX515,34,FALSE)</f>
        <v>1.903493978286197E-2</v>
      </c>
      <c r="I307" s="175">
        <f>SUM(I294:I305)</f>
        <v>94829716.878834367</v>
      </c>
      <c r="J307" s="175">
        <v>1630.1125110582595</v>
      </c>
      <c r="K307" s="171">
        <f t="shared" ref="K307:L307" si="94">D307/I307-1</f>
        <v>-7.159042837434626E-7</v>
      </c>
      <c r="L307" s="170">
        <f t="shared" si="94"/>
        <v>-7.159042837434626E-7</v>
      </c>
      <c r="N307" s="172">
        <f>SUM(N294:N305)</f>
        <v>71954598</v>
      </c>
      <c r="O307" s="172">
        <f>SUM(O294:O305)</f>
        <v>7567562</v>
      </c>
      <c r="P307" s="172">
        <f>SUM(P294:P305)</f>
        <v>15203166</v>
      </c>
      <c r="R307" s="172">
        <f>SUM(R294:R305)</f>
        <v>15203166</v>
      </c>
      <c r="S307" s="172">
        <f>SUM(S294:S305)</f>
        <v>104322.98983382812</v>
      </c>
      <c r="U307" s="171">
        <v>-1.4304680311547635E-3</v>
      </c>
      <c r="V307" s="171">
        <v>-9.7511990803988979E-5</v>
      </c>
      <c r="AA307" s="172">
        <f>SUM(AA294:AA305)</f>
        <v>38889.293782652167</v>
      </c>
      <c r="AB307" s="172">
        <f>SUM(AB294:AB305)</f>
        <v>0</v>
      </c>
      <c r="AC307" s="172">
        <f>SUM(AC294:AC305)</f>
        <v>65433.696051175953</v>
      </c>
      <c r="AE307" s="172">
        <f>SUM(AE294:AE305)</f>
        <v>0</v>
      </c>
      <c r="AF307" s="172">
        <f>SUM(AF294:AF305)</f>
        <v>1649.3178586658119</v>
      </c>
      <c r="AG307" s="172">
        <f>SUM(AG294:AG305)</f>
        <v>63784.378192510143</v>
      </c>
      <c r="AI307" s="172">
        <f>SUM(AI294:AI305)</f>
        <v>57829.88681120707</v>
      </c>
      <c r="AJ307" s="172">
        <f>SUM(AJ294:AJ305)</f>
        <v>5954.4913813030716</v>
      </c>
      <c r="AK307" s="172">
        <f>SUM(AK294:AK305)</f>
        <v>0</v>
      </c>
      <c r="AM307" s="172">
        <f>SUM(AM294:AM305)</f>
        <v>72051316</v>
      </c>
      <c r="AN307" s="172">
        <f>SUM(AN294:AN305)</f>
        <v>7575166</v>
      </c>
      <c r="AO307" s="172">
        <f>SUM(AO294:AO305)</f>
        <v>15203166</v>
      </c>
      <c r="AP307" s="172"/>
      <c r="AQ307" s="172">
        <f>SUM(AQ294:AQ305)</f>
        <v>94829648</v>
      </c>
      <c r="AS307" s="175">
        <v>1238.55427934982</v>
      </c>
      <c r="AT307" s="175">
        <v>130.21627899322834</v>
      </c>
      <c r="AU307" s="175">
        <v>261.34076869554588</v>
      </c>
      <c r="AV307" s="175"/>
      <c r="AW307" s="175">
        <v>1630.1113270385943</v>
      </c>
      <c r="AY307" s="171">
        <v>-8.8237643140254285E-5</v>
      </c>
      <c r="AZ307" s="178">
        <v>9.072050526535147E-4</v>
      </c>
      <c r="BA307" s="171">
        <v>-3.793010082742132E-5</v>
      </c>
      <c r="BB307" s="171">
        <f t="shared" ref="BB307" si="95">SUM(AM307:AO307)/I307-1</f>
        <v>-7.2634229686396878E-7</v>
      </c>
      <c r="BC307" s="171"/>
      <c r="BE307" s="176">
        <f>AM307/'2016-17 disagg'!AM307-1</f>
        <v>2.1405663278374121E-2</v>
      </c>
      <c r="BF307" s="176">
        <f>AN307/'2016-17 disagg'!AN307-1</f>
        <v>3.1444548986074849E-2</v>
      </c>
      <c r="BG307" s="176">
        <f>AO307/'2016-17 disagg'!AO307-1</f>
        <v>4.7953318438952008E-2</v>
      </c>
      <c r="BH307" s="176">
        <f>AQ307/'2016-17 disagg'!AQ307-1</f>
        <v>2.6372136275277791E-2</v>
      </c>
      <c r="BJ307" s="176">
        <f>AS307/'2016-17 disagg'!AS307-1</f>
        <v>1.4103959881075934E-2</v>
      </c>
      <c r="BK307" s="176">
        <f>AT307/'2016-17 disagg'!AT307-1</f>
        <v>2.4071080795891042E-2</v>
      </c>
      <c r="BL307" s="176">
        <f>AU307/'2016-17 disagg'!AU307-1</f>
        <v>4.0461834320001611E-2</v>
      </c>
      <c r="BM307" s="176">
        <f>AW307/'2016-17 disagg'!AW307-1</f>
        <v>1.9034929146154012E-2</v>
      </c>
    </row>
    <row r="308" spans="2:65" ht="15" x14ac:dyDescent="0.25">
      <c r="B308"/>
      <c r="D308" s="1"/>
      <c r="N308" s="1"/>
      <c r="O308" s="1"/>
      <c r="P308" s="1"/>
      <c r="R308" s="1"/>
      <c r="S308" s="1"/>
      <c r="AA308" s="1"/>
      <c r="AB308" s="1"/>
      <c r="AC308" s="1"/>
      <c r="AE308" s="1"/>
      <c r="AF308" s="1"/>
      <c r="AG308" s="1"/>
      <c r="AI308" s="1"/>
      <c r="AJ308" s="1"/>
      <c r="AK308" s="1"/>
      <c r="AM308" s="1"/>
      <c r="AN308" s="1"/>
      <c r="AO308" s="1"/>
      <c r="AP308" s="1"/>
      <c r="AQ308" s="1"/>
      <c r="AZ308" s="178"/>
      <c r="BE308" s="1"/>
      <c r="BF308" s="1"/>
      <c r="BG308" s="1"/>
      <c r="BH308" s="1"/>
      <c r="BJ308" s="1"/>
      <c r="BK308" s="1"/>
      <c r="BL308" s="1"/>
      <c r="BM308" s="1"/>
    </row>
    <row r="309" spans="2:65" x14ac:dyDescent="0.2">
      <c r="B309" s="43" t="s">
        <v>576</v>
      </c>
      <c r="D309" s="1"/>
      <c r="N309" s="1"/>
      <c r="O309" s="1"/>
      <c r="P309" s="1"/>
      <c r="R309" s="1"/>
      <c r="S309" s="1"/>
      <c r="AA309" s="1"/>
      <c r="AB309" s="1"/>
      <c r="AC309" s="1"/>
      <c r="AE309" s="1"/>
      <c r="AF309" s="1"/>
      <c r="AG309" s="1"/>
      <c r="AI309" s="1"/>
      <c r="AJ309" s="1"/>
      <c r="AK309" s="1"/>
      <c r="AM309" s="1"/>
      <c r="AN309" s="1"/>
      <c r="AO309" s="1"/>
      <c r="AP309" s="1"/>
      <c r="AQ309" s="1"/>
      <c r="AZ309" s="178"/>
      <c r="BE309" s="1"/>
      <c r="BF309" s="1"/>
      <c r="BG309" s="1"/>
      <c r="BH309" s="1"/>
      <c r="BJ309" s="1"/>
      <c r="BK309" s="1"/>
      <c r="BL309" s="1"/>
      <c r="BM309" s="1"/>
    </row>
    <row r="310" spans="2:65" ht="15" x14ac:dyDescent="0.25">
      <c r="B310"/>
      <c r="D310" s="1"/>
      <c r="N310" s="1"/>
      <c r="O310" s="1"/>
      <c r="P310" s="1"/>
      <c r="R310" s="1"/>
      <c r="S310" s="1"/>
      <c r="AA310" s="1"/>
      <c r="AB310" s="1"/>
      <c r="AC310" s="1"/>
      <c r="AE310" s="1"/>
      <c r="AF310" s="1"/>
      <c r="AG310" s="1"/>
      <c r="AI310" s="1"/>
      <c r="AJ310" s="1"/>
      <c r="AK310" s="1"/>
      <c r="AM310" s="1"/>
      <c r="AN310" s="1"/>
      <c r="AO310" s="1"/>
      <c r="AP310" s="1"/>
      <c r="AQ310" s="1"/>
      <c r="AZ310" s="178"/>
      <c r="BE310" s="1"/>
      <c r="BF310" s="1"/>
      <c r="BG310" s="1"/>
      <c r="BH310" s="1"/>
      <c r="BJ310" s="1"/>
      <c r="BK310" s="1"/>
      <c r="BL310" s="1"/>
      <c r="BM310" s="1"/>
    </row>
    <row r="311" spans="2:65" ht="15" x14ac:dyDescent="0.25">
      <c r="B311" t="s">
        <v>577</v>
      </c>
      <c r="D311" s="55">
        <v>5951304.3056469243</v>
      </c>
      <c r="E311" s="166">
        <v>1823.9954644872321</v>
      </c>
      <c r="F311" s="171">
        <f>VLOOKUP(B311,'2017-18'!$B$12:$AMX519,33,FALSE)</f>
        <v>2.1161429910988794E-2</v>
      </c>
      <c r="G311" s="171">
        <f>VLOOKUP(B311,'2017-18'!$B$12:$AMX519,34,FALSE)</f>
        <v>1.853806077288378E-2</v>
      </c>
      <c r="I311" s="175">
        <v>5770643.0778281493</v>
      </c>
      <c r="J311" s="175">
        <v>1768.6252055949976</v>
      </c>
      <c r="K311" s="171">
        <f t="shared" ref="K311:L323" si="96">D311/I311-1</f>
        <v>3.1306948875924778E-2</v>
      </c>
      <c r="L311" s="170">
        <f t="shared" si="96"/>
        <v>3.1306948875924778E-2</v>
      </c>
      <c r="N311" s="55">
        <v>4682436</v>
      </c>
      <c r="O311" s="55">
        <v>450222</v>
      </c>
      <c r="P311" s="55">
        <v>817743</v>
      </c>
      <c r="R311" s="55">
        <v>817743</v>
      </c>
      <c r="S311" s="55">
        <v>903.30564692406915</v>
      </c>
      <c r="U311" s="171">
        <v>3.8430740627272142E-2</v>
      </c>
      <c r="V311" s="171">
        <v>2.8209890120274972E-2</v>
      </c>
      <c r="AA311" s="55">
        <v>0</v>
      </c>
      <c r="AB311" s="55">
        <v>0</v>
      </c>
      <c r="AC311" s="55">
        <v>903.30564692406915</v>
      </c>
      <c r="AE311" s="55">
        <v>0</v>
      </c>
      <c r="AF311" s="55">
        <v>530.92403058868399</v>
      </c>
      <c r="AG311" s="55">
        <v>372.38161633538516</v>
      </c>
      <c r="AI311" s="55">
        <v>340.81509135499135</v>
      </c>
      <c r="AJ311" s="55">
        <v>31.566524980393783</v>
      </c>
      <c r="AK311" s="55">
        <v>0</v>
      </c>
      <c r="AM311" s="55">
        <v>4682777</v>
      </c>
      <c r="AN311" s="55">
        <v>450784</v>
      </c>
      <c r="AO311" s="55">
        <v>817743</v>
      </c>
      <c r="AP311" s="55"/>
      <c r="AQ311" s="55">
        <v>5951304</v>
      </c>
      <c r="AS311" s="175">
        <v>1435.2087492989751</v>
      </c>
      <c r="AT311" s="175">
        <v>138.15928899539509</v>
      </c>
      <c r="AU311" s="175">
        <v>250.62733251615265</v>
      </c>
      <c r="AV311" s="175"/>
      <c r="AW311" s="175">
        <v>1823.9953708105229</v>
      </c>
      <c r="AY311" s="171">
        <v>3.8506364700415574E-2</v>
      </c>
      <c r="AZ311" s="178">
        <v>2.949337684070974E-2</v>
      </c>
      <c r="BA311" s="171">
        <v>-7.1442060803884599E-3</v>
      </c>
      <c r="BB311" s="171">
        <f t="shared" ref="BB311:BB323" si="97">SUM(AM311:AO311)/I311-1</f>
        <v>3.1306895910090615E-2</v>
      </c>
      <c r="BC311" s="171"/>
      <c r="BE311" s="176">
        <f>AM311/'2016-17 disagg'!AM311-1</f>
        <v>1.7821749037066015E-2</v>
      </c>
      <c r="BF311" s="176">
        <f>AN311/'2016-17 disagg'!AN311-1</f>
        <v>1.7226672684192756E-2</v>
      </c>
      <c r="BG311" s="176">
        <f>AO311/'2016-17 disagg'!AO311-1</f>
        <v>4.2982336427976442E-2</v>
      </c>
      <c r="BH311" s="176">
        <f>AQ311/'2016-17 disagg'!AQ311-1</f>
        <v>2.1161377466207831E-2</v>
      </c>
      <c r="BJ311" s="176">
        <f>AS311/'2016-17 disagg'!AS311-1</f>
        <v>1.5206959556867572E-2</v>
      </c>
      <c r="BK311" s="176">
        <f>AT311/'2016-17 disagg'!AT311-1</f>
        <v>1.4613411958306122E-2</v>
      </c>
      <c r="BL311" s="176">
        <f>AU311/'2016-17 disagg'!AU311-1</f>
        <v>4.0302909265111486E-2</v>
      </c>
      <c r="BM311" s="176">
        <f>AW311/'2016-17 disagg'!AW311-1</f>
        <v>1.8538008462833933E-2</v>
      </c>
    </row>
    <row r="312" spans="2:65" ht="15" x14ac:dyDescent="0.25">
      <c r="B312" t="s">
        <v>578</v>
      </c>
      <c r="D312" s="55">
        <v>8017574.0508226585</v>
      </c>
      <c r="E312" s="166">
        <v>1773.6817919229604</v>
      </c>
      <c r="F312" s="171">
        <f>VLOOKUP(B312,'2017-18'!$B$12:$AMX520,33,FALSE)</f>
        <v>2.6098962100747691E-2</v>
      </c>
      <c r="G312" s="171">
        <f>VLOOKUP(B312,'2017-18'!$B$12:$AMX520,34,FALSE)</f>
        <v>2.1189775518997589E-2</v>
      </c>
      <c r="I312" s="175">
        <v>8033010.6998066446</v>
      </c>
      <c r="J312" s="175">
        <v>1777.0967529894433</v>
      </c>
      <c r="K312" s="171">
        <f t="shared" si="96"/>
        <v>-1.9216517394103905E-3</v>
      </c>
      <c r="L312" s="170">
        <f t="shared" si="96"/>
        <v>-1.9216517394105015E-3</v>
      </c>
      <c r="N312" s="55">
        <v>6043368</v>
      </c>
      <c r="O312" s="55">
        <v>606895</v>
      </c>
      <c r="P312" s="55">
        <v>1365889</v>
      </c>
      <c r="R312" s="55">
        <v>1365889</v>
      </c>
      <c r="S312" s="55">
        <v>1422.0508226581733</v>
      </c>
      <c r="U312" s="171">
        <v>-1.1150376969448317E-2</v>
      </c>
      <c r="V312" s="171">
        <v>-1.8828294310540672E-2</v>
      </c>
      <c r="AA312" s="55">
        <v>0</v>
      </c>
      <c r="AB312" s="55">
        <v>0</v>
      </c>
      <c r="AC312" s="55">
        <v>1422.0508226581733</v>
      </c>
      <c r="AE312" s="55">
        <v>0</v>
      </c>
      <c r="AF312" s="55">
        <v>0</v>
      </c>
      <c r="AG312" s="55">
        <v>1422.0508226581733</v>
      </c>
      <c r="AI312" s="55">
        <v>1291.8271014354136</v>
      </c>
      <c r="AJ312" s="55">
        <v>130.22372122275939</v>
      </c>
      <c r="AK312" s="55">
        <v>0</v>
      </c>
      <c r="AM312" s="55">
        <v>6044660</v>
      </c>
      <c r="AN312" s="55">
        <v>607025</v>
      </c>
      <c r="AO312" s="55">
        <v>1365889</v>
      </c>
      <c r="AP312" s="55"/>
      <c r="AQ312" s="55">
        <v>8017574</v>
      </c>
      <c r="AS312" s="175">
        <v>1337.2253642315861</v>
      </c>
      <c r="AT312" s="175">
        <v>134.2886492743477</v>
      </c>
      <c r="AU312" s="175">
        <v>302.16776717382231</v>
      </c>
      <c r="AV312" s="175"/>
      <c r="AW312" s="175">
        <v>1773.681780679756</v>
      </c>
      <c r="AY312" s="171">
        <v>-1.0938972713914752E-2</v>
      </c>
      <c r="AZ312" s="178">
        <v>-1.8618122333939002E-2</v>
      </c>
      <c r="BA312" s="171">
        <v>4.8300217062192008E-2</v>
      </c>
      <c r="BB312" s="171">
        <f t="shared" si="97"/>
        <v>-1.9216580661365334E-3</v>
      </c>
      <c r="BC312" s="171"/>
      <c r="BE312" s="176">
        <f>AM312/'2016-17 disagg'!AM312-1</f>
        <v>2.0416224939733718E-2</v>
      </c>
      <c r="BF312" s="176">
        <f>AN312/'2016-17 disagg'!AN312-1</f>
        <v>4.038480655124066E-2</v>
      </c>
      <c r="BG312" s="176">
        <f>AO312/'2016-17 disagg'!AO312-1</f>
        <v>4.5485371200431057E-2</v>
      </c>
      <c r="BH312" s="176">
        <f>AQ312/'2016-17 disagg'!AQ312-1</f>
        <v>2.6098955596401519E-2</v>
      </c>
      <c r="BJ312" s="176">
        <f>AS312/'2016-17 disagg'!AS312-1</f>
        <v>1.5534226395443218E-2</v>
      </c>
      <c r="BK312" s="176">
        <f>AT312/'2016-17 disagg'!AT312-1</f>
        <v>3.5407271907095472E-2</v>
      </c>
      <c r="BL312" s="176">
        <f>AU312/'2016-17 disagg'!AU312-1</f>
        <v>4.0483433818869763E-2</v>
      </c>
      <c r="BM312" s="176">
        <f>AW312/'2016-17 disagg'!AW312-1</f>
        <v>2.1189769045770301E-2</v>
      </c>
    </row>
    <row r="313" spans="2:65" ht="15" x14ac:dyDescent="0.25">
      <c r="B313" t="s">
        <v>579</v>
      </c>
      <c r="D313" s="55">
        <v>4737375.4895421164</v>
      </c>
      <c r="E313" s="166">
        <v>1832.1395546440658</v>
      </c>
      <c r="F313" s="171">
        <f>VLOOKUP(B313,'2017-18'!$B$12:$AMX521,33,FALSE)</f>
        <v>2.372345397318143E-2</v>
      </c>
      <c r="G313" s="171">
        <f>VLOOKUP(B313,'2017-18'!$B$12:$AMX521,34,FALSE)</f>
        <v>2.0853236849315948E-2</v>
      </c>
      <c r="I313" s="175">
        <v>4661794.1204449618</v>
      </c>
      <c r="J313" s="175">
        <v>1802.9091049525143</v>
      </c>
      <c r="K313" s="171">
        <f t="shared" si="96"/>
        <v>1.6212935866404266E-2</v>
      </c>
      <c r="L313" s="170">
        <f t="shared" si="96"/>
        <v>1.6212935866404266E-2</v>
      </c>
      <c r="N313" s="55">
        <v>3664761</v>
      </c>
      <c r="O313" s="55">
        <v>355794</v>
      </c>
      <c r="P313" s="55">
        <v>716033</v>
      </c>
      <c r="R313" s="55">
        <v>716033</v>
      </c>
      <c r="S313" s="55">
        <v>787.48954211641103</v>
      </c>
      <c r="U313" s="171">
        <v>8.6044928546680222E-3</v>
      </c>
      <c r="V313" s="171">
        <v>7.8322369095369382E-3</v>
      </c>
      <c r="AA313" s="55">
        <v>0</v>
      </c>
      <c r="AB313" s="55">
        <v>0</v>
      </c>
      <c r="AC313" s="55">
        <v>787.48954211641103</v>
      </c>
      <c r="AE313" s="55">
        <v>0</v>
      </c>
      <c r="AF313" s="55">
        <v>0</v>
      </c>
      <c r="AG313" s="55">
        <v>787.48954211641103</v>
      </c>
      <c r="AI313" s="55">
        <v>717.53802607788964</v>
      </c>
      <c r="AJ313" s="55">
        <v>69.951516038521419</v>
      </c>
      <c r="AK313" s="55">
        <v>0</v>
      </c>
      <c r="AM313" s="55">
        <v>3665479</v>
      </c>
      <c r="AN313" s="55">
        <v>355864</v>
      </c>
      <c r="AO313" s="55">
        <v>716033</v>
      </c>
      <c r="AP313" s="55"/>
      <c r="AQ313" s="55">
        <v>4737376</v>
      </c>
      <c r="AS313" s="175">
        <v>1417.5927319762168</v>
      </c>
      <c r="AT313" s="175">
        <v>137.62736602009844</v>
      </c>
      <c r="AU313" s="175">
        <v>276.91965406298232</v>
      </c>
      <c r="AV313" s="175"/>
      <c r="AW313" s="175">
        <v>1832.1397520592975</v>
      </c>
      <c r="AY313" s="171">
        <v>8.8020986537553636E-3</v>
      </c>
      <c r="AZ313" s="178">
        <v>8.0305209069726491E-3</v>
      </c>
      <c r="BA313" s="171">
        <v>6.0367803179675938E-2</v>
      </c>
      <c r="BB313" s="171">
        <f t="shared" si="97"/>
        <v>1.6213045364565248E-2</v>
      </c>
      <c r="BC313" s="171"/>
      <c r="BE313" s="176">
        <f>AM313/'2016-17 disagg'!AM313-1</f>
        <v>1.9049708114467823E-2</v>
      </c>
      <c r="BF313" s="176">
        <f>AN313/'2016-17 disagg'!AN313-1</f>
        <v>3.3896286138461296E-2</v>
      </c>
      <c r="BG313" s="176">
        <f>AO313/'2016-17 disagg'!AO313-1</f>
        <v>4.3113871901031109E-2</v>
      </c>
      <c r="BH313" s="176">
        <f>AQ313/'2016-17 disagg'!AQ313-1</f>
        <v>2.3723564280609732E-2</v>
      </c>
      <c r="BJ313" s="176">
        <f>AS313/'2016-17 disagg'!AS313-1</f>
        <v>1.6192594788648762E-2</v>
      </c>
      <c r="BK313" s="176">
        <f>AT313/'2016-17 disagg'!AT313-1</f>
        <v>3.0997547408525783E-2</v>
      </c>
      <c r="BL313" s="176">
        <f>AU313/'2016-17 disagg'!AU313-1</f>
        <v>4.018928979279468E-2</v>
      </c>
      <c r="BM313" s="176">
        <f>AW313/'2016-17 disagg'!AW313-1</f>
        <v>2.0853346847474974E-2</v>
      </c>
    </row>
    <row r="314" spans="2:65" ht="15" x14ac:dyDescent="0.25">
      <c r="B314" t="s">
        <v>580</v>
      </c>
      <c r="D314" s="55">
        <v>9574312.0903060902</v>
      </c>
      <c r="E314" s="166">
        <v>1655.217396492857</v>
      </c>
      <c r="F314" s="171">
        <f>VLOOKUP(B314,'2017-18'!$B$12:$AMX522,33,FALSE)</f>
        <v>2.2984571889579142E-2</v>
      </c>
      <c r="G314" s="171">
        <f>VLOOKUP(B314,'2017-18'!$B$12:$AMX522,34,FALSE)</f>
        <v>1.7894780308996383E-2</v>
      </c>
      <c r="I314" s="175">
        <v>9319921.576225467</v>
      </c>
      <c r="J314" s="175">
        <v>1611.2380901534139</v>
      </c>
      <c r="K314" s="171">
        <f t="shared" si="96"/>
        <v>2.7295349215121778E-2</v>
      </c>
      <c r="L314" s="170">
        <f t="shared" si="96"/>
        <v>2.7295349215121778E-2</v>
      </c>
      <c r="N314" s="55">
        <v>7387387</v>
      </c>
      <c r="O314" s="55">
        <v>770335</v>
      </c>
      <c r="P314" s="55">
        <v>1414370</v>
      </c>
      <c r="R314" s="55">
        <v>1414370</v>
      </c>
      <c r="S314" s="55">
        <v>2220.0903060900746</v>
      </c>
      <c r="U314" s="171">
        <v>2.5562648113534925E-2</v>
      </c>
      <c r="V314" s="171">
        <v>1.627380233037945E-2</v>
      </c>
      <c r="AA314" s="55">
        <v>1354.0127626969479</v>
      </c>
      <c r="AB314" s="55">
        <v>0</v>
      </c>
      <c r="AC314" s="55">
        <v>866.07754339312669</v>
      </c>
      <c r="AE314" s="55">
        <v>0</v>
      </c>
      <c r="AF314" s="55">
        <v>257.61408571834323</v>
      </c>
      <c r="AG314" s="55">
        <v>608.46345767478351</v>
      </c>
      <c r="AI314" s="55">
        <v>549.13217867588412</v>
      </c>
      <c r="AJ314" s="55">
        <v>59.331278998899357</v>
      </c>
      <c r="AK314" s="55">
        <v>0</v>
      </c>
      <c r="AM314" s="55">
        <v>7389290</v>
      </c>
      <c r="AN314" s="55">
        <v>770652</v>
      </c>
      <c r="AO314" s="55">
        <v>1414370</v>
      </c>
      <c r="AP314" s="55"/>
      <c r="AQ314" s="55">
        <v>9574312</v>
      </c>
      <c r="AS314" s="175">
        <v>1277.4684217902577</v>
      </c>
      <c r="AT314" s="175">
        <v>133.23114862043656</v>
      </c>
      <c r="AU314" s="175">
        <v>244.51781046994864</v>
      </c>
      <c r="AV314" s="175"/>
      <c r="AW314" s="175">
        <v>1655.2173808806428</v>
      </c>
      <c r="AY314" s="171">
        <v>2.5826834316228675E-2</v>
      </c>
      <c r="AZ314" s="178">
        <v>1.6692008429464389E-2</v>
      </c>
      <c r="BA314" s="171">
        <v>4.0996490494641602E-2</v>
      </c>
      <c r="BB314" s="171">
        <f t="shared" si="97"/>
        <v>2.7295339525545748E-2</v>
      </c>
      <c r="BC314" s="171"/>
      <c r="BE314" s="176">
        <f>AM314/'2016-17 disagg'!AM314-1</f>
        <v>1.8745196168653777E-2</v>
      </c>
      <c r="BF314" s="176">
        <f>AN314/'2016-17 disagg'!AN314-1</f>
        <v>2.3352534837584038E-2</v>
      </c>
      <c r="BG314" s="176">
        <f>AO314/'2016-17 disagg'!AO314-1</f>
        <v>4.5509918657839599E-2</v>
      </c>
      <c r="BH314" s="176">
        <f>AQ314/'2016-17 disagg'!AQ314-1</f>
        <v>2.2984562240662809E-2</v>
      </c>
      <c r="BJ314" s="176">
        <f>AS314/'2016-17 disagg'!AS314-1</f>
        <v>1.3676497319519809E-2</v>
      </c>
      <c r="BK314" s="176">
        <f>AT314/'2016-17 disagg'!AT314-1</f>
        <v>1.8260912481869118E-2</v>
      </c>
      <c r="BL314" s="176">
        <f>AU314/'2016-17 disagg'!AU314-1</f>
        <v>4.0308053715173653E-2</v>
      </c>
      <c r="BM314" s="176">
        <f>AW314/'2016-17 disagg'!AW314-1</f>
        <v>1.7894770708087426E-2</v>
      </c>
    </row>
    <row r="315" spans="2:65" ht="15" x14ac:dyDescent="0.25">
      <c r="B315" t="s">
        <v>581</v>
      </c>
      <c r="D315" s="55">
        <v>7277031.3999358285</v>
      </c>
      <c r="E315" s="166">
        <v>1631.8963922750772</v>
      </c>
      <c r="F315" s="171">
        <f>VLOOKUP(B315,'2017-18'!$B$12:$AMX523,33,FALSE)</f>
        <v>2.6422167567432098E-2</v>
      </c>
      <c r="G315" s="171">
        <f>VLOOKUP(B315,'2017-18'!$B$12:$AMX523,34,FALSE)</f>
        <v>1.9928629765464612E-2</v>
      </c>
      <c r="I315" s="175">
        <v>7349721.7894747369</v>
      </c>
      <c r="J315" s="175">
        <v>1648.1974328948361</v>
      </c>
      <c r="K315" s="171">
        <f t="shared" si="96"/>
        <v>-9.8902232793363076E-3</v>
      </c>
      <c r="L315" s="170">
        <f t="shared" si="96"/>
        <v>-9.8902232793363076E-3</v>
      </c>
      <c r="N315" s="55">
        <v>5439350</v>
      </c>
      <c r="O315" s="55">
        <v>590744</v>
      </c>
      <c r="P315" s="55">
        <v>1243798</v>
      </c>
      <c r="R315" s="55">
        <v>1243798</v>
      </c>
      <c r="S315" s="55">
        <v>3139.3999358286383</v>
      </c>
      <c r="U315" s="171">
        <v>-1.8871968490229318E-2</v>
      </c>
      <c r="V315" s="171">
        <v>-8.2605621526837814E-3</v>
      </c>
      <c r="AA315" s="55">
        <v>272.65151104819961</v>
      </c>
      <c r="AB315" s="55">
        <v>0</v>
      </c>
      <c r="AC315" s="55">
        <v>2866.7484247804387</v>
      </c>
      <c r="AE315" s="55">
        <v>0</v>
      </c>
      <c r="AF315" s="55">
        <v>0</v>
      </c>
      <c r="AG315" s="55">
        <v>2866.7484247804387</v>
      </c>
      <c r="AI315" s="55">
        <v>2575.5661131496631</v>
      </c>
      <c r="AJ315" s="55">
        <v>291.18231163077542</v>
      </c>
      <c r="AK315" s="55">
        <v>0</v>
      </c>
      <c r="AM315" s="55">
        <v>5442199</v>
      </c>
      <c r="AN315" s="55">
        <v>591035</v>
      </c>
      <c r="AO315" s="55">
        <v>1243798</v>
      </c>
      <c r="AP315" s="55"/>
      <c r="AQ315" s="55">
        <v>7277032</v>
      </c>
      <c r="AS315" s="175">
        <v>1220.4296540786329</v>
      </c>
      <c r="AT315" s="175">
        <v>132.54139376350713</v>
      </c>
      <c r="AU315" s="175">
        <v>278.92547899915007</v>
      </c>
      <c r="AV315" s="175"/>
      <c r="AW315" s="175">
        <v>1631.8965268412901</v>
      </c>
      <c r="AY315" s="171">
        <v>-1.8358077352175872E-2</v>
      </c>
      <c r="AZ315" s="178">
        <v>-7.7720321355975175E-3</v>
      </c>
      <c r="BA315" s="171">
        <v>2.786297360303891E-2</v>
      </c>
      <c r="BB315" s="171">
        <f t="shared" si="97"/>
        <v>-9.8901416348620153E-3</v>
      </c>
      <c r="BC315" s="171"/>
      <c r="BE315" s="176">
        <f>AM315/'2016-17 disagg'!AM315-1</f>
        <v>2.0457148835977046E-2</v>
      </c>
      <c r="BF315" s="176">
        <f>AN315/'2016-17 disagg'!AN315-1</f>
        <v>3.9224443362105177E-2</v>
      </c>
      <c r="BG315" s="176">
        <f>AO315/'2016-17 disagg'!AO315-1</f>
        <v>4.7073778496144358E-2</v>
      </c>
      <c r="BH315" s="176">
        <f>AQ315/'2016-17 disagg'!AQ315-1</f>
        <v>2.6422252206226959E-2</v>
      </c>
      <c r="BJ315" s="176">
        <f>AS315/'2016-17 disagg'!AS315-1</f>
        <v>1.4001348015775905E-2</v>
      </c>
      <c r="BK315" s="176">
        <f>AT315/'2016-17 disagg'!AT315-1</f>
        <v>3.2649913484507742E-2</v>
      </c>
      <c r="BL315" s="176">
        <f>AU315/'2016-17 disagg'!AU315-1</f>
        <v>4.0449590733104168E-2</v>
      </c>
      <c r="BM315" s="176">
        <f>AW315/'2016-17 disagg'!AW315-1</f>
        <v>1.9928713868802239E-2</v>
      </c>
    </row>
    <row r="316" spans="2:65" ht="15" x14ac:dyDescent="0.25">
      <c r="B316" t="s">
        <v>582</v>
      </c>
      <c r="D316" s="55">
        <v>6062307.9450288853</v>
      </c>
      <c r="E316" s="166">
        <v>1624.0122185645791</v>
      </c>
      <c r="F316" s="171">
        <f>VLOOKUP(B316,'2017-18'!$B$12:$AMX524,33,FALSE)</f>
        <v>2.3671573302421978E-2</v>
      </c>
      <c r="G316" s="171">
        <f>VLOOKUP(B316,'2017-18'!$B$12:$AMX524,34,FALSE)</f>
        <v>1.8791967961818923E-2</v>
      </c>
      <c r="I316" s="175">
        <v>6082486.8821075317</v>
      </c>
      <c r="J316" s="175">
        <v>1629.4178892547723</v>
      </c>
      <c r="K316" s="171">
        <f t="shared" si="96"/>
        <v>-3.3175471595352501E-3</v>
      </c>
      <c r="L316" s="170">
        <f t="shared" si="96"/>
        <v>-3.3175471595352501E-3</v>
      </c>
      <c r="N316" s="55">
        <v>4656668</v>
      </c>
      <c r="O316" s="55">
        <v>483819</v>
      </c>
      <c r="P316" s="55">
        <v>918272</v>
      </c>
      <c r="R316" s="55">
        <v>918272</v>
      </c>
      <c r="S316" s="55">
        <v>3548.9450288860826</v>
      </c>
      <c r="U316" s="171">
        <v>-4.9825846224482717E-3</v>
      </c>
      <c r="V316" s="171">
        <v>1.958108780021206E-2</v>
      </c>
      <c r="AA316" s="55">
        <v>2880.2774805384688</v>
      </c>
      <c r="AB316" s="55">
        <v>0</v>
      </c>
      <c r="AC316" s="55">
        <v>668.66754834761377</v>
      </c>
      <c r="AE316" s="55">
        <v>0</v>
      </c>
      <c r="AF316" s="55">
        <v>0</v>
      </c>
      <c r="AG316" s="55">
        <v>668.66754834761377</v>
      </c>
      <c r="AI316" s="55">
        <v>606.91550009871173</v>
      </c>
      <c r="AJ316" s="55">
        <v>61.752048248902064</v>
      </c>
      <c r="AK316" s="55">
        <v>0</v>
      </c>
      <c r="AM316" s="55">
        <v>4660155</v>
      </c>
      <c r="AN316" s="55">
        <v>483881</v>
      </c>
      <c r="AO316" s="55">
        <v>918272</v>
      </c>
      <c r="AP316" s="55"/>
      <c r="AQ316" s="55">
        <v>6062308</v>
      </c>
      <c r="AS316" s="175">
        <v>1248.3939662964046</v>
      </c>
      <c r="AT316" s="175">
        <v>129.62532808575477</v>
      </c>
      <c r="AU316" s="175">
        <v>245.99293890845522</v>
      </c>
      <c r="AV316" s="175"/>
      <c r="AW316" s="175">
        <v>1624.0122332906146</v>
      </c>
      <c r="AY316" s="171">
        <v>-4.2374969916741945E-3</v>
      </c>
      <c r="AZ316" s="178">
        <v>1.9711744156088118E-2</v>
      </c>
      <c r="BA316" s="171">
        <v>-1.0454195354098417E-2</v>
      </c>
      <c r="BB316" s="171">
        <f t="shared" si="97"/>
        <v>-3.3175381219301414E-3</v>
      </c>
      <c r="BC316" s="171"/>
      <c r="BE316" s="176">
        <f>AM316/'2016-17 disagg'!AM316-1</f>
        <v>2.013964502948018E-2</v>
      </c>
      <c r="BF316" s="176">
        <f>AN316/'2016-17 disagg'!AN316-1</f>
        <v>1.7927503213360785E-2</v>
      </c>
      <c r="BG316" s="176">
        <f>AO316/'2016-17 disagg'!AO316-1</f>
        <v>4.5142947545495193E-2</v>
      </c>
      <c r="BH316" s="176">
        <f>AQ316/'2016-17 disagg'!AQ316-1</f>
        <v>2.367158258475599E-2</v>
      </c>
      <c r="BJ316" s="176">
        <f>AS316/'2016-17 disagg'!AS316-1</f>
        <v>1.5276875573073445E-2</v>
      </c>
      <c r="BK316" s="176">
        <f>AT316/'2016-17 disagg'!AT316-1</f>
        <v>1.3075278524731004E-2</v>
      </c>
      <c r="BL316" s="176">
        <f>AU316/'2016-17 disagg'!AU316-1</f>
        <v>4.0160993135953449E-2</v>
      </c>
      <c r="BM316" s="176">
        <f>AW316/'2016-17 disagg'!AW316-1</f>
        <v>1.8791977199906107E-2</v>
      </c>
    </row>
    <row r="317" spans="2:65" ht="15" x14ac:dyDescent="0.25">
      <c r="B317" t="s">
        <v>583</v>
      </c>
      <c r="D317" s="55">
        <v>7392475.4051542776</v>
      </c>
      <c r="E317" s="166">
        <v>1516.2319685925811</v>
      </c>
      <c r="F317" s="171">
        <f>VLOOKUP(B317,'2017-18'!$B$12:$AMX525,33,FALSE)</f>
        <v>2.9847411442478933E-2</v>
      </c>
      <c r="G317" s="171">
        <f>VLOOKUP(B317,'2017-18'!$B$12:$AMX525,34,FALSE)</f>
        <v>2.0786506316856856E-2</v>
      </c>
      <c r="I317" s="175">
        <v>7589311.4188428195</v>
      </c>
      <c r="J317" s="175">
        <v>1556.603973931524</v>
      </c>
      <c r="K317" s="171">
        <f t="shared" si="96"/>
        <v>-2.5935951606865904E-2</v>
      </c>
      <c r="L317" s="170">
        <f t="shared" si="96"/>
        <v>-2.5935951606865792E-2</v>
      </c>
      <c r="N317" s="55">
        <v>5651592</v>
      </c>
      <c r="O317" s="55">
        <v>600567</v>
      </c>
      <c r="P317" s="55">
        <v>1113882</v>
      </c>
      <c r="R317" s="55">
        <v>1113882</v>
      </c>
      <c r="S317" s="55">
        <v>26434.405154277454</v>
      </c>
      <c r="U317" s="171">
        <v>-2.2940497792677261E-2</v>
      </c>
      <c r="V317" s="171">
        <v>-8.6793224315917517E-3</v>
      </c>
      <c r="AA317" s="55">
        <v>2951.9025061609095</v>
      </c>
      <c r="AB317" s="55">
        <v>0</v>
      </c>
      <c r="AC317" s="55">
        <v>23482.502648116544</v>
      </c>
      <c r="AE317" s="55">
        <v>0</v>
      </c>
      <c r="AF317" s="55">
        <v>0</v>
      </c>
      <c r="AG317" s="55">
        <v>23482.502648116544</v>
      </c>
      <c r="AI317" s="55">
        <v>21289.093325918122</v>
      </c>
      <c r="AJ317" s="55">
        <v>2193.4093221984231</v>
      </c>
      <c r="AK317" s="55">
        <v>0</v>
      </c>
      <c r="AM317" s="55">
        <v>5675831</v>
      </c>
      <c r="AN317" s="55">
        <v>602761</v>
      </c>
      <c r="AO317" s="55">
        <v>1113882</v>
      </c>
      <c r="AP317" s="55"/>
      <c r="AQ317" s="55">
        <v>7392474</v>
      </c>
      <c r="AS317" s="175">
        <v>1164.1400124954757</v>
      </c>
      <c r="AT317" s="175">
        <v>123.62915634235506</v>
      </c>
      <c r="AU317" s="175">
        <v>228.46251155090513</v>
      </c>
      <c r="AV317" s="175"/>
      <c r="AW317" s="175">
        <v>1516.2316803887359</v>
      </c>
      <c r="AY317" s="171">
        <v>-1.8750006817036535E-2</v>
      </c>
      <c r="AZ317" s="178">
        <v>-5.0578154780210882E-3</v>
      </c>
      <c r="BA317" s="171">
        <v>-7.1145653390847108E-2</v>
      </c>
      <c r="BB317" s="171">
        <f t="shared" si="97"/>
        <v>-2.5936136755978834E-2</v>
      </c>
      <c r="BC317" s="171"/>
      <c r="BE317" s="176">
        <f>AM317/'2016-17 disagg'!AM317-1</f>
        <v>2.5519500898982361E-2</v>
      </c>
      <c r="BF317" s="176">
        <f>AN317/'2016-17 disagg'!AN317-1</f>
        <v>3.5031595576619168E-2</v>
      </c>
      <c r="BG317" s="176">
        <f>AO317/'2016-17 disagg'!AO317-1</f>
        <v>4.9571599390543231E-2</v>
      </c>
      <c r="BH317" s="176">
        <f>AQ317/'2016-17 disagg'!AQ317-1</f>
        <v>2.984721569012061E-2</v>
      </c>
      <c r="BJ317" s="176">
        <f>AS317/'2016-17 disagg'!AS317-1</f>
        <v>1.6496674023003033E-2</v>
      </c>
      <c r="BK317" s="176">
        <f>AT317/'2016-17 disagg'!AT317-1</f>
        <v>2.5925078450548034E-2</v>
      </c>
      <c r="BL317" s="176">
        <f>AU317/'2016-17 disagg'!AU317-1</f>
        <v>4.0337154968039135E-2</v>
      </c>
      <c r="BM317" s="176">
        <f>AW317/'2016-17 disagg'!AW317-1</f>
        <v>2.0786312286786179E-2</v>
      </c>
    </row>
    <row r="318" spans="2:65" ht="15" x14ac:dyDescent="0.25">
      <c r="B318" t="s">
        <v>584</v>
      </c>
      <c r="D318" s="55">
        <v>6971444.1684670206</v>
      </c>
      <c r="E318" s="166">
        <v>1548.5969225960916</v>
      </c>
      <c r="F318" s="171">
        <f>VLOOKUP(B318,'2017-18'!$B$12:$AMX526,33,FALSE)</f>
        <v>2.7739710574595344E-2</v>
      </c>
      <c r="G318" s="171">
        <f>VLOOKUP(B318,'2017-18'!$B$12:$AMX526,34,FALSE)</f>
        <v>2.0007302377795133E-2</v>
      </c>
      <c r="I318" s="175">
        <v>7131555.6587470584</v>
      </c>
      <c r="J318" s="175">
        <v>1584.1631776112933</v>
      </c>
      <c r="K318" s="171">
        <f t="shared" si="96"/>
        <v>-2.2451130993229595E-2</v>
      </c>
      <c r="L318" s="170">
        <f t="shared" si="96"/>
        <v>-2.2451130993229373E-2</v>
      </c>
      <c r="N318" s="55">
        <v>5382238</v>
      </c>
      <c r="O318" s="55">
        <v>598382</v>
      </c>
      <c r="P318" s="55">
        <v>964155</v>
      </c>
      <c r="R318" s="55">
        <v>964155</v>
      </c>
      <c r="S318" s="55">
        <v>26669.168467021547</v>
      </c>
      <c r="U318" s="171">
        <v>-1.2326610105279245E-2</v>
      </c>
      <c r="V318" s="171">
        <v>5.3193231263509944E-2</v>
      </c>
      <c r="AA318" s="55">
        <v>19913.021296606224</v>
      </c>
      <c r="AB318" s="55">
        <v>0</v>
      </c>
      <c r="AC318" s="55">
        <v>6756.1471704153228</v>
      </c>
      <c r="AE318" s="55">
        <v>0</v>
      </c>
      <c r="AF318" s="55">
        <v>492.54276813276493</v>
      </c>
      <c r="AG318" s="55">
        <v>6263.6044022825581</v>
      </c>
      <c r="AI318" s="55">
        <v>5685.2325131866601</v>
      </c>
      <c r="AJ318" s="55">
        <v>578.37188909589759</v>
      </c>
      <c r="AK318" s="55">
        <v>0</v>
      </c>
      <c r="AM318" s="55">
        <v>5407837</v>
      </c>
      <c r="AN318" s="55">
        <v>599454</v>
      </c>
      <c r="AO318" s="55">
        <v>964155</v>
      </c>
      <c r="AP318" s="55"/>
      <c r="AQ318" s="55">
        <v>6971446</v>
      </c>
      <c r="AS318" s="175">
        <v>1201.2661270358844</v>
      </c>
      <c r="AT318" s="175">
        <v>133.1592991645586</v>
      </c>
      <c r="AU318" s="175">
        <v>214.17190324195852</v>
      </c>
      <c r="AV318" s="175"/>
      <c r="AW318" s="175">
        <v>1548.5973294424016</v>
      </c>
      <c r="AY318" s="171">
        <v>-7.6290379971868383E-3</v>
      </c>
      <c r="AZ318" s="178">
        <v>5.5080024555945961E-2</v>
      </c>
      <c r="BA318" s="171">
        <v>-0.1344992344242385</v>
      </c>
      <c r="BB318" s="171">
        <f t="shared" si="97"/>
        <v>-2.245087417226832E-2</v>
      </c>
      <c r="BC318" s="171"/>
      <c r="BE318" s="176">
        <f>AM318/'2016-17 disagg'!AM318-1</f>
        <v>2.5173429767247457E-2</v>
      </c>
      <c r="BF318" s="176">
        <f>AN318/'2016-17 disagg'!AN318-1</f>
        <v>1.8774419746875992E-2</v>
      </c>
      <c r="BG318" s="176">
        <f>AO318/'2016-17 disagg'!AO318-1</f>
        <v>4.8193949936129243E-2</v>
      </c>
      <c r="BH318" s="176">
        <f>AQ318/'2016-17 disagg'!AQ318-1</f>
        <v>2.7739980581659829E-2</v>
      </c>
      <c r="BJ318" s="176">
        <f>AS318/'2016-17 disagg'!AS318-1</f>
        <v>1.7460329504689565E-2</v>
      </c>
      <c r="BK318" s="176">
        <f>AT318/'2016-17 disagg'!AT318-1</f>
        <v>1.1109463734290781E-2</v>
      </c>
      <c r="BL318" s="176">
        <f>AU318/'2016-17 disagg'!AU318-1</f>
        <v>4.0307650120204652E-2</v>
      </c>
      <c r="BM318" s="176">
        <f>AW318/'2016-17 disagg'!AW318-1</f>
        <v>2.0007570353406612E-2</v>
      </c>
    </row>
    <row r="319" spans="2:65" ht="15" x14ac:dyDescent="0.25">
      <c r="B319" t="s">
        <v>516</v>
      </c>
      <c r="D319" s="55">
        <v>15573028.396757809</v>
      </c>
      <c r="E319" s="166">
        <v>1619.2684912075417</v>
      </c>
      <c r="F319" s="171">
        <f>VLOOKUP(B319,'2017-18'!$B$12:$AMX527,33,FALSE)</f>
        <v>3.0832335307760639E-2</v>
      </c>
      <c r="G319" s="171">
        <f>VLOOKUP(B319,'2017-18'!$B$12:$AMX527,34,FALSE)</f>
        <v>1.7957558841536603E-2</v>
      </c>
      <c r="I319" s="175">
        <v>15460643.528011451</v>
      </c>
      <c r="J319" s="175">
        <v>1607.5828208155606</v>
      </c>
      <c r="K319" s="171">
        <f t="shared" si="96"/>
        <v>7.2690938474029299E-3</v>
      </c>
      <c r="L319" s="170">
        <f t="shared" si="96"/>
        <v>7.2690938474029299E-3</v>
      </c>
      <c r="N319" s="55">
        <v>11365313</v>
      </c>
      <c r="O319" s="55">
        <v>1231004</v>
      </c>
      <c r="P319" s="55">
        <v>2966284</v>
      </c>
      <c r="R319" s="55">
        <v>2966284</v>
      </c>
      <c r="S319" s="55">
        <v>10427.39675781026</v>
      </c>
      <c r="U319" s="171">
        <v>1.43673396919064E-2</v>
      </c>
      <c r="V319" s="171">
        <v>-3.7122493209954199E-2</v>
      </c>
      <c r="AA319" s="55">
        <v>78.215053200896364</v>
      </c>
      <c r="AB319" s="55">
        <v>0</v>
      </c>
      <c r="AC319" s="55">
        <v>10349.181704609364</v>
      </c>
      <c r="AE319" s="55">
        <v>0</v>
      </c>
      <c r="AF319" s="55">
        <v>368.23697422601981</v>
      </c>
      <c r="AG319" s="55">
        <v>9980.944730383344</v>
      </c>
      <c r="AI319" s="55">
        <v>9059.3308618926239</v>
      </c>
      <c r="AJ319" s="55">
        <v>921.61386849071982</v>
      </c>
      <c r="AK319" s="55">
        <v>0</v>
      </c>
      <c r="AM319" s="55">
        <v>11374450</v>
      </c>
      <c r="AN319" s="55">
        <v>1232294</v>
      </c>
      <c r="AO319" s="55">
        <v>2966284</v>
      </c>
      <c r="AP319" s="55"/>
      <c r="AQ319" s="55">
        <v>15573028</v>
      </c>
      <c r="AS319" s="175">
        <v>1182.7043540002903</v>
      </c>
      <c r="AT319" s="175">
        <v>128.13274305205385</v>
      </c>
      <c r="AU319" s="175">
        <v>308.43135290070268</v>
      </c>
      <c r="AV319" s="175"/>
      <c r="AW319" s="175">
        <v>1619.2684499530469</v>
      </c>
      <c r="AY319" s="171">
        <v>1.5182827517254083E-2</v>
      </c>
      <c r="AZ319" s="178">
        <v>-3.6113469694385447E-2</v>
      </c>
      <c r="BA319" s="171">
        <v>-3.8817603911079912E-3</v>
      </c>
      <c r="BB319" s="171">
        <f t="shared" si="97"/>
        <v>7.2690681849647554E-3</v>
      </c>
      <c r="BC319" s="171"/>
      <c r="BE319" s="176">
        <f>AM319/'2016-17 disagg'!AM319-1</f>
        <v>2.2842917812418539E-2</v>
      </c>
      <c r="BF319" s="176">
        <f>AN319/'2016-17 disagg'!AN319-1</f>
        <v>5.2210309883977013E-2</v>
      </c>
      <c r="BG319" s="176">
        <f>AO319/'2016-17 disagg'!AO319-1</f>
        <v>5.3494346977726703E-2</v>
      </c>
      <c r="BH319" s="176">
        <f>AQ319/'2016-17 disagg'!AQ319-1</f>
        <v>3.0832309044996009E-2</v>
      </c>
      <c r="BJ319" s="176">
        <f>AS319/'2016-17 disagg'!AS319-1</f>
        <v>1.0067926695202623E-2</v>
      </c>
      <c r="BK319" s="176">
        <f>AT319/'2016-17 disagg'!AT319-1</f>
        <v>3.9068529139227648E-2</v>
      </c>
      <c r="BL319" s="176">
        <f>AU319/'2016-17 disagg'!AU319-1</f>
        <v>4.033652900753304E-2</v>
      </c>
      <c r="BM319" s="176">
        <f>AW319/'2016-17 disagg'!AW319-1</f>
        <v>1.7957532906785589E-2</v>
      </c>
    </row>
    <row r="320" spans="2:65" ht="15" x14ac:dyDescent="0.25">
      <c r="B320" t="s">
        <v>585</v>
      </c>
      <c r="D320" s="55">
        <v>7666152.8735310901</v>
      </c>
      <c r="E320" s="166">
        <v>1599.2347915217622</v>
      </c>
      <c r="F320" s="171">
        <f>VLOOKUP(B320,'2017-18'!$B$12:$AMX528,33,FALSE)</f>
        <v>2.7784054559563343E-2</v>
      </c>
      <c r="G320" s="171">
        <f>VLOOKUP(B320,'2017-18'!$B$12:$AMX528,34,FALSE)</f>
        <v>1.9485364754406653E-2</v>
      </c>
      <c r="I320" s="175">
        <v>7746387.4392293133</v>
      </c>
      <c r="J320" s="175">
        <v>1615.9725100442124</v>
      </c>
      <c r="K320" s="171">
        <f t="shared" si="96"/>
        <v>-1.0357675281241208E-2</v>
      </c>
      <c r="L320" s="170">
        <f t="shared" si="96"/>
        <v>-1.0357675281241208E-2</v>
      </c>
      <c r="N320" s="55">
        <v>5826555</v>
      </c>
      <c r="O320" s="55">
        <v>597338</v>
      </c>
      <c r="P320" s="55">
        <v>1227014</v>
      </c>
      <c r="R320" s="55">
        <v>1227014</v>
      </c>
      <c r="S320" s="55">
        <v>15245.873531089659</v>
      </c>
      <c r="U320" s="171">
        <v>-9.6873863100862545E-3</v>
      </c>
      <c r="V320" s="171">
        <v>-2.5227553329987273E-2</v>
      </c>
      <c r="AA320" s="55">
        <v>6919.1936425195308</v>
      </c>
      <c r="AB320" s="55">
        <v>0</v>
      </c>
      <c r="AC320" s="55">
        <v>8326.6798885701282</v>
      </c>
      <c r="AE320" s="55">
        <v>0</v>
      </c>
      <c r="AF320" s="55">
        <v>0</v>
      </c>
      <c r="AG320" s="55">
        <v>8326.6798885701282</v>
      </c>
      <c r="AI320" s="55">
        <v>7567.869708475062</v>
      </c>
      <c r="AJ320" s="55">
        <v>758.81018009506693</v>
      </c>
      <c r="AK320" s="55">
        <v>0</v>
      </c>
      <c r="AM320" s="55">
        <v>5841042</v>
      </c>
      <c r="AN320" s="55">
        <v>598096</v>
      </c>
      <c r="AO320" s="55">
        <v>1227014</v>
      </c>
      <c r="AP320" s="55"/>
      <c r="AQ320" s="55">
        <v>7666152</v>
      </c>
      <c r="AS320" s="175">
        <v>1218.4987358381791</v>
      </c>
      <c r="AT320" s="175">
        <v>124.76870050067635</v>
      </c>
      <c r="AU320" s="175">
        <v>255.96717295574101</v>
      </c>
      <c r="AV320" s="175"/>
      <c r="AW320" s="175">
        <v>1599.2346092945963</v>
      </c>
      <c r="AY320" s="171">
        <v>-7.2250979021803996E-3</v>
      </c>
      <c r="AZ320" s="178">
        <v>-2.3990602868814825E-2</v>
      </c>
      <c r="BA320" s="171">
        <v>-1.8419289471890754E-2</v>
      </c>
      <c r="BB320" s="171">
        <f t="shared" si="97"/>
        <v>-1.0357788047494765E-2</v>
      </c>
      <c r="BC320" s="171"/>
      <c r="BE320" s="176">
        <f>AM320/'2016-17 disagg'!AM320-1</f>
        <v>2.2748236599310356E-2</v>
      </c>
      <c r="BF320" s="176">
        <f>AN320/'2016-17 disagg'!AN320-1</f>
        <v>3.5094095372591338E-2</v>
      </c>
      <c r="BG320" s="176">
        <f>AO320/'2016-17 disagg'!AO320-1</f>
        <v>4.8755012940480569E-2</v>
      </c>
      <c r="BH320" s="176">
        <f>AQ320/'2016-17 disagg'!AQ320-1</f>
        <v>2.7783937447193985E-2</v>
      </c>
      <c r="BJ320" s="176">
        <f>AS320/'2016-17 disagg'!AS320-1</f>
        <v>1.4490207758859341E-2</v>
      </c>
      <c r="BK320" s="176">
        <f>AT320/'2016-17 disagg'!AT320-1</f>
        <v>2.6736381727844094E-2</v>
      </c>
      <c r="BL320" s="176">
        <f>AU320/'2016-17 disagg'!AU320-1</f>
        <v>4.0286996244380369E-2</v>
      </c>
      <c r="BM320" s="176">
        <f>AW320/'2016-17 disagg'!AW320-1</f>
        <v>1.9485248587644E-2</v>
      </c>
    </row>
    <row r="321" spans="2:65" ht="15" x14ac:dyDescent="0.25">
      <c r="B321" t="s">
        <v>586</v>
      </c>
      <c r="D321" s="55">
        <v>5611379.1199730206</v>
      </c>
      <c r="E321" s="166">
        <v>1460.8576259135048</v>
      </c>
      <c r="F321" s="171">
        <f>VLOOKUP(B321,'2017-18'!$B$12:$AMX529,33,FALSE)</f>
        <v>2.6311585503669077E-2</v>
      </c>
      <c r="G321" s="171">
        <f>VLOOKUP(B321,'2017-18'!$B$12:$AMX529,34,FALSE)</f>
        <v>1.8993881768435861E-2</v>
      </c>
      <c r="I321" s="175">
        <v>5694939.0745847337</v>
      </c>
      <c r="J321" s="175">
        <v>1482.6114932437335</v>
      </c>
      <c r="K321" s="171">
        <f t="shared" si="96"/>
        <v>-1.4672668753318741E-2</v>
      </c>
      <c r="L321" s="170">
        <f t="shared" si="96"/>
        <v>-1.4672668753318852E-2</v>
      </c>
      <c r="N321" s="55">
        <v>4219345</v>
      </c>
      <c r="O321" s="55">
        <v>472876</v>
      </c>
      <c r="P321" s="55">
        <v>911456</v>
      </c>
      <c r="R321" s="55">
        <v>911456</v>
      </c>
      <c r="S321" s="55">
        <v>7702.1199730204244</v>
      </c>
      <c r="U321" s="171">
        <v>-2.9734049280587649E-2</v>
      </c>
      <c r="V321" s="171">
        <v>5.148502415641687E-5</v>
      </c>
      <c r="AA321" s="55">
        <v>1419.8524358349096</v>
      </c>
      <c r="AB321" s="55">
        <v>0</v>
      </c>
      <c r="AC321" s="55">
        <v>6282.2675371855148</v>
      </c>
      <c r="AE321" s="55">
        <v>0</v>
      </c>
      <c r="AF321" s="55">
        <v>0</v>
      </c>
      <c r="AG321" s="55">
        <v>6282.2675371855148</v>
      </c>
      <c r="AI321" s="55">
        <v>5680.4767547243464</v>
      </c>
      <c r="AJ321" s="55">
        <v>601.79078246116808</v>
      </c>
      <c r="AK321" s="55">
        <v>0</v>
      </c>
      <c r="AM321" s="55">
        <v>4226445</v>
      </c>
      <c r="AN321" s="55">
        <v>473477</v>
      </c>
      <c r="AO321" s="55">
        <v>911456</v>
      </c>
      <c r="AP321" s="55"/>
      <c r="AQ321" s="55">
        <v>5611378</v>
      </c>
      <c r="AS321" s="175">
        <v>1100.3060525312874</v>
      </c>
      <c r="AT321" s="175">
        <v>123.26425845701442</v>
      </c>
      <c r="AU321" s="175">
        <v>237.28702335318619</v>
      </c>
      <c r="AV321" s="175"/>
      <c r="AW321" s="175">
        <v>1460.857334341488</v>
      </c>
      <c r="AY321" s="171">
        <v>-2.8101357891258782E-2</v>
      </c>
      <c r="AZ321" s="178">
        <v>1.3224967534459786E-3</v>
      </c>
      <c r="BA321" s="171">
        <v>4.3525042757754262E-2</v>
      </c>
      <c r="BB321" s="171">
        <f t="shared" si="97"/>
        <v>-1.4672865414425362E-2</v>
      </c>
      <c r="BC321" s="171"/>
      <c r="BE321" s="176">
        <f>AM321/'2016-17 disagg'!AM321-1</f>
        <v>2.2214004308519497E-2</v>
      </c>
      <c r="BF321" s="176">
        <f>AN321/'2016-17 disagg'!AN321-1</f>
        <v>2.2646179631613528E-2</v>
      </c>
      <c r="BG321" s="176">
        <f>AO321/'2016-17 disagg'!AO321-1</f>
        <v>4.7736079611094606E-2</v>
      </c>
      <c r="BH321" s="176">
        <f>AQ321/'2016-17 disagg'!AQ321-1</f>
        <v>2.6311380662530803E-2</v>
      </c>
      <c r="BJ321" s="176">
        <f>AS321/'2016-17 disagg'!AS321-1</f>
        <v>1.4925516734967337E-2</v>
      </c>
      <c r="BK321" s="176">
        <f>AT321/'2016-17 disagg'!AT321-1</f>
        <v>1.5354610605000873E-2</v>
      </c>
      <c r="BL321" s="176">
        <f>AU321/'2016-17 disagg'!AU321-1</f>
        <v>4.0265617100875506E-2</v>
      </c>
      <c r="BM321" s="176">
        <f>AW321/'2016-17 disagg'!AW321-1</f>
        <v>1.8993678387835278E-2</v>
      </c>
    </row>
    <row r="322" spans="2:65" ht="15" x14ac:dyDescent="0.25">
      <c r="B322" t="s">
        <v>537</v>
      </c>
      <c r="D322" s="55">
        <v>4560179.3725793911</v>
      </c>
      <c r="E322" s="166">
        <v>1587.0279498822033</v>
      </c>
      <c r="F322" s="171">
        <f>VLOOKUP(B322,'2017-18'!$B$12:$AMX530,33,FALSE)</f>
        <v>2.4606984888852823E-2</v>
      </c>
      <c r="G322" s="171">
        <f>VLOOKUP(B322,'2017-18'!$B$12:$AMX530,34,FALSE)</f>
        <v>1.8328748120022498E-2</v>
      </c>
      <c r="I322" s="175">
        <v>4581976.5397401666</v>
      </c>
      <c r="J322" s="175">
        <v>1594.6137728698718</v>
      </c>
      <c r="K322" s="171">
        <f t="shared" si="96"/>
        <v>-4.7571538116193413E-3</v>
      </c>
      <c r="L322" s="170">
        <f t="shared" si="96"/>
        <v>-4.7571538116192302E-3</v>
      </c>
      <c r="N322" s="55">
        <v>3491455</v>
      </c>
      <c r="O322" s="55">
        <v>364639</v>
      </c>
      <c r="P322" s="55">
        <v>700278</v>
      </c>
      <c r="R322" s="55">
        <v>700278</v>
      </c>
      <c r="S322" s="55">
        <v>3807.3725793908234</v>
      </c>
      <c r="U322" s="171">
        <v>-2.0246077186547806E-2</v>
      </c>
      <c r="V322" s="171">
        <v>-7.2904645492309905E-3</v>
      </c>
      <c r="AA322" s="55">
        <v>1084.7950053315726</v>
      </c>
      <c r="AB322" s="55">
        <v>0</v>
      </c>
      <c r="AC322" s="55">
        <v>2722.5775740592508</v>
      </c>
      <c r="AE322" s="55">
        <v>0</v>
      </c>
      <c r="AF322" s="55">
        <v>0</v>
      </c>
      <c r="AG322" s="55">
        <v>2722.5775740592508</v>
      </c>
      <c r="AI322" s="55">
        <v>2466.0896362177059</v>
      </c>
      <c r="AJ322" s="55">
        <v>256.48793784154464</v>
      </c>
      <c r="AK322" s="55">
        <v>0</v>
      </c>
      <c r="AM322" s="55">
        <v>3495006</v>
      </c>
      <c r="AN322" s="55">
        <v>364896</v>
      </c>
      <c r="AO322" s="55">
        <v>700278</v>
      </c>
      <c r="AP322" s="55"/>
      <c r="AQ322" s="55">
        <v>4560180</v>
      </c>
      <c r="AS322" s="175">
        <v>1216.3276384166911</v>
      </c>
      <c r="AT322" s="175">
        <v>126.99065178935227</v>
      </c>
      <c r="AU322" s="175">
        <v>243.70987803029914</v>
      </c>
      <c r="AV322" s="175"/>
      <c r="AW322" s="175">
        <v>1587.0281682363425</v>
      </c>
      <c r="AY322" s="171">
        <v>-1.9249614055872888E-2</v>
      </c>
      <c r="AZ322" s="178">
        <v>-6.5907962454816449E-3</v>
      </c>
      <c r="BA322" s="171">
        <v>7.5603943511800775E-2</v>
      </c>
      <c r="BB322" s="171">
        <f t="shared" si="97"/>
        <v>-4.7570168793144019E-3</v>
      </c>
      <c r="BC322" s="171"/>
      <c r="BE322" s="176">
        <f>AM322/'2016-17 disagg'!AM322-1</f>
        <v>2.005164166741813E-2</v>
      </c>
      <c r="BF322" s="176">
        <f>AN322/'2016-17 disagg'!AN322-1</f>
        <v>2.6918563255105887E-2</v>
      </c>
      <c r="BG322" s="176">
        <f>AO322/'2016-17 disagg'!AO322-1</f>
        <v>4.6709554757050631E-2</v>
      </c>
      <c r="BH322" s="176">
        <f>AQ322/'2016-17 disagg'!AQ322-1</f>
        <v>2.4607125861276335E-2</v>
      </c>
      <c r="BJ322" s="176">
        <f>AS322/'2016-17 disagg'!AS322-1</f>
        <v>1.3801317575086625E-2</v>
      </c>
      <c r="BK322" s="176">
        <f>AT322/'2016-17 disagg'!AT322-1</f>
        <v>2.0626162385789071E-2</v>
      </c>
      <c r="BL322" s="176">
        <f>AU322/'2016-17 disagg'!AU322-1</f>
        <v>4.0295885408822896E-2</v>
      </c>
      <c r="BM322" s="176">
        <f>AW322/'2016-17 disagg'!AW322-1</f>
        <v>1.8328888228643203E-2</v>
      </c>
    </row>
    <row r="323" spans="2:65" ht="15" x14ac:dyDescent="0.25">
      <c r="B323" t="s">
        <v>587</v>
      </c>
      <c r="D323" s="55">
        <v>5435084.3720887145</v>
      </c>
      <c r="E323" s="166">
        <v>1634.3266106825101</v>
      </c>
      <c r="F323" s="171">
        <f>VLOOKUP(B323,'2017-18'!$B$12:$AMX531,33,FALSE)</f>
        <v>2.4140196697574057E-2</v>
      </c>
      <c r="G323" s="171">
        <f>VLOOKUP(B323,'2017-18'!$B$12:$AMX531,34,FALSE)</f>
        <v>1.6983639772000902E-2</v>
      </c>
      <c r="I323" s="175">
        <v>5407325.0737913251</v>
      </c>
      <c r="J323" s="175">
        <v>1625.9794063347213</v>
      </c>
      <c r="K323" s="171">
        <f t="shared" si="96"/>
        <v>5.1336470285345825E-3</v>
      </c>
      <c r="L323" s="170">
        <f t="shared" si="96"/>
        <v>5.1336470285348046E-3</v>
      </c>
      <c r="N323" s="55">
        <v>4144130</v>
      </c>
      <c r="O323" s="55">
        <v>444947</v>
      </c>
      <c r="P323" s="55">
        <v>843992</v>
      </c>
      <c r="R323" s="55">
        <v>843992</v>
      </c>
      <c r="S323" s="55">
        <v>2015.3720887145028</v>
      </c>
      <c r="U323" s="171">
        <v>4.0169713406879026E-4</v>
      </c>
      <c r="V323" s="171">
        <v>4.6307923620682923E-2</v>
      </c>
      <c r="AA323" s="55">
        <v>2015.3720887145028</v>
      </c>
      <c r="AB323" s="55">
        <v>0</v>
      </c>
      <c r="AC323" s="55">
        <v>0</v>
      </c>
      <c r="AE323" s="55">
        <v>0</v>
      </c>
      <c r="AF323" s="55">
        <v>0</v>
      </c>
      <c r="AG323" s="55">
        <v>0</v>
      </c>
      <c r="AI323" s="55">
        <v>0</v>
      </c>
      <c r="AJ323" s="55">
        <v>0</v>
      </c>
      <c r="AK323" s="55">
        <v>0</v>
      </c>
      <c r="AM323" s="55">
        <v>4146145</v>
      </c>
      <c r="AN323" s="55">
        <v>444947</v>
      </c>
      <c r="AO323" s="55">
        <v>843992</v>
      </c>
      <c r="AP323" s="55"/>
      <c r="AQ323" s="55">
        <v>5435084</v>
      </c>
      <c r="AS323" s="175">
        <v>1246.7433146109827</v>
      </c>
      <c r="AT323" s="175">
        <v>133.79529601743619</v>
      </c>
      <c r="AU323" s="175">
        <v>253.7878881672379</v>
      </c>
      <c r="AV323" s="175"/>
      <c r="AW323" s="175">
        <v>1634.3264987956568</v>
      </c>
      <c r="AY323" s="171">
        <v>8.8812237162771979E-4</v>
      </c>
      <c r="AZ323" s="178">
        <v>4.6307923620682923E-2</v>
      </c>
      <c r="BA323" s="171">
        <v>5.22539138446243E-3</v>
      </c>
      <c r="BB323" s="171">
        <f t="shared" si="97"/>
        <v>5.1335782165602417E-3</v>
      </c>
      <c r="BC323" s="171"/>
      <c r="BE323" s="176">
        <f>AM323/'2016-17 disagg'!AM323-1</f>
        <v>2.0412959923489016E-2</v>
      </c>
      <c r="BF323" s="176">
        <f>AN323/'2016-17 disagg'!AN323-1</f>
        <v>1.5366956251868347E-2</v>
      </c>
      <c r="BG323" s="176">
        <f>AO323/'2016-17 disagg'!AO323-1</f>
        <v>4.7712328239963187E-2</v>
      </c>
      <c r="BH323" s="176">
        <f>AQ323/'2016-17 disagg'!AQ323-1</f>
        <v>2.4140126584401234E-2</v>
      </c>
      <c r="BJ323" s="176">
        <f>AS323/'2016-17 disagg'!AS323-1</f>
        <v>1.3282448438017402E-2</v>
      </c>
      <c r="BK323" s="176">
        <f>AT323/'2016-17 disagg'!AT323-1</f>
        <v>8.2717055760390679E-3</v>
      </c>
      <c r="BL323" s="176">
        <f>AU323/'2016-17 disagg'!AU323-1</f>
        <v>4.0391052361082425E-2</v>
      </c>
      <c r="BM323" s="176">
        <f>AW323/'2016-17 disagg'!AW323-1</f>
        <v>1.6983570148769722E-2</v>
      </c>
    </row>
    <row r="324" spans="2:65" ht="15" x14ac:dyDescent="0.25">
      <c r="B324"/>
      <c r="D324" s="1"/>
      <c r="N324" s="1"/>
      <c r="O324" s="1"/>
      <c r="P324" s="1"/>
      <c r="R324" s="1"/>
      <c r="S324" s="1"/>
      <c r="AA324" s="1"/>
      <c r="AB324" s="1"/>
      <c r="AC324" s="1"/>
      <c r="AE324" s="1"/>
      <c r="AF324" s="1"/>
      <c r="AG324" s="1"/>
      <c r="AI324" s="1"/>
      <c r="AJ324" s="1"/>
      <c r="AK324" s="1"/>
      <c r="AM324" s="1"/>
      <c r="AN324" s="1"/>
      <c r="AO324" s="1"/>
      <c r="AP324" s="1"/>
      <c r="AQ324" s="1"/>
      <c r="AZ324" s="178"/>
      <c r="BE324" s="1"/>
      <c r="BF324" s="1"/>
      <c r="BG324" s="1"/>
      <c r="BH324" s="1"/>
      <c r="BJ324" s="1"/>
      <c r="BK324" s="1"/>
      <c r="BL324" s="1"/>
      <c r="BM324" s="1"/>
    </row>
    <row r="325" spans="2:65" ht="15" x14ac:dyDescent="0.25">
      <c r="B325" t="s">
        <v>12</v>
      </c>
      <c r="D325" s="172">
        <f>SUM(D311:D323)</f>
        <v>94829648.989833832</v>
      </c>
      <c r="E325" s="166">
        <v>1630.1113440537299</v>
      </c>
      <c r="F325" s="171">
        <f>VLOOKUP(B325,'2017-18'!$B$12:$AMX533,33,FALSE)</f>
        <v>2.6372146988571377E-2</v>
      </c>
      <c r="G325" s="171">
        <f>VLOOKUP(B325,'2017-18'!$B$12:$AMX533,34,FALSE)</f>
        <v>1.903493978286197E-2</v>
      </c>
      <c r="I325" s="175">
        <f>SUM(I311:I323)</f>
        <v>94829716.878834367</v>
      </c>
      <c r="J325" s="175">
        <v>1630.1125110582595</v>
      </c>
      <c r="K325" s="171">
        <f t="shared" ref="K325:L325" si="98">D325/I325-1</f>
        <v>-7.159042837434626E-7</v>
      </c>
      <c r="L325" s="170">
        <f t="shared" si="98"/>
        <v>-7.159042837434626E-7</v>
      </c>
      <c r="N325" s="172">
        <f>SUM(N311:N323)</f>
        <v>71954598</v>
      </c>
      <c r="O325" s="172">
        <f>SUM(O311:O323)</f>
        <v>7567562</v>
      </c>
      <c r="P325" s="172">
        <f>SUM(P311:P323)</f>
        <v>15203166</v>
      </c>
      <c r="R325" s="172">
        <f>SUM(R311:R323)</f>
        <v>15203166</v>
      </c>
      <c r="S325" s="172">
        <f>SUM(S311:S323)</f>
        <v>104322.98983382812</v>
      </c>
      <c r="U325" s="171">
        <v>-1.4304680311547635E-3</v>
      </c>
      <c r="V325" s="171">
        <v>-9.7511990803988979E-5</v>
      </c>
      <c r="AA325" s="172">
        <f>SUM(AA311:AA323)</f>
        <v>38889.293782652167</v>
      </c>
      <c r="AB325" s="172">
        <f>SUM(AB311:AB323)</f>
        <v>0</v>
      </c>
      <c r="AC325" s="172">
        <f>SUM(AC311:AC323)</f>
        <v>65433.696051175953</v>
      </c>
      <c r="AE325" s="172">
        <f>SUM(AE311:AE323)</f>
        <v>0</v>
      </c>
      <c r="AF325" s="172">
        <f>SUM(AF311:AF323)</f>
        <v>1649.3178586658119</v>
      </c>
      <c r="AG325" s="172">
        <f>SUM(AG311:AG323)</f>
        <v>63784.378192510143</v>
      </c>
      <c r="AI325" s="172">
        <f>SUM(AI311:AI323)</f>
        <v>57829.886811207078</v>
      </c>
      <c r="AJ325" s="172">
        <f>SUM(AJ311:AJ323)</f>
        <v>5954.4913813030716</v>
      </c>
      <c r="AK325" s="172">
        <f>SUM(AK311:AK323)</f>
        <v>0</v>
      </c>
      <c r="AM325" s="172">
        <f>SUM(AM311:AM323)</f>
        <v>72051316</v>
      </c>
      <c r="AN325" s="172">
        <f>SUM(AN311:AN323)</f>
        <v>7575166</v>
      </c>
      <c r="AO325" s="172">
        <f>SUM(AO311:AO323)</f>
        <v>15203166</v>
      </c>
      <c r="AP325" s="172"/>
      <c r="AQ325" s="172">
        <f>SUM(AQ311:AQ323)</f>
        <v>94829648</v>
      </c>
      <c r="AS325" s="175">
        <v>1238.55427934982</v>
      </c>
      <c r="AT325" s="175">
        <v>130.21627899322834</v>
      </c>
      <c r="AU325" s="175">
        <v>261.34076869554588</v>
      </c>
      <c r="AV325" s="175"/>
      <c r="AW325" s="175">
        <v>1630.1113270385943</v>
      </c>
      <c r="AY325" s="171">
        <v>-8.8237643140254285E-5</v>
      </c>
      <c r="AZ325" s="178">
        <v>9.072050526535147E-4</v>
      </c>
      <c r="BA325" s="171">
        <v>-3.793010082742132E-5</v>
      </c>
      <c r="BB325" s="171">
        <f t="shared" ref="BB325" si="99">SUM(AM325:AO325)/I325-1</f>
        <v>-7.2634229686396878E-7</v>
      </c>
      <c r="BC325" s="171"/>
      <c r="BE325" s="176">
        <f>AM325/'2016-17 disagg'!AM325-1</f>
        <v>2.1405663278374121E-2</v>
      </c>
      <c r="BF325" s="176">
        <f>AN325/'2016-17 disagg'!AN325-1</f>
        <v>3.1444548986074849E-2</v>
      </c>
      <c r="BG325" s="176">
        <f>AO325/'2016-17 disagg'!AO325-1</f>
        <v>4.7953318438952008E-2</v>
      </c>
      <c r="BH325" s="176">
        <f>AQ325/'2016-17 disagg'!AQ325-1</f>
        <v>2.6372136275277791E-2</v>
      </c>
      <c r="BJ325" s="176">
        <f>AS325/'2016-17 disagg'!AS325-1</f>
        <v>1.4103959881075934E-2</v>
      </c>
      <c r="BK325" s="176">
        <f>AT325/'2016-17 disagg'!AT325-1</f>
        <v>2.4071080795891042E-2</v>
      </c>
      <c r="BL325" s="176">
        <f>AU325/'2016-17 disagg'!AU325-1</f>
        <v>4.0461834320001611E-2</v>
      </c>
      <c r="BM325" s="176">
        <f>AW325/'2016-17 disagg'!AW325-1</f>
        <v>1.9034929146154012E-2</v>
      </c>
    </row>
  </sheetData>
  <mergeCells count="9">
    <mergeCell ref="AS6:AW7"/>
    <mergeCell ref="AY6:BC7"/>
    <mergeCell ref="BE6:BH7"/>
    <mergeCell ref="BJ6:BM7"/>
    <mergeCell ref="I9:L9"/>
    <mergeCell ref="AA6:AC7"/>
    <mergeCell ref="AE6:AG7"/>
    <mergeCell ref="AI6:AK7"/>
    <mergeCell ref="AM6:AQ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Q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2.140625" style="11" bestFit="1" customWidth="1"/>
    <col min="5" max="5" width="11.28515625" style="75" customWidth="1"/>
    <col min="6" max="6" width="4.7109375" style="1" customWidth="1"/>
    <col min="7" max="7" width="12.28515625" style="11" customWidth="1"/>
    <col min="8" max="8" width="12.28515625" style="75" customWidth="1"/>
    <col min="9" max="9" width="3.140625" style="150" customWidth="1"/>
    <col min="10" max="10" width="11.140625" style="53" customWidth="1"/>
    <col min="11" max="11" width="11.140625" style="119" customWidth="1"/>
    <col min="12" max="12" width="13.28515625" style="64" customWidth="1"/>
    <col min="13" max="13" width="13.42578125" style="53" bestFit="1" customWidth="1"/>
    <col min="14" max="14" width="13.42578125" style="54" bestFit="1" customWidth="1"/>
    <col min="15" max="15" width="12.140625" style="54" bestFit="1" customWidth="1"/>
    <col min="16" max="16" width="10.5703125" style="52" customWidth="1"/>
    <col min="17" max="18" width="13.85546875" style="52" customWidth="1"/>
    <col min="19" max="19" width="12" style="52" customWidth="1"/>
    <col min="20" max="20" width="13" style="53" bestFit="1" customWidth="1"/>
    <col min="21" max="21" width="13" style="54" bestFit="1" customWidth="1"/>
    <col min="22" max="22" width="12.5703125" style="119" customWidth="1"/>
    <col min="23" max="23" width="10.5703125" style="53" customWidth="1"/>
    <col min="24" max="25" width="13" style="54" bestFit="1" customWidth="1"/>
    <col min="26" max="26" width="12" style="139" customWidth="1"/>
    <col min="27" max="29" width="12" style="54" customWidth="1"/>
    <col min="30" max="30" width="13" style="54" bestFit="1" customWidth="1"/>
    <col min="31" max="31" width="13" style="119" bestFit="1" customWidth="1"/>
    <col min="32" max="32" width="13.28515625" style="64" customWidth="1"/>
    <col min="33" max="35" width="11.140625" style="64" customWidth="1"/>
    <col min="36" max="36" width="5.7109375" style="64" customWidth="1"/>
    <col min="37" max="37" width="12.85546875" style="64" customWidth="1"/>
    <col min="38" max="38" width="11.140625" style="64" customWidth="1"/>
    <col min="39" max="39" width="13.140625" style="64" bestFit="1" customWidth="1"/>
    <col min="40" max="40" width="11.140625" style="52" customWidth="1"/>
    <col min="41" max="41" width="9.140625" style="1"/>
    <col min="42" max="43" width="11.140625" style="64" customWidth="1"/>
    <col min="44" max="16384" width="9.140625" style="1"/>
  </cols>
  <sheetData>
    <row r="1" spans="1:43" x14ac:dyDescent="0.2">
      <c r="A1" s="321" t="s">
        <v>616</v>
      </c>
    </row>
    <row r="2" spans="1:43" x14ac:dyDescent="0.2">
      <c r="A2" s="279" t="s">
        <v>949</v>
      </c>
    </row>
    <row r="3" spans="1:43" x14ac:dyDescent="0.2">
      <c r="A3" s="354" t="s">
        <v>965</v>
      </c>
    </row>
    <row r="4" spans="1:43" x14ac:dyDescent="0.2">
      <c r="B4" s="1" t="s">
        <v>64</v>
      </c>
      <c r="D4" s="59" t="s">
        <v>58</v>
      </c>
      <c r="E4" s="69"/>
      <c r="G4" s="83" t="s">
        <v>59</v>
      </c>
      <c r="H4" s="76"/>
      <c r="I4" s="149"/>
      <c r="J4" s="125"/>
      <c r="K4" s="111">
        <f>MIN(K12:K220)</f>
        <v>-3.7057341898043439E-2</v>
      </c>
      <c r="L4" s="6"/>
      <c r="M4" s="102"/>
      <c r="N4" s="18"/>
      <c r="O4" s="111"/>
      <c r="P4" s="4"/>
      <c r="Q4" s="5"/>
      <c r="R4" s="5"/>
      <c r="S4" s="148"/>
      <c r="T4" s="120"/>
      <c r="U4" s="144"/>
      <c r="V4" s="110"/>
      <c r="W4" s="125"/>
      <c r="X4" s="129"/>
      <c r="Y4" s="129"/>
      <c r="Z4" s="134"/>
      <c r="AA4" s="129"/>
      <c r="AB4" s="129"/>
      <c r="AC4" s="129"/>
      <c r="AD4" s="129"/>
      <c r="AE4" s="140"/>
      <c r="AF4" s="6"/>
      <c r="AG4" s="7"/>
      <c r="AH4" s="7"/>
      <c r="AI4" s="7"/>
      <c r="AJ4" s="7"/>
      <c r="AK4" s="7" t="s">
        <v>1</v>
      </c>
      <c r="AL4" s="8">
        <f>MIN(AM12:AM220)</f>
        <v>-3.7524396916991276E-2</v>
      </c>
      <c r="AM4" s="228" t="s">
        <v>2</v>
      </c>
      <c r="AN4" s="9">
        <f>COUNTIF(AN12:AN220,"&lt;-5%")</f>
        <v>0</v>
      </c>
      <c r="AP4" s="7"/>
      <c r="AQ4" s="7"/>
    </row>
    <row r="5" spans="1:43" s="11" customFormat="1" x14ac:dyDescent="0.2">
      <c r="B5" s="12">
        <v>3</v>
      </c>
      <c r="D5" s="13"/>
      <c r="E5" s="69"/>
      <c r="G5" s="84"/>
      <c r="H5" s="77"/>
      <c r="I5" s="150"/>
      <c r="J5" s="125"/>
      <c r="K5" s="9">
        <f>COUNTIF(K12:K220,"&lt;-5%")</f>
        <v>0</v>
      </c>
      <c r="L5" s="20"/>
      <c r="M5" s="103"/>
      <c r="N5" s="97"/>
      <c r="O5" s="126"/>
      <c r="P5" s="17"/>
      <c r="Q5" s="18"/>
      <c r="R5" s="18"/>
      <c r="S5" s="155"/>
      <c r="T5" s="102"/>
      <c r="U5" s="18"/>
      <c r="V5" s="111"/>
      <c r="W5" s="130"/>
      <c r="X5" s="18"/>
      <c r="Y5" s="18"/>
      <c r="Z5" s="135"/>
      <c r="AA5" s="157"/>
      <c r="AB5" s="18"/>
      <c r="AC5" s="18"/>
      <c r="AD5" s="18"/>
      <c r="AE5" s="111"/>
      <c r="AF5" s="20"/>
      <c r="AG5" s="21"/>
      <c r="AH5" s="21"/>
      <c r="AI5" s="21"/>
      <c r="AJ5" s="21"/>
      <c r="AK5" s="7" t="s">
        <v>610</v>
      </c>
      <c r="AL5" s="8">
        <f>MAX(AM12:AM220)</f>
        <v>0.19433384171713164</v>
      </c>
      <c r="AM5" s="228" t="s">
        <v>14</v>
      </c>
      <c r="AN5" s="9">
        <f>COUNTIF(AN12:AN220,"&lt;-2.5%")</f>
        <v>26</v>
      </c>
      <c r="AP5" s="21"/>
      <c r="AQ5" s="21"/>
    </row>
    <row r="6" spans="1:43" s="11" customFormat="1" x14ac:dyDescent="0.2">
      <c r="B6" s="12"/>
      <c r="D6" s="23"/>
      <c r="E6" s="70"/>
      <c r="F6" s="14"/>
      <c r="G6" s="85"/>
      <c r="H6" s="78"/>
      <c r="I6" s="149"/>
      <c r="J6" s="104"/>
      <c r="K6" s="127"/>
      <c r="L6" s="28"/>
      <c r="M6" s="104"/>
      <c r="N6" s="26"/>
      <c r="O6" s="127"/>
      <c r="P6" s="26"/>
      <c r="Q6" s="27"/>
      <c r="R6" s="27"/>
      <c r="S6" s="27"/>
      <c r="T6" s="121"/>
      <c r="U6" s="145"/>
      <c r="V6" s="112"/>
      <c r="W6" s="104"/>
      <c r="X6" s="27"/>
      <c r="Y6" s="27"/>
      <c r="Z6" s="136"/>
      <c r="AA6" s="27"/>
      <c r="AB6" s="27"/>
      <c r="AC6" s="27"/>
      <c r="AD6" s="27"/>
      <c r="AE6" s="113"/>
      <c r="AF6" s="28"/>
      <c r="AG6" s="25"/>
      <c r="AH6" s="25"/>
      <c r="AI6" s="25"/>
      <c r="AJ6" s="25"/>
      <c r="AK6" s="28"/>
      <c r="AL6" s="28"/>
      <c r="AM6" s="28"/>
      <c r="AN6" s="29"/>
      <c r="AP6" s="25"/>
      <c r="AQ6" s="25"/>
    </row>
    <row r="7" spans="1:43" s="11" customFormat="1" x14ac:dyDescent="0.2">
      <c r="B7" s="12"/>
      <c r="D7" s="23"/>
      <c r="E7" s="70"/>
      <c r="F7" s="14"/>
      <c r="G7" s="85"/>
      <c r="H7" s="78"/>
      <c r="I7" s="149"/>
      <c r="J7" s="104"/>
      <c r="K7" s="127"/>
      <c r="L7" s="28">
        <f>AK8-L8</f>
        <v>96711.278791621327</v>
      </c>
      <c r="M7" s="104"/>
      <c r="N7" s="26"/>
      <c r="O7" s="147">
        <f>AK8-O8</f>
        <v>76769.091040581465</v>
      </c>
      <c r="P7" s="26"/>
      <c r="Q7" s="27"/>
      <c r="R7" s="27"/>
      <c r="S7" s="147">
        <f>AK8-S8</f>
        <v>-17736.202275961637</v>
      </c>
      <c r="T7" s="122"/>
      <c r="U7" s="27"/>
      <c r="V7" s="147">
        <f>AK8-V8</f>
        <v>-27166.036118194461</v>
      </c>
      <c r="W7" s="104"/>
      <c r="X7" s="27"/>
      <c r="Y7" s="27"/>
      <c r="Z7" s="147">
        <f>AK8-Z8</f>
        <v>50.855311572551727</v>
      </c>
      <c r="AA7" s="27"/>
      <c r="AB7" s="27"/>
      <c r="AC7" s="29">
        <f>AK8-AC8</f>
        <v>50.855311572551727</v>
      </c>
      <c r="AD7" s="27"/>
      <c r="AE7" s="113"/>
      <c r="AF7" s="28">
        <f>AK8-AF8</f>
        <v>50.855311572551727</v>
      </c>
      <c r="AG7" s="25"/>
      <c r="AH7" s="25"/>
      <c r="AI7" s="25"/>
      <c r="AJ7" s="25"/>
      <c r="AK7" s="25">
        <f>AK8/D8-1</f>
        <v>2.5486979333632309E-2</v>
      </c>
      <c r="AL7" s="28"/>
      <c r="AM7" s="28"/>
      <c r="AN7" s="29"/>
      <c r="AP7" s="25"/>
      <c r="AQ7" s="25"/>
    </row>
    <row r="8" spans="1:43" s="30" customFormat="1" x14ac:dyDescent="0.2">
      <c r="B8" s="31"/>
      <c r="D8" s="32">
        <f>+D222</f>
        <v>94829648</v>
      </c>
      <c r="E8" s="71">
        <f>E222</f>
        <v>1630.1113270385943</v>
      </c>
      <c r="F8" s="33"/>
      <c r="G8" s="86">
        <f t="shared" ref="G8:H8" si="0">G222</f>
        <v>94829716.878834456</v>
      </c>
      <c r="H8" s="79">
        <f t="shared" si="0"/>
        <v>1618.4696648849867</v>
      </c>
      <c r="I8" s="151"/>
      <c r="J8" s="123">
        <f>+J222</f>
        <v>-7.263422977521472E-7</v>
      </c>
      <c r="K8" s="105">
        <f>+K222</f>
        <v>7.193006088523024E-3</v>
      </c>
      <c r="L8" s="101">
        <f>L222</f>
        <v>97149858</v>
      </c>
      <c r="M8" s="123"/>
      <c r="N8" s="36"/>
      <c r="O8" s="101">
        <f>O222</f>
        <v>97169800.18775104</v>
      </c>
      <c r="P8" s="105"/>
      <c r="Q8" s="35">
        <f>Q222</f>
        <v>2.5674011581985345E-2</v>
      </c>
      <c r="R8" s="35"/>
      <c r="S8" s="100">
        <f>S222</f>
        <v>97264305.481067583</v>
      </c>
      <c r="T8" s="123">
        <f t="shared" ref="T8:AI8" si="1">+T222</f>
        <v>2.5773451304067052E-2</v>
      </c>
      <c r="U8" s="36"/>
      <c r="V8" s="114">
        <f t="shared" si="1"/>
        <v>97273735.314909816</v>
      </c>
      <c r="W8" s="123"/>
      <c r="X8" s="36">
        <f>X222</f>
        <v>2.5486443052915808E-2</v>
      </c>
      <c r="Y8" s="36"/>
      <c r="Z8" s="137">
        <f>Z222</f>
        <v>97246518.423480049</v>
      </c>
      <c r="AA8" s="133"/>
      <c r="AB8" s="133">
        <f>AB222</f>
        <v>94739854.54661122</v>
      </c>
      <c r="AC8" s="133">
        <f>AC222</f>
        <v>97246518.423480049</v>
      </c>
      <c r="AD8" s="36">
        <f>AD222</f>
        <v>2.5486443052915808E-2</v>
      </c>
      <c r="AE8" s="105"/>
      <c r="AF8" s="101">
        <f>AF222</f>
        <v>97246518.423480049</v>
      </c>
      <c r="AG8" s="34">
        <f t="shared" si="1"/>
        <v>1659.7174943080554</v>
      </c>
      <c r="AH8" s="35">
        <f t="shared" si="1"/>
        <v>2.5486443052915808E-2</v>
      </c>
      <c r="AI8" s="35">
        <f t="shared" si="1"/>
        <v>1.8162052357029168E-2</v>
      </c>
      <c r="AJ8" s="65"/>
      <c r="AK8" s="34">
        <f>+AK222</f>
        <v>97246569.278791621</v>
      </c>
      <c r="AL8" s="34">
        <f>+AL222</f>
        <v>1659.7183622614966</v>
      </c>
      <c r="AM8" s="35">
        <f>+AM222</f>
        <v>-5.2295224350906722E-7</v>
      </c>
      <c r="AN8" s="36">
        <f>+AN222</f>
        <v>-5.2295224350906722E-7</v>
      </c>
      <c r="AP8" s="101">
        <f>AP222</f>
        <v>132</v>
      </c>
      <c r="AQ8" s="101">
        <f>AQ222</f>
        <v>0</v>
      </c>
    </row>
    <row r="9" spans="1:43" s="38" customFormat="1" x14ac:dyDescent="0.2">
      <c r="D9" s="373" t="s">
        <v>57</v>
      </c>
      <c r="E9" s="373"/>
      <c r="G9" s="375"/>
      <c r="H9" s="376"/>
      <c r="I9" s="152"/>
      <c r="J9" s="95"/>
      <c r="K9" s="96"/>
      <c r="L9" s="39"/>
      <c r="M9" s="370" t="s">
        <v>36</v>
      </c>
      <c r="N9" s="371"/>
      <c r="O9" s="372"/>
      <c r="P9" s="371" t="s">
        <v>951</v>
      </c>
      <c r="Q9" s="371"/>
      <c r="R9" s="371"/>
      <c r="S9" s="372"/>
      <c r="T9" s="367" t="s">
        <v>39</v>
      </c>
      <c r="U9" s="368"/>
      <c r="V9" s="369"/>
      <c r="W9" s="370" t="s">
        <v>40</v>
      </c>
      <c r="X9" s="371"/>
      <c r="Y9" s="371"/>
      <c r="Z9" s="372"/>
      <c r="AA9" s="163"/>
      <c r="AB9" s="164"/>
      <c r="AC9" s="164"/>
      <c r="AD9" s="164"/>
      <c r="AE9" s="165"/>
      <c r="AF9" s="39"/>
      <c r="AG9" s="40"/>
      <c r="AH9" s="40"/>
      <c r="AI9" s="40"/>
      <c r="AJ9" s="41"/>
      <c r="AK9" s="374" t="s">
        <v>3</v>
      </c>
      <c r="AL9" s="374"/>
      <c r="AM9" s="374"/>
      <c r="AN9" s="374"/>
      <c r="AP9" s="40"/>
      <c r="AQ9" s="40"/>
    </row>
    <row r="10" spans="1:43" ht="63.75" x14ac:dyDescent="0.2">
      <c r="A10" s="44" t="s">
        <v>67</v>
      </c>
      <c r="B10" s="45" t="s">
        <v>68</v>
      </c>
      <c r="C10" s="43"/>
      <c r="D10" s="67" t="s">
        <v>4</v>
      </c>
      <c r="E10" s="72" t="s">
        <v>5</v>
      </c>
      <c r="F10" s="46"/>
      <c r="G10" s="87" t="s">
        <v>15</v>
      </c>
      <c r="H10" s="80" t="s">
        <v>16</v>
      </c>
      <c r="I10" s="153"/>
      <c r="J10" s="128" t="s">
        <v>8</v>
      </c>
      <c r="K10" s="115" t="s">
        <v>9</v>
      </c>
      <c r="L10" s="50" t="s">
        <v>488</v>
      </c>
      <c r="M10" s="128" t="s">
        <v>44</v>
      </c>
      <c r="N10" s="98" t="s">
        <v>46</v>
      </c>
      <c r="O10" s="106" t="s">
        <v>35</v>
      </c>
      <c r="P10" s="49" t="s">
        <v>34</v>
      </c>
      <c r="Q10" s="49" t="s">
        <v>45</v>
      </c>
      <c r="R10" s="49" t="s">
        <v>48</v>
      </c>
      <c r="S10" s="49" t="s">
        <v>37</v>
      </c>
      <c r="T10" s="124" t="s">
        <v>47</v>
      </c>
      <c r="U10" s="47" t="s">
        <v>49</v>
      </c>
      <c r="V10" s="115" t="s">
        <v>38</v>
      </c>
      <c r="W10" s="128" t="s">
        <v>34</v>
      </c>
      <c r="X10" s="98" t="s">
        <v>51</v>
      </c>
      <c r="Y10" s="98" t="s">
        <v>52</v>
      </c>
      <c r="Z10" s="138" t="s">
        <v>50</v>
      </c>
      <c r="AA10" s="98" t="s">
        <v>41</v>
      </c>
      <c r="AB10" s="98" t="s">
        <v>42</v>
      </c>
      <c r="AC10" s="98" t="s">
        <v>43</v>
      </c>
      <c r="AD10" s="98" t="s">
        <v>53</v>
      </c>
      <c r="AE10" s="115" t="s">
        <v>54</v>
      </c>
      <c r="AF10" s="50" t="s">
        <v>487</v>
      </c>
      <c r="AG10" s="50" t="s">
        <v>5</v>
      </c>
      <c r="AH10" s="50" t="s">
        <v>10</v>
      </c>
      <c r="AI10" s="50" t="s">
        <v>11</v>
      </c>
      <c r="AJ10" s="48"/>
      <c r="AK10" s="48" t="s">
        <v>6</v>
      </c>
      <c r="AL10" s="48" t="s">
        <v>7</v>
      </c>
      <c r="AM10" s="48" t="s">
        <v>8</v>
      </c>
      <c r="AN10" s="49" t="s">
        <v>9</v>
      </c>
      <c r="AP10" s="50" t="s">
        <v>511</v>
      </c>
      <c r="AQ10" s="50" t="s">
        <v>512</v>
      </c>
    </row>
    <row r="11" spans="1:43" x14ac:dyDescent="0.2">
      <c r="D11" s="13"/>
      <c r="E11" s="69"/>
      <c r="G11" s="84"/>
      <c r="H11" s="77"/>
      <c r="J11" s="125"/>
      <c r="K11" s="116"/>
      <c r="L11" s="3"/>
      <c r="M11" s="125"/>
      <c r="N11" s="15"/>
      <c r="O11" s="107"/>
      <c r="P11" s="4"/>
      <c r="Q11" s="4"/>
      <c r="R11" s="4"/>
      <c r="S11" s="4"/>
      <c r="T11" s="125"/>
      <c r="U11" s="15"/>
      <c r="V11" s="116"/>
      <c r="W11" s="125"/>
      <c r="X11" s="15"/>
      <c r="Y11" s="15"/>
      <c r="Z11" s="107"/>
      <c r="AA11" s="15"/>
      <c r="AB11" s="15"/>
      <c r="AC11" s="15"/>
      <c r="AD11" s="15"/>
      <c r="AE11" s="116"/>
      <c r="AF11" s="3"/>
      <c r="AG11" s="3"/>
      <c r="AH11" s="3"/>
      <c r="AI11" s="3"/>
      <c r="AJ11" s="3"/>
      <c r="AK11" s="3"/>
      <c r="AL11" s="3"/>
      <c r="AM11" s="3"/>
      <c r="AN11" s="4"/>
      <c r="AP11" s="3"/>
      <c r="AQ11" s="3"/>
    </row>
    <row r="12" spans="1:43" x14ac:dyDescent="0.2">
      <c r="A12" s="156" t="s">
        <v>69</v>
      </c>
      <c r="B12" s="156" t="s">
        <v>70</v>
      </c>
      <c r="D12" s="68">
        <f>VLOOKUP(A12,'2017-18 disagg'!A12:AZ220,43,FALSE)</f>
        <v>189002</v>
      </c>
      <c r="E12" s="73">
        <v>1755.8431516973296</v>
      </c>
      <c r="F12" s="55"/>
      <c r="G12" s="88">
        <v>187340.35396162272</v>
      </c>
      <c r="H12" s="81">
        <v>1737.3801475777757</v>
      </c>
      <c r="I12" s="90"/>
      <c r="J12" s="103">
        <f>D12/G12-1</f>
        <v>8.8696642407202209E-3</v>
      </c>
      <c r="K12" s="126">
        <f>E12/H12-1</f>
        <v>1.0626922464432864E-2</v>
      </c>
      <c r="L12" s="56">
        <v>193261</v>
      </c>
      <c r="M12" s="103">
        <v>1.3782540241360053E-2</v>
      </c>
      <c r="N12" s="97">
        <f>INDEX('Pace of change parameters'!$E$22:$I$22,1,$B$5)</f>
        <v>1.2019795091496865E-2</v>
      </c>
      <c r="O12" s="108">
        <f>MAX(IF(INDEX('Pace of change parameters'!$E$30:$I$30,1,$B$5)=1,(1+M12)*D12,D12),L12)</f>
        <v>193261</v>
      </c>
      <c r="P12" s="94">
        <f>IF(K12&lt;INDEX('Pace of change parameters'!$E$18:$I$18,1,$B$5),1,IF(K12&gt;INDEX('Pace of change parameters'!$E$19:$I$19,1,$B$5),0,(K12-INDEX('Pace of change parameters'!$E$19:$I$19,1,$B$5))/(INDEX('Pace of change parameters'!$E$18:$I$18,1,$B$5)-INDEX('Pace of change parameters'!$E$19:$I$19,1,$B$5))))</f>
        <v>0</v>
      </c>
      <c r="Q12" s="57">
        <v>1.3782540241360053E-2</v>
      </c>
      <c r="R12" s="57">
        <v>1.2019795091496865E-2</v>
      </c>
      <c r="S12" s="9">
        <f>MAX(IF(INDEX('Pace of change parameters'!$E$31:$I$31,1,$B$5)=1,D12*(1+Q12),D12),L12)</f>
        <v>193261</v>
      </c>
      <c r="T12" s="103">
        <f>IF(Q12&lt;INDEX('Pace of change parameters'!$E$24:$I$24,1,$B$5),INDEX('Pace of change parameters'!$E$24:$I$24,1,$B$5),Q12)</f>
        <v>1.9732353921844841E-2</v>
      </c>
      <c r="U12" s="132">
        <v>1.795926335292819E-2</v>
      </c>
      <c r="V12" s="117">
        <f>MAX(D12*(1+T12),L12)</f>
        <v>193261</v>
      </c>
      <c r="W12" s="131">
        <f>IF(J12&gt;INDEX('Pace of change parameters'!$E$26:$I$26,1,$B$5),0,IF(J12&lt;INDEX('Pace of change parameters'!$E$25:$I$25,1,$B$5),1,(J12-INDEX('Pace of change parameters'!$E$26:$I$26,1,$B$5))/(INDEX('Pace of change parameters'!$E$25:$I$25,1,$B$5)-INDEX('Pace of change parameters'!$E$26:$I$26,1,$B$5))))</f>
        <v>1</v>
      </c>
      <c r="X12" s="132">
        <f>MIN(T12, T12+(INDEX('Pace of change parameters'!$E$27:$I$27,1,$B$5)-T12)*(1-W12))</f>
        <v>1.9732353921844841E-2</v>
      </c>
      <c r="Y12" s="132">
        <v>1.795926335292819E-2</v>
      </c>
      <c r="Z12" s="108">
        <f>MAX(D12*(1+X12),L12)</f>
        <v>193261</v>
      </c>
      <c r="AA12" s="97">
        <f>MIN(VLOOKUP(A12,'2017-18 disagg'!$A$12:$BC$220,54,FALSE),-2.5%)</f>
        <v>-2.5000000000000001E-2</v>
      </c>
      <c r="AB12" s="99">
        <f t="shared" ref="AB12:AB75" si="2">(1+AA12)*AK12</f>
        <v>187218.77834862852</v>
      </c>
      <c r="AC12" s="99">
        <f>MAX(IF(INDEX('Pace of change parameters'!$E$29:$I$29,1,$B$5)=1,MAX(AB12,Z12),Z12),L12)</f>
        <v>193261</v>
      </c>
      <c r="AD12" s="97">
        <f t="shared" ref="AD12:AD75" si="3">AC12/D12-1</f>
        <v>2.25341530777452E-2</v>
      </c>
      <c r="AE12" s="146">
        <v>2.075619079554003E-2</v>
      </c>
      <c r="AF12" s="56">
        <f>AC12</f>
        <v>193261</v>
      </c>
      <c r="AG12" s="56">
        <v>1792.2877671610017</v>
      </c>
      <c r="AH12" s="16">
        <f t="shared" ref="AH12:AH75" si="4">AF12/D12 - 1</f>
        <v>2.25341530777452E-2</v>
      </c>
      <c r="AI12" s="16">
        <f t="shared" ref="AI12:AI75" si="5">AG12/E12 - 1</f>
        <v>2.075619079554003E-2</v>
      </c>
      <c r="AJ12" s="56"/>
      <c r="AK12" s="56">
        <v>192019.2598447472</v>
      </c>
      <c r="AL12" s="56">
        <v>1780.7719637125449</v>
      </c>
      <c r="AM12" s="16">
        <f>AF12/AK12-1</f>
        <v>6.4667479515168047E-3</v>
      </c>
      <c r="AN12" s="58">
        <f>AG12/AL12-1</f>
        <v>6.4667479515168047E-3</v>
      </c>
      <c r="AP12" s="56">
        <f t="shared" ref="AP12:AP75" si="6">IF(AF12=L12,1,0)</f>
        <v>1</v>
      </c>
      <c r="AQ12" s="56">
        <f t="shared" ref="AQ12:AQ75" si="7">IF(AB12=AF12,1,0)</f>
        <v>0</v>
      </c>
    </row>
    <row r="13" spans="1:43" x14ac:dyDescent="0.2">
      <c r="A13" s="156" t="s">
        <v>71</v>
      </c>
      <c r="B13" s="156" t="s">
        <v>72</v>
      </c>
      <c r="D13" s="68">
        <f>VLOOKUP(A13,'2017-18 disagg'!A13:AZ221,43,FALSE)</f>
        <v>560314</v>
      </c>
      <c r="E13" s="73">
        <v>1917.9063050793072</v>
      </c>
      <c r="F13" s="55"/>
      <c r="G13" s="88">
        <v>538438.23683054</v>
      </c>
      <c r="H13" s="81">
        <v>1835.0990556256643</v>
      </c>
      <c r="I13" s="90"/>
      <c r="J13" s="103">
        <f t="shared" ref="J13:K76" si="8">D13/G13-1</f>
        <v>4.0628175476967288E-2</v>
      </c>
      <c r="K13" s="126">
        <f t="shared" si="8"/>
        <v>4.5124130601991164E-2</v>
      </c>
      <c r="L13" s="56">
        <v>572510</v>
      </c>
      <c r="M13" s="103">
        <v>1.6392149878336815E-2</v>
      </c>
      <c r="N13" s="97">
        <f>INDEX('Pace of change parameters'!$E$22:$I$22,1,$B$5)</f>
        <v>1.2019795091496865E-2</v>
      </c>
      <c r="O13" s="108">
        <f>MAX(IF(INDEX('Pace of change parameters'!$E$30:$I$30,1,$B$5)=1,(1+M13)*D13,D13),L13)</f>
        <v>572510</v>
      </c>
      <c r="P13" s="94">
        <f>IF(K13&lt;INDEX('Pace of change parameters'!$E$18:$I$18,1,$B$5),1,IF(K13&gt;INDEX('Pace of change parameters'!$E$19:$I$19,1,$B$5),0,(K13-INDEX('Pace of change parameters'!$E$19:$I$19,1,$B$5))/(INDEX('Pace of change parameters'!$E$18:$I$18,1,$B$5)-INDEX('Pace of change parameters'!$E$19:$I$19,1,$B$5))))</f>
        <v>0</v>
      </c>
      <c r="Q13" s="57">
        <v>1.6392149878336815E-2</v>
      </c>
      <c r="R13" s="57">
        <v>1.2019795091496865E-2</v>
      </c>
      <c r="S13" s="9">
        <f>MAX(IF(INDEX('Pace of change parameters'!$E$31:$I$31,1,$B$5)=1,D13*(1+Q13),D13),L13)</f>
        <v>572510</v>
      </c>
      <c r="T13" s="103">
        <f>IF(Q13&lt;INDEX('Pace of change parameters'!$E$24:$I$24,1,$B$5),INDEX('Pace of change parameters'!$E$24:$I$24,1,$B$5),Q13)</f>
        <v>1.9732353921844841E-2</v>
      </c>
      <c r="U13" s="132">
        <v>1.534563011696366E-2</v>
      </c>
      <c r="V13" s="117">
        <f t="shared" ref="V13:V76" si="9">MAX(D13*(1+T13),L13)</f>
        <v>572510</v>
      </c>
      <c r="W13" s="131">
        <f>IF(J13&gt;INDEX('Pace of change parameters'!$E$26:$I$26,1,$B$5),0,IF(J13&lt;INDEX('Pace of change parameters'!$E$25:$I$25,1,$B$5),1,(J13-INDEX('Pace of change parameters'!$E$26:$I$26,1,$B$5))/(INDEX('Pace of change parameters'!$E$25:$I$25,1,$B$5)-INDEX('Pace of change parameters'!$E$26:$I$26,1,$B$5))))</f>
        <v>1</v>
      </c>
      <c r="X13" s="132">
        <f>MIN(T13, T13+(INDEX('Pace of change parameters'!$E$27:$I$27,1,$B$5)-T13)*(1-W13))</f>
        <v>1.9732353921844841E-2</v>
      </c>
      <c r="Y13" s="132">
        <v>1.534563011696366E-2</v>
      </c>
      <c r="Z13" s="108">
        <f t="shared" ref="Z13:Z76" si="10">MAX(D13*(1+X13),L13)</f>
        <v>572510</v>
      </c>
      <c r="AA13" s="97">
        <f>MIN(VLOOKUP(A13,'2017-18 disagg'!$A$12:$BC$220,54,FALSE),-2.5%)</f>
        <v>-2.5000000000000001E-2</v>
      </c>
      <c r="AB13" s="99">
        <f t="shared" si="2"/>
        <v>537925.17740013765</v>
      </c>
      <c r="AC13" s="99">
        <f>MAX(IF(INDEX('Pace of change parameters'!$E$29:$I$29,1,$B$5)=1,MAX(AB13,Z13),Z13),L13)</f>
        <v>572510</v>
      </c>
      <c r="AD13" s="97">
        <f t="shared" si="3"/>
        <v>2.1766366715805674E-2</v>
      </c>
      <c r="AE13" s="146">
        <v>1.7370892916567238E-2</v>
      </c>
      <c r="AF13" s="56">
        <f t="shared" ref="AF13:AF76" si="11">AC13</f>
        <v>572510</v>
      </c>
      <c r="AG13" s="56">
        <v>1951.2220501288493</v>
      </c>
      <c r="AH13" s="16">
        <f t="shared" si="4"/>
        <v>2.1766366715805674E-2</v>
      </c>
      <c r="AI13" s="16">
        <f t="shared" si="5"/>
        <v>1.737089291656746E-2</v>
      </c>
      <c r="AJ13" s="56"/>
      <c r="AK13" s="56">
        <v>551718.13066680788</v>
      </c>
      <c r="AL13" s="56">
        <v>1880.3594382856986</v>
      </c>
      <c r="AM13" s="16">
        <f t="shared" ref="AM13:AN76" si="12">AF13/AK13-1</f>
        <v>3.7685673494294969E-2</v>
      </c>
      <c r="AN13" s="58">
        <f t="shared" si="12"/>
        <v>3.7685673494294969E-2</v>
      </c>
      <c r="AP13" s="56">
        <f t="shared" si="6"/>
        <v>1</v>
      </c>
      <c r="AQ13" s="56">
        <f t="shared" si="7"/>
        <v>0</v>
      </c>
    </row>
    <row r="14" spans="1:43" x14ac:dyDescent="0.2">
      <c r="A14" s="156" t="s">
        <v>73</v>
      </c>
      <c r="B14" s="156" t="s">
        <v>74</v>
      </c>
      <c r="D14" s="68">
        <f>VLOOKUP(A14,'2017-18 disagg'!A14:AZ222,43,FALSE)</f>
        <v>918287</v>
      </c>
      <c r="E14" s="73">
        <v>1791.9816948208552</v>
      </c>
      <c r="F14" s="55"/>
      <c r="G14" s="88">
        <v>896565.27796101663</v>
      </c>
      <c r="H14" s="81">
        <v>1744.3425320489405</v>
      </c>
      <c r="I14" s="90"/>
      <c r="J14" s="103">
        <f t="shared" si="8"/>
        <v>2.4227708314093155E-2</v>
      </c>
      <c r="K14" s="126">
        <f t="shared" si="8"/>
        <v>2.7310669720331138E-2</v>
      </c>
      <c r="L14" s="56">
        <v>939791</v>
      </c>
      <c r="M14" s="103">
        <v>1.5066010249795481E-2</v>
      </c>
      <c r="N14" s="97">
        <f>INDEX('Pace of change parameters'!$E$22:$I$22,1,$B$5)</f>
        <v>1.2019795091496865E-2</v>
      </c>
      <c r="O14" s="108">
        <f>MAX(IF(INDEX('Pace of change parameters'!$E$30:$I$30,1,$B$5)=1,(1+M14)*D14,D14),L14)</f>
        <v>939791</v>
      </c>
      <c r="P14" s="94">
        <f>IF(K14&lt;INDEX('Pace of change parameters'!$E$18:$I$18,1,$B$5),1,IF(K14&gt;INDEX('Pace of change parameters'!$E$19:$I$19,1,$B$5),0,(K14-INDEX('Pace of change parameters'!$E$19:$I$19,1,$B$5))/(INDEX('Pace of change parameters'!$E$18:$I$18,1,$B$5)-INDEX('Pace of change parameters'!$E$19:$I$19,1,$B$5))))</f>
        <v>0</v>
      </c>
      <c r="Q14" s="57">
        <v>1.5066010249795481E-2</v>
      </c>
      <c r="R14" s="57">
        <v>1.2019795091496865E-2</v>
      </c>
      <c r="S14" s="9">
        <f>MAX(IF(INDEX('Pace of change parameters'!$E$31:$I$31,1,$B$5)=1,D14*(1+Q14),D14),L14)</f>
        <v>939791</v>
      </c>
      <c r="T14" s="103">
        <f>IF(Q14&lt;INDEX('Pace of change parameters'!$E$24:$I$24,1,$B$5),INDEX('Pace of change parameters'!$E$24:$I$24,1,$B$5),Q14)</f>
        <v>1.9732353921844841E-2</v>
      </c>
      <c r="U14" s="132">
        <v>1.667213505670917E-2</v>
      </c>
      <c r="V14" s="117">
        <f t="shared" si="9"/>
        <v>939791</v>
      </c>
      <c r="W14" s="131">
        <f>IF(J14&gt;INDEX('Pace of change parameters'!$E$26:$I$26,1,$B$5),0,IF(J14&lt;INDEX('Pace of change parameters'!$E$25:$I$25,1,$B$5),1,(J14-INDEX('Pace of change parameters'!$E$26:$I$26,1,$B$5))/(INDEX('Pace of change parameters'!$E$25:$I$25,1,$B$5)-INDEX('Pace of change parameters'!$E$26:$I$26,1,$B$5))))</f>
        <v>1</v>
      </c>
      <c r="X14" s="132">
        <f>MIN(T14, T14+(INDEX('Pace of change parameters'!$E$27:$I$27,1,$B$5)-T14)*(1-W14))</f>
        <v>1.9732353921844841E-2</v>
      </c>
      <c r="Y14" s="132">
        <v>1.667213505670917E-2</v>
      </c>
      <c r="Z14" s="108">
        <f t="shared" si="10"/>
        <v>939791</v>
      </c>
      <c r="AA14" s="97">
        <f>MIN(VLOOKUP(A14,'2017-18 disagg'!$A$12:$BC$220,54,FALSE),-2.5%)</f>
        <v>-2.5000000000000001E-2</v>
      </c>
      <c r="AB14" s="99">
        <f t="shared" si="2"/>
        <v>896262.38238522282</v>
      </c>
      <c r="AC14" s="99">
        <f>MAX(IF(INDEX('Pace of change parameters'!$E$29:$I$29,1,$B$5)=1,MAX(AB14,Z14),Z14),L14)</f>
        <v>939791</v>
      </c>
      <c r="AD14" s="97">
        <f t="shared" si="3"/>
        <v>2.3417515439073E-2</v>
      </c>
      <c r="AE14" s="146">
        <v>2.0346237396740019E-2</v>
      </c>
      <c r="AF14" s="56">
        <f t="shared" si="11"/>
        <v>939791</v>
      </c>
      <c r="AG14" s="56">
        <v>1828.4417797942924</v>
      </c>
      <c r="AH14" s="16">
        <f t="shared" si="4"/>
        <v>2.3417515439073E-2</v>
      </c>
      <c r="AI14" s="16">
        <f t="shared" si="5"/>
        <v>2.0346237396739797E-2</v>
      </c>
      <c r="AJ14" s="56"/>
      <c r="AK14" s="56">
        <v>919243.4691130491</v>
      </c>
      <c r="AL14" s="56">
        <v>1788.4648445551652</v>
      </c>
      <c r="AM14" s="16">
        <f t="shared" si="12"/>
        <v>2.2352653652004228E-2</v>
      </c>
      <c r="AN14" s="58">
        <f t="shared" si="12"/>
        <v>2.2352653652004228E-2</v>
      </c>
      <c r="AP14" s="56">
        <f t="shared" si="6"/>
        <v>1</v>
      </c>
      <c r="AQ14" s="56">
        <f t="shared" si="7"/>
        <v>0</v>
      </c>
    </row>
    <row r="15" spans="1:43" x14ac:dyDescent="0.2">
      <c r="A15" s="156" t="s">
        <v>75</v>
      </c>
      <c r="B15" s="156" t="s">
        <v>76</v>
      </c>
      <c r="D15" s="68">
        <f>VLOOKUP(A15,'2017-18 disagg'!A15:AZ223,43,FALSE)</f>
        <v>517776</v>
      </c>
      <c r="E15" s="73">
        <v>1740.7634644884038</v>
      </c>
      <c r="F15" s="55"/>
      <c r="G15" s="88">
        <v>520975.645965932</v>
      </c>
      <c r="H15" s="81">
        <v>1742.8115529628271</v>
      </c>
      <c r="I15" s="90"/>
      <c r="J15" s="103">
        <f t="shared" si="8"/>
        <v>-6.1416421107355346E-3</v>
      </c>
      <c r="K15" s="126">
        <f t="shared" si="8"/>
        <v>-1.1751634713125236E-3</v>
      </c>
      <c r="L15" s="56">
        <v>529682</v>
      </c>
      <c r="M15" s="103">
        <v>1.7077029510362607E-2</v>
      </c>
      <c r="N15" s="97">
        <f>INDEX('Pace of change parameters'!$E$22:$I$22,1,$B$5)</f>
        <v>1.2019795091496865E-2</v>
      </c>
      <c r="O15" s="108">
        <f>MAX(IF(INDEX('Pace of change parameters'!$E$30:$I$30,1,$B$5)=1,(1+M15)*D15,D15),L15)</f>
        <v>529682</v>
      </c>
      <c r="P15" s="94">
        <f>IF(K15&lt;INDEX('Pace of change parameters'!$E$18:$I$18,1,$B$5),1,IF(K15&gt;INDEX('Pace of change parameters'!$E$19:$I$19,1,$B$5),0,(K15-INDEX('Pace of change parameters'!$E$19:$I$19,1,$B$5))/(INDEX('Pace of change parameters'!$E$18:$I$18,1,$B$5)-INDEX('Pace of change parameters'!$E$19:$I$19,1,$B$5))))</f>
        <v>0.22265341855052595</v>
      </c>
      <c r="Q15" s="57">
        <v>1.9981558761219098E-2</v>
      </c>
      <c r="R15" s="57">
        <v>1.4909882087861481E-2</v>
      </c>
      <c r="S15" s="9">
        <f>MAX(IF(INDEX('Pace of change parameters'!$E$31:$I$31,1,$B$5)=1,D15*(1+Q15),D15),L15)</f>
        <v>529682</v>
      </c>
      <c r="T15" s="103">
        <f>IF(Q15&lt;INDEX('Pace of change parameters'!$E$24:$I$24,1,$B$5),INDEX('Pace of change parameters'!$E$24:$I$24,1,$B$5),Q15)</f>
        <v>1.9981558761219098E-2</v>
      </c>
      <c r="U15" s="132">
        <v>1.4909882087861481E-2</v>
      </c>
      <c r="V15" s="117">
        <f t="shared" si="9"/>
        <v>529682</v>
      </c>
      <c r="W15" s="131">
        <f>IF(J15&gt;INDEX('Pace of change parameters'!$E$26:$I$26,1,$B$5),0,IF(J15&lt;INDEX('Pace of change parameters'!$E$25:$I$25,1,$B$5),1,(J15-INDEX('Pace of change parameters'!$E$26:$I$26,1,$B$5))/(INDEX('Pace of change parameters'!$E$25:$I$25,1,$B$5)-INDEX('Pace of change parameters'!$E$26:$I$26,1,$B$5))))</f>
        <v>1</v>
      </c>
      <c r="X15" s="132">
        <f>MIN(T15, T15+(INDEX('Pace of change parameters'!$E$27:$I$27,1,$B$5)-T15)*(1-W15))</f>
        <v>1.9981558761219098E-2</v>
      </c>
      <c r="Y15" s="132">
        <v>1.4909882087861481E-2</v>
      </c>
      <c r="Z15" s="108">
        <f t="shared" si="10"/>
        <v>529682</v>
      </c>
      <c r="AA15" s="97">
        <f>MIN(VLOOKUP(A15,'2017-18 disagg'!$A$12:$BC$220,54,FALSE),-2.5%)</f>
        <v>-2.5000000000000001E-2</v>
      </c>
      <c r="AB15" s="99">
        <f t="shared" si="2"/>
        <v>520610.52207201015</v>
      </c>
      <c r="AC15" s="99">
        <f>MAX(IF(INDEX('Pace of change parameters'!$E$29:$I$29,1,$B$5)=1,MAX(AB15,Z15),Z15),L15)</f>
        <v>529682</v>
      </c>
      <c r="AD15" s="97">
        <f t="shared" si="3"/>
        <v>2.2994499551929781E-2</v>
      </c>
      <c r="AE15" s="146">
        <v>1.7907841567003091E-2</v>
      </c>
      <c r="AF15" s="56">
        <f t="shared" si="11"/>
        <v>529682</v>
      </c>
      <c r="AG15" s="56">
        <v>1771.9367808160894</v>
      </c>
      <c r="AH15" s="16">
        <f t="shared" si="4"/>
        <v>2.2994499551929781E-2</v>
      </c>
      <c r="AI15" s="16">
        <f t="shared" si="5"/>
        <v>1.7907841567003091E-2</v>
      </c>
      <c r="AJ15" s="56"/>
      <c r="AK15" s="56">
        <v>533959.50981744635</v>
      </c>
      <c r="AL15" s="56">
        <v>1786.2462664618827</v>
      </c>
      <c r="AM15" s="16">
        <f t="shared" si="12"/>
        <v>-8.0109254331077739E-3</v>
      </c>
      <c r="AN15" s="58">
        <f t="shared" si="12"/>
        <v>-8.0109254331077739E-3</v>
      </c>
      <c r="AP15" s="56">
        <f t="shared" si="6"/>
        <v>1</v>
      </c>
      <c r="AQ15" s="56">
        <f t="shared" si="7"/>
        <v>0</v>
      </c>
    </row>
    <row r="16" spans="1:43" x14ac:dyDescent="0.2">
      <c r="A16" s="156" t="s">
        <v>77</v>
      </c>
      <c r="B16" s="156" t="s">
        <v>78</v>
      </c>
      <c r="D16" s="68">
        <f>VLOOKUP(A16,'2017-18 disagg'!A16:AZ224,43,FALSE)</f>
        <v>438388</v>
      </c>
      <c r="E16" s="73">
        <v>1730.7165846065072</v>
      </c>
      <c r="F16" s="55"/>
      <c r="G16" s="88">
        <v>419660.90779592958</v>
      </c>
      <c r="H16" s="81">
        <v>1650.8774401117685</v>
      </c>
      <c r="I16" s="90"/>
      <c r="J16" s="103">
        <f t="shared" si="8"/>
        <v>4.4624342787670246E-2</v>
      </c>
      <c r="K16" s="126">
        <f t="shared" si="8"/>
        <v>4.8361642454411102E-2</v>
      </c>
      <c r="L16" s="56">
        <v>447836</v>
      </c>
      <c r="M16" s="103">
        <v>1.5640447117312606E-2</v>
      </c>
      <c r="N16" s="97">
        <f>INDEX('Pace of change parameters'!$E$22:$I$22,1,$B$5)</f>
        <v>1.2019795091496865E-2</v>
      </c>
      <c r="O16" s="108">
        <f>MAX(IF(INDEX('Pace of change parameters'!$E$30:$I$30,1,$B$5)=1,(1+M16)*D16,D16),L16)</f>
        <v>447836</v>
      </c>
      <c r="P16" s="94">
        <f>IF(K16&lt;INDEX('Pace of change parameters'!$E$18:$I$18,1,$B$5),1,IF(K16&gt;INDEX('Pace of change parameters'!$E$19:$I$19,1,$B$5),0,(K16-INDEX('Pace of change parameters'!$E$19:$I$19,1,$B$5))/(INDEX('Pace of change parameters'!$E$18:$I$18,1,$B$5)-INDEX('Pace of change parameters'!$E$19:$I$19,1,$B$5))))</f>
        <v>0</v>
      </c>
      <c r="Q16" s="57">
        <v>1.5640447117312606E-2</v>
      </c>
      <c r="R16" s="57">
        <v>1.2019795091496865E-2</v>
      </c>
      <c r="S16" s="9">
        <f>MAX(IF(INDEX('Pace of change parameters'!$E$31:$I$31,1,$B$5)=1,D16*(1+Q16),D16),L16)</f>
        <v>447836</v>
      </c>
      <c r="T16" s="103">
        <f>IF(Q16&lt;INDEX('Pace of change parameters'!$E$24:$I$24,1,$B$5),INDEX('Pace of change parameters'!$E$24:$I$24,1,$B$5),Q16)</f>
        <v>1.9732353921844841E-2</v>
      </c>
      <c r="U16" s="132">
        <v>1.6097114676011159E-2</v>
      </c>
      <c r="V16" s="117">
        <f t="shared" si="9"/>
        <v>447836</v>
      </c>
      <c r="W16" s="131">
        <f>IF(J16&gt;INDEX('Pace of change parameters'!$E$26:$I$26,1,$B$5),0,IF(J16&lt;INDEX('Pace of change parameters'!$E$25:$I$25,1,$B$5),1,(J16-INDEX('Pace of change parameters'!$E$26:$I$26,1,$B$5))/(INDEX('Pace of change parameters'!$E$25:$I$25,1,$B$5)-INDEX('Pace of change parameters'!$E$26:$I$26,1,$B$5))))</f>
        <v>1</v>
      </c>
      <c r="X16" s="132">
        <f>MIN(T16, T16+(INDEX('Pace of change parameters'!$E$27:$I$27,1,$B$5)-T16)*(1-W16))</f>
        <v>1.9732353921844841E-2</v>
      </c>
      <c r="Y16" s="132">
        <v>1.6097114676011159E-2</v>
      </c>
      <c r="Z16" s="108">
        <f t="shared" si="10"/>
        <v>447836</v>
      </c>
      <c r="AA16" s="97">
        <f>MIN(VLOOKUP(A16,'2017-18 disagg'!$A$12:$BC$220,54,FALSE),-2.5%)</f>
        <v>-2.5000000000000001E-2</v>
      </c>
      <c r="AB16" s="99">
        <f t="shared" si="2"/>
        <v>419364.10895387444</v>
      </c>
      <c r="AC16" s="99">
        <f>MAX(IF(INDEX('Pace of change parameters'!$E$29:$I$29,1,$B$5)=1,MAX(AB16,Z16),Z16),L16)</f>
        <v>447836</v>
      </c>
      <c r="AD16" s="97">
        <f t="shared" si="3"/>
        <v>2.1551684808890803E-2</v>
      </c>
      <c r="AE16" s="146">
        <v>1.79099598386252E-2</v>
      </c>
      <c r="AF16" s="56">
        <f t="shared" si="11"/>
        <v>447836</v>
      </c>
      <c r="AG16" s="56">
        <v>1761.7136491288522</v>
      </c>
      <c r="AH16" s="16">
        <f t="shared" si="4"/>
        <v>2.1551684808890803E-2</v>
      </c>
      <c r="AI16" s="16">
        <f t="shared" si="5"/>
        <v>1.79099598386252E-2</v>
      </c>
      <c r="AJ16" s="56"/>
      <c r="AK16" s="56">
        <v>430117.03482448659</v>
      </c>
      <c r="AL16" s="56">
        <v>1692.0101353467071</v>
      </c>
      <c r="AM16" s="16">
        <f t="shared" si="12"/>
        <v>4.1195683362654556E-2</v>
      </c>
      <c r="AN16" s="58">
        <f t="shared" si="12"/>
        <v>4.1195683362654556E-2</v>
      </c>
      <c r="AP16" s="56">
        <f t="shared" si="6"/>
        <v>1</v>
      </c>
      <c r="AQ16" s="56">
        <f t="shared" si="7"/>
        <v>0</v>
      </c>
    </row>
    <row r="17" spans="1:43" x14ac:dyDescent="0.2">
      <c r="A17" s="156" t="s">
        <v>79</v>
      </c>
      <c r="B17" s="156" t="s">
        <v>80</v>
      </c>
      <c r="D17" s="68">
        <f>VLOOKUP(A17,'2017-18 disagg'!A17:AZ225,43,FALSE)</f>
        <v>399517</v>
      </c>
      <c r="E17" s="73">
        <v>1821.241512849444</v>
      </c>
      <c r="F17" s="55"/>
      <c r="G17" s="88">
        <v>388632.53438533586</v>
      </c>
      <c r="H17" s="81">
        <v>1761.1120719879418</v>
      </c>
      <c r="I17" s="90"/>
      <c r="J17" s="103">
        <f t="shared" si="8"/>
        <v>2.8007088062967034E-2</v>
      </c>
      <c r="K17" s="126">
        <f t="shared" si="8"/>
        <v>3.4142881545084158E-2</v>
      </c>
      <c r="L17" s="56">
        <v>408800</v>
      </c>
      <c r="M17" s="103">
        <v>1.8060166344380235E-2</v>
      </c>
      <c r="N17" s="97">
        <f>INDEX('Pace of change parameters'!$E$22:$I$22,1,$B$5)</f>
        <v>1.2019795091496865E-2</v>
      </c>
      <c r="O17" s="108">
        <f>MAX(IF(INDEX('Pace of change parameters'!$E$30:$I$30,1,$B$5)=1,(1+M17)*D17,D17),L17)</f>
        <v>408800</v>
      </c>
      <c r="P17" s="94">
        <f>IF(K17&lt;INDEX('Pace of change parameters'!$E$18:$I$18,1,$B$5),1,IF(K17&gt;INDEX('Pace of change parameters'!$E$19:$I$19,1,$B$5),0,(K17-INDEX('Pace of change parameters'!$E$19:$I$19,1,$B$5))/(INDEX('Pace of change parameters'!$E$18:$I$18,1,$B$5)-INDEX('Pace of change parameters'!$E$19:$I$19,1,$B$5))))</f>
        <v>0</v>
      </c>
      <c r="Q17" s="57">
        <v>1.8060166344380235E-2</v>
      </c>
      <c r="R17" s="57">
        <v>1.2019795091496865E-2</v>
      </c>
      <c r="S17" s="9">
        <f>MAX(IF(INDEX('Pace of change parameters'!$E$31:$I$31,1,$B$5)=1,D17*(1+Q17),D17),L17)</f>
        <v>408800</v>
      </c>
      <c r="T17" s="103">
        <f>IF(Q17&lt;INDEX('Pace of change parameters'!$E$24:$I$24,1,$B$5),INDEX('Pace of change parameters'!$E$24:$I$24,1,$B$5),Q17)</f>
        <v>1.9732353921844841E-2</v>
      </c>
      <c r="U17" s="132">
        <v>1.3682061218239339E-2</v>
      </c>
      <c r="V17" s="117">
        <f t="shared" si="9"/>
        <v>408800</v>
      </c>
      <c r="W17" s="131">
        <f>IF(J17&gt;INDEX('Pace of change parameters'!$E$26:$I$26,1,$B$5),0,IF(J17&lt;INDEX('Pace of change parameters'!$E$25:$I$25,1,$B$5),1,(J17-INDEX('Pace of change parameters'!$E$26:$I$26,1,$B$5))/(INDEX('Pace of change parameters'!$E$25:$I$25,1,$B$5)-INDEX('Pace of change parameters'!$E$26:$I$26,1,$B$5))))</f>
        <v>1</v>
      </c>
      <c r="X17" s="132">
        <f>MIN(T17, T17+(INDEX('Pace of change parameters'!$E$27:$I$27,1,$B$5)-T17)*(1-W17))</f>
        <v>1.9732353921844841E-2</v>
      </c>
      <c r="Y17" s="132">
        <v>1.3682061218239339E-2</v>
      </c>
      <c r="Z17" s="108">
        <f t="shared" si="10"/>
        <v>408800</v>
      </c>
      <c r="AA17" s="97">
        <f>MIN(VLOOKUP(A17,'2017-18 disagg'!$A$12:$BC$220,54,FALSE),-2.5%)</f>
        <v>-2.5000000000000001E-2</v>
      </c>
      <c r="AB17" s="99">
        <f t="shared" si="2"/>
        <v>388473.24983293575</v>
      </c>
      <c r="AC17" s="99">
        <f>MAX(IF(INDEX('Pace of change parameters'!$E$29:$I$29,1,$B$5)=1,MAX(AB17,Z17),Z17),L17)</f>
        <v>408800</v>
      </c>
      <c r="AD17" s="97">
        <f t="shared" si="3"/>
        <v>2.3235556934998902E-2</v>
      </c>
      <c r="AE17" s="146">
        <v>1.7164478969899921E-2</v>
      </c>
      <c r="AF17" s="56">
        <f t="shared" si="11"/>
        <v>408800</v>
      </c>
      <c r="AG17" s="56">
        <v>1852.5021744958572</v>
      </c>
      <c r="AH17" s="16">
        <f t="shared" si="4"/>
        <v>2.3235556934998902E-2</v>
      </c>
      <c r="AI17" s="16">
        <f t="shared" si="5"/>
        <v>1.7164478969899921E-2</v>
      </c>
      <c r="AJ17" s="56"/>
      <c r="AK17" s="56">
        <v>398434.10239275463</v>
      </c>
      <c r="AL17" s="56">
        <v>1805.5284762130209</v>
      </c>
      <c r="AM17" s="16">
        <f t="shared" si="12"/>
        <v>2.6016592317259057E-2</v>
      </c>
      <c r="AN17" s="58">
        <f t="shared" si="12"/>
        <v>2.6016592317259057E-2</v>
      </c>
      <c r="AP17" s="56">
        <f t="shared" si="6"/>
        <v>1</v>
      </c>
      <c r="AQ17" s="56">
        <f t="shared" si="7"/>
        <v>0</v>
      </c>
    </row>
    <row r="18" spans="1:43" x14ac:dyDescent="0.2">
      <c r="A18" s="156" t="s">
        <v>81</v>
      </c>
      <c r="B18" s="156" t="s">
        <v>82</v>
      </c>
      <c r="D18" s="68">
        <f>VLOOKUP(A18,'2017-18 disagg'!A18:AZ226,43,FALSE)</f>
        <v>585826</v>
      </c>
      <c r="E18" s="73">
        <v>1809.8980430590541</v>
      </c>
      <c r="F18" s="55"/>
      <c r="G18" s="88">
        <v>566795.75803440751</v>
      </c>
      <c r="H18" s="81">
        <v>1747.9712289809243</v>
      </c>
      <c r="I18" s="90"/>
      <c r="J18" s="103">
        <f t="shared" si="8"/>
        <v>3.3575131245843437E-2</v>
      </c>
      <c r="K18" s="126">
        <f t="shared" si="8"/>
        <v>3.5427822295583944E-2</v>
      </c>
      <c r="L18" s="56">
        <v>598987</v>
      </c>
      <c r="M18" s="103">
        <v>1.3833848042119401E-2</v>
      </c>
      <c r="N18" s="97">
        <f>INDEX('Pace of change parameters'!$E$22:$I$22,1,$B$5)</f>
        <v>1.2019795091496865E-2</v>
      </c>
      <c r="O18" s="108">
        <f>MAX(IF(INDEX('Pace of change parameters'!$E$30:$I$30,1,$B$5)=1,(1+M18)*D18,D18),L18)</f>
        <v>598987</v>
      </c>
      <c r="P18" s="94">
        <f>IF(K18&lt;INDEX('Pace of change parameters'!$E$18:$I$18,1,$B$5),1,IF(K18&gt;INDEX('Pace of change parameters'!$E$19:$I$19,1,$B$5),0,(K18-INDEX('Pace of change parameters'!$E$19:$I$19,1,$B$5))/(INDEX('Pace of change parameters'!$E$18:$I$18,1,$B$5)-INDEX('Pace of change parameters'!$E$19:$I$19,1,$B$5))))</f>
        <v>0</v>
      </c>
      <c r="Q18" s="57">
        <v>1.3833848042119401E-2</v>
      </c>
      <c r="R18" s="57">
        <v>1.2019795091496865E-2</v>
      </c>
      <c r="S18" s="9">
        <f>MAX(IF(INDEX('Pace of change parameters'!$E$31:$I$31,1,$B$5)=1,D18*(1+Q18),D18),L18)</f>
        <v>598987</v>
      </c>
      <c r="T18" s="103">
        <f>IF(Q18&lt;INDEX('Pace of change parameters'!$E$24:$I$24,1,$B$5),INDEX('Pace of change parameters'!$E$24:$I$24,1,$B$5),Q18)</f>
        <v>1.9732353921844841E-2</v>
      </c>
      <c r="U18" s="132">
        <v>1.7907746774382227E-2</v>
      </c>
      <c r="V18" s="117">
        <f t="shared" si="9"/>
        <v>598987</v>
      </c>
      <c r="W18" s="131">
        <f>IF(J18&gt;INDEX('Pace of change parameters'!$E$26:$I$26,1,$B$5),0,IF(J18&lt;INDEX('Pace of change parameters'!$E$25:$I$25,1,$B$5),1,(J18-INDEX('Pace of change parameters'!$E$26:$I$26,1,$B$5))/(INDEX('Pace of change parameters'!$E$25:$I$25,1,$B$5)-INDEX('Pace of change parameters'!$E$26:$I$26,1,$B$5))))</f>
        <v>1</v>
      </c>
      <c r="X18" s="132">
        <f>MIN(T18, T18+(INDEX('Pace of change parameters'!$E$27:$I$27,1,$B$5)-T18)*(1-W18))</f>
        <v>1.9732353921844841E-2</v>
      </c>
      <c r="Y18" s="132">
        <v>1.7907746774382227E-2</v>
      </c>
      <c r="Z18" s="108">
        <f t="shared" si="10"/>
        <v>598987</v>
      </c>
      <c r="AA18" s="97">
        <f>MIN(VLOOKUP(A18,'2017-18 disagg'!$A$12:$BC$220,54,FALSE),-2.5%)</f>
        <v>-2.5000000000000001E-2</v>
      </c>
      <c r="AB18" s="99">
        <f t="shared" si="2"/>
        <v>566517.72179459117</v>
      </c>
      <c r="AC18" s="99">
        <f>MAX(IF(INDEX('Pace of change parameters'!$E$29:$I$29,1,$B$5)=1,MAX(AB18,Z18),Z18),L18)</f>
        <v>598987</v>
      </c>
      <c r="AD18" s="97">
        <f t="shared" si="3"/>
        <v>2.2465715075807413E-2</v>
      </c>
      <c r="AE18" s="146">
        <v>2.0636217125107104E-2</v>
      </c>
      <c r="AF18" s="56">
        <f t="shared" si="11"/>
        <v>598987</v>
      </c>
      <c r="AG18" s="56">
        <v>1847.2474920499276</v>
      </c>
      <c r="AH18" s="16">
        <f t="shared" si="4"/>
        <v>2.2465715075807413E-2</v>
      </c>
      <c r="AI18" s="16">
        <f t="shared" si="5"/>
        <v>2.0636217125107326E-2</v>
      </c>
      <c r="AJ18" s="56"/>
      <c r="AK18" s="56">
        <v>581043.81722522178</v>
      </c>
      <c r="AL18" s="56">
        <v>1791.9115675973057</v>
      </c>
      <c r="AM18" s="16">
        <f t="shared" si="12"/>
        <v>3.0880946054061775E-2</v>
      </c>
      <c r="AN18" s="58">
        <f t="shared" si="12"/>
        <v>3.0880946054061775E-2</v>
      </c>
      <c r="AP18" s="56">
        <f t="shared" si="6"/>
        <v>1</v>
      </c>
      <c r="AQ18" s="56">
        <f t="shared" si="7"/>
        <v>0</v>
      </c>
    </row>
    <row r="19" spans="1:43" x14ac:dyDescent="0.2">
      <c r="A19" s="156" t="s">
        <v>83</v>
      </c>
      <c r="B19" s="156" t="s">
        <v>84</v>
      </c>
      <c r="D19" s="68">
        <f>VLOOKUP(A19,'2017-18 disagg'!A19:AZ227,43,FALSE)</f>
        <v>556209</v>
      </c>
      <c r="E19" s="73">
        <v>1888.8901111586927</v>
      </c>
      <c r="F19" s="55"/>
      <c r="G19" s="88">
        <v>546427.60217472888</v>
      </c>
      <c r="H19" s="81">
        <v>1852.6247663283762</v>
      </c>
      <c r="I19" s="90"/>
      <c r="J19" s="103">
        <f t="shared" si="8"/>
        <v>1.7900629079391495E-2</v>
      </c>
      <c r="K19" s="126">
        <f t="shared" si="8"/>
        <v>1.9575116067453324E-2</v>
      </c>
      <c r="L19" s="56">
        <v>568970</v>
      </c>
      <c r="M19" s="103">
        <v>1.3684607873933663E-2</v>
      </c>
      <c r="N19" s="97">
        <f>INDEX('Pace of change parameters'!$E$22:$I$22,1,$B$5)</f>
        <v>1.2019795091496865E-2</v>
      </c>
      <c r="O19" s="108">
        <f>MAX(IF(INDEX('Pace of change parameters'!$E$30:$I$30,1,$B$5)=1,(1+M19)*D19,D19),L19)</f>
        <v>568970</v>
      </c>
      <c r="P19" s="94">
        <f>IF(K19&lt;INDEX('Pace of change parameters'!$E$18:$I$18,1,$B$5),1,IF(K19&gt;INDEX('Pace of change parameters'!$E$19:$I$19,1,$B$5),0,(K19-INDEX('Pace of change parameters'!$E$19:$I$19,1,$B$5))/(INDEX('Pace of change parameters'!$E$18:$I$18,1,$B$5)-INDEX('Pace of change parameters'!$E$19:$I$19,1,$B$5))))</f>
        <v>0</v>
      </c>
      <c r="Q19" s="57">
        <v>1.3684607873933663E-2</v>
      </c>
      <c r="R19" s="57">
        <v>1.2019795091496865E-2</v>
      </c>
      <c r="S19" s="9">
        <f>MAX(IF(INDEX('Pace of change parameters'!$E$31:$I$31,1,$B$5)=1,D19*(1+Q19),D19),L19)</f>
        <v>568970</v>
      </c>
      <c r="T19" s="103">
        <f>IF(Q19&lt;INDEX('Pace of change parameters'!$E$24:$I$24,1,$B$5),INDEX('Pace of change parameters'!$E$24:$I$24,1,$B$5),Q19)</f>
        <v>1.9732353921844841E-2</v>
      </c>
      <c r="U19" s="132">
        <v>1.8057608696074867E-2</v>
      </c>
      <c r="V19" s="117">
        <f t="shared" si="9"/>
        <v>568970</v>
      </c>
      <c r="W19" s="131">
        <f>IF(J19&gt;INDEX('Pace of change parameters'!$E$26:$I$26,1,$B$5),0,IF(J19&lt;INDEX('Pace of change parameters'!$E$25:$I$25,1,$B$5),1,(J19-INDEX('Pace of change parameters'!$E$26:$I$26,1,$B$5))/(INDEX('Pace of change parameters'!$E$25:$I$25,1,$B$5)-INDEX('Pace of change parameters'!$E$26:$I$26,1,$B$5))))</f>
        <v>1</v>
      </c>
      <c r="X19" s="132">
        <f>MIN(T19, T19+(INDEX('Pace of change parameters'!$E$27:$I$27,1,$B$5)-T19)*(1-W19))</f>
        <v>1.9732353921844841E-2</v>
      </c>
      <c r="Y19" s="132">
        <v>1.8057608696074867E-2</v>
      </c>
      <c r="Z19" s="108">
        <f t="shared" si="10"/>
        <v>568970</v>
      </c>
      <c r="AA19" s="97">
        <f>MIN(VLOOKUP(A19,'2017-18 disagg'!$A$12:$BC$220,54,FALSE),-2.5%)</f>
        <v>-2.5000000000000001E-2</v>
      </c>
      <c r="AB19" s="99">
        <f t="shared" si="2"/>
        <v>546294.76548681664</v>
      </c>
      <c r="AC19" s="99">
        <f>MAX(IF(INDEX('Pace of change parameters'!$E$29:$I$29,1,$B$5)=1,MAX(AB19,Z19),Z19),L19)</f>
        <v>568970</v>
      </c>
      <c r="AD19" s="97">
        <f t="shared" si="3"/>
        <v>2.294281466139525E-2</v>
      </c>
      <c r="AE19" s="146">
        <v>2.1262796773857229E-2</v>
      </c>
      <c r="AF19" s="56">
        <f t="shared" si="11"/>
        <v>568970</v>
      </c>
      <c r="AG19" s="56">
        <v>1929.0531977204089</v>
      </c>
      <c r="AH19" s="16">
        <f t="shared" si="4"/>
        <v>2.294281466139525E-2</v>
      </c>
      <c r="AI19" s="16">
        <f t="shared" si="5"/>
        <v>2.1262796773857451E-2</v>
      </c>
      <c r="AJ19" s="56"/>
      <c r="AK19" s="56">
        <v>560302.32357622217</v>
      </c>
      <c r="AL19" s="56">
        <v>1899.6660438773338</v>
      </c>
      <c r="AM19" s="16">
        <f t="shared" si="12"/>
        <v>1.5469642118303151E-2</v>
      </c>
      <c r="AN19" s="58">
        <f t="shared" si="12"/>
        <v>1.5469642118303151E-2</v>
      </c>
      <c r="AP19" s="56">
        <f t="shared" si="6"/>
        <v>1</v>
      </c>
      <c r="AQ19" s="56">
        <f t="shared" si="7"/>
        <v>0</v>
      </c>
    </row>
    <row r="20" spans="1:43" x14ac:dyDescent="0.2">
      <c r="A20" s="156" t="s">
        <v>85</v>
      </c>
      <c r="B20" s="156" t="s">
        <v>86</v>
      </c>
      <c r="D20" s="68">
        <f>VLOOKUP(A20,'2017-18 disagg'!A20:AZ228,43,FALSE)</f>
        <v>305184</v>
      </c>
      <c r="E20" s="73">
        <v>1955.4087828492061</v>
      </c>
      <c r="F20" s="55"/>
      <c r="G20" s="88">
        <v>290441.12106951425</v>
      </c>
      <c r="H20" s="81">
        <v>1855.8051179960573</v>
      </c>
      <c r="I20" s="90"/>
      <c r="J20" s="103">
        <f t="shared" si="8"/>
        <v>5.0760301696250565E-2</v>
      </c>
      <c r="K20" s="126">
        <f t="shared" si="8"/>
        <v>5.3671403256341454E-2</v>
      </c>
      <c r="L20" s="56">
        <v>310096</v>
      </c>
      <c r="M20" s="103">
        <v>1.4823567178791963E-2</v>
      </c>
      <c r="N20" s="97">
        <f>INDEX('Pace of change parameters'!$E$22:$I$22,1,$B$5)</f>
        <v>1.2019795091496865E-2</v>
      </c>
      <c r="O20" s="108">
        <f>MAX(IF(INDEX('Pace of change parameters'!$E$30:$I$30,1,$B$5)=1,(1+M20)*D20,D20),L20)</f>
        <v>310096</v>
      </c>
      <c r="P20" s="94">
        <f>IF(K20&lt;INDEX('Pace of change parameters'!$E$18:$I$18,1,$B$5),1,IF(K20&gt;INDEX('Pace of change parameters'!$E$19:$I$19,1,$B$5),0,(K20-INDEX('Pace of change parameters'!$E$19:$I$19,1,$B$5))/(INDEX('Pace of change parameters'!$E$18:$I$18,1,$B$5)-INDEX('Pace of change parameters'!$E$19:$I$19,1,$B$5))))</f>
        <v>0</v>
      </c>
      <c r="Q20" s="57">
        <v>1.4823567178791963E-2</v>
      </c>
      <c r="R20" s="57">
        <v>1.2019795091496865E-2</v>
      </c>
      <c r="S20" s="9">
        <f>MAX(IF(INDEX('Pace of change parameters'!$E$31:$I$31,1,$B$5)=1,D20*(1+Q20),D20),L20)</f>
        <v>310096</v>
      </c>
      <c r="T20" s="103">
        <f>IF(Q20&lt;INDEX('Pace of change parameters'!$E$24:$I$24,1,$B$5),INDEX('Pace of change parameters'!$E$24:$I$24,1,$B$5),Q20)</f>
        <v>1.9732353921844841E-2</v>
      </c>
      <c r="U20" s="132">
        <v>1.6915019753713345E-2</v>
      </c>
      <c r="V20" s="117">
        <f t="shared" si="9"/>
        <v>311205.99869928428</v>
      </c>
      <c r="W20" s="131">
        <f>IF(J20&gt;INDEX('Pace of change parameters'!$E$26:$I$26,1,$B$5),0,IF(J20&lt;INDEX('Pace of change parameters'!$E$25:$I$25,1,$B$5),1,(J20-INDEX('Pace of change parameters'!$E$26:$I$26,1,$B$5))/(INDEX('Pace of change parameters'!$E$25:$I$25,1,$B$5)-INDEX('Pace of change parameters'!$E$26:$I$26,1,$B$5))))</f>
        <v>0.98479396607498881</v>
      </c>
      <c r="X20" s="132">
        <f>MIN(T20, T20+(INDEX('Pace of change parameters'!$E$27:$I$27,1,$B$5)-T20)*(1-W20))</f>
        <v>1.9438877467092126E-2</v>
      </c>
      <c r="Y20" s="132">
        <v>1.6622354120781058E-2</v>
      </c>
      <c r="Z20" s="108">
        <f t="shared" si="10"/>
        <v>311116.43438091705</v>
      </c>
      <c r="AA20" s="97">
        <f>MIN(VLOOKUP(A20,'2017-18 disagg'!$A$12:$BC$220,54,FALSE),-2.5%)</f>
        <v>-2.5000000000000001E-2</v>
      </c>
      <c r="AB20" s="99">
        <f t="shared" si="2"/>
        <v>290217.27634390019</v>
      </c>
      <c r="AC20" s="99">
        <f>MAX(IF(INDEX('Pace of change parameters'!$E$29:$I$29,1,$B$5)=1,MAX(AB20,Z20),Z20),L20)</f>
        <v>311116.43438091705</v>
      </c>
      <c r="AD20" s="97">
        <f t="shared" si="3"/>
        <v>1.9438877467092164E-2</v>
      </c>
      <c r="AE20" s="146">
        <v>1.6622354120781058E-2</v>
      </c>
      <c r="AF20" s="56">
        <f t="shared" si="11"/>
        <v>311116.43438091705</v>
      </c>
      <c r="AG20" s="56">
        <v>1987.9122800886112</v>
      </c>
      <c r="AH20" s="16">
        <f t="shared" si="4"/>
        <v>1.9438877467092164E-2</v>
      </c>
      <c r="AI20" s="16">
        <f t="shared" si="5"/>
        <v>1.6622354120781058E-2</v>
      </c>
      <c r="AJ20" s="56"/>
      <c r="AK20" s="56">
        <v>297658.74496810278</v>
      </c>
      <c r="AL20" s="56">
        <v>1901.922910550526</v>
      </c>
      <c r="AM20" s="16">
        <f t="shared" si="12"/>
        <v>4.5211805936547833E-2</v>
      </c>
      <c r="AN20" s="58">
        <f t="shared" si="12"/>
        <v>4.5211805936548055E-2</v>
      </c>
      <c r="AP20" s="56">
        <f t="shared" si="6"/>
        <v>0</v>
      </c>
      <c r="AQ20" s="56">
        <f t="shared" si="7"/>
        <v>0</v>
      </c>
    </row>
    <row r="21" spans="1:43" x14ac:dyDescent="0.2">
      <c r="A21" s="156" t="s">
        <v>87</v>
      </c>
      <c r="B21" s="156" t="s">
        <v>88</v>
      </c>
      <c r="D21" s="68">
        <f>VLOOKUP(A21,'2017-18 disagg'!A21:AZ229,43,FALSE)</f>
        <v>549056</v>
      </c>
      <c r="E21" s="73">
        <v>1929.1115918475614</v>
      </c>
      <c r="F21" s="55"/>
      <c r="G21" s="88">
        <v>492101.59702995705</v>
      </c>
      <c r="H21" s="81">
        <v>1727.1890004460861</v>
      </c>
      <c r="I21" s="90"/>
      <c r="J21" s="103">
        <f t="shared" si="8"/>
        <v>0.11573708216715217</v>
      </c>
      <c r="K21" s="126">
        <f t="shared" si="8"/>
        <v>0.1169082198585818</v>
      </c>
      <c r="L21" s="56">
        <v>552429</v>
      </c>
      <c r="M21" s="103">
        <v>1.3082065536252907E-2</v>
      </c>
      <c r="N21" s="97">
        <f>INDEX('Pace of change parameters'!$E$22:$I$22,1,$B$5)</f>
        <v>1.2019795091496865E-2</v>
      </c>
      <c r="O21" s="108">
        <f>MAX(IF(INDEX('Pace of change parameters'!$E$30:$I$30,1,$B$5)=1,(1+M21)*D21,D21),L21)</f>
        <v>556238.78657507291</v>
      </c>
      <c r="P21" s="94">
        <f>IF(K21&lt;INDEX('Pace of change parameters'!$E$18:$I$18,1,$B$5),1,IF(K21&gt;INDEX('Pace of change parameters'!$E$19:$I$19,1,$B$5),0,(K21-INDEX('Pace of change parameters'!$E$19:$I$19,1,$B$5))/(INDEX('Pace of change parameters'!$E$18:$I$18,1,$B$5)-INDEX('Pace of change parameters'!$E$19:$I$19,1,$B$5))))</f>
        <v>0</v>
      </c>
      <c r="Q21" s="57">
        <v>1.3082065536252907E-2</v>
      </c>
      <c r="R21" s="57">
        <v>1.2019795091496865E-2</v>
      </c>
      <c r="S21" s="9">
        <f>MAX(IF(INDEX('Pace of change parameters'!$E$31:$I$31,1,$B$5)=1,D21*(1+Q21),D21),L21)</f>
        <v>556238.78657507291</v>
      </c>
      <c r="T21" s="103">
        <f>IF(Q21&lt;INDEX('Pace of change parameters'!$E$24:$I$24,1,$B$5),INDEX('Pace of change parameters'!$E$24:$I$24,1,$B$5),Q21)</f>
        <v>1.9732353921844841E-2</v>
      </c>
      <c r="U21" s="132">
        <v>1.8663110295900953E-2</v>
      </c>
      <c r="V21" s="117">
        <f t="shared" si="9"/>
        <v>559890.16731491243</v>
      </c>
      <c r="W21" s="131">
        <f>IF(J21&gt;INDEX('Pace of change parameters'!$E$26:$I$26,1,$B$5),0,IF(J21&lt;INDEX('Pace of change parameters'!$E$25:$I$25,1,$B$5),1,(J21-INDEX('Pace of change parameters'!$E$26:$I$26,1,$B$5))/(INDEX('Pace of change parameters'!$E$25:$I$25,1,$B$5)-INDEX('Pace of change parameters'!$E$26:$I$26,1,$B$5))))</f>
        <v>0</v>
      </c>
      <c r="X21" s="132">
        <f>MIN(T21, T21+(INDEX('Pace of change parameters'!$E$27:$I$27,1,$B$5)-T21)*(1-W21))</f>
        <v>4.3235392184483995E-4</v>
      </c>
      <c r="Y21" s="132">
        <v>-6.1665262728038961E-4</v>
      </c>
      <c r="Z21" s="108">
        <f t="shared" si="10"/>
        <v>552429</v>
      </c>
      <c r="AA21" s="97">
        <f>MIN(VLOOKUP(A21,'2017-18 disagg'!$A$12:$BC$220,54,FALSE),-2.5%)</f>
        <v>-2.5000000000000001E-2</v>
      </c>
      <c r="AB21" s="99">
        <f t="shared" si="2"/>
        <v>491724.30539853364</v>
      </c>
      <c r="AC21" s="99">
        <f>MAX(IF(INDEX('Pace of change parameters'!$E$29:$I$29,1,$B$5)=1,MAX(AB21,Z21),Z21),L21)</f>
        <v>552429</v>
      </c>
      <c r="AD21" s="97">
        <f t="shared" si="3"/>
        <v>6.1432713602984634E-3</v>
      </c>
      <c r="AE21" s="146">
        <v>5.0882766104007882E-3</v>
      </c>
      <c r="AF21" s="56">
        <f t="shared" si="11"/>
        <v>552429</v>
      </c>
      <c r="AG21" s="56">
        <v>1938.9274452392119</v>
      </c>
      <c r="AH21" s="16">
        <f t="shared" si="4"/>
        <v>6.1432713602984634E-3</v>
      </c>
      <c r="AI21" s="16">
        <f t="shared" si="5"/>
        <v>5.0882766104005661E-3</v>
      </c>
      <c r="AJ21" s="56"/>
      <c r="AK21" s="56">
        <v>504332.62092157296</v>
      </c>
      <c r="AL21" s="56">
        <v>1770.1177169088905</v>
      </c>
      <c r="AM21" s="16">
        <f t="shared" si="12"/>
        <v>9.5366385363968575E-2</v>
      </c>
      <c r="AN21" s="58">
        <f t="shared" si="12"/>
        <v>9.5366385363968575E-2</v>
      </c>
      <c r="AP21" s="56">
        <f t="shared" si="6"/>
        <v>1</v>
      </c>
      <c r="AQ21" s="56">
        <f t="shared" si="7"/>
        <v>0</v>
      </c>
    </row>
    <row r="22" spans="1:43" x14ac:dyDescent="0.2">
      <c r="A22" s="156" t="s">
        <v>89</v>
      </c>
      <c r="B22" s="156" t="s">
        <v>90</v>
      </c>
      <c r="D22" s="68">
        <f>VLOOKUP(A22,'2017-18 disagg'!A22:AZ230,43,FALSE)</f>
        <v>292754</v>
      </c>
      <c r="E22" s="73">
        <v>1702.9425487666808</v>
      </c>
      <c r="F22" s="55"/>
      <c r="G22" s="88">
        <v>296523.25230743806</v>
      </c>
      <c r="H22" s="81">
        <v>1721.6818859952266</v>
      </c>
      <c r="I22" s="90"/>
      <c r="J22" s="103">
        <f t="shared" si="8"/>
        <v>-1.2711489834632106E-2</v>
      </c>
      <c r="K22" s="126">
        <f t="shared" si="8"/>
        <v>-1.0884320373570899E-2</v>
      </c>
      <c r="L22" s="56">
        <v>299463</v>
      </c>
      <c r="M22" s="103">
        <v>1.3892734606685719E-2</v>
      </c>
      <c r="N22" s="97">
        <f>INDEX('Pace of change parameters'!$E$22:$I$22,1,$B$5)</f>
        <v>1.2019795091496865E-2</v>
      </c>
      <c r="O22" s="108">
        <f>MAX(IF(INDEX('Pace of change parameters'!$E$30:$I$30,1,$B$5)=1,(1+M22)*D22,D22),L22)</f>
        <v>299463</v>
      </c>
      <c r="P22" s="94">
        <f>IF(K22&lt;INDEX('Pace of change parameters'!$E$18:$I$18,1,$B$5),1,IF(K22&gt;INDEX('Pace of change parameters'!$E$19:$I$19,1,$B$5),0,(K22-INDEX('Pace of change parameters'!$E$19:$I$19,1,$B$5))/(INDEX('Pace of change parameters'!$E$18:$I$18,1,$B$5)-INDEX('Pace of change parameters'!$E$19:$I$19,1,$B$5))))</f>
        <v>0.43332792981266094</v>
      </c>
      <c r="Q22" s="57">
        <v>1.952782950267884E-2</v>
      </c>
      <c r="R22" s="57">
        <v>1.7644480413042674E-2</v>
      </c>
      <c r="S22" s="9">
        <f>MAX(IF(INDEX('Pace of change parameters'!$E$31:$I$31,1,$B$5)=1,D22*(1+Q22),D22),L22)</f>
        <v>299463</v>
      </c>
      <c r="T22" s="103">
        <f>IF(Q22&lt;INDEX('Pace of change parameters'!$E$24:$I$24,1,$B$5),INDEX('Pace of change parameters'!$E$24:$I$24,1,$B$5),Q22)</f>
        <v>1.9732353921844841E-2</v>
      </c>
      <c r="U22" s="132">
        <v>1.7848627019197982E-2</v>
      </c>
      <c r="V22" s="117">
        <f t="shared" si="9"/>
        <v>299463</v>
      </c>
      <c r="W22" s="131">
        <f>IF(J22&gt;INDEX('Pace of change parameters'!$E$26:$I$26,1,$B$5),0,IF(J22&lt;INDEX('Pace of change parameters'!$E$25:$I$25,1,$B$5),1,(J22-INDEX('Pace of change parameters'!$E$26:$I$26,1,$B$5))/(INDEX('Pace of change parameters'!$E$25:$I$25,1,$B$5)-INDEX('Pace of change parameters'!$E$26:$I$26,1,$B$5))))</f>
        <v>1</v>
      </c>
      <c r="X22" s="132">
        <f>MIN(T22, T22+(INDEX('Pace of change parameters'!$E$27:$I$27,1,$B$5)-T22)*(1-W22))</f>
        <v>1.9732353921844841E-2</v>
      </c>
      <c r="Y22" s="132">
        <v>1.7848627019197982E-2</v>
      </c>
      <c r="Z22" s="108">
        <f t="shared" si="10"/>
        <v>299463</v>
      </c>
      <c r="AA22" s="97">
        <f>MIN(VLOOKUP(A22,'2017-18 disagg'!$A$12:$BC$220,54,FALSE),-2.5%)</f>
        <v>-2.5000000000000001E-2</v>
      </c>
      <c r="AB22" s="99">
        <f t="shared" si="2"/>
        <v>296476.36886959453</v>
      </c>
      <c r="AC22" s="99">
        <f>MAX(IF(INDEX('Pace of change parameters'!$E$29:$I$29,1,$B$5)=1,MAX(AB22,Z22),Z22),L22)</f>
        <v>299463</v>
      </c>
      <c r="AD22" s="97">
        <f t="shared" si="3"/>
        <v>2.2916851691181073E-2</v>
      </c>
      <c r="AE22" s="146">
        <v>2.1027242142861224E-2</v>
      </c>
      <c r="AF22" s="56">
        <f t="shared" si="11"/>
        <v>299463</v>
      </c>
      <c r="AG22" s="56">
        <v>1738.7507340949787</v>
      </c>
      <c r="AH22" s="16">
        <f t="shared" si="4"/>
        <v>2.2916851691181073E-2</v>
      </c>
      <c r="AI22" s="16">
        <f t="shared" si="5"/>
        <v>2.1027242142861002E-2</v>
      </c>
      <c r="AJ22" s="56"/>
      <c r="AK22" s="56">
        <v>304078.327045738</v>
      </c>
      <c r="AL22" s="56">
        <v>1765.5483795098223</v>
      </c>
      <c r="AM22" s="16">
        <f t="shared" si="12"/>
        <v>-1.5178086154899795E-2</v>
      </c>
      <c r="AN22" s="58">
        <f t="shared" si="12"/>
        <v>-1.5178086154899684E-2</v>
      </c>
      <c r="AP22" s="56">
        <f t="shared" si="6"/>
        <v>1</v>
      </c>
      <c r="AQ22" s="56">
        <f t="shared" si="7"/>
        <v>0</v>
      </c>
    </row>
    <row r="23" spans="1:43" x14ac:dyDescent="0.2">
      <c r="A23" s="156" t="s">
        <v>91</v>
      </c>
      <c r="B23" s="156" t="s">
        <v>92</v>
      </c>
      <c r="D23" s="68">
        <f>VLOOKUP(A23,'2017-18 disagg'!A23:AZ231,43,FALSE)</f>
        <v>336497</v>
      </c>
      <c r="E23" s="73">
        <v>1958.4957865154036</v>
      </c>
      <c r="F23" s="55"/>
      <c r="G23" s="88">
        <v>342891.83115205099</v>
      </c>
      <c r="H23" s="81">
        <v>1995.3659339745641</v>
      </c>
      <c r="I23" s="90"/>
      <c r="J23" s="103">
        <f t="shared" si="8"/>
        <v>-1.8649703991388655E-2</v>
      </c>
      <c r="K23" s="126">
        <f t="shared" si="8"/>
        <v>-1.8477887605166776E-2</v>
      </c>
      <c r="L23" s="56">
        <v>344142</v>
      </c>
      <c r="M23" s="103">
        <v>1.2196981142884367E-2</v>
      </c>
      <c r="N23" s="97">
        <f>INDEX('Pace of change parameters'!$E$22:$I$22,1,$B$5)</f>
        <v>1.2019795091496865E-2</v>
      </c>
      <c r="O23" s="108">
        <f>MAX(IF(INDEX('Pace of change parameters'!$E$30:$I$30,1,$B$5)=1,(1+M23)*D23,D23),L23)</f>
        <v>344142</v>
      </c>
      <c r="P23" s="94">
        <f>IF(K23&lt;INDEX('Pace of change parameters'!$E$18:$I$18,1,$B$5),1,IF(K23&gt;INDEX('Pace of change parameters'!$E$19:$I$19,1,$B$5),0,(K23-INDEX('Pace of change parameters'!$E$19:$I$19,1,$B$5))/(INDEX('Pace of change parameters'!$E$18:$I$18,1,$B$5)-INDEX('Pace of change parameters'!$E$19:$I$19,1,$B$5))))</f>
        <v>0.59809723793667668</v>
      </c>
      <c r="Q23" s="57">
        <v>1.9961765079379967E-2</v>
      </c>
      <c r="R23" s="57">
        <v>1.9783219795124651E-2</v>
      </c>
      <c r="S23" s="9">
        <f>MAX(IF(INDEX('Pace of change parameters'!$E$31:$I$31,1,$B$5)=1,D23*(1+Q23),D23),L23)</f>
        <v>344142</v>
      </c>
      <c r="T23" s="103">
        <f>IF(Q23&lt;INDEX('Pace of change parameters'!$E$24:$I$24,1,$B$5),INDEX('Pace of change parameters'!$E$24:$I$24,1,$B$5),Q23)</f>
        <v>1.9961765079379967E-2</v>
      </c>
      <c r="U23" s="132">
        <v>1.9783219795124651E-2</v>
      </c>
      <c r="V23" s="117">
        <f t="shared" si="9"/>
        <v>344142</v>
      </c>
      <c r="W23" s="131">
        <f>IF(J23&gt;INDEX('Pace of change parameters'!$E$26:$I$26,1,$B$5),0,IF(J23&lt;INDEX('Pace of change parameters'!$E$25:$I$25,1,$B$5),1,(J23-INDEX('Pace of change parameters'!$E$26:$I$26,1,$B$5))/(INDEX('Pace of change parameters'!$E$25:$I$25,1,$B$5)-INDEX('Pace of change parameters'!$E$26:$I$26,1,$B$5))))</f>
        <v>1</v>
      </c>
      <c r="X23" s="132">
        <f>MIN(T23, T23+(INDEX('Pace of change parameters'!$E$27:$I$27,1,$B$5)-T23)*(1-W23))</f>
        <v>1.9961765079379967E-2</v>
      </c>
      <c r="Y23" s="132">
        <v>1.9783219795124651E-2</v>
      </c>
      <c r="Z23" s="108">
        <f t="shared" si="10"/>
        <v>344142</v>
      </c>
      <c r="AA23" s="97">
        <f>MIN(VLOOKUP(A23,'2017-18 disagg'!$A$12:$BC$220,54,FALSE),-2.5%)</f>
        <v>-2.5397187263991983E-2</v>
      </c>
      <c r="AB23" s="99">
        <f t="shared" si="2"/>
        <v>342624.23979904928</v>
      </c>
      <c r="AC23" s="99">
        <f>MAX(IF(INDEX('Pace of change parameters'!$E$29:$I$29,1,$B$5)=1,MAX(AB23,Z23),Z23),L23)</f>
        <v>344142</v>
      </c>
      <c r="AD23" s="97">
        <f t="shared" si="3"/>
        <v>2.2719370455011489E-2</v>
      </c>
      <c r="AE23" s="146">
        <v>2.2540342449292927E-2</v>
      </c>
      <c r="AF23" s="56">
        <f t="shared" si="11"/>
        <v>344142</v>
      </c>
      <c r="AG23" s="56">
        <v>2002.640952228958</v>
      </c>
      <c r="AH23" s="16">
        <f t="shared" si="4"/>
        <v>2.2719370455011489E-2</v>
      </c>
      <c r="AI23" s="16">
        <f t="shared" si="5"/>
        <v>2.2540342449292927E-2</v>
      </c>
      <c r="AJ23" s="56"/>
      <c r="AK23" s="56">
        <v>351552.68928190169</v>
      </c>
      <c r="AL23" s="56">
        <v>2045.7654468857584</v>
      </c>
      <c r="AM23" s="16">
        <f t="shared" si="12"/>
        <v>-2.1079882213500101E-2</v>
      </c>
      <c r="AN23" s="58">
        <f t="shared" si="12"/>
        <v>-2.1079882213500212E-2</v>
      </c>
      <c r="AP23" s="56">
        <f t="shared" si="6"/>
        <v>1</v>
      </c>
      <c r="AQ23" s="56">
        <f t="shared" si="7"/>
        <v>0</v>
      </c>
    </row>
    <row r="24" spans="1:43" x14ac:dyDescent="0.2">
      <c r="A24" s="156" t="s">
        <v>93</v>
      </c>
      <c r="B24" s="156" t="s">
        <v>94</v>
      </c>
      <c r="D24" s="68">
        <f>VLOOKUP(A24,'2017-18 disagg'!A24:AZ232,43,FALSE)</f>
        <v>521973</v>
      </c>
      <c r="E24" s="73">
        <v>1710.4404527361121</v>
      </c>
      <c r="F24" s="55"/>
      <c r="G24" s="88">
        <v>535495.42192787142</v>
      </c>
      <c r="H24" s="81">
        <v>1744.3598750656552</v>
      </c>
      <c r="I24" s="90"/>
      <c r="J24" s="103">
        <f t="shared" si="8"/>
        <v>-2.525217093208465E-2</v>
      </c>
      <c r="K24" s="126">
        <f t="shared" si="8"/>
        <v>-1.9445197527411806E-2</v>
      </c>
      <c r="L24" s="56">
        <v>534327</v>
      </c>
      <c r="M24" s="103">
        <v>1.8048812915233192E-2</v>
      </c>
      <c r="N24" s="97">
        <f>INDEX('Pace of change parameters'!$E$22:$I$22,1,$B$5)</f>
        <v>1.2019795091496865E-2</v>
      </c>
      <c r="O24" s="108">
        <f>MAX(IF(INDEX('Pace of change parameters'!$E$30:$I$30,1,$B$5)=1,(1+M24)*D24,D24),L24)</f>
        <v>534327</v>
      </c>
      <c r="P24" s="94">
        <f>IF(K24&lt;INDEX('Pace of change parameters'!$E$18:$I$18,1,$B$5),1,IF(K24&gt;INDEX('Pace of change parameters'!$E$19:$I$19,1,$B$5),0,(K24-INDEX('Pace of change parameters'!$E$19:$I$19,1,$B$5))/(INDEX('Pace of change parameters'!$E$18:$I$18,1,$B$5)-INDEX('Pace of change parameters'!$E$19:$I$19,1,$B$5))))</f>
        <v>0.61908644916886757</v>
      </c>
      <c r="Q24" s="57">
        <v>2.6132554855413215E-2</v>
      </c>
      <c r="R24" s="57">
        <v>2.0055664057786471E-2</v>
      </c>
      <c r="S24" s="9">
        <f>MAX(IF(INDEX('Pace of change parameters'!$E$31:$I$31,1,$B$5)=1,D24*(1+Q24),D24),L24)</f>
        <v>535613.48805554456</v>
      </c>
      <c r="T24" s="103">
        <f>IF(Q24&lt;INDEX('Pace of change parameters'!$E$24:$I$24,1,$B$5),INDEX('Pace of change parameters'!$E$24:$I$24,1,$B$5),Q24)</f>
        <v>2.6132554855413215E-2</v>
      </c>
      <c r="U24" s="132">
        <v>2.0055664057786471E-2</v>
      </c>
      <c r="V24" s="117">
        <f t="shared" si="9"/>
        <v>535613.48805554456</v>
      </c>
      <c r="W24" s="131">
        <f>IF(J24&gt;INDEX('Pace of change parameters'!$E$26:$I$26,1,$B$5),0,IF(J24&lt;INDEX('Pace of change parameters'!$E$25:$I$25,1,$B$5),1,(J24-INDEX('Pace of change parameters'!$E$26:$I$26,1,$B$5))/(INDEX('Pace of change parameters'!$E$25:$I$25,1,$B$5)-INDEX('Pace of change parameters'!$E$26:$I$26,1,$B$5))))</f>
        <v>1</v>
      </c>
      <c r="X24" s="132">
        <f>MIN(T24, T24+(INDEX('Pace of change parameters'!$E$27:$I$27,1,$B$5)-T24)*(1-W24))</f>
        <v>2.6132554855413215E-2</v>
      </c>
      <c r="Y24" s="132">
        <v>2.0055664057786471E-2</v>
      </c>
      <c r="Z24" s="108">
        <f t="shared" si="10"/>
        <v>535613.48805554456</v>
      </c>
      <c r="AA24" s="97">
        <f>MIN(VLOOKUP(A24,'2017-18 disagg'!$A$12:$BC$220,54,FALSE),-2.5%)</f>
        <v>-2.6358235762623861E-2</v>
      </c>
      <c r="AB24" s="99">
        <f t="shared" si="2"/>
        <v>534572.21534262039</v>
      </c>
      <c r="AC24" s="99">
        <f>MAX(IF(INDEX('Pace of change parameters'!$E$29:$I$29,1,$B$5)=1,MAX(AB24,Z24),Z24),L24)</f>
        <v>535613.48805554456</v>
      </c>
      <c r="AD24" s="97">
        <f t="shared" si="3"/>
        <v>2.6132554855413215E-2</v>
      </c>
      <c r="AE24" s="146">
        <v>2.0055664057786471E-2</v>
      </c>
      <c r="AF24" s="56">
        <f t="shared" si="11"/>
        <v>535613.48805554456</v>
      </c>
      <c r="AG24" s="56">
        <v>1744.7444718470358</v>
      </c>
      <c r="AH24" s="16">
        <f t="shared" si="4"/>
        <v>2.6132554855413215E-2</v>
      </c>
      <c r="AI24" s="16">
        <f t="shared" si="5"/>
        <v>2.0055664057786471E-2</v>
      </c>
      <c r="AJ24" s="56"/>
      <c r="AK24" s="56">
        <v>549044.04779856012</v>
      </c>
      <c r="AL24" s="56">
        <v>1788.4941073360653</v>
      </c>
      <c r="AM24" s="16">
        <f t="shared" si="12"/>
        <v>-2.4461716317418558E-2</v>
      </c>
      <c r="AN24" s="58">
        <f t="shared" si="12"/>
        <v>-2.4461716317418558E-2</v>
      </c>
      <c r="AP24" s="56">
        <f t="shared" si="6"/>
        <v>0</v>
      </c>
      <c r="AQ24" s="56">
        <f t="shared" si="7"/>
        <v>0</v>
      </c>
    </row>
    <row r="25" spans="1:43" x14ac:dyDescent="0.2">
      <c r="A25" s="156" t="s">
        <v>95</v>
      </c>
      <c r="B25" s="156" t="s">
        <v>96</v>
      </c>
      <c r="D25" s="68">
        <f>VLOOKUP(A25,'2017-18 disagg'!A25:AZ233,43,FALSE)</f>
        <v>341065</v>
      </c>
      <c r="E25" s="73">
        <v>1690.0661234832744</v>
      </c>
      <c r="F25" s="55"/>
      <c r="G25" s="88">
        <v>347584.54362080403</v>
      </c>
      <c r="H25" s="81">
        <v>1713.0641894104403</v>
      </c>
      <c r="I25" s="90"/>
      <c r="J25" s="103">
        <f t="shared" si="8"/>
        <v>-1.8756713267194414E-2</v>
      </c>
      <c r="K25" s="126">
        <f t="shared" si="8"/>
        <v>-1.3425104598725479E-2</v>
      </c>
      <c r="L25" s="56">
        <v>349302</v>
      </c>
      <c r="M25" s="103">
        <v>1.7518628647992029E-2</v>
      </c>
      <c r="N25" s="97">
        <f>INDEX('Pace of change parameters'!$E$22:$I$22,1,$B$5)</f>
        <v>1.2019795091496865E-2</v>
      </c>
      <c r="O25" s="108">
        <f>MAX(IF(INDEX('Pace of change parameters'!$E$30:$I$30,1,$B$5)=1,(1+M25)*D25,D25),L25)</f>
        <v>349302</v>
      </c>
      <c r="P25" s="94">
        <f>IF(K25&lt;INDEX('Pace of change parameters'!$E$18:$I$18,1,$B$5),1,IF(K25&gt;INDEX('Pace of change parameters'!$E$19:$I$19,1,$B$5),0,(K25-INDEX('Pace of change parameters'!$E$19:$I$19,1,$B$5))/(INDEX('Pace of change parameters'!$E$18:$I$18,1,$B$5)-INDEX('Pace of change parameters'!$E$19:$I$19,1,$B$5))))</f>
        <v>0.48845923320445966</v>
      </c>
      <c r="Q25" s="57">
        <v>2.3893379759933442E-2</v>
      </c>
      <c r="R25" s="57">
        <v>1.8360096027941086E-2</v>
      </c>
      <c r="S25" s="9">
        <f>MAX(IF(INDEX('Pace of change parameters'!$E$31:$I$31,1,$B$5)=1,D25*(1+Q25),D25),L25)</f>
        <v>349302</v>
      </c>
      <c r="T25" s="103">
        <f>IF(Q25&lt;INDEX('Pace of change parameters'!$E$24:$I$24,1,$B$5),INDEX('Pace of change parameters'!$E$24:$I$24,1,$B$5),Q25)</f>
        <v>2.3893379759933442E-2</v>
      </c>
      <c r="U25" s="132">
        <v>1.8360096027941086E-2</v>
      </c>
      <c r="V25" s="117">
        <f t="shared" si="9"/>
        <v>349302</v>
      </c>
      <c r="W25" s="131">
        <f>IF(J25&gt;INDEX('Pace of change parameters'!$E$26:$I$26,1,$B$5),0,IF(J25&lt;INDEX('Pace of change parameters'!$E$25:$I$25,1,$B$5),1,(J25-INDEX('Pace of change parameters'!$E$26:$I$26,1,$B$5))/(INDEX('Pace of change parameters'!$E$25:$I$25,1,$B$5)-INDEX('Pace of change parameters'!$E$26:$I$26,1,$B$5))))</f>
        <v>1</v>
      </c>
      <c r="X25" s="132">
        <f>MIN(T25, T25+(INDEX('Pace of change parameters'!$E$27:$I$27,1,$B$5)-T25)*(1-W25))</f>
        <v>2.3893379759933442E-2</v>
      </c>
      <c r="Y25" s="132">
        <v>1.8360096027941086E-2</v>
      </c>
      <c r="Z25" s="108">
        <f t="shared" si="10"/>
        <v>349302</v>
      </c>
      <c r="AA25" s="97">
        <f>MIN(VLOOKUP(A25,'2017-18 disagg'!$A$12:$BC$220,54,FALSE),-2.5%)</f>
        <v>-2.5000000000000001E-2</v>
      </c>
      <c r="AB25" s="99">
        <f t="shared" si="2"/>
        <v>347597.44707888796</v>
      </c>
      <c r="AC25" s="99">
        <f>MAX(IF(INDEX('Pace of change parameters'!$E$29:$I$29,1,$B$5)=1,MAX(AB25,Z25),Z25),L25)</f>
        <v>349302</v>
      </c>
      <c r="AD25" s="97">
        <f t="shared" si="3"/>
        <v>2.415082169088012E-2</v>
      </c>
      <c r="AE25" s="146">
        <v>1.8616146701480929E-2</v>
      </c>
      <c r="AF25" s="56">
        <f t="shared" si="11"/>
        <v>349302</v>
      </c>
      <c r="AG25" s="56">
        <v>1721.5286423732421</v>
      </c>
      <c r="AH25" s="16">
        <f t="shared" si="4"/>
        <v>2.415082169088012E-2</v>
      </c>
      <c r="AI25" s="16">
        <f t="shared" si="5"/>
        <v>1.8616146701480929E-2</v>
      </c>
      <c r="AJ25" s="56"/>
      <c r="AK25" s="56">
        <v>356510.20213219279</v>
      </c>
      <c r="AL25" s="56">
        <v>1757.0541373048077</v>
      </c>
      <c r="AM25" s="16">
        <f t="shared" si="12"/>
        <v>-2.0218782208987096E-2</v>
      </c>
      <c r="AN25" s="58">
        <f t="shared" si="12"/>
        <v>-2.0218782208987096E-2</v>
      </c>
      <c r="AP25" s="56">
        <f t="shared" si="6"/>
        <v>1</v>
      </c>
      <c r="AQ25" s="56">
        <f t="shared" si="7"/>
        <v>0</v>
      </c>
    </row>
    <row r="26" spans="1:43" x14ac:dyDescent="0.2">
      <c r="A26" s="156" t="s">
        <v>97</v>
      </c>
      <c r="B26" s="156" t="s">
        <v>98</v>
      </c>
      <c r="D26" s="68">
        <f>VLOOKUP(A26,'2017-18 disagg'!A26:AZ234,43,FALSE)</f>
        <v>393014</v>
      </c>
      <c r="E26" s="73">
        <v>1725.3292416913998</v>
      </c>
      <c r="F26" s="55"/>
      <c r="G26" s="88">
        <v>399022.93614613719</v>
      </c>
      <c r="H26" s="81">
        <v>1741.1337262906534</v>
      </c>
      <c r="I26" s="90"/>
      <c r="J26" s="103">
        <f t="shared" si="8"/>
        <v>-1.5059124681335301E-2</v>
      </c>
      <c r="K26" s="126">
        <f t="shared" si="8"/>
        <v>-9.0771227738628557E-3</v>
      </c>
      <c r="L26" s="56">
        <v>403839</v>
      </c>
      <c r="M26" s="103">
        <v>1.8166259814750951E-2</v>
      </c>
      <c r="N26" s="97">
        <f>INDEX('Pace of change parameters'!$E$22:$I$22,1,$B$5)</f>
        <v>1.2019795091496865E-2</v>
      </c>
      <c r="O26" s="108">
        <f>MAX(IF(INDEX('Pace of change parameters'!$E$30:$I$30,1,$B$5)=1,(1+M26)*D26,D26),L26)</f>
        <v>403839</v>
      </c>
      <c r="P26" s="94">
        <f>IF(K26&lt;INDEX('Pace of change parameters'!$E$18:$I$18,1,$B$5),1,IF(K26&gt;INDEX('Pace of change parameters'!$E$19:$I$19,1,$B$5),0,(K26-INDEX('Pace of change parameters'!$E$19:$I$19,1,$B$5))/(INDEX('Pace of change parameters'!$E$18:$I$18,1,$B$5)-INDEX('Pace of change parameters'!$E$19:$I$19,1,$B$5))))</f>
        <v>0.3941143837854012</v>
      </c>
      <c r="Q26" s="57">
        <v>2.331301519973783E-2</v>
      </c>
      <c r="R26" s="57">
        <v>1.7135480550419802E-2</v>
      </c>
      <c r="S26" s="9">
        <f>MAX(IF(INDEX('Pace of change parameters'!$E$31:$I$31,1,$B$5)=1,D26*(1+Q26),D26),L26)</f>
        <v>403839</v>
      </c>
      <c r="T26" s="103">
        <f>IF(Q26&lt;INDEX('Pace of change parameters'!$E$24:$I$24,1,$B$5),INDEX('Pace of change parameters'!$E$24:$I$24,1,$B$5),Q26)</f>
        <v>2.331301519973783E-2</v>
      </c>
      <c r="U26" s="132">
        <v>1.7135480550419802E-2</v>
      </c>
      <c r="V26" s="117">
        <f t="shared" si="9"/>
        <v>403839</v>
      </c>
      <c r="W26" s="131">
        <f>IF(J26&gt;INDEX('Pace of change parameters'!$E$26:$I$26,1,$B$5),0,IF(J26&lt;INDEX('Pace of change parameters'!$E$25:$I$25,1,$B$5),1,(J26-INDEX('Pace of change parameters'!$E$26:$I$26,1,$B$5))/(INDEX('Pace of change parameters'!$E$25:$I$25,1,$B$5)-INDEX('Pace of change parameters'!$E$26:$I$26,1,$B$5))))</f>
        <v>1</v>
      </c>
      <c r="X26" s="132">
        <f>MIN(T26, T26+(INDEX('Pace of change parameters'!$E$27:$I$27,1,$B$5)-T26)*(1-W26))</f>
        <v>2.331301519973783E-2</v>
      </c>
      <c r="Y26" s="132">
        <v>1.7135480550419802E-2</v>
      </c>
      <c r="Z26" s="108">
        <f t="shared" si="10"/>
        <v>403839</v>
      </c>
      <c r="AA26" s="97">
        <f>MIN(VLOOKUP(A26,'2017-18 disagg'!$A$12:$BC$220,54,FALSE),-2.5%)</f>
        <v>-2.5000000000000001E-2</v>
      </c>
      <c r="AB26" s="99">
        <f t="shared" si="2"/>
        <v>399698.81629737787</v>
      </c>
      <c r="AC26" s="99">
        <f>MAX(IF(INDEX('Pace of change parameters'!$E$29:$I$29,1,$B$5)=1,MAX(AB26,Z26),Z26),L26)</f>
        <v>403839</v>
      </c>
      <c r="AD26" s="97">
        <f t="shared" si="3"/>
        <v>2.7543548066989887E-2</v>
      </c>
      <c r="AE26" s="146">
        <v>2.1340474542484777E-2</v>
      </c>
      <c r="AF26" s="56">
        <f t="shared" si="11"/>
        <v>403839</v>
      </c>
      <c r="AG26" s="56">
        <v>1762.1485864511201</v>
      </c>
      <c r="AH26" s="16">
        <f t="shared" si="4"/>
        <v>2.7543548066989887E-2</v>
      </c>
      <c r="AI26" s="16">
        <f t="shared" si="5"/>
        <v>2.1340474542485E-2</v>
      </c>
      <c r="AJ26" s="56"/>
      <c r="AK26" s="56">
        <v>409947.50389474654</v>
      </c>
      <c r="AL26" s="56">
        <v>1788.8029994807155</v>
      </c>
      <c r="AM26" s="16">
        <f t="shared" si="12"/>
        <v>-1.4900697861828904E-2</v>
      </c>
      <c r="AN26" s="58">
        <f t="shared" si="12"/>
        <v>-1.4900697861828904E-2</v>
      </c>
      <c r="AP26" s="56">
        <f t="shared" si="6"/>
        <v>1</v>
      </c>
      <c r="AQ26" s="56">
        <f t="shared" si="7"/>
        <v>0</v>
      </c>
    </row>
    <row r="27" spans="1:43" x14ac:dyDescent="0.2">
      <c r="A27" s="156" t="s">
        <v>99</v>
      </c>
      <c r="B27" s="156" t="s">
        <v>100</v>
      </c>
      <c r="D27" s="68">
        <f>VLOOKUP(A27,'2017-18 disagg'!A27:AZ235,43,FALSE)</f>
        <v>306400</v>
      </c>
      <c r="E27" s="73">
        <v>1689.4324015509453</v>
      </c>
      <c r="F27" s="55"/>
      <c r="G27" s="88">
        <v>299512.12054968084</v>
      </c>
      <c r="H27" s="81">
        <v>1640.8283504737763</v>
      </c>
      <c r="I27" s="90"/>
      <c r="J27" s="103">
        <f t="shared" si="8"/>
        <v>2.2996997375859696E-2</v>
      </c>
      <c r="K27" s="126">
        <f t="shared" si="8"/>
        <v>2.9621654856911261E-2</v>
      </c>
      <c r="L27" s="56">
        <v>313906</v>
      </c>
      <c r="M27" s="103">
        <v>1.8573367119296247E-2</v>
      </c>
      <c r="N27" s="97">
        <f>INDEX('Pace of change parameters'!$E$22:$I$22,1,$B$5)</f>
        <v>1.2019795091496865E-2</v>
      </c>
      <c r="O27" s="108">
        <f>MAX(IF(INDEX('Pace of change parameters'!$E$30:$I$30,1,$B$5)=1,(1+M27)*D27,D27),L27)</f>
        <v>313906</v>
      </c>
      <c r="P27" s="94">
        <f>IF(K27&lt;INDEX('Pace of change parameters'!$E$18:$I$18,1,$B$5),1,IF(K27&gt;INDEX('Pace of change parameters'!$E$19:$I$19,1,$B$5),0,(K27-INDEX('Pace of change parameters'!$E$19:$I$19,1,$B$5))/(INDEX('Pace of change parameters'!$E$18:$I$18,1,$B$5)-INDEX('Pace of change parameters'!$E$19:$I$19,1,$B$5))))</f>
        <v>0</v>
      </c>
      <c r="Q27" s="57">
        <v>1.8573367119296247E-2</v>
      </c>
      <c r="R27" s="57">
        <v>1.2019795091496865E-2</v>
      </c>
      <c r="S27" s="9">
        <f>MAX(IF(INDEX('Pace of change parameters'!$E$31:$I$31,1,$B$5)=1,D27*(1+Q27),D27),L27)</f>
        <v>313906</v>
      </c>
      <c r="T27" s="103">
        <f>IF(Q27&lt;INDEX('Pace of change parameters'!$E$24:$I$24,1,$B$5),INDEX('Pace of change parameters'!$E$24:$I$24,1,$B$5),Q27)</f>
        <v>1.9732353921844841E-2</v>
      </c>
      <c r="U27" s="132">
        <v>1.3171324892188752E-2</v>
      </c>
      <c r="V27" s="117">
        <f t="shared" si="9"/>
        <v>313906</v>
      </c>
      <c r="W27" s="131">
        <f>IF(J27&gt;INDEX('Pace of change parameters'!$E$26:$I$26,1,$B$5),0,IF(J27&lt;INDEX('Pace of change parameters'!$E$25:$I$25,1,$B$5),1,(J27-INDEX('Pace of change parameters'!$E$26:$I$26,1,$B$5))/(INDEX('Pace of change parameters'!$E$25:$I$25,1,$B$5)-INDEX('Pace of change parameters'!$E$26:$I$26,1,$B$5))))</f>
        <v>1</v>
      </c>
      <c r="X27" s="132">
        <f>MIN(T27, T27+(INDEX('Pace of change parameters'!$E$27:$I$27,1,$B$5)-T27)*(1-W27))</f>
        <v>1.9732353921844841E-2</v>
      </c>
      <c r="Y27" s="132">
        <v>1.3171324892188752E-2</v>
      </c>
      <c r="Z27" s="108">
        <f t="shared" si="10"/>
        <v>313906</v>
      </c>
      <c r="AA27" s="97">
        <f>MIN(VLOOKUP(A27,'2017-18 disagg'!$A$12:$BC$220,54,FALSE),-2.5%)</f>
        <v>-2.5000000000000001E-2</v>
      </c>
      <c r="AB27" s="99">
        <f t="shared" si="2"/>
        <v>299428.62125083985</v>
      </c>
      <c r="AC27" s="99">
        <f>MAX(IF(INDEX('Pace of change parameters'!$E$29:$I$29,1,$B$5)=1,MAX(AB27,Z27),Z27),L27)</f>
        <v>313906</v>
      </c>
      <c r="AD27" s="97">
        <f t="shared" si="3"/>
        <v>2.4497389033942607E-2</v>
      </c>
      <c r="AE27" s="146">
        <v>1.7905701436302879E-2</v>
      </c>
      <c r="AF27" s="56">
        <f t="shared" si="11"/>
        <v>313906</v>
      </c>
      <c r="AG27" s="56">
        <v>1719.6828737299327</v>
      </c>
      <c r="AH27" s="16">
        <f t="shared" si="4"/>
        <v>2.4497389033942607E-2</v>
      </c>
      <c r="AI27" s="16">
        <f t="shared" si="5"/>
        <v>1.7905701436302879E-2</v>
      </c>
      <c r="AJ27" s="56"/>
      <c r="AK27" s="56">
        <v>307106.27820598957</v>
      </c>
      <c r="AL27" s="56">
        <v>1682.431705815691</v>
      </c>
      <c r="AM27" s="16">
        <f t="shared" si="12"/>
        <v>2.2141265993427695E-2</v>
      </c>
      <c r="AN27" s="58">
        <f t="shared" si="12"/>
        <v>2.2141265993427917E-2</v>
      </c>
      <c r="AP27" s="56">
        <f t="shared" si="6"/>
        <v>1</v>
      </c>
      <c r="AQ27" s="56">
        <f t="shared" si="7"/>
        <v>0</v>
      </c>
    </row>
    <row r="28" spans="1:43" x14ac:dyDescent="0.2">
      <c r="A28" s="156" t="s">
        <v>101</v>
      </c>
      <c r="B28" s="156" t="s">
        <v>102</v>
      </c>
      <c r="D28" s="68">
        <f>VLOOKUP(A28,'2017-18 disagg'!A28:AZ236,43,FALSE)</f>
        <v>931745</v>
      </c>
      <c r="E28" s="73">
        <v>1786.2656408718401</v>
      </c>
      <c r="F28" s="55"/>
      <c r="G28" s="88">
        <v>897626.91023017326</v>
      </c>
      <c r="H28" s="81">
        <v>1720.7242325812229</v>
      </c>
      <c r="I28" s="90"/>
      <c r="J28" s="103">
        <f t="shared" si="8"/>
        <v>3.8009210041483721E-2</v>
      </c>
      <c r="K28" s="126">
        <f t="shared" si="8"/>
        <v>3.8089431792507566E-2</v>
      </c>
      <c r="L28" s="56">
        <v>952008</v>
      </c>
      <c r="M28" s="103">
        <v>1.209800827038543E-2</v>
      </c>
      <c r="N28" s="97">
        <f>INDEX('Pace of change parameters'!$E$22:$I$22,1,$B$5)</f>
        <v>1.2019795091496865E-2</v>
      </c>
      <c r="O28" s="108">
        <f>MAX(IF(INDEX('Pace of change parameters'!$E$30:$I$30,1,$B$5)=1,(1+M28)*D28,D28),L28)</f>
        <v>952008</v>
      </c>
      <c r="P28" s="94">
        <f>IF(K28&lt;INDEX('Pace of change parameters'!$E$18:$I$18,1,$B$5),1,IF(K28&gt;INDEX('Pace of change parameters'!$E$19:$I$19,1,$B$5),0,(K28-INDEX('Pace of change parameters'!$E$19:$I$19,1,$B$5))/(INDEX('Pace of change parameters'!$E$18:$I$18,1,$B$5)-INDEX('Pace of change parameters'!$E$19:$I$19,1,$B$5))))</f>
        <v>0</v>
      </c>
      <c r="Q28" s="57">
        <v>1.209800827038543E-2</v>
      </c>
      <c r="R28" s="57">
        <v>1.2019795091496865E-2</v>
      </c>
      <c r="S28" s="9">
        <f>MAX(IF(INDEX('Pace of change parameters'!$E$31:$I$31,1,$B$5)=1,D28*(1+Q28),D28),L28)</f>
        <v>952008</v>
      </c>
      <c r="T28" s="103">
        <f>IF(Q28&lt;INDEX('Pace of change parameters'!$E$24:$I$24,1,$B$5),INDEX('Pace of change parameters'!$E$24:$I$24,1,$B$5),Q28)</f>
        <v>1.9732353921844841E-2</v>
      </c>
      <c r="U28" s="132">
        <v>1.9653550773963913E-2</v>
      </c>
      <c r="V28" s="117">
        <f t="shared" si="9"/>
        <v>952008</v>
      </c>
      <c r="W28" s="131">
        <f>IF(J28&gt;INDEX('Pace of change parameters'!$E$26:$I$26,1,$B$5),0,IF(J28&lt;INDEX('Pace of change parameters'!$E$25:$I$25,1,$B$5),1,(J28-INDEX('Pace of change parameters'!$E$26:$I$26,1,$B$5))/(INDEX('Pace of change parameters'!$E$25:$I$25,1,$B$5)-INDEX('Pace of change parameters'!$E$26:$I$26,1,$B$5))))</f>
        <v>1</v>
      </c>
      <c r="X28" s="132">
        <f>MIN(T28, T28+(INDEX('Pace of change parameters'!$E$27:$I$27,1,$B$5)-T28)*(1-W28))</f>
        <v>1.9732353921844841E-2</v>
      </c>
      <c r="Y28" s="132">
        <v>1.9653550773963913E-2</v>
      </c>
      <c r="Z28" s="108">
        <f t="shared" si="10"/>
        <v>952008</v>
      </c>
      <c r="AA28" s="97">
        <f>MIN(VLOOKUP(A28,'2017-18 disagg'!$A$12:$BC$220,54,FALSE),-2.5%)</f>
        <v>-2.5000000000000001E-2</v>
      </c>
      <c r="AB28" s="99">
        <f t="shared" si="2"/>
        <v>896883.8984473102</v>
      </c>
      <c r="AC28" s="99">
        <f>MAX(IF(INDEX('Pace of change parameters'!$E$29:$I$29,1,$B$5)=1,MAX(AB28,Z28),Z28),L28)</f>
        <v>952008</v>
      </c>
      <c r="AD28" s="97">
        <f t="shared" si="3"/>
        <v>2.1747366500491028E-2</v>
      </c>
      <c r="AE28" s="146">
        <v>2.1668407635932585E-2</v>
      </c>
      <c r="AF28" s="56">
        <f t="shared" si="11"/>
        <v>952008</v>
      </c>
      <c r="AG28" s="56">
        <v>1824.9711729243113</v>
      </c>
      <c r="AH28" s="16">
        <f t="shared" si="4"/>
        <v>2.1747366500491028E-2</v>
      </c>
      <c r="AI28" s="16">
        <f t="shared" si="5"/>
        <v>2.1668407635932585E-2</v>
      </c>
      <c r="AJ28" s="56"/>
      <c r="AK28" s="56">
        <v>919880.92148442077</v>
      </c>
      <c r="AL28" s="56">
        <v>1763.3845138193374</v>
      </c>
      <c r="AM28" s="16">
        <f t="shared" si="12"/>
        <v>3.4925258003759341E-2</v>
      </c>
      <c r="AN28" s="58">
        <f t="shared" si="12"/>
        <v>3.4925258003759341E-2</v>
      </c>
      <c r="AP28" s="56">
        <f t="shared" si="6"/>
        <v>1</v>
      </c>
      <c r="AQ28" s="56">
        <f t="shared" si="7"/>
        <v>0</v>
      </c>
    </row>
    <row r="29" spans="1:43" x14ac:dyDescent="0.2">
      <c r="A29" s="156" t="s">
        <v>103</v>
      </c>
      <c r="B29" s="156" t="s">
        <v>104</v>
      </c>
      <c r="D29" s="68">
        <f>VLOOKUP(A29,'2017-18 disagg'!A29:AZ237,43,FALSE)</f>
        <v>691935</v>
      </c>
      <c r="E29" s="73">
        <v>1841.1102681840307</v>
      </c>
      <c r="F29" s="55"/>
      <c r="G29" s="88">
        <v>669366.20272562536</v>
      </c>
      <c r="H29" s="81">
        <v>1777.0554878518687</v>
      </c>
      <c r="I29" s="90"/>
      <c r="J29" s="103">
        <f t="shared" si="8"/>
        <v>3.3716666874538337E-2</v>
      </c>
      <c r="K29" s="126">
        <f t="shared" si="8"/>
        <v>3.6045458777200112E-2</v>
      </c>
      <c r="L29" s="56">
        <v>707722</v>
      </c>
      <c r="M29" s="103">
        <v>1.429970754687826E-2</v>
      </c>
      <c r="N29" s="97">
        <f>INDEX('Pace of change parameters'!$E$22:$I$22,1,$B$5)</f>
        <v>1.2019795091496865E-2</v>
      </c>
      <c r="O29" s="108">
        <f>MAX(IF(INDEX('Pace of change parameters'!$E$30:$I$30,1,$B$5)=1,(1+M29)*D29,D29),L29)</f>
        <v>707722</v>
      </c>
      <c r="P29" s="94">
        <f>IF(K29&lt;INDEX('Pace of change parameters'!$E$18:$I$18,1,$B$5),1,IF(K29&gt;INDEX('Pace of change parameters'!$E$19:$I$19,1,$B$5),0,(K29-INDEX('Pace of change parameters'!$E$19:$I$19,1,$B$5))/(INDEX('Pace of change parameters'!$E$18:$I$18,1,$B$5)-INDEX('Pace of change parameters'!$E$19:$I$19,1,$B$5))))</f>
        <v>0</v>
      </c>
      <c r="Q29" s="57">
        <v>1.429970754687826E-2</v>
      </c>
      <c r="R29" s="57">
        <v>1.2019795091496865E-2</v>
      </c>
      <c r="S29" s="9">
        <f>MAX(IF(INDEX('Pace of change parameters'!$E$31:$I$31,1,$B$5)=1,D29*(1+Q29),D29),L29)</f>
        <v>707722</v>
      </c>
      <c r="T29" s="103">
        <f>IF(Q29&lt;INDEX('Pace of change parameters'!$E$24:$I$24,1,$B$5),INDEX('Pace of change parameters'!$E$24:$I$24,1,$B$5),Q29)</f>
        <v>1.9732353921844841E-2</v>
      </c>
      <c r="U29" s="132">
        <v>1.7440230126911871E-2</v>
      </c>
      <c r="V29" s="117">
        <f t="shared" si="9"/>
        <v>707722</v>
      </c>
      <c r="W29" s="131">
        <f>IF(J29&gt;INDEX('Pace of change parameters'!$E$26:$I$26,1,$B$5),0,IF(J29&lt;INDEX('Pace of change parameters'!$E$25:$I$25,1,$B$5),1,(J29-INDEX('Pace of change parameters'!$E$26:$I$26,1,$B$5))/(INDEX('Pace of change parameters'!$E$25:$I$25,1,$B$5)-INDEX('Pace of change parameters'!$E$26:$I$26,1,$B$5))))</f>
        <v>1</v>
      </c>
      <c r="X29" s="132">
        <f>MIN(T29, T29+(INDEX('Pace of change parameters'!$E$27:$I$27,1,$B$5)-T29)*(1-W29))</f>
        <v>1.9732353921844841E-2</v>
      </c>
      <c r="Y29" s="132">
        <v>1.7440230126911871E-2</v>
      </c>
      <c r="Z29" s="108">
        <f t="shared" si="10"/>
        <v>707722</v>
      </c>
      <c r="AA29" s="97">
        <f>MIN(VLOOKUP(A29,'2017-18 disagg'!$A$12:$BC$220,54,FALSE),-2.5%)</f>
        <v>-2.5000000000000001E-2</v>
      </c>
      <c r="AB29" s="99">
        <f t="shared" si="2"/>
        <v>669193.73580756399</v>
      </c>
      <c r="AC29" s="99">
        <f>MAX(IF(INDEX('Pace of change parameters'!$E$29:$I$29,1,$B$5)=1,MAX(AB29,Z29),Z29),L29)</f>
        <v>707722</v>
      </c>
      <c r="AD29" s="97">
        <f t="shared" si="3"/>
        <v>2.2815726910764722E-2</v>
      </c>
      <c r="AE29" s="146">
        <v>2.0516672402523195E-2</v>
      </c>
      <c r="AF29" s="56">
        <f t="shared" si="11"/>
        <v>707722</v>
      </c>
      <c r="AG29" s="56">
        <v>1878.883724413284</v>
      </c>
      <c r="AH29" s="16">
        <f t="shared" si="4"/>
        <v>2.2815726910764722E-2</v>
      </c>
      <c r="AI29" s="16">
        <f t="shared" si="5"/>
        <v>2.0516672402523195E-2</v>
      </c>
      <c r="AJ29" s="56"/>
      <c r="AK29" s="56">
        <v>686352.54954621952</v>
      </c>
      <c r="AL29" s="56">
        <v>1822.1514020363275</v>
      </c>
      <c r="AM29" s="16">
        <f t="shared" si="12"/>
        <v>3.1134801594179029E-2</v>
      </c>
      <c r="AN29" s="58">
        <f t="shared" si="12"/>
        <v>3.1134801594179251E-2</v>
      </c>
      <c r="AP29" s="56">
        <f t="shared" si="6"/>
        <v>1</v>
      </c>
      <c r="AQ29" s="56">
        <f t="shared" si="7"/>
        <v>0</v>
      </c>
    </row>
    <row r="30" spans="1:43" x14ac:dyDescent="0.2">
      <c r="A30" s="156" t="s">
        <v>105</v>
      </c>
      <c r="B30" s="156" t="s">
        <v>106</v>
      </c>
      <c r="D30" s="68">
        <f>VLOOKUP(A30,'2017-18 disagg'!A30:AZ238,43,FALSE)</f>
        <v>337003</v>
      </c>
      <c r="E30" s="73">
        <v>1619.7467046327197</v>
      </c>
      <c r="F30" s="55"/>
      <c r="G30" s="88">
        <v>335198.06042361812</v>
      </c>
      <c r="H30" s="81">
        <v>1603.2157008004615</v>
      </c>
      <c r="I30" s="90"/>
      <c r="J30" s="103">
        <f t="shared" si="8"/>
        <v>5.3846957649481553E-3</v>
      </c>
      <c r="K30" s="126">
        <f t="shared" si="8"/>
        <v>1.0311153903997061E-2</v>
      </c>
      <c r="L30" s="56">
        <v>345062</v>
      </c>
      <c r="M30" s="103">
        <v>1.6978765699870779E-2</v>
      </c>
      <c r="N30" s="97">
        <f>INDEX('Pace of change parameters'!$E$22:$I$22,1,$B$5)</f>
        <v>1.2019795091496865E-2</v>
      </c>
      <c r="O30" s="108">
        <f>MAX(IF(INDEX('Pace of change parameters'!$E$30:$I$30,1,$B$5)=1,(1+M30)*D30,D30),L30)</f>
        <v>345062</v>
      </c>
      <c r="P30" s="94">
        <f>IF(K30&lt;INDEX('Pace of change parameters'!$E$18:$I$18,1,$B$5),1,IF(K30&gt;INDEX('Pace of change parameters'!$E$19:$I$19,1,$B$5),0,(K30-INDEX('Pace of change parameters'!$E$19:$I$19,1,$B$5))/(INDEX('Pace of change parameters'!$E$18:$I$18,1,$B$5)-INDEX('Pace of change parameters'!$E$19:$I$19,1,$B$5))))</f>
        <v>0</v>
      </c>
      <c r="Q30" s="57">
        <v>1.6978765699870779E-2</v>
      </c>
      <c r="R30" s="57">
        <v>1.2019795091496865E-2</v>
      </c>
      <c r="S30" s="9">
        <f>MAX(IF(INDEX('Pace of change parameters'!$E$31:$I$31,1,$B$5)=1,D30*(1+Q30),D30),L30)</f>
        <v>345062</v>
      </c>
      <c r="T30" s="103">
        <f>IF(Q30&lt;INDEX('Pace of change parameters'!$E$24:$I$24,1,$B$5),INDEX('Pace of change parameters'!$E$24:$I$24,1,$B$5),Q30)</f>
        <v>1.9732353921844841E-2</v>
      </c>
      <c r="U30" s="132">
        <v>1.4759956324116974E-2</v>
      </c>
      <c r="V30" s="117">
        <f t="shared" si="9"/>
        <v>345062</v>
      </c>
      <c r="W30" s="131">
        <f>IF(J30&gt;INDEX('Pace of change parameters'!$E$26:$I$26,1,$B$5),0,IF(J30&lt;INDEX('Pace of change parameters'!$E$25:$I$25,1,$B$5),1,(J30-INDEX('Pace of change parameters'!$E$26:$I$26,1,$B$5))/(INDEX('Pace of change parameters'!$E$25:$I$25,1,$B$5)-INDEX('Pace of change parameters'!$E$26:$I$26,1,$B$5))))</f>
        <v>1</v>
      </c>
      <c r="X30" s="132">
        <f>MIN(T30, T30+(INDEX('Pace of change parameters'!$E$27:$I$27,1,$B$5)-T30)*(1-W30))</f>
        <v>1.9732353921844841E-2</v>
      </c>
      <c r="Y30" s="132">
        <v>1.4759956324116974E-2</v>
      </c>
      <c r="Z30" s="108">
        <f t="shared" si="10"/>
        <v>345062</v>
      </c>
      <c r="AA30" s="97">
        <f>MIN(VLOOKUP(A30,'2017-18 disagg'!$A$12:$BC$220,54,FALSE),-2.5%)</f>
        <v>-2.5000000000000001E-2</v>
      </c>
      <c r="AB30" s="99">
        <f t="shared" si="2"/>
        <v>335090.77403704933</v>
      </c>
      <c r="AC30" s="99">
        <f>MAX(IF(INDEX('Pace of change parameters'!$E$29:$I$29,1,$B$5)=1,MAX(AB30,Z30),Z30),L30)</f>
        <v>345062</v>
      </c>
      <c r="AD30" s="97">
        <f t="shared" si="3"/>
        <v>2.3913733705634765E-2</v>
      </c>
      <c r="AE30" s="146">
        <v>1.8920946951171747E-2</v>
      </c>
      <c r="AF30" s="56">
        <f t="shared" si="11"/>
        <v>345062</v>
      </c>
      <c r="AG30" s="56">
        <v>1650.3938461054104</v>
      </c>
      <c r="AH30" s="16">
        <f t="shared" si="4"/>
        <v>2.3913733705634765E-2</v>
      </c>
      <c r="AI30" s="16">
        <f t="shared" si="5"/>
        <v>1.8920946951171524E-2</v>
      </c>
      <c r="AJ30" s="56"/>
      <c r="AK30" s="56">
        <v>343682.84516620444</v>
      </c>
      <c r="AL30" s="56">
        <v>1643.7974992155102</v>
      </c>
      <c r="AM30" s="16">
        <f t="shared" si="12"/>
        <v>4.0128707417113052E-3</v>
      </c>
      <c r="AN30" s="58">
        <f t="shared" si="12"/>
        <v>4.0128707417113052E-3</v>
      </c>
      <c r="AP30" s="56">
        <f t="shared" si="6"/>
        <v>1</v>
      </c>
      <c r="AQ30" s="56">
        <f t="shared" si="7"/>
        <v>0</v>
      </c>
    </row>
    <row r="31" spans="1:43" x14ac:dyDescent="0.2">
      <c r="A31" s="156" t="s">
        <v>107</v>
      </c>
      <c r="B31" s="156" t="s">
        <v>108</v>
      </c>
      <c r="D31" s="68">
        <f>VLOOKUP(A31,'2017-18 disagg'!A31:AZ239,43,FALSE)</f>
        <v>280850</v>
      </c>
      <c r="E31" s="73">
        <v>1848.3145709073433</v>
      </c>
      <c r="F31" s="55"/>
      <c r="G31" s="88">
        <v>271607.75469394424</v>
      </c>
      <c r="H31" s="81">
        <v>1780.910764570976</v>
      </c>
      <c r="I31" s="90"/>
      <c r="J31" s="103">
        <f t="shared" si="8"/>
        <v>3.4027913954335354E-2</v>
      </c>
      <c r="K31" s="126">
        <f t="shared" si="8"/>
        <v>3.7847941445064537E-2</v>
      </c>
      <c r="L31" s="56">
        <v>287265</v>
      </c>
      <c r="M31" s="103">
        <v>1.5758517602021183E-2</v>
      </c>
      <c r="N31" s="97">
        <f>INDEX('Pace of change parameters'!$E$22:$I$22,1,$B$5)</f>
        <v>1.2019795091496865E-2</v>
      </c>
      <c r="O31" s="108">
        <f>MAX(IF(INDEX('Pace of change parameters'!$E$30:$I$30,1,$B$5)=1,(1+M31)*D31,D31),L31)</f>
        <v>287265</v>
      </c>
      <c r="P31" s="94">
        <f>IF(K31&lt;INDEX('Pace of change parameters'!$E$18:$I$18,1,$B$5),1,IF(K31&gt;INDEX('Pace of change parameters'!$E$19:$I$19,1,$B$5),0,(K31-INDEX('Pace of change parameters'!$E$19:$I$19,1,$B$5))/(INDEX('Pace of change parameters'!$E$18:$I$18,1,$B$5)-INDEX('Pace of change parameters'!$E$19:$I$19,1,$B$5))))</f>
        <v>0</v>
      </c>
      <c r="Q31" s="57">
        <v>1.5758517602021183E-2</v>
      </c>
      <c r="R31" s="57">
        <v>1.2019795091496865E-2</v>
      </c>
      <c r="S31" s="9">
        <f>MAX(IF(INDEX('Pace of change parameters'!$E$31:$I$31,1,$B$5)=1,D31*(1+Q31),D31),L31)</f>
        <v>287265</v>
      </c>
      <c r="T31" s="103">
        <f>IF(Q31&lt;INDEX('Pace of change parameters'!$E$24:$I$24,1,$B$5),INDEX('Pace of change parameters'!$E$24:$I$24,1,$B$5),Q31)</f>
        <v>1.9732353921844841E-2</v>
      </c>
      <c r="U31" s="132">
        <v>1.5979004833207133E-2</v>
      </c>
      <c r="V31" s="117">
        <f t="shared" si="9"/>
        <v>287265</v>
      </c>
      <c r="W31" s="131">
        <f>IF(J31&gt;INDEX('Pace of change parameters'!$E$26:$I$26,1,$B$5),0,IF(J31&lt;INDEX('Pace of change parameters'!$E$25:$I$25,1,$B$5),1,(J31-INDEX('Pace of change parameters'!$E$26:$I$26,1,$B$5))/(INDEX('Pace of change parameters'!$E$25:$I$25,1,$B$5)-INDEX('Pace of change parameters'!$E$26:$I$26,1,$B$5))))</f>
        <v>1</v>
      </c>
      <c r="X31" s="132">
        <f>MIN(T31, T31+(INDEX('Pace of change parameters'!$E$27:$I$27,1,$B$5)-T31)*(1-W31))</f>
        <v>1.9732353921844841E-2</v>
      </c>
      <c r="Y31" s="132">
        <v>1.5979004833207133E-2</v>
      </c>
      <c r="Z31" s="108">
        <f t="shared" si="10"/>
        <v>287265</v>
      </c>
      <c r="AA31" s="97">
        <f>MIN(VLOOKUP(A31,'2017-18 disagg'!$A$12:$BC$220,54,FALSE),-2.5%)</f>
        <v>-2.5000000000000001E-2</v>
      </c>
      <c r="AB31" s="99">
        <f t="shared" si="2"/>
        <v>271409.56245386426</v>
      </c>
      <c r="AC31" s="99">
        <f>MAX(IF(INDEX('Pace of change parameters'!$E$29:$I$29,1,$B$5)=1,MAX(AB31,Z31),Z31),L31)</f>
        <v>287265</v>
      </c>
      <c r="AD31" s="97">
        <f t="shared" si="3"/>
        <v>2.2841374399145353E-2</v>
      </c>
      <c r="AE31" s="146">
        <v>1.9076581877208509E-2</v>
      </c>
      <c r="AF31" s="56">
        <f t="shared" si="11"/>
        <v>287265</v>
      </c>
      <c r="AG31" s="56">
        <v>1883.5740951540952</v>
      </c>
      <c r="AH31" s="16">
        <f t="shared" si="4"/>
        <v>2.2841374399145353E-2</v>
      </c>
      <c r="AI31" s="16">
        <f t="shared" si="5"/>
        <v>1.9076581877208731E-2</v>
      </c>
      <c r="AJ31" s="56"/>
      <c r="AK31" s="56">
        <v>278368.78200396337</v>
      </c>
      <c r="AL31" s="56">
        <v>1825.2422908543081</v>
      </c>
      <c r="AM31" s="16">
        <f t="shared" si="12"/>
        <v>3.1958389629732187E-2</v>
      </c>
      <c r="AN31" s="58">
        <f t="shared" si="12"/>
        <v>3.1958389629732187E-2</v>
      </c>
      <c r="AP31" s="56">
        <f t="shared" si="6"/>
        <v>1</v>
      </c>
      <c r="AQ31" s="56">
        <f t="shared" si="7"/>
        <v>0</v>
      </c>
    </row>
    <row r="32" spans="1:43" x14ac:dyDescent="0.2">
      <c r="A32" s="156" t="s">
        <v>109</v>
      </c>
      <c r="B32" s="156" t="s">
        <v>110</v>
      </c>
      <c r="D32" s="68">
        <f>VLOOKUP(A32,'2017-18 disagg'!A32:AZ240,43,FALSE)</f>
        <v>354312</v>
      </c>
      <c r="E32" s="73">
        <v>1672.7583567199208</v>
      </c>
      <c r="F32" s="55"/>
      <c r="G32" s="88">
        <v>354718.90701712534</v>
      </c>
      <c r="H32" s="81">
        <v>1671.0149777783809</v>
      </c>
      <c r="I32" s="90"/>
      <c r="J32" s="103">
        <f t="shared" si="8"/>
        <v>-1.1471252562967882E-3</v>
      </c>
      <c r="K32" s="126">
        <f t="shared" si="8"/>
        <v>1.0433053950587023E-3</v>
      </c>
      <c r="L32" s="56">
        <v>362834</v>
      </c>
      <c r="M32" s="103">
        <v>1.4239100091260504E-2</v>
      </c>
      <c r="N32" s="97">
        <f>INDEX('Pace of change parameters'!$E$22:$I$22,1,$B$5)</f>
        <v>1.2019795091496865E-2</v>
      </c>
      <c r="O32" s="108">
        <f>MAX(IF(INDEX('Pace of change parameters'!$E$30:$I$30,1,$B$5)=1,(1+M32)*D32,D32),L32)</f>
        <v>362834</v>
      </c>
      <c r="P32" s="94">
        <f>IF(K32&lt;INDEX('Pace of change parameters'!$E$18:$I$18,1,$B$5),1,IF(K32&gt;INDEX('Pace of change parameters'!$E$19:$I$19,1,$B$5),0,(K32-INDEX('Pace of change parameters'!$E$19:$I$19,1,$B$5))/(INDEX('Pace of change parameters'!$E$18:$I$18,1,$B$5)-INDEX('Pace of change parameters'!$E$19:$I$19,1,$B$5))))</f>
        <v>0.17451588726144893</v>
      </c>
      <c r="Q32" s="57">
        <v>1.6509319643497111E-2</v>
      </c>
      <c r="R32" s="57">
        <v>1.4285047067939649E-2</v>
      </c>
      <c r="S32" s="9">
        <f>MAX(IF(INDEX('Pace of change parameters'!$E$31:$I$31,1,$B$5)=1,D32*(1+Q32),D32),L32)</f>
        <v>362834</v>
      </c>
      <c r="T32" s="103">
        <f>IF(Q32&lt;INDEX('Pace of change parameters'!$E$24:$I$24,1,$B$5),INDEX('Pace of change parameters'!$E$24:$I$24,1,$B$5),Q32)</f>
        <v>1.9732353921844841E-2</v>
      </c>
      <c r="U32" s="132">
        <v>1.7501028871099056E-2</v>
      </c>
      <c r="V32" s="117">
        <f t="shared" si="9"/>
        <v>362834</v>
      </c>
      <c r="W32" s="131">
        <f>IF(J32&gt;INDEX('Pace of change parameters'!$E$26:$I$26,1,$B$5),0,IF(J32&lt;INDEX('Pace of change parameters'!$E$25:$I$25,1,$B$5),1,(J32-INDEX('Pace of change parameters'!$E$26:$I$26,1,$B$5))/(INDEX('Pace of change parameters'!$E$25:$I$25,1,$B$5)-INDEX('Pace of change parameters'!$E$26:$I$26,1,$B$5))))</f>
        <v>1</v>
      </c>
      <c r="X32" s="132">
        <f>MIN(T32, T32+(INDEX('Pace of change parameters'!$E$27:$I$27,1,$B$5)-T32)*(1-W32))</f>
        <v>1.9732353921844841E-2</v>
      </c>
      <c r="Y32" s="132">
        <v>1.7501028871099056E-2</v>
      </c>
      <c r="Z32" s="108">
        <f t="shared" si="10"/>
        <v>362834</v>
      </c>
      <c r="AA32" s="97">
        <f>MIN(VLOOKUP(A32,'2017-18 disagg'!$A$12:$BC$220,54,FALSE),-2.5%)</f>
        <v>-2.5000000000000001E-2</v>
      </c>
      <c r="AB32" s="99">
        <f t="shared" si="2"/>
        <v>354669.64781762642</v>
      </c>
      <c r="AC32" s="99">
        <f>MAX(IF(INDEX('Pace of change parameters'!$E$29:$I$29,1,$B$5)=1,MAX(AB32,Z32),Z32),L32)</f>
        <v>362834</v>
      </c>
      <c r="AD32" s="97">
        <f t="shared" si="3"/>
        <v>2.4052247736458199E-2</v>
      </c>
      <c r="AE32" s="146">
        <v>2.1811470119803333E-2</v>
      </c>
      <c r="AF32" s="56">
        <f t="shared" si="11"/>
        <v>362834</v>
      </c>
      <c r="AG32" s="56">
        <v>1709.243675635169</v>
      </c>
      <c r="AH32" s="16">
        <f t="shared" si="4"/>
        <v>2.4052247736458199E-2</v>
      </c>
      <c r="AI32" s="16">
        <f t="shared" si="5"/>
        <v>2.1811470119803555E-2</v>
      </c>
      <c r="AJ32" s="56"/>
      <c r="AK32" s="56">
        <v>363763.74135141174</v>
      </c>
      <c r="AL32" s="56">
        <v>1713.623514693463</v>
      </c>
      <c r="AM32" s="16">
        <f t="shared" si="12"/>
        <v>-2.555893415758459E-3</v>
      </c>
      <c r="AN32" s="58">
        <f t="shared" si="12"/>
        <v>-2.55589341575857E-3</v>
      </c>
      <c r="AP32" s="56">
        <f t="shared" si="6"/>
        <v>1</v>
      </c>
      <c r="AQ32" s="56">
        <f t="shared" si="7"/>
        <v>0</v>
      </c>
    </row>
    <row r="33" spans="1:43" x14ac:dyDescent="0.2">
      <c r="A33" s="156" t="s">
        <v>111</v>
      </c>
      <c r="B33" s="156" t="s">
        <v>112</v>
      </c>
      <c r="D33" s="68">
        <f>VLOOKUP(A33,'2017-18 disagg'!A33:AZ241,43,FALSE)</f>
        <v>247906</v>
      </c>
      <c r="E33" s="73">
        <v>1899.2477294630241</v>
      </c>
      <c r="F33" s="55"/>
      <c r="G33" s="88">
        <v>239355.08615182005</v>
      </c>
      <c r="H33" s="81">
        <v>1829.7832987364025</v>
      </c>
      <c r="I33" s="90"/>
      <c r="J33" s="103">
        <f t="shared" si="8"/>
        <v>3.5724805290981765E-2</v>
      </c>
      <c r="K33" s="126">
        <f t="shared" si="8"/>
        <v>3.7963200765135374E-2</v>
      </c>
      <c r="L33" s="56">
        <v>253506</v>
      </c>
      <c r="M33" s="103">
        <v>1.4206959594571744E-2</v>
      </c>
      <c r="N33" s="97">
        <f>INDEX('Pace of change parameters'!$E$22:$I$22,1,$B$5)</f>
        <v>1.2019795091496865E-2</v>
      </c>
      <c r="O33" s="108">
        <f>MAX(IF(INDEX('Pace of change parameters'!$E$30:$I$30,1,$B$5)=1,(1+M33)*D33,D33),L33)</f>
        <v>253506</v>
      </c>
      <c r="P33" s="94">
        <f>IF(K33&lt;INDEX('Pace of change parameters'!$E$18:$I$18,1,$B$5),1,IF(K33&gt;INDEX('Pace of change parameters'!$E$19:$I$19,1,$B$5),0,(K33-INDEX('Pace of change parameters'!$E$19:$I$19,1,$B$5))/(INDEX('Pace of change parameters'!$E$18:$I$18,1,$B$5)-INDEX('Pace of change parameters'!$E$19:$I$19,1,$B$5))))</f>
        <v>0</v>
      </c>
      <c r="Q33" s="57">
        <v>1.4206959594571744E-2</v>
      </c>
      <c r="R33" s="57">
        <v>1.2019795091496865E-2</v>
      </c>
      <c r="S33" s="9">
        <f>MAX(IF(INDEX('Pace of change parameters'!$E$31:$I$31,1,$B$5)=1,D33*(1+Q33),D33),L33)</f>
        <v>253506</v>
      </c>
      <c r="T33" s="103">
        <f>IF(Q33&lt;INDEX('Pace of change parameters'!$E$24:$I$24,1,$B$5),INDEX('Pace of change parameters'!$E$24:$I$24,1,$B$5),Q33)</f>
        <v>1.9732353921844841E-2</v>
      </c>
      <c r="U33" s="132">
        <v>1.7533273757746493E-2</v>
      </c>
      <c r="V33" s="117">
        <f t="shared" si="9"/>
        <v>253506</v>
      </c>
      <c r="W33" s="131">
        <f>IF(J33&gt;INDEX('Pace of change parameters'!$E$26:$I$26,1,$B$5),0,IF(J33&lt;INDEX('Pace of change parameters'!$E$25:$I$25,1,$B$5),1,(J33-INDEX('Pace of change parameters'!$E$26:$I$26,1,$B$5))/(INDEX('Pace of change parameters'!$E$25:$I$25,1,$B$5)-INDEX('Pace of change parameters'!$E$26:$I$26,1,$B$5))))</f>
        <v>1</v>
      </c>
      <c r="X33" s="132">
        <f>MIN(T33, T33+(INDEX('Pace of change parameters'!$E$27:$I$27,1,$B$5)-T33)*(1-W33))</f>
        <v>1.9732353921844841E-2</v>
      </c>
      <c r="Y33" s="132">
        <v>1.7533273757746493E-2</v>
      </c>
      <c r="Z33" s="108">
        <f t="shared" si="10"/>
        <v>253506</v>
      </c>
      <c r="AA33" s="97">
        <f>MIN(VLOOKUP(A33,'2017-18 disagg'!$A$12:$BC$220,54,FALSE),-2.5%)</f>
        <v>-2.5000000000000001E-2</v>
      </c>
      <c r="AB33" s="99">
        <f t="shared" si="2"/>
        <v>239190.04970541722</v>
      </c>
      <c r="AC33" s="99">
        <f>MAX(IF(INDEX('Pace of change parameters'!$E$29:$I$29,1,$B$5)=1,MAX(AB33,Z33),Z33),L33)</f>
        <v>253506</v>
      </c>
      <c r="AD33" s="97">
        <f t="shared" si="3"/>
        <v>2.2589207199503081E-2</v>
      </c>
      <c r="AE33" s="146">
        <v>2.0383966154708499E-2</v>
      </c>
      <c r="AF33" s="56">
        <f t="shared" si="11"/>
        <v>253506</v>
      </c>
      <c r="AG33" s="56">
        <v>1937.9619308998053</v>
      </c>
      <c r="AH33" s="16">
        <f t="shared" si="4"/>
        <v>2.2589207199503081E-2</v>
      </c>
      <c r="AI33" s="16">
        <f t="shared" si="5"/>
        <v>2.0383966154708499E-2</v>
      </c>
      <c r="AJ33" s="56"/>
      <c r="AK33" s="56">
        <v>245323.12790299201</v>
      </c>
      <c r="AL33" s="56">
        <v>1875.4068252635532</v>
      </c>
      <c r="AM33" s="16">
        <f t="shared" si="12"/>
        <v>3.3355485750384384E-2</v>
      </c>
      <c r="AN33" s="58">
        <f t="shared" si="12"/>
        <v>3.3355485750384384E-2</v>
      </c>
      <c r="AP33" s="56">
        <f t="shared" si="6"/>
        <v>1</v>
      </c>
      <c r="AQ33" s="56">
        <f t="shared" si="7"/>
        <v>0</v>
      </c>
    </row>
    <row r="34" spans="1:43" x14ac:dyDescent="0.2">
      <c r="A34" s="156" t="s">
        <v>113</v>
      </c>
      <c r="B34" s="156" t="s">
        <v>114</v>
      </c>
      <c r="D34" s="68">
        <f>VLOOKUP(A34,'2017-18 disagg'!A34:AZ242,43,FALSE)</f>
        <v>415748</v>
      </c>
      <c r="E34" s="73">
        <v>1820.6424603509831</v>
      </c>
      <c r="F34" s="55"/>
      <c r="G34" s="88">
        <v>422878.01868962869</v>
      </c>
      <c r="H34" s="81">
        <v>1847.0872661658477</v>
      </c>
      <c r="I34" s="90"/>
      <c r="J34" s="103">
        <f t="shared" si="8"/>
        <v>-1.6860698297164856E-2</v>
      </c>
      <c r="K34" s="126">
        <f t="shared" si="8"/>
        <v>-1.431703108958049E-2</v>
      </c>
      <c r="L34" s="56">
        <v>425633</v>
      </c>
      <c r="M34" s="103">
        <v>1.4638184532079768E-2</v>
      </c>
      <c r="N34" s="97">
        <f>INDEX('Pace of change parameters'!$E$22:$I$22,1,$B$5)</f>
        <v>1.2019795091496865E-2</v>
      </c>
      <c r="O34" s="108">
        <f>MAX(IF(INDEX('Pace of change parameters'!$E$30:$I$30,1,$B$5)=1,(1+M34)*D34,D34),L34)</f>
        <v>425633</v>
      </c>
      <c r="P34" s="94">
        <f>IF(K34&lt;INDEX('Pace of change parameters'!$E$18:$I$18,1,$B$5),1,IF(K34&gt;INDEX('Pace of change parameters'!$E$19:$I$19,1,$B$5),0,(K34-INDEX('Pace of change parameters'!$E$19:$I$19,1,$B$5))/(INDEX('Pace of change parameters'!$E$18:$I$18,1,$B$5)-INDEX('Pace of change parameters'!$E$19:$I$19,1,$B$5))))</f>
        <v>0.50781273417619932</v>
      </c>
      <c r="Q34" s="57">
        <v>2.1246752038247774E-2</v>
      </c>
      <c r="R34" s="57">
        <v>1.8611308436251139E-2</v>
      </c>
      <c r="S34" s="9">
        <f>MAX(IF(INDEX('Pace of change parameters'!$E$31:$I$31,1,$B$5)=1,D34*(1+Q34),D34),L34)</f>
        <v>425633</v>
      </c>
      <c r="T34" s="103">
        <f>IF(Q34&lt;INDEX('Pace of change parameters'!$E$24:$I$24,1,$B$5),INDEX('Pace of change parameters'!$E$24:$I$24,1,$B$5),Q34)</f>
        <v>2.1246752038247774E-2</v>
      </c>
      <c r="U34" s="132">
        <v>1.8611308436251139E-2</v>
      </c>
      <c r="V34" s="117">
        <f t="shared" si="9"/>
        <v>425633</v>
      </c>
      <c r="W34" s="131">
        <f>IF(J34&gt;INDEX('Pace of change parameters'!$E$26:$I$26,1,$B$5),0,IF(J34&lt;INDEX('Pace of change parameters'!$E$25:$I$25,1,$B$5),1,(J34-INDEX('Pace of change parameters'!$E$26:$I$26,1,$B$5))/(INDEX('Pace of change parameters'!$E$25:$I$25,1,$B$5)-INDEX('Pace of change parameters'!$E$26:$I$26,1,$B$5))))</f>
        <v>1</v>
      </c>
      <c r="X34" s="132">
        <f>MIN(T34, T34+(INDEX('Pace of change parameters'!$E$27:$I$27,1,$B$5)-T34)*(1-W34))</f>
        <v>2.1246752038247774E-2</v>
      </c>
      <c r="Y34" s="132">
        <v>1.8611308436251139E-2</v>
      </c>
      <c r="Z34" s="108">
        <f t="shared" si="10"/>
        <v>425633</v>
      </c>
      <c r="AA34" s="97">
        <f>MIN(VLOOKUP(A34,'2017-18 disagg'!$A$12:$BC$220,54,FALSE),-2.5%)</f>
        <v>-2.5000000000000001E-2</v>
      </c>
      <c r="AB34" s="99">
        <f t="shared" si="2"/>
        <v>422843.35479987413</v>
      </c>
      <c r="AC34" s="99">
        <f>MAX(IF(INDEX('Pace of change parameters'!$E$29:$I$29,1,$B$5)=1,MAX(AB34,Z34),Z34),L34)</f>
        <v>425633</v>
      </c>
      <c r="AD34" s="97">
        <f t="shared" si="3"/>
        <v>2.3776422255789464E-2</v>
      </c>
      <c r="AE34" s="146">
        <v>2.1134450551572037E-2</v>
      </c>
      <c r="AF34" s="56">
        <f t="shared" si="11"/>
        <v>425633</v>
      </c>
      <c r="AG34" s="56">
        <v>1859.1207384013637</v>
      </c>
      <c r="AH34" s="16">
        <f t="shared" si="4"/>
        <v>2.3776422255789464E-2</v>
      </c>
      <c r="AI34" s="16">
        <f t="shared" si="5"/>
        <v>2.1134450551572259E-2</v>
      </c>
      <c r="AJ34" s="56"/>
      <c r="AK34" s="56">
        <v>433685.49210243503</v>
      </c>
      <c r="AL34" s="56">
        <v>1894.293187585168</v>
      </c>
      <c r="AM34" s="16">
        <f t="shared" si="12"/>
        <v>-1.8567584687691263E-2</v>
      </c>
      <c r="AN34" s="58">
        <f t="shared" si="12"/>
        <v>-1.8567584687691263E-2</v>
      </c>
      <c r="AP34" s="56">
        <f t="shared" si="6"/>
        <v>1</v>
      </c>
      <c r="AQ34" s="56">
        <f t="shared" si="7"/>
        <v>0</v>
      </c>
    </row>
    <row r="35" spans="1:43" x14ac:dyDescent="0.2">
      <c r="A35" s="156" t="s">
        <v>115</v>
      </c>
      <c r="B35" s="156" t="s">
        <v>116</v>
      </c>
      <c r="D35" s="68">
        <f>VLOOKUP(A35,'2017-18 disagg'!A35:AZ243,43,FALSE)</f>
        <v>346677</v>
      </c>
      <c r="E35" s="73">
        <v>2131.8817428728926</v>
      </c>
      <c r="F35" s="55"/>
      <c r="G35" s="88">
        <v>323499.28521365533</v>
      </c>
      <c r="H35" s="81">
        <v>1987.7488167619663</v>
      </c>
      <c r="I35" s="90"/>
      <c r="J35" s="103">
        <f t="shared" si="8"/>
        <v>7.1646880984719719E-2</v>
      </c>
      <c r="K35" s="126">
        <f t="shared" si="8"/>
        <v>7.2510633584840001E-2</v>
      </c>
      <c r="L35" s="56">
        <v>353484</v>
      </c>
      <c r="M35" s="103">
        <v>1.2835487970274784E-2</v>
      </c>
      <c r="N35" s="97">
        <f>INDEX('Pace of change parameters'!$E$22:$I$22,1,$B$5)</f>
        <v>1.2019795091496865E-2</v>
      </c>
      <c r="O35" s="108">
        <f>MAX(IF(INDEX('Pace of change parameters'!$E$30:$I$30,1,$B$5)=1,(1+M35)*D35,D35),L35)</f>
        <v>353484</v>
      </c>
      <c r="P35" s="94">
        <f>IF(K35&lt;INDEX('Pace of change parameters'!$E$18:$I$18,1,$B$5),1,IF(K35&gt;INDEX('Pace of change parameters'!$E$19:$I$19,1,$B$5),0,(K35-INDEX('Pace of change parameters'!$E$19:$I$19,1,$B$5))/(INDEX('Pace of change parameters'!$E$18:$I$18,1,$B$5)-INDEX('Pace of change parameters'!$E$19:$I$19,1,$B$5))))</f>
        <v>0</v>
      </c>
      <c r="Q35" s="57">
        <v>1.2835487970274784E-2</v>
      </c>
      <c r="R35" s="57">
        <v>1.2019795091496865E-2</v>
      </c>
      <c r="S35" s="9">
        <f>MAX(IF(INDEX('Pace of change parameters'!$E$31:$I$31,1,$B$5)=1,D35*(1+Q35),D35),L35)</f>
        <v>353484</v>
      </c>
      <c r="T35" s="103">
        <f>IF(Q35&lt;INDEX('Pace of change parameters'!$E$24:$I$24,1,$B$5),INDEX('Pace of change parameters'!$E$24:$I$24,1,$B$5),Q35)</f>
        <v>1.9732353921844841E-2</v>
      </c>
      <c r="U35" s="132">
        <v>1.8911106612451656E-2</v>
      </c>
      <c r="V35" s="117">
        <f t="shared" si="9"/>
        <v>353517.75326056342</v>
      </c>
      <c r="W35" s="131">
        <f>IF(J35&gt;INDEX('Pace of change parameters'!$E$26:$I$26,1,$B$5),0,IF(J35&lt;INDEX('Pace of change parameters'!$E$25:$I$25,1,$B$5),1,(J35-INDEX('Pace of change parameters'!$E$26:$I$26,1,$B$5))/(INDEX('Pace of change parameters'!$E$25:$I$25,1,$B$5)-INDEX('Pace of change parameters'!$E$26:$I$26,1,$B$5))))</f>
        <v>0.56706238030560574</v>
      </c>
      <c r="X35" s="132">
        <f>MIN(T35, T35+(INDEX('Pace of change parameters'!$E$27:$I$27,1,$B$5)-T35)*(1-W35))</f>
        <v>1.1376657861743031E-2</v>
      </c>
      <c r="Y35" s="132">
        <v>1.0562139860173847E-2</v>
      </c>
      <c r="Z35" s="108">
        <f t="shared" si="10"/>
        <v>353484</v>
      </c>
      <c r="AA35" s="97">
        <f>MIN(VLOOKUP(A35,'2017-18 disagg'!$A$12:$BC$220,54,FALSE),-2.5%)</f>
        <v>-2.5000000000000001E-2</v>
      </c>
      <c r="AB35" s="99">
        <f t="shared" si="2"/>
        <v>323321.63103129272</v>
      </c>
      <c r="AC35" s="99">
        <f>MAX(IF(INDEX('Pace of change parameters'!$E$29:$I$29,1,$B$5)=1,MAX(AB35,Z35),Z35),L35)</f>
        <v>353484</v>
      </c>
      <c r="AD35" s="97">
        <f t="shared" si="3"/>
        <v>1.9634991649287281E-2</v>
      </c>
      <c r="AE35" s="146">
        <v>1.8813822751159837E-2</v>
      </c>
      <c r="AF35" s="56">
        <f t="shared" si="11"/>
        <v>353484</v>
      </c>
      <c r="AG35" s="56">
        <v>2171.990588109737</v>
      </c>
      <c r="AH35" s="16">
        <f t="shared" si="4"/>
        <v>1.9634991649287281E-2</v>
      </c>
      <c r="AI35" s="16">
        <f t="shared" si="5"/>
        <v>1.8813822751159837E-2</v>
      </c>
      <c r="AJ35" s="56"/>
      <c r="AK35" s="56">
        <v>331611.92926286435</v>
      </c>
      <c r="AL35" s="56">
        <v>2037.5971451716437</v>
      </c>
      <c r="AM35" s="16">
        <f t="shared" si="12"/>
        <v>6.5956827264190387E-2</v>
      </c>
      <c r="AN35" s="58">
        <f t="shared" si="12"/>
        <v>6.5956827264190387E-2</v>
      </c>
      <c r="AP35" s="56">
        <f t="shared" si="6"/>
        <v>1</v>
      </c>
      <c r="AQ35" s="56">
        <f t="shared" si="7"/>
        <v>0</v>
      </c>
    </row>
    <row r="36" spans="1:43" x14ac:dyDescent="0.2">
      <c r="A36" s="156" t="s">
        <v>117</v>
      </c>
      <c r="B36" s="156" t="s">
        <v>118</v>
      </c>
      <c r="D36" s="68">
        <f>VLOOKUP(A36,'2017-18 disagg'!A36:AZ244,43,FALSE)</f>
        <v>272914</v>
      </c>
      <c r="E36" s="73">
        <v>1720.1995003588513</v>
      </c>
      <c r="F36" s="55"/>
      <c r="G36" s="88">
        <v>264069.70693290792</v>
      </c>
      <c r="H36" s="81">
        <v>1660.4230446176521</v>
      </c>
      <c r="I36" s="90"/>
      <c r="J36" s="103">
        <f t="shared" si="8"/>
        <v>3.3492266757198186E-2</v>
      </c>
      <c r="K36" s="126">
        <f t="shared" si="8"/>
        <v>3.6000738447329983E-2</v>
      </c>
      <c r="L36" s="56">
        <v>279101</v>
      </c>
      <c r="M36" s="103">
        <v>1.4476149229303292E-2</v>
      </c>
      <c r="N36" s="97">
        <f>INDEX('Pace of change parameters'!$E$22:$I$22,1,$B$5)</f>
        <v>1.2019795091496865E-2</v>
      </c>
      <c r="O36" s="108">
        <f>MAX(IF(INDEX('Pace of change parameters'!$E$30:$I$30,1,$B$5)=1,(1+M36)*D36,D36),L36)</f>
        <v>279101</v>
      </c>
      <c r="P36" s="94">
        <f>IF(K36&lt;INDEX('Pace of change parameters'!$E$18:$I$18,1,$B$5),1,IF(K36&gt;INDEX('Pace of change parameters'!$E$19:$I$19,1,$B$5),0,(K36-INDEX('Pace of change parameters'!$E$19:$I$19,1,$B$5))/(INDEX('Pace of change parameters'!$E$18:$I$18,1,$B$5)-INDEX('Pace of change parameters'!$E$19:$I$19,1,$B$5))))</f>
        <v>0</v>
      </c>
      <c r="Q36" s="57">
        <v>1.4476149229303292E-2</v>
      </c>
      <c r="R36" s="57">
        <v>1.2019795091496865E-2</v>
      </c>
      <c r="S36" s="9">
        <f>MAX(IF(INDEX('Pace of change parameters'!$E$31:$I$31,1,$B$5)=1,D36*(1+Q36),D36),L36)</f>
        <v>279101</v>
      </c>
      <c r="T36" s="103">
        <f>IF(Q36&lt;INDEX('Pace of change parameters'!$E$24:$I$24,1,$B$5),INDEX('Pace of change parameters'!$E$24:$I$24,1,$B$5),Q36)</f>
        <v>1.9732353921844841E-2</v>
      </c>
      <c r="U36" s="132">
        <v>1.7263272919877393E-2</v>
      </c>
      <c r="V36" s="117">
        <f t="shared" si="9"/>
        <v>279101</v>
      </c>
      <c r="W36" s="131">
        <f>IF(J36&gt;INDEX('Pace of change parameters'!$E$26:$I$26,1,$B$5),0,IF(J36&lt;INDEX('Pace of change parameters'!$E$25:$I$25,1,$B$5),1,(J36-INDEX('Pace of change parameters'!$E$26:$I$26,1,$B$5))/(INDEX('Pace of change parameters'!$E$25:$I$25,1,$B$5)-INDEX('Pace of change parameters'!$E$26:$I$26,1,$B$5))))</f>
        <v>1</v>
      </c>
      <c r="X36" s="132">
        <f>MIN(T36, T36+(INDEX('Pace of change parameters'!$E$27:$I$27,1,$B$5)-T36)*(1-W36))</f>
        <v>1.9732353921844841E-2</v>
      </c>
      <c r="Y36" s="132">
        <v>1.7263272919877393E-2</v>
      </c>
      <c r="Z36" s="108">
        <f t="shared" si="10"/>
        <v>279101</v>
      </c>
      <c r="AA36" s="97">
        <f>MIN(VLOOKUP(A36,'2017-18 disagg'!$A$12:$BC$220,54,FALSE),-2.5%)</f>
        <v>-2.5000000000000001E-2</v>
      </c>
      <c r="AB36" s="99">
        <f t="shared" si="2"/>
        <v>263926.39733734616</v>
      </c>
      <c r="AC36" s="99">
        <f>MAX(IF(INDEX('Pace of change parameters'!$E$29:$I$29,1,$B$5)=1,MAX(AB36,Z36),Z36),L36)</f>
        <v>279101</v>
      </c>
      <c r="AD36" s="97">
        <f t="shared" si="3"/>
        <v>2.2670145173937506E-2</v>
      </c>
      <c r="AE36" s="146">
        <v>2.0193950889214829E-2</v>
      </c>
      <c r="AF36" s="56">
        <f t="shared" si="11"/>
        <v>279101</v>
      </c>
      <c r="AG36" s="56">
        <v>1754.9371245887498</v>
      </c>
      <c r="AH36" s="16">
        <f t="shared" si="4"/>
        <v>2.2670145173937506E-2</v>
      </c>
      <c r="AI36" s="16">
        <f t="shared" si="5"/>
        <v>2.0193950889214829E-2</v>
      </c>
      <c r="AJ36" s="56"/>
      <c r="AK36" s="56">
        <v>270693.7408588166</v>
      </c>
      <c r="AL36" s="56">
        <v>1702.0737841388739</v>
      </c>
      <c r="AM36" s="16">
        <f t="shared" si="12"/>
        <v>3.1058195562668311E-2</v>
      </c>
      <c r="AN36" s="58">
        <f t="shared" si="12"/>
        <v>3.1058195562668311E-2</v>
      </c>
      <c r="AP36" s="56">
        <f t="shared" si="6"/>
        <v>1</v>
      </c>
      <c r="AQ36" s="56">
        <f t="shared" si="7"/>
        <v>0</v>
      </c>
    </row>
    <row r="37" spans="1:43" x14ac:dyDescent="0.2">
      <c r="A37" s="156" t="s">
        <v>119</v>
      </c>
      <c r="B37" s="156" t="s">
        <v>120</v>
      </c>
      <c r="D37" s="68">
        <f>VLOOKUP(A37,'2017-18 disagg'!A37:AZ245,43,FALSE)</f>
        <v>1013306</v>
      </c>
      <c r="E37" s="73">
        <v>1992.4660747838395</v>
      </c>
      <c r="F37" s="55"/>
      <c r="G37" s="88">
        <v>966754.00242119259</v>
      </c>
      <c r="H37" s="81">
        <v>1897.1258686931621</v>
      </c>
      <c r="I37" s="90"/>
      <c r="J37" s="103">
        <f t="shared" si="8"/>
        <v>4.8152888389621396E-2</v>
      </c>
      <c r="K37" s="126">
        <f t="shared" si="8"/>
        <v>5.0255076726328562E-2</v>
      </c>
      <c r="L37" s="56">
        <v>1034481</v>
      </c>
      <c r="M37" s="103">
        <v>1.4049514451452749E-2</v>
      </c>
      <c r="N37" s="97">
        <f>INDEX('Pace of change parameters'!$E$22:$I$22,1,$B$5)</f>
        <v>1.2019795091496865E-2</v>
      </c>
      <c r="O37" s="108">
        <f>MAX(IF(INDEX('Pace of change parameters'!$E$30:$I$30,1,$B$5)=1,(1+M37)*D37,D37),L37)</f>
        <v>1034481</v>
      </c>
      <c r="P37" s="94">
        <f>IF(K37&lt;INDEX('Pace of change parameters'!$E$18:$I$18,1,$B$5),1,IF(K37&gt;INDEX('Pace of change parameters'!$E$19:$I$19,1,$B$5),0,(K37-INDEX('Pace of change parameters'!$E$19:$I$19,1,$B$5))/(INDEX('Pace of change parameters'!$E$18:$I$18,1,$B$5)-INDEX('Pace of change parameters'!$E$19:$I$19,1,$B$5))))</f>
        <v>0</v>
      </c>
      <c r="Q37" s="57">
        <v>1.4049514451452749E-2</v>
      </c>
      <c r="R37" s="57">
        <v>1.2019795091496865E-2</v>
      </c>
      <c r="S37" s="9">
        <f>MAX(IF(INDEX('Pace of change parameters'!$E$31:$I$31,1,$B$5)=1,D37*(1+Q37),D37),L37)</f>
        <v>1034481</v>
      </c>
      <c r="T37" s="103">
        <f>IF(Q37&lt;INDEX('Pace of change parameters'!$E$24:$I$24,1,$B$5),INDEX('Pace of change parameters'!$E$24:$I$24,1,$B$5),Q37)</f>
        <v>1.9732353921844841E-2</v>
      </c>
      <c r="U37" s="132">
        <v>1.7691259802443682E-2</v>
      </c>
      <c r="V37" s="117">
        <f t="shared" si="9"/>
        <v>1034481</v>
      </c>
      <c r="W37" s="131">
        <f>IF(J37&gt;INDEX('Pace of change parameters'!$E$26:$I$26,1,$B$5),0,IF(J37&lt;INDEX('Pace of change parameters'!$E$25:$I$25,1,$B$5),1,(J37-INDEX('Pace of change parameters'!$E$26:$I$26,1,$B$5))/(INDEX('Pace of change parameters'!$E$25:$I$25,1,$B$5)-INDEX('Pace of change parameters'!$E$26:$I$26,1,$B$5))))</f>
        <v>1</v>
      </c>
      <c r="X37" s="132">
        <f>MIN(T37, T37+(INDEX('Pace of change parameters'!$E$27:$I$27,1,$B$5)-T37)*(1-W37))</f>
        <v>1.9732353921844841E-2</v>
      </c>
      <c r="Y37" s="132">
        <v>1.7691259802443682E-2</v>
      </c>
      <c r="Z37" s="108">
        <f t="shared" si="10"/>
        <v>1034481</v>
      </c>
      <c r="AA37" s="97">
        <f>MIN(VLOOKUP(A37,'2017-18 disagg'!$A$12:$BC$220,54,FALSE),-2.5%)</f>
        <v>-2.5000000000000001E-2</v>
      </c>
      <c r="AB37" s="99">
        <f t="shared" si="2"/>
        <v>966549.56135512155</v>
      </c>
      <c r="AC37" s="99">
        <f>MAX(IF(INDEX('Pace of change parameters'!$E$29:$I$29,1,$B$5)=1,MAX(AB37,Z37),Z37),L37)</f>
        <v>1034481</v>
      </c>
      <c r="AD37" s="97">
        <f t="shared" si="3"/>
        <v>2.0896945246549503E-2</v>
      </c>
      <c r="AE37" s="146">
        <v>1.8853520083619735E-2</v>
      </c>
      <c r="AF37" s="56">
        <f t="shared" si="11"/>
        <v>1034481</v>
      </c>
      <c r="AG37" s="56">
        <v>2030.0310739407075</v>
      </c>
      <c r="AH37" s="16">
        <f t="shared" si="4"/>
        <v>2.0896945246549503E-2</v>
      </c>
      <c r="AI37" s="16">
        <f t="shared" si="5"/>
        <v>1.8853520083619735E-2</v>
      </c>
      <c r="AJ37" s="56"/>
      <c r="AK37" s="56">
        <v>991332.8834411503</v>
      </c>
      <c r="AL37" s="56">
        <v>1945.3586465143164</v>
      </c>
      <c r="AM37" s="16">
        <f t="shared" si="12"/>
        <v>4.3525355891627759E-2</v>
      </c>
      <c r="AN37" s="58">
        <f t="shared" si="12"/>
        <v>4.3525355891627759E-2</v>
      </c>
      <c r="AP37" s="56">
        <f t="shared" si="6"/>
        <v>1</v>
      </c>
      <c r="AQ37" s="56">
        <f t="shared" si="7"/>
        <v>0</v>
      </c>
    </row>
    <row r="38" spans="1:43" x14ac:dyDescent="0.2">
      <c r="A38" s="156" t="s">
        <v>121</v>
      </c>
      <c r="B38" s="156" t="s">
        <v>122</v>
      </c>
      <c r="D38" s="68">
        <f>VLOOKUP(A38,'2017-18 disagg'!A38:AZ246,43,FALSE)</f>
        <v>406130</v>
      </c>
      <c r="E38" s="73">
        <v>1965.688261082433</v>
      </c>
      <c r="F38" s="55"/>
      <c r="G38" s="88">
        <v>420518.99982017674</v>
      </c>
      <c r="H38" s="81">
        <v>2020.7182252138541</v>
      </c>
      <c r="I38" s="90"/>
      <c r="J38" s="103">
        <f t="shared" si="8"/>
        <v>-3.4217240662918424E-2</v>
      </c>
      <c r="K38" s="126">
        <f t="shared" si="8"/>
        <v>-2.723287366084759E-2</v>
      </c>
      <c r="L38" s="56">
        <v>417297</v>
      </c>
      <c r="M38" s="103">
        <v>1.9338540010003236E-2</v>
      </c>
      <c r="N38" s="97">
        <f>INDEX('Pace of change parameters'!$E$22:$I$22,1,$B$5)</f>
        <v>1.2019795091496865E-2</v>
      </c>
      <c r="O38" s="108">
        <f>MAX(IF(INDEX('Pace of change parameters'!$E$30:$I$30,1,$B$5)=1,(1+M38)*D38,D38),L38)</f>
        <v>417297</v>
      </c>
      <c r="P38" s="94">
        <f>IF(K38&lt;INDEX('Pace of change parameters'!$E$18:$I$18,1,$B$5),1,IF(K38&gt;INDEX('Pace of change parameters'!$E$19:$I$19,1,$B$5),0,(K38-INDEX('Pace of change parameters'!$E$19:$I$19,1,$B$5))/(INDEX('Pace of change parameters'!$E$18:$I$18,1,$B$5)-INDEX('Pace of change parameters'!$E$19:$I$19,1,$B$5))))</f>
        <v>0.78806763670099556</v>
      </c>
      <c r="Q38" s="57">
        <v>2.9641795722768371E-2</v>
      </c>
      <c r="R38" s="57">
        <v>2.2249074497635579E-2</v>
      </c>
      <c r="S38" s="9">
        <f>MAX(IF(INDEX('Pace of change parameters'!$E$31:$I$31,1,$B$5)=1,D38*(1+Q38),D38),L38)</f>
        <v>418168.42249688791</v>
      </c>
      <c r="T38" s="103">
        <f>IF(Q38&lt;INDEX('Pace of change parameters'!$E$24:$I$24,1,$B$5),INDEX('Pace of change parameters'!$E$24:$I$24,1,$B$5),Q38)</f>
        <v>2.9641795722768371E-2</v>
      </c>
      <c r="U38" s="132">
        <v>2.2249074497635579E-2</v>
      </c>
      <c r="V38" s="117">
        <f t="shared" si="9"/>
        <v>418168.42249688791</v>
      </c>
      <c r="W38" s="131">
        <f>IF(J38&gt;INDEX('Pace of change parameters'!$E$26:$I$26,1,$B$5),0,IF(J38&lt;INDEX('Pace of change parameters'!$E$25:$I$25,1,$B$5),1,(J38-INDEX('Pace of change parameters'!$E$26:$I$26,1,$B$5))/(INDEX('Pace of change parameters'!$E$25:$I$25,1,$B$5)-INDEX('Pace of change parameters'!$E$26:$I$26,1,$B$5))))</f>
        <v>1</v>
      </c>
      <c r="X38" s="132">
        <f>MIN(T38, T38+(INDEX('Pace of change parameters'!$E$27:$I$27,1,$B$5)-T38)*(1-W38))</f>
        <v>2.9641795722768371E-2</v>
      </c>
      <c r="Y38" s="132">
        <v>2.2249074497635579E-2</v>
      </c>
      <c r="Z38" s="108">
        <f t="shared" si="10"/>
        <v>418168.42249688791</v>
      </c>
      <c r="AA38" s="97">
        <f>MIN(VLOOKUP(A38,'2017-18 disagg'!$A$12:$BC$220,54,FALSE),-2.5%)</f>
        <v>-3.4106536902703821E-2</v>
      </c>
      <c r="AB38" s="99">
        <f t="shared" si="2"/>
        <v>416933.52899978519</v>
      </c>
      <c r="AC38" s="99">
        <f>MAX(IF(INDEX('Pace of change parameters'!$E$29:$I$29,1,$B$5)=1,MAX(AB38,Z38),Z38),L38)</f>
        <v>418168.42249688791</v>
      </c>
      <c r="AD38" s="97">
        <f t="shared" si="3"/>
        <v>2.9641795722768371E-2</v>
      </c>
      <c r="AE38" s="146">
        <v>2.2249074497635579E-2</v>
      </c>
      <c r="AF38" s="56">
        <f t="shared" si="11"/>
        <v>418168.42249688791</v>
      </c>
      <c r="AG38" s="56">
        <v>2009.4230056423835</v>
      </c>
      <c r="AH38" s="16">
        <f t="shared" si="4"/>
        <v>2.9641795722768371E-2</v>
      </c>
      <c r="AI38" s="16">
        <f t="shared" si="5"/>
        <v>2.2249074497635357E-2</v>
      </c>
      <c r="AJ38" s="56"/>
      <c r="AK38" s="56">
        <v>431655.81394745054</v>
      </c>
      <c r="AL38" s="56">
        <v>2074.2339124656182</v>
      </c>
      <c r="AM38" s="16">
        <f t="shared" si="12"/>
        <v>-3.1245707841212056E-2</v>
      </c>
      <c r="AN38" s="58">
        <f t="shared" si="12"/>
        <v>-3.1245707841211945E-2</v>
      </c>
      <c r="AP38" s="56">
        <f t="shared" si="6"/>
        <v>0</v>
      </c>
      <c r="AQ38" s="56">
        <f t="shared" si="7"/>
        <v>0</v>
      </c>
    </row>
    <row r="39" spans="1:43" x14ac:dyDescent="0.2">
      <c r="A39" s="156" t="s">
        <v>123</v>
      </c>
      <c r="B39" s="156" t="s">
        <v>124</v>
      </c>
      <c r="D39" s="68">
        <f>VLOOKUP(A39,'2017-18 disagg'!A39:AZ247,43,FALSE)</f>
        <v>437184</v>
      </c>
      <c r="E39" s="73">
        <v>1749.2934512797665</v>
      </c>
      <c r="F39" s="55"/>
      <c r="G39" s="88">
        <v>430880.6000954574</v>
      </c>
      <c r="H39" s="81">
        <v>1716.752016117621</v>
      </c>
      <c r="I39" s="90"/>
      <c r="J39" s="103">
        <f t="shared" si="8"/>
        <v>1.462911048477511E-2</v>
      </c>
      <c r="K39" s="126">
        <f t="shared" si="8"/>
        <v>1.8955233403911809E-2</v>
      </c>
      <c r="L39" s="56">
        <v>447109</v>
      </c>
      <c r="M39" s="103">
        <v>1.6334792547141985E-2</v>
      </c>
      <c r="N39" s="97">
        <f>INDEX('Pace of change parameters'!$E$22:$I$22,1,$B$5)</f>
        <v>1.2019795091496865E-2</v>
      </c>
      <c r="O39" s="108">
        <f>MAX(IF(INDEX('Pace of change parameters'!$E$30:$I$30,1,$B$5)=1,(1+M39)*D39,D39),L39)</f>
        <v>447109</v>
      </c>
      <c r="P39" s="94">
        <f>IF(K39&lt;INDEX('Pace of change parameters'!$E$18:$I$18,1,$B$5),1,IF(K39&gt;INDEX('Pace of change parameters'!$E$19:$I$19,1,$B$5),0,(K39-INDEX('Pace of change parameters'!$E$19:$I$19,1,$B$5))/(INDEX('Pace of change parameters'!$E$18:$I$18,1,$B$5)-INDEX('Pace of change parameters'!$E$19:$I$19,1,$B$5))))</f>
        <v>0</v>
      </c>
      <c r="Q39" s="57">
        <v>1.6334792547141985E-2</v>
      </c>
      <c r="R39" s="57">
        <v>1.2019795091496865E-2</v>
      </c>
      <c r="S39" s="9">
        <f>MAX(IF(INDEX('Pace of change parameters'!$E$31:$I$31,1,$B$5)=1,D39*(1+Q39),D39),L39)</f>
        <v>447109</v>
      </c>
      <c r="T39" s="103">
        <f>IF(Q39&lt;INDEX('Pace of change parameters'!$E$24:$I$24,1,$B$5),INDEX('Pace of change parameters'!$E$24:$I$24,1,$B$5),Q39)</f>
        <v>1.9732353921844841E-2</v>
      </c>
      <c r="U39" s="132">
        <v>1.5402931624312277E-2</v>
      </c>
      <c r="V39" s="117">
        <f t="shared" si="9"/>
        <v>447109</v>
      </c>
      <c r="W39" s="131">
        <f>IF(J39&gt;INDEX('Pace of change parameters'!$E$26:$I$26,1,$B$5),0,IF(J39&lt;INDEX('Pace of change parameters'!$E$25:$I$25,1,$B$5),1,(J39-INDEX('Pace of change parameters'!$E$26:$I$26,1,$B$5))/(INDEX('Pace of change parameters'!$E$25:$I$25,1,$B$5)-INDEX('Pace of change parameters'!$E$26:$I$26,1,$B$5))))</f>
        <v>1</v>
      </c>
      <c r="X39" s="132">
        <f>MIN(T39, T39+(INDEX('Pace of change parameters'!$E$27:$I$27,1,$B$5)-T39)*(1-W39))</f>
        <v>1.9732353921844841E-2</v>
      </c>
      <c r="Y39" s="132">
        <v>1.5402931624312277E-2</v>
      </c>
      <c r="Z39" s="108">
        <f t="shared" si="10"/>
        <v>447109</v>
      </c>
      <c r="AA39" s="97">
        <f>MIN(VLOOKUP(A39,'2017-18 disagg'!$A$12:$BC$220,54,FALSE),-2.5%)</f>
        <v>-2.5000000000000001E-2</v>
      </c>
      <c r="AB39" s="99">
        <f t="shared" si="2"/>
        <v>430807.91591657494</v>
      </c>
      <c r="AC39" s="99">
        <f>MAX(IF(INDEX('Pace of change parameters'!$E$29:$I$29,1,$B$5)=1,MAX(AB39,Z39),Z39),L39)</f>
        <v>447109</v>
      </c>
      <c r="AD39" s="97">
        <f t="shared" si="3"/>
        <v>2.2702111696677019E-2</v>
      </c>
      <c r="AE39" s="146">
        <v>1.8360080859777028E-2</v>
      </c>
      <c r="AF39" s="56">
        <f t="shared" si="11"/>
        <v>447109</v>
      </c>
      <c r="AG39" s="56">
        <v>1781.4106204927411</v>
      </c>
      <c r="AH39" s="16">
        <f t="shared" si="4"/>
        <v>2.2702111696677019E-2</v>
      </c>
      <c r="AI39" s="16">
        <f t="shared" si="5"/>
        <v>1.8360080859776806E-2</v>
      </c>
      <c r="AJ39" s="56"/>
      <c r="AK39" s="56">
        <v>441854.27273494867</v>
      </c>
      <c r="AL39" s="56">
        <v>1760.4742784424691</v>
      </c>
      <c r="AM39" s="16">
        <f t="shared" si="12"/>
        <v>1.1892444159306459E-2</v>
      </c>
      <c r="AN39" s="58">
        <f t="shared" si="12"/>
        <v>1.1892444159306237E-2</v>
      </c>
      <c r="AP39" s="56">
        <f t="shared" si="6"/>
        <v>1</v>
      </c>
      <c r="AQ39" s="56">
        <f t="shared" si="7"/>
        <v>0</v>
      </c>
    </row>
    <row r="40" spans="1:43" x14ac:dyDescent="0.2">
      <c r="A40" s="156" t="s">
        <v>125</v>
      </c>
      <c r="B40" s="156" t="s">
        <v>126</v>
      </c>
      <c r="D40" s="68">
        <f>VLOOKUP(A40,'2017-18 disagg'!A40:AZ248,43,FALSE)</f>
        <v>505445</v>
      </c>
      <c r="E40" s="73">
        <v>1903.6314237559718</v>
      </c>
      <c r="F40" s="55"/>
      <c r="G40" s="88">
        <v>513139.57296792779</v>
      </c>
      <c r="H40" s="81">
        <v>1913.9046676471617</v>
      </c>
      <c r="I40" s="90"/>
      <c r="J40" s="103">
        <f t="shared" si="8"/>
        <v>-1.4995087834336118E-2</v>
      </c>
      <c r="K40" s="126">
        <f t="shared" si="8"/>
        <v>-5.3676884041560236E-3</v>
      </c>
      <c r="L40" s="56">
        <v>519474</v>
      </c>
      <c r="M40" s="103">
        <v>2.1911236929257116E-2</v>
      </c>
      <c r="N40" s="97">
        <f>INDEX('Pace of change parameters'!$E$22:$I$22,1,$B$5)</f>
        <v>1.2019795091496865E-2</v>
      </c>
      <c r="O40" s="108">
        <f>MAX(IF(INDEX('Pace of change parameters'!$E$30:$I$30,1,$B$5)=1,(1+M40)*D40,D40),L40)</f>
        <v>519474</v>
      </c>
      <c r="P40" s="94">
        <f>IF(K40&lt;INDEX('Pace of change parameters'!$E$18:$I$18,1,$B$5),1,IF(K40&gt;INDEX('Pace of change parameters'!$E$19:$I$19,1,$B$5),0,(K40-INDEX('Pace of change parameters'!$E$19:$I$19,1,$B$5))/(INDEX('Pace of change parameters'!$E$18:$I$18,1,$B$5)-INDEX('Pace of change parameters'!$E$19:$I$19,1,$B$5))))</f>
        <v>0.31362508067040284</v>
      </c>
      <c r="Q40" s="57">
        <v>2.6021943732042363E-2</v>
      </c>
      <c r="R40" s="57">
        <v>1.6090712903044535E-2</v>
      </c>
      <c r="S40" s="9">
        <f>MAX(IF(INDEX('Pace of change parameters'!$E$31:$I$31,1,$B$5)=1,D40*(1+Q40),D40),L40)</f>
        <v>519474</v>
      </c>
      <c r="T40" s="103">
        <f>IF(Q40&lt;INDEX('Pace of change parameters'!$E$24:$I$24,1,$B$5),INDEX('Pace of change parameters'!$E$24:$I$24,1,$B$5),Q40)</f>
        <v>2.6021943732042363E-2</v>
      </c>
      <c r="U40" s="132">
        <v>1.6090712903044535E-2</v>
      </c>
      <c r="V40" s="117">
        <f t="shared" si="9"/>
        <v>519474</v>
      </c>
      <c r="W40" s="131">
        <f>IF(J40&gt;INDEX('Pace of change parameters'!$E$26:$I$26,1,$B$5),0,IF(J40&lt;INDEX('Pace of change parameters'!$E$25:$I$25,1,$B$5),1,(J40-INDEX('Pace of change parameters'!$E$26:$I$26,1,$B$5))/(INDEX('Pace of change parameters'!$E$25:$I$25,1,$B$5)-INDEX('Pace of change parameters'!$E$26:$I$26,1,$B$5))))</f>
        <v>1</v>
      </c>
      <c r="X40" s="132">
        <f>MIN(T40, T40+(INDEX('Pace of change parameters'!$E$27:$I$27,1,$B$5)-T40)*(1-W40))</f>
        <v>2.6021943732042363E-2</v>
      </c>
      <c r="Y40" s="132">
        <v>1.6090712903044535E-2</v>
      </c>
      <c r="Z40" s="108">
        <f t="shared" si="10"/>
        <v>519474</v>
      </c>
      <c r="AA40" s="97">
        <f>MIN(VLOOKUP(A40,'2017-18 disagg'!$A$12:$BC$220,54,FALSE),-2.5%)</f>
        <v>-2.5000000000000001E-2</v>
      </c>
      <c r="AB40" s="99">
        <f t="shared" si="2"/>
        <v>513193.67262508854</v>
      </c>
      <c r="AC40" s="99">
        <f>MAX(IF(INDEX('Pace of change parameters'!$E$29:$I$29,1,$B$5)=1,MAX(AB40,Z40),Z40),L40)</f>
        <v>519474</v>
      </c>
      <c r="AD40" s="97">
        <f t="shared" si="3"/>
        <v>2.7755739991492723E-2</v>
      </c>
      <c r="AE40" s="146">
        <v>1.7807727132667761E-2</v>
      </c>
      <c r="AF40" s="56">
        <f t="shared" si="11"/>
        <v>519474</v>
      </c>
      <c r="AG40" s="56">
        <v>1937.5307727113895</v>
      </c>
      <c r="AH40" s="16">
        <f t="shared" si="4"/>
        <v>2.7755739991492723E-2</v>
      </c>
      <c r="AI40" s="16">
        <f t="shared" si="5"/>
        <v>1.7807727132667539E-2</v>
      </c>
      <c r="AJ40" s="56"/>
      <c r="AK40" s="56">
        <v>526352.48474368057</v>
      </c>
      <c r="AL40" s="56">
        <v>1963.186100717232</v>
      </c>
      <c r="AM40" s="16">
        <f t="shared" si="12"/>
        <v>-1.3068209884161908E-2</v>
      </c>
      <c r="AN40" s="58">
        <f t="shared" si="12"/>
        <v>-1.3068209884162019E-2</v>
      </c>
      <c r="AP40" s="56">
        <f t="shared" si="6"/>
        <v>1</v>
      </c>
      <c r="AQ40" s="56">
        <f t="shared" si="7"/>
        <v>0</v>
      </c>
    </row>
    <row r="41" spans="1:43" x14ac:dyDescent="0.2">
      <c r="A41" s="156" t="s">
        <v>127</v>
      </c>
      <c r="B41" s="156" t="s">
        <v>128</v>
      </c>
      <c r="D41" s="68">
        <f>VLOOKUP(A41,'2017-18 disagg'!A41:AZ249,43,FALSE)</f>
        <v>289182</v>
      </c>
      <c r="E41" s="73">
        <v>1594.3838681067648</v>
      </c>
      <c r="F41" s="55"/>
      <c r="G41" s="88">
        <v>293372.22872080654</v>
      </c>
      <c r="H41" s="81">
        <v>1612.0000441462264</v>
      </c>
      <c r="I41" s="90"/>
      <c r="J41" s="103">
        <f t="shared" si="8"/>
        <v>-1.4282976746221809E-2</v>
      </c>
      <c r="K41" s="126">
        <f t="shared" si="8"/>
        <v>-1.0928148608576382E-2</v>
      </c>
      <c r="L41" s="56">
        <v>295788</v>
      </c>
      <c r="M41" s="103">
        <v>1.5464143118702367E-2</v>
      </c>
      <c r="N41" s="97">
        <f>INDEX('Pace of change parameters'!$E$22:$I$22,1,$B$5)</f>
        <v>1.2019795091496865E-2</v>
      </c>
      <c r="O41" s="108">
        <f>MAX(IF(INDEX('Pace of change parameters'!$E$30:$I$30,1,$B$5)=1,(1+M41)*D41,D41),L41)</f>
        <v>295788</v>
      </c>
      <c r="P41" s="94">
        <f>IF(K41&lt;INDEX('Pace of change parameters'!$E$18:$I$18,1,$B$5),1,IF(K41&gt;INDEX('Pace of change parameters'!$E$19:$I$19,1,$B$5),0,(K41-INDEX('Pace of change parameters'!$E$19:$I$19,1,$B$5))/(INDEX('Pace of change parameters'!$E$18:$I$18,1,$B$5)-INDEX('Pace of change parameters'!$E$19:$I$19,1,$B$5))))</f>
        <v>0.43427893844113563</v>
      </c>
      <c r="Q41" s="57">
        <v>2.1120358015689122E-2</v>
      </c>
      <c r="R41" s="57">
        <v>1.7656824699910034E-2</v>
      </c>
      <c r="S41" s="9">
        <f>MAX(IF(INDEX('Pace of change parameters'!$E$31:$I$31,1,$B$5)=1,D41*(1+Q41),D41),L41)</f>
        <v>295788</v>
      </c>
      <c r="T41" s="103">
        <f>IF(Q41&lt;INDEX('Pace of change parameters'!$E$24:$I$24,1,$B$5),INDEX('Pace of change parameters'!$E$24:$I$24,1,$B$5),Q41)</f>
        <v>2.1120358015689122E-2</v>
      </c>
      <c r="U41" s="132">
        <v>1.7656824699910034E-2</v>
      </c>
      <c r="V41" s="117">
        <f t="shared" si="9"/>
        <v>295788</v>
      </c>
      <c r="W41" s="131">
        <f>IF(J41&gt;INDEX('Pace of change parameters'!$E$26:$I$26,1,$B$5),0,IF(J41&lt;INDEX('Pace of change parameters'!$E$25:$I$25,1,$B$5),1,(J41-INDEX('Pace of change parameters'!$E$26:$I$26,1,$B$5))/(INDEX('Pace of change parameters'!$E$25:$I$25,1,$B$5)-INDEX('Pace of change parameters'!$E$26:$I$26,1,$B$5))))</f>
        <v>1</v>
      </c>
      <c r="X41" s="132">
        <f>MIN(T41, T41+(INDEX('Pace of change parameters'!$E$27:$I$27,1,$B$5)-T41)*(1-W41))</f>
        <v>2.1120358015689122E-2</v>
      </c>
      <c r="Y41" s="132">
        <v>1.7656824699910034E-2</v>
      </c>
      <c r="Z41" s="108">
        <f t="shared" si="10"/>
        <v>295788</v>
      </c>
      <c r="AA41" s="97">
        <f>MIN(VLOOKUP(A41,'2017-18 disagg'!$A$12:$BC$220,54,FALSE),-2.5%)</f>
        <v>-2.5000000000000001E-2</v>
      </c>
      <c r="AB41" s="99">
        <f t="shared" si="2"/>
        <v>293108.21420107107</v>
      </c>
      <c r="AC41" s="99">
        <f>MAX(IF(INDEX('Pace of change parameters'!$E$29:$I$29,1,$B$5)=1,MAX(AB41,Z41),Z41),L41)</f>
        <v>295788</v>
      </c>
      <c r="AD41" s="97">
        <f t="shared" si="3"/>
        <v>2.2843745461335718E-2</v>
      </c>
      <c r="AE41" s="146">
        <v>1.9374366595825698E-2</v>
      </c>
      <c r="AF41" s="56">
        <f t="shared" si="11"/>
        <v>295788</v>
      </c>
      <c r="AG41" s="56">
        <v>1625.2740456619358</v>
      </c>
      <c r="AH41" s="16">
        <f t="shared" si="4"/>
        <v>2.2843745461335718E-2</v>
      </c>
      <c r="AI41" s="16">
        <f t="shared" si="5"/>
        <v>1.9374366595825698E-2</v>
      </c>
      <c r="AJ41" s="56"/>
      <c r="AK41" s="56">
        <v>300623.80943699594</v>
      </c>
      <c r="AL41" s="56">
        <v>1651.845494022642</v>
      </c>
      <c r="AM41" s="16">
        <f t="shared" si="12"/>
        <v>-1.6085916302013392E-2</v>
      </c>
      <c r="AN41" s="58">
        <f t="shared" si="12"/>
        <v>-1.6085916302013392E-2</v>
      </c>
      <c r="AP41" s="56">
        <f t="shared" si="6"/>
        <v>1</v>
      </c>
      <c r="AQ41" s="56">
        <f t="shared" si="7"/>
        <v>0</v>
      </c>
    </row>
    <row r="42" spans="1:43" x14ac:dyDescent="0.2">
      <c r="A42" s="156" t="s">
        <v>129</v>
      </c>
      <c r="B42" s="156" t="s">
        <v>130</v>
      </c>
      <c r="D42" s="68">
        <f>VLOOKUP(A42,'2017-18 disagg'!A42:AZ250,43,FALSE)</f>
        <v>313972</v>
      </c>
      <c r="E42" s="73">
        <v>1797.4191588184522</v>
      </c>
      <c r="F42" s="55"/>
      <c r="G42" s="88">
        <v>303412.17048623331</v>
      </c>
      <c r="H42" s="81">
        <v>1723.5189495652683</v>
      </c>
      <c r="I42" s="90"/>
      <c r="J42" s="103">
        <f t="shared" si="8"/>
        <v>3.4803579226383885E-2</v>
      </c>
      <c r="K42" s="126">
        <f t="shared" si="8"/>
        <v>4.2877514791365812E-2</v>
      </c>
      <c r="L42" s="56">
        <v>322006</v>
      </c>
      <c r="M42" s="103">
        <v>1.9915962808817023E-2</v>
      </c>
      <c r="N42" s="97">
        <f>INDEX('Pace of change parameters'!$E$22:$I$22,1,$B$5)</f>
        <v>1.2019795091496865E-2</v>
      </c>
      <c r="O42" s="108">
        <f>MAX(IF(INDEX('Pace of change parameters'!$E$30:$I$30,1,$B$5)=1,(1+M42)*D42,D42),L42)</f>
        <v>322006</v>
      </c>
      <c r="P42" s="94">
        <f>IF(K42&lt;INDEX('Pace of change parameters'!$E$18:$I$18,1,$B$5),1,IF(K42&gt;INDEX('Pace of change parameters'!$E$19:$I$19,1,$B$5),0,(K42-INDEX('Pace of change parameters'!$E$19:$I$19,1,$B$5))/(INDEX('Pace of change parameters'!$E$18:$I$18,1,$B$5)-INDEX('Pace of change parameters'!$E$19:$I$19,1,$B$5))))</f>
        <v>0</v>
      </c>
      <c r="Q42" s="57">
        <v>1.9915962808817023E-2</v>
      </c>
      <c r="R42" s="57">
        <v>1.2019795091496865E-2</v>
      </c>
      <c r="S42" s="9">
        <f>MAX(IF(INDEX('Pace of change parameters'!$E$31:$I$31,1,$B$5)=1,D42*(1+Q42),D42),L42)</f>
        <v>322006</v>
      </c>
      <c r="T42" s="103">
        <f>IF(Q42&lt;INDEX('Pace of change parameters'!$E$24:$I$24,1,$B$5),INDEX('Pace of change parameters'!$E$24:$I$24,1,$B$5),Q42)</f>
        <v>1.9915962808817023E-2</v>
      </c>
      <c r="U42" s="132">
        <v>1.2019795091496865E-2</v>
      </c>
      <c r="V42" s="117">
        <f t="shared" si="9"/>
        <v>322006</v>
      </c>
      <c r="W42" s="131">
        <f>IF(J42&gt;INDEX('Pace of change parameters'!$E$26:$I$26,1,$B$5),0,IF(J42&lt;INDEX('Pace of change parameters'!$E$25:$I$25,1,$B$5),1,(J42-INDEX('Pace of change parameters'!$E$26:$I$26,1,$B$5))/(INDEX('Pace of change parameters'!$E$25:$I$25,1,$B$5)-INDEX('Pace of change parameters'!$E$26:$I$26,1,$B$5))))</f>
        <v>1</v>
      </c>
      <c r="X42" s="132">
        <f>MIN(T42, T42+(INDEX('Pace of change parameters'!$E$27:$I$27,1,$B$5)-T42)*(1-W42))</f>
        <v>1.9915962808817023E-2</v>
      </c>
      <c r="Y42" s="132">
        <v>1.2019795091496865E-2</v>
      </c>
      <c r="Z42" s="108">
        <f t="shared" si="10"/>
        <v>322006</v>
      </c>
      <c r="AA42" s="97">
        <f>MIN(VLOOKUP(A42,'2017-18 disagg'!$A$12:$BC$220,54,FALSE),-2.5%)</f>
        <v>-2.5000000000000001E-2</v>
      </c>
      <c r="AB42" s="99">
        <f t="shared" si="2"/>
        <v>303314.25073271751</v>
      </c>
      <c r="AC42" s="99">
        <f>MAX(IF(INDEX('Pace of change parameters'!$E$29:$I$29,1,$B$5)=1,MAX(AB42,Z42),Z42),L42)</f>
        <v>322006</v>
      </c>
      <c r="AD42" s="97">
        <f t="shared" si="3"/>
        <v>2.5588269017619458E-2</v>
      </c>
      <c r="AE42" s="146">
        <v>1.7648186426131307E-2</v>
      </c>
      <c r="AF42" s="56">
        <f t="shared" si="11"/>
        <v>322006</v>
      </c>
      <c r="AG42" s="56">
        <v>1829.1403472191801</v>
      </c>
      <c r="AH42" s="16">
        <f t="shared" si="4"/>
        <v>2.5588269017619458E-2</v>
      </c>
      <c r="AI42" s="16">
        <f t="shared" si="5"/>
        <v>1.7648186426131085E-2</v>
      </c>
      <c r="AJ42" s="56"/>
      <c r="AK42" s="56">
        <v>311091.53921304364</v>
      </c>
      <c r="AL42" s="56">
        <v>1767.1412521912505</v>
      </c>
      <c r="AM42" s="16">
        <f t="shared" si="12"/>
        <v>3.5084402534913961E-2</v>
      </c>
      <c r="AN42" s="58">
        <f t="shared" si="12"/>
        <v>3.5084402534913961E-2</v>
      </c>
      <c r="AP42" s="56">
        <f t="shared" si="6"/>
        <v>1</v>
      </c>
      <c r="AQ42" s="56">
        <f t="shared" si="7"/>
        <v>0</v>
      </c>
    </row>
    <row r="43" spans="1:43" x14ac:dyDescent="0.2">
      <c r="A43" s="156" t="s">
        <v>131</v>
      </c>
      <c r="B43" s="156" t="s">
        <v>132</v>
      </c>
      <c r="D43" s="68">
        <f>VLOOKUP(A43,'2017-18 disagg'!A43:AZ251,43,FALSE)</f>
        <v>315123</v>
      </c>
      <c r="E43" s="73">
        <v>2034.155841299339</v>
      </c>
      <c r="F43" s="55"/>
      <c r="G43" s="88">
        <v>296236.19918451121</v>
      </c>
      <c r="H43" s="81">
        <v>1911.178086236328</v>
      </c>
      <c r="I43" s="90"/>
      <c r="J43" s="103">
        <f t="shared" si="8"/>
        <v>6.3755884214964365E-2</v>
      </c>
      <c r="K43" s="126">
        <f t="shared" si="8"/>
        <v>6.4346570290155558E-2</v>
      </c>
      <c r="L43" s="56">
        <v>321240</v>
      </c>
      <c r="M43" s="103">
        <v>1.258175297078945E-2</v>
      </c>
      <c r="N43" s="97">
        <f>INDEX('Pace of change parameters'!$E$22:$I$22,1,$B$5)</f>
        <v>1.2019795091496865E-2</v>
      </c>
      <c r="O43" s="108">
        <f>MAX(IF(INDEX('Pace of change parameters'!$E$30:$I$30,1,$B$5)=1,(1+M43)*D43,D43),L43)</f>
        <v>321240</v>
      </c>
      <c r="P43" s="94">
        <f>IF(K43&lt;INDEX('Pace of change parameters'!$E$18:$I$18,1,$B$5),1,IF(K43&gt;INDEX('Pace of change parameters'!$E$19:$I$19,1,$B$5),0,(K43-INDEX('Pace of change parameters'!$E$19:$I$19,1,$B$5))/(INDEX('Pace of change parameters'!$E$18:$I$18,1,$B$5)-INDEX('Pace of change parameters'!$E$19:$I$19,1,$B$5))))</f>
        <v>0</v>
      </c>
      <c r="Q43" s="57">
        <v>1.258175297078945E-2</v>
      </c>
      <c r="R43" s="57">
        <v>1.2019795091496865E-2</v>
      </c>
      <c r="S43" s="9">
        <f>MAX(IF(INDEX('Pace of change parameters'!$E$31:$I$31,1,$B$5)=1,D43*(1+Q43),D43),L43)</f>
        <v>321240</v>
      </c>
      <c r="T43" s="103">
        <f>IF(Q43&lt;INDEX('Pace of change parameters'!$E$24:$I$24,1,$B$5),INDEX('Pace of change parameters'!$E$24:$I$24,1,$B$5),Q43)</f>
        <v>1.9732353921844841E-2</v>
      </c>
      <c r="U43" s="132">
        <v>1.9166427635523009E-2</v>
      </c>
      <c r="V43" s="117">
        <f t="shared" si="9"/>
        <v>321341.11856491352</v>
      </c>
      <c r="W43" s="131">
        <f>IF(J43&gt;INDEX('Pace of change parameters'!$E$26:$I$26,1,$B$5),0,IF(J43&lt;INDEX('Pace of change parameters'!$E$25:$I$25,1,$B$5),1,(J43-INDEX('Pace of change parameters'!$E$26:$I$26,1,$B$5))/(INDEX('Pace of change parameters'!$E$25:$I$25,1,$B$5)-INDEX('Pace of change parameters'!$E$26:$I$26,1,$B$5))))</f>
        <v>0.72488231570071282</v>
      </c>
      <c r="X43" s="132">
        <f>MIN(T43, T43+(INDEX('Pace of change parameters'!$E$27:$I$27,1,$B$5)-T43)*(1-W43))</f>
        <v>1.4422582614868599E-2</v>
      </c>
      <c r="Y43" s="132">
        <v>1.3859603120560893E-2</v>
      </c>
      <c r="Z43" s="108">
        <f t="shared" si="10"/>
        <v>321240</v>
      </c>
      <c r="AA43" s="97">
        <f>MIN(VLOOKUP(A43,'2017-18 disagg'!$A$12:$BC$220,54,FALSE),-2.5%)</f>
        <v>-2.5000000000000001E-2</v>
      </c>
      <c r="AB43" s="99">
        <f t="shared" si="2"/>
        <v>296181.37142639729</v>
      </c>
      <c r="AC43" s="99">
        <f>MAX(IF(INDEX('Pace of change parameters'!$E$29:$I$29,1,$B$5)=1,MAX(AB43,Z43),Z43),L43)</f>
        <v>321240</v>
      </c>
      <c r="AD43" s="97">
        <f t="shared" si="3"/>
        <v>1.9411467903009294E-2</v>
      </c>
      <c r="AE43" s="146">
        <v>1.8845719700507635E-2</v>
      </c>
      <c r="AF43" s="56">
        <f t="shared" si="11"/>
        <v>321240</v>
      </c>
      <c r="AG43" s="56">
        <v>2072.4909721116164</v>
      </c>
      <c r="AH43" s="16">
        <f t="shared" si="4"/>
        <v>1.9411467903009294E-2</v>
      </c>
      <c r="AI43" s="16">
        <f t="shared" si="5"/>
        <v>1.8845719700507413E-2</v>
      </c>
      <c r="AJ43" s="56"/>
      <c r="AK43" s="56">
        <v>303775.76556553569</v>
      </c>
      <c r="AL43" s="56">
        <v>1959.8198595469664</v>
      </c>
      <c r="AM43" s="16">
        <f t="shared" si="12"/>
        <v>5.7490545376295499E-2</v>
      </c>
      <c r="AN43" s="58">
        <f t="shared" si="12"/>
        <v>5.7490545376295499E-2</v>
      </c>
      <c r="AP43" s="56">
        <f t="shared" si="6"/>
        <v>1</v>
      </c>
      <c r="AQ43" s="56">
        <f t="shared" si="7"/>
        <v>0</v>
      </c>
    </row>
    <row r="44" spans="1:43" x14ac:dyDescent="0.2">
      <c r="A44" s="156" t="s">
        <v>133</v>
      </c>
      <c r="B44" s="156" t="s">
        <v>134</v>
      </c>
      <c r="D44" s="68">
        <f>VLOOKUP(A44,'2017-18 disagg'!A44:AZ252,43,FALSE)</f>
        <v>229859</v>
      </c>
      <c r="E44" s="73">
        <v>1849.3887904944966</v>
      </c>
      <c r="F44" s="55"/>
      <c r="G44" s="88">
        <v>223754.94730154183</v>
      </c>
      <c r="H44" s="81">
        <v>1796.7629322627276</v>
      </c>
      <c r="I44" s="90"/>
      <c r="J44" s="103">
        <f t="shared" si="8"/>
        <v>2.7280079265608714E-2</v>
      </c>
      <c r="K44" s="126">
        <f t="shared" si="8"/>
        <v>2.9289260862864763E-2</v>
      </c>
      <c r="L44" s="56">
        <v>235044</v>
      </c>
      <c r="M44" s="103">
        <v>1.3999130220637479E-2</v>
      </c>
      <c r="N44" s="97">
        <f>INDEX('Pace of change parameters'!$E$22:$I$22,1,$B$5)</f>
        <v>1.2019795091496865E-2</v>
      </c>
      <c r="O44" s="108">
        <f>MAX(IF(INDEX('Pace of change parameters'!$E$30:$I$30,1,$B$5)=1,(1+M44)*D44,D44),L44)</f>
        <v>235044</v>
      </c>
      <c r="P44" s="94">
        <f>IF(K44&lt;INDEX('Pace of change parameters'!$E$18:$I$18,1,$B$5),1,IF(K44&gt;INDEX('Pace of change parameters'!$E$19:$I$19,1,$B$5),0,(K44-INDEX('Pace of change parameters'!$E$19:$I$19,1,$B$5))/(INDEX('Pace of change parameters'!$E$18:$I$18,1,$B$5)-INDEX('Pace of change parameters'!$E$19:$I$19,1,$B$5))))</f>
        <v>0</v>
      </c>
      <c r="Q44" s="57">
        <v>1.3999130220637479E-2</v>
      </c>
      <c r="R44" s="57">
        <v>1.2019795091496865E-2</v>
      </c>
      <c r="S44" s="9">
        <f>MAX(IF(INDEX('Pace of change parameters'!$E$31:$I$31,1,$B$5)=1,D44*(1+Q44),D44),L44)</f>
        <v>235044</v>
      </c>
      <c r="T44" s="103">
        <f>IF(Q44&lt;INDEX('Pace of change parameters'!$E$24:$I$24,1,$B$5),INDEX('Pace of change parameters'!$E$24:$I$24,1,$B$5),Q44)</f>
        <v>1.9732353921844841E-2</v>
      </c>
      <c r="U44" s="132">
        <v>1.7741827490131312E-2</v>
      </c>
      <c r="V44" s="117">
        <f t="shared" si="9"/>
        <v>235044</v>
      </c>
      <c r="W44" s="131">
        <f>IF(J44&gt;INDEX('Pace of change parameters'!$E$26:$I$26,1,$B$5),0,IF(J44&lt;INDEX('Pace of change parameters'!$E$25:$I$25,1,$B$5),1,(J44-INDEX('Pace of change parameters'!$E$26:$I$26,1,$B$5))/(INDEX('Pace of change parameters'!$E$25:$I$25,1,$B$5)-INDEX('Pace of change parameters'!$E$26:$I$26,1,$B$5))))</f>
        <v>1</v>
      </c>
      <c r="X44" s="132">
        <f>MIN(T44, T44+(INDEX('Pace of change parameters'!$E$27:$I$27,1,$B$5)-T44)*(1-W44))</f>
        <v>1.9732353921844841E-2</v>
      </c>
      <c r="Y44" s="132">
        <v>1.7741827490131312E-2</v>
      </c>
      <c r="Z44" s="108">
        <f t="shared" si="10"/>
        <v>235044</v>
      </c>
      <c r="AA44" s="97">
        <f>MIN(VLOOKUP(A44,'2017-18 disagg'!$A$12:$BC$220,54,FALSE),-2.5%)</f>
        <v>-2.5000000000000001E-2</v>
      </c>
      <c r="AB44" s="99">
        <f t="shared" si="2"/>
        <v>223597.23109693429</v>
      </c>
      <c r="AC44" s="99">
        <f>MAX(IF(INDEX('Pace of change parameters'!$E$29:$I$29,1,$B$5)=1,MAX(AB44,Z44),Z44),L44)</f>
        <v>235044</v>
      </c>
      <c r="AD44" s="97">
        <f t="shared" si="3"/>
        <v>2.2557306870733873E-2</v>
      </c>
      <c r="AE44" s="146">
        <v>2.0561266106272624E-2</v>
      </c>
      <c r="AF44" s="56">
        <f t="shared" si="11"/>
        <v>235044</v>
      </c>
      <c r="AG44" s="56">
        <v>1887.4145655498114</v>
      </c>
      <c r="AH44" s="16">
        <f t="shared" si="4"/>
        <v>2.2557306870733873E-2</v>
      </c>
      <c r="AI44" s="16">
        <f t="shared" si="5"/>
        <v>2.0561266106272624E-2</v>
      </c>
      <c r="AJ44" s="56"/>
      <c r="AK44" s="56">
        <v>229330.49343275314</v>
      </c>
      <c r="AL44" s="56">
        <v>1841.5348344552665</v>
      </c>
      <c r="AM44" s="16">
        <f t="shared" si="12"/>
        <v>2.4913854593533236E-2</v>
      </c>
      <c r="AN44" s="58">
        <f t="shared" si="12"/>
        <v>2.4913854593533236E-2</v>
      </c>
      <c r="AP44" s="56">
        <f t="shared" si="6"/>
        <v>1</v>
      </c>
      <c r="AQ44" s="56">
        <f t="shared" si="7"/>
        <v>0</v>
      </c>
    </row>
    <row r="45" spans="1:43" x14ac:dyDescent="0.2">
      <c r="A45" s="156" t="s">
        <v>135</v>
      </c>
      <c r="B45" s="156" t="s">
        <v>136</v>
      </c>
      <c r="D45" s="68">
        <f>VLOOKUP(A45,'2017-18 disagg'!A45:AZ253,43,FALSE)</f>
        <v>372324</v>
      </c>
      <c r="E45" s="73">
        <v>1889.70199685425</v>
      </c>
      <c r="F45" s="55"/>
      <c r="G45" s="88">
        <v>367442.09328045673</v>
      </c>
      <c r="H45" s="81">
        <v>1857.2881833343954</v>
      </c>
      <c r="I45" s="90"/>
      <c r="J45" s="103">
        <f t="shared" si="8"/>
        <v>1.3286193413385217E-2</v>
      </c>
      <c r="K45" s="126">
        <f t="shared" si="8"/>
        <v>1.7452226213845679E-2</v>
      </c>
      <c r="L45" s="56">
        <v>380870</v>
      </c>
      <c r="M45" s="103">
        <v>1.6180621211967283E-2</v>
      </c>
      <c r="N45" s="97">
        <f>INDEX('Pace of change parameters'!$E$22:$I$22,1,$B$5)</f>
        <v>1.2019795091496865E-2</v>
      </c>
      <c r="O45" s="108">
        <f>MAX(IF(INDEX('Pace of change parameters'!$E$30:$I$30,1,$B$5)=1,(1+M45)*D45,D45),L45)</f>
        <v>380870</v>
      </c>
      <c r="P45" s="94">
        <f>IF(K45&lt;INDEX('Pace of change parameters'!$E$18:$I$18,1,$B$5),1,IF(K45&gt;INDEX('Pace of change parameters'!$E$19:$I$19,1,$B$5),0,(K45-INDEX('Pace of change parameters'!$E$19:$I$19,1,$B$5))/(INDEX('Pace of change parameters'!$E$18:$I$18,1,$B$5)-INDEX('Pace of change parameters'!$E$19:$I$19,1,$B$5))))</f>
        <v>0</v>
      </c>
      <c r="Q45" s="57">
        <v>1.6180621211967283E-2</v>
      </c>
      <c r="R45" s="57">
        <v>1.2019795091496865E-2</v>
      </c>
      <c r="S45" s="9">
        <f>MAX(IF(INDEX('Pace of change parameters'!$E$31:$I$31,1,$B$5)=1,D45*(1+Q45),D45),L45)</f>
        <v>380870</v>
      </c>
      <c r="T45" s="103">
        <f>IF(Q45&lt;INDEX('Pace of change parameters'!$E$24:$I$24,1,$B$5),INDEX('Pace of change parameters'!$E$24:$I$24,1,$B$5),Q45)</f>
        <v>1.9732353921844841E-2</v>
      </c>
      <c r="U45" s="132">
        <v>1.5556984971168974E-2</v>
      </c>
      <c r="V45" s="117">
        <f t="shared" si="9"/>
        <v>380870</v>
      </c>
      <c r="W45" s="131">
        <f>IF(J45&gt;INDEX('Pace of change parameters'!$E$26:$I$26,1,$B$5),0,IF(J45&lt;INDEX('Pace of change parameters'!$E$25:$I$25,1,$B$5),1,(J45-INDEX('Pace of change parameters'!$E$26:$I$26,1,$B$5))/(INDEX('Pace of change parameters'!$E$25:$I$25,1,$B$5)-INDEX('Pace of change parameters'!$E$26:$I$26,1,$B$5))))</f>
        <v>1</v>
      </c>
      <c r="X45" s="132">
        <f>MIN(T45, T45+(INDEX('Pace of change parameters'!$E$27:$I$27,1,$B$5)-T45)*(1-W45))</f>
        <v>1.9732353921844841E-2</v>
      </c>
      <c r="Y45" s="132">
        <v>1.5556984971168974E-2</v>
      </c>
      <c r="Z45" s="108">
        <f t="shared" si="10"/>
        <v>380870</v>
      </c>
      <c r="AA45" s="97">
        <f>MIN(VLOOKUP(A45,'2017-18 disagg'!$A$12:$BC$220,54,FALSE),-2.5%)</f>
        <v>-2.5000000000000001E-2</v>
      </c>
      <c r="AB45" s="99">
        <f t="shared" si="2"/>
        <v>367161.37228454277</v>
      </c>
      <c r="AC45" s="99">
        <f>MAX(IF(INDEX('Pace of change parameters'!$E$29:$I$29,1,$B$5)=1,MAX(AB45,Z45),Z45),L45)</f>
        <v>380870</v>
      </c>
      <c r="AD45" s="97">
        <f t="shared" si="3"/>
        <v>2.2953126846509964E-2</v>
      </c>
      <c r="AE45" s="146">
        <v>1.8764570204755193E-2</v>
      </c>
      <c r="AF45" s="56">
        <f t="shared" si="11"/>
        <v>380870</v>
      </c>
      <c r="AG45" s="56">
        <v>1925.1614426402878</v>
      </c>
      <c r="AH45" s="16">
        <f t="shared" si="4"/>
        <v>2.2953126846509964E-2</v>
      </c>
      <c r="AI45" s="16">
        <f t="shared" si="5"/>
        <v>1.8764570204755193E-2</v>
      </c>
      <c r="AJ45" s="56"/>
      <c r="AK45" s="56">
        <v>376575.76644568489</v>
      </c>
      <c r="AL45" s="56">
        <v>1903.4556299890955</v>
      </c>
      <c r="AM45" s="16">
        <f t="shared" si="12"/>
        <v>1.1403372008895518E-2</v>
      </c>
      <c r="AN45" s="58">
        <f t="shared" si="12"/>
        <v>1.1403372008895518E-2</v>
      </c>
      <c r="AP45" s="56">
        <f t="shared" si="6"/>
        <v>1</v>
      </c>
      <c r="AQ45" s="56">
        <f t="shared" si="7"/>
        <v>0</v>
      </c>
    </row>
    <row r="46" spans="1:43" x14ac:dyDescent="0.2">
      <c r="A46" s="156" t="s">
        <v>137</v>
      </c>
      <c r="B46" s="156" t="s">
        <v>138</v>
      </c>
      <c r="D46" s="68">
        <f>VLOOKUP(A46,'2017-18 disagg'!A46:AZ254,43,FALSE)</f>
        <v>524464</v>
      </c>
      <c r="E46" s="73">
        <v>1697.1649522664438</v>
      </c>
      <c r="F46" s="55"/>
      <c r="G46" s="88">
        <v>533662.59088077955</v>
      </c>
      <c r="H46" s="81">
        <v>1718.513278832495</v>
      </c>
      <c r="I46" s="90"/>
      <c r="J46" s="103">
        <f t="shared" si="8"/>
        <v>-1.7236716678225128E-2</v>
      </c>
      <c r="K46" s="126">
        <f t="shared" si="8"/>
        <v>-1.2422555489681519E-2</v>
      </c>
      <c r="L46" s="56">
        <v>537376</v>
      </c>
      <c r="M46" s="103">
        <v>1.6977272138359867E-2</v>
      </c>
      <c r="N46" s="97">
        <f>INDEX('Pace of change parameters'!$E$22:$I$22,1,$B$5)</f>
        <v>1.2019795091496865E-2</v>
      </c>
      <c r="O46" s="108">
        <f>MAX(IF(INDEX('Pace of change parameters'!$E$30:$I$30,1,$B$5)=1,(1+M46)*D46,D46),L46)</f>
        <v>537376</v>
      </c>
      <c r="P46" s="94">
        <f>IF(K46&lt;INDEX('Pace of change parameters'!$E$18:$I$18,1,$B$5),1,IF(K46&gt;INDEX('Pace of change parameters'!$E$19:$I$19,1,$B$5),0,(K46-INDEX('Pace of change parameters'!$E$19:$I$19,1,$B$5))/(INDEX('Pace of change parameters'!$E$18:$I$18,1,$B$5)-INDEX('Pace of change parameters'!$E$19:$I$19,1,$B$5))))</f>
        <v>0.46670538313381177</v>
      </c>
      <c r="Q46" s="57">
        <v>2.3064879007923977E-2</v>
      </c>
      <c r="R46" s="57">
        <v>1.8077726596475108E-2</v>
      </c>
      <c r="S46" s="9">
        <f>MAX(IF(INDEX('Pace of change parameters'!$E$31:$I$31,1,$B$5)=1,D46*(1+Q46),D46),L46)</f>
        <v>537376</v>
      </c>
      <c r="T46" s="103">
        <f>IF(Q46&lt;INDEX('Pace of change parameters'!$E$24:$I$24,1,$B$5),INDEX('Pace of change parameters'!$E$24:$I$24,1,$B$5),Q46)</f>
        <v>2.3064879007923977E-2</v>
      </c>
      <c r="U46" s="132">
        <v>1.8077726596475108E-2</v>
      </c>
      <c r="V46" s="117">
        <f t="shared" si="9"/>
        <v>537376</v>
      </c>
      <c r="W46" s="131">
        <f>IF(J46&gt;INDEX('Pace of change parameters'!$E$26:$I$26,1,$B$5),0,IF(J46&lt;INDEX('Pace of change parameters'!$E$25:$I$25,1,$B$5),1,(J46-INDEX('Pace of change parameters'!$E$26:$I$26,1,$B$5))/(INDEX('Pace of change parameters'!$E$25:$I$25,1,$B$5)-INDEX('Pace of change parameters'!$E$26:$I$26,1,$B$5))))</f>
        <v>1</v>
      </c>
      <c r="X46" s="132">
        <f>MIN(T46, T46+(INDEX('Pace of change parameters'!$E$27:$I$27,1,$B$5)-T46)*(1-W46))</f>
        <v>2.3064879007923977E-2</v>
      </c>
      <c r="Y46" s="132">
        <v>1.8077726596475108E-2</v>
      </c>
      <c r="Z46" s="108">
        <f t="shared" si="10"/>
        <v>537376</v>
      </c>
      <c r="AA46" s="97">
        <f>MIN(VLOOKUP(A46,'2017-18 disagg'!$A$12:$BC$220,54,FALSE),-2.5%)</f>
        <v>-2.5000000000000001E-2</v>
      </c>
      <c r="AB46" s="99">
        <f t="shared" si="2"/>
        <v>533348.38759566552</v>
      </c>
      <c r="AC46" s="99">
        <f>MAX(IF(INDEX('Pace of change parameters'!$E$29:$I$29,1,$B$5)=1,MAX(AB46,Z46),Z46),L46)</f>
        <v>537376</v>
      </c>
      <c r="AD46" s="97">
        <f t="shared" si="3"/>
        <v>2.4619420970743544E-2</v>
      </c>
      <c r="AE46" s="146">
        <v>1.9624690606168116E-2</v>
      </c>
      <c r="AF46" s="56">
        <f t="shared" si="11"/>
        <v>537376</v>
      </c>
      <c r="AG46" s="56">
        <v>1730.4712893623048</v>
      </c>
      <c r="AH46" s="16">
        <f t="shared" si="4"/>
        <v>2.4619420970743544E-2</v>
      </c>
      <c r="AI46" s="16">
        <f t="shared" si="5"/>
        <v>1.9624690606168116E-2</v>
      </c>
      <c r="AJ46" s="56"/>
      <c r="AK46" s="56">
        <v>547023.98727760569</v>
      </c>
      <c r="AL46" s="56">
        <v>1761.5399730847439</v>
      </c>
      <c r="AM46" s="16">
        <f t="shared" si="12"/>
        <v>-1.7637228900365343E-2</v>
      </c>
      <c r="AN46" s="58">
        <f t="shared" si="12"/>
        <v>-1.7637228900365343E-2</v>
      </c>
      <c r="AP46" s="56">
        <f t="shared" si="6"/>
        <v>1</v>
      </c>
      <c r="AQ46" s="56">
        <f t="shared" si="7"/>
        <v>0</v>
      </c>
    </row>
    <row r="47" spans="1:43" x14ac:dyDescent="0.2">
      <c r="A47" s="156" t="s">
        <v>139</v>
      </c>
      <c r="B47" s="156" t="s">
        <v>140</v>
      </c>
      <c r="D47" s="68">
        <f>VLOOKUP(A47,'2017-18 disagg'!A47:AZ255,43,FALSE)</f>
        <v>445070</v>
      </c>
      <c r="E47" s="73">
        <v>1804.5536635069498</v>
      </c>
      <c r="F47" s="55"/>
      <c r="G47" s="88">
        <v>443983.04106986016</v>
      </c>
      <c r="H47" s="81">
        <v>1789.8555905005494</v>
      </c>
      <c r="I47" s="90"/>
      <c r="J47" s="103">
        <f t="shared" si="8"/>
        <v>2.4481992094125271E-3</v>
      </c>
      <c r="K47" s="126">
        <f t="shared" si="8"/>
        <v>8.2118764689222967E-3</v>
      </c>
      <c r="L47" s="56">
        <v>455865</v>
      </c>
      <c r="M47" s="103">
        <v>1.783850520912944E-2</v>
      </c>
      <c r="N47" s="97">
        <f>INDEX('Pace of change parameters'!$E$22:$I$22,1,$B$5)</f>
        <v>1.2019795091496865E-2</v>
      </c>
      <c r="O47" s="108">
        <f>MAX(IF(INDEX('Pace of change parameters'!$E$30:$I$30,1,$B$5)=1,(1+M47)*D47,D47),L47)</f>
        <v>455865</v>
      </c>
      <c r="P47" s="94">
        <f>IF(K47&lt;INDEX('Pace of change parameters'!$E$18:$I$18,1,$B$5),1,IF(K47&gt;INDEX('Pace of change parameters'!$E$19:$I$19,1,$B$5),0,(K47-INDEX('Pace of change parameters'!$E$19:$I$19,1,$B$5))/(INDEX('Pace of change parameters'!$E$18:$I$18,1,$B$5)-INDEX('Pace of change parameters'!$E$19:$I$19,1,$B$5))))</f>
        <v>1.8968374471455191E-2</v>
      </c>
      <c r="Q47" s="57">
        <v>1.8086134225311135E-2</v>
      </c>
      <c r="R47" s="57">
        <v>1.2266008478917678E-2</v>
      </c>
      <c r="S47" s="9">
        <f>MAX(IF(INDEX('Pace of change parameters'!$E$31:$I$31,1,$B$5)=1,D47*(1+Q47),D47),L47)</f>
        <v>455865</v>
      </c>
      <c r="T47" s="103">
        <f>IF(Q47&lt;INDEX('Pace of change parameters'!$E$24:$I$24,1,$B$5),INDEX('Pace of change parameters'!$E$24:$I$24,1,$B$5),Q47)</f>
        <v>1.9732353921844841E-2</v>
      </c>
      <c r="U47" s="132">
        <v>1.3902817178367721E-2</v>
      </c>
      <c r="V47" s="117">
        <f t="shared" si="9"/>
        <v>455865</v>
      </c>
      <c r="W47" s="131">
        <f>IF(J47&gt;INDEX('Pace of change parameters'!$E$26:$I$26,1,$B$5),0,IF(J47&lt;INDEX('Pace of change parameters'!$E$25:$I$25,1,$B$5),1,(J47-INDEX('Pace of change parameters'!$E$26:$I$26,1,$B$5))/(INDEX('Pace of change parameters'!$E$25:$I$25,1,$B$5)-INDEX('Pace of change parameters'!$E$26:$I$26,1,$B$5))))</f>
        <v>1</v>
      </c>
      <c r="X47" s="132">
        <f>MIN(T47, T47+(INDEX('Pace of change parameters'!$E$27:$I$27,1,$B$5)-T47)*(1-W47))</f>
        <v>1.9732353921844841E-2</v>
      </c>
      <c r="Y47" s="132">
        <v>1.3902817178367721E-2</v>
      </c>
      <c r="Z47" s="108">
        <f t="shared" si="10"/>
        <v>455865</v>
      </c>
      <c r="AA47" s="97">
        <f>MIN(VLOOKUP(A47,'2017-18 disagg'!$A$12:$BC$220,54,FALSE),-2.5%)</f>
        <v>-2.5000000000000001E-2</v>
      </c>
      <c r="AB47" s="99">
        <f t="shared" si="2"/>
        <v>443738.67444539425</v>
      </c>
      <c r="AC47" s="99">
        <f>MAX(IF(INDEX('Pace of change parameters'!$E$29:$I$29,1,$B$5)=1,MAX(AB47,Z47),Z47),L47)</f>
        <v>455865</v>
      </c>
      <c r="AD47" s="97">
        <f t="shared" si="3"/>
        <v>2.4254611634124901E-2</v>
      </c>
      <c r="AE47" s="146">
        <v>1.8399222354542832E-2</v>
      </c>
      <c r="AF47" s="56">
        <f t="shared" si="11"/>
        <v>455865</v>
      </c>
      <c r="AG47" s="56">
        <v>1837.7560476125191</v>
      </c>
      <c r="AH47" s="16">
        <f t="shared" si="4"/>
        <v>2.4254611634124901E-2</v>
      </c>
      <c r="AI47" s="16">
        <f t="shared" si="5"/>
        <v>1.8399222354542832E-2</v>
      </c>
      <c r="AJ47" s="56"/>
      <c r="AK47" s="56">
        <v>455116.58917476336</v>
      </c>
      <c r="AL47" s="56">
        <v>1834.738933949094</v>
      </c>
      <c r="AM47" s="16">
        <f t="shared" si="12"/>
        <v>1.644437585968328E-3</v>
      </c>
      <c r="AN47" s="58">
        <f t="shared" si="12"/>
        <v>1.644437585968106E-3</v>
      </c>
      <c r="AP47" s="56">
        <f t="shared" si="6"/>
        <v>1</v>
      </c>
      <c r="AQ47" s="56">
        <f t="shared" si="7"/>
        <v>0</v>
      </c>
    </row>
    <row r="48" spans="1:43" x14ac:dyDescent="0.2">
      <c r="A48" s="156" t="s">
        <v>141</v>
      </c>
      <c r="B48" s="156" t="s">
        <v>142</v>
      </c>
      <c r="D48" s="68">
        <f>VLOOKUP(A48,'2017-18 disagg'!A48:AZ256,43,FALSE)</f>
        <v>399246</v>
      </c>
      <c r="E48" s="73">
        <v>1647.8017090533394</v>
      </c>
      <c r="F48" s="55"/>
      <c r="G48" s="88">
        <v>393261.64317999815</v>
      </c>
      <c r="H48" s="81">
        <v>1611.6748214107247</v>
      </c>
      <c r="I48" s="90"/>
      <c r="J48" s="103">
        <f t="shared" si="8"/>
        <v>1.5217240032897816E-2</v>
      </c>
      <c r="K48" s="126">
        <f t="shared" si="8"/>
        <v>2.2415742408256056E-2</v>
      </c>
      <c r="L48" s="56">
        <v>408889</v>
      </c>
      <c r="M48" s="103">
        <v>1.9195625654263582E-2</v>
      </c>
      <c r="N48" s="97">
        <f>INDEX('Pace of change parameters'!$E$22:$I$22,1,$B$5)</f>
        <v>1.2019795091496865E-2</v>
      </c>
      <c r="O48" s="108">
        <f>MAX(IF(INDEX('Pace of change parameters'!$E$30:$I$30,1,$B$5)=1,(1+M48)*D48,D48),L48)</f>
        <v>408889</v>
      </c>
      <c r="P48" s="94">
        <f>IF(K48&lt;INDEX('Pace of change parameters'!$E$18:$I$18,1,$B$5),1,IF(K48&gt;INDEX('Pace of change parameters'!$E$19:$I$19,1,$B$5),0,(K48-INDEX('Pace of change parameters'!$E$19:$I$19,1,$B$5))/(INDEX('Pace of change parameters'!$E$18:$I$18,1,$B$5)-INDEX('Pace of change parameters'!$E$19:$I$19,1,$B$5))))</f>
        <v>0</v>
      </c>
      <c r="Q48" s="57">
        <v>1.9195625654263582E-2</v>
      </c>
      <c r="R48" s="57">
        <v>1.2019795091496865E-2</v>
      </c>
      <c r="S48" s="9">
        <f>MAX(IF(INDEX('Pace of change parameters'!$E$31:$I$31,1,$B$5)=1,D48*(1+Q48),D48),L48)</f>
        <v>408889</v>
      </c>
      <c r="T48" s="103">
        <f>IF(Q48&lt;INDEX('Pace of change parameters'!$E$24:$I$24,1,$B$5),INDEX('Pace of change parameters'!$E$24:$I$24,1,$B$5),Q48)</f>
        <v>1.9732353921844841E-2</v>
      </c>
      <c r="U48" s="132">
        <v>1.2552744426938434E-2</v>
      </c>
      <c r="V48" s="117">
        <f t="shared" si="9"/>
        <v>408889</v>
      </c>
      <c r="W48" s="131">
        <f>IF(J48&gt;INDEX('Pace of change parameters'!$E$26:$I$26,1,$B$5),0,IF(J48&lt;INDEX('Pace of change parameters'!$E$25:$I$25,1,$B$5),1,(J48-INDEX('Pace of change parameters'!$E$26:$I$26,1,$B$5))/(INDEX('Pace of change parameters'!$E$25:$I$25,1,$B$5)-INDEX('Pace of change parameters'!$E$26:$I$26,1,$B$5))))</f>
        <v>1</v>
      </c>
      <c r="X48" s="132">
        <f>MIN(T48, T48+(INDEX('Pace of change parameters'!$E$27:$I$27,1,$B$5)-T48)*(1-W48))</f>
        <v>1.9732353921844841E-2</v>
      </c>
      <c r="Y48" s="132">
        <v>1.2552744426938434E-2</v>
      </c>
      <c r="Z48" s="108">
        <f t="shared" si="10"/>
        <v>408889</v>
      </c>
      <c r="AA48" s="97">
        <f>MIN(VLOOKUP(A48,'2017-18 disagg'!$A$12:$BC$220,54,FALSE),-2.5%)</f>
        <v>-2.5000000000000001E-2</v>
      </c>
      <c r="AB48" s="99">
        <f t="shared" si="2"/>
        <v>393188.98214380781</v>
      </c>
      <c r="AC48" s="99">
        <f>MAX(IF(INDEX('Pace of change parameters'!$E$29:$I$29,1,$B$5)=1,MAX(AB48,Z48),Z48),L48)</f>
        <v>408889</v>
      </c>
      <c r="AD48" s="97">
        <f t="shared" si="3"/>
        <v>2.4153028458644643E-2</v>
      </c>
      <c r="AE48" s="146">
        <v>1.6942294407616965E-2</v>
      </c>
      <c r="AF48" s="56">
        <f t="shared" si="11"/>
        <v>408889</v>
      </c>
      <c r="AG48" s="56">
        <v>1675.7192507334958</v>
      </c>
      <c r="AH48" s="16">
        <f t="shared" si="4"/>
        <v>2.4153028458644643E-2</v>
      </c>
      <c r="AI48" s="16">
        <f t="shared" si="5"/>
        <v>1.6942294407617187E-2</v>
      </c>
      <c r="AJ48" s="56"/>
      <c r="AK48" s="56">
        <v>403270.75091672596</v>
      </c>
      <c r="AL48" s="56">
        <v>1652.6944001157042</v>
      </c>
      <c r="AM48" s="16">
        <f t="shared" si="12"/>
        <v>1.3931704867021777E-2</v>
      </c>
      <c r="AN48" s="58">
        <f t="shared" si="12"/>
        <v>1.3931704867021777E-2</v>
      </c>
      <c r="AP48" s="56">
        <f t="shared" si="6"/>
        <v>1</v>
      </c>
      <c r="AQ48" s="56">
        <f t="shared" si="7"/>
        <v>0</v>
      </c>
    </row>
    <row r="49" spans="1:43" x14ac:dyDescent="0.2">
      <c r="A49" s="156" t="s">
        <v>143</v>
      </c>
      <c r="B49" s="156" t="s">
        <v>144</v>
      </c>
      <c r="D49" s="68">
        <f>VLOOKUP(A49,'2017-18 disagg'!A49:AZ257,43,FALSE)</f>
        <v>167787</v>
      </c>
      <c r="E49" s="73">
        <v>1611.3702458477776</v>
      </c>
      <c r="F49" s="55"/>
      <c r="G49" s="88">
        <v>169774.21995376894</v>
      </c>
      <c r="H49" s="81">
        <v>1627.3181653610632</v>
      </c>
      <c r="I49" s="90"/>
      <c r="J49" s="103">
        <f t="shared" si="8"/>
        <v>-1.1705074859481468E-2</v>
      </c>
      <c r="K49" s="126">
        <f t="shared" si="8"/>
        <v>-9.800123818901163E-3</v>
      </c>
      <c r="L49" s="56">
        <v>171591</v>
      </c>
      <c r="M49" s="103">
        <v>1.3970476120718223E-2</v>
      </c>
      <c r="N49" s="97">
        <f>INDEX('Pace of change parameters'!$E$22:$I$22,1,$B$5)</f>
        <v>1.2019795091496865E-2</v>
      </c>
      <c r="O49" s="108">
        <f>MAX(IF(INDEX('Pace of change parameters'!$E$30:$I$30,1,$B$5)=1,(1+M49)*D49,D49),L49)</f>
        <v>171591</v>
      </c>
      <c r="P49" s="94">
        <f>IF(K49&lt;INDEX('Pace of change parameters'!$E$18:$I$18,1,$B$5),1,IF(K49&gt;INDEX('Pace of change parameters'!$E$19:$I$19,1,$B$5),0,(K49-INDEX('Pace of change parameters'!$E$19:$I$19,1,$B$5))/(INDEX('Pace of change parameters'!$E$18:$I$18,1,$B$5)-INDEX('Pace of change parameters'!$E$19:$I$19,1,$B$5))))</f>
        <v>0.40980244952981498</v>
      </c>
      <c r="Q49" s="57">
        <v>1.9300048944141057E-2</v>
      </c>
      <c r="R49" s="57">
        <v>1.733911485840034E-2</v>
      </c>
      <c r="S49" s="9">
        <f>MAX(IF(INDEX('Pace of change parameters'!$E$31:$I$31,1,$B$5)=1,D49*(1+Q49),D49),L49)</f>
        <v>171591</v>
      </c>
      <c r="T49" s="103">
        <f>IF(Q49&lt;INDEX('Pace of change parameters'!$E$24:$I$24,1,$B$5),INDEX('Pace of change parameters'!$E$24:$I$24,1,$B$5),Q49)</f>
        <v>1.9732353921844841E-2</v>
      </c>
      <c r="U49" s="132">
        <v>1.7770588165815226E-2</v>
      </c>
      <c r="V49" s="117">
        <f t="shared" si="9"/>
        <v>171591</v>
      </c>
      <c r="W49" s="131">
        <f>IF(J49&gt;INDEX('Pace of change parameters'!$E$26:$I$26,1,$B$5),0,IF(J49&lt;INDEX('Pace of change parameters'!$E$25:$I$25,1,$B$5),1,(J49-INDEX('Pace of change parameters'!$E$26:$I$26,1,$B$5))/(INDEX('Pace of change parameters'!$E$25:$I$25,1,$B$5)-INDEX('Pace of change parameters'!$E$26:$I$26,1,$B$5))))</f>
        <v>1</v>
      </c>
      <c r="X49" s="132">
        <f>MIN(T49, T49+(INDEX('Pace of change parameters'!$E$27:$I$27,1,$B$5)-T49)*(1-W49))</f>
        <v>1.9732353921844841E-2</v>
      </c>
      <c r="Y49" s="132">
        <v>1.7770588165815226E-2</v>
      </c>
      <c r="Z49" s="108">
        <f t="shared" si="10"/>
        <v>171591</v>
      </c>
      <c r="AA49" s="97">
        <f>MIN(VLOOKUP(A49,'2017-18 disagg'!$A$12:$BC$220,54,FALSE),-2.5%)</f>
        <v>-2.5000000000000001E-2</v>
      </c>
      <c r="AB49" s="99">
        <f t="shared" si="2"/>
        <v>169634.55107077808</v>
      </c>
      <c r="AC49" s="99">
        <f>MAX(IF(INDEX('Pace of change parameters'!$E$29:$I$29,1,$B$5)=1,MAX(AB49,Z49),Z49),L49)</f>
        <v>171591</v>
      </c>
      <c r="AD49" s="97">
        <f t="shared" si="3"/>
        <v>2.2671601494752336E-2</v>
      </c>
      <c r="AE49" s="146">
        <v>2.070418120082862E-2</v>
      </c>
      <c r="AF49" s="56">
        <f t="shared" si="11"/>
        <v>171591</v>
      </c>
      <c r="AG49" s="56">
        <v>1644.7323473994338</v>
      </c>
      <c r="AH49" s="16">
        <f t="shared" si="4"/>
        <v>2.2671601494752336E-2</v>
      </c>
      <c r="AI49" s="16">
        <f t="shared" si="5"/>
        <v>2.070418120082862E-2</v>
      </c>
      <c r="AJ49" s="56"/>
      <c r="AK49" s="56">
        <v>173984.15494438779</v>
      </c>
      <c r="AL49" s="56">
        <v>1667.671192381825</v>
      </c>
      <c r="AM49" s="16">
        <f t="shared" si="12"/>
        <v>-1.3755016628685168E-2</v>
      </c>
      <c r="AN49" s="58">
        <f t="shared" si="12"/>
        <v>-1.3755016628685168E-2</v>
      </c>
      <c r="AP49" s="56">
        <f t="shared" si="6"/>
        <v>1</v>
      </c>
      <c r="AQ49" s="56">
        <f t="shared" si="7"/>
        <v>0</v>
      </c>
    </row>
    <row r="50" spans="1:43" x14ac:dyDescent="0.2">
      <c r="A50" s="156" t="s">
        <v>145</v>
      </c>
      <c r="B50" s="156" t="s">
        <v>146</v>
      </c>
      <c r="D50" s="68">
        <f>VLOOKUP(A50,'2017-18 disagg'!A50:AZ258,43,FALSE)</f>
        <v>353186</v>
      </c>
      <c r="E50" s="73">
        <v>1622.1896624056994</v>
      </c>
      <c r="F50" s="55"/>
      <c r="G50" s="88">
        <v>359715.96153587918</v>
      </c>
      <c r="H50" s="81">
        <v>1640.0162146802377</v>
      </c>
      <c r="I50" s="90"/>
      <c r="J50" s="103">
        <f t="shared" si="8"/>
        <v>-1.8153104766322259E-2</v>
      </c>
      <c r="K50" s="126">
        <f t="shared" si="8"/>
        <v>-1.0869741478753636E-2</v>
      </c>
      <c r="L50" s="56">
        <v>361520</v>
      </c>
      <c r="M50" s="103">
        <v>1.9526981657593812E-2</v>
      </c>
      <c r="N50" s="97">
        <f>INDEX('Pace of change parameters'!$E$22:$I$22,1,$B$5)</f>
        <v>1.2019795091496865E-2</v>
      </c>
      <c r="O50" s="108">
        <f>MAX(IF(INDEX('Pace of change parameters'!$E$30:$I$30,1,$B$5)=1,(1+M50)*D50,D50),L50)</f>
        <v>361520</v>
      </c>
      <c r="P50" s="94">
        <f>IF(K50&lt;INDEX('Pace of change parameters'!$E$18:$I$18,1,$B$5),1,IF(K50&gt;INDEX('Pace of change parameters'!$E$19:$I$19,1,$B$5),0,(K50-INDEX('Pace of change parameters'!$E$19:$I$19,1,$B$5))/(INDEX('Pace of change parameters'!$E$18:$I$18,1,$B$5)-INDEX('Pace of change parameters'!$E$19:$I$19,1,$B$5))))</f>
        <v>0.43301158910756277</v>
      </c>
      <c r="Q50" s="57">
        <v>2.518925439990416E-2</v>
      </c>
      <c r="R50" s="57">
        <v>1.7640374245869506E-2</v>
      </c>
      <c r="S50" s="9">
        <f>MAX(IF(INDEX('Pace of change parameters'!$E$31:$I$31,1,$B$5)=1,D50*(1+Q50),D50),L50)</f>
        <v>362082.49200448458</v>
      </c>
      <c r="T50" s="103">
        <f>IF(Q50&lt;INDEX('Pace of change parameters'!$E$24:$I$24,1,$B$5),INDEX('Pace of change parameters'!$E$24:$I$24,1,$B$5),Q50)</f>
        <v>2.518925439990416E-2</v>
      </c>
      <c r="U50" s="132">
        <v>1.7640374245869506E-2</v>
      </c>
      <c r="V50" s="117">
        <f t="shared" si="9"/>
        <v>362082.49200448458</v>
      </c>
      <c r="W50" s="131">
        <f>IF(J50&gt;INDEX('Pace of change parameters'!$E$26:$I$26,1,$B$5),0,IF(J50&lt;INDEX('Pace of change parameters'!$E$25:$I$25,1,$B$5),1,(J50-INDEX('Pace of change parameters'!$E$26:$I$26,1,$B$5))/(INDEX('Pace of change parameters'!$E$25:$I$25,1,$B$5)-INDEX('Pace of change parameters'!$E$26:$I$26,1,$B$5))))</f>
        <v>1</v>
      </c>
      <c r="X50" s="132">
        <f>MIN(T50, T50+(INDEX('Pace of change parameters'!$E$27:$I$27,1,$B$5)-T50)*(1-W50))</f>
        <v>2.518925439990416E-2</v>
      </c>
      <c r="Y50" s="132">
        <v>1.7640374245869506E-2</v>
      </c>
      <c r="Z50" s="108">
        <f t="shared" si="10"/>
        <v>362082.49200448458</v>
      </c>
      <c r="AA50" s="97">
        <f>MIN(VLOOKUP(A50,'2017-18 disagg'!$A$12:$BC$220,54,FALSE),-2.5%)</f>
        <v>-2.5000000000000001E-2</v>
      </c>
      <c r="AB50" s="99">
        <f t="shared" si="2"/>
        <v>359548.28536297608</v>
      </c>
      <c r="AC50" s="99">
        <f>MAX(IF(INDEX('Pace of change parameters'!$E$29:$I$29,1,$B$5)=1,MAX(AB50,Z50),Z50),L50)</f>
        <v>362082.49200448458</v>
      </c>
      <c r="AD50" s="97">
        <f t="shared" si="3"/>
        <v>2.518925439990416E-2</v>
      </c>
      <c r="AE50" s="146">
        <v>1.7640374245869506E-2</v>
      </c>
      <c r="AF50" s="56">
        <f t="shared" si="11"/>
        <v>362082.49200448458</v>
      </c>
      <c r="AG50" s="56">
        <v>1650.805695148317</v>
      </c>
      <c r="AH50" s="16">
        <f t="shared" si="4"/>
        <v>2.518925439990416E-2</v>
      </c>
      <c r="AI50" s="16">
        <f t="shared" si="5"/>
        <v>1.7640374245869728E-2</v>
      </c>
      <c r="AJ50" s="56"/>
      <c r="AK50" s="56">
        <v>368767.47216715495</v>
      </c>
      <c r="AL50" s="56">
        <v>1681.2838418916097</v>
      </c>
      <c r="AM50" s="16">
        <f t="shared" si="12"/>
        <v>-1.8127900824290166E-2</v>
      </c>
      <c r="AN50" s="58">
        <f t="shared" si="12"/>
        <v>-1.8127900824290166E-2</v>
      </c>
      <c r="AP50" s="56">
        <f t="shared" si="6"/>
        <v>0</v>
      </c>
      <c r="AQ50" s="56">
        <f t="shared" si="7"/>
        <v>0</v>
      </c>
    </row>
    <row r="51" spans="1:43" x14ac:dyDescent="0.2">
      <c r="A51" s="156" t="s">
        <v>147</v>
      </c>
      <c r="B51" s="156" t="s">
        <v>148</v>
      </c>
      <c r="D51" s="68">
        <f>VLOOKUP(A51,'2017-18 disagg'!A51:AZ259,43,FALSE)</f>
        <v>432073</v>
      </c>
      <c r="E51" s="73">
        <v>1656.9649769137504</v>
      </c>
      <c r="F51" s="55"/>
      <c r="G51" s="88">
        <v>433006.75676803553</v>
      </c>
      <c r="H51" s="81">
        <v>1655.9971024464601</v>
      </c>
      <c r="I51" s="90"/>
      <c r="J51" s="103">
        <f t="shared" si="8"/>
        <v>-2.1564484928713323E-3</v>
      </c>
      <c r="K51" s="126">
        <f t="shared" si="8"/>
        <v>5.8446628068398176E-4</v>
      </c>
      <c r="L51" s="56">
        <v>441916</v>
      </c>
      <c r="M51" s="103">
        <v>1.4799649712301077E-2</v>
      </c>
      <c r="N51" s="97">
        <f>INDEX('Pace of change parameters'!$E$22:$I$22,1,$B$5)</f>
        <v>1.2019795091496865E-2</v>
      </c>
      <c r="O51" s="108">
        <f>MAX(IF(INDEX('Pace of change parameters'!$E$30:$I$30,1,$B$5)=1,(1+M51)*D51,D51),L51)</f>
        <v>441916</v>
      </c>
      <c r="P51" s="94">
        <f>IF(K51&lt;INDEX('Pace of change parameters'!$E$18:$I$18,1,$B$5),1,IF(K51&gt;INDEX('Pace of change parameters'!$E$19:$I$19,1,$B$5),0,(K51-INDEX('Pace of change parameters'!$E$19:$I$19,1,$B$5))/(INDEX('Pace of change parameters'!$E$18:$I$18,1,$B$5)-INDEX('Pace of change parameters'!$E$19:$I$19,1,$B$5))))</f>
        <v>0.18447202528063786</v>
      </c>
      <c r="Q51" s="57">
        <v>1.7200711662313406E-2</v>
      </c>
      <c r="R51" s="57">
        <v>1.441427977952614E-2</v>
      </c>
      <c r="S51" s="9">
        <f>MAX(IF(INDEX('Pace of change parameters'!$E$31:$I$31,1,$B$5)=1,D51*(1+Q51),D51),L51)</f>
        <v>441916</v>
      </c>
      <c r="T51" s="103">
        <f>IF(Q51&lt;INDEX('Pace of change parameters'!$E$24:$I$24,1,$B$5),INDEX('Pace of change parameters'!$E$24:$I$24,1,$B$5),Q51)</f>
        <v>1.9732353921844841E-2</v>
      </c>
      <c r="U51" s="132">
        <v>1.6938987076638767E-2</v>
      </c>
      <c r="V51" s="117">
        <f t="shared" si="9"/>
        <v>441916</v>
      </c>
      <c r="W51" s="131">
        <f>IF(J51&gt;INDEX('Pace of change parameters'!$E$26:$I$26,1,$B$5),0,IF(J51&lt;INDEX('Pace of change parameters'!$E$25:$I$25,1,$B$5),1,(J51-INDEX('Pace of change parameters'!$E$26:$I$26,1,$B$5))/(INDEX('Pace of change parameters'!$E$25:$I$25,1,$B$5)-INDEX('Pace of change parameters'!$E$26:$I$26,1,$B$5))))</f>
        <v>1</v>
      </c>
      <c r="X51" s="132">
        <f>MIN(T51, T51+(INDEX('Pace of change parameters'!$E$27:$I$27,1,$B$5)-T51)*(1-W51))</f>
        <v>1.9732353921844841E-2</v>
      </c>
      <c r="Y51" s="132">
        <v>1.6938987076638767E-2</v>
      </c>
      <c r="Z51" s="108">
        <f t="shared" si="10"/>
        <v>441916</v>
      </c>
      <c r="AA51" s="97">
        <f>MIN(VLOOKUP(A51,'2017-18 disagg'!$A$12:$BC$220,54,FALSE),-2.5%)</f>
        <v>-2.5000000000000001E-2</v>
      </c>
      <c r="AB51" s="99">
        <f t="shared" si="2"/>
        <v>432674.06190775742</v>
      </c>
      <c r="AC51" s="99">
        <f>MAX(IF(INDEX('Pace of change parameters'!$E$29:$I$29,1,$B$5)=1,MAX(AB51,Z51),Z51),L51)</f>
        <v>441916</v>
      </c>
      <c r="AD51" s="97">
        <f t="shared" si="3"/>
        <v>2.2780872676607888E-2</v>
      </c>
      <c r="AE51" s="146">
        <v>1.9979154982099345E-2</v>
      </c>
      <c r="AF51" s="56">
        <f t="shared" si="11"/>
        <v>441916</v>
      </c>
      <c r="AG51" s="56">
        <v>1690.0697369874208</v>
      </c>
      <c r="AH51" s="16">
        <f t="shared" si="4"/>
        <v>2.2780872676607888E-2</v>
      </c>
      <c r="AI51" s="16">
        <f t="shared" si="5"/>
        <v>1.9979154982099345E-2</v>
      </c>
      <c r="AJ51" s="56"/>
      <c r="AK51" s="56">
        <v>443768.26862334093</v>
      </c>
      <c r="AL51" s="56">
        <v>1697.1535790412947</v>
      </c>
      <c r="AM51" s="16">
        <f t="shared" si="12"/>
        <v>-4.1739546387286053E-3</v>
      </c>
      <c r="AN51" s="58">
        <f t="shared" si="12"/>
        <v>-4.1739546387283832E-3</v>
      </c>
      <c r="AP51" s="56">
        <f t="shared" si="6"/>
        <v>1</v>
      </c>
      <c r="AQ51" s="56">
        <f t="shared" si="7"/>
        <v>0</v>
      </c>
    </row>
    <row r="52" spans="1:43" x14ac:dyDescent="0.2">
      <c r="A52" s="156" t="s">
        <v>149</v>
      </c>
      <c r="B52" s="156" t="s">
        <v>150</v>
      </c>
      <c r="D52" s="68">
        <f>VLOOKUP(A52,'2017-18 disagg'!A52:AZ260,43,FALSE)</f>
        <v>190235</v>
      </c>
      <c r="E52" s="73">
        <v>1697.6087688494924</v>
      </c>
      <c r="F52" s="55"/>
      <c r="G52" s="88">
        <v>186966.63933268061</v>
      </c>
      <c r="H52" s="81">
        <v>1667.3688782994905</v>
      </c>
      <c r="I52" s="90"/>
      <c r="J52" s="103">
        <f t="shared" si="8"/>
        <v>1.7480983126106242E-2</v>
      </c>
      <c r="K52" s="126">
        <f t="shared" si="8"/>
        <v>1.8136293020440064E-2</v>
      </c>
      <c r="L52" s="56">
        <v>194626</v>
      </c>
      <c r="M52" s="103">
        <v>1.2671587700875619E-2</v>
      </c>
      <c r="N52" s="97">
        <f>INDEX('Pace of change parameters'!$E$22:$I$22,1,$B$5)</f>
        <v>1.2019795091496865E-2</v>
      </c>
      <c r="O52" s="108">
        <f>MAX(IF(INDEX('Pace of change parameters'!$E$30:$I$30,1,$B$5)=1,(1+M52)*D52,D52),L52)</f>
        <v>194626</v>
      </c>
      <c r="P52" s="94">
        <f>IF(K52&lt;INDEX('Pace of change parameters'!$E$18:$I$18,1,$B$5),1,IF(K52&gt;INDEX('Pace of change parameters'!$E$19:$I$19,1,$B$5),0,(K52-INDEX('Pace of change parameters'!$E$19:$I$19,1,$B$5))/(INDEX('Pace of change parameters'!$E$18:$I$18,1,$B$5)-INDEX('Pace of change parameters'!$E$19:$I$19,1,$B$5))))</f>
        <v>0</v>
      </c>
      <c r="Q52" s="57">
        <v>1.2671587700875619E-2</v>
      </c>
      <c r="R52" s="57">
        <v>1.2019795091496865E-2</v>
      </c>
      <c r="S52" s="9">
        <f>MAX(IF(INDEX('Pace of change parameters'!$E$31:$I$31,1,$B$5)=1,D52*(1+Q52),D52),L52)</f>
        <v>194626</v>
      </c>
      <c r="T52" s="103">
        <f>IF(Q52&lt;INDEX('Pace of change parameters'!$E$24:$I$24,1,$B$5),INDEX('Pace of change parameters'!$E$24:$I$24,1,$B$5),Q52)</f>
        <v>1.9732353921844841E-2</v>
      </c>
      <c r="U52" s="132">
        <v>1.9076016744122848E-2</v>
      </c>
      <c r="V52" s="117">
        <f t="shared" si="9"/>
        <v>194626</v>
      </c>
      <c r="W52" s="131">
        <f>IF(J52&gt;INDEX('Pace of change parameters'!$E$26:$I$26,1,$B$5),0,IF(J52&lt;INDEX('Pace of change parameters'!$E$25:$I$25,1,$B$5),1,(J52-INDEX('Pace of change parameters'!$E$26:$I$26,1,$B$5))/(INDEX('Pace of change parameters'!$E$25:$I$25,1,$B$5)-INDEX('Pace of change parameters'!$E$26:$I$26,1,$B$5))))</f>
        <v>1</v>
      </c>
      <c r="X52" s="132">
        <f>MIN(T52, T52+(INDEX('Pace of change parameters'!$E$27:$I$27,1,$B$5)-T52)*(1-W52))</f>
        <v>1.9732353921844841E-2</v>
      </c>
      <c r="Y52" s="132">
        <v>1.9076016744122848E-2</v>
      </c>
      <c r="Z52" s="108">
        <f t="shared" si="10"/>
        <v>194626</v>
      </c>
      <c r="AA52" s="97">
        <f>MIN(VLOOKUP(A52,'2017-18 disagg'!$A$12:$BC$220,54,FALSE),-2.5%)</f>
        <v>-2.5000000000000001E-2</v>
      </c>
      <c r="AB52" s="99">
        <f t="shared" si="2"/>
        <v>186862.6241758831</v>
      </c>
      <c r="AC52" s="99">
        <f>MAX(IF(INDEX('Pace of change parameters'!$E$29:$I$29,1,$B$5)=1,MAX(AB52,Z52),Z52),L52)</f>
        <v>194626</v>
      </c>
      <c r="AD52" s="97">
        <f t="shared" si="3"/>
        <v>2.3081977554077815E-2</v>
      </c>
      <c r="AE52" s="146">
        <v>2.2423484435620367E-2</v>
      </c>
      <c r="AF52" s="56">
        <f t="shared" si="11"/>
        <v>194626</v>
      </c>
      <c r="AG52" s="56">
        <v>1735.6750726555617</v>
      </c>
      <c r="AH52" s="16">
        <f t="shared" si="4"/>
        <v>2.3081977554077815E-2</v>
      </c>
      <c r="AI52" s="16">
        <f t="shared" si="5"/>
        <v>2.2423484435620367E-2</v>
      </c>
      <c r="AJ52" s="56"/>
      <c r="AK52" s="56">
        <v>191653.97351372626</v>
      </c>
      <c r="AL52" s="56">
        <v>1709.1705342717003</v>
      </c>
      <c r="AM52" s="16">
        <f t="shared" si="12"/>
        <v>1.5507252115807946E-2</v>
      </c>
      <c r="AN52" s="58">
        <f t="shared" si="12"/>
        <v>1.5507252115807946E-2</v>
      </c>
      <c r="AP52" s="56">
        <f t="shared" si="6"/>
        <v>1</v>
      </c>
      <c r="AQ52" s="56">
        <f t="shared" si="7"/>
        <v>0</v>
      </c>
    </row>
    <row r="53" spans="1:43" x14ac:dyDescent="0.2">
      <c r="A53" s="156" t="s">
        <v>151</v>
      </c>
      <c r="B53" s="156" t="s">
        <v>152</v>
      </c>
      <c r="D53" s="68">
        <f>VLOOKUP(A53,'2017-18 disagg'!A53:AZ261,43,FALSE)</f>
        <v>588366</v>
      </c>
      <c r="E53" s="73">
        <v>1798.6313887702026</v>
      </c>
      <c r="F53" s="55"/>
      <c r="G53" s="88">
        <v>585333.434374245</v>
      </c>
      <c r="H53" s="81">
        <v>1779.3453079437786</v>
      </c>
      <c r="I53" s="90"/>
      <c r="J53" s="103">
        <f t="shared" si="8"/>
        <v>5.1809198785937038E-3</v>
      </c>
      <c r="K53" s="126">
        <f t="shared" si="8"/>
        <v>1.0838863451811509E-2</v>
      </c>
      <c r="L53" s="56">
        <v>602046</v>
      </c>
      <c r="M53" s="103">
        <v>1.7716233197682563E-2</v>
      </c>
      <c r="N53" s="97">
        <f>INDEX('Pace of change parameters'!$E$22:$I$22,1,$B$5)</f>
        <v>1.2019795091496865E-2</v>
      </c>
      <c r="O53" s="108">
        <f>MAX(IF(INDEX('Pace of change parameters'!$E$30:$I$30,1,$B$5)=1,(1+M53)*D53,D53),L53)</f>
        <v>602046</v>
      </c>
      <c r="P53" s="94">
        <f>IF(K53&lt;INDEX('Pace of change parameters'!$E$18:$I$18,1,$B$5),1,IF(K53&gt;INDEX('Pace of change parameters'!$E$19:$I$19,1,$B$5),0,(K53-INDEX('Pace of change parameters'!$E$19:$I$19,1,$B$5))/(INDEX('Pace of change parameters'!$E$18:$I$18,1,$B$5)-INDEX('Pace of change parameters'!$E$19:$I$19,1,$B$5))))</f>
        <v>0</v>
      </c>
      <c r="Q53" s="57">
        <v>1.7716233197682563E-2</v>
      </c>
      <c r="R53" s="57">
        <v>1.2019795091496865E-2</v>
      </c>
      <c r="S53" s="9">
        <f>MAX(IF(INDEX('Pace of change parameters'!$E$31:$I$31,1,$B$5)=1,D53*(1+Q53),D53),L53)</f>
        <v>602046</v>
      </c>
      <c r="T53" s="103">
        <f>IF(Q53&lt;INDEX('Pace of change parameters'!$E$24:$I$24,1,$B$5),INDEX('Pace of change parameters'!$E$24:$I$24,1,$B$5),Q53)</f>
        <v>1.9732353921844841E-2</v>
      </c>
      <c r="U53" s="132">
        <v>1.4024631032587775E-2</v>
      </c>
      <c r="V53" s="117">
        <f t="shared" si="9"/>
        <v>602046</v>
      </c>
      <c r="W53" s="131">
        <f>IF(J53&gt;INDEX('Pace of change parameters'!$E$26:$I$26,1,$B$5),0,IF(J53&lt;INDEX('Pace of change parameters'!$E$25:$I$25,1,$B$5),1,(J53-INDEX('Pace of change parameters'!$E$26:$I$26,1,$B$5))/(INDEX('Pace of change parameters'!$E$25:$I$25,1,$B$5)-INDEX('Pace of change parameters'!$E$26:$I$26,1,$B$5))))</f>
        <v>1</v>
      </c>
      <c r="X53" s="132">
        <f>MIN(T53, T53+(INDEX('Pace of change parameters'!$E$27:$I$27,1,$B$5)-T53)*(1-W53))</f>
        <v>1.9732353921844841E-2</v>
      </c>
      <c r="Y53" s="132">
        <v>1.4024631032587775E-2</v>
      </c>
      <c r="Z53" s="108">
        <f t="shared" si="10"/>
        <v>602046</v>
      </c>
      <c r="AA53" s="97">
        <f>MIN(VLOOKUP(A53,'2017-18 disagg'!$A$12:$BC$220,54,FALSE),-2.5%)</f>
        <v>-2.5000000000000001E-2</v>
      </c>
      <c r="AB53" s="99">
        <f t="shared" si="2"/>
        <v>585073.00694409932</v>
      </c>
      <c r="AC53" s="99">
        <f>MAX(IF(INDEX('Pace of change parameters'!$E$29:$I$29,1,$B$5)=1,MAX(AB53,Z53),Z53),L53)</f>
        <v>602046</v>
      </c>
      <c r="AD53" s="97">
        <f t="shared" si="3"/>
        <v>2.3250833664759663E-2</v>
      </c>
      <c r="AE53" s="146">
        <v>1.7523416875150355E-2</v>
      </c>
      <c r="AF53" s="56">
        <f t="shared" si="11"/>
        <v>602046</v>
      </c>
      <c r="AG53" s="56">
        <v>1830.1495564003537</v>
      </c>
      <c r="AH53" s="16">
        <f t="shared" si="4"/>
        <v>2.3250833664759663E-2</v>
      </c>
      <c r="AI53" s="16">
        <f t="shared" si="5"/>
        <v>1.7523416875150355E-2</v>
      </c>
      <c r="AJ53" s="56"/>
      <c r="AK53" s="56">
        <v>600074.87891702494</v>
      </c>
      <c r="AL53" s="56">
        <v>1824.1575784192391</v>
      </c>
      <c r="AM53" s="16">
        <f t="shared" si="12"/>
        <v>3.2847918688621025E-3</v>
      </c>
      <c r="AN53" s="58">
        <f t="shared" si="12"/>
        <v>3.2847918688621025E-3</v>
      </c>
      <c r="AP53" s="56">
        <f t="shared" si="6"/>
        <v>1</v>
      </c>
      <c r="AQ53" s="56">
        <f t="shared" si="7"/>
        <v>0</v>
      </c>
    </row>
    <row r="54" spans="1:43" x14ac:dyDescent="0.2">
      <c r="A54" s="156" t="s">
        <v>153</v>
      </c>
      <c r="B54" s="156" t="s">
        <v>154</v>
      </c>
      <c r="D54" s="68">
        <f>VLOOKUP(A54,'2017-18 disagg'!A54:AZ262,43,FALSE)</f>
        <v>632950</v>
      </c>
      <c r="E54" s="73">
        <v>1885.3725254619887</v>
      </c>
      <c r="F54" s="55"/>
      <c r="G54" s="88">
        <v>633690.44966576691</v>
      </c>
      <c r="H54" s="81">
        <v>1883.8605230398816</v>
      </c>
      <c r="I54" s="90"/>
      <c r="J54" s="103">
        <f t="shared" si="8"/>
        <v>-1.1684721872602388E-3</v>
      </c>
      <c r="K54" s="126">
        <f t="shared" si="8"/>
        <v>8.0260847531699042E-4</v>
      </c>
      <c r="L54" s="56">
        <v>647256</v>
      </c>
      <c r="M54" s="103">
        <v>1.4016901302810414E-2</v>
      </c>
      <c r="N54" s="97">
        <f>INDEX('Pace of change parameters'!$E$22:$I$22,1,$B$5)</f>
        <v>1.2019795091496865E-2</v>
      </c>
      <c r="O54" s="108">
        <f>MAX(IF(INDEX('Pace of change parameters'!$E$30:$I$30,1,$B$5)=1,(1+M54)*D54,D54),L54)</f>
        <v>647256</v>
      </c>
      <c r="P54" s="94">
        <f>IF(K54&lt;INDEX('Pace of change parameters'!$E$18:$I$18,1,$B$5),1,IF(K54&gt;INDEX('Pace of change parameters'!$E$19:$I$19,1,$B$5),0,(K54-INDEX('Pace of change parameters'!$E$19:$I$19,1,$B$5))/(INDEX('Pace of change parameters'!$E$18:$I$18,1,$B$5)-INDEX('Pace of change parameters'!$E$19:$I$19,1,$B$5))))</f>
        <v>0.1797386585524445</v>
      </c>
      <c r="Q54" s="57">
        <v>1.6354549919576522E-2</v>
      </c>
      <c r="R54" s="57">
        <v>1.4352839709486975E-2</v>
      </c>
      <c r="S54" s="9">
        <f>MAX(IF(INDEX('Pace of change parameters'!$E$31:$I$31,1,$B$5)=1,D54*(1+Q54),D54),L54)</f>
        <v>647256</v>
      </c>
      <c r="T54" s="103">
        <f>IF(Q54&lt;INDEX('Pace of change parameters'!$E$24:$I$24,1,$B$5),INDEX('Pace of change parameters'!$E$24:$I$24,1,$B$5),Q54)</f>
        <v>1.9732353921844841E-2</v>
      </c>
      <c r="U54" s="132">
        <v>1.7723991127025274E-2</v>
      </c>
      <c r="V54" s="117">
        <f t="shared" si="9"/>
        <v>647256</v>
      </c>
      <c r="W54" s="131">
        <f>IF(J54&gt;INDEX('Pace of change parameters'!$E$26:$I$26,1,$B$5),0,IF(J54&lt;INDEX('Pace of change parameters'!$E$25:$I$25,1,$B$5),1,(J54-INDEX('Pace of change parameters'!$E$26:$I$26,1,$B$5))/(INDEX('Pace of change parameters'!$E$25:$I$25,1,$B$5)-INDEX('Pace of change parameters'!$E$26:$I$26,1,$B$5))))</f>
        <v>1</v>
      </c>
      <c r="X54" s="132">
        <f>MIN(T54, T54+(INDEX('Pace of change parameters'!$E$27:$I$27,1,$B$5)-T54)*(1-W54))</f>
        <v>1.9732353921844841E-2</v>
      </c>
      <c r="Y54" s="132">
        <v>1.7723991127025274E-2</v>
      </c>
      <c r="Z54" s="108">
        <f t="shared" si="10"/>
        <v>647256</v>
      </c>
      <c r="AA54" s="97">
        <f>MIN(VLOOKUP(A54,'2017-18 disagg'!$A$12:$BC$220,54,FALSE),-2.5%)</f>
        <v>-2.5000000000000001E-2</v>
      </c>
      <c r="AB54" s="99">
        <f t="shared" si="2"/>
        <v>633128.04467288114</v>
      </c>
      <c r="AC54" s="99">
        <f>MAX(IF(INDEX('Pace of change parameters'!$E$29:$I$29,1,$B$5)=1,MAX(AB54,Z54),Z54),L54)</f>
        <v>647256</v>
      </c>
      <c r="AD54" s="97">
        <f t="shared" si="3"/>
        <v>2.2602101271822495E-2</v>
      </c>
      <c r="AE54" s="146">
        <v>2.0588086509811809E-2</v>
      </c>
      <c r="AF54" s="56">
        <f t="shared" si="11"/>
        <v>647256</v>
      </c>
      <c r="AG54" s="56">
        <v>1924.1887381194226</v>
      </c>
      <c r="AH54" s="16">
        <f t="shared" si="4"/>
        <v>2.2602101271822495E-2</v>
      </c>
      <c r="AI54" s="16">
        <f t="shared" si="5"/>
        <v>2.0588086509811809E-2</v>
      </c>
      <c r="AJ54" s="56"/>
      <c r="AK54" s="56">
        <v>649362.09710039094</v>
      </c>
      <c r="AL54" s="56">
        <v>1930.449828510177</v>
      </c>
      <c r="AM54" s="16">
        <f t="shared" si="12"/>
        <v>-3.243332356162032E-3</v>
      </c>
      <c r="AN54" s="58">
        <f t="shared" si="12"/>
        <v>-3.2433323561619209E-3</v>
      </c>
      <c r="AP54" s="56">
        <f t="shared" si="6"/>
        <v>1</v>
      </c>
      <c r="AQ54" s="56">
        <f t="shared" si="7"/>
        <v>0</v>
      </c>
    </row>
    <row r="55" spans="1:43" x14ac:dyDescent="0.2">
      <c r="A55" s="156" t="s">
        <v>155</v>
      </c>
      <c r="B55" s="156" t="s">
        <v>156</v>
      </c>
      <c r="D55" s="68">
        <f>VLOOKUP(A55,'2017-18 disagg'!A55:AZ263,43,FALSE)</f>
        <v>258969</v>
      </c>
      <c r="E55" s="73">
        <v>1619.1316439688048</v>
      </c>
      <c r="F55" s="55"/>
      <c r="G55" s="88">
        <v>263108.84785872116</v>
      </c>
      <c r="H55" s="81">
        <v>1635.8499751913878</v>
      </c>
      <c r="I55" s="90"/>
      <c r="J55" s="103">
        <f t="shared" si="8"/>
        <v>-1.5734354402798689E-2</v>
      </c>
      <c r="K55" s="126">
        <f t="shared" si="8"/>
        <v>-1.0219966058089724E-2</v>
      </c>
      <c r="L55" s="56">
        <v>265263</v>
      </c>
      <c r="M55" s="103">
        <v>1.7689677188500452E-2</v>
      </c>
      <c r="N55" s="97">
        <f>INDEX('Pace of change parameters'!$E$22:$I$22,1,$B$5)</f>
        <v>1.2019795091496865E-2</v>
      </c>
      <c r="O55" s="108">
        <f>MAX(IF(INDEX('Pace of change parameters'!$E$30:$I$30,1,$B$5)=1,(1+M55)*D55,D55),L55)</f>
        <v>265263</v>
      </c>
      <c r="P55" s="94">
        <f>IF(K55&lt;INDEX('Pace of change parameters'!$E$18:$I$18,1,$B$5),1,IF(K55&gt;INDEX('Pace of change parameters'!$E$19:$I$19,1,$B$5),0,(K55-INDEX('Pace of change parameters'!$E$19:$I$19,1,$B$5))/(INDEX('Pace of change parameters'!$E$18:$I$18,1,$B$5)-INDEX('Pace of change parameters'!$E$19:$I$19,1,$B$5))))</f>
        <v>0.41891241236579269</v>
      </c>
      <c r="Q55" s="57">
        <v>2.3157710341113358E-2</v>
      </c>
      <c r="R55" s="57">
        <v>1.7457364042720247E-2</v>
      </c>
      <c r="S55" s="9">
        <f>MAX(IF(INDEX('Pace of change parameters'!$E$31:$I$31,1,$B$5)=1,D55*(1+Q55),D55),L55)</f>
        <v>265263</v>
      </c>
      <c r="T55" s="103">
        <f>IF(Q55&lt;INDEX('Pace of change parameters'!$E$24:$I$24,1,$B$5),INDEX('Pace of change parameters'!$E$24:$I$24,1,$B$5),Q55)</f>
        <v>2.3157710341113358E-2</v>
      </c>
      <c r="U55" s="132">
        <v>1.7457364042720247E-2</v>
      </c>
      <c r="V55" s="117">
        <f t="shared" si="9"/>
        <v>265263</v>
      </c>
      <c r="W55" s="131">
        <f>IF(J55&gt;INDEX('Pace of change parameters'!$E$26:$I$26,1,$B$5),0,IF(J55&lt;INDEX('Pace of change parameters'!$E$25:$I$25,1,$B$5),1,(J55-INDEX('Pace of change parameters'!$E$26:$I$26,1,$B$5))/(INDEX('Pace of change parameters'!$E$25:$I$25,1,$B$5)-INDEX('Pace of change parameters'!$E$26:$I$26,1,$B$5))))</f>
        <v>1</v>
      </c>
      <c r="X55" s="132">
        <f>MIN(T55, T55+(INDEX('Pace of change parameters'!$E$27:$I$27,1,$B$5)-T55)*(1-W55))</f>
        <v>2.3157710341113358E-2</v>
      </c>
      <c r="Y55" s="132">
        <v>1.7457364042720247E-2</v>
      </c>
      <c r="Z55" s="108">
        <f t="shared" si="10"/>
        <v>265263</v>
      </c>
      <c r="AA55" s="97">
        <f>MIN(VLOOKUP(A55,'2017-18 disagg'!$A$12:$BC$220,54,FALSE),-2.5%)</f>
        <v>-2.5000000000000001E-2</v>
      </c>
      <c r="AB55" s="99">
        <f t="shared" si="2"/>
        <v>262882.11076034844</v>
      </c>
      <c r="AC55" s="99">
        <f>MAX(IF(INDEX('Pace of change parameters'!$E$29:$I$29,1,$B$5)=1,MAX(AB55,Z55),Z55),L55)</f>
        <v>265263</v>
      </c>
      <c r="AD55" s="97">
        <f t="shared" si="3"/>
        <v>2.4304067282184372E-2</v>
      </c>
      <c r="AE55" s="146">
        <v>1.8597334254277786E-2</v>
      </c>
      <c r="AF55" s="56">
        <f t="shared" si="11"/>
        <v>265263</v>
      </c>
      <c r="AG55" s="56">
        <v>1649.2431763533707</v>
      </c>
      <c r="AH55" s="16">
        <f t="shared" si="4"/>
        <v>2.4304067282184372E-2</v>
      </c>
      <c r="AI55" s="16">
        <f t="shared" si="5"/>
        <v>1.8597334254277564E-2</v>
      </c>
      <c r="AJ55" s="56"/>
      <c r="AK55" s="56">
        <v>269622.6777029215</v>
      </c>
      <c r="AL55" s="56">
        <v>1676.3489872001276</v>
      </c>
      <c r="AM55" s="16">
        <f t="shared" si="12"/>
        <v>-1.6169551241253965E-2</v>
      </c>
      <c r="AN55" s="58">
        <f t="shared" si="12"/>
        <v>-1.6169551241254077E-2</v>
      </c>
      <c r="AP55" s="56">
        <f t="shared" si="6"/>
        <v>1</v>
      </c>
      <c r="AQ55" s="56">
        <f t="shared" si="7"/>
        <v>0</v>
      </c>
    </row>
    <row r="56" spans="1:43" x14ac:dyDescent="0.2">
      <c r="A56" s="156" t="s">
        <v>157</v>
      </c>
      <c r="B56" s="156" t="s">
        <v>158</v>
      </c>
      <c r="D56" s="68">
        <f>VLOOKUP(A56,'2017-18 disagg'!A56:AZ264,43,FALSE)</f>
        <v>473532</v>
      </c>
      <c r="E56" s="73">
        <v>1829.5368202820594</v>
      </c>
      <c r="F56" s="55"/>
      <c r="G56" s="88">
        <v>450408.39005226997</v>
      </c>
      <c r="H56" s="81">
        <v>1729.389639642211</v>
      </c>
      <c r="I56" s="90"/>
      <c r="J56" s="103">
        <f t="shared" si="8"/>
        <v>5.133920783546353E-2</v>
      </c>
      <c r="K56" s="126">
        <f t="shared" si="8"/>
        <v>5.7908974556229786E-2</v>
      </c>
      <c r="L56" s="56">
        <v>483514</v>
      </c>
      <c r="M56" s="103">
        <v>1.8343856746381171E-2</v>
      </c>
      <c r="N56" s="97">
        <f>INDEX('Pace of change parameters'!$E$22:$I$22,1,$B$5)</f>
        <v>1.2019795091496865E-2</v>
      </c>
      <c r="O56" s="108">
        <f>MAX(IF(INDEX('Pace of change parameters'!$E$30:$I$30,1,$B$5)=1,(1+M56)*D56,D56),L56)</f>
        <v>483514</v>
      </c>
      <c r="P56" s="94">
        <f>IF(K56&lt;INDEX('Pace of change parameters'!$E$18:$I$18,1,$B$5),1,IF(K56&gt;INDEX('Pace of change parameters'!$E$19:$I$19,1,$B$5),0,(K56-INDEX('Pace of change parameters'!$E$19:$I$19,1,$B$5))/(INDEX('Pace of change parameters'!$E$18:$I$18,1,$B$5)-INDEX('Pace of change parameters'!$E$19:$I$19,1,$B$5))))</f>
        <v>0</v>
      </c>
      <c r="Q56" s="57">
        <v>1.8343856746381171E-2</v>
      </c>
      <c r="R56" s="57">
        <v>1.2019795091496865E-2</v>
      </c>
      <c r="S56" s="9">
        <f>MAX(IF(INDEX('Pace of change parameters'!$E$31:$I$31,1,$B$5)=1,D56*(1+Q56),D56),L56)</f>
        <v>483514</v>
      </c>
      <c r="T56" s="103">
        <f>IF(Q56&lt;INDEX('Pace of change parameters'!$E$24:$I$24,1,$B$5),INDEX('Pace of change parameters'!$E$24:$I$24,1,$B$5),Q56)</f>
        <v>1.9732353921844841E-2</v>
      </c>
      <c r="U56" s="132">
        <v>1.3399669500016698E-2</v>
      </c>
      <c r="V56" s="117">
        <f t="shared" si="9"/>
        <v>483514</v>
      </c>
      <c r="W56" s="131">
        <f>IF(J56&gt;INDEX('Pace of change parameters'!$E$26:$I$26,1,$B$5),0,IF(J56&lt;INDEX('Pace of change parameters'!$E$25:$I$25,1,$B$5),1,(J56-INDEX('Pace of change parameters'!$E$26:$I$26,1,$B$5))/(INDEX('Pace of change parameters'!$E$25:$I$25,1,$B$5)-INDEX('Pace of change parameters'!$E$26:$I$26,1,$B$5))))</f>
        <v>0.97321584329072952</v>
      </c>
      <c r="X56" s="132">
        <f>MIN(T56, T56+(INDEX('Pace of change parameters'!$E$27:$I$27,1,$B$5)-T56)*(1-W56))</f>
        <v>1.921541969735592E-2</v>
      </c>
      <c r="Y56" s="132">
        <v>1.2885945511329489E-2</v>
      </c>
      <c r="Z56" s="108">
        <f t="shared" si="10"/>
        <v>483514</v>
      </c>
      <c r="AA56" s="97">
        <f>MIN(VLOOKUP(A56,'2017-18 disagg'!$A$12:$BC$220,54,FALSE),-2.5%)</f>
        <v>-2.5000000000000001E-2</v>
      </c>
      <c r="AB56" s="99">
        <f t="shared" si="2"/>
        <v>450104.50383387099</v>
      </c>
      <c r="AC56" s="99">
        <f>MAX(IF(INDEX('Pace of change parameters'!$E$29:$I$29,1,$B$5)=1,MAX(AB56,Z56),Z56),L56)</f>
        <v>483514</v>
      </c>
      <c r="AD56" s="97">
        <f t="shared" si="3"/>
        <v>2.1079884780754066E-2</v>
      </c>
      <c r="AE56" s="146">
        <v>1.4738831998693636E-2</v>
      </c>
      <c r="AF56" s="56">
        <f t="shared" si="11"/>
        <v>483514</v>
      </c>
      <c r="AG56" s="56">
        <v>1856.5020561116205</v>
      </c>
      <c r="AH56" s="16">
        <f t="shared" si="4"/>
        <v>2.1079884780754066E-2</v>
      </c>
      <c r="AI56" s="16">
        <f t="shared" si="5"/>
        <v>1.4738831998693414E-2</v>
      </c>
      <c r="AJ56" s="56"/>
      <c r="AK56" s="56">
        <v>461645.6449578164</v>
      </c>
      <c r="AL56" s="56">
        <v>1772.5362431266963</v>
      </c>
      <c r="AM56" s="16">
        <f t="shared" si="12"/>
        <v>4.7370435053452953E-2</v>
      </c>
      <c r="AN56" s="58">
        <f t="shared" si="12"/>
        <v>4.7370435053452731E-2</v>
      </c>
      <c r="AP56" s="56">
        <f t="shared" si="6"/>
        <v>1</v>
      </c>
      <c r="AQ56" s="56">
        <f t="shared" si="7"/>
        <v>0</v>
      </c>
    </row>
    <row r="57" spans="1:43" x14ac:dyDescent="0.2">
      <c r="A57" s="156" t="s">
        <v>159</v>
      </c>
      <c r="B57" s="156" t="s">
        <v>160</v>
      </c>
      <c r="D57" s="68">
        <f>VLOOKUP(A57,'2017-18 disagg'!A57:AZ265,43,FALSE)</f>
        <v>200548</v>
      </c>
      <c r="E57" s="73">
        <v>1741.8031549254429</v>
      </c>
      <c r="F57" s="55"/>
      <c r="G57" s="88">
        <v>195995.14828313378</v>
      </c>
      <c r="H57" s="81">
        <v>1695.4676026468478</v>
      </c>
      <c r="I57" s="90"/>
      <c r="J57" s="103">
        <f t="shared" si="8"/>
        <v>2.3229410302999964E-2</v>
      </c>
      <c r="K57" s="126">
        <f t="shared" si="8"/>
        <v>2.7329069695144481E-2</v>
      </c>
      <c r="L57" s="56">
        <v>204970</v>
      </c>
      <c r="M57" s="103">
        <v>1.6074542166011119E-2</v>
      </c>
      <c r="N57" s="97">
        <f>INDEX('Pace of change parameters'!$E$22:$I$22,1,$B$5)</f>
        <v>1.2019795091496865E-2</v>
      </c>
      <c r="O57" s="108">
        <f>MAX(IF(INDEX('Pace of change parameters'!$E$30:$I$30,1,$B$5)=1,(1+M57)*D57,D57),L57)</f>
        <v>204970</v>
      </c>
      <c r="P57" s="94">
        <f>IF(K57&lt;INDEX('Pace of change parameters'!$E$18:$I$18,1,$B$5),1,IF(K57&gt;INDEX('Pace of change parameters'!$E$19:$I$19,1,$B$5),0,(K57-INDEX('Pace of change parameters'!$E$19:$I$19,1,$B$5))/(INDEX('Pace of change parameters'!$E$18:$I$18,1,$B$5)-INDEX('Pace of change parameters'!$E$19:$I$19,1,$B$5))))</f>
        <v>0</v>
      </c>
      <c r="Q57" s="57">
        <v>1.6074542166011119E-2</v>
      </c>
      <c r="R57" s="57">
        <v>1.2019795091496865E-2</v>
      </c>
      <c r="S57" s="9">
        <f>MAX(IF(INDEX('Pace of change parameters'!$E$31:$I$31,1,$B$5)=1,D57*(1+Q57),D57),L57)</f>
        <v>204970</v>
      </c>
      <c r="T57" s="103">
        <f>IF(Q57&lt;INDEX('Pace of change parameters'!$E$24:$I$24,1,$B$5),INDEX('Pace of change parameters'!$E$24:$I$24,1,$B$5),Q57)</f>
        <v>1.9732353921844841E-2</v>
      </c>
      <c r="U57" s="132">
        <v>1.5663009983714282E-2</v>
      </c>
      <c r="V57" s="117">
        <f t="shared" si="9"/>
        <v>204970</v>
      </c>
      <c r="W57" s="131">
        <f>IF(J57&gt;INDEX('Pace of change parameters'!$E$26:$I$26,1,$B$5),0,IF(J57&lt;INDEX('Pace of change parameters'!$E$25:$I$25,1,$B$5),1,(J57-INDEX('Pace of change parameters'!$E$26:$I$26,1,$B$5))/(INDEX('Pace of change parameters'!$E$25:$I$25,1,$B$5)-INDEX('Pace of change parameters'!$E$26:$I$26,1,$B$5))))</f>
        <v>1</v>
      </c>
      <c r="X57" s="132">
        <f>MIN(T57, T57+(INDEX('Pace of change parameters'!$E$27:$I$27,1,$B$5)-T57)*(1-W57))</f>
        <v>1.9732353921844841E-2</v>
      </c>
      <c r="Y57" s="132">
        <v>1.5663009983714282E-2</v>
      </c>
      <c r="Z57" s="108">
        <f t="shared" si="10"/>
        <v>204970</v>
      </c>
      <c r="AA57" s="97">
        <f>MIN(VLOOKUP(A57,'2017-18 disagg'!$A$12:$BC$220,54,FALSE),-2.5%)</f>
        <v>-2.5000000000000001E-2</v>
      </c>
      <c r="AB57" s="99">
        <f t="shared" si="2"/>
        <v>195883.72419038974</v>
      </c>
      <c r="AC57" s="99">
        <f>MAX(IF(INDEX('Pace of change parameters'!$E$29:$I$29,1,$B$5)=1,MAX(AB57,Z57),Z57),L57)</f>
        <v>204970</v>
      </c>
      <c r="AD57" s="97">
        <f t="shared" si="3"/>
        <v>2.2049584139457901E-2</v>
      </c>
      <c r="AE57" s="146">
        <v>1.7970993062405904E-2</v>
      </c>
      <c r="AF57" s="56">
        <f t="shared" si="11"/>
        <v>204970</v>
      </c>
      <c r="AG57" s="56">
        <v>1773.1050873386848</v>
      </c>
      <c r="AH57" s="16">
        <f t="shared" si="4"/>
        <v>2.2049584139457901E-2</v>
      </c>
      <c r="AI57" s="16">
        <f t="shared" si="5"/>
        <v>1.7970993062405904E-2</v>
      </c>
      <c r="AJ57" s="56"/>
      <c r="AK57" s="56">
        <v>200906.38378501512</v>
      </c>
      <c r="AL57" s="56">
        <v>1737.9525353370177</v>
      </c>
      <c r="AM57" s="16">
        <f t="shared" si="12"/>
        <v>2.022641659477209E-2</v>
      </c>
      <c r="AN57" s="58">
        <f t="shared" si="12"/>
        <v>2.0226416594772312E-2</v>
      </c>
      <c r="AP57" s="56">
        <f t="shared" si="6"/>
        <v>1</v>
      </c>
      <c r="AQ57" s="56">
        <f t="shared" si="7"/>
        <v>0</v>
      </c>
    </row>
    <row r="58" spans="1:43" x14ac:dyDescent="0.2">
      <c r="A58" s="156" t="s">
        <v>161</v>
      </c>
      <c r="B58" s="156" t="s">
        <v>162</v>
      </c>
      <c r="D58" s="68">
        <f>VLOOKUP(A58,'2017-18 disagg'!A58:AZ266,43,FALSE)</f>
        <v>179793</v>
      </c>
      <c r="E58" s="73">
        <v>1447.5567709128304</v>
      </c>
      <c r="F58" s="55"/>
      <c r="G58" s="88">
        <v>186018.38653018352</v>
      </c>
      <c r="H58" s="81">
        <v>1489.8698346769349</v>
      </c>
      <c r="I58" s="90"/>
      <c r="J58" s="103">
        <f t="shared" si="8"/>
        <v>-3.3466511812655586E-2</v>
      </c>
      <c r="K58" s="126">
        <f t="shared" si="8"/>
        <v>-2.8400510419945291E-2</v>
      </c>
      <c r="L58" s="56">
        <v>183988</v>
      </c>
      <c r="M58" s="103">
        <v>1.7324209014079939E-2</v>
      </c>
      <c r="N58" s="97">
        <f>INDEX('Pace of change parameters'!$E$22:$I$22,1,$B$5)</f>
        <v>1.2019795091496865E-2</v>
      </c>
      <c r="O58" s="108">
        <f>MAX(IF(INDEX('Pace of change parameters'!$E$30:$I$30,1,$B$5)=1,(1+M58)*D58,D58),L58)</f>
        <v>183988</v>
      </c>
      <c r="P58" s="94">
        <f>IF(K58&lt;INDEX('Pace of change parameters'!$E$18:$I$18,1,$B$5),1,IF(K58&gt;INDEX('Pace of change parameters'!$E$19:$I$19,1,$B$5),0,(K58-INDEX('Pace of change parameters'!$E$19:$I$19,1,$B$5))/(INDEX('Pace of change parameters'!$E$18:$I$18,1,$B$5)-INDEX('Pace of change parameters'!$E$19:$I$19,1,$B$5))))</f>
        <v>0.81340364744126825</v>
      </c>
      <c r="Q58" s="57">
        <v>2.7937694637196753E-2</v>
      </c>
      <c r="R58" s="57">
        <v>2.2577941108608446E-2</v>
      </c>
      <c r="S58" s="9">
        <f>MAX(IF(INDEX('Pace of change parameters'!$E$31:$I$31,1,$B$5)=1,D58*(1+Q58),D58),L58)</f>
        <v>184816.00193190551</v>
      </c>
      <c r="T58" s="103">
        <f>IF(Q58&lt;INDEX('Pace of change parameters'!$E$24:$I$24,1,$B$5),INDEX('Pace of change parameters'!$E$24:$I$24,1,$B$5),Q58)</f>
        <v>2.7937694637196753E-2</v>
      </c>
      <c r="U58" s="132">
        <v>2.2577941108608446E-2</v>
      </c>
      <c r="V58" s="117">
        <f t="shared" si="9"/>
        <v>184816.00193190551</v>
      </c>
      <c r="W58" s="131">
        <f>IF(J58&gt;INDEX('Pace of change parameters'!$E$26:$I$26,1,$B$5),0,IF(J58&lt;INDEX('Pace of change parameters'!$E$25:$I$25,1,$B$5),1,(J58-INDEX('Pace of change parameters'!$E$26:$I$26,1,$B$5))/(INDEX('Pace of change parameters'!$E$25:$I$25,1,$B$5)-INDEX('Pace of change parameters'!$E$26:$I$26,1,$B$5))))</f>
        <v>1</v>
      </c>
      <c r="X58" s="132">
        <f>MIN(T58, T58+(INDEX('Pace of change parameters'!$E$27:$I$27,1,$B$5)-T58)*(1-W58))</f>
        <v>2.7937694637196753E-2</v>
      </c>
      <c r="Y58" s="132">
        <v>2.2577941108608446E-2</v>
      </c>
      <c r="Z58" s="108">
        <f t="shared" si="10"/>
        <v>184816.00193190551</v>
      </c>
      <c r="AA58" s="97">
        <f>MIN(VLOOKUP(A58,'2017-18 disagg'!$A$12:$BC$220,54,FALSE),-2.5%)</f>
        <v>-3.525322824952859E-2</v>
      </c>
      <c r="AB58" s="99">
        <f t="shared" si="2"/>
        <v>184043.93879161924</v>
      </c>
      <c r="AC58" s="99">
        <f>MAX(IF(INDEX('Pace of change parameters'!$E$29:$I$29,1,$B$5)=1,MAX(AB58,Z58),Z58),L58)</f>
        <v>184816.00193190551</v>
      </c>
      <c r="AD58" s="97">
        <f t="shared" si="3"/>
        <v>2.7937694637196753E-2</v>
      </c>
      <c r="AE58" s="146">
        <v>2.2577941108608446E-2</v>
      </c>
      <c r="AF58" s="56">
        <f t="shared" si="11"/>
        <v>184816.00193190551</v>
      </c>
      <c r="AG58" s="56">
        <v>1480.2396224378674</v>
      </c>
      <c r="AH58" s="16">
        <f t="shared" si="4"/>
        <v>2.7937694637196753E-2</v>
      </c>
      <c r="AI58" s="16">
        <f t="shared" si="5"/>
        <v>2.2577941108608224E-2</v>
      </c>
      <c r="AJ58" s="56"/>
      <c r="AK58" s="56">
        <v>190769.1678073027</v>
      </c>
      <c r="AL58" s="56">
        <v>1527.9200825473483</v>
      </c>
      <c r="AM58" s="16">
        <f t="shared" si="12"/>
        <v>-3.120612174295645E-2</v>
      </c>
      <c r="AN58" s="58">
        <f t="shared" si="12"/>
        <v>-3.1206121742956672E-2</v>
      </c>
      <c r="AP58" s="56">
        <f t="shared" si="6"/>
        <v>0</v>
      </c>
      <c r="AQ58" s="56">
        <f t="shared" si="7"/>
        <v>0</v>
      </c>
    </row>
    <row r="59" spans="1:43" x14ac:dyDescent="0.2">
      <c r="A59" s="156" t="s">
        <v>163</v>
      </c>
      <c r="B59" s="156" t="s">
        <v>164</v>
      </c>
      <c r="D59" s="68">
        <f>VLOOKUP(A59,'2017-18 disagg'!A59:AZ267,43,FALSE)</f>
        <v>564087</v>
      </c>
      <c r="E59" s="73">
        <v>1640.5036991968668</v>
      </c>
      <c r="F59" s="55"/>
      <c r="G59" s="88">
        <v>570045.58061460953</v>
      </c>
      <c r="H59" s="81">
        <v>1647.5322310408699</v>
      </c>
      <c r="I59" s="90"/>
      <c r="J59" s="103">
        <f t="shared" si="8"/>
        <v>-1.0452814331417426E-2</v>
      </c>
      <c r="K59" s="126">
        <f t="shared" si="8"/>
        <v>-4.2660967182187592E-3</v>
      </c>
      <c r="L59" s="56">
        <v>576728</v>
      </c>
      <c r="M59" s="103">
        <v>1.834701301690389E-2</v>
      </c>
      <c r="N59" s="97">
        <f>INDEX('Pace of change parameters'!$E$22:$I$22,1,$B$5)</f>
        <v>1.2019795091496865E-2</v>
      </c>
      <c r="O59" s="108">
        <f>MAX(IF(INDEX('Pace of change parameters'!$E$30:$I$30,1,$B$5)=1,(1+M59)*D59,D59),L59)</f>
        <v>576728</v>
      </c>
      <c r="P59" s="94">
        <f>IF(K59&lt;INDEX('Pace of change parameters'!$E$18:$I$18,1,$B$5),1,IF(K59&gt;INDEX('Pace of change parameters'!$E$19:$I$19,1,$B$5),0,(K59-INDEX('Pace of change parameters'!$E$19:$I$19,1,$B$5))/(INDEX('Pace of change parameters'!$E$18:$I$18,1,$B$5)-INDEX('Pace of change parameters'!$E$19:$I$19,1,$B$5))))</f>
        <v>0.28972215146845715</v>
      </c>
      <c r="Q59" s="57">
        <v>2.2131177772118926E-2</v>
      </c>
      <c r="R59" s="57">
        <v>1.5780447984089729E-2</v>
      </c>
      <c r="S59" s="9">
        <f>MAX(IF(INDEX('Pace of change parameters'!$E$31:$I$31,1,$B$5)=1,D59*(1+Q59),D59),L59)</f>
        <v>576728</v>
      </c>
      <c r="T59" s="103">
        <f>IF(Q59&lt;INDEX('Pace of change parameters'!$E$24:$I$24,1,$B$5),INDEX('Pace of change parameters'!$E$24:$I$24,1,$B$5),Q59)</f>
        <v>2.2131177772118926E-2</v>
      </c>
      <c r="U59" s="132">
        <v>1.5780447984089729E-2</v>
      </c>
      <c r="V59" s="117">
        <f t="shared" si="9"/>
        <v>576728</v>
      </c>
      <c r="W59" s="131">
        <f>IF(J59&gt;INDEX('Pace of change parameters'!$E$26:$I$26,1,$B$5),0,IF(J59&lt;INDEX('Pace of change parameters'!$E$25:$I$25,1,$B$5),1,(J59-INDEX('Pace of change parameters'!$E$26:$I$26,1,$B$5))/(INDEX('Pace of change parameters'!$E$25:$I$25,1,$B$5)-INDEX('Pace of change parameters'!$E$26:$I$26,1,$B$5))))</f>
        <v>1</v>
      </c>
      <c r="X59" s="132">
        <f>MIN(T59, T59+(INDEX('Pace of change parameters'!$E$27:$I$27,1,$B$5)-T59)*(1-W59))</f>
        <v>2.2131177772118926E-2</v>
      </c>
      <c r="Y59" s="132">
        <v>1.5780447984089729E-2</v>
      </c>
      <c r="Z59" s="108">
        <f t="shared" si="10"/>
        <v>576728</v>
      </c>
      <c r="AA59" s="97">
        <f>MIN(VLOOKUP(A59,'2017-18 disagg'!$A$12:$BC$220,54,FALSE),-2.5%)</f>
        <v>-2.5000000000000001E-2</v>
      </c>
      <c r="AB59" s="99">
        <f t="shared" si="2"/>
        <v>569606.30887665809</v>
      </c>
      <c r="AC59" s="99">
        <f>MAX(IF(INDEX('Pace of change parameters'!$E$29:$I$29,1,$B$5)=1,MAX(AB59,Z59),Z59),L59)</f>
        <v>576728</v>
      </c>
      <c r="AD59" s="97">
        <f t="shared" si="3"/>
        <v>2.2409663757541054E-2</v>
      </c>
      <c r="AE59" s="146">
        <v>1.605720367375163E-2</v>
      </c>
      <c r="AF59" s="56">
        <f t="shared" si="11"/>
        <v>576728</v>
      </c>
      <c r="AG59" s="56">
        <v>1666.845601222414</v>
      </c>
      <c r="AH59" s="16">
        <f t="shared" si="4"/>
        <v>2.2409663757541054E-2</v>
      </c>
      <c r="AI59" s="16">
        <f t="shared" si="5"/>
        <v>1.605720367375163E-2</v>
      </c>
      <c r="AJ59" s="56"/>
      <c r="AK59" s="56">
        <v>584211.59884785442</v>
      </c>
      <c r="AL59" s="56">
        <v>1688.4745213040801</v>
      </c>
      <c r="AM59" s="16">
        <f t="shared" si="12"/>
        <v>-1.2809740276661929E-2</v>
      </c>
      <c r="AN59" s="58">
        <f t="shared" si="12"/>
        <v>-1.2809740276661818E-2</v>
      </c>
      <c r="AP59" s="56">
        <f t="shared" si="6"/>
        <v>1</v>
      </c>
      <c r="AQ59" s="56">
        <f t="shared" si="7"/>
        <v>0</v>
      </c>
    </row>
    <row r="60" spans="1:43" x14ac:dyDescent="0.2">
      <c r="A60" s="156" t="s">
        <v>165</v>
      </c>
      <c r="B60" s="156" t="s">
        <v>166</v>
      </c>
      <c r="D60" s="68">
        <f>VLOOKUP(A60,'2017-18 disagg'!A60:AZ268,43,FALSE)</f>
        <v>352704</v>
      </c>
      <c r="E60" s="73">
        <v>1597.4946166265213</v>
      </c>
      <c r="F60" s="55"/>
      <c r="G60" s="88">
        <v>337363.81178841955</v>
      </c>
      <c r="H60" s="81">
        <v>1518.2258922713775</v>
      </c>
      <c r="I60" s="90"/>
      <c r="J60" s="103">
        <f t="shared" si="8"/>
        <v>4.547075790452948E-2</v>
      </c>
      <c r="K60" s="126">
        <f t="shared" si="8"/>
        <v>5.2211416468831207E-2</v>
      </c>
      <c r="L60" s="56">
        <v>359108</v>
      </c>
      <c r="M60" s="103">
        <v>1.8544779025719382E-2</v>
      </c>
      <c r="N60" s="97">
        <f>INDEX('Pace of change parameters'!$E$22:$I$22,1,$B$5)</f>
        <v>1.2019795091496865E-2</v>
      </c>
      <c r="O60" s="108">
        <f>MAX(IF(INDEX('Pace of change parameters'!$E$30:$I$30,1,$B$5)=1,(1+M60)*D60,D60),L60)</f>
        <v>359244.81774148735</v>
      </c>
      <c r="P60" s="94">
        <f>IF(K60&lt;INDEX('Pace of change parameters'!$E$18:$I$18,1,$B$5),1,IF(K60&gt;INDEX('Pace of change parameters'!$E$19:$I$19,1,$B$5),0,(K60-INDEX('Pace of change parameters'!$E$19:$I$19,1,$B$5))/(INDEX('Pace of change parameters'!$E$18:$I$18,1,$B$5)-INDEX('Pace of change parameters'!$E$19:$I$19,1,$B$5))))</f>
        <v>0</v>
      </c>
      <c r="Q60" s="57">
        <v>1.8544779025719382E-2</v>
      </c>
      <c r="R60" s="57">
        <v>1.2019795091496865E-2</v>
      </c>
      <c r="S60" s="9">
        <f>MAX(IF(INDEX('Pace of change parameters'!$E$31:$I$31,1,$B$5)=1,D60*(1+Q60),D60),L60)</f>
        <v>359244.81774148735</v>
      </c>
      <c r="T60" s="103">
        <f>IF(Q60&lt;INDEX('Pace of change parameters'!$E$24:$I$24,1,$B$5),INDEX('Pace of change parameters'!$E$24:$I$24,1,$B$5),Q60)</f>
        <v>1.9732353921844841E-2</v>
      </c>
      <c r="U60" s="132">
        <v>1.3199762165877482E-2</v>
      </c>
      <c r="V60" s="117">
        <f t="shared" si="9"/>
        <v>359663.68015765032</v>
      </c>
      <c r="W60" s="131">
        <f>IF(J60&gt;INDEX('Pace of change parameters'!$E$26:$I$26,1,$B$5),0,IF(J60&lt;INDEX('Pace of change parameters'!$E$25:$I$25,1,$B$5),1,(J60-INDEX('Pace of change parameters'!$E$26:$I$26,1,$B$5))/(INDEX('Pace of change parameters'!$E$25:$I$25,1,$B$5)-INDEX('Pace of change parameters'!$E$26:$I$26,1,$B$5))))</f>
        <v>1</v>
      </c>
      <c r="X60" s="132">
        <f>MIN(T60, T60+(INDEX('Pace of change parameters'!$E$27:$I$27,1,$B$5)-T60)*(1-W60))</f>
        <v>1.9732353921844841E-2</v>
      </c>
      <c r="Y60" s="132">
        <v>1.3199762165877482E-2</v>
      </c>
      <c r="Z60" s="108">
        <f t="shared" si="10"/>
        <v>359663.68015765032</v>
      </c>
      <c r="AA60" s="97">
        <f>MIN(VLOOKUP(A60,'2017-18 disagg'!$A$12:$BC$220,54,FALSE),-2.5%)</f>
        <v>-2.5000000000000001E-2</v>
      </c>
      <c r="AB60" s="99">
        <f t="shared" si="2"/>
        <v>337114.96659365465</v>
      </c>
      <c r="AC60" s="99">
        <f>MAX(IF(INDEX('Pace of change parameters'!$E$29:$I$29,1,$B$5)=1,MAX(AB60,Z60),Z60),L60)</f>
        <v>359663.68015765032</v>
      </c>
      <c r="AD60" s="97">
        <f t="shared" si="3"/>
        <v>1.9732353921844803E-2</v>
      </c>
      <c r="AE60" s="146">
        <v>1.3199762165877482E-2</v>
      </c>
      <c r="AF60" s="56">
        <f t="shared" si="11"/>
        <v>359663.68015765032</v>
      </c>
      <c r="AG60" s="56">
        <v>1618.5811656272606</v>
      </c>
      <c r="AH60" s="16">
        <f t="shared" si="4"/>
        <v>1.9732353921844803E-2</v>
      </c>
      <c r="AI60" s="16">
        <f t="shared" si="5"/>
        <v>1.319976216587726E-2</v>
      </c>
      <c r="AJ60" s="56"/>
      <c r="AK60" s="56">
        <v>345758.94009605609</v>
      </c>
      <c r="AL60" s="56">
        <v>1556.0061778865629</v>
      </c>
      <c r="AM60" s="16">
        <f t="shared" si="12"/>
        <v>4.0215128082389695E-2</v>
      </c>
      <c r="AN60" s="58">
        <f t="shared" si="12"/>
        <v>4.0215128082389695E-2</v>
      </c>
      <c r="AP60" s="56">
        <f t="shared" si="6"/>
        <v>0</v>
      </c>
      <c r="AQ60" s="56">
        <f t="shared" si="7"/>
        <v>0</v>
      </c>
    </row>
    <row r="61" spans="1:43" x14ac:dyDescent="0.2">
      <c r="A61" s="156" t="s">
        <v>167</v>
      </c>
      <c r="B61" s="156" t="s">
        <v>168</v>
      </c>
      <c r="D61" s="68">
        <f>VLOOKUP(A61,'2017-18 disagg'!A61:AZ269,43,FALSE)</f>
        <v>570930</v>
      </c>
      <c r="E61" s="73">
        <v>1810.1285056618858</v>
      </c>
      <c r="F61" s="55"/>
      <c r="G61" s="88">
        <v>540412.15729584859</v>
      </c>
      <c r="H61" s="81">
        <v>1709.2961988333639</v>
      </c>
      <c r="I61" s="90"/>
      <c r="J61" s="103">
        <f t="shared" si="8"/>
        <v>5.6471421473674344E-2</v>
      </c>
      <c r="K61" s="126">
        <f t="shared" si="8"/>
        <v>5.8990540608083286E-2</v>
      </c>
      <c r="L61" s="56">
        <v>582113</v>
      </c>
      <c r="M61" s="103">
        <v>1.4432920878335143E-2</v>
      </c>
      <c r="N61" s="97">
        <f>INDEX('Pace of change parameters'!$E$22:$I$22,1,$B$5)</f>
        <v>1.2019795091496865E-2</v>
      </c>
      <c r="O61" s="108">
        <f>MAX(IF(INDEX('Pace of change parameters'!$E$30:$I$30,1,$B$5)=1,(1+M61)*D61,D61),L61)</f>
        <v>582113</v>
      </c>
      <c r="P61" s="94">
        <f>IF(K61&lt;INDEX('Pace of change parameters'!$E$18:$I$18,1,$B$5),1,IF(K61&gt;INDEX('Pace of change parameters'!$E$19:$I$19,1,$B$5),0,(K61-INDEX('Pace of change parameters'!$E$19:$I$19,1,$B$5))/(INDEX('Pace of change parameters'!$E$18:$I$18,1,$B$5)-INDEX('Pace of change parameters'!$E$19:$I$19,1,$B$5))))</f>
        <v>0</v>
      </c>
      <c r="Q61" s="57">
        <v>1.4432920878335143E-2</v>
      </c>
      <c r="R61" s="57">
        <v>1.2019795091496865E-2</v>
      </c>
      <c r="S61" s="9">
        <f>MAX(IF(INDEX('Pace of change parameters'!$E$31:$I$31,1,$B$5)=1,D61*(1+Q61),D61),L61)</f>
        <v>582113</v>
      </c>
      <c r="T61" s="103">
        <f>IF(Q61&lt;INDEX('Pace of change parameters'!$E$24:$I$24,1,$B$5),INDEX('Pace of change parameters'!$E$24:$I$24,1,$B$5),Q61)</f>
        <v>1.9732353921844841E-2</v>
      </c>
      <c r="U61" s="132">
        <v>1.7306621881532758E-2</v>
      </c>
      <c r="V61" s="117">
        <f t="shared" si="9"/>
        <v>582195.79282459884</v>
      </c>
      <c r="W61" s="131">
        <f>IF(J61&gt;INDEX('Pace of change parameters'!$E$26:$I$26,1,$B$5),0,IF(J61&lt;INDEX('Pace of change parameters'!$E$25:$I$25,1,$B$5),1,(J61-INDEX('Pace of change parameters'!$E$26:$I$26,1,$B$5))/(INDEX('Pace of change parameters'!$E$25:$I$25,1,$B$5)-INDEX('Pace of change parameters'!$E$26:$I$26,1,$B$5))))</f>
        <v>0.87057157052651324</v>
      </c>
      <c r="X61" s="132">
        <f>MIN(T61, T61+(INDEX('Pace of change parameters'!$E$27:$I$27,1,$B$5)-T61)*(1-W61))</f>
        <v>1.7234385233006546E-2</v>
      </c>
      <c r="Y61" s="132">
        <v>1.4814595342770298E-2</v>
      </c>
      <c r="Z61" s="108">
        <f t="shared" si="10"/>
        <v>582113</v>
      </c>
      <c r="AA61" s="97">
        <f>MIN(VLOOKUP(A61,'2017-18 disagg'!$A$12:$BC$220,54,FALSE),-2.5%)</f>
        <v>-2.5000000000000001E-2</v>
      </c>
      <c r="AB61" s="99">
        <f t="shared" si="2"/>
        <v>540130.12432859465</v>
      </c>
      <c r="AC61" s="99">
        <f>MAX(IF(INDEX('Pace of change parameters'!$E$29:$I$29,1,$B$5)=1,MAX(AB61,Z61),Z61),L61)</f>
        <v>582113</v>
      </c>
      <c r="AD61" s="97">
        <f t="shared" si="3"/>
        <v>1.9587339954109995E-2</v>
      </c>
      <c r="AE61" s="146">
        <v>1.7161952871988628E-2</v>
      </c>
      <c r="AF61" s="56">
        <f t="shared" si="11"/>
        <v>582113</v>
      </c>
      <c r="AG61" s="56">
        <v>1841.1938457682979</v>
      </c>
      <c r="AH61" s="16">
        <f t="shared" si="4"/>
        <v>1.9587339954109995E-2</v>
      </c>
      <c r="AI61" s="16">
        <f t="shared" si="5"/>
        <v>1.7161952871988406E-2</v>
      </c>
      <c r="AJ61" s="56"/>
      <c r="AK61" s="56">
        <v>553979.61469599453</v>
      </c>
      <c r="AL61" s="56">
        <v>1752.2093773191082</v>
      </c>
      <c r="AM61" s="16">
        <f t="shared" si="12"/>
        <v>5.0784152625262369E-2</v>
      </c>
      <c r="AN61" s="58">
        <f t="shared" si="12"/>
        <v>5.0784152625262591E-2</v>
      </c>
      <c r="AP61" s="56">
        <f t="shared" si="6"/>
        <v>1</v>
      </c>
      <c r="AQ61" s="56">
        <f t="shared" si="7"/>
        <v>0</v>
      </c>
    </row>
    <row r="62" spans="1:43" x14ac:dyDescent="0.2">
      <c r="A62" s="156" t="s">
        <v>169</v>
      </c>
      <c r="B62" s="156" t="s">
        <v>170</v>
      </c>
      <c r="D62" s="68">
        <f>VLOOKUP(A62,'2017-18 disagg'!A62:AZ270,43,FALSE)</f>
        <v>492447</v>
      </c>
      <c r="E62" s="73">
        <v>1618.5058828948015</v>
      </c>
      <c r="F62" s="55"/>
      <c r="G62" s="88">
        <v>491292.29381884506</v>
      </c>
      <c r="H62" s="81">
        <v>1607.1110785293922</v>
      </c>
      <c r="I62" s="90"/>
      <c r="J62" s="103">
        <f t="shared" si="8"/>
        <v>2.3503445824060165E-3</v>
      </c>
      <c r="K62" s="126">
        <f t="shared" si="8"/>
        <v>7.0902406919104433E-3</v>
      </c>
      <c r="L62" s="56">
        <v>504302</v>
      </c>
      <c r="M62" s="103">
        <v>1.680541592299778E-2</v>
      </c>
      <c r="N62" s="97">
        <f>INDEX('Pace of change parameters'!$E$22:$I$22,1,$B$5)</f>
        <v>1.2019795091496865E-2</v>
      </c>
      <c r="O62" s="108">
        <f>MAX(IF(INDEX('Pace of change parameters'!$E$30:$I$30,1,$B$5)=1,(1+M62)*D62,D62),L62)</f>
        <v>504302</v>
      </c>
      <c r="P62" s="94">
        <f>IF(K62&lt;INDEX('Pace of change parameters'!$E$18:$I$18,1,$B$5),1,IF(K62&gt;INDEX('Pace of change parameters'!$E$19:$I$19,1,$B$5),0,(K62-INDEX('Pace of change parameters'!$E$19:$I$19,1,$B$5))/(INDEX('Pace of change parameters'!$E$18:$I$18,1,$B$5)-INDEX('Pace of change parameters'!$E$19:$I$19,1,$B$5))))</f>
        <v>4.3306231147881256E-2</v>
      </c>
      <c r="Q62" s="57">
        <v>1.7370197837714096E-2</v>
      </c>
      <c r="R62" s="57">
        <v>1.2581918845611328E-2</v>
      </c>
      <c r="S62" s="9">
        <f>MAX(IF(INDEX('Pace of change parameters'!$E$31:$I$31,1,$B$5)=1,D62*(1+Q62),D62),L62)</f>
        <v>504302</v>
      </c>
      <c r="T62" s="103">
        <f>IF(Q62&lt;INDEX('Pace of change parameters'!$E$24:$I$24,1,$B$5),INDEX('Pace of change parameters'!$E$24:$I$24,1,$B$5),Q62)</f>
        <v>1.9732353921844841E-2</v>
      </c>
      <c r="U62" s="132">
        <v>1.4932957381402545E-2</v>
      </c>
      <c r="V62" s="117">
        <f t="shared" si="9"/>
        <v>504302</v>
      </c>
      <c r="W62" s="131">
        <f>IF(J62&gt;INDEX('Pace of change parameters'!$E$26:$I$26,1,$B$5),0,IF(J62&lt;INDEX('Pace of change parameters'!$E$25:$I$25,1,$B$5),1,(J62-INDEX('Pace of change parameters'!$E$26:$I$26,1,$B$5))/(INDEX('Pace of change parameters'!$E$25:$I$25,1,$B$5)-INDEX('Pace of change parameters'!$E$26:$I$26,1,$B$5))))</f>
        <v>1</v>
      </c>
      <c r="X62" s="132">
        <f>MIN(T62, T62+(INDEX('Pace of change parameters'!$E$27:$I$27,1,$B$5)-T62)*(1-W62))</f>
        <v>1.9732353921844841E-2</v>
      </c>
      <c r="Y62" s="132">
        <v>1.4932957381402545E-2</v>
      </c>
      <c r="Z62" s="108">
        <f t="shared" si="10"/>
        <v>504302</v>
      </c>
      <c r="AA62" s="97">
        <f>MIN(VLOOKUP(A62,'2017-18 disagg'!$A$12:$BC$220,54,FALSE),-2.5%)</f>
        <v>-2.5000000000000001E-2</v>
      </c>
      <c r="AB62" s="99">
        <f t="shared" si="2"/>
        <v>491018.16541447933</v>
      </c>
      <c r="AC62" s="99">
        <f>MAX(IF(INDEX('Pace of change parameters'!$E$29:$I$29,1,$B$5)=1,MAX(AB62,Z62),Z62),L62)</f>
        <v>504302</v>
      </c>
      <c r="AD62" s="97">
        <f t="shared" si="3"/>
        <v>2.4073656657467746E-2</v>
      </c>
      <c r="AE62" s="146">
        <v>1.9253827664087897E-2</v>
      </c>
      <c r="AF62" s="56">
        <f t="shared" si="11"/>
        <v>504302</v>
      </c>
      <c r="AG62" s="56">
        <v>1649.6683162373702</v>
      </c>
      <c r="AH62" s="16">
        <f t="shared" si="4"/>
        <v>2.4073656657467746E-2</v>
      </c>
      <c r="AI62" s="16">
        <f t="shared" si="5"/>
        <v>1.9253827664087675E-2</v>
      </c>
      <c r="AJ62" s="56"/>
      <c r="AK62" s="56">
        <v>503608.37478408136</v>
      </c>
      <c r="AL62" s="56">
        <v>1647.3993354638569</v>
      </c>
      <c r="AM62" s="16">
        <f t="shared" si="12"/>
        <v>1.3773107252554873E-3</v>
      </c>
      <c r="AN62" s="58">
        <f t="shared" si="12"/>
        <v>1.3773107252554873E-3</v>
      </c>
      <c r="AP62" s="56">
        <f t="shared" si="6"/>
        <v>1</v>
      </c>
      <c r="AQ62" s="56">
        <f t="shared" si="7"/>
        <v>0</v>
      </c>
    </row>
    <row r="63" spans="1:43" x14ac:dyDescent="0.2">
      <c r="A63" s="156" t="s">
        <v>171</v>
      </c>
      <c r="B63" s="156" t="s">
        <v>172</v>
      </c>
      <c r="D63" s="68">
        <f>VLOOKUP(A63,'2017-18 disagg'!A63:AZ271,43,FALSE)</f>
        <v>375636</v>
      </c>
      <c r="E63" s="73">
        <v>1515.3886873190627</v>
      </c>
      <c r="F63" s="55"/>
      <c r="G63" s="88">
        <v>364347.44603112375</v>
      </c>
      <c r="H63" s="81">
        <v>1460.3305774029191</v>
      </c>
      <c r="I63" s="90"/>
      <c r="J63" s="103">
        <f t="shared" si="8"/>
        <v>3.0982937006540645E-2</v>
      </c>
      <c r="K63" s="126">
        <f t="shared" si="8"/>
        <v>3.7702497481125086E-2</v>
      </c>
      <c r="L63" s="56">
        <v>384226</v>
      </c>
      <c r="M63" s="103">
        <v>1.8615760912559676E-2</v>
      </c>
      <c r="N63" s="97">
        <f>INDEX('Pace of change parameters'!$E$22:$I$22,1,$B$5)</f>
        <v>1.2019795091496865E-2</v>
      </c>
      <c r="O63" s="108">
        <f>MAX(IF(INDEX('Pace of change parameters'!$E$30:$I$30,1,$B$5)=1,(1+M63)*D63,D63),L63)</f>
        <v>384226</v>
      </c>
      <c r="P63" s="94">
        <f>IF(K63&lt;INDEX('Pace of change parameters'!$E$18:$I$18,1,$B$5),1,IF(K63&gt;INDEX('Pace of change parameters'!$E$19:$I$19,1,$B$5),0,(K63-INDEX('Pace of change parameters'!$E$19:$I$19,1,$B$5))/(INDEX('Pace of change parameters'!$E$18:$I$18,1,$B$5)-INDEX('Pace of change parameters'!$E$19:$I$19,1,$B$5))))</f>
        <v>0</v>
      </c>
      <c r="Q63" s="57">
        <v>1.8615760912559676E-2</v>
      </c>
      <c r="R63" s="57">
        <v>1.2019795091496865E-2</v>
      </c>
      <c r="S63" s="9">
        <f>MAX(IF(INDEX('Pace of change parameters'!$E$31:$I$31,1,$B$5)=1,D63*(1+Q63),D63),L63)</f>
        <v>384226</v>
      </c>
      <c r="T63" s="103">
        <f>IF(Q63&lt;INDEX('Pace of change parameters'!$E$24:$I$24,1,$B$5),INDEX('Pace of change parameters'!$E$24:$I$24,1,$B$5),Q63)</f>
        <v>1.9732353921844841E-2</v>
      </c>
      <c r="U63" s="132">
        <v>1.3129157691035953E-2</v>
      </c>
      <c r="V63" s="117">
        <f t="shared" si="9"/>
        <v>384226</v>
      </c>
      <c r="W63" s="131">
        <f>IF(J63&gt;INDEX('Pace of change parameters'!$E$26:$I$26,1,$B$5),0,IF(J63&lt;INDEX('Pace of change parameters'!$E$25:$I$25,1,$B$5),1,(J63-INDEX('Pace of change parameters'!$E$26:$I$26,1,$B$5))/(INDEX('Pace of change parameters'!$E$25:$I$25,1,$B$5)-INDEX('Pace of change parameters'!$E$26:$I$26,1,$B$5))))</f>
        <v>1</v>
      </c>
      <c r="X63" s="132">
        <f>MIN(T63, T63+(INDEX('Pace of change parameters'!$E$27:$I$27,1,$B$5)-T63)*(1-W63))</f>
        <v>1.9732353921844841E-2</v>
      </c>
      <c r="Y63" s="132">
        <v>1.3129157691035953E-2</v>
      </c>
      <c r="Z63" s="108">
        <f t="shared" si="10"/>
        <v>384226</v>
      </c>
      <c r="AA63" s="97">
        <f>MIN(VLOOKUP(A63,'2017-18 disagg'!$A$12:$BC$220,54,FALSE),-2.5%)</f>
        <v>-2.5000000000000001E-2</v>
      </c>
      <c r="AB63" s="99">
        <f t="shared" si="2"/>
        <v>364064.16916962416</v>
      </c>
      <c r="AC63" s="99">
        <f>MAX(IF(INDEX('Pace of change parameters'!$E$29:$I$29,1,$B$5)=1,MAX(AB63,Z63),Z63),L63)</f>
        <v>384226</v>
      </c>
      <c r="AD63" s="97">
        <f t="shared" si="3"/>
        <v>2.2867882737543699E-2</v>
      </c>
      <c r="AE63" s="146">
        <v>1.6244382637805144E-2</v>
      </c>
      <c r="AF63" s="56">
        <f t="shared" si="11"/>
        <v>384226</v>
      </c>
      <c r="AG63" s="56">
        <v>1540.0052410008748</v>
      </c>
      <c r="AH63" s="16">
        <f t="shared" si="4"/>
        <v>2.2867882737543699E-2</v>
      </c>
      <c r="AI63" s="16">
        <f t="shared" si="5"/>
        <v>1.6244382637805144E-2</v>
      </c>
      <c r="AJ63" s="56"/>
      <c r="AK63" s="56">
        <v>373399.14786628122</v>
      </c>
      <c r="AL63" s="56">
        <v>1496.6104446324134</v>
      </c>
      <c r="AM63" s="16">
        <f t="shared" si="12"/>
        <v>2.8995385221382453E-2</v>
      </c>
      <c r="AN63" s="58">
        <f t="shared" si="12"/>
        <v>2.8995385221382453E-2</v>
      </c>
      <c r="AP63" s="56">
        <f t="shared" si="6"/>
        <v>1</v>
      </c>
      <c r="AQ63" s="56">
        <f t="shared" si="7"/>
        <v>0</v>
      </c>
    </row>
    <row r="64" spans="1:43" x14ac:dyDescent="0.2">
      <c r="A64" s="156" t="s">
        <v>173</v>
      </c>
      <c r="B64" s="156" t="s">
        <v>174</v>
      </c>
      <c r="D64" s="68">
        <f>VLOOKUP(A64,'2017-18 disagg'!A64:AZ272,43,FALSE)</f>
        <v>243634</v>
      </c>
      <c r="E64" s="73">
        <v>1691.7452639367198</v>
      </c>
      <c r="F64" s="55"/>
      <c r="G64" s="88">
        <v>227577.77989695623</v>
      </c>
      <c r="H64" s="81">
        <v>1577.7344989578478</v>
      </c>
      <c r="I64" s="90"/>
      <c r="J64" s="103">
        <f t="shared" si="8"/>
        <v>7.0552670433439379E-2</v>
      </c>
      <c r="K64" s="126">
        <f t="shared" si="8"/>
        <v>7.2262326173497815E-2</v>
      </c>
      <c r="L64" s="56">
        <v>248219</v>
      </c>
      <c r="M64" s="103">
        <v>1.3635974752260527E-2</v>
      </c>
      <c r="N64" s="97">
        <f>INDEX('Pace of change parameters'!$E$22:$I$22,1,$B$5)</f>
        <v>1.2019795091496865E-2</v>
      </c>
      <c r="O64" s="108">
        <f>MAX(IF(INDEX('Pace of change parameters'!$E$30:$I$30,1,$B$5)=1,(1+M64)*D64,D64),L64)</f>
        <v>248219</v>
      </c>
      <c r="P64" s="94">
        <f>IF(K64&lt;INDEX('Pace of change parameters'!$E$18:$I$18,1,$B$5),1,IF(K64&gt;INDEX('Pace of change parameters'!$E$19:$I$19,1,$B$5),0,(K64-INDEX('Pace of change parameters'!$E$19:$I$19,1,$B$5))/(INDEX('Pace of change parameters'!$E$18:$I$18,1,$B$5)-INDEX('Pace of change parameters'!$E$19:$I$19,1,$B$5))))</f>
        <v>0</v>
      </c>
      <c r="Q64" s="57">
        <v>1.3635974752260527E-2</v>
      </c>
      <c r="R64" s="57">
        <v>1.2019795091496865E-2</v>
      </c>
      <c r="S64" s="9">
        <f>MAX(IF(INDEX('Pace of change parameters'!$E$31:$I$31,1,$B$5)=1,D64*(1+Q64),D64),L64)</f>
        <v>248219</v>
      </c>
      <c r="T64" s="103">
        <f>IF(Q64&lt;INDEX('Pace of change parameters'!$E$24:$I$24,1,$B$5),INDEX('Pace of change parameters'!$E$24:$I$24,1,$B$5),Q64)</f>
        <v>1.9732353921844841E-2</v>
      </c>
      <c r="U64" s="132">
        <v>1.8106453962804858E-2</v>
      </c>
      <c r="V64" s="117">
        <f t="shared" si="9"/>
        <v>248441.47231539473</v>
      </c>
      <c r="W64" s="131">
        <f>IF(J64&gt;INDEX('Pace of change parameters'!$E$26:$I$26,1,$B$5),0,IF(J64&lt;INDEX('Pace of change parameters'!$E$25:$I$25,1,$B$5),1,(J64-INDEX('Pace of change parameters'!$E$26:$I$26,1,$B$5))/(INDEX('Pace of change parameters'!$E$25:$I$25,1,$B$5)-INDEX('Pace of change parameters'!$E$26:$I$26,1,$B$5))))</f>
        <v>0.58894659133121252</v>
      </c>
      <c r="X64" s="132">
        <f>MIN(T64, T64+(INDEX('Pace of change parameters'!$E$27:$I$27,1,$B$5)-T64)*(1-W64))</f>
        <v>1.1799023134537243E-2</v>
      </c>
      <c r="Y64" s="132">
        <v>1.0185772379136315E-2</v>
      </c>
      <c r="Z64" s="108">
        <f t="shared" si="10"/>
        <v>248219</v>
      </c>
      <c r="AA64" s="97">
        <f>MIN(VLOOKUP(A64,'2017-18 disagg'!$A$12:$BC$220,54,FALSE),-2.5%)</f>
        <v>-2.5000000000000001E-2</v>
      </c>
      <c r="AB64" s="99">
        <f t="shared" si="2"/>
        <v>227462.35252647212</v>
      </c>
      <c r="AC64" s="99">
        <f>MAX(IF(INDEX('Pace of change parameters'!$E$29:$I$29,1,$B$5)=1,MAX(AB64,Z64),Z64),L64)</f>
        <v>248219</v>
      </c>
      <c r="AD64" s="97">
        <f t="shared" si="3"/>
        <v>1.8819212425195131E-2</v>
      </c>
      <c r="AE64" s="146">
        <v>1.7194768413606676E-2</v>
      </c>
      <c r="AF64" s="56">
        <f t="shared" si="11"/>
        <v>248219</v>
      </c>
      <c r="AG64" s="56">
        <v>1720.8344319649277</v>
      </c>
      <c r="AH64" s="16">
        <f t="shared" si="4"/>
        <v>1.8819212425195131E-2</v>
      </c>
      <c r="AI64" s="16">
        <f t="shared" si="5"/>
        <v>1.7194768413606676E-2</v>
      </c>
      <c r="AJ64" s="56"/>
      <c r="AK64" s="56">
        <v>233294.72053997143</v>
      </c>
      <c r="AL64" s="56">
        <v>1617.3684846881918</v>
      </c>
      <c r="AM64" s="16">
        <f t="shared" si="12"/>
        <v>6.3971783954157369E-2</v>
      </c>
      <c r="AN64" s="58">
        <f t="shared" si="12"/>
        <v>6.3971783954157369E-2</v>
      </c>
      <c r="AP64" s="56">
        <f t="shared" si="6"/>
        <v>1</v>
      </c>
      <c r="AQ64" s="56">
        <f t="shared" si="7"/>
        <v>0</v>
      </c>
    </row>
    <row r="65" spans="1:43" x14ac:dyDescent="0.2">
      <c r="A65" s="156" t="s">
        <v>175</v>
      </c>
      <c r="B65" s="156" t="s">
        <v>176</v>
      </c>
      <c r="D65" s="68">
        <f>VLOOKUP(A65,'2017-18 disagg'!A65:AZ273,43,FALSE)</f>
        <v>248663</v>
      </c>
      <c r="E65" s="73">
        <v>1527.0240231716527</v>
      </c>
      <c r="F65" s="55"/>
      <c r="G65" s="88">
        <v>242824.39631960451</v>
      </c>
      <c r="H65" s="81">
        <v>1486.4785524113427</v>
      </c>
      <c r="I65" s="90"/>
      <c r="J65" s="103">
        <f t="shared" si="8"/>
        <v>2.4044551407885528E-2</v>
      </c>
      <c r="K65" s="126">
        <f t="shared" si="8"/>
        <v>2.7276189551835639E-2</v>
      </c>
      <c r="L65" s="56">
        <v>254312</v>
      </c>
      <c r="M65" s="103">
        <v>1.5213485998551768E-2</v>
      </c>
      <c r="N65" s="97">
        <f>INDEX('Pace of change parameters'!$E$22:$I$22,1,$B$5)</f>
        <v>1.2019795091496865E-2</v>
      </c>
      <c r="O65" s="108">
        <f>MAX(IF(INDEX('Pace of change parameters'!$E$30:$I$30,1,$B$5)=1,(1+M65)*D65,D65),L65)</f>
        <v>254312</v>
      </c>
      <c r="P65" s="94">
        <f>IF(K65&lt;INDEX('Pace of change parameters'!$E$18:$I$18,1,$B$5),1,IF(K65&gt;INDEX('Pace of change parameters'!$E$19:$I$19,1,$B$5),0,(K65-INDEX('Pace of change parameters'!$E$19:$I$19,1,$B$5))/(INDEX('Pace of change parameters'!$E$18:$I$18,1,$B$5)-INDEX('Pace of change parameters'!$E$19:$I$19,1,$B$5))))</f>
        <v>0</v>
      </c>
      <c r="Q65" s="57">
        <v>1.5213485998551768E-2</v>
      </c>
      <c r="R65" s="57">
        <v>1.2019795091496865E-2</v>
      </c>
      <c r="S65" s="9">
        <f>MAX(IF(INDEX('Pace of change parameters'!$E$31:$I$31,1,$B$5)=1,D65*(1+Q65),D65),L65)</f>
        <v>254312</v>
      </c>
      <c r="T65" s="103">
        <f>IF(Q65&lt;INDEX('Pace of change parameters'!$E$24:$I$24,1,$B$5),INDEX('Pace of change parameters'!$E$24:$I$24,1,$B$5),Q65)</f>
        <v>1.9732353921844841E-2</v>
      </c>
      <c r="U65" s="132">
        <v>1.6524447416203181E-2</v>
      </c>
      <c r="V65" s="117">
        <f t="shared" si="9"/>
        <v>254312</v>
      </c>
      <c r="W65" s="131">
        <f>IF(J65&gt;INDEX('Pace of change parameters'!$E$26:$I$26,1,$B$5),0,IF(J65&lt;INDEX('Pace of change parameters'!$E$25:$I$25,1,$B$5),1,(J65-INDEX('Pace of change parameters'!$E$26:$I$26,1,$B$5))/(INDEX('Pace of change parameters'!$E$25:$I$25,1,$B$5)-INDEX('Pace of change parameters'!$E$26:$I$26,1,$B$5))))</f>
        <v>1</v>
      </c>
      <c r="X65" s="132">
        <f>MIN(T65, T65+(INDEX('Pace of change parameters'!$E$27:$I$27,1,$B$5)-T65)*(1-W65))</f>
        <v>1.9732353921844841E-2</v>
      </c>
      <c r="Y65" s="132">
        <v>1.6524447416203181E-2</v>
      </c>
      <c r="Z65" s="108">
        <f t="shared" si="10"/>
        <v>254312</v>
      </c>
      <c r="AA65" s="97">
        <f>MIN(VLOOKUP(A65,'2017-18 disagg'!$A$12:$BC$220,54,FALSE),-2.5%)</f>
        <v>-2.5000000000000001E-2</v>
      </c>
      <c r="AB65" s="99">
        <f t="shared" si="2"/>
        <v>242706.1283087499</v>
      </c>
      <c r="AC65" s="99">
        <f>MAX(IF(INDEX('Pace of change parameters'!$E$29:$I$29,1,$B$5)=1,MAX(AB65,Z65),Z65),L65)</f>
        <v>254312</v>
      </c>
      <c r="AD65" s="97">
        <f t="shared" si="3"/>
        <v>2.2717493153384227E-2</v>
      </c>
      <c r="AE65" s="146">
        <v>1.9500195901705819E-2</v>
      </c>
      <c r="AF65" s="56">
        <f t="shared" si="11"/>
        <v>254312</v>
      </c>
      <c r="AG65" s="56">
        <v>1556.8012907701113</v>
      </c>
      <c r="AH65" s="16">
        <f t="shared" si="4"/>
        <v>2.2717493153384227E-2</v>
      </c>
      <c r="AI65" s="16">
        <f t="shared" si="5"/>
        <v>1.9500195901706041E-2</v>
      </c>
      <c r="AJ65" s="56"/>
      <c r="AK65" s="56">
        <v>248929.36236794863</v>
      </c>
      <c r="AL65" s="56">
        <v>1523.8508314393468</v>
      </c>
      <c r="AM65" s="16">
        <f t="shared" si="12"/>
        <v>2.1623152772533016E-2</v>
      </c>
      <c r="AN65" s="58">
        <f t="shared" si="12"/>
        <v>2.1623152772533016E-2</v>
      </c>
      <c r="AP65" s="56">
        <f t="shared" si="6"/>
        <v>1</v>
      </c>
      <c r="AQ65" s="56">
        <f t="shared" si="7"/>
        <v>0</v>
      </c>
    </row>
    <row r="66" spans="1:43" x14ac:dyDescent="0.2">
      <c r="A66" s="156" t="s">
        <v>177</v>
      </c>
      <c r="B66" s="156" t="s">
        <v>178</v>
      </c>
      <c r="D66" s="68">
        <f>VLOOKUP(A66,'2017-18 disagg'!A66:AZ274,43,FALSE)</f>
        <v>508327</v>
      </c>
      <c r="E66" s="73">
        <v>1735.3345899261369</v>
      </c>
      <c r="F66" s="55"/>
      <c r="G66" s="88">
        <v>498322.12470033858</v>
      </c>
      <c r="H66" s="81">
        <v>1696.8307349799575</v>
      </c>
      <c r="I66" s="90"/>
      <c r="J66" s="103">
        <f t="shared" si="8"/>
        <v>2.0077124421633341E-2</v>
      </c>
      <c r="K66" s="126">
        <f t="shared" si="8"/>
        <v>2.269162984405404E-2</v>
      </c>
      <c r="L66" s="56">
        <v>519955</v>
      </c>
      <c r="M66" s="103">
        <v>1.4613649201659529E-2</v>
      </c>
      <c r="N66" s="97">
        <f>INDEX('Pace of change parameters'!$E$22:$I$22,1,$B$5)</f>
        <v>1.2019795091496865E-2</v>
      </c>
      <c r="O66" s="108">
        <f>MAX(IF(INDEX('Pace of change parameters'!$E$30:$I$30,1,$B$5)=1,(1+M66)*D66,D66),L66)</f>
        <v>519955</v>
      </c>
      <c r="P66" s="94">
        <f>IF(K66&lt;INDEX('Pace of change parameters'!$E$18:$I$18,1,$B$5),1,IF(K66&gt;INDEX('Pace of change parameters'!$E$19:$I$19,1,$B$5),0,(K66-INDEX('Pace of change parameters'!$E$19:$I$19,1,$B$5))/(INDEX('Pace of change parameters'!$E$18:$I$18,1,$B$5)-INDEX('Pace of change parameters'!$E$19:$I$19,1,$B$5))))</f>
        <v>0</v>
      </c>
      <c r="Q66" s="57">
        <v>1.4613649201659529E-2</v>
      </c>
      <c r="R66" s="57">
        <v>1.2019795091496865E-2</v>
      </c>
      <c r="S66" s="9">
        <f>MAX(IF(INDEX('Pace of change parameters'!$E$31:$I$31,1,$B$5)=1,D66*(1+Q66),D66),L66)</f>
        <v>519955</v>
      </c>
      <c r="T66" s="103">
        <f>IF(Q66&lt;INDEX('Pace of change parameters'!$E$24:$I$24,1,$B$5),INDEX('Pace of change parameters'!$E$24:$I$24,1,$B$5),Q66)</f>
        <v>1.9732353921844841E-2</v>
      </c>
      <c r="U66" s="132">
        <v>1.7125413871740713E-2</v>
      </c>
      <c r="V66" s="117">
        <f t="shared" si="9"/>
        <v>519955</v>
      </c>
      <c r="W66" s="131">
        <f>IF(J66&gt;INDEX('Pace of change parameters'!$E$26:$I$26,1,$B$5),0,IF(J66&lt;INDEX('Pace of change parameters'!$E$25:$I$25,1,$B$5),1,(J66-INDEX('Pace of change parameters'!$E$26:$I$26,1,$B$5))/(INDEX('Pace of change parameters'!$E$25:$I$25,1,$B$5)-INDEX('Pace of change parameters'!$E$26:$I$26,1,$B$5))))</f>
        <v>1</v>
      </c>
      <c r="X66" s="132">
        <f>MIN(T66, T66+(INDEX('Pace of change parameters'!$E$27:$I$27,1,$B$5)-T66)*(1-W66))</f>
        <v>1.9732353921844841E-2</v>
      </c>
      <c r="Y66" s="132">
        <v>1.7125413871740713E-2</v>
      </c>
      <c r="Z66" s="108">
        <f t="shared" si="10"/>
        <v>519955</v>
      </c>
      <c r="AA66" s="97">
        <f>MIN(VLOOKUP(A66,'2017-18 disagg'!$A$12:$BC$220,54,FALSE),-2.5%)</f>
        <v>-2.5000000000000001E-2</v>
      </c>
      <c r="AB66" s="99">
        <f t="shared" si="2"/>
        <v>498215.82883108867</v>
      </c>
      <c r="AC66" s="99">
        <f>MAX(IF(INDEX('Pace of change parameters'!$E$29:$I$29,1,$B$5)=1,MAX(AB66,Z66),Z66),L66)</f>
        <v>519955</v>
      </c>
      <c r="AD66" s="97">
        <f t="shared" si="3"/>
        <v>2.2875039098847694E-2</v>
      </c>
      <c r="AE66" s="146">
        <v>2.0260064791694399E-2</v>
      </c>
      <c r="AF66" s="56">
        <f t="shared" si="11"/>
        <v>519955</v>
      </c>
      <c r="AG66" s="56">
        <v>1770.4925811533092</v>
      </c>
      <c r="AH66" s="16">
        <f t="shared" si="4"/>
        <v>2.2875039098847694E-2</v>
      </c>
      <c r="AI66" s="16">
        <f t="shared" si="5"/>
        <v>2.0260064791694621E-2</v>
      </c>
      <c r="AJ66" s="56"/>
      <c r="AK66" s="56">
        <v>510990.59367291146</v>
      </c>
      <c r="AL66" s="56">
        <v>1739.9679878778259</v>
      </c>
      <c r="AM66" s="16">
        <f t="shared" si="12"/>
        <v>1.7543192454197554E-2</v>
      </c>
      <c r="AN66" s="58">
        <f t="shared" si="12"/>
        <v>1.7543192454197332E-2</v>
      </c>
      <c r="AP66" s="56">
        <f t="shared" si="6"/>
        <v>1</v>
      </c>
      <c r="AQ66" s="56">
        <f t="shared" si="7"/>
        <v>0</v>
      </c>
    </row>
    <row r="67" spans="1:43" x14ac:dyDescent="0.2">
      <c r="A67" s="156" t="s">
        <v>179</v>
      </c>
      <c r="B67" s="156" t="s">
        <v>180</v>
      </c>
      <c r="D67" s="68">
        <f>VLOOKUP(A67,'2017-18 disagg'!A67:AZ275,43,FALSE)</f>
        <v>340691</v>
      </c>
      <c r="E67" s="73">
        <v>1584.4339932822904</v>
      </c>
      <c r="F67" s="55"/>
      <c r="G67" s="88">
        <v>330146.00679890154</v>
      </c>
      <c r="H67" s="81">
        <v>1523.9218277412808</v>
      </c>
      <c r="I67" s="90"/>
      <c r="J67" s="103">
        <f t="shared" si="8"/>
        <v>3.1940392989582955E-2</v>
      </c>
      <c r="K67" s="126">
        <f t="shared" si="8"/>
        <v>3.9708182164894357E-2</v>
      </c>
      <c r="L67" s="56">
        <v>349085</v>
      </c>
      <c r="M67" s="103">
        <v>1.9637634709867235E-2</v>
      </c>
      <c r="N67" s="97">
        <f>INDEX('Pace of change parameters'!$E$22:$I$22,1,$B$5)</f>
        <v>1.2019795091496865E-2</v>
      </c>
      <c r="O67" s="108">
        <f>MAX(IF(INDEX('Pace of change parameters'!$E$30:$I$30,1,$B$5)=1,(1+M67)*D67,D67),L67)</f>
        <v>349085</v>
      </c>
      <c r="P67" s="94">
        <f>IF(K67&lt;INDEX('Pace of change parameters'!$E$18:$I$18,1,$B$5),1,IF(K67&gt;INDEX('Pace of change parameters'!$E$19:$I$19,1,$B$5),0,(K67-INDEX('Pace of change parameters'!$E$19:$I$19,1,$B$5))/(INDEX('Pace of change parameters'!$E$18:$I$18,1,$B$5)-INDEX('Pace of change parameters'!$E$19:$I$19,1,$B$5))))</f>
        <v>0</v>
      </c>
      <c r="Q67" s="57">
        <v>1.9637634709867235E-2</v>
      </c>
      <c r="R67" s="57">
        <v>1.2019795091496865E-2</v>
      </c>
      <c r="S67" s="9">
        <f>MAX(IF(INDEX('Pace of change parameters'!$E$31:$I$31,1,$B$5)=1,D67*(1+Q67),D67),L67)</f>
        <v>349085</v>
      </c>
      <c r="T67" s="103">
        <f>IF(Q67&lt;INDEX('Pace of change parameters'!$E$24:$I$24,1,$B$5),INDEX('Pace of change parameters'!$E$24:$I$24,1,$B$5),Q67)</f>
        <v>1.9732353921844841E-2</v>
      </c>
      <c r="U67" s="132">
        <v>1.2113806644457936E-2</v>
      </c>
      <c r="V67" s="117">
        <f t="shared" si="9"/>
        <v>349085</v>
      </c>
      <c r="W67" s="131">
        <f>IF(J67&gt;INDEX('Pace of change parameters'!$E$26:$I$26,1,$B$5),0,IF(J67&lt;INDEX('Pace of change parameters'!$E$25:$I$25,1,$B$5),1,(J67-INDEX('Pace of change parameters'!$E$26:$I$26,1,$B$5))/(INDEX('Pace of change parameters'!$E$25:$I$25,1,$B$5)-INDEX('Pace of change parameters'!$E$26:$I$26,1,$B$5))))</f>
        <v>1</v>
      </c>
      <c r="X67" s="132">
        <f>MIN(T67, T67+(INDEX('Pace of change parameters'!$E$27:$I$27,1,$B$5)-T67)*(1-W67))</f>
        <v>1.9732353921844841E-2</v>
      </c>
      <c r="Y67" s="132">
        <v>1.2113806644457936E-2</v>
      </c>
      <c r="Z67" s="108">
        <f t="shared" si="10"/>
        <v>349085</v>
      </c>
      <c r="AA67" s="97">
        <f>MIN(VLOOKUP(A67,'2017-18 disagg'!$A$12:$BC$220,54,FALSE),-2.5%)</f>
        <v>-2.5000000000000001E-2</v>
      </c>
      <c r="AB67" s="99">
        <f t="shared" si="2"/>
        <v>330073.55317793565</v>
      </c>
      <c r="AC67" s="99">
        <f>MAX(IF(INDEX('Pace of change parameters'!$E$29:$I$29,1,$B$5)=1,MAX(AB67,Z67),Z67),L67)</f>
        <v>349085</v>
      </c>
      <c r="AD67" s="97">
        <f t="shared" si="3"/>
        <v>2.4638161853409724E-2</v>
      </c>
      <c r="AE67" s="146">
        <v>1.6982962674652269E-2</v>
      </c>
      <c r="AF67" s="56">
        <f t="shared" si="11"/>
        <v>349085</v>
      </c>
      <c r="AG67" s="56">
        <v>1611.3423766506539</v>
      </c>
      <c r="AH67" s="16">
        <f t="shared" si="4"/>
        <v>2.4638161853409724E-2</v>
      </c>
      <c r="AI67" s="16">
        <f t="shared" si="5"/>
        <v>1.6982962674652269E-2</v>
      </c>
      <c r="AJ67" s="56"/>
      <c r="AK67" s="56">
        <v>338536.97761839553</v>
      </c>
      <c r="AL67" s="56">
        <v>1562.653732184868</v>
      </c>
      <c r="AM67" s="16">
        <f t="shared" si="12"/>
        <v>3.1157666898929959E-2</v>
      </c>
      <c r="AN67" s="58">
        <f t="shared" si="12"/>
        <v>3.1157666898929959E-2</v>
      </c>
      <c r="AP67" s="56">
        <f t="shared" si="6"/>
        <v>1</v>
      </c>
      <c r="AQ67" s="56">
        <f t="shared" si="7"/>
        <v>0</v>
      </c>
    </row>
    <row r="68" spans="1:43" x14ac:dyDescent="0.2">
      <c r="A68" s="156" t="s">
        <v>181</v>
      </c>
      <c r="B68" s="156" t="s">
        <v>182</v>
      </c>
      <c r="D68" s="68">
        <f>VLOOKUP(A68,'2017-18 disagg'!A68:AZ276,43,FALSE)</f>
        <v>499381</v>
      </c>
      <c r="E68" s="73">
        <v>1804.2364607829199</v>
      </c>
      <c r="F68" s="55"/>
      <c r="G68" s="88">
        <v>494745.74878071609</v>
      </c>
      <c r="H68" s="81">
        <v>1775.2019994067457</v>
      </c>
      <c r="I68" s="90"/>
      <c r="J68" s="103">
        <f t="shared" si="8"/>
        <v>9.3689561369800778E-3</v>
      </c>
      <c r="K68" s="126">
        <f t="shared" si="8"/>
        <v>1.6355581723024981E-2</v>
      </c>
      <c r="L68" s="56">
        <v>511921</v>
      </c>
      <c r="M68" s="103">
        <v>1.9024769190393753E-2</v>
      </c>
      <c r="N68" s="97">
        <f>INDEX('Pace of change parameters'!$E$22:$I$22,1,$B$5)</f>
        <v>1.2019795091496865E-2</v>
      </c>
      <c r="O68" s="108">
        <f>MAX(IF(INDEX('Pace of change parameters'!$E$30:$I$30,1,$B$5)=1,(1+M68)*D68,D68),L68)</f>
        <v>511921</v>
      </c>
      <c r="P68" s="94">
        <f>IF(K68&lt;INDEX('Pace of change parameters'!$E$18:$I$18,1,$B$5),1,IF(K68&gt;INDEX('Pace of change parameters'!$E$19:$I$19,1,$B$5),0,(K68-INDEX('Pace of change parameters'!$E$19:$I$19,1,$B$5))/(INDEX('Pace of change parameters'!$E$18:$I$18,1,$B$5)-INDEX('Pace of change parameters'!$E$19:$I$19,1,$B$5))))</f>
        <v>0</v>
      </c>
      <c r="Q68" s="57">
        <v>1.9024769190393753E-2</v>
      </c>
      <c r="R68" s="57">
        <v>1.2019795091496865E-2</v>
      </c>
      <c r="S68" s="9">
        <f>MAX(IF(INDEX('Pace of change parameters'!$E$31:$I$31,1,$B$5)=1,D68*(1+Q68),D68),L68)</f>
        <v>511921</v>
      </c>
      <c r="T68" s="103">
        <f>IF(Q68&lt;INDEX('Pace of change parameters'!$E$24:$I$24,1,$B$5),INDEX('Pace of change parameters'!$E$24:$I$24,1,$B$5),Q68)</f>
        <v>1.9732353921844841E-2</v>
      </c>
      <c r="U68" s="132">
        <v>1.272251574813188E-2</v>
      </c>
      <c r="V68" s="117">
        <f t="shared" si="9"/>
        <v>511921</v>
      </c>
      <c r="W68" s="131">
        <f>IF(J68&gt;INDEX('Pace of change parameters'!$E$26:$I$26,1,$B$5),0,IF(J68&lt;INDEX('Pace of change parameters'!$E$25:$I$25,1,$B$5),1,(J68-INDEX('Pace of change parameters'!$E$26:$I$26,1,$B$5))/(INDEX('Pace of change parameters'!$E$25:$I$25,1,$B$5)-INDEX('Pace of change parameters'!$E$26:$I$26,1,$B$5))))</f>
        <v>1</v>
      </c>
      <c r="X68" s="132">
        <f>MIN(T68, T68+(INDEX('Pace of change parameters'!$E$27:$I$27,1,$B$5)-T68)*(1-W68))</f>
        <v>1.9732353921844841E-2</v>
      </c>
      <c r="Y68" s="132">
        <v>1.272251574813188E-2</v>
      </c>
      <c r="Z68" s="108">
        <f t="shared" si="10"/>
        <v>511921</v>
      </c>
      <c r="AA68" s="97">
        <f>MIN(VLOOKUP(A68,'2017-18 disagg'!$A$12:$BC$220,54,FALSE),-2.5%)</f>
        <v>-2.5000000000000001E-2</v>
      </c>
      <c r="AB68" s="99">
        <f t="shared" si="2"/>
        <v>494625.47050772922</v>
      </c>
      <c r="AC68" s="99">
        <f>MAX(IF(INDEX('Pace of change parameters'!$E$29:$I$29,1,$B$5)=1,MAX(AB68,Z68),Z68),L68)</f>
        <v>511921</v>
      </c>
      <c r="AD68" s="97">
        <f t="shared" si="3"/>
        <v>2.5111087526357601E-2</v>
      </c>
      <c r="AE68" s="146">
        <v>1.8064274893609289E-2</v>
      </c>
      <c r="AF68" s="56">
        <f t="shared" si="11"/>
        <v>511921</v>
      </c>
      <c r="AG68" s="56">
        <v>1836.8286841835757</v>
      </c>
      <c r="AH68" s="16">
        <f t="shared" si="4"/>
        <v>2.5111087526357601E-2</v>
      </c>
      <c r="AI68" s="16">
        <f t="shared" si="5"/>
        <v>1.8064274893609511E-2</v>
      </c>
      <c r="AJ68" s="56"/>
      <c r="AK68" s="56">
        <v>507308.1748797223</v>
      </c>
      <c r="AL68" s="56">
        <v>1820.2773618192878</v>
      </c>
      <c r="AM68" s="16">
        <f t="shared" si="12"/>
        <v>9.092747463356643E-3</v>
      </c>
      <c r="AN68" s="58">
        <f t="shared" si="12"/>
        <v>9.092747463356643E-3</v>
      </c>
      <c r="AP68" s="56">
        <f t="shared" si="6"/>
        <v>1</v>
      </c>
      <c r="AQ68" s="56">
        <f t="shared" si="7"/>
        <v>0</v>
      </c>
    </row>
    <row r="69" spans="1:43" x14ac:dyDescent="0.2">
      <c r="A69" s="156" t="s">
        <v>183</v>
      </c>
      <c r="B69" s="156" t="s">
        <v>184</v>
      </c>
      <c r="D69" s="68">
        <f>VLOOKUP(A69,'2017-18 disagg'!A69:AZ277,43,FALSE)</f>
        <v>548301</v>
      </c>
      <c r="E69" s="73">
        <v>1476.4663802066</v>
      </c>
      <c r="F69" s="55"/>
      <c r="G69" s="88">
        <v>533148.12848872191</v>
      </c>
      <c r="H69" s="81">
        <v>1428.0570780920218</v>
      </c>
      <c r="I69" s="90"/>
      <c r="J69" s="103">
        <f t="shared" si="8"/>
        <v>2.8421503708980334E-2</v>
      </c>
      <c r="K69" s="126">
        <f t="shared" si="8"/>
        <v>3.3898716554982666E-2</v>
      </c>
      <c r="L69" s="56">
        <v>561627</v>
      </c>
      <c r="M69" s="103">
        <v>1.7409654990471202E-2</v>
      </c>
      <c r="N69" s="97">
        <f>INDEX('Pace of change parameters'!$E$22:$I$22,1,$B$5)</f>
        <v>1.2019795091496865E-2</v>
      </c>
      <c r="O69" s="108">
        <f>MAX(IF(INDEX('Pace of change parameters'!$E$30:$I$30,1,$B$5)=1,(1+M69)*D69,D69),L69)</f>
        <v>561627</v>
      </c>
      <c r="P69" s="94">
        <f>IF(K69&lt;INDEX('Pace of change parameters'!$E$18:$I$18,1,$B$5),1,IF(K69&gt;INDEX('Pace of change parameters'!$E$19:$I$19,1,$B$5),0,(K69-INDEX('Pace of change parameters'!$E$19:$I$19,1,$B$5))/(INDEX('Pace of change parameters'!$E$18:$I$18,1,$B$5)-INDEX('Pace of change parameters'!$E$19:$I$19,1,$B$5))))</f>
        <v>0</v>
      </c>
      <c r="Q69" s="57">
        <v>1.7409654990471202E-2</v>
      </c>
      <c r="R69" s="57">
        <v>1.2019795091496865E-2</v>
      </c>
      <c r="S69" s="9">
        <f>MAX(IF(INDEX('Pace of change parameters'!$E$31:$I$31,1,$B$5)=1,D69*(1+Q69),D69),L69)</f>
        <v>561627</v>
      </c>
      <c r="T69" s="103">
        <f>IF(Q69&lt;INDEX('Pace of change parameters'!$E$24:$I$24,1,$B$5),INDEX('Pace of change parameters'!$E$24:$I$24,1,$B$5),Q69)</f>
        <v>1.9732353921844841E-2</v>
      </c>
      <c r="U69" s="132">
        <v>1.4330189223357159E-2</v>
      </c>
      <c r="V69" s="117">
        <f t="shared" si="9"/>
        <v>561627</v>
      </c>
      <c r="W69" s="131">
        <f>IF(J69&gt;INDEX('Pace of change parameters'!$E$26:$I$26,1,$B$5),0,IF(J69&lt;INDEX('Pace of change parameters'!$E$25:$I$25,1,$B$5),1,(J69-INDEX('Pace of change parameters'!$E$26:$I$26,1,$B$5))/(INDEX('Pace of change parameters'!$E$25:$I$25,1,$B$5)-INDEX('Pace of change parameters'!$E$26:$I$26,1,$B$5))))</f>
        <v>1</v>
      </c>
      <c r="X69" s="132">
        <f>MIN(T69, T69+(INDEX('Pace of change parameters'!$E$27:$I$27,1,$B$5)-T69)*(1-W69))</f>
        <v>1.9732353921844841E-2</v>
      </c>
      <c r="Y69" s="132">
        <v>1.4330189223357159E-2</v>
      </c>
      <c r="Z69" s="108">
        <f t="shared" si="10"/>
        <v>561627</v>
      </c>
      <c r="AA69" s="97">
        <f>MIN(VLOOKUP(A69,'2017-18 disagg'!$A$12:$BC$220,54,FALSE),-2.5%)</f>
        <v>-2.5000000000000001E-2</v>
      </c>
      <c r="AB69" s="99">
        <f t="shared" si="2"/>
        <v>532828.79323652945</v>
      </c>
      <c r="AC69" s="99">
        <f>MAX(IF(INDEX('Pace of change parameters'!$E$29:$I$29,1,$B$5)=1,MAX(AB69,Z69),Z69),L69)</f>
        <v>561627</v>
      </c>
      <c r="AD69" s="97">
        <f t="shared" si="3"/>
        <v>2.4304168695661765E-2</v>
      </c>
      <c r="AE69" s="146">
        <v>1.8877784214125892E-2</v>
      </c>
      <c r="AF69" s="56">
        <f t="shared" si="11"/>
        <v>561627</v>
      </c>
      <c r="AG69" s="56">
        <v>1504.3387939315517</v>
      </c>
      <c r="AH69" s="16">
        <f t="shared" si="4"/>
        <v>2.4304168695661765E-2</v>
      </c>
      <c r="AI69" s="16">
        <f t="shared" si="5"/>
        <v>1.8877784214125892E-2</v>
      </c>
      <c r="AJ69" s="56"/>
      <c r="AK69" s="56">
        <v>546491.06998618413</v>
      </c>
      <c r="AL69" s="56">
        <v>1463.7966428205543</v>
      </c>
      <c r="AM69" s="16">
        <f t="shared" si="12"/>
        <v>2.7696573366145838E-2</v>
      </c>
      <c r="AN69" s="58">
        <f t="shared" si="12"/>
        <v>2.7696573366145838E-2</v>
      </c>
      <c r="AP69" s="56">
        <f t="shared" si="6"/>
        <v>1</v>
      </c>
      <c r="AQ69" s="56">
        <f t="shared" si="7"/>
        <v>0</v>
      </c>
    </row>
    <row r="70" spans="1:43" x14ac:dyDescent="0.2">
      <c r="A70" s="156" t="s">
        <v>185</v>
      </c>
      <c r="B70" s="156" t="s">
        <v>186</v>
      </c>
      <c r="D70" s="68">
        <f>VLOOKUP(A70,'2017-18 disagg'!A70:AZ278,43,FALSE)</f>
        <v>294758</v>
      </c>
      <c r="E70" s="73">
        <v>1740.3386466507068</v>
      </c>
      <c r="F70" s="55"/>
      <c r="G70" s="88">
        <v>285276.19822612347</v>
      </c>
      <c r="H70" s="81">
        <v>1682.1014941497049</v>
      </c>
      <c r="I70" s="90"/>
      <c r="J70" s="103">
        <f t="shared" si="8"/>
        <v>3.3237269119664958E-2</v>
      </c>
      <c r="K70" s="126">
        <f t="shared" si="8"/>
        <v>3.4621663855331386E-2</v>
      </c>
      <c r="L70" s="56">
        <v>301130</v>
      </c>
      <c r="M70" s="103">
        <v>1.3375761352671933E-2</v>
      </c>
      <c r="N70" s="97">
        <f>INDEX('Pace of change parameters'!$E$22:$I$22,1,$B$5)</f>
        <v>1.2019795091496865E-2</v>
      </c>
      <c r="O70" s="108">
        <f>MAX(IF(INDEX('Pace of change parameters'!$E$30:$I$30,1,$B$5)=1,(1+M70)*D70,D70),L70)</f>
        <v>301130</v>
      </c>
      <c r="P70" s="94">
        <f>IF(K70&lt;INDEX('Pace of change parameters'!$E$18:$I$18,1,$B$5),1,IF(K70&gt;INDEX('Pace of change parameters'!$E$19:$I$19,1,$B$5),0,(K70-INDEX('Pace of change parameters'!$E$19:$I$19,1,$B$5))/(INDEX('Pace of change parameters'!$E$18:$I$18,1,$B$5)-INDEX('Pace of change parameters'!$E$19:$I$19,1,$B$5))))</f>
        <v>0</v>
      </c>
      <c r="Q70" s="57">
        <v>1.3375761352671933E-2</v>
      </c>
      <c r="R70" s="57">
        <v>1.2019795091496865E-2</v>
      </c>
      <c r="S70" s="9">
        <f>MAX(IF(INDEX('Pace of change parameters'!$E$31:$I$31,1,$B$5)=1,D70*(1+Q70),D70),L70)</f>
        <v>301130</v>
      </c>
      <c r="T70" s="103">
        <f>IF(Q70&lt;INDEX('Pace of change parameters'!$E$24:$I$24,1,$B$5),INDEX('Pace of change parameters'!$E$24:$I$24,1,$B$5),Q70)</f>
        <v>1.9732353921844841E-2</v>
      </c>
      <c r="U70" s="132">
        <v>1.8367882103907274E-2</v>
      </c>
      <c r="V70" s="117">
        <f t="shared" si="9"/>
        <v>301130</v>
      </c>
      <c r="W70" s="131">
        <f>IF(J70&gt;INDEX('Pace of change parameters'!$E$26:$I$26,1,$B$5),0,IF(J70&lt;INDEX('Pace of change parameters'!$E$25:$I$25,1,$B$5),1,(J70-INDEX('Pace of change parameters'!$E$26:$I$26,1,$B$5))/(INDEX('Pace of change parameters'!$E$25:$I$25,1,$B$5)-INDEX('Pace of change parameters'!$E$26:$I$26,1,$B$5))))</f>
        <v>1</v>
      </c>
      <c r="X70" s="132">
        <f>MIN(T70, T70+(INDEX('Pace of change parameters'!$E$27:$I$27,1,$B$5)-T70)*(1-W70))</f>
        <v>1.9732353921844841E-2</v>
      </c>
      <c r="Y70" s="132">
        <v>1.8367882103907274E-2</v>
      </c>
      <c r="Z70" s="108">
        <f t="shared" si="10"/>
        <v>301130</v>
      </c>
      <c r="AA70" s="97">
        <f>MIN(VLOOKUP(A70,'2017-18 disagg'!$A$12:$BC$220,54,FALSE),-2.5%)</f>
        <v>-2.5000000000000001E-2</v>
      </c>
      <c r="AB70" s="99">
        <f t="shared" si="2"/>
        <v>285172.38331146893</v>
      </c>
      <c r="AC70" s="99">
        <f>MAX(IF(INDEX('Pace of change parameters'!$E$29:$I$29,1,$B$5)=1,MAX(AB70,Z70),Z70),L70)</f>
        <v>301130</v>
      </c>
      <c r="AD70" s="97">
        <f t="shared" si="3"/>
        <v>2.1617733869818689E-2</v>
      </c>
      <c r="AE70" s="146">
        <v>2.0250739284220387E-2</v>
      </c>
      <c r="AF70" s="56">
        <f t="shared" si="11"/>
        <v>301130</v>
      </c>
      <c r="AG70" s="56">
        <v>1775.5817908502829</v>
      </c>
      <c r="AH70" s="16">
        <f t="shared" si="4"/>
        <v>2.1617733869818689E-2</v>
      </c>
      <c r="AI70" s="16">
        <f t="shared" si="5"/>
        <v>2.0250739284220165E-2</v>
      </c>
      <c r="AJ70" s="56"/>
      <c r="AK70" s="56">
        <v>292484.49570407072</v>
      </c>
      <c r="AL70" s="56">
        <v>1724.6044720824091</v>
      </c>
      <c r="AM70" s="16">
        <f t="shared" si="12"/>
        <v>2.9558846444553533E-2</v>
      </c>
      <c r="AN70" s="58">
        <f t="shared" si="12"/>
        <v>2.9558846444553311E-2</v>
      </c>
      <c r="AP70" s="56">
        <f t="shared" si="6"/>
        <v>1</v>
      </c>
      <c r="AQ70" s="56">
        <f t="shared" si="7"/>
        <v>0</v>
      </c>
    </row>
    <row r="71" spans="1:43" x14ac:dyDescent="0.2">
      <c r="A71" s="156" t="s">
        <v>187</v>
      </c>
      <c r="B71" s="156" t="s">
        <v>188</v>
      </c>
      <c r="D71" s="68">
        <f>VLOOKUP(A71,'2017-18 disagg'!A71:AZ279,43,FALSE)</f>
        <v>313008</v>
      </c>
      <c r="E71" s="73">
        <v>1624.7875193100535</v>
      </c>
      <c r="F71" s="55"/>
      <c r="G71" s="88">
        <v>299469.641324408</v>
      </c>
      <c r="H71" s="81">
        <v>1544.3627898018729</v>
      </c>
      <c r="I71" s="90"/>
      <c r="J71" s="103">
        <f t="shared" si="8"/>
        <v>4.5207783385716294E-2</v>
      </c>
      <c r="K71" s="126">
        <f t="shared" si="8"/>
        <v>5.2076319139040095E-2</v>
      </c>
      <c r="L71" s="56">
        <v>320178</v>
      </c>
      <c r="M71" s="103">
        <v>1.8670237478311869E-2</v>
      </c>
      <c r="N71" s="97">
        <f>INDEX('Pace of change parameters'!$E$22:$I$22,1,$B$5)</f>
        <v>1.2019795091496865E-2</v>
      </c>
      <c r="O71" s="108">
        <f>MAX(IF(INDEX('Pace of change parameters'!$E$30:$I$30,1,$B$5)=1,(1+M71)*D71,D71),L71)</f>
        <v>320178</v>
      </c>
      <c r="P71" s="94">
        <f>IF(K71&lt;INDEX('Pace of change parameters'!$E$18:$I$18,1,$B$5),1,IF(K71&gt;INDEX('Pace of change parameters'!$E$19:$I$19,1,$B$5),0,(K71-INDEX('Pace of change parameters'!$E$19:$I$19,1,$B$5))/(INDEX('Pace of change parameters'!$E$18:$I$18,1,$B$5)-INDEX('Pace of change parameters'!$E$19:$I$19,1,$B$5))))</f>
        <v>0</v>
      </c>
      <c r="Q71" s="57">
        <v>1.8670237478311869E-2</v>
      </c>
      <c r="R71" s="57">
        <v>1.2019795091496865E-2</v>
      </c>
      <c r="S71" s="9">
        <f>MAX(IF(INDEX('Pace of change parameters'!$E$31:$I$31,1,$B$5)=1,D71*(1+Q71),D71),L71)</f>
        <v>320178</v>
      </c>
      <c r="T71" s="103">
        <f>IF(Q71&lt;INDEX('Pace of change parameters'!$E$24:$I$24,1,$B$5),INDEX('Pace of change parameters'!$E$24:$I$24,1,$B$5),Q71)</f>
        <v>1.9732353921844841E-2</v>
      </c>
      <c r="U71" s="132">
        <v>1.3074977451794645E-2</v>
      </c>
      <c r="V71" s="117">
        <f t="shared" si="9"/>
        <v>320178</v>
      </c>
      <c r="W71" s="131">
        <f>IF(J71&gt;INDEX('Pace of change parameters'!$E$26:$I$26,1,$B$5),0,IF(J71&lt;INDEX('Pace of change parameters'!$E$25:$I$25,1,$B$5),1,(J71-INDEX('Pace of change parameters'!$E$26:$I$26,1,$B$5))/(INDEX('Pace of change parameters'!$E$25:$I$25,1,$B$5)-INDEX('Pace of change parameters'!$E$26:$I$26,1,$B$5))))</f>
        <v>1</v>
      </c>
      <c r="X71" s="132">
        <f>MIN(T71, T71+(INDEX('Pace of change parameters'!$E$27:$I$27,1,$B$5)-T71)*(1-W71))</f>
        <v>1.9732353921844841E-2</v>
      </c>
      <c r="Y71" s="132">
        <v>1.3074977451794645E-2</v>
      </c>
      <c r="Z71" s="108">
        <f t="shared" si="10"/>
        <v>320178</v>
      </c>
      <c r="AA71" s="97">
        <f>MIN(VLOOKUP(A71,'2017-18 disagg'!$A$12:$BC$220,54,FALSE),-2.5%)</f>
        <v>-2.5000000000000001E-2</v>
      </c>
      <c r="AB71" s="99">
        <f t="shared" si="2"/>
        <v>299367.71257690841</v>
      </c>
      <c r="AC71" s="99">
        <f>MAX(IF(INDEX('Pace of change parameters'!$E$29:$I$29,1,$B$5)=1,MAX(AB71,Z71),Z71),L71)</f>
        <v>320178</v>
      </c>
      <c r="AD71" s="97">
        <f t="shared" si="3"/>
        <v>2.2906762766446764E-2</v>
      </c>
      <c r="AE71" s="146">
        <v>1.62286620007841E-2</v>
      </c>
      <c r="AF71" s="56">
        <f t="shared" si="11"/>
        <v>320178</v>
      </c>
      <c r="AG71" s="56">
        <v>1651.1556467840289</v>
      </c>
      <c r="AH71" s="16">
        <f t="shared" si="4"/>
        <v>2.2906762766446764E-2</v>
      </c>
      <c r="AI71" s="16">
        <f t="shared" si="5"/>
        <v>1.62286620007841E-2</v>
      </c>
      <c r="AJ71" s="56"/>
      <c r="AK71" s="56">
        <v>307043.80777118809</v>
      </c>
      <c r="AL71" s="56">
        <v>1583.4227117774085</v>
      </c>
      <c r="AM71" s="16">
        <f t="shared" si="12"/>
        <v>4.2776281092109292E-2</v>
      </c>
      <c r="AN71" s="58">
        <f t="shared" si="12"/>
        <v>4.2776281092109292E-2</v>
      </c>
      <c r="AP71" s="56">
        <f t="shared" si="6"/>
        <v>1</v>
      </c>
      <c r="AQ71" s="56">
        <f t="shared" si="7"/>
        <v>0</v>
      </c>
    </row>
    <row r="72" spans="1:43" x14ac:dyDescent="0.2">
      <c r="A72" s="156" t="s">
        <v>189</v>
      </c>
      <c r="B72" s="156" t="s">
        <v>190</v>
      </c>
      <c r="D72" s="68">
        <f>VLOOKUP(A72,'2017-18 disagg'!A72:AZ280,43,FALSE)</f>
        <v>280676</v>
      </c>
      <c r="E72" s="73">
        <v>1619.4804476374122</v>
      </c>
      <c r="F72" s="55"/>
      <c r="G72" s="88">
        <v>281872.35434909153</v>
      </c>
      <c r="H72" s="81">
        <v>1618.354186871343</v>
      </c>
      <c r="I72" s="90"/>
      <c r="J72" s="103">
        <f t="shared" si="8"/>
        <v>-4.2443124720555891E-3</v>
      </c>
      <c r="K72" s="126">
        <f t="shared" si="8"/>
        <v>6.9592971378318325E-4</v>
      </c>
      <c r="L72" s="56">
        <v>287293</v>
      </c>
      <c r="M72" s="103">
        <v>1.7040728385914861E-2</v>
      </c>
      <c r="N72" s="97">
        <f>INDEX('Pace of change parameters'!$E$22:$I$22,1,$B$5)</f>
        <v>1.2019795091496865E-2</v>
      </c>
      <c r="O72" s="108">
        <f>MAX(IF(INDEX('Pace of change parameters'!$E$30:$I$30,1,$B$5)=1,(1+M72)*D72,D72),L72)</f>
        <v>287293</v>
      </c>
      <c r="P72" s="94">
        <f>IF(K72&lt;INDEX('Pace of change parameters'!$E$18:$I$18,1,$B$5),1,IF(K72&gt;INDEX('Pace of change parameters'!$E$19:$I$19,1,$B$5),0,(K72-INDEX('Pace of change parameters'!$E$19:$I$19,1,$B$5))/(INDEX('Pace of change parameters'!$E$18:$I$18,1,$B$5)-INDEX('Pace of change parameters'!$E$19:$I$19,1,$B$5))))</f>
        <v>0.18205343172733851</v>
      </c>
      <c r="Q72" s="57">
        <v>1.9415543235454136E-2</v>
      </c>
      <c r="R72" s="57">
        <v>1.438288593961401E-2</v>
      </c>
      <c r="S72" s="9">
        <f>MAX(IF(INDEX('Pace of change parameters'!$E$31:$I$31,1,$B$5)=1,D72*(1+Q72),D72),L72)</f>
        <v>287293</v>
      </c>
      <c r="T72" s="103">
        <f>IF(Q72&lt;INDEX('Pace of change parameters'!$E$24:$I$24,1,$B$5),INDEX('Pace of change parameters'!$E$24:$I$24,1,$B$5),Q72)</f>
        <v>1.9732353921844841E-2</v>
      </c>
      <c r="U72" s="132">
        <v>1.4698132592943836E-2</v>
      </c>
      <c r="V72" s="117">
        <f t="shared" si="9"/>
        <v>287293</v>
      </c>
      <c r="W72" s="131">
        <f>IF(J72&gt;INDEX('Pace of change parameters'!$E$26:$I$26,1,$B$5),0,IF(J72&lt;INDEX('Pace of change parameters'!$E$25:$I$25,1,$B$5),1,(J72-INDEX('Pace of change parameters'!$E$26:$I$26,1,$B$5))/(INDEX('Pace of change parameters'!$E$25:$I$25,1,$B$5)-INDEX('Pace of change parameters'!$E$26:$I$26,1,$B$5))))</f>
        <v>1</v>
      </c>
      <c r="X72" s="132">
        <f>MIN(T72, T72+(INDEX('Pace of change parameters'!$E$27:$I$27,1,$B$5)-T72)*(1-W72))</f>
        <v>1.9732353921844841E-2</v>
      </c>
      <c r="Y72" s="132">
        <v>1.4698132592943836E-2</v>
      </c>
      <c r="Z72" s="108">
        <f t="shared" si="10"/>
        <v>287293</v>
      </c>
      <c r="AA72" s="97">
        <f>MIN(VLOOKUP(A72,'2017-18 disagg'!$A$12:$BC$220,54,FALSE),-2.5%)</f>
        <v>-2.5000000000000001E-2</v>
      </c>
      <c r="AB72" s="99">
        <f t="shared" si="2"/>
        <v>281716.40973705746</v>
      </c>
      <c r="AC72" s="99">
        <f>MAX(IF(INDEX('Pace of change parameters'!$E$29:$I$29,1,$B$5)=1,MAX(AB72,Z72),Z72),L72)</f>
        <v>287293</v>
      </c>
      <c r="AD72" s="97">
        <f t="shared" si="3"/>
        <v>2.3575225526942134E-2</v>
      </c>
      <c r="AE72" s="146">
        <v>1.8522032684462841E-2</v>
      </c>
      <c r="AF72" s="56">
        <f t="shared" si="11"/>
        <v>287293</v>
      </c>
      <c r="AG72" s="56">
        <v>1649.476517420401</v>
      </c>
      <c r="AH72" s="16">
        <f t="shared" si="4"/>
        <v>2.3575225526942134E-2</v>
      </c>
      <c r="AI72" s="16">
        <f t="shared" si="5"/>
        <v>1.8522032684462841E-2</v>
      </c>
      <c r="AJ72" s="56"/>
      <c r="AK72" s="56">
        <v>288939.90742262302</v>
      </c>
      <c r="AL72" s="56">
        <v>1658.9321432796528</v>
      </c>
      <c r="AM72" s="16">
        <f t="shared" si="12"/>
        <v>-5.699826781677908E-3</v>
      </c>
      <c r="AN72" s="58">
        <f t="shared" si="12"/>
        <v>-5.699826781677908E-3</v>
      </c>
      <c r="AP72" s="56">
        <f t="shared" si="6"/>
        <v>1</v>
      </c>
      <c r="AQ72" s="56">
        <f t="shared" si="7"/>
        <v>0</v>
      </c>
    </row>
    <row r="73" spans="1:43" x14ac:dyDescent="0.2">
      <c r="A73" s="156" t="s">
        <v>191</v>
      </c>
      <c r="B73" s="156" t="s">
        <v>192</v>
      </c>
      <c r="D73" s="68">
        <f>VLOOKUP(A73,'2017-18 disagg'!A73:AZ281,43,FALSE)</f>
        <v>458195</v>
      </c>
      <c r="E73" s="73">
        <v>1754.6402478228943</v>
      </c>
      <c r="F73" s="55"/>
      <c r="G73" s="88">
        <v>435931.84316081437</v>
      </c>
      <c r="H73" s="81">
        <v>1663.3101366444864</v>
      </c>
      <c r="I73" s="90"/>
      <c r="J73" s="103">
        <f t="shared" si="8"/>
        <v>5.1070269787501621E-2</v>
      </c>
      <c r="K73" s="126">
        <f t="shared" si="8"/>
        <v>5.490864822278696E-2</v>
      </c>
      <c r="L73" s="56">
        <v>467204</v>
      </c>
      <c r="M73" s="103">
        <v>1.5715566030148231E-2</v>
      </c>
      <c r="N73" s="97">
        <f>INDEX('Pace of change parameters'!$E$22:$I$22,1,$B$5)</f>
        <v>1.2019795091496865E-2</v>
      </c>
      <c r="O73" s="108">
        <f>MAX(IF(INDEX('Pace of change parameters'!$E$30:$I$30,1,$B$5)=1,(1+M73)*D73,D73),L73)</f>
        <v>467204</v>
      </c>
      <c r="P73" s="94">
        <f>IF(K73&lt;INDEX('Pace of change parameters'!$E$18:$I$18,1,$B$5),1,IF(K73&gt;INDEX('Pace of change parameters'!$E$19:$I$19,1,$B$5),0,(K73-INDEX('Pace of change parameters'!$E$19:$I$19,1,$B$5))/(INDEX('Pace of change parameters'!$E$18:$I$18,1,$B$5)-INDEX('Pace of change parameters'!$E$19:$I$19,1,$B$5))))</f>
        <v>0</v>
      </c>
      <c r="Q73" s="57">
        <v>1.5715566030148231E-2</v>
      </c>
      <c r="R73" s="57">
        <v>1.2019795091496865E-2</v>
      </c>
      <c r="S73" s="9">
        <f>MAX(IF(INDEX('Pace of change parameters'!$E$31:$I$31,1,$B$5)=1,D73*(1+Q73),D73),L73)</f>
        <v>467204</v>
      </c>
      <c r="T73" s="103">
        <f>IF(Q73&lt;INDEX('Pace of change parameters'!$E$24:$I$24,1,$B$5),INDEX('Pace of change parameters'!$E$24:$I$24,1,$B$5),Q73)</f>
        <v>1.9732353921844841E-2</v>
      </c>
      <c r="U73" s="132">
        <v>1.6021967545118754E-2</v>
      </c>
      <c r="V73" s="117">
        <f t="shared" si="9"/>
        <v>467236.26590521965</v>
      </c>
      <c r="W73" s="131">
        <f>IF(J73&gt;INDEX('Pace of change parameters'!$E$26:$I$26,1,$B$5),0,IF(J73&lt;INDEX('Pace of change parameters'!$E$25:$I$25,1,$B$5),1,(J73-INDEX('Pace of change parameters'!$E$26:$I$26,1,$B$5))/(INDEX('Pace of change parameters'!$E$25:$I$25,1,$B$5)-INDEX('Pace of change parameters'!$E$26:$I$26,1,$B$5))))</f>
        <v>0.97859460424996769</v>
      </c>
      <c r="X73" s="132">
        <f>MIN(T73, T73+(INDEX('Pace of change parameters'!$E$27:$I$27,1,$B$5)-T73)*(1-W73))</f>
        <v>1.9319229783869216E-2</v>
      </c>
      <c r="Y73" s="132">
        <v>1.5610346595864577E-2</v>
      </c>
      <c r="Z73" s="108">
        <f t="shared" si="10"/>
        <v>467204</v>
      </c>
      <c r="AA73" s="97">
        <f>MIN(VLOOKUP(A73,'2017-18 disagg'!$A$12:$BC$220,54,FALSE),-2.5%)</f>
        <v>-2.5000000000000001E-2</v>
      </c>
      <c r="AB73" s="99">
        <f t="shared" si="2"/>
        <v>435702.47643963963</v>
      </c>
      <c r="AC73" s="99">
        <f>MAX(IF(INDEX('Pace of change parameters'!$E$29:$I$29,1,$B$5)=1,MAX(AB73,Z73),Z73),L73)</f>
        <v>467204</v>
      </c>
      <c r="AD73" s="97">
        <f t="shared" si="3"/>
        <v>1.9661934329270325E-2</v>
      </c>
      <c r="AE73" s="146">
        <v>1.595180418046116E-2</v>
      </c>
      <c r="AF73" s="56">
        <f t="shared" si="11"/>
        <v>467204</v>
      </c>
      <c r="AG73" s="56">
        <v>1782.6299254633209</v>
      </c>
      <c r="AH73" s="16">
        <f t="shared" si="4"/>
        <v>1.9661934329270325E-2</v>
      </c>
      <c r="AI73" s="16">
        <f t="shared" si="5"/>
        <v>1.595180418046116E-2</v>
      </c>
      <c r="AJ73" s="56"/>
      <c r="AK73" s="56">
        <v>446874.33480988682</v>
      </c>
      <c r="AL73" s="56">
        <v>1705.0615194938821</v>
      </c>
      <c r="AM73" s="16">
        <f t="shared" si="12"/>
        <v>4.549302478684969E-2</v>
      </c>
      <c r="AN73" s="58">
        <f t="shared" si="12"/>
        <v>4.549302478684969E-2</v>
      </c>
      <c r="AP73" s="56">
        <f t="shared" si="6"/>
        <v>1</v>
      </c>
      <c r="AQ73" s="56">
        <f t="shared" si="7"/>
        <v>0</v>
      </c>
    </row>
    <row r="74" spans="1:43" x14ac:dyDescent="0.2">
      <c r="A74" s="156" t="s">
        <v>193</v>
      </c>
      <c r="B74" s="156" t="s">
        <v>194</v>
      </c>
      <c r="D74" s="68">
        <f>VLOOKUP(A74,'2017-18 disagg'!A74:AZ282,43,FALSE)</f>
        <v>201951</v>
      </c>
      <c r="E74" s="73">
        <v>1694.5305582866815</v>
      </c>
      <c r="F74" s="55"/>
      <c r="G74" s="88">
        <v>197742.06681983735</v>
      </c>
      <c r="H74" s="81">
        <v>1656.9818535418663</v>
      </c>
      <c r="I74" s="90"/>
      <c r="J74" s="103">
        <f t="shared" si="8"/>
        <v>2.1284966056299037E-2</v>
      </c>
      <c r="K74" s="126">
        <f t="shared" si="8"/>
        <v>2.2660902812274841E-2</v>
      </c>
      <c r="L74" s="56">
        <v>206416</v>
      </c>
      <c r="M74" s="103">
        <v>1.3383249249858453E-2</v>
      </c>
      <c r="N74" s="97">
        <f>INDEX('Pace of change parameters'!$E$22:$I$22,1,$B$5)</f>
        <v>1.2019795091496865E-2</v>
      </c>
      <c r="O74" s="108">
        <f>MAX(IF(INDEX('Pace of change parameters'!$E$30:$I$30,1,$B$5)=1,(1+M74)*D74,D74),L74)</f>
        <v>206416</v>
      </c>
      <c r="P74" s="94">
        <f>IF(K74&lt;INDEX('Pace of change parameters'!$E$18:$I$18,1,$B$5),1,IF(K74&gt;INDEX('Pace of change parameters'!$E$19:$I$19,1,$B$5),0,(K74-INDEX('Pace of change parameters'!$E$19:$I$19,1,$B$5))/(INDEX('Pace of change parameters'!$E$18:$I$18,1,$B$5)-INDEX('Pace of change parameters'!$E$19:$I$19,1,$B$5))))</f>
        <v>0</v>
      </c>
      <c r="Q74" s="57">
        <v>1.3383249249858453E-2</v>
      </c>
      <c r="R74" s="57">
        <v>1.2019795091496865E-2</v>
      </c>
      <c r="S74" s="9">
        <f>MAX(IF(INDEX('Pace of change parameters'!$E$31:$I$31,1,$B$5)=1,D74*(1+Q74),D74),L74)</f>
        <v>206416</v>
      </c>
      <c r="T74" s="103">
        <f>IF(Q74&lt;INDEX('Pace of change parameters'!$E$24:$I$24,1,$B$5),INDEX('Pace of change parameters'!$E$24:$I$24,1,$B$5),Q74)</f>
        <v>1.9732353921844841E-2</v>
      </c>
      <c r="U74" s="132">
        <v>1.8360357375227565E-2</v>
      </c>
      <c r="V74" s="117">
        <f t="shared" si="9"/>
        <v>206416</v>
      </c>
      <c r="W74" s="131">
        <f>IF(J74&gt;INDEX('Pace of change parameters'!$E$26:$I$26,1,$B$5),0,IF(J74&lt;INDEX('Pace of change parameters'!$E$25:$I$25,1,$B$5),1,(J74-INDEX('Pace of change parameters'!$E$26:$I$26,1,$B$5))/(INDEX('Pace of change parameters'!$E$25:$I$25,1,$B$5)-INDEX('Pace of change parameters'!$E$26:$I$26,1,$B$5))))</f>
        <v>1</v>
      </c>
      <c r="X74" s="132">
        <f>MIN(T74, T74+(INDEX('Pace of change parameters'!$E$27:$I$27,1,$B$5)-T74)*(1-W74))</f>
        <v>1.9732353921844841E-2</v>
      </c>
      <c r="Y74" s="132">
        <v>1.8360357375227565E-2</v>
      </c>
      <c r="Z74" s="108">
        <f t="shared" si="10"/>
        <v>206416</v>
      </c>
      <c r="AA74" s="97">
        <f>MIN(VLOOKUP(A74,'2017-18 disagg'!$A$12:$BC$220,54,FALSE),-2.5%)</f>
        <v>-2.5000000000000001E-2</v>
      </c>
      <c r="AB74" s="99">
        <f t="shared" si="2"/>
        <v>197535.54985135741</v>
      </c>
      <c r="AC74" s="99">
        <f>MAX(IF(INDEX('Pace of change parameters'!$E$29:$I$29,1,$B$5)=1,MAX(AB74,Z74),Z74),L74)</f>
        <v>206416</v>
      </c>
      <c r="AD74" s="97">
        <f t="shared" si="3"/>
        <v>2.2109323548781701E-2</v>
      </c>
      <c r="AE74" s="146">
        <v>2.0734128913855399E-2</v>
      </c>
      <c r="AF74" s="56">
        <f t="shared" si="11"/>
        <v>206416</v>
      </c>
      <c r="AG74" s="56">
        <v>1729.6651733306649</v>
      </c>
      <c r="AH74" s="16">
        <f t="shared" si="4"/>
        <v>2.2109323548781701E-2</v>
      </c>
      <c r="AI74" s="16">
        <f t="shared" si="5"/>
        <v>2.0734128913855399E-2</v>
      </c>
      <c r="AJ74" s="56"/>
      <c r="AK74" s="56">
        <v>202600.56395011017</v>
      </c>
      <c r="AL74" s="56">
        <v>1697.6936844123409</v>
      </c>
      <c r="AM74" s="16">
        <f t="shared" si="12"/>
        <v>1.8832307154038164E-2</v>
      </c>
      <c r="AN74" s="58">
        <f t="shared" si="12"/>
        <v>1.8832307154038164E-2</v>
      </c>
      <c r="AP74" s="56">
        <f t="shared" si="6"/>
        <v>1</v>
      </c>
      <c r="AQ74" s="56">
        <f t="shared" si="7"/>
        <v>0</v>
      </c>
    </row>
    <row r="75" spans="1:43" x14ac:dyDescent="0.2">
      <c r="A75" s="156" t="s">
        <v>195</v>
      </c>
      <c r="B75" s="156" t="s">
        <v>196</v>
      </c>
      <c r="D75" s="68">
        <f>VLOOKUP(A75,'2017-18 disagg'!A75:AZ283,43,FALSE)</f>
        <v>1012390</v>
      </c>
      <c r="E75" s="73">
        <v>1711.0846102851488</v>
      </c>
      <c r="F75" s="55"/>
      <c r="G75" s="88">
        <v>951505.59687145683</v>
      </c>
      <c r="H75" s="81">
        <v>1599.438808452848</v>
      </c>
      <c r="I75" s="90"/>
      <c r="J75" s="103">
        <f t="shared" si="8"/>
        <v>6.3987435627000711E-2</v>
      </c>
      <c r="K75" s="126">
        <f t="shared" si="8"/>
        <v>6.9803109216973969E-2</v>
      </c>
      <c r="L75" s="56">
        <v>1034819</v>
      </c>
      <c r="M75" s="103">
        <v>1.7551417550342174E-2</v>
      </c>
      <c r="N75" s="97">
        <f>INDEX('Pace of change parameters'!$E$22:$I$22,1,$B$5)</f>
        <v>1.2019795091496865E-2</v>
      </c>
      <c r="O75" s="108">
        <f>MAX(IF(INDEX('Pace of change parameters'!$E$30:$I$30,1,$B$5)=1,(1+M75)*D75,D75),L75)</f>
        <v>1034819</v>
      </c>
      <c r="P75" s="94">
        <f>IF(K75&lt;INDEX('Pace of change parameters'!$E$18:$I$18,1,$B$5),1,IF(K75&gt;INDEX('Pace of change parameters'!$E$19:$I$19,1,$B$5),0,(K75-INDEX('Pace of change parameters'!$E$19:$I$19,1,$B$5))/(INDEX('Pace of change parameters'!$E$18:$I$18,1,$B$5)-INDEX('Pace of change parameters'!$E$19:$I$19,1,$B$5))))</f>
        <v>0</v>
      </c>
      <c r="Q75" s="57">
        <v>1.7551417550342174E-2</v>
      </c>
      <c r="R75" s="57">
        <v>1.2019795091496865E-2</v>
      </c>
      <c r="S75" s="9">
        <f>MAX(IF(INDEX('Pace of change parameters'!$E$31:$I$31,1,$B$5)=1,D75*(1+Q75),D75),L75)</f>
        <v>1034819</v>
      </c>
      <c r="T75" s="103">
        <f>IF(Q75&lt;INDEX('Pace of change parameters'!$E$24:$I$24,1,$B$5),INDEX('Pace of change parameters'!$E$24:$I$24,1,$B$5),Q75)</f>
        <v>1.9732353921844841E-2</v>
      </c>
      <c r="U75" s="132">
        <v>1.418887543645786E-2</v>
      </c>
      <c r="V75" s="117">
        <f t="shared" si="9"/>
        <v>1034819</v>
      </c>
      <c r="W75" s="131">
        <f>IF(J75&gt;INDEX('Pace of change parameters'!$E$26:$I$26,1,$B$5),0,IF(J75&lt;INDEX('Pace of change parameters'!$E$25:$I$25,1,$B$5),1,(J75-INDEX('Pace of change parameters'!$E$26:$I$26,1,$B$5))/(INDEX('Pace of change parameters'!$E$25:$I$25,1,$B$5)-INDEX('Pace of change parameters'!$E$26:$I$26,1,$B$5))))</f>
        <v>0.7202512874599859</v>
      </c>
      <c r="X75" s="132">
        <f>MIN(T75, T75+(INDEX('Pace of change parameters'!$E$27:$I$27,1,$B$5)-T75)*(1-W75))</f>
        <v>1.4333203769822569E-2</v>
      </c>
      <c r="Y75" s="132">
        <v>8.8190761945954321E-3</v>
      </c>
      <c r="Z75" s="108">
        <f t="shared" si="10"/>
        <v>1034819</v>
      </c>
      <c r="AA75" s="97">
        <f>MIN(VLOOKUP(A75,'2017-18 disagg'!$A$12:$BC$220,54,FALSE),-2.5%)</f>
        <v>-2.5000000000000001E-2</v>
      </c>
      <c r="AB75" s="99">
        <f t="shared" si="2"/>
        <v>951691.11095868447</v>
      </c>
      <c r="AC75" s="99">
        <f>MAX(IF(INDEX('Pace of change parameters'!$E$29:$I$29,1,$B$5)=1,MAX(AB75,Z75),Z75),L75)</f>
        <v>1034819</v>
      </c>
      <c r="AD75" s="97">
        <f t="shared" si="3"/>
        <v>2.2154505674690572E-2</v>
      </c>
      <c r="AE75" s="146">
        <v>1.6597859865467468E-2</v>
      </c>
      <c r="AF75" s="56">
        <f t="shared" si="11"/>
        <v>1034819</v>
      </c>
      <c r="AG75" s="56">
        <v>1739.4849528646193</v>
      </c>
      <c r="AH75" s="16">
        <f t="shared" si="4"/>
        <v>2.2154505674690572E-2</v>
      </c>
      <c r="AI75" s="16">
        <f t="shared" si="5"/>
        <v>1.6597859865467246E-2</v>
      </c>
      <c r="AJ75" s="56"/>
      <c r="AK75" s="56">
        <v>976093.44713711226</v>
      </c>
      <c r="AL75" s="56">
        <v>1640.7698968464665</v>
      </c>
      <c r="AM75" s="16">
        <f t="shared" si="12"/>
        <v>6.0163863444765653E-2</v>
      </c>
      <c r="AN75" s="58">
        <f t="shared" si="12"/>
        <v>6.0163863444765431E-2</v>
      </c>
      <c r="AP75" s="56">
        <f t="shared" si="6"/>
        <v>1</v>
      </c>
      <c r="AQ75" s="56">
        <f t="shared" si="7"/>
        <v>0</v>
      </c>
    </row>
    <row r="76" spans="1:43" x14ac:dyDescent="0.2">
      <c r="A76" s="156" t="s">
        <v>197</v>
      </c>
      <c r="B76" s="156" t="s">
        <v>198</v>
      </c>
      <c r="D76" s="68">
        <f>VLOOKUP(A76,'2017-18 disagg'!A76:AZ284,43,FALSE)</f>
        <v>517174</v>
      </c>
      <c r="E76" s="73">
        <v>1449.8800680364627</v>
      </c>
      <c r="F76" s="55"/>
      <c r="G76" s="88">
        <v>507553.0638101605</v>
      </c>
      <c r="H76" s="81">
        <v>1414.1240462199939</v>
      </c>
      <c r="I76" s="90"/>
      <c r="J76" s="103">
        <f t="shared" si="8"/>
        <v>1.8955527758252266E-2</v>
      </c>
      <c r="K76" s="126">
        <f t="shared" si="8"/>
        <v>2.5284925966746696E-2</v>
      </c>
      <c r="L76" s="56">
        <v>529621</v>
      </c>
      <c r="M76" s="103">
        <v>1.8306110935040421E-2</v>
      </c>
      <c r="N76" s="97">
        <f>INDEX('Pace of change parameters'!$E$22:$I$22,1,$B$5)</f>
        <v>1.2019795091496865E-2</v>
      </c>
      <c r="O76" s="108">
        <f>MAX(IF(INDEX('Pace of change parameters'!$E$30:$I$30,1,$B$5)=1,(1+M76)*D76,D76),L76)</f>
        <v>529621</v>
      </c>
      <c r="P76" s="94">
        <f>IF(K76&lt;INDEX('Pace of change parameters'!$E$18:$I$18,1,$B$5),1,IF(K76&gt;INDEX('Pace of change parameters'!$E$19:$I$19,1,$B$5),0,(K76-INDEX('Pace of change parameters'!$E$19:$I$19,1,$B$5))/(INDEX('Pace of change parameters'!$E$18:$I$18,1,$B$5)-INDEX('Pace of change parameters'!$E$19:$I$19,1,$B$5))))</f>
        <v>0</v>
      </c>
      <c r="Q76" s="57">
        <v>1.8306110935040421E-2</v>
      </c>
      <c r="R76" s="57">
        <v>1.2019795091496865E-2</v>
      </c>
      <c r="S76" s="9">
        <f>MAX(IF(INDEX('Pace of change parameters'!$E$31:$I$31,1,$B$5)=1,D76*(1+Q76),D76),L76)</f>
        <v>529621</v>
      </c>
      <c r="T76" s="103">
        <f>IF(Q76&lt;INDEX('Pace of change parameters'!$E$24:$I$24,1,$B$5),INDEX('Pace of change parameters'!$E$24:$I$24,1,$B$5),Q76)</f>
        <v>1.9732353921844841E-2</v>
      </c>
      <c r="U76" s="132">
        <v>1.343723344304637E-2</v>
      </c>
      <c r="V76" s="117">
        <f t="shared" si="9"/>
        <v>529621</v>
      </c>
      <c r="W76" s="131">
        <f>IF(J76&gt;INDEX('Pace of change parameters'!$E$26:$I$26,1,$B$5),0,IF(J76&lt;INDEX('Pace of change parameters'!$E$25:$I$25,1,$B$5),1,(J76-INDEX('Pace of change parameters'!$E$26:$I$26,1,$B$5))/(INDEX('Pace of change parameters'!$E$25:$I$25,1,$B$5)-INDEX('Pace of change parameters'!$E$26:$I$26,1,$B$5))))</f>
        <v>1</v>
      </c>
      <c r="X76" s="132">
        <f>MIN(T76, T76+(INDEX('Pace of change parameters'!$E$27:$I$27,1,$B$5)-T76)*(1-W76))</f>
        <v>1.9732353921844841E-2</v>
      </c>
      <c r="Y76" s="132">
        <v>1.343723344304637E-2</v>
      </c>
      <c r="Z76" s="108">
        <f t="shared" si="10"/>
        <v>529621</v>
      </c>
      <c r="AA76" s="97">
        <f>MIN(VLOOKUP(A76,'2017-18 disagg'!$A$12:$BC$220,54,FALSE),-2.5%)</f>
        <v>-2.5000000000000001E-2</v>
      </c>
      <c r="AB76" s="99">
        <f t="shared" ref="AB76:AB139" si="13">(1+AA76)*AK76</f>
        <v>507262.30646608985</v>
      </c>
      <c r="AC76" s="99">
        <f>MAX(IF(INDEX('Pace of change parameters'!$E$29:$I$29,1,$B$5)=1,MAX(AB76,Z76),Z76),L76)</f>
        <v>529621</v>
      </c>
      <c r="AD76" s="97">
        <f t="shared" ref="AD76:AD139" si="14">AC76/D76-1</f>
        <v>2.406733517152837E-2</v>
      </c>
      <c r="AE76" s="146">
        <v>1.7745453524335986E-2</v>
      </c>
      <c r="AF76" s="56">
        <f t="shared" si="11"/>
        <v>529621</v>
      </c>
      <c r="AG76" s="56">
        <v>1475.6088473996647</v>
      </c>
      <c r="AH76" s="16">
        <f t="shared" ref="AH76:AH139" si="15">AF76/D76 - 1</f>
        <v>2.406733517152837E-2</v>
      </c>
      <c r="AI76" s="16">
        <f t="shared" ref="AI76:AI139" si="16">AG76/E76 - 1</f>
        <v>1.7745453524335764E-2</v>
      </c>
      <c r="AJ76" s="56"/>
      <c r="AK76" s="56">
        <v>520269.03227291268</v>
      </c>
      <c r="AL76" s="56">
        <v>1449.552768961147</v>
      </c>
      <c r="AM76" s="16">
        <f t="shared" si="12"/>
        <v>1.7975253468827779E-2</v>
      </c>
      <c r="AN76" s="58">
        <f t="shared" si="12"/>
        <v>1.7975253468827779E-2</v>
      </c>
      <c r="AP76" s="56">
        <f t="shared" ref="AP76:AP139" si="17">IF(AF76=L76,1,0)</f>
        <v>1</v>
      </c>
      <c r="AQ76" s="56">
        <f t="shared" ref="AQ76:AQ139" si="18">IF(AB76=AF76,1,0)</f>
        <v>0</v>
      </c>
    </row>
    <row r="77" spans="1:43" x14ac:dyDescent="0.2">
      <c r="A77" s="156" t="s">
        <v>199</v>
      </c>
      <c r="B77" s="156" t="s">
        <v>200</v>
      </c>
      <c r="D77" s="68">
        <f>VLOOKUP(A77,'2017-18 disagg'!A77:AZ285,43,FALSE)</f>
        <v>638517</v>
      </c>
      <c r="E77" s="73">
        <v>1739.4848573994432</v>
      </c>
      <c r="F77" s="55"/>
      <c r="G77" s="88">
        <v>614980.77147243323</v>
      </c>
      <c r="H77" s="81">
        <v>1666.6521932142032</v>
      </c>
      <c r="I77" s="90"/>
      <c r="J77" s="103">
        <f t="shared" ref="J77:K140" si="19">D77/G77-1</f>
        <v>3.8271486881150008E-2</v>
      </c>
      <c r="K77" s="126">
        <f t="shared" si="19"/>
        <v>4.3699978004876572E-2</v>
      </c>
      <c r="L77" s="56">
        <v>652558</v>
      </c>
      <c r="M77" s="103">
        <v>1.7311032059962761E-2</v>
      </c>
      <c r="N77" s="97">
        <f>INDEX('Pace of change parameters'!$E$22:$I$22,1,$B$5)</f>
        <v>1.2019795091496865E-2</v>
      </c>
      <c r="O77" s="108">
        <f>MAX(IF(INDEX('Pace of change parameters'!$E$30:$I$30,1,$B$5)=1,(1+M77)*D77,D77),L77)</f>
        <v>652558</v>
      </c>
      <c r="P77" s="94">
        <f>IF(K77&lt;INDEX('Pace of change parameters'!$E$18:$I$18,1,$B$5),1,IF(K77&gt;INDEX('Pace of change parameters'!$E$19:$I$19,1,$B$5),0,(K77-INDEX('Pace of change parameters'!$E$19:$I$19,1,$B$5))/(INDEX('Pace of change parameters'!$E$18:$I$18,1,$B$5)-INDEX('Pace of change parameters'!$E$19:$I$19,1,$B$5))))</f>
        <v>0</v>
      </c>
      <c r="Q77" s="57">
        <v>1.7311032059962761E-2</v>
      </c>
      <c r="R77" s="57">
        <v>1.2019795091496865E-2</v>
      </c>
      <c r="S77" s="9">
        <f>MAX(IF(INDEX('Pace of change parameters'!$E$31:$I$31,1,$B$5)=1,D77*(1+Q77),D77),L77)</f>
        <v>652558</v>
      </c>
      <c r="T77" s="103">
        <f>IF(Q77&lt;INDEX('Pace of change parameters'!$E$24:$I$24,1,$B$5),INDEX('Pace of change parameters'!$E$24:$I$24,1,$B$5),Q77)</f>
        <v>1.9732353921844841E-2</v>
      </c>
      <c r="U77" s="132">
        <v>1.4428523176899022E-2</v>
      </c>
      <c r="V77" s="117">
        <f t="shared" ref="V77:V140" si="20">MAX(D77*(1+T77),L77)</f>
        <v>652558</v>
      </c>
      <c r="W77" s="131">
        <f>IF(J77&gt;INDEX('Pace of change parameters'!$E$26:$I$26,1,$B$5),0,IF(J77&lt;INDEX('Pace of change parameters'!$E$25:$I$25,1,$B$5),1,(J77-INDEX('Pace of change parameters'!$E$26:$I$26,1,$B$5))/(INDEX('Pace of change parameters'!$E$25:$I$25,1,$B$5)-INDEX('Pace of change parameters'!$E$26:$I$26,1,$B$5))))</f>
        <v>1</v>
      </c>
      <c r="X77" s="132">
        <f>MIN(T77, T77+(INDEX('Pace of change parameters'!$E$27:$I$27,1,$B$5)-T77)*(1-W77))</f>
        <v>1.9732353921844841E-2</v>
      </c>
      <c r="Y77" s="132">
        <v>1.4428523176899022E-2</v>
      </c>
      <c r="Z77" s="108">
        <f t="shared" ref="Z77:Z140" si="21">MAX(D77*(1+X77),L77)</f>
        <v>652558</v>
      </c>
      <c r="AA77" s="97">
        <f>MIN(VLOOKUP(A77,'2017-18 disagg'!$A$12:$BC$220,54,FALSE),-2.5%)</f>
        <v>-2.5000000000000001E-2</v>
      </c>
      <c r="AB77" s="99">
        <f t="shared" si="13"/>
        <v>614472.25095379713</v>
      </c>
      <c r="AC77" s="99">
        <f>MAX(IF(INDEX('Pace of change parameters'!$E$29:$I$29,1,$B$5)=1,MAX(AB77,Z77),Z77),L77)</f>
        <v>652558</v>
      </c>
      <c r="AD77" s="97">
        <f t="shared" si="14"/>
        <v>2.199001749366114E-2</v>
      </c>
      <c r="AE77" s="146">
        <v>1.6674444191545401E-2</v>
      </c>
      <c r="AF77" s="56">
        <f t="shared" ref="AF77:AF140" si="22">AC77</f>
        <v>652558</v>
      </c>
      <c r="AG77" s="56">
        <v>1768.4898005761886</v>
      </c>
      <c r="AH77" s="16">
        <f t="shared" si="15"/>
        <v>2.199001749366114E-2</v>
      </c>
      <c r="AI77" s="16">
        <f t="shared" si="16"/>
        <v>1.6674444191545401E-2</v>
      </c>
      <c r="AJ77" s="56"/>
      <c r="AK77" s="56">
        <v>630227.94969620218</v>
      </c>
      <c r="AL77" s="56">
        <v>1707.9733925195567</v>
      </c>
      <c r="AM77" s="16">
        <f t="shared" ref="AM77:AN140" si="23">AF77/AK77-1</f>
        <v>3.543170421838937E-2</v>
      </c>
      <c r="AN77" s="58">
        <f t="shared" si="23"/>
        <v>3.543170421838937E-2</v>
      </c>
      <c r="AP77" s="56">
        <f t="shared" si="17"/>
        <v>1</v>
      </c>
      <c r="AQ77" s="56">
        <f t="shared" si="18"/>
        <v>0</v>
      </c>
    </row>
    <row r="78" spans="1:43" x14ac:dyDescent="0.2">
      <c r="A78" s="156" t="s">
        <v>201</v>
      </c>
      <c r="B78" s="156" t="s">
        <v>202</v>
      </c>
      <c r="D78" s="68">
        <f>VLOOKUP(A78,'2017-18 disagg'!A78:AZ286,43,FALSE)</f>
        <v>1257819</v>
      </c>
      <c r="E78" s="73">
        <v>1727.5065189903041</v>
      </c>
      <c r="F78" s="55"/>
      <c r="G78" s="88">
        <v>1258153.6738405358</v>
      </c>
      <c r="H78" s="81">
        <v>1715.4464770039679</v>
      </c>
      <c r="I78" s="90"/>
      <c r="J78" s="103">
        <f t="shared" si="19"/>
        <v>-2.6600394490305934E-4</v>
      </c>
      <c r="K78" s="126">
        <f t="shared" si="19"/>
        <v>7.0302642186768072E-3</v>
      </c>
      <c r="L78" s="56">
        <v>1290612</v>
      </c>
      <c r="M78" s="103">
        <v>1.9405727590517285E-2</v>
      </c>
      <c r="N78" s="97">
        <f>INDEX('Pace of change parameters'!$E$22:$I$22,1,$B$5)</f>
        <v>1.2019795091496865E-2</v>
      </c>
      <c r="O78" s="108">
        <f>MAX(IF(INDEX('Pace of change parameters'!$E$30:$I$30,1,$B$5)=1,(1+M78)*D78,D78),L78)</f>
        <v>1290612</v>
      </c>
      <c r="P78" s="94">
        <f>IF(K78&lt;INDEX('Pace of change parameters'!$E$18:$I$18,1,$B$5),1,IF(K78&gt;INDEX('Pace of change parameters'!$E$19:$I$19,1,$B$5),0,(K78-INDEX('Pace of change parameters'!$E$19:$I$19,1,$B$5))/(INDEX('Pace of change parameters'!$E$18:$I$18,1,$B$5)-INDEX('Pace of change parameters'!$E$19:$I$19,1,$B$5))))</f>
        <v>4.4607632939295684E-2</v>
      </c>
      <c r="Q78" s="57">
        <v>1.9988969588210503E-2</v>
      </c>
      <c r="R78" s="57">
        <v>1.2598811307532154E-2</v>
      </c>
      <c r="S78" s="9">
        <f>MAX(IF(INDEX('Pace of change parameters'!$E$31:$I$31,1,$B$5)=1,D78*(1+Q78),D78),L78)</f>
        <v>1290612</v>
      </c>
      <c r="T78" s="103">
        <f>IF(Q78&lt;INDEX('Pace of change parameters'!$E$24:$I$24,1,$B$5),INDEX('Pace of change parameters'!$E$24:$I$24,1,$B$5),Q78)</f>
        <v>1.9988969588210503E-2</v>
      </c>
      <c r="U78" s="132">
        <v>1.2598811307532154E-2</v>
      </c>
      <c r="V78" s="117">
        <f t="shared" si="20"/>
        <v>1290612</v>
      </c>
      <c r="W78" s="131">
        <f>IF(J78&gt;INDEX('Pace of change parameters'!$E$26:$I$26,1,$B$5),0,IF(J78&lt;INDEX('Pace of change parameters'!$E$25:$I$25,1,$B$5),1,(J78-INDEX('Pace of change parameters'!$E$26:$I$26,1,$B$5))/(INDEX('Pace of change parameters'!$E$25:$I$25,1,$B$5)-INDEX('Pace of change parameters'!$E$26:$I$26,1,$B$5))))</f>
        <v>1</v>
      </c>
      <c r="X78" s="132">
        <f>MIN(T78, T78+(INDEX('Pace of change parameters'!$E$27:$I$27,1,$B$5)-T78)*(1-W78))</f>
        <v>1.9988969588210503E-2</v>
      </c>
      <c r="Y78" s="132">
        <v>1.2598811307532154E-2</v>
      </c>
      <c r="Z78" s="108">
        <f t="shared" si="21"/>
        <v>1290612</v>
      </c>
      <c r="AA78" s="97">
        <f>MIN(VLOOKUP(A78,'2017-18 disagg'!$A$12:$BC$220,54,FALSE),-2.5%)</f>
        <v>-2.5000000000000001E-2</v>
      </c>
      <c r="AB78" s="99">
        <f t="shared" si="13"/>
        <v>1258721.8223086582</v>
      </c>
      <c r="AC78" s="99">
        <f>MAX(IF(INDEX('Pace of change parameters'!$E$29:$I$29,1,$B$5)=1,MAX(AB78,Z78),Z78),L78)</f>
        <v>1290612</v>
      </c>
      <c r="AD78" s="97">
        <f t="shared" si="14"/>
        <v>2.6071318687346912E-2</v>
      </c>
      <c r="AE78" s="146">
        <v>1.8637091770731251E-2</v>
      </c>
      <c r="AF78" s="56">
        <f t="shared" si="22"/>
        <v>1290612</v>
      </c>
      <c r="AG78" s="56">
        <v>1759.7022165192629</v>
      </c>
      <c r="AH78" s="16">
        <f t="shared" si="15"/>
        <v>2.6071318687346912E-2</v>
      </c>
      <c r="AI78" s="16">
        <f t="shared" si="16"/>
        <v>1.8637091770731251E-2</v>
      </c>
      <c r="AJ78" s="56"/>
      <c r="AK78" s="56">
        <v>1290996.740829393</v>
      </c>
      <c r="AL78" s="56">
        <v>1760.226796555919</v>
      </c>
      <c r="AM78" s="16">
        <f t="shared" si="23"/>
        <v>-2.9801843585275378E-4</v>
      </c>
      <c r="AN78" s="58">
        <f t="shared" si="23"/>
        <v>-2.9801843585297583E-4</v>
      </c>
      <c r="AP78" s="56">
        <f t="shared" si="17"/>
        <v>1</v>
      </c>
      <c r="AQ78" s="56">
        <f t="shared" si="18"/>
        <v>0</v>
      </c>
    </row>
    <row r="79" spans="1:43" x14ac:dyDescent="0.2">
      <c r="A79" s="156" t="s">
        <v>203</v>
      </c>
      <c r="B79" s="156" t="s">
        <v>204</v>
      </c>
      <c r="D79" s="68">
        <f>VLOOKUP(A79,'2017-18 disagg'!A79:AZ287,43,FALSE)</f>
        <v>483172</v>
      </c>
      <c r="E79" s="73">
        <v>1624.3462913408034</v>
      </c>
      <c r="F79" s="55"/>
      <c r="G79" s="88">
        <v>493101.29555542866</v>
      </c>
      <c r="H79" s="81">
        <v>1646.3603484489929</v>
      </c>
      <c r="I79" s="90"/>
      <c r="J79" s="103">
        <f t="shared" si="19"/>
        <v>-2.013642155258244E-2</v>
      </c>
      <c r="K79" s="126">
        <f t="shared" si="19"/>
        <v>-1.337134797307804E-2</v>
      </c>
      <c r="L79" s="56">
        <v>495076</v>
      </c>
      <c r="M79" s="103">
        <v>1.9006878322569865E-2</v>
      </c>
      <c r="N79" s="97">
        <f>INDEX('Pace of change parameters'!$E$22:$I$22,1,$B$5)</f>
        <v>1.2019795091496865E-2</v>
      </c>
      <c r="O79" s="108">
        <f>MAX(IF(INDEX('Pace of change parameters'!$E$30:$I$30,1,$B$5)=1,(1+M79)*D79,D79),L79)</f>
        <v>495076</v>
      </c>
      <c r="P79" s="94">
        <f>IF(K79&lt;INDEX('Pace of change parameters'!$E$18:$I$18,1,$B$5),1,IF(K79&gt;INDEX('Pace of change parameters'!$E$19:$I$19,1,$B$5),0,(K79-INDEX('Pace of change parameters'!$E$19:$I$19,1,$B$5))/(INDEX('Pace of change parameters'!$E$18:$I$18,1,$B$5)-INDEX('Pace of change parameters'!$E$19:$I$19,1,$B$5))))</f>
        <v>0.4872927930130625</v>
      </c>
      <c r="Q79" s="57">
        <v>2.5375708149092846E-2</v>
      </c>
      <c r="R79" s="57">
        <v>1.8344955395243279E-2</v>
      </c>
      <c r="S79" s="9">
        <f>MAX(IF(INDEX('Pace of change parameters'!$E$31:$I$31,1,$B$5)=1,D79*(1+Q79),D79),L79)</f>
        <v>495432.83165781351</v>
      </c>
      <c r="T79" s="103">
        <f>IF(Q79&lt;INDEX('Pace of change parameters'!$E$24:$I$24,1,$B$5),INDEX('Pace of change parameters'!$E$24:$I$24,1,$B$5),Q79)</f>
        <v>2.5375708149092846E-2</v>
      </c>
      <c r="U79" s="132">
        <v>1.8344955395243279E-2</v>
      </c>
      <c r="V79" s="117">
        <f t="shared" si="20"/>
        <v>495432.83165781351</v>
      </c>
      <c r="W79" s="131">
        <f>IF(J79&gt;INDEX('Pace of change parameters'!$E$26:$I$26,1,$B$5),0,IF(J79&lt;INDEX('Pace of change parameters'!$E$25:$I$25,1,$B$5),1,(J79-INDEX('Pace of change parameters'!$E$26:$I$26,1,$B$5))/(INDEX('Pace of change parameters'!$E$25:$I$25,1,$B$5)-INDEX('Pace of change parameters'!$E$26:$I$26,1,$B$5))))</f>
        <v>1</v>
      </c>
      <c r="X79" s="132">
        <f>MIN(T79, T79+(INDEX('Pace of change parameters'!$E$27:$I$27,1,$B$5)-T79)*(1-W79))</f>
        <v>2.5375708149092846E-2</v>
      </c>
      <c r="Y79" s="132">
        <v>1.8344955395243279E-2</v>
      </c>
      <c r="Z79" s="108">
        <f t="shared" si="21"/>
        <v>495432.83165781351</v>
      </c>
      <c r="AA79" s="97">
        <f>MIN(VLOOKUP(A79,'2017-18 disagg'!$A$12:$BC$220,54,FALSE),-2.5%)</f>
        <v>-2.5000000000000001E-2</v>
      </c>
      <c r="AB79" s="99">
        <f t="shared" si="13"/>
        <v>493325.38417596673</v>
      </c>
      <c r="AC79" s="99">
        <f>MAX(IF(INDEX('Pace of change parameters'!$E$29:$I$29,1,$B$5)=1,MAX(AB79,Z79),Z79),L79)</f>
        <v>495432.83165781351</v>
      </c>
      <c r="AD79" s="97">
        <f t="shared" si="14"/>
        <v>2.5375708149092846E-2</v>
      </c>
      <c r="AE79" s="146">
        <v>1.8344955395243279E-2</v>
      </c>
      <c r="AF79" s="56">
        <f t="shared" si="22"/>
        <v>495432.83165781351</v>
      </c>
      <c r="AG79" s="56">
        <v>1654.1448516018795</v>
      </c>
      <c r="AH79" s="16">
        <f t="shared" si="15"/>
        <v>2.5375708149092846E-2</v>
      </c>
      <c r="AI79" s="16">
        <f t="shared" si="16"/>
        <v>1.8344955395243501E-2</v>
      </c>
      <c r="AJ79" s="56"/>
      <c r="AK79" s="56">
        <v>505974.75300099154</v>
      </c>
      <c r="AL79" s="56">
        <v>1689.3420848119988</v>
      </c>
      <c r="AM79" s="16">
        <f t="shared" si="23"/>
        <v>-2.083487620805724E-2</v>
      </c>
      <c r="AN79" s="58">
        <f t="shared" si="23"/>
        <v>-2.083487620805724E-2</v>
      </c>
      <c r="AP79" s="56">
        <f t="shared" si="17"/>
        <v>0</v>
      </c>
      <c r="AQ79" s="56">
        <f t="shared" si="18"/>
        <v>0</v>
      </c>
    </row>
    <row r="80" spans="1:43" x14ac:dyDescent="0.2">
      <c r="A80" s="156" t="s">
        <v>205</v>
      </c>
      <c r="B80" s="156" t="s">
        <v>206</v>
      </c>
      <c r="D80" s="68">
        <f>VLOOKUP(A80,'2017-18 disagg'!A80:AZ288,43,FALSE)</f>
        <v>214817</v>
      </c>
      <c r="E80" s="73">
        <v>1619.8133987584447</v>
      </c>
      <c r="F80" s="55"/>
      <c r="G80" s="88">
        <v>215617.4090269008</v>
      </c>
      <c r="H80" s="81">
        <v>1620.8579056256965</v>
      </c>
      <c r="I80" s="90"/>
      <c r="J80" s="103">
        <f t="shared" si="19"/>
        <v>-3.7121725491142676E-3</v>
      </c>
      <c r="K80" s="126">
        <f t="shared" si="19"/>
        <v>-6.4441606116516503E-4</v>
      </c>
      <c r="L80" s="56">
        <v>219626</v>
      </c>
      <c r="M80" s="103">
        <v>1.5135993249079993E-2</v>
      </c>
      <c r="N80" s="97">
        <f>INDEX('Pace of change parameters'!$E$22:$I$22,1,$B$5)</f>
        <v>1.2019795091496865E-2</v>
      </c>
      <c r="O80" s="108">
        <f>MAX(IF(INDEX('Pace of change parameters'!$E$30:$I$30,1,$B$5)=1,(1+M80)*D80,D80),L80)</f>
        <v>219626</v>
      </c>
      <c r="P80" s="94">
        <f>IF(K80&lt;INDEX('Pace of change parameters'!$E$18:$I$18,1,$B$5),1,IF(K80&gt;INDEX('Pace of change parameters'!$E$19:$I$19,1,$B$5),0,(K80-INDEX('Pace of change parameters'!$E$19:$I$19,1,$B$5))/(INDEX('Pace of change parameters'!$E$18:$I$18,1,$B$5)-INDEX('Pace of change parameters'!$E$19:$I$19,1,$B$5))))</f>
        <v>0.21113697563358944</v>
      </c>
      <c r="Q80" s="57">
        <v>1.7885033280069518E-2</v>
      </c>
      <c r="R80" s="57">
        <v>1.4760396298982403E-2</v>
      </c>
      <c r="S80" s="9">
        <f>MAX(IF(INDEX('Pace of change parameters'!$E$31:$I$31,1,$B$5)=1,D80*(1+Q80),D80),L80)</f>
        <v>219626</v>
      </c>
      <c r="T80" s="103">
        <f>IF(Q80&lt;INDEX('Pace of change parameters'!$E$24:$I$24,1,$B$5),INDEX('Pace of change parameters'!$E$24:$I$24,1,$B$5),Q80)</f>
        <v>1.9732353921844841E-2</v>
      </c>
      <c r="U80" s="132">
        <v>1.6602046156529049E-2</v>
      </c>
      <c r="V80" s="117">
        <f t="shared" si="20"/>
        <v>219626</v>
      </c>
      <c r="W80" s="131">
        <f>IF(J80&gt;INDEX('Pace of change parameters'!$E$26:$I$26,1,$B$5),0,IF(J80&lt;INDEX('Pace of change parameters'!$E$25:$I$25,1,$B$5),1,(J80-INDEX('Pace of change parameters'!$E$26:$I$26,1,$B$5))/(INDEX('Pace of change parameters'!$E$25:$I$25,1,$B$5)-INDEX('Pace of change parameters'!$E$26:$I$26,1,$B$5))))</f>
        <v>1</v>
      </c>
      <c r="X80" s="132">
        <f>MIN(T80, T80+(INDEX('Pace of change parameters'!$E$27:$I$27,1,$B$5)-T80)*(1-W80))</f>
        <v>1.9732353921844841E-2</v>
      </c>
      <c r="Y80" s="132">
        <v>1.6602046156529049E-2</v>
      </c>
      <c r="Z80" s="108">
        <f t="shared" si="21"/>
        <v>219626</v>
      </c>
      <c r="AA80" s="97">
        <f>MIN(VLOOKUP(A80,'2017-18 disagg'!$A$12:$BC$220,54,FALSE),-2.5%)</f>
        <v>-2.5000000000000001E-2</v>
      </c>
      <c r="AB80" s="99">
        <f t="shared" si="13"/>
        <v>215474.97390507726</v>
      </c>
      <c r="AC80" s="99">
        <f>MAX(IF(INDEX('Pace of change parameters'!$E$29:$I$29,1,$B$5)=1,MAX(AB80,Z80),Z80),L80)</f>
        <v>219626</v>
      </c>
      <c r="AD80" s="97">
        <f t="shared" si="14"/>
        <v>2.2386496413226098E-2</v>
      </c>
      <c r="AE80" s="146">
        <v>1.9248041134674043E-2</v>
      </c>
      <c r="AF80" s="56">
        <f t="shared" si="22"/>
        <v>219626</v>
      </c>
      <c r="AG80" s="56">
        <v>1650.9916336882436</v>
      </c>
      <c r="AH80" s="16">
        <f t="shared" si="15"/>
        <v>2.2386496413226098E-2</v>
      </c>
      <c r="AI80" s="16">
        <f t="shared" si="16"/>
        <v>1.9248041134674265E-2</v>
      </c>
      <c r="AJ80" s="56"/>
      <c r="AK80" s="56">
        <v>220999.97323597668</v>
      </c>
      <c r="AL80" s="56">
        <v>1661.3201845770684</v>
      </c>
      <c r="AM80" s="16">
        <f t="shared" si="23"/>
        <v>-6.2170742188715211E-3</v>
      </c>
      <c r="AN80" s="58">
        <f t="shared" si="23"/>
        <v>-6.2170742188714101E-3</v>
      </c>
      <c r="AP80" s="56">
        <f t="shared" si="17"/>
        <v>1</v>
      </c>
      <c r="AQ80" s="56">
        <f t="shared" si="18"/>
        <v>0</v>
      </c>
    </row>
    <row r="81" spans="1:43" x14ac:dyDescent="0.2">
      <c r="A81" s="156" t="s">
        <v>207</v>
      </c>
      <c r="B81" s="156" t="s">
        <v>208</v>
      </c>
      <c r="D81" s="68">
        <f>VLOOKUP(A81,'2017-18 disagg'!A81:AZ289,43,FALSE)</f>
        <v>790806</v>
      </c>
      <c r="E81" s="73">
        <v>1586.2573984418998</v>
      </c>
      <c r="F81" s="55"/>
      <c r="G81" s="88">
        <v>803805.44375904743</v>
      </c>
      <c r="H81" s="81">
        <v>1594.2977974350601</v>
      </c>
      <c r="I81" s="90"/>
      <c r="J81" s="103">
        <f t="shared" si="19"/>
        <v>-1.6172375865302291E-2</v>
      </c>
      <c r="K81" s="126">
        <f t="shared" si="19"/>
        <v>-5.0432227944464669E-3</v>
      </c>
      <c r="L81" s="56">
        <v>813924</v>
      </c>
      <c r="M81" s="103">
        <v>2.3467860722115264E-2</v>
      </c>
      <c r="N81" s="97">
        <f>INDEX('Pace of change parameters'!$E$22:$I$22,1,$B$5)</f>
        <v>1.2019795091496865E-2</v>
      </c>
      <c r="O81" s="108">
        <f>MAX(IF(INDEX('Pace of change parameters'!$E$30:$I$30,1,$B$5)=1,(1+M81)*D81,D81),L81)</f>
        <v>813924</v>
      </c>
      <c r="P81" s="94">
        <f>IF(K81&lt;INDEX('Pace of change parameters'!$E$18:$I$18,1,$B$5),1,IF(K81&gt;INDEX('Pace of change parameters'!$E$19:$I$19,1,$B$5),0,(K81-INDEX('Pace of change parameters'!$E$19:$I$19,1,$B$5))/(INDEX('Pace of change parameters'!$E$18:$I$18,1,$B$5)-INDEX('Pace of change parameters'!$E$19:$I$19,1,$B$5))))</f>
        <v>0.30658465126596801</v>
      </c>
      <c r="Q81" s="57">
        <v>2.749240916297091E-2</v>
      </c>
      <c r="R81" s="57">
        <v>1.5999326686731097E-2</v>
      </c>
      <c r="S81" s="9">
        <f>MAX(IF(INDEX('Pace of change parameters'!$E$31:$I$31,1,$B$5)=1,D81*(1+Q81),D81),L81)</f>
        <v>813924</v>
      </c>
      <c r="T81" s="103">
        <f>IF(Q81&lt;INDEX('Pace of change parameters'!$E$24:$I$24,1,$B$5),INDEX('Pace of change parameters'!$E$24:$I$24,1,$B$5),Q81)</f>
        <v>2.749240916297091E-2</v>
      </c>
      <c r="U81" s="132">
        <v>1.5999326686731097E-2</v>
      </c>
      <c r="V81" s="117">
        <f t="shared" si="20"/>
        <v>813924</v>
      </c>
      <c r="W81" s="131">
        <f>IF(J81&gt;INDEX('Pace of change parameters'!$E$26:$I$26,1,$B$5),0,IF(J81&lt;INDEX('Pace of change parameters'!$E$25:$I$25,1,$B$5),1,(J81-INDEX('Pace of change parameters'!$E$26:$I$26,1,$B$5))/(INDEX('Pace of change parameters'!$E$25:$I$25,1,$B$5)-INDEX('Pace of change parameters'!$E$26:$I$26,1,$B$5))))</f>
        <v>1</v>
      </c>
      <c r="X81" s="132">
        <f>MIN(T81, T81+(INDEX('Pace of change parameters'!$E$27:$I$27,1,$B$5)-T81)*(1-W81))</f>
        <v>2.749240916297091E-2</v>
      </c>
      <c r="Y81" s="132">
        <v>1.5999326686731097E-2</v>
      </c>
      <c r="Z81" s="108">
        <f t="shared" si="21"/>
        <v>813924</v>
      </c>
      <c r="AA81" s="97">
        <f>MIN(VLOOKUP(A81,'2017-18 disagg'!$A$12:$BC$220,54,FALSE),-2.5%)</f>
        <v>-2.5000000000000001E-2</v>
      </c>
      <c r="AB81" s="99">
        <f t="shared" si="13"/>
        <v>803683.50745890278</v>
      </c>
      <c r="AC81" s="99">
        <f>MAX(IF(INDEX('Pace of change parameters'!$E$29:$I$29,1,$B$5)=1,MAX(AB81,Z81),Z81),L81)</f>
        <v>813924</v>
      </c>
      <c r="AD81" s="97">
        <f t="shared" si="14"/>
        <v>2.9233465603447639E-2</v>
      </c>
      <c r="AE81" s="146">
        <v>1.7720908428331628E-2</v>
      </c>
      <c r="AF81" s="56">
        <f t="shared" si="22"/>
        <v>813924</v>
      </c>
      <c r="AG81" s="56">
        <v>1614.3673205434523</v>
      </c>
      <c r="AH81" s="16">
        <f t="shared" si="15"/>
        <v>2.9233465603447639E-2</v>
      </c>
      <c r="AI81" s="16">
        <f t="shared" si="16"/>
        <v>1.7720908428331628E-2</v>
      </c>
      <c r="AJ81" s="56"/>
      <c r="AK81" s="56">
        <v>824290.77688092599</v>
      </c>
      <c r="AL81" s="56">
        <v>1634.9291737581657</v>
      </c>
      <c r="AM81" s="16">
        <f t="shared" si="23"/>
        <v>-1.2576601815385224E-2</v>
      </c>
      <c r="AN81" s="58">
        <f t="shared" si="23"/>
        <v>-1.2576601815385335E-2</v>
      </c>
      <c r="AP81" s="56">
        <f t="shared" si="17"/>
        <v>1</v>
      </c>
      <c r="AQ81" s="56">
        <f t="shared" si="18"/>
        <v>0</v>
      </c>
    </row>
    <row r="82" spans="1:43" x14ac:dyDescent="0.2">
      <c r="A82" s="156" t="s">
        <v>209</v>
      </c>
      <c r="B82" s="156" t="s">
        <v>210</v>
      </c>
      <c r="D82" s="68">
        <f>VLOOKUP(A82,'2017-18 disagg'!A82:AZ290,43,FALSE)</f>
        <v>536505</v>
      </c>
      <c r="E82" s="73">
        <v>1690.9590963550927</v>
      </c>
      <c r="F82" s="55"/>
      <c r="G82" s="88">
        <v>545841.92832584458</v>
      </c>
      <c r="H82" s="81">
        <v>1715.3340358411615</v>
      </c>
      <c r="I82" s="90"/>
      <c r="J82" s="103">
        <f t="shared" si="19"/>
        <v>-1.7105553533569573E-2</v>
      </c>
      <c r="K82" s="126">
        <f t="shared" si="19"/>
        <v>-1.4210024972842072E-2</v>
      </c>
      <c r="L82" s="56">
        <v>548839</v>
      </c>
      <c r="M82" s="103">
        <v>1.5001124603779337E-2</v>
      </c>
      <c r="N82" s="97">
        <f>INDEX('Pace of change parameters'!$E$22:$I$22,1,$B$5)</f>
        <v>1.2019795091496865E-2</v>
      </c>
      <c r="O82" s="108">
        <f>MAX(IF(INDEX('Pace of change parameters'!$E$30:$I$30,1,$B$5)=1,(1+M82)*D82,D82),L82)</f>
        <v>548839</v>
      </c>
      <c r="P82" s="94">
        <f>IF(K82&lt;INDEX('Pace of change parameters'!$E$18:$I$18,1,$B$5),1,IF(K82&gt;INDEX('Pace of change parameters'!$E$19:$I$19,1,$B$5),0,(K82-INDEX('Pace of change parameters'!$E$19:$I$19,1,$B$5))/(INDEX('Pace of change parameters'!$E$18:$I$18,1,$B$5)-INDEX('Pace of change parameters'!$E$19:$I$19,1,$B$5))))</f>
        <v>0.50549085787191583</v>
      </c>
      <c r="Q82" s="57">
        <v>2.1581828804941638E-2</v>
      </c>
      <c r="R82" s="57">
        <v>1.8581170006049419E-2</v>
      </c>
      <c r="S82" s="9">
        <f>MAX(IF(INDEX('Pace of change parameters'!$E$31:$I$31,1,$B$5)=1,D82*(1+Q82),D82),L82)</f>
        <v>548839</v>
      </c>
      <c r="T82" s="103">
        <f>IF(Q82&lt;INDEX('Pace of change parameters'!$E$24:$I$24,1,$B$5),INDEX('Pace of change parameters'!$E$24:$I$24,1,$B$5),Q82)</f>
        <v>2.1581828804941638E-2</v>
      </c>
      <c r="U82" s="132">
        <v>1.8581170006049419E-2</v>
      </c>
      <c r="V82" s="117">
        <f t="shared" si="20"/>
        <v>548839</v>
      </c>
      <c r="W82" s="131">
        <f>IF(J82&gt;INDEX('Pace of change parameters'!$E$26:$I$26,1,$B$5),0,IF(J82&lt;INDEX('Pace of change parameters'!$E$25:$I$25,1,$B$5),1,(J82-INDEX('Pace of change parameters'!$E$26:$I$26,1,$B$5))/(INDEX('Pace of change parameters'!$E$25:$I$25,1,$B$5)-INDEX('Pace of change parameters'!$E$26:$I$26,1,$B$5))))</f>
        <v>1</v>
      </c>
      <c r="X82" s="132">
        <f>MIN(T82, T82+(INDEX('Pace of change parameters'!$E$27:$I$27,1,$B$5)-T82)*(1-W82))</f>
        <v>2.1581828804941638E-2</v>
      </c>
      <c r="Y82" s="132">
        <v>1.8581170006049419E-2</v>
      </c>
      <c r="Z82" s="108">
        <f t="shared" si="21"/>
        <v>548839</v>
      </c>
      <c r="AA82" s="97">
        <f>MIN(VLOOKUP(A82,'2017-18 disagg'!$A$12:$BC$220,54,FALSE),-2.5%)</f>
        <v>-2.5000000000000001E-2</v>
      </c>
      <c r="AB82" s="99">
        <f t="shared" si="13"/>
        <v>545573.01678134862</v>
      </c>
      <c r="AC82" s="99">
        <f>MAX(IF(INDEX('Pace of change parameters'!$E$29:$I$29,1,$B$5)=1,MAX(AB82,Z82),Z82),L82)</f>
        <v>548839</v>
      </c>
      <c r="AD82" s="97">
        <f t="shared" si="14"/>
        <v>2.2989534114314036E-2</v>
      </c>
      <c r="AE82" s="146">
        <v>1.9984740508788068E-2</v>
      </c>
      <c r="AF82" s="56">
        <f t="shared" si="22"/>
        <v>548839</v>
      </c>
      <c r="AG82" s="56">
        <v>1724.7524751067238</v>
      </c>
      <c r="AH82" s="16">
        <f t="shared" si="15"/>
        <v>2.2989534114314036E-2</v>
      </c>
      <c r="AI82" s="16">
        <f t="shared" si="16"/>
        <v>1.9984740508787846E-2</v>
      </c>
      <c r="AJ82" s="56"/>
      <c r="AK82" s="56">
        <v>559562.06849369092</v>
      </c>
      <c r="AL82" s="56">
        <v>1758.4502242193641</v>
      </c>
      <c r="AM82" s="16">
        <f t="shared" si="23"/>
        <v>-1.9163322707982711E-2</v>
      </c>
      <c r="AN82" s="58">
        <f t="shared" si="23"/>
        <v>-1.9163322707982822E-2</v>
      </c>
      <c r="AP82" s="56">
        <f t="shared" si="17"/>
        <v>1</v>
      </c>
      <c r="AQ82" s="56">
        <f t="shared" si="18"/>
        <v>0</v>
      </c>
    </row>
    <row r="83" spans="1:43" x14ac:dyDescent="0.2">
      <c r="A83" s="156" t="s">
        <v>211</v>
      </c>
      <c r="B83" s="156" t="s">
        <v>212</v>
      </c>
      <c r="D83" s="68">
        <f>VLOOKUP(A83,'2017-18 disagg'!A83:AZ291,43,FALSE)</f>
        <v>205904</v>
      </c>
      <c r="E83" s="73">
        <v>1470.3400840751576</v>
      </c>
      <c r="F83" s="55"/>
      <c r="G83" s="88">
        <v>211033.59823235672</v>
      </c>
      <c r="H83" s="81">
        <v>1497.1932870161177</v>
      </c>
      <c r="I83" s="90"/>
      <c r="J83" s="103">
        <f t="shared" si="19"/>
        <v>-2.4307021608515722E-2</v>
      </c>
      <c r="K83" s="126">
        <f t="shared" si="19"/>
        <v>-1.7935695526980378E-2</v>
      </c>
      <c r="L83" s="56">
        <v>210673</v>
      </c>
      <c r="M83" s="103">
        <v>1.8628337182397647E-2</v>
      </c>
      <c r="N83" s="97">
        <f>INDEX('Pace of change parameters'!$E$22:$I$22,1,$B$5)</f>
        <v>1.2019795091496865E-2</v>
      </c>
      <c r="O83" s="108">
        <f>MAX(IF(INDEX('Pace of change parameters'!$E$30:$I$30,1,$B$5)=1,(1+M83)*D83,D83),L83)</f>
        <v>210673</v>
      </c>
      <c r="P83" s="94">
        <f>IF(K83&lt;INDEX('Pace of change parameters'!$E$18:$I$18,1,$B$5),1,IF(K83&gt;INDEX('Pace of change parameters'!$E$19:$I$19,1,$B$5),0,(K83-INDEX('Pace of change parameters'!$E$19:$I$19,1,$B$5))/(INDEX('Pace of change parameters'!$E$18:$I$18,1,$B$5)-INDEX('Pace of change parameters'!$E$19:$I$19,1,$B$5))))</f>
        <v>0.58633246245390003</v>
      </c>
      <c r="Q83" s="57">
        <v>2.6288751059108995E-2</v>
      </c>
      <c r="R83" s="57">
        <v>1.9630510598655615E-2</v>
      </c>
      <c r="S83" s="9">
        <f>MAX(IF(INDEX('Pace of change parameters'!$E$31:$I$31,1,$B$5)=1,D83*(1+Q83),D83),L83)</f>
        <v>211316.95899807478</v>
      </c>
      <c r="T83" s="103">
        <f>IF(Q83&lt;INDEX('Pace of change parameters'!$E$24:$I$24,1,$B$5),INDEX('Pace of change parameters'!$E$24:$I$24,1,$B$5),Q83)</f>
        <v>2.6288751059108995E-2</v>
      </c>
      <c r="U83" s="132">
        <v>1.9630510598655615E-2</v>
      </c>
      <c r="V83" s="117">
        <f t="shared" si="20"/>
        <v>211316.95899807478</v>
      </c>
      <c r="W83" s="131">
        <f>IF(J83&gt;INDEX('Pace of change parameters'!$E$26:$I$26,1,$B$5),0,IF(J83&lt;INDEX('Pace of change parameters'!$E$25:$I$25,1,$B$5),1,(J83-INDEX('Pace of change parameters'!$E$26:$I$26,1,$B$5))/(INDEX('Pace of change parameters'!$E$25:$I$25,1,$B$5)-INDEX('Pace of change parameters'!$E$26:$I$26,1,$B$5))))</f>
        <v>1</v>
      </c>
      <c r="X83" s="132">
        <f>MIN(T83, T83+(INDEX('Pace of change parameters'!$E$27:$I$27,1,$B$5)-T83)*(1-W83))</f>
        <v>2.6288751059108995E-2</v>
      </c>
      <c r="Y83" s="132">
        <v>1.9630510598655615E-2</v>
      </c>
      <c r="Z83" s="108">
        <f t="shared" si="21"/>
        <v>211316.95899807478</v>
      </c>
      <c r="AA83" s="97">
        <f>MIN(VLOOKUP(A83,'2017-18 disagg'!$A$12:$BC$220,54,FALSE),-2.5%)</f>
        <v>-2.5000000000000001E-2</v>
      </c>
      <c r="AB83" s="99">
        <f t="shared" si="13"/>
        <v>210901.3810957527</v>
      </c>
      <c r="AC83" s="99">
        <f>MAX(IF(INDEX('Pace of change parameters'!$E$29:$I$29,1,$B$5)=1,MAX(AB83,Z83),Z83),L83)</f>
        <v>211316.95899807478</v>
      </c>
      <c r="AD83" s="97">
        <f t="shared" si="14"/>
        <v>2.6288751059108995E-2</v>
      </c>
      <c r="AE83" s="146">
        <v>1.9630510598655615E-2</v>
      </c>
      <c r="AF83" s="56">
        <f t="shared" si="22"/>
        <v>211316.95899807478</v>
      </c>
      <c r="AG83" s="56">
        <v>1499.2036106792232</v>
      </c>
      <c r="AH83" s="16">
        <f t="shared" si="15"/>
        <v>2.6288751059108995E-2</v>
      </c>
      <c r="AI83" s="16">
        <f t="shared" si="16"/>
        <v>1.9630510598655615E-2</v>
      </c>
      <c r="AJ83" s="56"/>
      <c r="AK83" s="56">
        <v>216309.10881615663</v>
      </c>
      <c r="AL83" s="56">
        <v>1534.6207824377291</v>
      </c>
      <c r="AM83" s="16">
        <f t="shared" si="23"/>
        <v>-2.3078777613219859E-2</v>
      </c>
      <c r="AN83" s="58">
        <f t="shared" si="23"/>
        <v>-2.307877761321997E-2</v>
      </c>
      <c r="AP83" s="56">
        <f t="shared" si="17"/>
        <v>0</v>
      </c>
      <c r="AQ83" s="56">
        <f t="shared" si="18"/>
        <v>0</v>
      </c>
    </row>
    <row r="84" spans="1:43" x14ac:dyDescent="0.2">
      <c r="A84" s="156" t="s">
        <v>213</v>
      </c>
      <c r="B84" s="156" t="s">
        <v>214</v>
      </c>
      <c r="D84" s="68">
        <f>VLOOKUP(A84,'2017-18 disagg'!A84:AZ292,43,FALSE)</f>
        <v>300546</v>
      </c>
      <c r="E84" s="73">
        <v>1612.4564441341131</v>
      </c>
      <c r="F84" s="55"/>
      <c r="G84" s="88">
        <v>299508.40754710388</v>
      </c>
      <c r="H84" s="81">
        <v>1598.0657370977838</v>
      </c>
      <c r="I84" s="90"/>
      <c r="J84" s="103">
        <f t="shared" si="19"/>
        <v>3.4643182853988375E-3</v>
      </c>
      <c r="K84" s="126">
        <f t="shared" si="19"/>
        <v>9.0050782657189465E-3</v>
      </c>
      <c r="L84" s="56">
        <v>307557</v>
      </c>
      <c r="M84" s="103">
        <v>1.7607795260268233E-2</v>
      </c>
      <c r="N84" s="97">
        <f>INDEX('Pace of change parameters'!$E$22:$I$22,1,$B$5)</f>
        <v>1.2019795091496865E-2</v>
      </c>
      <c r="O84" s="108">
        <f>MAX(IF(INDEX('Pace of change parameters'!$E$30:$I$30,1,$B$5)=1,(1+M84)*D84,D84),L84)</f>
        <v>307557</v>
      </c>
      <c r="P84" s="94">
        <f>IF(K84&lt;INDEX('Pace of change parameters'!$E$18:$I$18,1,$B$5),1,IF(K84&gt;INDEX('Pace of change parameters'!$E$19:$I$19,1,$B$5),0,(K84-INDEX('Pace of change parameters'!$E$19:$I$19,1,$B$5))/(INDEX('Pace of change parameters'!$E$18:$I$18,1,$B$5)-INDEX('Pace of change parameters'!$E$19:$I$19,1,$B$5))))</f>
        <v>1.7570550381981302E-3</v>
      </c>
      <c r="Q84" s="57">
        <v>1.7630728126182271E-2</v>
      </c>
      <c r="R84" s="57">
        <v>1.2042602025928106E-2</v>
      </c>
      <c r="S84" s="9">
        <f>MAX(IF(INDEX('Pace of change parameters'!$E$31:$I$31,1,$B$5)=1,D84*(1+Q84),D84),L84)</f>
        <v>307557</v>
      </c>
      <c r="T84" s="103">
        <f>IF(Q84&lt;INDEX('Pace of change parameters'!$E$24:$I$24,1,$B$5),INDEX('Pace of change parameters'!$E$24:$I$24,1,$B$5),Q84)</f>
        <v>1.9732353921844841E-2</v>
      </c>
      <c r="U84" s="132">
        <v>1.413268714220961E-2</v>
      </c>
      <c r="V84" s="117">
        <f t="shared" si="20"/>
        <v>307557</v>
      </c>
      <c r="W84" s="131">
        <f>IF(J84&gt;INDEX('Pace of change parameters'!$E$26:$I$26,1,$B$5),0,IF(J84&lt;INDEX('Pace of change parameters'!$E$25:$I$25,1,$B$5),1,(J84-INDEX('Pace of change parameters'!$E$26:$I$26,1,$B$5))/(INDEX('Pace of change parameters'!$E$25:$I$25,1,$B$5)-INDEX('Pace of change parameters'!$E$26:$I$26,1,$B$5))))</f>
        <v>1</v>
      </c>
      <c r="X84" s="132">
        <f>MIN(T84, T84+(INDEX('Pace of change parameters'!$E$27:$I$27,1,$B$5)-T84)*(1-W84))</f>
        <v>1.9732353921844841E-2</v>
      </c>
      <c r="Y84" s="132">
        <v>1.413268714220961E-2</v>
      </c>
      <c r="Z84" s="108">
        <f t="shared" si="21"/>
        <v>307557</v>
      </c>
      <c r="AA84" s="97">
        <f>MIN(VLOOKUP(A84,'2017-18 disagg'!$A$12:$BC$220,54,FALSE),-2.5%)</f>
        <v>-2.5000000000000001E-2</v>
      </c>
      <c r="AB84" s="99">
        <f t="shared" si="13"/>
        <v>299426.81069309724</v>
      </c>
      <c r="AC84" s="99">
        <f>MAX(IF(INDEX('Pace of change parameters'!$E$29:$I$29,1,$B$5)=1,MAX(AB84,Z84),Z84),L84)</f>
        <v>307557</v>
      </c>
      <c r="AD84" s="97">
        <f t="shared" si="14"/>
        <v>2.3327543870156342E-2</v>
      </c>
      <c r="AE84" s="146">
        <v>1.7708134786922791E-2</v>
      </c>
      <c r="AF84" s="56">
        <f t="shared" si="22"/>
        <v>307557</v>
      </c>
      <c r="AG84" s="56">
        <v>1641.0100401848824</v>
      </c>
      <c r="AH84" s="16">
        <f t="shared" si="15"/>
        <v>2.3327543870156342E-2</v>
      </c>
      <c r="AI84" s="16">
        <f t="shared" si="16"/>
        <v>1.7708134786923013E-2</v>
      </c>
      <c r="AJ84" s="56"/>
      <c r="AK84" s="56">
        <v>307104.42122368951</v>
      </c>
      <c r="AL84" s="56">
        <v>1638.5952477532351</v>
      </c>
      <c r="AM84" s="16">
        <f t="shared" si="23"/>
        <v>1.4736967136688151E-3</v>
      </c>
      <c r="AN84" s="58">
        <f t="shared" si="23"/>
        <v>1.4736967136688151E-3</v>
      </c>
      <c r="AP84" s="56">
        <f t="shared" si="17"/>
        <v>1</v>
      </c>
      <c r="AQ84" s="56">
        <f t="shared" si="18"/>
        <v>0</v>
      </c>
    </row>
    <row r="85" spans="1:43" x14ac:dyDescent="0.2">
      <c r="A85" s="156" t="s">
        <v>215</v>
      </c>
      <c r="B85" s="156" t="s">
        <v>216</v>
      </c>
      <c r="D85" s="68">
        <f>VLOOKUP(A85,'2017-18 disagg'!A85:AZ293,43,FALSE)</f>
        <v>368791</v>
      </c>
      <c r="E85" s="73">
        <v>1697.7038305942713</v>
      </c>
      <c r="F85" s="55"/>
      <c r="G85" s="88">
        <v>359865.85453689692</v>
      </c>
      <c r="H85" s="81">
        <v>1653.2582243647873</v>
      </c>
      <c r="I85" s="90"/>
      <c r="J85" s="103">
        <f t="shared" si="19"/>
        <v>2.4801312351761418E-2</v>
      </c>
      <c r="K85" s="126">
        <f t="shared" si="19"/>
        <v>2.68836444146896E-2</v>
      </c>
      <c r="L85" s="56">
        <v>377292</v>
      </c>
      <c r="M85" s="103">
        <v>1.4076155912114086E-2</v>
      </c>
      <c r="N85" s="97">
        <f>INDEX('Pace of change parameters'!$E$22:$I$22,1,$B$5)</f>
        <v>1.2019795091496865E-2</v>
      </c>
      <c r="O85" s="108">
        <f>MAX(IF(INDEX('Pace of change parameters'!$E$30:$I$30,1,$B$5)=1,(1+M85)*D85,D85),L85)</f>
        <v>377292</v>
      </c>
      <c r="P85" s="94">
        <f>IF(K85&lt;INDEX('Pace of change parameters'!$E$18:$I$18,1,$B$5),1,IF(K85&gt;INDEX('Pace of change parameters'!$E$19:$I$19,1,$B$5),0,(K85-INDEX('Pace of change parameters'!$E$19:$I$19,1,$B$5))/(INDEX('Pace of change parameters'!$E$18:$I$18,1,$B$5)-INDEX('Pace of change parameters'!$E$19:$I$19,1,$B$5))))</f>
        <v>0</v>
      </c>
      <c r="Q85" s="57">
        <v>1.4076155912114086E-2</v>
      </c>
      <c r="R85" s="57">
        <v>1.2019795091496865E-2</v>
      </c>
      <c r="S85" s="9">
        <f>MAX(IF(INDEX('Pace of change parameters'!$E$31:$I$31,1,$B$5)=1,D85*(1+Q85),D85),L85)</f>
        <v>377292</v>
      </c>
      <c r="T85" s="103">
        <f>IF(Q85&lt;INDEX('Pace of change parameters'!$E$24:$I$24,1,$B$5),INDEX('Pace of change parameters'!$E$24:$I$24,1,$B$5),Q85)</f>
        <v>1.9732353921844841E-2</v>
      </c>
      <c r="U85" s="132">
        <v>1.7664523367013851E-2</v>
      </c>
      <c r="V85" s="117">
        <f t="shared" si="20"/>
        <v>377292</v>
      </c>
      <c r="W85" s="131">
        <f>IF(J85&gt;INDEX('Pace of change parameters'!$E$26:$I$26,1,$B$5),0,IF(J85&lt;INDEX('Pace of change parameters'!$E$25:$I$25,1,$B$5),1,(J85-INDEX('Pace of change parameters'!$E$26:$I$26,1,$B$5))/(INDEX('Pace of change parameters'!$E$25:$I$25,1,$B$5)-INDEX('Pace of change parameters'!$E$26:$I$26,1,$B$5))))</f>
        <v>1</v>
      </c>
      <c r="X85" s="132">
        <f>MIN(T85, T85+(INDEX('Pace of change parameters'!$E$27:$I$27,1,$B$5)-T85)*(1-W85))</f>
        <v>1.9732353921844841E-2</v>
      </c>
      <c r="Y85" s="132">
        <v>1.7664523367013851E-2</v>
      </c>
      <c r="Z85" s="108">
        <f t="shared" si="21"/>
        <v>377292</v>
      </c>
      <c r="AA85" s="97">
        <f>MIN(VLOOKUP(A85,'2017-18 disagg'!$A$12:$BC$220,54,FALSE),-2.5%)</f>
        <v>-2.5000000000000001E-2</v>
      </c>
      <c r="AB85" s="99">
        <f t="shared" si="13"/>
        <v>359765.51246539759</v>
      </c>
      <c r="AC85" s="99">
        <f>MAX(IF(INDEX('Pace of change parameters'!$E$29:$I$29,1,$B$5)=1,MAX(AB85,Z85),Z85),L85)</f>
        <v>377292</v>
      </c>
      <c r="AD85" s="97">
        <f t="shared" si="14"/>
        <v>2.3050996363794152E-2</v>
      </c>
      <c r="AE85" s="146">
        <v>2.0976436209558358E-2</v>
      </c>
      <c r="AF85" s="56">
        <f t="shared" si="22"/>
        <v>377292</v>
      </c>
      <c r="AG85" s="56">
        <v>1733.315606699455</v>
      </c>
      <c r="AH85" s="16">
        <f t="shared" si="15"/>
        <v>2.3050996363794152E-2</v>
      </c>
      <c r="AI85" s="16">
        <f t="shared" si="16"/>
        <v>2.0976436209558358E-2</v>
      </c>
      <c r="AJ85" s="56"/>
      <c r="AK85" s="56">
        <v>368990.26919527957</v>
      </c>
      <c r="AL85" s="56">
        <v>1695.1766597659405</v>
      </c>
      <c r="AM85" s="16">
        <f t="shared" si="23"/>
        <v>2.2498508762373248E-2</v>
      </c>
      <c r="AN85" s="58">
        <f t="shared" si="23"/>
        <v>2.2498508762373248E-2</v>
      </c>
      <c r="AP85" s="56">
        <f t="shared" si="17"/>
        <v>1</v>
      </c>
      <c r="AQ85" s="56">
        <f t="shared" si="18"/>
        <v>0</v>
      </c>
    </row>
    <row r="86" spans="1:43" x14ac:dyDescent="0.2">
      <c r="A86" s="156" t="s">
        <v>217</v>
      </c>
      <c r="B86" s="156" t="s">
        <v>218</v>
      </c>
      <c r="D86" s="68">
        <f>VLOOKUP(A86,'2017-18 disagg'!A86:AZ294,43,FALSE)</f>
        <v>264835</v>
      </c>
      <c r="E86" s="73">
        <v>1506.7922872794579</v>
      </c>
      <c r="F86" s="55"/>
      <c r="G86" s="88">
        <v>267180.38278774219</v>
      </c>
      <c r="H86" s="81">
        <v>1513.6779567331887</v>
      </c>
      <c r="I86" s="90"/>
      <c r="J86" s="103">
        <f t="shared" si="19"/>
        <v>-8.7782746744750062E-3</v>
      </c>
      <c r="K86" s="126">
        <f t="shared" si="19"/>
        <v>-4.5489659297089924E-3</v>
      </c>
      <c r="L86" s="56">
        <v>270982</v>
      </c>
      <c r="M86" s="103">
        <v>1.633784428261098E-2</v>
      </c>
      <c r="N86" s="97">
        <f>INDEX('Pace of change parameters'!$E$22:$I$22,1,$B$5)</f>
        <v>1.2019795091496865E-2</v>
      </c>
      <c r="O86" s="108">
        <f>MAX(IF(INDEX('Pace of change parameters'!$E$30:$I$30,1,$B$5)=1,(1+M86)*D86,D86),L86)</f>
        <v>270982</v>
      </c>
      <c r="P86" s="94">
        <f>IF(K86&lt;INDEX('Pace of change parameters'!$E$18:$I$18,1,$B$5),1,IF(K86&gt;INDEX('Pace of change parameters'!$E$19:$I$19,1,$B$5),0,(K86-INDEX('Pace of change parameters'!$E$19:$I$19,1,$B$5))/(INDEX('Pace of change parameters'!$E$18:$I$18,1,$B$5)-INDEX('Pace of change parameters'!$E$19:$I$19,1,$B$5))))</f>
        <v>0.29585999984002365</v>
      </c>
      <c r="Q86" s="57">
        <v>2.0194553456828634E-2</v>
      </c>
      <c r="R86" s="57">
        <v>1.586011851364999E-2</v>
      </c>
      <c r="S86" s="9">
        <f>MAX(IF(INDEX('Pace of change parameters'!$E$31:$I$31,1,$B$5)=1,D86*(1+Q86),D86),L86)</f>
        <v>270982</v>
      </c>
      <c r="T86" s="103">
        <f>IF(Q86&lt;INDEX('Pace of change parameters'!$E$24:$I$24,1,$B$5),INDEX('Pace of change parameters'!$E$24:$I$24,1,$B$5),Q86)</f>
        <v>2.0194553456828634E-2</v>
      </c>
      <c r="U86" s="132">
        <v>1.586011851364999E-2</v>
      </c>
      <c r="V86" s="117">
        <f t="shared" si="20"/>
        <v>270982</v>
      </c>
      <c r="W86" s="131">
        <f>IF(J86&gt;INDEX('Pace of change parameters'!$E$26:$I$26,1,$B$5),0,IF(J86&lt;INDEX('Pace of change parameters'!$E$25:$I$25,1,$B$5),1,(J86-INDEX('Pace of change parameters'!$E$26:$I$26,1,$B$5))/(INDEX('Pace of change parameters'!$E$25:$I$25,1,$B$5)-INDEX('Pace of change parameters'!$E$26:$I$26,1,$B$5))))</f>
        <v>1</v>
      </c>
      <c r="X86" s="132">
        <f>MIN(T86, T86+(INDEX('Pace of change parameters'!$E$27:$I$27,1,$B$5)-T86)*(1-W86))</f>
        <v>2.0194553456828634E-2</v>
      </c>
      <c r="Y86" s="132">
        <v>1.586011851364999E-2</v>
      </c>
      <c r="Z86" s="108">
        <f t="shared" si="21"/>
        <v>270982</v>
      </c>
      <c r="AA86" s="97">
        <f>MIN(VLOOKUP(A86,'2017-18 disagg'!$A$12:$BC$220,54,FALSE),-2.5%)</f>
        <v>-2.5000000000000001E-2</v>
      </c>
      <c r="AB86" s="99">
        <f t="shared" si="13"/>
        <v>267114.60014373949</v>
      </c>
      <c r="AC86" s="99">
        <f>MAX(IF(INDEX('Pace of change parameters'!$E$29:$I$29,1,$B$5)=1,MAX(AB86,Z86),Z86),L86)</f>
        <v>270982</v>
      </c>
      <c r="AD86" s="97">
        <f t="shared" si="14"/>
        <v>2.3210678346895275E-2</v>
      </c>
      <c r="AE86" s="146">
        <v>1.8863428988003195E-2</v>
      </c>
      <c r="AF86" s="56">
        <f t="shared" si="22"/>
        <v>270982</v>
      </c>
      <c r="AG86" s="56">
        <v>1535.2155565902249</v>
      </c>
      <c r="AH86" s="16">
        <f t="shared" si="15"/>
        <v>2.3210678346895275E-2</v>
      </c>
      <c r="AI86" s="16">
        <f t="shared" si="16"/>
        <v>1.8863428988003195E-2</v>
      </c>
      <c r="AJ86" s="56"/>
      <c r="AK86" s="56">
        <v>273963.69245511742</v>
      </c>
      <c r="AL86" s="56">
        <v>1552.1079724778629</v>
      </c>
      <c r="AM86" s="16">
        <f t="shared" si="23"/>
        <v>-1.0883531421251758E-2</v>
      </c>
      <c r="AN86" s="58">
        <f t="shared" si="23"/>
        <v>-1.0883531421251647E-2</v>
      </c>
      <c r="AP86" s="56">
        <f t="shared" si="17"/>
        <v>1</v>
      </c>
      <c r="AQ86" s="56">
        <f t="shared" si="18"/>
        <v>0</v>
      </c>
    </row>
    <row r="87" spans="1:43" x14ac:dyDescent="0.2">
      <c r="A87" s="156" t="s">
        <v>219</v>
      </c>
      <c r="B87" s="156" t="s">
        <v>220</v>
      </c>
      <c r="D87" s="68">
        <f>VLOOKUP(A87,'2017-18 disagg'!A87:AZ295,43,FALSE)</f>
        <v>932031</v>
      </c>
      <c r="E87" s="73">
        <v>1628.4396150790242</v>
      </c>
      <c r="F87" s="55"/>
      <c r="G87" s="88">
        <v>952851.40522610745</v>
      </c>
      <c r="H87" s="81">
        <v>1651.218685947794</v>
      </c>
      <c r="I87" s="90"/>
      <c r="J87" s="103">
        <f t="shared" si="19"/>
        <v>-2.1850631810913734E-2</v>
      </c>
      <c r="K87" s="126">
        <f t="shared" si="19"/>
        <v>-1.3795308315382115E-2</v>
      </c>
      <c r="L87" s="56">
        <v>955386</v>
      </c>
      <c r="M87" s="103">
        <v>2.0354050675014168E-2</v>
      </c>
      <c r="N87" s="97">
        <f>INDEX('Pace of change parameters'!$E$22:$I$22,1,$B$5)</f>
        <v>1.2019795091496865E-2</v>
      </c>
      <c r="O87" s="108">
        <f>MAX(IF(INDEX('Pace of change parameters'!$E$30:$I$30,1,$B$5)=1,(1+M87)*D87,D87),L87)</f>
        <v>955386</v>
      </c>
      <c r="P87" s="94">
        <f>IF(K87&lt;INDEX('Pace of change parameters'!$E$18:$I$18,1,$B$5),1,IF(K87&gt;INDEX('Pace of change parameters'!$E$19:$I$19,1,$B$5),0,(K87-INDEX('Pace of change parameters'!$E$19:$I$19,1,$B$5))/(INDEX('Pace of change parameters'!$E$18:$I$18,1,$B$5)-INDEX('Pace of change parameters'!$E$19:$I$19,1,$B$5))))</f>
        <v>0.49649211266651899</v>
      </c>
      <c r="Q87" s="57">
        <v>2.6851692797282167E-2</v>
      </c>
      <c r="R87" s="57">
        <v>1.8464364449363835E-2</v>
      </c>
      <c r="S87" s="9">
        <f>MAX(IF(INDEX('Pace of change parameters'!$E$31:$I$31,1,$B$5)=1,D87*(1+Q87),D87),L87)</f>
        <v>957057.61008954374</v>
      </c>
      <c r="T87" s="103">
        <f>IF(Q87&lt;INDEX('Pace of change parameters'!$E$24:$I$24,1,$B$5),INDEX('Pace of change parameters'!$E$24:$I$24,1,$B$5),Q87)</f>
        <v>2.6851692797282167E-2</v>
      </c>
      <c r="U87" s="132">
        <v>1.8464364449363835E-2</v>
      </c>
      <c r="V87" s="117">
        <f t="shared" si="20"/>
        <v>957057.61008954374</v>
      </c>
      <c r="W87" s="131">
        <f>IF(J87&gt;INDEX('Pace of change parameters'!$E$26:$I$26,1,$B$5),0,IF(J87&lt;INDEX('Pace of change parameters'!$E$25:$I$25,1,$B$5),1,(J87-INDEX('Pace of change parameters'!$E$26:$I$26,1,$B$5))/(INDEX('Pace of change parameters'!$E$25:$I$25,1,$B$5)-INDEX('Pace of change parameters'!$E$26:$I$26,1,$B$5))))</f>
        <v>1</v>
      </c>
      <c r="X87" s="132">
        <f>MIN(T87, T87+(INDEX('Pace of change parameters'!$E$27:$I$27,1,$B$5)-T87)*(1-W87))</f>
        <v>2.6851692797282167E-2</v>
      </c>
      <c r="Y87" s="132">
        <v>1.8464364449363835E-2</v>
      </c>
      <c r="Z87" s="108">
        <f t="shared" si="21"/>
        <v>957057.61008954374</v>
      </c>
      <c r="AA87" s="97">
        <f>MIN(VLOOKUP(A87,'2017-18 disagg'!$A$12:$BC$220,54,FALSE),-2.5%)</f>
        <v>-2.5000000000000001E-2</v>
      </c>
      <c r="AB87" s="99">
        <f t="shared" si="13"/>
        <v>953075.92024992092</v>
      </c>
      <c r="AC87" s="99">
        <f>MAX(IF(INDEX('Pace of change parameters'!$E$29:$I$29,1,$B$5)=1,MAX(AB87,Z87),Z87),L87)</f>
        <v>957057.61008954374</v>
      </c>
      <c r="AD87" s="97">
        <f t="shared" si="14"/>
        <v>2.6851692797282167E-2</v>
      </c>
      <c r="AE87" s="146">
        <v>1.8464364449363835E-2</v>
      </c>
      <c r="AF87" s="56">
        <f t="shared" si="22"/>
        <v>957057.61008954374</v>
      </c>
      <c r="AG87" s="56">
        <v>1658.5077176156251</v>
      </c>
      <c r="AH87" s="16">
        <f t="shared" si="15"/>
        <v>2.6851692797282167E-2</v>
      </c>
      <c r="AI87" s="16">
        <f t="shared" si="16"/>
        <v>1.8464364449363835E-2</v>
      </c>
      <c r="AJ87" s="56"/>
      <c r="AK87" s="56">
        <v>977513.76435889327</v>
      </c>
      <c r="AL87" s="56">
        <v>1693.9566700828416</v>
      </c>
      <c r="AM87" s="16">
        <f t="shared" si="23"/>
        <v>-2.0926717367264702E-2</v>
      </c>
      <c r="AN87" s="58">
        <f t="shared" si="23"/>
        <v>-2.0926717367264702E-2</v>
      </c>
      <c r="AP87" s="56">
        <f t="shared" si="17"/>
        <v>0</v>
      </c>
      <c r="AQ87" s="56">
        <f t="shared" si="18"/>
        <v>0</v>
      </c>
    </row>
    <row r="88" spans="1:43" x14ac:dyDescent="0.2">
      <c r="A88" s="156" t="s">
        <v>221</v>
      </c>
      <c r="B88" s="156" t="s">
        <v>222</v>
      </c>
      <c r="D88" s="68">
        <f>VLOOKUP(A88,'2017-18 disagg'!A88:AZ296,43,FALSE)</f>
        <v>505958</v>
      </c>
      <c r="E88" s="73">
        <v>1651.5566042585526</v>
      </c>
      <c r="F88" s="55"/>
      <c r="G88" s="88">
        <v>512050.28419366642</v>
      </c>
      <c r="H88" s="81">
        <v>1664.1401305036115</v>
      </c>
      <c r="I88" s="90"/>
      <c r="J88" s="103">
        <f t="shared" si="19"/>
        <v>-1.1897824064798668E-2</v>
      </c>
      <c r="K88" s="126">
        <f t="shared" si="19"/>
        <v>-7.5615785079654607E-3</v>
      </c>
      <c r="L88" s="56">
        <v>517316</v>
      </c>
      <c r="M88" s="103">
        <v>1.6461002131385571E-2</v>
      </c>
      <c r="N88" s="97">
        <f>INDEX('Pace of change parameters'!$E$22:$I$22,1,$B$5)</f>
        <v>1.2019795091496865E-2</v>
      </c>
      <c r="O88" s="108">
        <f>MAX(IF(INDEX('Pace of change parameters'!$E$30:$I$30,1,$B$5)=1,(1+M88)*D88,D88),L88)</f>
        <v>517316</v>
      </c>
      <c r="P88" s="94">
        <f>IF(K88&lt;INDEX('Pace of change parameters'!$E$18:$I$18,1,$B$5),1,IF(K88&gt;INDEX('Pace of change parameters'!$E$19:$I$19,1,$B$5),0,(K88-INDEX('Pace of change parameters'!$E$19:$I$19,1,$B$5))/(INDEX('Pace of change parameters'!$E$18:$I$18,1,$B$5)-INDEX('Pace of change parameters'!$E$19:$I$19,1,$B$5))))</f>
        <v>0.36122928874282362</v>
      </c>
      <c r="Q88" s="57">
        <v>2.117040905568679E-2</v>
      </c>
      <c r="R88" s="57">
        <v>1.6708625278331501E-2</v>
      </c>
      <c r="S88" s="9">
        <f>MAX(IF(INDEX('Pace of change parameters'!$E$31:$I$31,1,$B$5)=1,D88*(1+Q88),D88),L88)</f>
        <v>517316</v>
      </c>
      <c r="T88" s="103">
        <f>IF(Q88&lt;INDEX('Pace of change parameters'!$E$24:$I$24,1,$B$5),INDEX('Pace of change parameters'!$E$24:$I$24,1,$B$5),Q88)</f>
        <v>2.117040905568679E-2</v>
      </c>
      <c r="U88" s="132">
        <v>1.6708625278331501E-2</v>
      </c>
      <c r="V88" s="117">
        <f t="shared" si="20"/>
        <v>517316</v>
      </c>
      <c r="W88" s="131">
        <f>IF(J88&gt;INDEX('Pace of change parameters'!$E$26:$I$26,1,$B$5),0,IF(J88&lt;INDEX('Pace of change parameters'!$E$25:$I$25,1,$B$5),1,(J88-INDEX('Pace of change parameters'!$E$26:$I$26,1,$B$5))/(INDEX('Pace of change parameters'!$E$25:$I$25,1,$B$5)-INDEX('Pace of change parameters'!$E$26:$I$26,1,$B$5))))</f>
        <v>1</v>
      </c>
      <c r="X88" s="132">
        <f>MIN(T88, T88+(INDEX('Pace of change parameters'!$E$27:$I$27,1,$B$5)-T88)*(1-W88))</f>
        <v>2.117040905568679E-2</v>
      </c>
      <c r="Y88" s="132">
        <v>1.6708625278331501E-2</v>
      </c>
      <c r="Z88" s="108">
        <f t="shared" si="21"/>
        <v>517316</v>
      </c>
      <c r="AA88" s="97">
        <f>MIN(VLOOKUP(A88,'2017-18 disagg'!$A$12:$BC$220,54,FALSE),-2.5%)</f>
        <v>-2.5000000000000001E-2</v>
      </c>
      <c r="AB88" s="99">
        <f t="shared" si="13"/>
        <v>511939.53476694948</v>
      </c>
      <c r="AC88" s="99">
        <f>MAX(IF(INDEX('Pace of change parameters'!$E$29:$I$29,1,$B$5)=1,MAX(AB88,Z88),Z88),L88)</f>
        <v>517316</v>
      </c>
      <c r="AD88" s="97">
        <f t="shared" si="14"/>
        <v>2.244850363073625E-2</v>
      </c>
      <c r="AE88" s="146">
        <v>1.7981135494893552E-2</v>
      </c>
      <c r="AF88" s="56">
        <f t="shared" si="22"/>
        <v>517316</v>
      </c>
      <c r="AG88" s="56">
        <v>1681.2534673372118</v>
      </c>
      <c r="AH88" s="16">
        <f t="shared" si="15"/>
        <v>2.244850363073625E-2</v>
      </c>
      <c r="AI88" s="16">
        <f t="shared" si="16"/>
        <v>1.798113549489333E-2</v>
      </c>
      <c r="AJ88" s="56"/>
      <c r="AK88" s="56">
        <v>525066.18950456358</v>
      </c>
      <c r="AL88" s="56">
        <v>1706.4412306715526</v>
      </c>
      <c r="AM88" s="16">
        <f t="shared" si="23"/>
        <v>-1.4760404801300253E-2</v>
      </c>
      <c r="AN88" s="58">
        <f t="shared" si="23"/>
        <v>-1.4760404801300142E-2</v>
      </c>
      <c r="AP88" s="56">
        <f t="shared" si="17"/>
        <v>1</v>
      </c>
      <c r="AQ88" s="56">
        <f t="shared" si="18"/>
        <v>0</v>
      </c>
    </row>
    <row r="89" spans="1:43" x14ac:dyDescent="0.2">
      <c r="A89" s="156" t="s">
        <v>223</v>
      </c>
      <c r="B89" s="156" t="s">
        <v>224</v>
      </c>
      <c r="D89" s="68">
        <f>VLOOKUP(A89,'2017-18 disagg'!A89:AZ297,43,FALSE)</f>
        <v>390963</v>
      </c>
      <c r="E89" s="73">
        <v>1590.9987697473891</v>
      </c>
      <c r="F89" s="55"/>
      <c r="G89" s="88">
        <v>400161.14821818157</v>
      </c>
      <c r="H89" s="81">
        <v>1619.529227295762</v>
      </c>
      <c r="I89" s="90"/>
      <c r="J89" s="103">
        <f t="shared" si="19"/>
        <v>-2.2986110118732528E-2</v>
      </c>
      <c r="K89" s="126">
        <f t="shared" si="19"/>
        <v>-1.7616512914689464E-2</v>
      </c>
      <c r="L89" s="56">
        <v>400519</v>
      </c>
      <c r="M89" s="103">
        <v>1.7581782201854024E-2</v>
      </c>
      <c r="N89" s="97">
        <f>INDEX('Pace of change parameters'!$E$22:$I$22,1,$B$5)</f>
        <v>1.2019795091496865E-2</v>
      </c>
      <c r="O89" s="108">
        <f>MAX(IF(INDEX('Pace of change parameters'!$E$30:$I$30,1,$B$5)=1,(1+M89)*D89,D89),L89)</f>
        <v>400519</v>
      </c>
      <c r="P89" s="94">
        <f>IF(K89&lt;INDEX('Pace of change parameters'!$E$18:$I$18,1,$B$5),1,IF(K89&gt;INDEX('Pace of change parameters'!$E$19:$I$19,1,$B$5),0,(K89-INDEX('Pace of change parameters'!$E$19:$I$19,1,$B$5))/(INDEX('Pace of change parameters'!$E$18:$I$18,1,$B$5)-INDEX('Pace of change parameters'!$E$19:$I$19,1,$B$5))))</f>
        <v>0.57940666637039884</v>
      </c>
      <c r="Q89" s="57">
        <v>2.5143933320749046E-2</v>
      </c>
      <c r="R89" s="57">
        <v>1.9540612346337305E-2</v>
      </c>
      <c r="S89" s="9">
        <f>MAX(IF(INDEX('Pace of change parameters'!$E$31:$I$31,1,$B$5)=1,D89*(1+Q89),D89),L89)</f>
        <v>400793.34760288004</v>
      </c>
      <c r="T89" s="103">
        <f>IF(Q89&lt;INDEX('Pace of change parameters'!$E$24:$I$24,1,$B$5),INDEX('Pace of change parameters'!$E$24:$I$24,1,$B$5),Q89)</f>
        <v>2.5143933320749046E-2</v>
      </c>
      <c r="U89" s="132">
        <v>1.9540612346337305E-2</v>
      </c>
      <c r="V89" s="117">
        <f t="shared" si="20"/>
        <v>400793.34760288004</v>
      </c>
      <c r="W89" s="131">
        <f>IF(J89&gt;INDEX('Pace of change parameters'!$E$26:$I$26,1,$B$5),0,IF(J89&lt;INDEX('Pace of change parameters'!$E$25:$I$25,1,$B$5),1,(J89-INDEX('Pace of change parameters'!$E$26:$I$26,1,$B$5))/(INDEX('Pace of change parameters'!$E$25:$I$25,1,$B$5)-INDEX('Pace of change parameters'!$E$26:$I$26,1,$B$5))))</f>
        <v>1</v>
      </c>
      <c r="X89" s="132">
        <f>MIN(T89, T89+(INDEX('Pace of change parameters'!$E$27:$I$27,1,$B$5)-T89)*(1-W89))</f>
        <v>2.5143933320749046E-2</v>
      </c>
      <c r="Y89" s="132">
        <v>1.9540612346337305E-2</v>
      </c>
      <c r="Z89" s="108">
        <f t="shared" si="21"/>
        <v>400793.34760288004</v>
      </c>
      <c r="AA89" s="97">
        <f>MIN(VLOOKUP(A89,'2017-18 disagg'!$A$12:$BC$220,54,FALSE),-2.5%)</f>
        <v>-2.5000000000000001E-2</v>
      </c>
      <c r="AB89" s="99">
        <f t="shared" si="13"/>
        <v>400018.49897201947</v>
      </c>
      <c r="AC89" s="99">
        <f>MAX(IF(INDEX('Pace of change parameters'!$E$29:$I$29,1,$B$5)=1,MAX(AB89,Z89),Z89),L89)</f>
        <v>400793.34760288004</v>
      </c>
      <c r="AD89" s="97">
        <f t="shared" si="14"/>
        <v>2.5143933320749046E-2</v>
      </c>
      <c r="AE89" s="146">
        <v>1.9540612346337305E-2</v>
      </c>
      <c r="AF89" s="56">
        <f t="shared" si="22"/>
        <v>400793.34760288004</v>
      </c>
      <c r="AG89" s="56">
        <v>1622.0878599505227</v>
      </c>
      <c r="AH89" s="16">
        <f t="shared" si="15"/>
        <v>2.5143933320749046E-2</v>
      </c>
      <c r="AI89" s="16">
        <f t="shared" si="16"/>
        <v>1.9540612346337527E-2</v>
      </c>
      <c r="AJ89" s="56"/>
      <c r="AK89" s="56">
        <v>410275.38356104563</v>
      </c>
      <c r="AL89" s="56">
        <v>1660.463485462637</v>
      </c>
      <c r="AM89" s="16">
        <f t="shared" si="23"/>
        <v>-2.3111393805460234E-2</v>
      </c>
      <c r="AN89" s="58">
        <f t="shared" si="23"/>
        <v>-2.3111393805460345E-2</v>
      </c>
      <c r="AP89" s="56">
        <f t="shared" si="17"/>
        <v>0</v>
      </c>
      <c r="AQ89" s="56">
        <f t="shared" si="18"/>
        <v>0</v>
      </c>
    </row>
    <row r="90" spans="1:43" x14ac:dyDescent="0.2">
      <c r="A90" s="156" t="s">
        <v>225</v>
      </c>
      <c r="B90" s="156" t="s">
        <v>226</v>
      </c>
      <c r="D90" s="68">
        <f>VLOOKUP(A90,'2017-18 disagg'!A90:AZ298,43,FALSE)</f>
        <v>331931</v>
      </c>
      <c r="E90" s="73">
        <v>1519.6307220652955</v>
      </c>
      <c r="F90" s="55"/>
      <c r="G90" s="88">
        <v>341077.38641609089</v>
      </c>
      <c r="H90" s="81">
        <v>1555.0130197219519</v>
      </c>
      <c r="I90" s="90"/>
      <c r="J90" s="103">
        <f t="shared" si="19"/>
        <v>-2.6816161904480329E-2</v>
      </c>
      <c r="K90" s="126">
        <f t="shared" si="19"/>
        <v>-2.2753698655836985E-2</v>
      </c>
      <c r="L90" s="56">
        <v>339668</v>
      </c>
      <c r="M90" s="103">
        <v>1.6244375343984929E-2</v>
      </c>
      <c r="N90" s="97">
        <f>INDEX('Pace of change parameters'!$E$22:$I$22,1,$B$5)</f>
        <v>1.2019795091496865E-2</v>
      </c>
      <c r="O90" s="108">
        <f>MAX(IF(INDEX('Pace of change parameters'!$E$30:$I$30,1,$B$5)=1,(1+M90)*D90,D90),L90)</f>
        <v>339668</v>
      </c>
      <c r="P90" s="94">
        <f>IF(K90&lt;INDEX('Pace of change parameters'!$E$18:$I$18,1,$B$5),1,IF(K90&gt;INDEX('Pace of change parameters'!$E$19:$I$19,1,$B$5),0,(K90-INDEX('Pace of change parameters'!$E$19:$I$19,1,$B$5))/(INDEX('Pace of change parameters'!$E$18:$I$18,1,$B$5)-INDEX('Pace of change parameters'!$E$19:$I$19,1,$B$5))))</f>
        <v>0.69087608705998749</v>
      </c>
      <c r="Q90" s="57">
        <v>2.5249523385001638E-2</v>
      </c>
      <c r="R90" s="57">
        <v>2.0987508267920285E-2</v>
      </c>
      <c r="S90" s="9">
        <f>MAX(IF(INDEX('Pace of change parameters'!$E$31:$I$31,1,$B$5)=1,D90*(1+Q90),D90),L90)</f>
        <v>340312.099546707</v>
      </c>
      <c r="T90" s="103">
        <f>IF(Q90&lt;INDEX('Pace of change parameters'!$E$24:$I$24,1,$B$5),INDEX('Pace of change parameters'!$E$24:$I$24,1,$B$5),Q90)</f>
        <v>2.5249523385001638E-2</v>
      </c>
      <c r="U90" s="132">
        <v>2.0987508267920285E-2</v>
      </c>
      <c r="V90" s="117">
        <f t="shared" si="20"/>
        <v>340312.099546707</v>
      </c>
      <c r="W90" s="131">
        <f>IF(J90&gt;INDEX('Pace of change parameters'!$E$26:$I$26,1,$B$5),0,IF(J90&lt;INDEX('Pace of change parameters'!$E$25:$I$25,1,$B$5),1,(J90-INDEX('Pace of change parameters'!$E$26:$I$26,1,$B$5))/(INDEX('Pace of change parameters'!$E$25:$I$25,1,$B$5)-INDEX('Pace of change parameters'!$E$26:$I$26,1,$B$5))))</f>
        <v>1</v>
      </c>
      <c r="X90" s="132">
        <f>MIN(T90, T90+(INDEX('Pace of change parameters'!$E$27:$I$27,1,$B$5)-T90)*(1-W90))</f>
        <v>2.5249523385001638E-2</v>
      </c>
      <c r="Y90" s="132">
        <v>2.0987508267920285E-2</v>
      </c>
      <c r="Z90" s="108">
        <f t="shared" si="21"/>
        <v>340312.099546707</v>
      </c>
      <c r="AA90" s="97">
        <f>MIN(VLOOKUP(A90,'2017-18 disagg'!$A$12:$BC$220,54,FALSE),-2.5%)</f>
        <v>-2.9644945267348843E-2</v>
      </c>
      <c r="AB90" s="99">
        <f t="shared" si="13"/>
        <v>339378.35593601409</v>
      </c>
      <c r="AC90" s="99">
        <f>MAX(IF(INDEX('Pace of change parameters'!$E$29:$I$29,1,$B$5)=1,MAX(AB90,Z90),Z90),L90)</f>
        <v>340312.099546707</v>
      </c>
      <c r="AD90" s="97">
        <f t="shared" si="14"/>
        <v>2.5249523385001638E-2</v>
      </c>
      <c r="AE90" s="146">
        <v>2.0987508267920285E-2</v>
      </c>
      <c r="AF90" s="56">
        <f t="shared" si="22"/>
        <v>340312.099546707</v>
      </c>
      <c r="AG90" s="56">
        <v>1551.5239844088264</v>
      </c>
      <c r="AH90" s="16">
        <f t="shared" si="15"/>
        <v>2.5249523385001638E-2</v>
      </c>
      <c r="AI90" s="16">
        <f t="shared" si="16"/>
        <v>2.0987508267920285E-2</v>
      </c>
      <c r="AJ90" s="56"/>
      <c r="AK90" s="56">
        <v>349746.57397906628</v>
      </c>
      <c r="AL90" s="56">
        <v>1594.5368933873633</v>
      </c>
      <c r="AM90" s="16">
        <f t="shared" si="23"/>
        <v>-2.6975173266240438E-2</v>
      </c>
      <c r="AN90" s="58">
        <f t="shared" si="23"/>
        <v>-2.6975173266240438E-2</v>
      </c>
      <c r="AP90" s="56">
        <f t="shared" si="17"/>
        <v>0</v>
      </c>
      <c r="AQ90" s="56">
        <f t="shared" si="18"/>
        <v>0</v>
      </c>
    </row>
    <row r="91" spans="1:43" x14ac:dyDescent="0.2">
      <c r="A91" s="156" t="s">
        <v>227</v>
      </c>
      <c r="B91" s="156" t="s">
        <v>228</v>
      </c>
      <c r="D91" s="68">
        <f>VLOOKUP(A91,'2017-18 disagg'!A91:AZ299,43,FALSE)</f>
        <v>430185</v>
      </c>
      <c r="E91" s="73">
        <v>1534.3715880152604</v>
      </c>
      <c r="F91" s="55"/>
      <c r="G91" s="88">
        <v>430701.69565736566</v>
      </c>
      <c r="H91" s="81">
        <v>1527.4041972477885</v>
      </c>
      <c r="I91" s="90"/>
      <c r="J91" s="103">
        <f t="shared" si="19"/>
        <v>-1.1996601419853592E-3</v>
      </c>
      <c r="K91" s="126">
        <f t="shared" si="19"/>
        <v>4.5615893815313946E-3</v>
      </c>
      <c r="L91" s="56">
        <v>440280</v>
      </c>
      <c r="M91" s="103">
        <v>1.7857296671731859E-2</v>
      </c>
      <c r="N91" s="97">
        <f>INDEX('Pace of change parameters'!$E$22:$I$22,1,$B$5)</f>
        <v>1.2019795091496865E-2</v>
      </c>
      <c r="O91" s="108">
        <f>MAX(IF(INDEX('Pace of change parameters'!$E$30:$I$30,1,$B$5)=1,(1+M91)*D91,D91),L91)</f>
        <v>440280</v>
      </c>
      <c r="P91" s="94">
        <f>IF(K91&lt;INDEX('Pace of change parameters'!$E$18:$I$18,1,$B$5),1,IF(K91&gt;INDEX('Pace of change parameters'!$E$19:$I$19,1,$B$5),0,(K91-INDEX('Pace of change parameters'!$E$19:$I$19,1,$B$5))/(INDEX('Pace of change parameters'!$E$18:$I$18,1,$B$5)-INDEX('Pace of change parameters'!$E$19:$I$19,1,$B$5))))</f>
        <v>9.8174268025784689E-2</v>
      </c>
      <c r="Q91" s="57">
        <v>1.9138969293239549E-2</v>
      </c>
      <c r="R91" s="57">
        <v>1.3294117207213851E-2</v>
      </c>
      <c r="S91" s="9">
        <f>MAX(IF(INDEX('Pace of change parameters'!$E$31:$I$31,1,$B$5)=1,D91*(1+Q91),D91),L91)</f>
        <v>440280</v>
      </c>
      <c r="T91" s="103">
        <f>IF(Q91&lt;INDEX('Pace of change parameters'!$E$24:$I$24,1,$B$5),INDEX('Pace of change parameters'!$E$24:$I$24,1,$B$5),Q91)</f>
        <v>1.9732353921844841E-2</v>
      </c>
      <c r="U91" s="132">
        <v>1.3884098722515725E-2</v>
      </c>
      <c r="V91" s="117">
        <f t="shared" si="20"/>
        <v>440280</v>
      </c>
      <c r="W91" s="131">
        <f>IF(J91&gt;INDEX('Pace of change parameters'!$E$26:$I$26,1,$B$5),0,IF(J91&lt;INDEX('Pace of change parameters'!$E$25:$I$25,1,$B$5),1,(J91-INDEX('Pace of change parameters'!$E$26:$I$26,1,$B$5))/(INDEX('Pace of change parameters'!$E$25:$I$25,1,$B$5)-INDEX('Pace of change parameters'!$E$26:$I$26,1,$B$5))))</f>
        <v>1</v>
      </c>
      <c r="X91" s="132">
        <f>MIN(T91, T91+(INDEX('Pace of change parameters'!$E$27:$I$27,1,$B$5)-T91)*(1-W91))</f>
        <v>1.9732353921844841E-2</v>
      </c>
      <c r="Y91" s="132">
        <v>1.3884098722515725E-2</v>
      </c>
      <c r="Z91" s="108">
        <f t="shared" si="21"/>
        <v>440280</v>
      </c>
      <c r="AA91" s="97">
        <f>MIN(VLOOKUP(A91,'2017-18 disagg'!$A$12:$BC$220,54,FALSE),-2.5%)</f>
        <v>-2.5000000000000001E-2</v>
      </c>
      <c r="AB91" s="99">
        <f t="shared" si="13"/>
        <v>430459.2940377589</v>
      </c>
      <c r="AC91" s="99">
        <f>MAX(IF(INDEX('Pace of change parameters'!$E$29:$I$29,1,$B$5)=1,MAX(AB91,Z91),Z91),L91)</f>
        <v>440280</v>
      </c>
      <c r="AD91" s="97">
        <f t="shared" si="14"/>
        <v>2.3466648070016305E-2</v>
      </c>
      <c r="AE91" s="146">
        <v>1.7596976363616568E-2</v>
      </c>
      <c r="AF91" s="56">
        <f t="shared" si="22"/>
        <v>440280</v>
      </c>
      <c r="AG91" s="56">
        <v>1561.3718885825699</v>
      </c>
      <c r="AH91" s="16">
        <f t="shared" si="15"/>
        <v>2.3466648070016305E-2</v>
      </c>
      <c r="AI91" s="16">
        <f t="shared" si="16"/>
        <v>1.7596976363616568E-2</v>
      </c>
      <c r="AJ91" s="56"/>
      <c r="AK91" s="56">
        <v>441496.71183359891</v>
      </c>
      <c r="AL91" s="56">
        <v>1565.686732894115</v>
      </c>
      <c r="AM91" s="16">
        <f t="shared" si="23"/>
        <v>-2.7558797177575922E-3</v>
      </c>
      <c r="AN91" s="58">
        <f t="shared" si="23"/>
        <v>-2.7558797177577032E-3</v>
      </c>
      <c r="AP91" s="56">
        <f t="shared" si="17"/>
        <v>1</v>
      </c>
      <c r="AQ91" s="56">
        <f t="shared" si="18"/>
        <v>0</v>
      </c>
    </row>
    <row r="92" spans="1:43" x14ac:dyDescent="0.2">
      <c r="A92" s="156" t="s">
        <v>229</v>
      </c>
      <c r="B92" s="156" t="s">
        <v>230</v>
      </c>
      <c r="D92" s="68">
        <f>VLOOKUP(A92,'2017-18 disagg'!A92:AZ300,43,FALSE)</f>
        <v>458750</v>
      </c>
      <c r="E92" s="73">
        <v>1510.9844766283497</v>
      </c>
      <c r="F92" s="55"/>
      <c r="G92" s="88">
        <v>466619.65690910944</v>
      </c>
      <c r="H92" s="81">
        <v>1530.2244095540229</v>
      </c>
      <c r="I92" s="90"/>
      <c r="J92" s="103">
        <f t="shared" si="19"/>
        <v>-1.6865249443707708E-2</v>
      </c>
      <c r="K92" s="126">
        <f t="shared" si="19"/>
        <v>-1.257327540035813E-2</v>
      </c>
      <c r="L92" s="56">
        <v>468954</v>
      </c>
      <c r="M92" s="103">
        <v>1.6437869713954001E-2</v>
      </c>
      <c r="N92" s="97">
        <f>INDEX('Pace of change parameters'!$E$22:$I$22,1,$B$5)</f>
        <v>1.2019795091496865E-2</v>
      </c>
      <c r="O92" s="108">
        <f>MAX(IF(INDEX('Pace of change parameters'!$E$30:$I$30,1,$B$5)=1,(1+M92)*D92,D92),L92)</f>
        <v>468954</v>
      </c>
      <c r="P92" s="94">
        <f>IF(K92&lt;INDEX('Pace of change parameters'!$E$18:$I$18,1,$B$5),1,IF(K92&gt;INDEX('Pace of change parameters'!$E$19:$I$19,1,$B$5),0,(K92-INDEX('Pace of change parameters'!$E$19:$I$19,1,$B$5))/(INDEX('Pace of change parameters'!$E$18:$I$18,1,$B$5)-INDEX('Pace of change parameters'!$E$19:$I$19,1,$B$5))))</f>
        <v>0.46997578486270769</v>
      </c>
      <c r="Q92" s="57">
        <v>2.2564883537178115E-2</v>
      </c>
      <c r="R92" s="57">
        <v>1.8120177081049293E-2</v>
      </c>
      <c r="S92" s="9">
        <f>MAX(IF(INDEX('Pace of change parameters'!$E$31:$I$31,1,$B$5)=1,D92*(1+Q92),D92),L92)</f>
        <v>469101.64032268047</v>
      </c>
      <c r="T92" s="103">
        <f>IF(Q92&lt;INDEX('Pace of change parameters'!$E$24:$I$24,1,$B$5),INDEX('Pace of change parameters'!$E$24:$I$24,1,$B$5),Q92)</f>
        <v>2.2564883537178115E-2</v>
      </c>
      <c r="U92" s="132">
        <v>1.8120177081049293E-2</v>
      </c>
      <c r="V92" s="117">
        <f t="shared" si="20"/>
        <v>469101.64032268047</v>
      </c>
      <c r="W92" s="131">
        <f>IF(J92&gt;INDEX('Pace of change parameters'!$E$26:$I$26,1,$B$5),0,IF(J92&lt;INDEX('Pace of change parameters'!$E$25:$I$25,1,$B$5),1,(J92-INDEX('Pace of change parameters'!$E$26:$I$26,1,$B$5))/(INDEX('Pace of change parameters'!$E$25:$I$25,1,$B$5)-INDEX('Pace of change parameters'!$E$26:$I$26,1,$B$5))))</f>
        <v>1</v>
      </c>
      <c r="X92" s="132">
        <f>MIN(T92, T92+(INDEX('Pace of change parameters'!$E$27:$I$27,1,$B$5)-T92)*(1-W92))</f>
        <v>2.2564883537178115E-2</v>
      </c>
      <c r="Y92" s="132">
        <v>1.8120177081049293E-2</v>
      </c>
      <c r="Z92" s="108">
        <f t="shared" si="21"/>
        <v>469101.64032268047</v>
      </c>
      <c r="AA92" s="97">
        <f>MIN(VLOOKUP(A92,'2017-18 disagg'!$A$12:$BC$220,54,FALSE),-2.5%)</f>
        <v>-2.5000000000000001E-2</v>
      </c>
      <c r="AB92" s="99">
        <f t="shared" si="13"/>
        <v>466555.84946873412</v>
      </c>
      <c r="AC92" s="99">
        <f>MAX(IF(INDEX('Pace of change parameters'!$E$29:$I$29,1,$B$5)=1,MAX(AB92,Z92),Z92),L92)</f>
        <v>469101.64032268047</v>
      </c>
      <c r="AD92" s="97">
        <f t="shared" si="14"/>
        <v>2.2564883537178115E-2</v>
      </c>
      <c r="AE92" s="146">
        <v>1.8120177081049293E-2</v>
      </c>
      <c r="AF92" s="56">
        <f t="shared" si="22"/>
        <v>469101.64032268047</v>
      </c>
      <c r="AG92" s="56">
        <v>1538.3637829115719</v>
      </c>
      <c r="AH92" s="16">
        <f t="shared" si="15"/>
        <v>2.2564883537178115E-2</v>
      </c>
      <c r="AI92" s="16">
        <f t="shared" si="16"/>
        <v>1.8120177081049293E-2</v>
      </c>
      <c r="AJ92" s="56"/>
      <c r="AK92" s="56">
        <v>478518.81996793242</v>
      </c>
      <c r="AL92" s="56">
        <v>1569.2463185033519</v>
      </c>
      <c r="AM92" s="16">
        <f t="shared" si="23"/>
        <v>-1.9679852186133551E-2</v>
      </c>
      <c r="AN92" s="58">
        <f t="shared" si="23"/>
        <v>-1.967985218613344E-2</v>
      </c>
      <c r="AP92" s="56">
        <f t="shared" si="17"/>
        <v>0</v>
      </c>
      <c r="AQ92" s="56">
        <f t="shared" si="18"/>
        <v>0</v>
      </c>
    </row>
    <row r="93" spans="1:43" x14ac:dyDescent="0.2">
      <c r="A93" s="156" t="s">
        <v>231</v>
      </c>
      <c r="B93" s="156" t="s">
        <v>232</v>
      </c>
      <c r="D93" s="68">
        <f>VLOOKUP(A93,'2017-18 disagg'!A93:AZ301,43,FALSE)</f>
        <v>229263</v>
      </c>
      <c r="E93" s="73">
        <v>1552.5776164559402</v>
      </c>
      <c r="F93" s="55"/>
      <c r="G93" s="88">
        <v>229984.453713619</v>
      </c>
      <c r="H93" s="81">
        <v>1551.7321854330164</v>
      </c>
      <c r="I93" s="90"/>
      <c r="J93" s="103">
        <f t="shared" si="19"/>
        <v>-3.1369673122226827E-3</v>
      </c>
      <c r="K93" s="126">
        <f t="shared" si="19"/>
        <v>5.4483050030174063E-4</v>
      </c>
      <c r="L93" s="56">
        <v>234559</v>
      </c>
      <c r="M93" s="103">
        <v>1.5757572645302753E-2</v>
      </c>
      <c r="N93" s="97">
        <f>INDEX('Pace of change parameters'!$E$22:$I$22,1,$B$5)</f>
        <v>1.2019795091496865E-2</v>
      </c>
      <c r="O93" s="108">
        <f>MAX(IF(INDEX('Pace of change parameters'!$E$30:$I$30,1,$B$5)=1,(1+M93)*D93,D93),L93)</f>
        <v>234559</v>
      </c>
      <c r="P93" s="94">
        <f>IF(K93&lt;INDEX('Pace of change parameters'!$E$18:$I$18,1,$B$5),1,IF(K93&gt;INDEX('Pace of change parameters'!$E$19:$I$19,1,$B$5),0,(K93-INDEX('Pace of change parameters'!$E$19:$I$19,1,$B$5))/(INDEX('Pace of change parameters'!$E$18:$I$18,1,$B$5)-INDEX('Pace of change parameters'!$E$19:$I$19,1,$B$5))))</f>
        <v>0.18533206377260822</v>
      </c>
      <c r="Q93" s="57">
        <v>1.817210579123274E-2</v>
      </c>
      <c r="R93" s="57">
        <v>1.4425443255381198E-2</v>
      </c>
      <c r="S93" s="9">
        <f>MAX(IF(INDEX('Pace of change parameters'!$E$31:$I$31,1,$B$5)=1,D93*(1+Q93),D93),L93)</f>
        <v>234559</v>
      </c>
      <c r="T93" s="103">
        <f>IF(Q93&lt;INDEX('Pace of change parameters'!$E$24:$I$24,1,$B$5),INDEX('Pace of change parameters'!$E$24:$I$24,1,$B$5),Q93)</f>
        <v>1.9732353921844841E-2</v>
      </c>
      <c r="U93" s="132">
        <v>1.5979949995923226E-2</v>
      </c>
      <c r="V93" s="117">
        <f t="shared" si="20"/>
        <v>234559</v>
      </c>
      <c r="W93" s="131">
        <f>IF(J93&gt;INDEX('Pace of change parameters'!$E$26:$I$26,1,$B$5),0,IF(J93&lt;INDEX('Pace of change parameters'!$E$25:$I$25,1,$B$5),1,(J93-INDEX('Pace of change parameters'!$E$26:$I$26,1,$B$5))/(INDEX('Pace of change parameters'!$E$25:$I$25,1,$B$5)-INDEX('Pace of change parameters'!$E$26:$I$26,1,$B$5))))</f>
        <v>1</v>
      </c>
      <c r="X93" s="132">
        <f>MIN(T93, T93+(INDEX('Pace of change parameters'!$E$27:$I$27,1,$B$5)-T93)*(1-W93))</f>
        <v>1.9732353921844841E-2</v>
      </c>
      <c r="Y93" s="132">
        <v>1.5979949995923226E-2</v>
      </c>
      <c r="Z93" s="108">
        <f t="shared" si="21"/>
        <v>234559</v>
      </c>
      <c r="AA93" s="97">
        <f>MIN(VLOOKUP(A93,'2017-18 disagg'!$A$12:$BC$220,54,FALSE),-2.5%)</f>
        <v>-2.5000000000000001E-2</v>
      </c>
      <c r="AB93" s="99">
        <f t="shared" si="13"/>
        <v>229931.07460461863</v>
      </c>
      <c r="AC93" s="99">
        <f>MAX(IF(INDEX('Pace of change parameters'!$E$29:$I$29,1,$B$5)=1,MAX(AB93,Z93),Z93),L93)</f>
        <v>234559</v>
      </c>
      <c r="AD93" s="97">
        <f t="shared" si="14"/>
        <v>2.3100107736529596E-2</v>
      </c>
      <c r="AE93" s="146">
        <v>1.9335311173866554E-2</v>
      </c>
      <c r="AF93" s="56">
        <f t="shared" si="22"/>
        <v>234559</v>
      </c>
      <c r="AG93" s="56">
        <v>1582.5971877916961</v>
      </c>
      <c r="AH93" s="16">
        <f t="shared" si="15"/>
        <v>2.3100107736529596E-2</v>
      </c>
      <c r="AI93" s="16">
        <f t="shared" si="16"/>
        <v>1.9335311173866776E-2</v>
      </c>
      <c r="AJ93" s="56"/>
      <c r="AK93" s="56">
        <v>235826.74318422424</v>
      </c>
      <c r="AL93" s="56">
        <v>1591.1508003079302</v>
      </c>
      <c r="AM93" s="16">
        <f t="shared" si="23"/>
        <v>-5.3757396939239088E-3</v>
      </c>
      <c r="AN93" s="58">
        <f t="shared" si="23"/>
        <v>-5.3757396939239088E-3</v>
      </c>
      <c r="AP93" s="56">
        <f t="shared" si="17"/>
        <v>1</v>
      </c>
      <c r="AQ93" s="56">
        <f t="shared" si="18"/>
        <v>0</v>
      </c>
    </row>
    <row r="94" spans="1:43" x14ac:dyDescent="0.2">
      <c r="A94" s="156" t="s">
        <v>233</v>
      </c>
      <c r="B94" s="156" t="s">
        <v>234</v>
      </c>
      <c r="D94" s="68">
        <f>VLOOKUP(A94,'2017-18 disagg'!A94:AZ302,43,FALSE)</f>
        <v>509644</v>
      </c>
      <c r="E94" s="73">
        <v>1777.1669216231976</v>
      </c>
      <c r="F94" s="55"/>
      <c r="G94" s="88">
        <v>502905.68294074963</v>
      </c>
      <c r="H94" s="81">
        <v>1748.0604064699662</v>
      </c>
      <c r="I94" s="90"/>
      <c r="J94" s="103">
        <f t="shared" si="19"/>
        <v>1.3398768969656416E-2</v>
      </c>
      <c r="K94" s="126">
        <f t="shared" si="19"/>
        <v>1.6650749050491465E-2</v>
      </c>
      <c r="L94" s="56">
        <v>521505</v>
      </c>
      <c r="M94" s="103">
        <v>1.5267350067702745E-2</v>
      </c>
      <c r="N94" s="97">
        <f>INDEX('Pace of change parameters'!$E$22:$I$22,1,$B$5)</f>
        <v>1.2019795091496865E-2</v>
      </c>
      <c r="O94" s="108">
        <f>MAX(IF(INDEX('Pace of change parameters'!$E$30:$I$30,1,$B$5)=1,(1+M94)*D94,D94),L94)</f>
        <v>521505</v>
      </c>
      <c r="P94" s="94">
        <f>IF(K94&lt;INDEX('Pace of change parameters'!$E$18:$I$18,1,$B$5),1,IF(K94&gt;INDEX('Pace of change parameters'!$E$19:$I$19,1,$B$5),0,(K94-INDEX('Pace of change parameters'!$E$19:$I$19,1,$B$5))/(INDEX('Pace of change parameters'!$E$18:$I$18,1,$B$5)-INDEX('Pace of change parameters'!$E$19:$I$19,1,$B$5))))</f>
        <v>0</v>
      </c>
      <c r="Q94" s="57">
        <v>1.5267350067702745E-2</v>
      </c>
      <c r="R94" s="57">
        <v>1.2019795091496865E-2</v>
      </c>
      <c r="S94" s="9">
        <f>MAX(IF(INDEX('Pace of change parameters'!$E$31:$I$31,1,$B$5)=1,D94*(1+Q94),D94),L94)</f>
        <v>521505</v>
      </c>
      <c r="T94" s="103">
        <f>IF(Q94&lt;INDEX('Pace of change parameters'!$E$24:$I$24,1,$B$5),INDEX('Pace of change parameters'!$E$24:$I$24,1,$B$5),Q94)</f>
        <v>1.9732353921844841E-2</v>
      </c>
      <c r="U94" s="132">
        <v>1.6470516652916434E-2</v>
      </c>
      <c r="V94" s="117">
        <f t="shared" si="20"/>
        <v>521505</v>
      </c>
      <c r="W94" s="131">
        <f>IF(J94&gt;INDEX('Pace of change parameters'!$E$26:$I$26,1,$B$5),0,IF(J94&lt;INDEX('Pace of change parameters'!$E$25:$I$25,1,$B$5),1,(J94-INDEX('Pace of change parameters'!$E$26:$I$26,1,$B$5))/(INDEX('Pace of change parameters'!$E$25:$I$25,1,$B$5)-INDEX('Pace of change parameters'!$E$26:$I$26,1,$B$5))))</f>
        <v>1</v>
      </c>
      <c r="X94" s="132">
        <f>MIN(T94, T94+(INDEX('Pace of change parameters'!$E$27:$I$27,1,$B$5)-T94)*(1-W94))</f>
        <v>1.9732353921844841E-2</v>
      </c>
      <c r="Y94" s="132">
        <v>1.6470516652916434E-2</v>
      </c>
      <c r="Z94" s="108">
        <f t="shared" si="21"/>
        <v>521505</v>
      </c>
      <c r="AA94" s="97">
        <f>MIN(VLOOKUP(A94,'2017-18 disagg'!$A$12:$BC$220,54,FALSE),-2.5%)</f>
        <v>-2.5000000000000001E-2</v>
      </c>
      <c r="AB94" s="99">
        <f t="shared" si="13"/>
        <v>502739.83376598288</v>
      </c>
      <c r="AC94" s="99">
        <f>MAX(IF(INDEX('Pace of change parameters'!$E$29:$I$29,1,$B$5)=1,MAX(AB94,Z94),Z94),L94)</f>
        <v>521505</v>
      </c>
      <c r="AD94" s="97">
        <f t="shared" si="14"/>
        <v>2.3273108287353628E-2</v>
      </c>
      <c r="AE94" s="146">
        <v>1.9999945140114939E-2</v>
      </c>
      <c r="AF94" s="56">
        <f t="shared" si="22"/>
        <v>521505</v>
      </c>
      <c r="AG94" s="56">
        <v>1812.7101625604885</v>
      </c>
      <c r="AH94" s="16">
        <f t="shared" si="15"/>
        <v>2.3273108287353628E-2</v>
      </c>
      <c r="AI94" s="16">
        <f t="shared" si="16"/>
        <v>1.9999945140114939E-2</v>
      </c>
      <c r="AJ94" s="56"/>
      <c r="AK94" s="56">
        <v>515630.59873434145</v>
      </c>
      <c r="AL94" s="56">
        <v>1792.2912080476506</v>
      </c>
      <c r="AM94" s="16">
        <f t="shared" si="23"/>
        <v>1.1392654509018163E-2</v>
      </c>
      <c r="AN94" s="58">
        <f t="shared" si="23"/>
        <v>1.1392654509018385E-2</v>
      </c>
      <c r="AP94" s="56">
        <f t="shared" si="17"/>
        <v>1</v>
      </c>
      <c r="AQ94" s="56">
        <f t="shared" si="18"/>
        <v>0</v>
      </c>
    </row>
    <row r="95" spans="1:43" x14ac:dyDescent="0.2">
      <c r="A95" s="156" t="s">
        <v>235</v>
      </c>
      <c r="B95" s="156" t="s">
        <v>236</v>
      </c>
      <c r="D95" s="68">
        <f>VLOOKUP(A95,'2017-18 disagg'!A95:AZ303,43,FALSE)</f>
        <v>277026</v>
      </c>
      <c r="E95" s="73">
        <v>1536.2494180838569</v>
      </c>
      <c r="F95" s="55"/>
      <c r="G95" s="88">
        <v>282905.78800538182</v>
      </c>
      <c r="H95" s="81">
        <v>1562.5989783899311</v>
      </c>
      <c r="I95" s="90"/>
      <c r="J95" s="103">
        <f t="shared" si="19"/>
        <v>-2.0783555001956944E-2</v>
      </c>
      <c r="K95" s="126">
        <f t="shared" si="19"/>
        <v>-1.6862650411575308E-2</v>
      </c>
      <c r="L95" s="56">
        <v>283476</v>
      </c>
      <c r="M95" s="103">
        <v>1.607204838074705E-2</v>
      </c>
      <c r="N95" s="97">
        <f>INDEX('Pace of change parameters'!$E$22:$I$22,1,$B$5)</f>
        <v>1.2019795091496865E-2</v>
      </c>
      <c r="O95" s="108">
        <f>MAX(IF(INDEX('Pace of change parameters'!$E$30:$I$30,1,$B$5)=1,(1+M95)*D95,D95),L95)</f>
        <v>283476</v>
      </c>
      <c r="P95" s="94">
        <f>IF(K95&lt;INDEX('Pace of change parameters'!$E$18:$I$18,1,$B$5),1,IF(K95&gt;INDEX('Pace of change parameters'!$E$19:$I$19,1,$B$5),0,(K95-INDEX('Pace of change parameters'!$E$19:$I$19,1,$B$5))/(INDEX('Pace of change parameters'!$E$18:$I$18,1,$B$5)-INDEX('Pace of change parameters'!$E$19:$I$19,1,$B$5))))</f>
        <v>0.56304895210115247</v>
      </c>
      <c r="Q95" s="57">
        <v>2.3409803259735407E-2</v>
      </c>
      <c r="R95" s="57">
        <v>1.932828586328772E-2</v>
      </c>
      <c r="S95" s="9">
        <f>MAX(IF(INDEX('Pace of change parameters'!$E$31:$I$31,1,$B$5)=1,D95*(1+Q95),D95),L95)</f>
        <v>283511.12415783148</v>
      </c>
      <c r="T95" s="103">
        <f>IF(Q95&lt;INDEX('Pace of change parameters'!$E$24:$I$24,1,$B$5),INDEX('Pace of change parameters'!$E$24:$I$24,1,$B$5),Q95)</f>
        <v>2.3409803259735407E-2</v>
      </c>
      <c r="U95" s="132">
        <v>1.932828586328772E-2</v>
      </c>
      <c r="V95" s="117">
        <f t="shared" si="20"/>
        <v>283511.12415783148</v>
      </c>
      <c r="W95" s="131">
        <f>IF(J95&gt;INDEX('Pace of change parameters'!$E$26:$I$26,1,$B$5),0,IF(J95&lt;INDEX('Pace of change parameters'!$E$25:$I$25,1,$B$5),1,(J95-INDEX('Pace of change parameters'!$E$26:$I$26,1,$B$5))/(INDEX('Pace of change parameters'!$E$25:$I$25,1,$B$5)-INDEX('Pace of change parameters'!$E$26:$I$26,1,$B$5))))</f>
        <v>1</v>
      </c>
      <c r="X95" s="132">
        <f>MIN(T95, T95+(INDEX('Pace of change parameters'!$E$27:$I$27,1,$B$5)-T95)*(1-W95))</f>
        <v>2.3409803259735407E-2</v>
      </c>
      <c r="Y95" s="132">
        <v>1.932828586328772E-2</v>
      </c>
      <c r="Z95" s="108">
        <f t="shared" si="21"/>
        <v>283511.12415783148</v>
      </c>
      <c r="AA95" s="97">
        <f>MIN(VLOOKUP(A95,'2017-18 disagg'!$A$12:$BC$220,54,FALSE),-2.5%)</f>
        <v>-2.5000000000000001E-2</v>
      </c>
      <c r="AB95" s="99">
        <f t="shared" si="13"/>
        <v>282840.82507027307</v>
      </c>
      <c r="AC95" s="99">
        <f>MAX(IF(INDEX('Pace of change parameters'!$E$29:$I$29,1,$B$5)=1,MAX(AB95,Z95),Z95),L95)</f>
        <v>283511.12415783148</v>
      </c>
      <c r="AD95" s="97">
        <f t="shared" si="14"/>
        <v>2.3409803259735407E-2</v>
      </c>
      <c r="AE95" s="146">
        <v>1.932828586328772E-2</v>
      </c>
      <c r="AF95" s="56">
        <f t="shared" si="22"/>
        <v>283511.12415783148</v>
      </c>
      <c r="AG95" s="56">
        <v>1565.9424859938913</v>
      </c>
      <c r="AH95" s="16">
        <f t="shared" si="15"/>
        <v>2.3409803259735407E-2</v>
      </c>
      <c r="AI95" s="16">
        <f t="shared" si="16"/>
        <v>1.9328285863287942E-2</v>
      </c>
      <c r="AJ95" s="56"/>
      <c r="AK95" s="56">
        <v>290093.15391822881</v>
      </c>
      <c r="AL95" s="56">
        <v>1602.2976028398332</v>
      </c>
      <c r="AM95" s="16">
        <f t="shared" si="23"/>
        <v>-2.2689366058782134E-2</v>
      </c>
      <c r="AN95" s="58">
        <f t="shared" si="23"/>
        <v>-2.2689366058782023E-2</v>
      </c>
      <c r="AP95" s="56">
        <f t="shared" si="17"/>
        <v>0</v>
      </c>
      <c r="AQ95" s="56">
        <f t="shared" si="18"/>
        <v>0</v>
      </c>
    </row>
    <row r="96" spans="1:43" x14ac:dyDescent="0.2">
      <c r="A96" s="156" t="s">
        <v>237</v>
      </c>
      <c r="B96" s="156" t="s">
        <v>238</v>
      </c>
      <c r="D96" s="68">
        <f>VLOOKUP(A96,'2017-18 disagg'!A96:AZ304,43,FALSE)</f>
        <v>492899</v>
      </c>
      <c r="E96" s="73">
        <v>1753.6858581141028</v>
      </c>
      <c r="F96" s="55"/>
      <c r="G96" s="88">
        <v>471052.72263545508</v>
      </c>
      <c r="H96" s="81">
        <v>1667.4030371047763</v>
      </c>
      <c r="I96" s="90"/>
      <c r="J96" s="103">
        <f t="shared" si="19"/>
        <v>4.6377563093827234E-2</v>
      </c>
      <c r="K96" s="126">
        <f t="shared" si="19"/>
        <v>5.1746829704199859E-2</v>
      </c>
      <c r="L96" s="56">
        <v>502935</v>
      </c>
      <c r="M96" s="103">
        <v>1.7212762034284568E-2</v>
      </c>
      <c r="N96" s="97">
        <f>INDEX('Pace of change parameters'!$E$22:$I$22,1,$B$5)</f>
        <v>1.2019795091496865E-2</v>
      </c>
      <c r="O96" s="108">
        <f>MAX(IF(INDEX('Pace of change parameters'!$E$30:$I$30,1,$B$5)=1,(1+M96)*D96,D96),L96)</f>
        <v>502935</v>
      </c>
      <c r="P96" s="94">
        <f>IF(K96&lt;INDEX('Pace of change parameters'!$E$18:$I$18,1,$B$5),1,IF(K96&gt;INDEX('Pace of change parameters'!$E$19:$I$19,1,$B$5),0,(K96-INDEX('Pace of change parameters'!$E$19:$I$19,1,$B$5))/(INDEX('Pace of change parameters'!$E$18:$I$18,1,$B$5)-INDEX('Pace of change parameters'!$E$19:$I$19,1,$B$5))))</f>
        <v>0</v>
      </c>
      <c r="Q96" s="57">
        <v>1.7212762034284568E-2</v>
      </c>
      <c r="R96" s="57">
        <v>1.2019795091496865E-2</v>
      </c>
      <c r="S96" s="9">
        <f>MAX(IF(INDEX('Pace of change parameters'!$E$31:$I$31,1,$B$5)=1,D96*(1+Q96),D96),L96)</f>
        <v>502935</v>
      </c>
      <c r="T96" s="103">
        <f>IF(Q96&lt;INDEX('Pace of change parameters'!$E$24:$I$24,1,$B$5),INDEX('Pace of change parameters'!$E$24:$I$24,1,$B$5),Q96)</f>
        <v>1.9732353921844841E-2</v>
      </c>
      <c r="U96" s="132">
        <v>1.4526524225197068E-2</v>
      </c>
      <c r="V96" s="117">
        <f t="shared" si="20"/>
        <v>502935</v>
      </c>
      <c r="W96" s="131">
        <f>IF(J96&gt;INDEX('Pace of change parameters'!$E$26:$I$26,1,$B$5),0,IF(J96&lt;INDEX('Pace of change parameters'!$E$25:$I$25,1,$B$5),1,(J96-INDEX('Pace of change parameters'!$E$26:$I$26,1,$B$5))/(INDEX('Pace of change parameters'!$E$25:$I$25,1,$B$5)-INDEX('Pace of change parameters'!$E$26:$I$26,1,$B$5))))</f>
        <v>1</v>
      </c>
      <c r="X96" s="132">
        <f>MIN(T96, T96+(INDEX('Pace of change parameters'!$E$27:$I$27,1,$B$5)-T96)*(1-W96))</f>
        <v>1.9732353921844841E-2</v>
      </c>
      <c r="Y96" s="132">
        <v>1.4526524225197068E-2</v>
      </c>
      <c r="Z96" s="108">
        <f t="shared" si="21"/>
        <v>502935</v>
      </c>
      <c r="AA96" s="97">
        <f>MIN(VLOOKUP(A96,'2017-18 disagg'!$A$12:$BC$220,54,FALSE),-2.5%)</f>
        <v>-2.5000000000000001E-2</v>
      </c>
      <c r="AB96" s="99">
        <f t="shared" si="13"/>
        <v>471005.72240883228</v>
      </c>
      <c r="AC96" s="99">
        <f>MAX(IF(INDEX('Pace of change parameters'!$E$29:$I$29,1,$B$5)=1,MAX(AB96,Z96),Z96),L96)</f>
        <v>502935</v>
      </c>
      <c r="AD96" s="97">
        <f t="shared" si="14"/>
        <v>2.0361169326778894E-2</v>
      </c>
      <c r="AE96" s="146">
        <v>1.5152129468272379E-2</v>
      </c>
      <c r="AF96" s="56">
        <f t="shared" si="22"/>
        <v>502935</v>
      </c>
      <c r="AG96" s="56">
        <v>1780.2579332829262</v>
      </c>
      <c r="AH96" s="16">
        <f t="shared" si="15"/>
        <v>2.0361169326778894E-2</v>
      </c>
      <c r="AI96" s="16">
        <f t="shared" si="16"/>
        <v>1.5152129468272379E-2</v>
      </c>
      <c r="AJ96" s="56"/>
      <c r="AK96" s="56">
        <v>483082.79221418698</v>
      </c>
      <c r="AL96" s="56">
        <v>1709.9863268052009</v>
      </c>
      <c r="AM96" s="16">
        <f t="shared" si="23"/>
        <v>4.1094835307259325E-2</v>
      </c>
      <c r="AN96" s="58">
        <f t="shared" si="23"/>
        <v>4.1094835307259547E-2</v>
      </c>
      <c r="AP96" s="56">
        <f t="shared" si="17"/>
        <v>1</v>
      </c>
      <c r="AQ96" s="56">
        <f t="shared" si="18"/>
        <v>0</v>
      </c>
    </row>
    <row r="97" spans="1:43" x14ac:dyDescent="0.2">
      <c r="A97" s="156" t="s">
        <v>239</v>
      </c>
      <c r="B97" s="156" t="s">
        <v>240</v>
      </c>
      <c r="D97" s="68">
        <f>VLOOKUP(A97,'2017-18 disagg'!A97:AZ305,43,FALSE)</f>
        <v>301326</v>
      </c>
      <c r="E97" s="73">
        <v>1601.3286740626324</v>
      </c>
      <c r="F97" s="55"/>
      <c r="G97" s="88">
        <v>307502.54692085041</v>
      </c>
      <c r="H97" s="81">
        <v>1625.8905112426003</v>
      </c>
      <c r="I97" s="90"/>
      <c r="J97" s="103">
        <f t="shared" si="19"/>
        <v>-2.0086165082854435E-2</v>
      </c>
      <c r="K97" s="126">
        <f t="shared" si="19"/>
        <v>-1.5106698151031273E-2</v>
      </c>
      <c r="L97" s="56">
        <v>308576</v>
      </c>
      <c r="M97" s="103">
        <v>1.7162409599470019E-2</v>
      </c>
      <c r="N97" s="97">
        <f>INDEX('Pace of change parameters'!$E$22:$I$22,1,$B$5)</f>
        <v>1.2019795091496865E-2</v>
      </c>
      <c r="O97" s="108">
        <f>MAX(IF(INDEX('Pace of change parameters'!$E$30:$I$30,1,$B$5)=1,(1+M97)*D97,D97),L97)</f>
        <v>308576</v>
      </c>
      <c r="P97" s="94">
        <f>IF(K97&lt;INDEX('Pace of change parameters'!$E$18:$I$18,1,$B$5),1,IF(K97&gt;INDEX('Pace of change parameters'!$E$19:$I$19,1,$B$5),0,(K97-INDEX('Pace of change parameters'!$E$19:$I$19,1,$B$5))/(INDEX('Pace of change parameters'!$E$18:$I$18,1,$B$5)-INDEX('Pace of change parameters'!$E$19:$I$19,1,$B$5))))</f>
        <v>0.52494735501977163</v>
      </c>
      <c r="Q97" s="57">
        <v>2.4010959031644186E-2</v>
      </c>
      <c r="R97" s="57">
        <v>1.8833719325830334E-2</v>
      </c>
      <c r="S97" s="9">
        <f>MAX(IF(INDEX('Pace of change parameters'!$E$31:$I$31,1,$B$5)=1,D97*(1+Q97),D97),L97)</f>
        <v>308576</v>
      </c>
      <c r="T97" s="103">
        <f>IF(Q97&lt;INDEX('Pace of change parameters'!$E$24:$I$24,1,$B$5),INDEX('Pace of change parameters'!$E$24:$I$24,1,$B$5),Q97)</f>
        <v>2.4010959031644186E-2</v>
      </c>
      <c r="U97" s="132">
        <v>1.8833719325830334E-2</v>
      </c>
      <c r="V97" s="117">
        <f t="shared" si="20"/>
        <v>308576</v>
      </c>
      <c r="W97" s="131">
        <f>IF(J97&gt;INDEX('Pace of change parameters'!$E$26:$I$26,1,$B$5),0,IF(J97&lt;INDEX('Pace of change parameters'!$E$25:$I$25,1,$B$5),1,(J97-INDEX('Pace of change parameters'!$E$26:$I$26,1,$B$5))/(INDEX('Pace of change parameters'!$E$25:$I$25,1,$B$5)-INDEX('Pace of change parameters'!$E$26:$I$26,1,$B$5))))</f>
        <v>1</v>
      </c>
      <c r="X97" s="132">
        <f>MIN(T97, T97+(INDEX('Pace of change parameters'!$E$27:$I$27,1,$B$5)-T97)*(1-W97))</f>
        <v>2.4010959031644186E-2</v>
      </c>
      <c r="Y97" s="132">
        <v>1.8833719325830334E-2</v>
      </c>
      <c r="Z97" s="108">
        <f t="shared" si="21"/>
        <v>308576</v>
      </c>
      <c r="AA97" s="97">
        <f>MIN(VLOOKUP(A97,'2017-18 disagg'!$A$12:$BC$220,54,FALSE),-2.5%)</f>
        <v>-2.5000000000000001E-2</v>
      </c>
      <c r="AB97" s="99">
        <f t="shared" si="13"/>
        <v>307344.0348258079</v>
      </c>
      <c r="AC97" s="99">
        <f>MAX(IF(INDEX('Pace of change parameters'!$E$29:$I$29,1,$B$5)=1,MAX(AB97,Z97),Z97),L97)</f>
        <v>308576</v>
      </c>
      <c r="AD97" s="97">
        <f t="shared" si="14"/>
        <v>2.4060320052036621E-2</v>
      </c>
      <c r="AE97" s="146">
        <v>1.8882830784601845E-2</v>
      </c>
      <c r="AF97" s="56">
        <f t="shared" si="22"/>
        <v>308576</v>
      </c>
      <c r="AG97" s="56">
        <v>1631.5662924454882</v>
      </c>
      <c r="AH97" s="16">
        <f t="shared" si="15"/>
        <v>2.4060320052036621E-2</v>
      </c>
      <c r="AI97" s="16">
        <f t="shared" si="16"/>
        <v>1.8882830784602067E-2</v>
      </c>
      <c r="AJ97" s="56"/>
      <c r="AK97" s="56">
        <v>315224.65110339271</v>
      </c>
      <c r="AL97" s="56">
        <v>1666.7204036872117</v>
      </c>
      <c r="AM97" s="16">
        <f t="shared" si="23"/>
        <v>-2.1091786699168891E-2</v>
      </c>
      <c r="AN97" s="58">
        <f t="shared" si="23"/>
        <v>-2.1091786699169002E-2</v>
      </c>
      <c r="AP97" s="56">
        <f t="shared" si="17"/>
        <v>1</v>
      </c>
      <c r="AQ97" s="56">
        <f t="shared" si="18"/>
        <v>0</v>
      </c>
    </row>
    <row r="98" spans="1:43" x14ac:dyDescent="0.2">
      <c r="A98" s="156" t="s">
        <v>241</v>
      </c>
      <c r="B98" s="156" t="s">
        <v>242</v>
      </c>
      <c r="D98" s="68">
        <f>VLOOKUP(A98,'2017-18 disagg'!A98:AZ306,43,FALSE)</f>
        <v>456905</v>
      </c>
      <c r="E98" s="73">
        <v>1693.2690951706024</v>
      </c>
      <c r="F98" s="55"/>
      <c r="G98" s="88">
        <v>464331.30644441571</v>
      </c>
      <c r="H98" s="81">
        <v>1714.5863357454641</v>
      </c>
      <c r="I98" s="90"/>
      <c r="J98" s="103">
        <f t="shared" si="19"/>
        <v>-1.5993551029936159E-2</v>
      </c>
      <c r="K98" s="126">
        <f t="shared" si="19"/>
        <v>-1.24328767414289E-2</v>
      </c>
      <c r="L98" s="56">
        <v>467943</v>
      </c>
      <c r="M98" s="103">
        <v>1.5681837009630772E-2</v>
      </c>
      <c r="N98" s="97">
        <f>INDEX('Pace of change parameters'!$E$22:$I$22,1,$B$5)</f>
        <v>1.2019795091496865E-2</v>
      </c>
      <c r="O98" s="108">
        <f>MAX(IF(INDEX('Pace of change parameters'!$E$30:$I$30,1,$B$5)=1,(1+M98)*D98,D98),L98)</f>
        <v>467943</v>
      </c>
      <c r="P98" s="94">
        <f>IF(K98&lt;INDEX('Pace of change parameters'!$E$18:$I$18,1,$B$5),1,IF(K98&gt;INDEX('Pace of change parameters'!$E$19:$I$19,1,$B$5),0,(K98-INDEX('Pace of change parameters'!$E$19:$I$19,1,$B$5))/(INDEX('Pace of change parameters'!$E$18:$I$18,1,$B$5)-INDEX('Pace of change parameters'!$E$19:$I$19,1,$B$5))))</f>
        <v>0.46692933920841051</v>
      </c>
      <c r="Q98" s="57">
        <v>2.1764606943662113E-2</v>
      </c>
      <c r="R98" s="57">
        <v>1.8080633592213902E-2</v>
      </c>
      <c r="S98" s="9">
        <f>MAX(IF(INDEX('Pace of change parameters'!$E$31:$I$31,1,$B$5)=1,D98*(1+Q98),D98),L98)</f>
        <v>467943</v>
      </c>
      <c r="T98" s="103">
        <f>IF(Q98&lt;INDEX('Pace of change parameters'!$E$24:$I$24,1,$B$5),INDEX('Pace of change parameters'!$E$24:$I$24,1,$B$5),Q98)</f>
        <v>2.1764606943662113E-2</v>
      </c>
      <c r="U98" s="132">
        <v>1.8080633592213902E-2</v>
      </c>
      <c r="V98" s="117">
        <f t="shared" si="20"/>
        <v>467943</v>
      </c>
      <c r="W98" s="131">
        <f>IF(J98&gt;INDEX('Pace of change parameters'!$E$26:$I$26,1,$B$5),0,IF(J98&lt;INDEX('Pace of change parameters'!$E$25:$I$25,1,$B$5),1,(J98-INDEX('Pace of change parameters'!$E$26:$I$26,1,$B$5))/(INDEX('Pace of change parameters'!$E$25:$I$25,1,$B$5)-INDEX('Pace of change parameters'!$E$26:$I$26,1,$B$5))))</f>
        <v>1</v>
      </c>
      <c r="X98" s="132">
        <f>MIN(T98, T98+(INDEX('Pace of change parameters'!$E$27:$I$27,1,$B$5)-T98)*(1-W98))</f>
        <v>2.1764606943662113E-2</v>
      </c>
      <c r="Y98" s="132">
        <v>1.8080633592213902E-2</v>
      </c>
      <c r="Z98" s="108">
        <f t="shared" si="21"/>
        <v>467943</v>
      </c>
      <c r="AA98" s="97">
        <f>MIN(VLOOKUP(A98,'2017-18 disagg'!$A$12:$BC$220,54,FALSE),-2.5%)</f>
        <v>-2.5000000000000001E-2</v>
      </c>
      <c r="AB98" s="99">
        <f t="shared" si="13"/>
        <v>464317.41858087608</v>
      </c>
      <c r="AC98" s="99">
        <f>MAX(IF(INDEX('Pace of change parameters'!$E$29:$I$29,1,$B$5)=1,MAX(AB98,Z98),Z98),L98)</f>
        <v>467943</v>
      </c>
      <c r="AD98" s="97">
        <f t="shared" si="14"/>
        <v>2.4158194810737443E-2</v>
      </c>
      <c r="AE98" s="146">
        <v>2.0465591375748771E-2</v>
      </c>
      <c r="AF98" s="56">
        <f t="shared" si="22"/>
        <v>467943</v>
      </c>
      <c r="AG98" s="56">
        <v>1727.9228485615477</v>
      </c>
      <c r="AH98" s="16">
        <f t="shared" si="15"/>
        <v>2.4158194810737443E-2</v>
      </c>
      <c r="AI98" s="16">
        <f t="shared" si="16"/>
        <v>2.0465591375748549E-2</v>
      </c>
      <c r="AJ98" s="56"/>
      <c r="AK98" s="56">
        <v>476222.99341628316</v>
      </c>
      <c r="AL98" s="56">
        <v>1758.4974907934754</v>
      </c>
      <c r="AM98" s="16">
        <f t="shared" si="23"/>
        <v>-1.7386798896216527E-2</v>
      </c>
      <c r="AN98" s="58">
        <f t="shared" si="23"/>
        <v>-1.7386798896216638E-2</v>
      </c>
      <c r="AP98" s="56">
        <f t="shared" si="17"/>
        <v>1</v>
      </c>
      <c r="AQ98" s="56">
        <f t="shared" si="18"/>
        <v>0</v>
      </c>
    </row>
    <row r="99" spans="1:43" x14ac:dyDescent="0.2">
      <c r="A99" s="156" t="s">
        <v>243</v>
      </c>
      <c r="B99" s="156" t="s">
        <v>244</v>
      </c>
      <c r="D99" s="68">
        <f>VLOOKUP(A99,'2017-18 disagg'!A99:AZ307,43,FALSE)</f>
        <v>180290</v>
      </c>
      <c r="E99" s="73">
        <v>1573.4114124506702</v>
      </c>
      <c r="F99" s="55"/>
      <c r="G99" s="88">
        <v>183395.61525259542</v>
      </c>
      <c r="H99" s="81">
        <v>1597.3856616125768</v>
      </c>
      <c r="I99" s="90"/>
      <c r="J99" s="103">
        <f t="shared" si="19"/>
        <v>-1.6933966759881236E-2</v>
      </c>
      <c r="K99" s="126">
        <f t="shared" si="19"/>
        <v>-1.5008428921106209E-2</v>
      </c>
      <c r="L99" s="56">
        <v>184331</v>
      </c>
      <c r="M99" s="103">
        <v>1.4002044852090556E-2</v>
      </c>
      <c r="N99" s="97">
        <f>INDEX('Pace of change parameters'!$E$22:$I$22,1,$B$5)</f>
        <v>1.2019795091496865E-2</v>
      </c>
      <c r="O99" s="108">
        <f>MAX(IF(INDEX('Pace of change parameters'!$E$30:$I$30,1,$B$5)=1,(1+M99)*D99,D99),L99)</f>
        <v>184331</v>
      </c>
      <c r="P99" s="94">
        <f>IF(K99&lt;INDEX('Pace of change parameters'!$E$18:$I$18,1,$B$5),1,IF(K99&gt;INDEX('Pace of change parameters'!$E$19:$I$19,1,$B$5),0,(K99-INDEX('Pace of change parameters'!$E$19:$I$19,1,$B$5))/(INDEX('Pace of change parameters'!$E$18:$I$18,1,$B$5)-INDEX('Pace of change parameters'!$E$19:$I$19,1,$B$5))))</f>
        <v>0.52281505638715264</v>
      </c>
      <c r="Q99" s="57">
        <v>2.0801583678562219E-2</v>
      </c>
      <c r="R99" s="57">
        <v>1.8806041652652761E-2</v>
      </c>
      <c r="S99" s="9">
        <f>MAX(IF(INDEX('Pace of change parameters'!$E$31:$I$31,1,$B$5)=1,D99*(1+Q99),D99),L99)</f>
        <v>184331</v>
      </c>
      <c r="T99" s="103">
        <f>IF(Q99&lt;INDEX('Pace of change parameters'!$E$24:$I$24,1,$B$5),INDEX('Pace of change parameters'!$E$24:$I$24,1,$B$5),Q99)</f>
        <v>2.0801583678562219E-2</v>
      </c>
      <c r="U99" s="132">
        <v>1.8806041652652761E-2</v>
      </c>
      <c r="V99" s="117">
        <f t="shared" si="20"/>
        <v>184331</v>
      </c>
      <c r="W99" s="131">
        <f>IF(J99&gt;INDEX('Pace of change parameters'!$E$26:$I$26,1,$B$5),0,IF(J99&lt;INDEX('Pace of change parameters'!$E$25:$I$25,1,$B$5),1,(J99-INDEX('Pace of change parameters'!$E$26:$I$26,1,$B$5))/(INDEX('Pace of change parameters'!$E$25:$I$25,1,$B$5)-INDEX('Pace of change parameters'!$E$26:$I$26,1,$B$5))))</f>
        <v>1</v>
      </c>
      <c r="X99" s="132">
        <f>MIN(T99, T99+(INDEX('Pace of change parameters'!$E$27:$I$27,1,$B$5)-T99)*(1-W99))</f>
        <v>2.0801583678562219E-2</v>
      </c>
      <c r="Y99" s="132">
        <v>1.8806041652652761E-2</v>
      </c>
      <c r="Z99" s="108">
        <f t="shared" si="21"/>
        <v>184331</v>
      </c>
      <c r="AA99" s="97">
        <f>MIN(VLOOKUP(A99,'2017-18 disagg'!$A$12:$BC$220,54,FALSE),-2.5%)</f>
        <v>-2.5000000000000001E-2</v>
      </c>
      <c r="AB99" s="99">
        <f t="shared" si="13"/>
        <v>183321.94841705298</v>
      </c>
      <c r="AC99" s="99">
        <f>MAX(IF(INDEX('Pace of change parameters'!$E$29:$I$29,1,$B$5)=1,MAX(AB99,Z99),Z99),L99)</f>
        <v>184331</v>
      </c>
      <c r="AD99" s="97">
        <f t="shared" si="14"/>
        <v>2.2413888734816201E-2</v>
      </c>
      <c r="AE99" s="146">
        <v>2.0415194850063934E-2</v>
      </c>
      <c r="AF99" s="56">
        <f t="shared" si="22"/>
        <v>184331</v>
      </c>
      <c r="AG99" s="56">
        <v>1605.5329130151645</v>
      </c>
      <c r="AH99" s="16">
        <f t="shared" si="15"/>
        <v>2.2413888734816201E-2</v>
      </c>
      <c r="AI99" s="16">
        <f t="shared" si="16"/>
        <v>2.0415194850063711E-2</v>
      </c>
      <c r="AJ99" s="56"/>
      <c r="AK99" s="56">
        <v>188022.51119697743</v>
      </c>
      <c r="AL99" s="56">
        <v>1637.6861738639163</v>
      </c>
      <c r="AM99" s="16">
        <f t="shared" si="23"/>
        <v>-1.9633346951260067E-2</v>
      </c>
      <c r="AN99" s="58">
        <f t="shared" si="23"/>
        <v>-1.9633346951260067E-2</v>
      </c>
      <c r="AP99" s="56">
        <f t="shared" si="17"/>
        <v>1</v>
      </c>
      <c r="AQ99" s="56">
        <f t="shared" si="18"/>
        <v>0</v>
      </c>
    </row>
    <row r="100" spans="1:43" x14ac:dyDescent="0.2">
      <c r="A100" s="156" t="s">
        <v>245</v>
      </c>
      <c r="B100" s="156" t="s">
        <v>246</v>
      </c>
      <c r="D100" s="68">
        <f>VLOOKUP(A100,'2017-18 disagg'!A100:AZ308,43,FALSE)</f>
        <v>119303</v>
      </c>
      <c r="E100" s="73">
        <v>1551.3499873595915</v>
      </c>
      <c r="F100" s="55"/>
      <c r="G100" s="88">
        <v>125455.71435235217</v>
      </c>
      <c r="H100" s="81">
        <v>1608.0301533365252</v>
      </c>
      <c r="I100" s="90"/>
      <c r="J100" s="103">
        <f t="shared" si="19"/>
        <v>-4.9042918324722851E-2</v>
      </c>
      <c r="K100" s="126">
        <f t="shared" si="19"/>
        <v>-3.5248198461532043E-2</v>
      </c>
      <c r="L100" s="56">
        <v>122974</v>
      </c>
      <c r="M100" s="103">
        <v>2.6700299436337449E-2</v>
      </c>
      <c r="N100" s="97">
        <f>INDEX('Pace of change parameters'!$E$22:$I$22,1,$B$5)</f>
        <v>1.2019795091496865E-2</v>
      </c>
      <c r="O100" s="108">
        <f>MAX(IF(INDEX('Pace of change parameters'!$E$30:$I$30,1,$B$5)=1,(1+M100)*D100,D100),L100)</f>
        <v>122974</v>
      </c>
      <c r="P100" s="94">
        <f>IF(K100&lt;INDEX('Pace of change parameters'!$E$18:$I$18,1,$B$5),1,IF(K100&gt;INDEX('Pace of change parameters'!$E$19:$I$19,1,$B$5),0,(K100-INDEX('Pace of change parameters'!$E$19:$I$19,1,$B$5))/(INDEX('Pace of change parameters'!$E$18:$I$18,1,$B$5)-INDEX('Pace of change parameters'!$E$19:$I$19,1,$B$5))))</f>
        <v>0.96198846751985767</v>
      </c>
      <c r="Q100" s="57">
        <v>3.9368242284429478E-2</v>
      </c>
      <c r="R100" s="57">
        <v>2.4506602519521525E-2</v>
      </c>
      <c r="S100" s="9">
        <f>MAX(IF(INDEX('Pace of change parameters'!$E$31:$I$31,1,$B$5)=1,D100*(1+Q100),D100),L100)</f>
        <v>123999.7494092593</v>
      </c>
      <c r="T100" s="103">
        <f>IF(Q100&lt;INDEX('Pace of change parameters'!$E$24:$I$24,1,$B$5),INDEX('Pace of change parameters'!$E$24:$I$24,1,$B$5),Q100)</f>
        <v>3.9368242284429478E-2</v>
      </c>
      <c r="U100" s="132">
        <v>2.4506602519521525E-2</v>
      </c>
      <c r="V100" s="117">
        <f t="shared" si="20"/>
        <v>123999.7494092593</v>
      </c>
      <c r="W100" s="131">
        <f>IF(J100&gt;INDEX('Pace of change parameters'!$E$26:$I$26,1,$B$5),0,IF(J100&lt;INDEX('Pace of change parameters'!$E$25:$I$25,1,$B$5),1,(J100-INDEX('Pace of change parameters'!$E$26:$I$26,1,$B$5))/(INDEX('Pace of change parameters'!$E$25:$I$25,1,$B$5)-INDEX('Pace of change parameters'!$E$26:$I$26,1,$B$5))))</f>
        <v>1</v>
      </c>
      <c r="X100" s="132">
        <f>MIN(T100, T100+(INDEX('Pace of change parameters'!$E$27:$I$27,1,$B$5)-T100)*(1-W100))</f>
        <v>3.9368242284429478E-2</v>
      </c>
      <c r="Y100" s="132">
        <v>2.4506602519521525E-2</v>
      </c>
      <c r="Z100" s="108">
        <f t="shared" si="21"/>
        <v>123999.7494092593</v>
      </c>
      <c r="AA100" s="97">
        <f>MIN(VLOOKUP(A100,'2017-18 disagg'!$A$12:$BC$220,54,FALSE),-2.5%)</f>
        <v>-4.2037756220020706E-2</v>
      </c>
      <c r="AB100" s="99">
        <f t="shared" si="13"/>
        <v>123113.11135725879</v>
      </c>
      <c r="AC100" s="99">
        <f>MAX(IF(INDEX('Pace of change parameters'!$E$29:$I$29,1,$B$5)=1,MAX(AB100,Z100),Z100),L100)</f>
        <v>123999.7494092593</v>
      </c>
      <c r="AD100" s="97">
        <f t="shared" si="14"/>
        <v>3.9368242284429478E-2</v>
      </c>
      <c r="AE100" s="146">
        <v>2.4506602519521525E-2</v>
      </c>
      <c r="AF100" s="56">
        <f t="shared" si="22"/>
        <v>123999.7494092593</v>
      </c>
      <c r="AG100" s="56">
        <v>1589.3683048684777</v>
      </c>
      <c r="AH100" s="16">
        <f t="shared" si="15"/>
        <v>3.9368242284429478E-2</v>
      </c>
      <c r="AI100" s="16">
        <f t="shared" si="16"/>
        <v>2.4506602519521525E-2</v>
      </c>
      <c r="AJ100" s="56"/>
      <c r="AK100" s="56">
        <v>128515.6196464199</v>
      </c>
      <c r="AL100" s="56">
        <v>1647.2505268732427</v>
      </c>
      <c r="AM100" s="16">
        <f t="shared" si="23"/>
        <v>-3.5138687807637292E-2</v>
      </c>
      <c r="AN100" s="58">
        <f t="shared" si="23"/>
        <v>-3.5138687807637403E-2</v>
      </c>
      <c r="AP100" s="56">
        <f t="shared" si="17"/>
        <v>0</v>
      </c>
      <c r="AQ100" s="56">
        <f t="shared" si="18"/>
        <v>0</v>
      </c>
    </row>
    <row r="101" spans="1:43" x14ac:dyDescent="0.2">
      <c r="A101" s="156" t="s">
        <v>247</v>
      </c>
      <c r="B101" s="156" t="s">
        <v>248</v>
      </c>
      <c r="D101" s="68">
        <f>VLOOKUP(A101,'2017-18 disagg'!A101:AZ309,43,FALSE)</f>
        <v>478135</v>
      </c>
      <c r="E101" s="73">
        <v>1459.5185359218647</v>
      </c>
      <c r="F101" s="55"/>
      <c r="G101" s="88">
        <v>484717.47200089495</v>
      </c>
      <c r="H101" s="81">
        <v>1471.5370569965155</v>
      </c>
      <c r="I101" s="90"/>
      <c r="J101" s="103">
        <f t="shared" si="19"/>
        <v>-1.3580018012808059E-2</v>
      </c>
      <c r="K101" s="126">
        <f t="shared" si="19"/>
        <v>-8.1673247829594509E-3</v>
      </c>
      <c r="L101" s="56">
        <v>489039</v>
      </c>
      <c r="M101" s="103">
        <v>1.757295986247942E-2</v>
      </c>
      <c r="N101" s="97">
        <f>INDEX('Pace of change parameters'!$E$22:$I$22,1,$B$5)</f>
        <v>1.2019795091496865E-2</v>
      </c>
      <c r="O101" s="108">
        <f>MAX(IF(INDEX('Pace of change parameters'!$E$30:$I$30,1,$B$5)=1,(1+M101)*D101,D101),L101)</f>
        <v>489039</v>
      </c>
      <c r="P101" s="94">
        <f>IF(K101&lt;INDEX('Pace of change parameters'!$E$18:$I$18,1,$B$5),1,IF(K101&gt;INDEX('Pace of change parameters'!$E$19:$I$19,1,$B$5),0,(K101-INDEX('Pace of change parameters'!$E$19:$I$19,1,$B$5))/(INDEX('Pace of change parameters'!$E$18:$I$18,1,$B$5)-INDEX('Pace of change parameters'!$E$19:$I$19,1,$B$5))))</f>
        <v>0.3743730973884058</v>
      </c>
      <c r="Q101" s="57">
        <v>2.2459064142149376E-2</v>
      </c>
      <c r="R101" s="57">
        <v>1.6879234607829474E-2</v>
      </c>
      <c r="S101" s="9">
        <f>MAX(IF(INDEX('Pace of change parameters'!$E$31:$I$31,1,$B$5)=1,D101*(1+Q101),D101),L101)</f>
        <v>489039</v>
      </c>
      <c r="T101" s="103">
        <f>IF(Q101&lt;INDEX('Pace of change parameters'!$E$24:$I$24,1,$B$5),INDEX('Pace of change parameters'!$E$24:$I$24,1,$B$5),Q101)</f>
        <v>2.2459064142149376E-2</v>
      </c>
      <c r="U101" s="132">
        <v>1.6879234607829474E-2</v>
      </c>
      <c r="V101" s="117">
        <f t="shared" si="20"/>
        <v>489039</v>
      </c>
      <c r="W101" s="131">
        <f>IF(J101&gt;INDEX('Pace of change parameters'!$E$26:$I$26,1,$B$5),0,IF(J101&lt;INDEX('Pace of change parameters'!$E$25:$I$25,1,$B$5),1,(J101-INDEX('Pace of change parameters'!$E$26:$I$26,1,$B$5))/(INDEX('Pace of change parameters'!$E$25:$I$25,1,$B$5)-INDEX('Pace of change parameters'!$E$26:$I$26,1,$B$5))))</f>
        <v>1</v>
      </c>
      <c r="X101" s="132">
        <f>MIN(T101, T101+(INDEX('Pace of change parameters'!$E$27:$I$27,1,$B$5)-T101)*(1-W101))</f>
        <v>2.2459064142149376E-2</v>
      </c>
      <c r="Y101" s="132">
        <v>1.6879234607829474E-2</v>
      </c>
      <c r="Z101" s="108">
        <f t="shared" si="21"/>
        <v>489039</v>
      </c>
      <c r="AA101" s="97">
        <f>MIN(VLOOKUP(A101,'2017-18 disagg'!$A$12:$BC$220,54,FALSE),-2.5%)</f>
        <v>-2.5000000000000001E-2</v>
      </c>
      <c r="AB101" s="99">
        <f t="shared" si="13"/>
        <v>484574.61458219017</v>
      </c>
      <c r="AC101" s="99">
        <f>MAX(IF(INDEX('Pace of change parameters'!$E$29:$I$29,1,$B$5)=1,MAX(AB101,Z101),Z101),L101)</f>
        <v>489039</v>
      </c>
      <c r="AD101" s="97">
        <f t="shared" si="14"/>
        <v>2.2805274660922192E-2</v>
      </c>
      <c r="AE101" s="146">
        <v>1.7223555764235066E-2</v>
      </c>
      <c r="AF101" s="56">
        <f t="shared" si="22"/>
        <v>489039</v>
      </c>
      <c r="AG101" s="56">
        <v>1484.6566348142496</v>
      </c>
      <c r="AH101" s="16">
        <f t="shared" si="15"/>
        <v>2.2805274660922192E-2</v>
      </c>
      <c r="AI101" s="16">
        <f t="shared" si="16"/>
        <v>1.7223555764235066E-2</v>
      </c>
      <c r="AJ101" s="56"/>
      <c r="AK101" s="56">
        <v>496999.60469968227</v>
      </c>
      <c r="AL101" s="56">
        <v>1508.8239600879328</v>
      </c>
      <c r="AM101" s="16">
        <f t="shared" si="23"/>
        <v>-1.6017326018785361E-2</v>
      </c>
      <c r="AN101" s="58">
        <f t="shared" si="23"/>
        <v>-1.6017326018785361E-2</v>
      </c>
      <c r="AP101" s="56">
        <f t="shared" si="17"/>
        <v>1</v>
      </c>
      <c r="AQ101" s="56">
        <f t="shared" si="18"/>
        <v>0</v>
      </c>
    </row>
    <row r="102" spans="1:43" x14ac:dyDescent="0.2">
      <c r="A102" s="156" t="s">
        <v>249</v>
      </c>
      <c r="B102" s="156" t="s">
        <v>250</v>
      </c>
      <c r="D102" s="68">
        <f>VLOOKUP(A102,'2017-18 disagg'!A102:AZ310,43,FALSE)</f>
        <v>161777</v>
      </c>
      <c r="E102" s="73">
        <v>1643.7935358943246</v>
      </c>
      <c r="F102" s="55"/>
      <c r="G102" s="88">
        <v>161001.2672864511</v>
      </c>
      <c r="H102" s="81">
        <v>1626.6498153517666</v>
      </c>
      <c r="I102" s="90"/>
      <c r="J102" s="103">
        <f t="shared" si="19"/>
        <v>4.8181776865690029E-3</v>
      </c>
      <c r="K102" s="126">
        <f t="shared" si="19"/>
        <v>1.0539281645478571E-2</v>
      </c>
      <c r="L102" s="56">
        <v>165472</v>
      </c>
      <c r="M102" s="103">
        <v>1.7781902689433915E-2</v>
      </c>
      <c r="N102" s="97">
        <f>INDEX('Pace of change parameters'!$E$22:$I$22,1,$B$5)</f>
        <v>1.2019795091496865E-2</v>
      </c>
      <c r="O102" s="108">
        <f>MAX(IF(INDEX('Pace of change parameters'!$E$30:$I$30,1,$B$5)=1,(1+M102)*D102,D102),L102)</f>
        <v>165472</v>
      </c>
      <c r="P102" s="94">
        <f>IF(K102&lt;INDEX('Pace of change parameters'!$E$18:$I$18,1,$B$5),1,IF(K102&gt;INDEX('Pace of change parameters'!$E$19:$I$19,1,$B$5),0,(K102-INDEX('Pace of change parameters'!$E$19:$I$19,1,$B$5))/(INDEX('Pace of change parameters'!$E$18:$I$18,1,$B$5)-INDEX('Pace of change parameters'!$E$19:$I$19,1,$B$5))))</f>
        <v>0</v>
      </c>
      <c r="Q102" s="57">
        <v>1.7781902689433915E-2</v>
      </c>
      <c r="R102" s="57">
        <v>1.2019795091496865E-2</v>
      </c>
      <c r="S102" s="9">
        <f>MAX(IF(INDEX('Pace of change parameters'!$E$31:$I$31,1,$B$5)=1,D102*(1+Q102),D102),L102)</f>
        <v>165472</v>
      </c>
      <c r="T102" s="103">
        <f>IF(Q102&lt;INDEX('Pace of change parameters'!$E$24:$I$24,1,$B$5),INDEX('Pace of change parameters'!$E$24:$I$24,1,$B$5),Q102)</f>
        <v>1.9732353921844841E-2</v>
      </c>
      <c r="U102" s="132">
        <v>1.395920396813799E-2</v>
      </c>
      <c r="V102" s="117">
        <f t="shared" si="20"/>
        <v>165472</v>
      </c>
      <c r="W102" s="131">
        <f>IF(J102&gt;INDEX('Pace of change parameters'!$E$26:$I$26,1,$B$5),0,IF(J102&lt;INDEX('Pace of change parameters'!$E$25:$I$25,1,$B$5),1,(J102-INDEX('Pace of change parameters'!$E$26:$I$26,1,$B$5))/(INDEX('Pace of change parameters'!$E$25:$I$25,1,$B$5)-INDEX('Pace of change parameters'!$E$26:$I$26,1,$B$5))))</f>
        <v>1</v>
      </c>
      <c r="X102" s="132">
        <f>MIN(T102, T102+(INDEX('Pace of change parameters'!$E$27:$I$27,1,$B$5)-T102)*(1-W102))</f>
        <v>1.9732353921844841E-2</v>
      </c>
      <c r="Y102" s="132">
        <v>1.395920396813799E-2</v>
      </c>
      <c r="Z102" s="108">
        <f t="shared" si="21"/>
        <v>165472</v>
      </c>
      <c r="AA102" s="97">
        <f>MIN(VLOOKUP(A102,'2017-18 disagg'!$A$12:$BC$220,54,FALSE),-2.5%)</f>
        <v>-2.5000000000000001E-2</v>
      </c>
      <c r="AB102" s="99">
        <f t="shared" si="13"/>
        <v>160892.07297254479</v>
      </c>
      <c r="AC102" s="99">
        <f>MAX(IF(INDEX('Pace of change parameters'!$E$29:$I$29,1,$B$5)=1,MAX(AB102,Z102),Z102),L102)</f>
        <v>165472</v>
      </c>
      <c r="AD102" s="97">
        <f t="shared" si="14"/>
        <v>2.2840082335560785E-2</v>
      </c>
      <c r="AE102" s="146">
        <v>1.7049338174826234E-2</v>
      </c>
      <c r="AF102" s="56">
        <f t="shared" si="22"/>
        <v>165472</v>
      </c>
      <c r="AG102" s="56">
        <v>1671.8191277773801</v>
      </c>
      <c r="AH102" s="16">
        <f t="shared" si="15"/>
        <v>2.2840082335560785E-2</v>
      </c>
      <c r="AI102" s="16">
        <f t="shared" si="16"/>
        <v>1.7049338174826234E-2</v>
      </c>
      <c r="AJ102" s="56"/>
      <c r="AK102" s="56">
        <v>165017.51074107157</v>
      </c>
      <c r="AL102" s="56">
        <v>1667.2272703244823</v>
      </c>
      <c r="AM102" s="16">
        <f t="shared" si="23"/>
        <v>2.7541880669958996E-3</v>
      </c>
      <c r="AN102" s="58">
        <f t="shared" si="23"/>
        <v>2.7541880669958996E-3</v>
      </c>
      <c r="AP102" s="56">
        <f t="shared" si="17"/>
        <v>1</v>
      </c>
      <c r="AQ102" s="56">
        <f t="shared" si="18"/>
        <v>0</v>
      </c>
    </row>
    <row r="103" spans="1:43" x14ac:dyDescent="0.2">
      <c r="A103" s="156" t="s">
        <v>251</v>
      </c>
      <c r="B103" s="156" t="s">
        <v>252</v>
      </c>
      <c r="D103" s="68">
        <f>VLOOKUP(A103,'2017-18 disagg'!A103:AZ311,43,FALSE)</f>
        <v>180922</v>
      </c>
      <c r="E103" s="73">
        <v>1750.6191899191504</v>
      </c>
      <c r="F103" s="55"/>
      <c r="G103" s="88">
        <v>178772.29710350104</v>
      </c>
      <c r="H103" s="81">
        <v>1722.5614519187632</v>
      </c>
      <c r="I103" s="90"/>
      <c r="J103" s="103">
        <f t="shared" si="19"/>
        <v>1.2024809947227988E-2</v>
      </c>
      <c r="K103" s="126">
        <f t="shared" si="19"/>
        <v>1.6288381450271894E-2</v>
      </c>
      <c r="L103" s="56">
        <v>184974</v>
      </c>
      <c r="M103" s="103">
        <v>1.6283345467394961E-2</v>
      </c>
      <c r="N103" s="97">
        <f>INDEX('Pace of change parameters'!$E$22:$I$22,1,$B$5)</f>
        <v>1.2019795091496865E-2</v>
      </c>
      <c r="O103" s="108">
        <f>MAX(IF(INDEX('Pace of change parameters'!$E$30:$I$30,1,$B$5)=1,(1+M103)*D103,D103),L103)</f>
        <v>184974</v>
      </c>
      <c r="P103" s="94">
        <f>IF(K103&lt;INDEX('Pace of change parameters'!$E$18:$I$18,1,$B$5),1,IF(K103&gt;INDEX('Pace of change parameters'!$E$19:$I$19,1,$B$5),0,(K103-INDEX('Pace of change parameters'!$E$19:$I$19,1,$B$5))/(INDEX('Pace of change parameters'!$E$18:$I$18,1,$B$5)-INDEX('Pace of change parameters'!$E$19:$I$19,1,$B$5))))</f>
        <v>0</v>
      </c>
      <c r="Q103" s="57">
        <v>1.6283345467394961E-2</v>
      </c>
      <c r="R103" s="57">
        <v>1.2019795091496865E-2</v>
      </c>
      <c r="S103" s="9">
        <f>MAX(IF(INDEX('Pace of change parameters'!$E$31:$I$31,1,$B$5)=1,D103*(1+Q103),D103),L103)</f>
        <v>184974</v>
      </c>
      <c r="T103" s="103">
        <f>IF(Q103&lt;INDEX('Pace of change parameters'!$E$24:$I$24,1,$B$5),INDEX('Pace of change parameters'!$E$24:$I$24,1,$B$5),Q103)</f>
        <v>1.9732353921844841E-2</v>
      </c>
      <c r="U103" s="132">
        <v>1.5454334135070358E-2</v>
      </c>
      <c r="V103" s="117">
        <f t="shared" si="20"/>
        <v>184974</v>
      </c>
      <c r="W103" s="131">
        <f>IF(J103&gt;INDEX('Pace of change parameters'!$E$26:$I$26,1,$B$5),0,IF(J103&lt;INDEX('Pace of change parameters'!$E$25:$I$25,1,$B$5),1,(J103-INDEX('Pace of change parameters'!$E$26:$I$26,1,$B$5))/(INDEX('Pace of change parameters'!$E$25:$I$25,1,$B$5)-INDEX('Pace of change parameters'!$E$26:$I$26,1,$B$5))))</f>
        <v>1</v>
      </c>
      <c r="X103" s="132">
        <f>MIN(T103, T103+(INDEX('Pace of change parameters'!$E$27:$I$27,1,$B$5)-T103)*(1-W103))</f>
        <v>1.9732353921844841E-2</v>
      </c>
      <c r="Y103" s="132">
        <v>1.5454334135070358E-2</v>
      </c>
      <c r="Z103" s="108">
        <f t="shared" si="21"/>
        <v>184974</v>
      </c>
      <c r="AA103" s="97">
        <f>MIN(VLOOKUP(A103,'2017-18 disagg'!$A$12:$BC$220,54,FALSE),-2.5%)</f>
        <v>-2.5000000000000001E-2</v>
      </c>
      <c r="AB103" s="99">
        <f t="shared" si="13"/>
        <v>178590.781865697</v>
      </c>
      <c r="AC103" s="99">
        <f>MAX(IF(INDEX('Pace of change parameters'!$E$29:$I$29,1,$B$5)=1,MAX(AB103,Z103),Z103),L103)</f>
        <v>184974</v>
      </c>
      <c r="AD103" s="97">
        <f t="shared" si="14"/>
        <v>2.2396391815257433E-2</v>
      </c>
      <c r="AE103" s="146">
        <v>1.8107195755829641E-2</v>
      </c>
      <c r="AF103" s="56">
        <f t="shared" si="22"/>
        <v>184974</v>
      </c>
      <c r="AG103" s="56">
        <v>1782.3179942849283</v>
      </c>
      <c r="AH103" s="16">
        <f t="shared" si="15"/>
        <v>2.2396391815257433E-2</v>
      </c>
      <c r="AI103" s="16">
        <f t="shared" si="16"/>
        <v>1.8107195755829641E-2</v>
      </c>
      <c r="AJ103" s="56"/>
      <c r="AK103" s="56">
        <v>183170.03268276615</v>
      </c>
      <c r="AL103" s="56">
        <v>1764.9358572786041</v>
      </c>
      <c r="AM103" s="16">
        <f t="shared" si="23"/>
        <v>9.848594176745884E-3</v>
      </c>
      <c r="AN103" s="58">
        <f t="shared" si="23"/>
        <v>9.848594176745884E-3</v>
      </c>
      <c r="AP103" s="56">
        <f t="shared" si="17"/>
        <v>1</v>
      </c>
      <c r="AQ103" s="56">
        <f t="shared" si="18"/>
        <v>0</v>
      </c>
    </row>
    <row r="104" spans="1:43" x14ac:dyDescent="0.2">
      <c r="A104" s="156" t="s">
        <v>253</v>
      </c>
      <c r="B104" s="156" t="s">
        <v>254</v>
      </c>
      <c r="D104" s="68">
        <f>VLOOKUP(A104,'2017-18 disagg'!A104:AZ312,43,FALSE)</f>
        <v>582340</v>
      </c>
      <c r="E104" s="73">
        <v>1490.6069732938658</v>
      </c>
      <c r="F104" s="55"/>
      <c r="G104" s="88">
        <v>594102.65569169493</v>
      </c>
      <c r="H104" s="81">
        <v>1512.0746748606864</v>
      </c>
      <c r="I104" s="90"/>
      <c r="J104" s="103">
        <f t="shared" si="19"/>
        <v>-1.9799028970843513E-2</v>
      </c>
      <c r="K104" s="126">
        <f t="shared" si="19"/>
        <v>-1.4197514133221234E-2</v>
      </c>
      <c r="L104" s="56">
        <v>596545</v>
      </c>
      <c r="M104" s="103">
        <v>1.7803143675839239E-2</v>
      </c>
      <c r="N104" s="97">
        <f>INDEX('Pace of change parameters'!$E$22:$I$22,1,$B$5)</f>
        <v>1.2019795091496865E-2</v>
      </c>
      <c r="O104" s="108">
        <f>MAX(IF(INDEX('Pace of change parameters'!$E$30:$I$30,1,$B$5)=1,(1+M104)*D104,D104),L104)</f>
        <v>596545</v>
      </c>
      <c r="P104" s="94">
        <f>IF(K104&lt;INDEX('Pace of change parameters'!$E$18:$I$18,1,$B$5),1,IF(K104&gt;INDEX('Pace of change parameters'!$E$19:$I$19,1,$B$5),0,(K104-INDEX('Pace of change parameters'!$E$19:$I$19,1,$B$5))/(INDEX('Pace of change parameters'!$E$18:$I$18,1,$B$5)-INDEX('Pace of change parameters'!$E$19:$I$19,1,$B$5))))</f>
        <v>0.50521939094135393</v>
      </c>
      <c r="Q104" s="57">
        <v>2.4398470781082482E-2</v>
      </c>
      <c r="R104" s="57">
        <v>1.8577646309664742E-2</v>
      </c>
      <c r="S104" s="9">
        <f>MAX(IF(INDEX('Pace of change parameters'!$E$31:$I$31,1,$B$5)=1,D104*(1+Q104),D104),L104)</f>
        <v>596548.20547465561</v>
      </c>
      <c r="T104" s="103">
        <f>IF(Q104&lt;INDEX('Pace of change parameters'!$E$24:$I$24,1,$B$5),INDEX('Pace of change parameters'!$E$24:$I$24,1,$B$5),Q104)</f>
        <v>2.4398470781082482E-2</v>
      </c>
      <c r="U104" s="132">
        <v>1.8577646309664742E-2</v>
      </c>
      <c r="V104" s="117">
        <f t="shared" si="20"/>
        <v>596548.20547465561</v>
      </c>
      <c r="W104" s="131">
        <f>IF(J104&gt;INDEX('Pace of change parameters'!$E$26:$I$26,1,$B$5),0,IF(J104&lt;INDEX('Pace of change parameters'!$E$25:$I$25,1,$B$5),1,(J104-INDEX('Pace of change parameters'!$E$26:$I$26,1,$B$5))/(INDEX('Pace of change parameters'!$E$25:$I$25,1,$B$5)-INDEX('Pace of change parameters'!$E$26:$I$26,1,$B$5))))</f>
        <v>1</v>
      </c>
      <c r="X104" s="132">
        <f>MIN(T104, T104+(INDEX('Pace of change parameters'!$E$27:$I$27,1,$B$5)-T104)*(1-W104))</f>
        <v>2.4398470781082482E-2</v>
      </c>
      <c r="Y104" s="132">
        <v>1.8577646309664742E-2</v>
      </c>
      <c r="Z104" s="108">
        <f t="shared" si="21"/>
        <v>596548.20547465561</v>
      </c>
      <c r="AA104" s="97">
        <f>MIN(VLOOKUP(A104,'2017-18 disagg'!$A$12:$BC$220,54,FALSE),-2.5%)</f>
        <v>-2.5000000000000001E-2</v>
      </c>
      <c r="AB104" s="99">
        <f t="shared" si="13"/>
        <v>594189.86037438817</v>
      </c>
      <c r="AC104" s="99">
        <f>MAX(IF(INDEX('Pace of change parameters'!$E$29:$I$29,1,$B$5)=1,MAX(AB104,Z104),Z104),L104)</f>
        <v>596548.20547465561</v>
      </c>
      <c r="AD104" s="97">
        <f t="shared" si="14"/>
        <v>2.4398470781082482E-2</v>
      </c>
      <c r="AE104" s="146">
        <v>1.8577646309664742E-2</v>
      </c>
      <c r="AF104" s="56">
        <f t="shared" si="22"/>
        <v>596548.20547465561</v>
      </c>
      <c r="AG104" s="56">
        <v>1518.2989424304392</v>
      </c>
      <c r="AH104" s="16">
        <f t="shared" si="15"/>
        <v>2.4398470781082482E-2</v>
      </c>
      <c r="AI104" s="16">
        <f t="shared" si="16"/>
        <v>1.8577646309664742E-2</v>
      </c>
      <c r="AJ104" s="56"/>
      <c r="AK104" s="56">
        <v>609425.49781988526</v>
      </c>
      <c r="AL104" s="56">
        <v>1551.0734595100323</v>
      </c>
      <c r="AM104" s="16">
        <f t="shared" si="23"/>
        <v>-2.1130215902183225E-2</v>
      </c>
      <c r="AN104" s="58">
        <f t="shared" si="23"/>
        <v>-2.1130215902183114E-2</v>
      </c>
      <c r="AP104" s="56">
        <f t="shared" si="17"/>
        <v>0</v>
      </c>
      <c r="AQ104" s="56">
        <f t="shared" si="18"/>
        <v>0</v>
      </c>
    </row>
    <row r="105" spans="1:43" x14ac:dyDescent="0.2">
      <c r="A105" s="156" t="s">
        <v>255</v>
      </c>
      <c r="B105" s="156" t="s">
        <v>256</v>
      </c>
      <c r="D105" s="68">
        <f>VLOOKUP(A105,'2017-18 disagg'!A105:AZ313,43,FALSE)</f>
        <v>437783</v>
      </c>
      <c r="E105" s="73">
        <v>1757.3955494127958</v>
      </c>
      <c r="F105" s="55"/>
      <c r="G105" s="88">
        <v>446342.05565830588</v>
      </c>
      <c r="H105" s="81">
        <v>1779.8035950913531</v>
      </c>
      <c r="I105" s="90"/>
      <c r="J105" s="103">
        <f t="shared" si="19"/>
        <v>-1.9176000893938228E-2</v>
      </c>
      <c r="K105" s="126">
        <f t="shared" si="19"/>
        <v>-1.2590178905334315E-2</v>
      </c>
      <c r="L105" s="56">
        <v>447707</v>
      </c>
      <c r="M105" s="103">
        <v>1.8815083772738994E-2</v>
      </c>
      <c r="N105" s="97">
        <f>INDEX('Pace of change parameters'!$E$22:$I$22,1,$B$5)</f>
        <v>1.2019795091496865E-2</v>
      </c>
      <c r="O105" s="108">
        <f>MAX(IF(INDEX('Pace of change parameters'!$E$30:$I$30,1,$B$5)=1,(1+M105)*D105,D105),L105)</f>
        <v>447707</v>
      </c>
      <c r="P105" s="94">
        <f>IF(K105&lt;INDEX('Pace of change parameters'!$E$18:$I$18,1,$B$5),1,IF(K105&gt;INDEX('Pace of change parameters'!$E$19:$I$19,1,$B$5),0,(K105-INDEX('Pace of change parameters'!$E$19:$I$19,1,$B$5))/(INDEX('Pace of change parameters'!$E$18:$I$18,1,$B$5)-INDEX('Pace of change parameters'!$E$19:$I$19,1,$B$5))))</f>
        <v>0.47034256620997861</v>
      </c>
      <c r="Q105" s="57">
        <v>2.4961220134518625E-2</v>
      </c>
      <c r="R105" s="57">
        <v>1.8124937978093669E-2</v>
      </c>
      <c r="S105" s="9">
        <f>MAX(IF(INDEX('Pace of change parameters'!$E$31:$I$31,1,$B$5)=1,D105*(1+Q105),D105),L105)</f>
        <v>448710.59783414996</v>
      </c>
      <c r="T105" s="103">
        <f>IF(Q105&lt;INDEX('Pace of change parameters'!$E$24:$I$24,1,$B$5),INDEX('Pace of change parameters'!$E$24:$I$24,1,$B$5),Q105)</f>
        <v>2.4961220134518625E-2</v>
      </c>
      <c r="U105" s="132">
        <v>1.8124937978093669E-2</v>
      </c>
      <c r="V105" s="117">
        <f t="shared" si="20"/>
        <v>448710.59783414996</v>
      </c>
      <c r="W105" s="131">
        <f>IF(J105&gt;INDEX('Pace of change parameters'!$E$26:$I$26,1,$B$5),0,IF(J105&lt;INDEX('Pace of change parameters'!$E$25:$I$25,1,$B$5),1,(J105-INDEX('Pace of change parameters'!$E$26:$I$26,1,$B$5))/(INDEX('Pace of change parameters'!$E$25:$I$25,1,$B$5)-INDEX('Pace of change parameters'!$E$26:$I$26,1,$B$5))))</f>
        <v>1</v>
      </c>
      <c r="X105" s="132">
        <f>MIN(T105, T105+(INDEX('Pace of change parameters'!$E$27:$I$27,1,$B$5)-T105)*(1-W105))</f>
        <v>2.4961220134518625E-2</v>
      </c>
      <c r="Y105" s="132">
        <v>1.8124937978093669E-2</v>
      </c>
      <c r="Z105" s="108">
        <f t="shared" si="21"/>
        <v>448710.59783414996</v>
      </c>
      <c r="AA105" s="97">
        <f>MIN(VLOOKUP(A105,'2017-18 disagg'!$A$12:$BC$220,54,FALSE),-2.5%)</f>
        <v>-2.5000000000000001E-2</v>
      </c>
      <c r="AB105" s="99">
        <f t="shared" si="13"/>
        <v>446194.70111239672</v>
      </c>
      <c r="AC105" s="99">
        <f>MAX(IF(INDEX('Pace of change parameters'!$E$29:$I$29,1,$B$5)=1,MAX(AB105,Z105),Z105),L105)</f>
        <v>448710.59783414996</v>
      </c>
      <c r="AD105" s="97">
        <f t="shared" si="14"/>
        <v>2.4961220134518625E-2</v>
      </c>
      <c r="AE105" s="146">
        <v>1.8124937978093669E-2</v>
      </c>
      <c r="AF105" s="56">
        <f t="shared" si="22"/>
        <v>448710.59783414996</v>
      </c>
      <c r="AG105" s="56">
        <v>1789.2482347488806</v>
      </c>
      <c r="AH105" s="16">
        <f t="shared" si="15"/>
        <v>2.4961220134518625E-2</v>
      </c>
      <c r="AI105" s="16">
        <f t="shared" si="16"/>
        <v>1.8124937978093669E-2</v>
      </c>
      <c r="AJ105" s="56"/>
      <c r="AK105" s="56">
        <v>457635.5908845095</v>
      </c>
      <c r="AL105" s="56">
        <v>1824.8369374396163</v>
      </c>
      <c r="AM105" s="16">
        <f t="shared" si="23"/>
        <v>-1.9502401535486991E-2</v>
      </c>
      <c r="AN105" s="58">
        <f t="shared" si="23"/>
        <v>-1.9502401535486991E-2</v>
      </c>
      <c r="AP105" s="56">
        <f t="shared" si="17"/>
        <v>0</v>
      </c>
      <c r="AQ105" s="56">
        <f t="shared" si="18"/>
        <v>0</v>
      </c>
    </row>
    <row r="106" spans="1:43" x14ac:dyDescent="0.2">
      <c r="A106" s="156" t="s">
        <v>257</v>
      </c>
      <c r="B106" s="156" t="s">
        <v>258</v>
      </c>
      <c r="D106" s="68">
        <f>VLOOKUP(A106,'2017-18 disagg'!A106:AZ314,43,FALSE)</f>
        <v>373092</v>
      </c>
      <c r="E106" s="73">
        <v>1575.6448866454241</v>
      </c>
      <c r="F106" s="55"/>
      <c r="G106" s="88">
        <v>375332.32439600345</v>
      </c>
      <c r="H106" s="81">
        <v>1576.3178461074826</v>
      </c>
      <c r="I106" s="90"/>
      <c r="J106" s="103">
        <f t="shared" si="19"/>
        <v>-5.9689087520203854E-3</v>
      </c>
      <c r="K106" s="126">
        <f t="shared" si="19"/>
        <v>-4.2691863428456767E-4</v>
      </c>
      <c r="L106" s="56">
        <v>381838</v>
      </c>
      <c r="M106" s="103">
        <v>1.7662077061076698E-2</v>
      </c>
      <c r="N106" s="97">
        <f>INDEX('Pace of change parameters'!$E$22:$I$22,1,$B$5)</f>
        <v>1.2019795091496865E-2</v>
      </c>
      <c r="O106" s="108">
        <f>MAX(IF(INDEX('Pace of change parameters'!$E$30:$I$30,1,$B$5)=1,(1+M106)*D106,D106),L106)</f>
        <v>381838</v>
      </c>
      <c r="P106" s="94">
        <f>IF(K106&lt;INDEX('Pace of change parameters'!$E$18:$I$18,1,$B$5),1,IF(K106&gt;INDEX('Pace of change parameters'!$E$19:$I$19,1,$B$5),0,(K106-INDEX('Pace of change parameters'!$E$19:$I$19,1,$B$5))/(INDEX('Pace of change parameters'!$E$18:$I$18,1,$B$5)-INDEX('Pace of change parameters'!$E$19:$I$19,1,$B$5))))</f>
        <v>0.20641759942305735</v>
      </c>
      <c r="Q106" s="57">
        <v>2.0356357853167584E-2</v>
      </c>
      <c r="R106" s="57">
        <v>1.4699137828729558E-2</v>
      </c>
      <c r="S106" s="9">
        <f>MAX(IF(INDEX('Pace of change parameters'!$E$31:$I$31,1,$B$5)=1,D106*(1+Q106),D106),L106)</f>
        <v>381838</v>
      </c>
      <c r="T106" s="103">
        <f>IF(Q106&lt;INDEX('Pace of change parameters'!$E$24:$I$24,1,$B$5),INDEX('Pace of change parameters'!$E$24:$I$24,1,$B$5),Q106)</f>
        <v>2.0356357853167584E-2</v>
      </c>
      <c r="U106" s="132">
        <v>1.4699137828729558E-2</v>
      </c>
      <c r="V106" s="117">
        <f t="shared" si="20"/>
        <v>381838</v>
      </c>
      <c r="W106" s="131">
        <f>IF(J106&gt;INDEX('Pace of change parameters'!$E$26:$I$26,1,$B$5),0,IF(J106&lt;INDEX('Pace of change parameters'!$E$25:$I$25,1,$B$5),1,(J106-INDEX('Pace of change parameters'!$E$26:$I$26,1,$B$5))/(INDEX('Pace of change parameters'!$E$25:$I$25,1,$B$5)-INDEX('Pace of change parameters'!$E$26:$I$26,1,$B$5))))</f>
        <v>1</v>
      </c>
      <c r="X106" s="132">
        <f>MIN(T106, T106+(INDEX('Pace of change parameters'!$E$27:$I$27,1,$B$5)-T106)*(1-W106))</f>
        <v>2.0356357853167584E-2</v>
      </c>
      <c r="Y106" s="132">
        <v>1.4699137828729558E-2</v>
      </c>
      <c r="Z106" s="108">
        <f t="shared" si="21"/>
        <v>381838</v>
      </c>
      <c r="AA106" s="97">
        <f>MIN(VLOOKUP(A106,'2017-18 disagg'!$A$12:$BC$220,54,FALSE),-2.5%)</f>
        <v>-2.5000000000000001E-2</v>
      </c>
      <c r="AB106" s="99">
        <f t="shared" si="13"/>
        <v>375367.09425222524</v>
      </c>
      <c r="AC106" s="99">
        <f>MAX(IF(INDEX('Pace of change parameters'!$E$29:$I$29,1,$B$5)=1,MAX(AB106,Z106),Z106),L106)</f>
        <v>381838</v>
      </c>
      <c r="AD106" s="97">
        <f t="shared" si="14"/>
        <v>2.344193925358895E-2</v>
      </c>
      <c r="AE106" s="146">
        <v>1.7767611663983995E-2</v>
      </c>
      <c r="AF106" s="56">
        <f t="shared" si="22"/>
        <v>381838</v>
      </c>
      <c r="AG106" s="56">
        <v>1603.6403331116824</v>
      </c>
      <c r="AH106" s="16">
        <f t="shared" si="15"/>
        <v>2.344193925358895E-2</v>
      </c>
      <c r="AI106" s="16">
        <f t="shared" si="16"/>
        <v>1.7767611663984217E-2</v>
      </c>
      <c r="AJ106" s="56"/>
      <c r="AK106" s="56">
        <v>384991.89154074388</v>
      </c>
      <c r="AL106" s="56">
        <v>1616.8860228570629</v>
      </c>
      <c r="AM106" s="16">
        <f t="shared" si="23"/>
        <v>-8.1920986130953333E-3</v>
      </c>
      <c r="AN106" s="58">
        <f t="shared" si="23"/>
        <v>-8.1920986130953333E-3</v>
      </c>
      <c r="AP106" s="56">
        <f t="shared" si="17"/>
        <v>1</v>
      </c>
      <c r="AQ106" s="56">
        <f t="shared" si="18"/>
        <v>0</v>
      </c>
    </row>
    <row r="107" spans="1:43" x14ac:dyDescent="0.2">
      <c r="A107" s="156" t="s">
        <v>259</v>
      </c>
      <c r="B107" s="156" t="s">
        <v>260</v>
      </c>
      <c r="D107" s="68">
        <f>VLOOKUP(A107,'2017-18 disagg'!A107:AZ315,43,FALSE)</f>
        <v>331587</v>
      </c>
      <c r="E107" s="73">
        <v>1734.0663976083094</v>
      </c>
      <c r="F107" s="55"/>
      <c r="G107" s="88">
        <v>337482.35532459512</v>
      </c>
      <c r="H107" s="81">
        <v>1756.5348421715489</v>
      </c>
      <c r="I107" s="90"/>
      <c r="J107" s="103">
        <f t="shared" si="19"/>
        <v>-1.7468632749480739E-2</v>
      </c>
      <c r="K107" s="126">
        <f t="shared" si="19"/>
        <v>-1.2791345792755537E-2</v>
      </c>
      <c r="L107" s="56">
        <v>339228</v>
      </c>
      <c r="M107" s="103">
        <v>1.6837460099765611E-2</v>
      </c>
      <c r="N107" s="97">
        <f>INDEX('Pace of change parameters'!$E$22:$I$22,1,$B$5)</f>
        <v>1.2019795091496865E-2</v>
      </c>
      <c r="O107" s="108">
        <f>MAX(IF(INDEX('Pace of change parameters'!$E$30:$I$30,1,$B$5)=1,(1+M107)*D107,D107),L107)</f>
        <v>339228</v>
      </c>
      <c r="P107" s="94">
        <f>IF(K107&lt;INDEX('Pace of change parameters'!$E$18:$I$18,1,$B$5),1,IF(K107&gt;INDEX('Pace of change parameters'!$E$19:$I$19,1,$B$5),0,(K107-INDEX('Pace of change parameters'!$E$19:$I$19,1,$B$5))/(INDEX('Pace of change parameters'!$E$18:$I$18,1,$B$5)-INDEX('Pace of change parameters'!$E$19:$I$19,1,$B$5))))</f>
        <v>0.47470759358735398</v>
      </c>
      <c r="Q107" s="57">
        <v>2.3028594857542384E-2</v>
      </c>
      <c r="R107" s="57">
        <v>1.8181596927883126E-2</v>
      </c>
      <c r="S107" s="9">
        <f>MAX(IF(INDEX('Pace of change parameters'!$E$31:$I$31,1,$B$5)=1,D107*(1+Q107),D107),L107)</f>
        <v>339228</v>
      </c>
      <c r="T107" s="103">
        <f>IF(Q107&lt;INDEX('Pace of change parameters'!$E$24:$I$24,1,$B$5),INDEX('Pace of change parameters'!$E$24:$I$24,1,$B$5),Q107)</f>
        <v>2.3028594857542384E-2</v>
      </c>
      <c r="U107" s="132">
        <v>1.8181596927883126E-2</v>
      </c>
      <c r="V107" s="117">
        <f t="shared" si="20"/>
        <v>339228</v>
      </c>
      <c r="W107" s="131">
        <f>IF(J107&gt;INDEX('Pace of change parameters'!$E$26:$I$26,1,$B$5),0,IF(J107&lt;INDEX('Pace of change parameters'!$E$25:$I$25,1,$B$5),1,(J107-INDEX('Pace of change parameters'!$E$26:$I$26,1,$B$5))/(INDEX('Pace of change parameters'!$E$25:$I$25,1,$B$5)-INDEX('Pace of change parameters'!$E$26:$I$26,1,$B$5))))</f>
        <v>1</v>
      </c>
      <c r="X107" s="132">
        <f>MIN(T107, T107+(INDEX('Pace of change parameters'!$E$27:$I$27,1,$B$5)-T107)*(1-W107))</f>
        <v>2.3028594857542384E-2</v>
      </c>
      <c r="Y107" s="132">
        <v>1.8181596927883126E-2</v>
      </c>
      <c r="Z107" s="108">
        <f t="shared" si="21"/>
        <v>339228</v>
      </c>
      <c r="AA107" s="97">
        <f>MIN(VLOOKUP(A107,'2017-18 disagg'!$A$12:$BC$220,54,FALSE),-2.5%)</f>
        <v>-2.5000000000000001E-2</v>
      </c>
      <c r="AB107" s="99">
        <f t="shared" si="13"/>
        <v>337356.27188400086</v>
      </c>
      <c r="AC107" s="99">
        <f>MAX(IF(INDEX('Pace of change parameters'!$E$29:$I$29,1,$B$5)=1,MAX(AB107,Z107),Z107),L107)</f>
        <v>339228</v>
      </c>
      <c r="AD107" s="97">
        <f t="shared" si="14"/>
        <v>2.3043726080937965E-2</v>
      </c>
      <c r="AE107" s="146">
        <v>1.8196656461192173E-2</v>
      </c>
      <c r="AF107" s="56">
        <f t="shared" si="22"/>
        <v>339228</v>
      </c>
      <c r="AG107" s="56">
        <v>1765.6206081264852</v>
      </c>
      <c r="AH107" s="16">
        <f t="shared" si="15"/>
        <v>2.3043726080937965E-2</v>
      </c>
      <c r="AI107" s="16">
        <f t="shared" si="16"/>
        <v>1.8196656461192395E-2</v>
      </c>
      <c r="AJ107" s="56"/>
      <c r="AK107" s="56">
        <v>346006.43270153936</v>
      </c>
      <c r="AL107" s="56">
        <v>1800.9011288047204</v>
      </c>
      <c r="AM107" s="16">
        <f t="shared" si="23"/>
        <v>-1.9590481739356402E-2</v>
      </c>
      <c r="AN107" s="58">
        <f t="shared" si="23"/>
        <v>-1.9590481739356402E-2</v>
      </c>
      <c r="AP107" s="56">
        <f t="shared" si="17"/>
        <v>1</v>
      </c>
      <c r="AQ107" s="56">
        <f t="shared" si="18"/>
        <v>0</v>
      </c>
    </row>
    <row r="108" spans="1:43" x14ac:dyDescent="0.2">
      <c r="A108" s="156" t="s">
        <v>261</v>
      </c>
      <c r="B108" s="156" t="s">
        <v>262</v>
      </c>
      <c r="D108" s="68">
        <f>VLOOKUP(A108,'2017-18 disagg'!A108:AZ316,43,FALSE)</f>
        <v>415049</v>
      </c>
      <c r="E108" s="73">
        <v>1428.9874969826315</v>
      </c>
      <c r="F108" s="55"/>
      <c r="G108" s="88">
        <v>429530.08310286555</v>
      </c>
      <c r="H108" s="81">
        <v>1459.7676137866283</v>
      </c>
      <c r="I108" s="90"/>
      <c r="J108" s="103">
        <f t="shared" si="19"/>
        <v>-3.3713780879458422E-2</v>
      </c>
      <c r="K108" s="126">
        <f t="shared" si="19"/>
        <v>-2.1085627954269714E-2</v>
      </c>
      <c r="L108" s="56">
        <v>428171</v>
      </c>
      <c r="M108" s="103">
        <v>2.5245628682878607E-2</v>
      </c>
      <c r="N108" s="97">
        <f>INDEX('Pace of change parameters'!$E$22:$I$22,1,$B$5)</f>
        <v>1.2019795091496865E-2</v>
      </c>
      <c r="O108" s="108">
        <f>MAX(IF(INDEX('Pace of change parameters'!$E$30:$I$30,1,$B$5)=1,(1+M108)*D108,D108),L108)</f>
        <v>428171</v>
      </c>
      <c r="P108" s="94">
        <f>IF(K108&lt;INDEX('Pace of change parameters'!$E$18:$I$18,1,$B$5),1,IF(K108&gt;INDEX('Pace of change parameters'!$E$19:$I$19,1,$B$5),0,(K108-INDEX('Pace of change parameters'!$E$19:$I$19,1,$B$5))/(INDEX('Pace of change parameters'!$E$18:$I$18,1,$B$5)-INDEX('Pace of change parameters'!$E$19:$I$19,1,$B$5))))</f>
        <v>0.65468139133706338</v>
      </c>
      <c r="Q108" s="57">
        <v>3.3854584203780513E-2</v>
      </c>
      <c r="R108" s="57">
        <v>2.0517693700835782E-2</v>
      </c>
      <c r="S108" s="9">
        <f>MAX(IF(INDEX('Pace of change parameters'!$E$31:$I$31,1,$B$5)=1,D108*(1+Q108),D108),L108)</f>
        <v>429100.31131919491</v>
      </c>
      <c r="T108" s="103">
        <f>IF(Q108&lt;INDEX('Pace of change parameters'!$E$24:$I$24,1,$B$5),INDEX('Pace of change parameters'!$E$24:$I$24,1,$B$5),Q108)</f>
        <v>3.3854584203780513E-2</v>
      </c>
      <c r="U108" s="132">
        <v>2.0517693700835782E-2</v>
      </c>
      <c r="V108" s="117">
        <f t="shared" si="20"/>
        <v>429100.31131919491</v>
      </c>
      <c r="W108" s="131">
        <f>IF(J108&gt;INDEX('Pace of change parameters'!$E$26:$I$26,1,$B$5),0,IF(J108&lt;INDEX('Pace of change parameters'!$E$25:$I$25,1,$B$5),1,(J108-INDEX('Pace of change parameters'!$E$26:$I$26,1,$B$5))/(INDEX('Pace of change parameters'!$E$25:$I$25,1,$B$5)-INDEX('Pace of change parameters'!$E$26:$I$26,1,$B$5))))</f>
        <v>1</v>
      </c>
      <c r="X108" s="132">
        <f>MIN(T108, T108+(INDEX('Pace of change parameters'!$E$27:$I$27,1,$B$5)-T108)*(1-W108))</f>
        <v>3.3854584203780513E-2</v>
      </c>
      <c r="Y108" s="132">
        <v>2.0517693700835782E-2</v>
      </c>
      <c r="Z108" s="108">
        <f t="shared" si="21"/>
        <v>429100.31131919491</v>
      </c>
      <c r="AA108" s="97">
        <f>MIN(VLOOKUP(A108,'2017-18 disagg'!$A$12:$BC$220,54,FALSE),-2.5%)</f>
        <v>-2.7995478050646727E-2</v>
      </c>
      <c r="AB108" s="99">
        <f t="shared" si="13"/>
        <v>428333.99756631989</v>
      </c>
      <c r="AC108" s="99">
        <f>MAX(IF(INDEX('Pace of change parameters'!$E$29:$I$29,1,$B$5)=1,MAX(AB108,Z108),Z108),L108)</f>
        <v>429100.31131919491</v>
      </c>
      <c r="AD108" s="97">
        <f t="shared" si="14"/>
        <v>3.3854584203780513E-2</v>
      </c>
      <c r="AE108" s="146">
        <v>2.0517693700835782E-2</v>
      </c>
      <c r="AF108" s="56">
        <f t="shared" si="22"/>
        <v>429100.31131919491</v>
      </c>
      <c r="AG108" s="56">
        <v>1458.3070247480453</v>
      </c>
      <c r="AH108" s="16">
        <f t="shared" si="15"/>
        <v>3.3854584203780513E-2</v>
      </c>
      <c r="AI108" s="16">
        <f t="shared" si="16"/>
        <v>2.0517693700836004E-2</v>
      </c>
      <c r="AJ108" s="56"/>
      <c r="AK108" s="56">
        <v>440670.78690878605</v>
      </c>
      <c r="AL108" s="56">
        <v>1497.6295453495859</v>
      </c>
      <c r="AM108" s="16">
        <f t="shared" si="23"/>
        <v>-2.6256506973733384E-2</v>
      </c>
      <c r="AN108" s="58">
        <f t="shared" si="23"/>
        <v>-2.6256506973733496E-2</v>
      </c>
      <c r="AP108" s="56">
        <f t="shared" si="17"/>
        <v>0</v>
      </c>
      <c r="AQ108" s="56">
        <f t="shared" si="18"/>
        <v>0</v>
      </c>
    </row>
    <row r="109" spans="1:43" x14ac:dyDescent="0.2">
      <c r="A109" s="156" t="s">
        <v>263</v>
      </c>
      <c r="B109" s="156" t="s">
        <v>264</v>
      </c>
      <c r="D109" s="68">
        <f>VLOOKUP(A109,'2017-18 disagg'!A109:AZ317,43,FALSE)</f>
        <v>1016868</v>
      </c>
      <c r="E109" s="73">
        <v>1515.6489993465943</v>
      </c>
      <c r="F109" s="55"/>
      <c r="G109" s="88">
        <v>1045114.8142002498</v>
      </c>
      <c r="H109" s="81">
        <v>1545.5510601392889</v>
      </c>
      <c r="I109" s="90"/>
      <c r="J109" s="103">
        <f t="shared" si="19"/>
        <v>-2.7027474700820342E-2</v>
      </c>
      <c r="K109" s="126">
        <f t="shared" si="19"/>
        <v>-1.9347184032858622E-2</v>
      </c>
      <c r="L109" s="56">
        <v>1041216</v>
      </c>
      <c r="M109" s="103">
        <v>2.0008310682565478E-2</v>
      </c>
      <c r="N109" s="97">
        <f>INDEX('Pace of change parameters'!$E$22:$I$22,1,$B$5)</f>
        <v>1.2019795091496865E-2</v>
      </c>
      <c r="O109" s="108">
        <f>MAX(IF(INDEX('Pace of change parameters'!$E$30:$I$30,1,$B$5)=1,(1+M109)*D109,D109),L109)</f>
        <v>1041216</v>
      </c>
      <c r="P109" s="94">
        <f>IF(K109&lt;INDEX('Pace of change parameters'!$E$18:$I$18,1,$B$5),1,IF(K109&gt;INDEX('Pace of change parameters'!$E$19:$I$19,1,$B$5),0,(K109-INDEX('Pace of change parameters'!$E$19:$I$19,1,$B$5))/(INDEX('Pace of change parameters'!$E$18:$I$18,1,$B$5)-INDEX('Pace of change parameters'!$E$19:$I$19,1,$B$5))))</f>
        <v>0.61695969961996666</v>
      </c>
      <c r="Q109" s="57">
        <v>2.8079788317228127E-2</v>
      </c>
      <c r="R109" s="57">
        <v>2.002805841285249E-2</v>
      </c>
      <c r="S109" s="9">
        <f>MAX(IF(INDEX('Pace of change parameters'!$E$31:$I$31,1,$B$5)=1,D109*(1+Q109),D109),L109)</f>
        <v>1045421.4381865631</v>
      </c>
      <c r="T109" s="103">
        <f>IF(Q109&lt;INDEX('Pace of change parameters'!$E$24:$I$24,1,$B$5),INDEX('Pace of change parameters'!$E$24:$I$24,1,$B$5),Q109)</f>
        <v>2.8079788317228127E-2</v>
      </c>
      <c r="U109" s="132">
        <v>2.002805841285249E-2</v>
      </c>
      <c r="V109" s="117">
        <f t="shared" si="20"/>
        <v>1045421.4381865631</v>
      </c>
      <c r="W109" s="131">
        <f>IF(J109&gt;INDEX('Pace of change parameters'!$E$26:$I$26,1,$B$5),0,IF(J109&lt;INDEX('Pace of change parameters'!$E$25:$I$25,1,$B$5),1,(J109-INDEX('Pace of change parameters'!$E$26:$I$26,1,$B$5))/(INDEX('Pace of change parameters'!$E$25:$I$25,1,$B$5)-INDEX('Pace of change parameters'!$E$26:$I$26,1,$B$5))))</f>
        <v>1</v>
      </c>
      <c r="X109" s="132">
        <f>MIN(T109, T109+(INDEX('Pace of change parameters'!$E$27:$I$27,1,$B$5)-T109)*(1-W109))</f>
        <v>2.8079788317228127E-2</v>
      </c>
      <c r="Y109" s="132">
        <v>2.002805841285249E-2</v>
      </c>
      <c r="Z109" s="108">
        <f t="shared" si="21"/>
        <v>1045421.4381865631</v>
      </c>
      <c r="AA109" s="97">
        <f>MIN(VLOOKUP(A109,'2017-18 disagg'!$A$12:$BC$220,54,FALSE),-2.5%)</f>
        <v>-2.6261565186441738E-2</v>
      </c>
      <c r="AB109" s="99">
        <f t="shared" si="13"/>
        <v>1043471.2653342101</v>
      </c>
      <c r="AC109" s="99">
        <f>MAX(IF(INDEX('Pace of change parameters'!$E$29:$I$29,1,$B$5)=1,MAX(AB109,Z109),Z109),L109)</f>
        <v>1045421.4381865631</v>
      </c>
      <c r="AD109" s="97">
        <f t="shared" si="14"/>
        <v>2.8079788317228127E-2</v>
      </c>
      <c r="AE109" s="146">
        <v>2.002805841285249E-2</v>
      </c>
      <c r="AF109" s="56">
        <f t="shared" si="22"/>
        <v>1045421.4381865631</v>
      </c>
      <c r="AG109" s="56">
        <v>1546.0045060388893</v>
      </c>
      <c r="AH109" s="16">
        <f t="shared" si="15"/>
        <v>2.8079788317228127E-2</v>
      </c>
      <c r="AI109" s="16">
        <f t="shared" si="16"/>
        <v>2.002805841285249E-2</v>
      </c>
      <c r="AJ109" s="56"/>
      <c r="AK109" s="56">
        <v>1071613.5134729519</v>
      </c>
      <c r="AL109" s="56">
        <v>1584.7382309618333</v>
      </c>
      <c r="AM109" s="16">
        <f t="shared" si="23"/>
        <v>-2.4441717986089961E-2</v>
      </c>
      <c r="AN109" s="58">
        <f t="shared" si="23"/>
        <v>-2.444171798608985E-2</v>
      </c>
      <c r="AP109" s="56">
        <f t="shared" si="17"/>
        <v>0</v>
      </c>
      <c r="AQ109" s="56">
        <f t="shared" si="18"/>
        <v>0</v>
      </c>
    </row>
    <row r="110" spans="1:43" x14ac:dyDescent="0.2">
      <c r="A110" s="156" t="s">
        <v>265</v>
      </c>
      <c r="B110" s="156" t="s">
        <v>266</v>
      </c>
      <c r="D110" s="68">
        <f>VLOOKUP(A110,'2017-18 disagg'!A110:AZ318,43,FALSE)</f>
        <v>212547</v>
      </c>
      <c r="E110" s="73">
        <v>1602.0477157895773</v>
      </c>
      <c r="F110" s="55"/>
      <c r="G110" s="88">
        <v>216710.09945777315</v>
      </c>
      <c r="H110" s="81">
        <v>1623.9029200733189</v>
      </c>
      <c r="I110" s="90"/>
      <c r="J110" s="103">
        <f t="shared" si="19"/>
        <v>-1.9210454280578437E-2</v>
      </c>
      <c r="K110" s="126">
        <f t="shared" si="19"/>
        <v>-1.3458442628303646E-2</v>
      </c>
      <c r="L110" s="56">
        <v>217413</v>
      </c>
      <c r="M110" s="103">
        <v>1.7954961997694863E-2</v>
      </c>
      <c r="N110" s="97">
        <f>INDEX('Pace of change parameters'!$E$22:$I$22,1,$B$5)</f>
        <v>1.2019795091496865E-2</v>
      </c>
      <c r="O110" s="108">
        <f>MAX(IF(INDEX('Pace of change parameters'!$E$30:$I$30,1,$B$5)=1,(1+M110)*D110,D110),L110)</f>
        <v>217413</v>
      </c>
      <c r="P110" s="94">
        <f>IF(K110&lt;INDEX('Pace of change parameters'!$E$18:$I$18,1,$B$5),1,IF(K110&gt;INDEX('Pace of change parameters'!$E$19:$I$19,1,$B$5),0,(K110-INDEX('Pace of change parameters'!$E$19:$I$19,1,$B$5))/(INDEX('Pace of change parameters'!$E$18:$I$18,1,$B$5)-INDEX('Pace of change parameters'!$E$19:$I$19,1,$B$5))))</f>
        <v>0.48918261971046922</v>
      </c>
      <c r="Q110" s="57">
        <v>2.4341891509386482E-2</v>
      </c>
      <c r="R110" s="57">
        <v>1.8369485733017221E-2</v>
      </c>
      <c r="S110" s="9">
        <f>MAX(IF(INDEX('Pace of change parameters'!$E$31:$I$31,1,$B$5)=1,D110*(1+Q110),D110),L110)</f>
        <v>217720.79601464557</v>
      </c>
      <c r="T110" s="103">
        <f>IF(Q110&lt;INDEX('Pace of change parameters'!$E$24:$I$24,1,$B$5),INDEX('Pace of change parameters'!$E$24:$I$24,1,$B$5),Q110)</f>
        <v>2.4341891509386482E-2</v>
      </c>
      <c r="U110" s="132">
        <v>1.8369485733017221E-2</v>
      </c>
      <c r="V110" s="117">
        <f t="shared" si="20"/>
        <v>217720.79601464557</v>
      </c>
      <c r="W110" s="131">
        <f>IF(J110&gt;INDEX('Pace of change parameters'!$E$26:$I$26,1,$B$5),0,IF(J110&lt;INDEX('Pace of change parameters'!$E$25:$I$25,1,$B$5),1,(J110-INDEX('Pace of change parameters'!$E$26:$I$26,1,$B$5))/(INDEX('Pace of change parameters'!$E$25:$I$25,1,$B$5)-INDEX('Pace of change parameters'!$E$26:$I$26,1,$B$5))))</f>
        <v>1</v>
      </c>
      <c r="X110" s="132">
        <f>MIN(T110, T110+(INDEX('Pace of change parameters'!$E$27:$I$27,1,$B$5)-T110)*(1-W110))</f>
        <v>2.4341891509386482E-2</v>
      </c>
      <c r="Y110" s="132">
        <v>1.8369485733017221E-2</v>
      </c>
      <c r="Z110" s="108">
        <f t="shared" si="21"/>
        <v>217720.79601464557</v>
      </c>
      <c r="AA110" s="97">
        <f>MIN(VLOOKUP(A110,'2017-18 disagg'!$A$12:$BC$220,54,FALSE),-2.5%)</f>
        <v>-2.5000000000000001E-2</v>
      </c>
      <c r="AB110" s="99">
        <f t="shared" si="13"/>
        <v>216571.18241677847</v>
      </c>
      <c r="AC110" s="99">
        <f>MAX(IF(INDEX('Pace of change parameters'!$E$29:$I$29,1,$B$5)=1,MAX(AB110,Z110),Z110),L110)</f>
        <v>217720.79601464557</v>
      </c>
      <c r="AD110" s="97">
        <f t="shared" si="14"/>
        <v>2.4341891509386482E-2</v>
      </c>
      <c r="AE110" s="146">
        <v>1.8369485733017221E-2</v>
      </c>
      <c r="AF110" s="56">
        <f t="shared" si="22"/>
        <v>217720.79601464557</v>
      </c>
      <c r="AG110" s="56">
        <v>1631.4765084483868</v>
      </c>
      <c r="AH110" s="16">
        <f t="shared" si="15"/>
        <v>2.4341891509386482E-2</v>
      </c>
      <c r="AI110" s="16">
        <f t="shared" si="16"/>
        <v>1.8369485733017221E-2</v>
      </c>
      <c r="AJ110" s="56"/>
      <c r="AK110" s="56">
        <v>222124.28965823434</v>
      </c>
      <c r="AL110" s="56">
        <v>1664.473799318725</v>
      </c>
      <c r="AM110" s="16">
        <f t="shared" si="23"/>
        <v>-1.982445796614174E-2</v>
      </c>
      <c r="AN110" s="58">
        <f t="shared" si="23"/>
        <v>-1.982445796614174E-2</v>
      </c>
      <c r="AP110" s="56">
        <f t="shared" si="17"/>
        <v>0</v>
      </c>
      <c r="AQ110" s="56">
        <f t="shared" si="18"/>
        <v>0</v>
      </c>
    </row>
    <row r="111" spans="1:43" x14ac:dyDescent="0.2">
      <c r="A111" s="156" t="s">
        <v>267</v>
      </c>
      <c r="B111" s="156" t="s">
        <v>268</v>
      </c>
      <c r="D111" s="68">
        <f>VLOOKUP(A111,'2017-18 disagg'!A111:AZ319,43,FALSE)</f>
        <v>506887</v>
      </c>
      <c r="E111" s="73">
        <v>1728.3153644206989</v>
      </c>
      <c r="F111" s="55"/>
      <c r="G111" s="88">
        <v>475835.92897543753</v>
      </c>
      <c r="H111" s="81">
        <v>1616.5318793614383</v>
      </c>
      <c r="I111" s="90"/>
      <c r="J111" s="103">
        <f t="shared" si="19"/>
        <v>6.5255835328410727E-2</v>
      </c>
      <c r="K111" s="126">
        <f t="shared" si="19"/>
        <v>6.9150189047565869E-2</v>
      </c>
      <c r="L111" s="56">
        <v>516078</v>
      </c>
      <c r="M111" s="103">
        <v>1.5719528922720771E-2</v>
      </c>
      <c r="N111" s="97">
        <f>INDEX('Pace of change parameters'!$E$22:$I$22,1,$B$5)</f>
        <v>1.2019795091496865E-2</v>
      </c>
      <c r="O111" s="108">
        <f>MAX(IF(INDEX('Pace of change parameters'!$E$30:$I$30,1,$B$5)=1,(1+M111)*D111,D111),L111)</f>
        <v>516078</v>
      </c>
      <c r="P111" s="94">
        <f>IF(K111&lt;INDEX('Pace of change parameters'!$E$18:$I$18,1,$B$5),1,IF(K111&gt;INDEX('Pace of change parameters'!$E$19:$I$19,1,$B$5),0,(K111-INDEX('Pace of change parameters'!$E$19:$I$19,1,$B$5))/(INDEX('Pace of change parameters'!$E$18:$I$18,1,$B$5)-INDEX('Pace of change parameters'!$E$19:$I$19,1,$B$5))))</f>
        <v>0</v>
      </c>
      <c r="Q111" s="57">
        <v>1.5719528922720771E-2</v>
      </c>
      <c r="R111" s="57">
        <v>1.2019795091496865E-2</v>
      </c>
      <c r="S111" s="9">
        <f>MAX(IF(INDEX('Pace of change parameters'!$E$31:$I$31,1,$B$5)=1,D111*(1+Q111),D111),L111)</f>
        <v>516078</v>
      </c>
      <c r="T111" s="103">
        <f>IF(Q111&lt;INDEX('Pace of change parameters'!$E$24:$I$24,1,$B$5),INDEX('Pace of change parameters'!$E$24:$I$24,1,$B$5),Q111)</f>
        <v>1.9732353921844841E-2</v>
      </c>
      <c r="U111" s="132">
        <v>1.6018003472563214E-2</v>
      </c>
      <c r="V111" s="117">
        <f t="shared" si="20"/>
        <v>516889.07368238212</v>
      </c>
      <c r="W111" s="131">
        <f>IF(J111&gt;INDEX('Pace of change parameters'!$E$26:$I$26,1,$B$5),0,IF(J111&lt;INDEX('Pace of change parameters'!$E$25:$I$25,1,$B$5),1,(J111-INDEX('Pace of change parameters'!$E$26:$I$26,1,$B$5))/(INDEX('Pace of change parameters'!$E$25:$I$25,1,$B$5)-INDEX('Pace of change parameters'!$E$26:$I$26,1,$B$5))))</f>
        <v>0.69488329343178556</v>
      </c>
      <c r="X111" s="132">
        <f>MIN(T111, T111+(INDEX('Pace of change parameters'!$E$27:$I$27,1,$B$5)-T111)*(1-W111))</f>
        <v>1.3843601485078301E-2</v>
      </c>
      <c r="Y111" s="132">
        <v>1.0150700674199209E-2</v>
      </c>
      <c r="Z111" s="108">
        <f t="shared" si="21"/>
        <v>516078</v>
      </c>
      <c r="AA111" s="97">
        <f>MIN(VLOOKUP(A111,'2017-18 disagg'!$A$12:$BC$220,54,FALSE),-2.5%)</f>
        <v>-2.5000000000000001E-2</v>
      </c>
      <c r="AB111" s="99">
        <f t="shared" si="13"/>
        <v>475556.36013075587</v>
      </c>
      <c r="AC111" s="99">
        <f>MAX(IF(INDEX('Pace of change parameters'!$E$29:$I$29,1,$B$5)=1,MAX(AB111,Z111),Z111),L111)</f>
        <v>516078</v>
      </c>
      <c r="AD111" s="97">
        <f t="shared" si="14"/>
        <v>1.8132246437568833E-2</v>
      </c>
      <c r="AE111" s="146">
        <v>1.4423724341119382E-2</v>
      </c>
      <c r="AF111" s="56">
        <f t="shared" si="22"/>
        <v>516078</v>
      </c>
      <c r="AG111" s="56">
        <v>1753.2441088116243</v>
      </c>
      <c r="AH111" s="16">
        <f t="shared" si="15"/>
        <v>1.8132246437568833E-2</v>
      </c>
      <c r="AI111" s="16">
        <f t="shared" si="16"/>
        <v>1.4423724341119382E-2</v>
      </c>
      <c r="AJ111" s="56"/>
      <c r="AK111" s="56">
        <v>487750.11295462144</v>
      </c>
      <c r="AL111" s="56">
        <v>1657.0072975594665</v>
      </c>
      <c r="AM111" s="16">
        <f t="shared" si="23"/>
        <v>5.8078688846995963E-2</v>
      </c>
      <c r="AN111" s="58">
        <f t="shared" si="23"/>
        <v>5.8078688846995963E-2</v>
      </c>
      <c r="AP111" s="56">
        <f t="shared" si="17"/>
        <v>1</v>
      </c>
      <c r="AQ111" s="56">
        <f t="shared" si="18"/>
        <v>0</v>
      </c>
    </row>
    <row r="112" spans="1:43" x14ac:dyDescent="0.2">
      <c r="A112" s="156" t="s">
        <v>269</v>
      </c>
      <c r="B112" s="156" t="s">
        <v>270</v>
      </c>
      <c r="D112" s="68">
        <f>VLOOKUP(A112,'2017-18 disagg'!A112:AZ320,43,FALSE)</f>
        <v>587137</v>
      </c>
      <c r="E112" s="73">
        <v>1634.4597219821035</v>
      </c>
      <c r="F112" s="55"/>
      <c r="G112" s="88">
        <v>588135.57943699579</v>
      </c>
      <c r="H112" s="81">
        <v>1629.4051979703643</v>
      </c>
      <c r="I112" s="90"/>
      <c r="J112" s="103">
        <f t="shared" si="19"/>
        <v>-1.6978728577374813E-3</v>
      </c>
      <c r="K112" s="126">
        <f t="shared" si="19"/>
        <v>3.1020669493599939E-3</v>
      </c>
      <c r="L112" s="56">
        <v>601723</v>
      </c>
      <c r="M112" s="103">
        <v>1.6885690863887692E-2</v>
      </c>
      <c r="N112" s="97">
        <f>INDEX('Pace of change parameters'!$E$22:$I$22,1,$B$5)</f>
        <v>1.2019795091496865E-2</v>
      </c>
      <c r="O112" s="108">
        <f>MAX(IF(INDEX('Pace of change parameters'!$E$30:$I$30,1,$B$5)=1,(1+M112)*D112,D112),L112)</f>
        <v>601723</v>
      </c>
      <c r="P112" s="94">
        <f>IF(K112&lt;INDEX('Pace of change parameters'!$E$18:$I$18,1,$B$5),1,IF(K112&gt;INDEX('Pace of change parameters'!$E$19:$I$19,1,$B$5),0,(K112-INDEX('Pace of change parameters'!$E$19:$I$19,1,$B$5))/(INDEX('Pace of change parameters'!$E$18:$I$18,1,$B$5)-INDEX('Pace of change parameters'!$E$19:$I$19,1,$B$5))))</f>
        <v>0.1298437711730982</v>
      </c>
      <c r="Q112" s="57">
        <v>1.8579193191220478E-2</v>
      </c>
      <c r="R112" s="57">
        <v>1.3705193847416419E-2</v>
      </c>
      <c r="S112" s="9">
        <f>MAX(IF(INDEX('Pace of change parameters'!$E$31:$I$31,1,$B$5)=1,D112*(1+Q112),D112),L112)</f>
        <v>601723</v>
      </c>
      <c r="T112" s="103">
        <f>IF(Q112&lt;INDEX('Pace of change parameters'!$E$24:$I$24,1,$B$5),INDEX('Pace of change parameters'!$E$24:$I$24,1,$B$5),Q112)</f>
        <v>1.9732353921844841E-2</v>
      </c>
      <c r="U112" s="132">
        <v>1.4852836593104435E-2</v>
      </c>
      <c r="V112" s="117">
        <f t="shared" si="20"/>
        <v>601723</v>
      </c>
      <c r="W112" s="131">
        <f>IF(J112&gt;INDEX('Pace of change parameters'!$E$26:$I$26,1,$B$5),0,IF(J112&lt;INDEX('Pace of change parameters'!$E$25:$I$25,1,$B$5),1,(J112-INDEX('Pace of change parameters'!$E$26:$I$26,1,$B$5))/(INDEX('Pace of change parameters'!$E$25:$I$25,1,$B$5)-INDEX('Pace of change parameters'!$E$26:$I$26,1,$B$5))))</f>
        <v>1</v>
      </c>
      <c r="X112" s="132">
        <f>MIN(T112, T112+(INDEX('Pace of change parameters'!$E$27:$I$27,1,$B$5)-T112)*(1-W112))</f>
        <v>1.9732353921844841E-2</v>
      </c>
      <c r="Y112" s="132">
        <v>1.4852836593104435E-2</v>
      </c>
      <c r="Z112" s="108">
        <f t="shared" si="21"/>
        <v>601723</v>
      </c>
      <c r="AA112" s="97">
        <f>MIN(VLOOKUP(A112,'2017-18 disagg'!$A$12:$BC$220,54,FALSE),-2.5%)</f>
        <v>-2.5000000000000001E-2</v>
      </c>
      <c r="AB112" s="99">
        <f t="shared" si="13"/>
        <v>588473.93732741114</v>
      </c>
      <c r="AC112" s="99">
        <f>MAX(IF(INDEX('Pace of change parameters'!$E$29:$I$29,1,$B$5)=1,MAX(AB112,Z112),Z112),L112)</f>
        <v>601723</v>
      </c>
      <c r="AD112" s="97">
        <f t="shared" si="14"/>
        <v>2.4842583587816769E-2</v>
      </c>
      <c r="AE112" s="146">
        <v>1.993861331893676E-2</v>
      </c>
      <c r="AF112" s="56">
        <f t="shared" si="22"/>
        <v>601723</v>
      </c>
      <c r="AG112" s="56">
        <v>1667.0485823640815</v>
      </c>
      <c r="AH112" s="16">
        <f t="shared" si="15"/>
        <v>2.4842583587816769E-2</v>
      </c>
      <c r="AI112" s="16">
        <f t="shared" si="16"/>
        <v>1.993861331893676E-2</v>
      </c>
      <c r="AJ112" s="56"/>
      <c r="AK112" s="56">
        <v>603563.0126434986</v>
      </c>
      <c r="AL112" s="56">
        <v>1672.1462609784546</v>
      </c>
      <c r="AM112" s="16">
        <f t="shared" si="23"/>
        <v>-3.048584165950885E-3</v>
      </c>
      <c r="AN112" s="58">
        <f t="shared" si="23"/>
        <v>-3.048584165950996E-3</v>
      </c>
      <c r="AP112" s="56">
        <f t="shared" si="17"/>
        <v>1</v>
      </c>
      <c r="AQ112" s="56">
        <f t="shared" si="18"/>
        <v>0</v>
      </c>
    </row>
    <row r="113" spans="1:43" x14ac:dyDescent="0.2">
      <c r="A113" s="156" t="s">
        <v>271</v>
      </c>
      <c r="B113" s="156" t="s">
        <v>272</v>
      </c>
      <c r="D113" s="68">
        <f>VLOOKUP(A113,'2017-18 disagg'!A113:AZ321,43,FALSE)</f>
        <v>240934</v>
      </c>
      <c r="E113" s="73">
        <v>1585.6757708235041</v>
      </c>
      <c r="F113" s="55"/>
      <c r="G113" s="88">
        <v>246380.39505292405</v>
      </c>
      <c r="H113" s="81">
        <v>1611.8964034522023</v>
      </c>
      <c r="I113" s="90"/>
      <c r="J113" s="103">
        <f t="shared" si="19"/>
        <v>-2.2105634873075597E-2</v>
      </c>
      <c r="K113" s="126">
        <f t="shared" si="19"/>
        <v>-1.6266946543550431E-2</v>
      </c>
      <c r="L113" s="56">
        <v>246546</v>
      </c>
      <c r="M113" s="103">
        <v>1.8062235233875956E-2</v>
      </c>
      <c r="N113" s="97">
        <f>INDEX('Pace of change parameters'!$E$22:$I$22,1,$B$5)</f>
        <v>1.2019795091496865E-2</v>
      </c>
      <c r="O113" s="108">
        <f>MAX(IF(INDEX('Pace of change parameters'!$E$30:$I$30,1,$B$5)=1,(1+M113)*D113,D113),L113)</f>
        <v>246546</v>
      </c>
      <c r="P113" s="94">
        <f>IF(K113&lt;INDEX('Pace of change parameters'!$E$18:$I$18,1,$B$5),1,IF(K113&gt;INDEX('Pace of change parameters'!$E$19:$I$19,1,$B$5),0,(K113-INDEX('Pace of change parameters'!$E$19:$I$19,1,$B$5))/(INDEX('Pace of change parameters'!$E$18:$I$18,1,$B$5)-INDEX('Pace of change parameters'!$E$19:$I$19,1,$B$5))))</f>
        <v>0.55012304900611508</v>
      </c>
      <c r="Q113" s="57">
        <v>2.5245579984856104E-2</v>
      </c>
      <c r="R113" s="57">
        <v>1.9160504992486782E-2</v>
      </c>
      <c r="S113" s="9">
        <f>MAX(IF(INDEX('Pace of change parameters'!$E$31:$I$31,1,$B$5)=1,D113*(1+Q113),D113),L113)</f>
        <v>247016.51856807133</v>
      </c>
      <c r="T113" s="103">
        <f>IF(Q113&lt;INDEX('Pace of change parameters'!$E$24:$I$24,1,$B$5),INDEX('Pace of change parameters'!$E$24:$I$24,1,$B$5),Q113)</f>
        <v>2.5245579984856104E-2</v>
      </c>
      <c r="U113" s="132">
        <v>1.9160504992486782E-2</v>
      </c>
      <c r="V113" s="117">
        <f t="shared" si="20"/>
        <v>247016.51856807133</v>
      </c>
      <c r="W113" s="131">
        <f>IF(J113&gt;INDEX('Pace of change parameters'!$E$26:$I$26,1,$B$5),0,IF(J113&lt;INDEX('Pace of change parameters'!$E$25:$I$25,1,$B$5),1,(J113-INDEX('Pace of change parameters'!$E$26:$I$26,1,$B$5))/(INDEX('Pace of change parameters'!$E$25:$I$25,1,$B$5)-INDEX('Pace of change parameters'!$E$26:$I$26,1,$B$5))))</f>
        <v>1</v>
      </c>
      <c r="X113" s="132">
        <f>MIN(T113, T113+(INDEX('Pace of change parameters'!$E$27:$I$27,1,$B$5)-T113)*(1-W113))</f>
        <v>2.5245579984856104E-2</v>
      </c>
      <c r="Y113" s="132">
        <v>1.9160504992486782E-2</v>
      </c>
      <c r="Z113" s="108">
        <f t="shared" si="21"/>
        <v>247016.51856807133</v>
      </c>
      <c r="AA113" s="97">
        <f>MIN(VLOOKUP(A113,'2017-18 disagg'!$A$12:$BC$220,54,FALSE),-2.5%)</f>
        <v>-2.5000000000000001E-2</v>
      </c>
      <c r="AB113" s="99">
        <f t="shared" si="13"/>
        <v>246287.84489949167</v>
      </c>
      <c r="AC113" s="99">
        <f>MAX(IF(INDEX('Pace of change parameters'!$E$29:$I$29,1,$B$5)=1,MAX(AB113,Z113),Z113),L113)</f>
        <v>247016.51856807133</v>
      </c>
      <c r="AD113" s="97">
        <f t="shared" si="14"/>
        <v>2.5245579984856104E-2</v>
      </c>
      <c r="AE113" s="146">
        <v>1.9160504992486782E-2</v>
      </c>
      <c r="AF113" s="56">
        <f t="shared" si="22"/>
        <v>247016.51856807133</v>
      </c>
      <c r="AG113" s="56">
        <v>1616.0581193468336</v>
      </c>
      <c r="AH113" s="16">
        <f t="shared" si="15"/>
        <v>2.5245579984856104E-2</v>
      </c>
      <c r="AI113" s="16">
        <f t="shared" si="16"/>
        <v>1.9160504992487004E-2</v>
      </c>
      <c r="AJ113" s="56"/>
      <c r="AK113" s="56">
        <v>252602.91784563247</v>
      </c>
      <c r="AL113" s="56">
        <v>1652.6060634387914</v>
      </c>
      <c r="AM113" s="16">
        <f t="shared" si="23"/>
        <v>-2.211533946324018E-2</v>
      </c>
      <c r="AN113" s="58">
        <f t="shared" si="23"/>
        <v>-2.2115339463240069E-2</v>
      </c>
      <c r="AP113" s="56">
        <f t="shared" si="17"/>
        <v>0</v>
      </c>
      <c r="AQ113" s="56">
        <f t="shared" si="18"/>
        <v>0</v>
      </c>
    </row>
    <row r="114" spans="1:43" x14ac:dyDescent="0.2">
      <c r="A114" s="156" t="s">
        <v>273</v>
      </c>
      <c r="B114" s="156" t="s">
        <v>274</v>
      </c>
      <c r="D114" s="68">
        <f>VLOOKUP(A114,'2017-18 disagg'!A114:AZ322,43,FALSE)</f>
        <v>153998</v>
      </c>
      <c r="E114" s="73">
        <v>1604.8672679594972</v>
      </c>
      <c r="F114" s="55"/>
      <c r="G114" s="88">
        <v>153741.76075664163</v>
      </c>
      <c r="H114" s="81">
        <v>1591.6361267357813</v>
      </c>
      <c r="I114" s="90"/>
      <c r="J114" s="103">
        <f t="shared" si="19"/>
        <v>1.6666860200982292E-3</v>
      </c>
      <c r="K114" s="126">
        <f t="shared" si="19"/>
        <v>8.3129183872265866E-3</v>
      </c>
      <c r="L114" s="56">
        <v>157587</v>
      </c>
      <c r="M114" s="103">
        <v>1.8734722134779558E-2</v>
      </c>
      <c r="N114" s="97">
        <f>INDEX('Pace of change parameters'!$E$22:$I$22,1,$B$5)</f>
        <v>1.2019795091496865E-2</v>
      </c>
      <c r="O114" s="108">
        <f>MAX(IF(INDEX('Pace of change parameters'!$E$30:$I$30,1,$B$5)=1,(1+M114)*D114,D114),L114)</f>
        <v>157587</v>
      </c>
      <c r="P114" s="94">
        <f>IF(K114&lt;INDEX('Pace of change parameters'!$E$18:$I$18,1,$B$5),1,IF(K114&gt;INDEX('Pace of change parameters'!$E$19:$I$19,1,$B$5),0,(K114-INDEX('Pace of change parameters'!$E$19:$I$19,1,$B$5))/(INDEX('Pace of change parameters'!$E$18:$I$18,1,$B$5)-INDEX('Pace of change parameters'!$E$19:$I$19,1,$B$5))))</f>
        <v>1.6775912554314532E-2</v>
      </c>
      <c r="Q114" s="57">
        <v>1.8953921758049219E-2</v>
      </c>
      <c r="R114" s="57">
        <v>1.223754987397907E-2</v>
      </c>
      <c r="S114" s="9">
        <f>MAX(IF(INDEX('Pace of change parameters'!$E$31:$I$31,1,$B$5)=1,D114*(1+Q114),D114),L114)</f>
        <v>157587</v>
      </c>
      <c r="T114" s="103">
        <f>IF(Q114&lt;INDEX('Pace of change parameters'!$E$24:$I$24,1,$B$5),INDEX('Pace of change parameters'!$E$24:$I$24,1,$B$5),Q114)</f>
        <v>1.9732353921844841E-2</v>
      </c>
      <c r="U114" s="132">
        <v>1.3010851050212935E-2</v>
      </c>
      <c r="V114" s="117">
        <f t="shared" si="20"/>
        <v>157587</v>
      </c>
      <c r="W114" s="131">
        <f>IF(J114&gt;INDEX('Pace of change parameters'!$E$26:$I$26,1,$B$5),0,IF(J114&lt;INDEX('Pace of change parameters'!$E$25:$I$25,1,$B$5),1,(J114-INDEX('Pace of change parameters'!$E$26:$I$26,1,$B$5))/(INDEX('Pace of change parameters'!$E$25:$I$25,1,$B$5)-INDEX('Pace of change parameters'!$E$26:$I$26,1,$B$5))))</f>
        <v>1</v>
      </c>
      <c r="X114" s="132">
        <f>MIN(T114, T114+(INDEX('Pace of change parameters'!$E$27:$I$27,1,$B$5)-T114)*(1-W114))</f>
        <v>1.9732353921844841E-2</v>
      </c>
      <c r="Y114" s="132">
        <v>1.3010851050212935E-2</v>
      </c>
      <c r="Z114" s="108">
        <f t="shared" si="21"/>
        <v>157587</v>
      </c>
      <c r="AA114" s="97">
        <f>MIN(VLOOKUP(A114,'2017-18 disagg'!$A$12:$BC$220,54,FALSE),-2.5%)</f>
        <v>-2.5000000000000001E-2</v>
      </c>
      <c r="AB114" s="99">
        <f t="shared" si="13"/>
        <v>153683.3704498623</v>
      </c>
      <c r="AC114" s="99">
        <f>MAX(IF(INDEX('Pace of change parameters'!$E$29:$I$29,1,$B$5)=1,MAX(AB114,Z114),Z114),L114)</f>
        <v>157587</v>
      </c>
      <c r="AD114" s="97">
        <f t="shared" si="14"/>
        <v>2.3305497473993242E-2</v>
      </c>
      <c r="AE114" s="146">
        <v>1.6560442447176582E-2</v>
      </c>
      <c r="AF114" s="56">
        <f t="shared" si="22"/>
        <v>157587</v>
      </c>
      <c r="AG114" s="56">
        <v>1631.4445799858977</v>
      </c>
      <c r="AH114" s="16">
        <f t="shared" si="15"/>
        <v>2.3305497473993242E-2</v>
      </c>
      <c r="AI114" s="16">
        <f t="shared" si="16"/>
        <v>1.656044244717636E-2</v>
      </c>
      <c r="AJ114" s="56"/>
      <c r="AK114" s="56">
        <v>157623.96969216646</v>
      </c>
      <c r="AL114" s="56">
        <v>1631.8273146271354</v>
      </c>
      <c r="AM114" s="16">
        <f t="shared" si="23"/>
        <v>-2.3454359282193415E-4</v>
      </c>
      <c r="AN114" s="58">
        <f t="shared" si="23"/>
        <v>-2.3454359282193415E-4</v>
      </c>
      <c r="AP114" s="56">
        <f t="shared" si="17"/>
        <v>1</v>
      </c>
      <c r="AQ114" s="56">
        <f t="shared" si="18"/>
        <v>0</v>
      </c>
    </row>
    <row r="115" spans="1:43" x14ac:dyDescent="0.2">
      <c r="A115" s="156" t="s">
        <v>275</v>
      </c>
      <c r="B115" s="156" t="s">
        <v>276</v>
      </c>
      <c r="D115" s="68">
        <f>VLOOKUP(A115,'2017-18 disagg'!A115:AZ323,43,FALSE)</f>
        <v>181192</v>
      </c>
      <c r="E115" s="73">
        <v>1439.6323583057308</v>
      </c>
      <c r="F115" s="55"/>
      <c r="G115" s="88">
        <v>184480.97084110885</v>
      </c>
      <c r="H115" s="81">
        <v>1455.6689463408916</v>
      </c>
      <c r="I115" s="90"/>
      <c r="J115" s="103">
        <f t="shared" si="19"/>
        <v>-1.7828239010849511E-2</v>
      </c>
      <c r="K115" s="126">
        <f t="shared" si="19"/>
        <v>-1.1016645010853532E-2</v>
      </c>
      <c r="L115" s="56">
        <v>185343</v>
      </c>
      <c r="M115" s="103">
        <v>1.903839228388593E-2</v>
      </c>
      <c r="N115" s="97">
        <f>INDEX('Pace of change parameters'!$E$22:$I$22,1,$B$5)</f>
        <v>1.2019795091496865E-2</v>
      </c>
      <c r="O115" s="108">
        <f>MAX(IF(INDEX('Pace of change parameters'!$E$30:$I$30,1,$B$5)=1,(1+M115)*D115,D115),L115)</f>
        <v>185343</v>
      </c>
      <c r="P115" s="94">
        <f>IF(K115&lt;INDEX('Pace of change parameters'!$E$18:$I$18,1,$B$5),1,IF(K115&gt;INDEX('Pace of change parameters'!$E$19:$I$19,1,$B$5),0,(K115-INDEX('Pace of change parameters'!$E$19:$I$19,1,$B$5))/(INDEX('Pace of change parameters'!$E$18:$I$18,1,$B$5)-INDEX('Pace of change parameters'!$E$19:$I$19,1,$B$5))))</f>
        <v>0.43619918100039007</v>
      </c>
      <c r="Q115" s="57">
        <v>2.473961403263103E-2</v>
      </c>
      <c r="R115" s="57">
        <v>1.7681749841803152E-2</v>
      </c>
      <c r="S115" s="9">
        <f>MAX(IF(INDEX('Pace of change parameters'!$E$31:$I$31,1,$B$5)=1,D115*(1+Q115),D115),L115)</f>
        <v>185674.62014580049</v>
      </c>
      <c r="T115" s="103">
        <f>IF(Q115&lt;INDEX('Pace of change parameters'!$E$24:$I$24,1,$B$5),INDEX('Pace of change parameters'!$E$24:$I$24,1,$B$5),Q115)</f>
        <v>2.473961403263103E-2</v>
      </c>
      <c r="U115" s="132">
        <v>1.7681749841803152E-2</v>
      </c>
      <c r="V115" s="117">
        <f t="shared" si="20"/>
        <v>185674.62014580049</v>
      </c>
      <c r="W115" s="131">
        <f>IF(J115&gt;INDEX('Pace of change parameters'!$E$26:$I$26,1,$B$5),0,IF(J115&lt;INDEX('Pace of change parameters'!$E$25:$I$25,1,$B$5),1,(J115-INDEX('Pace of change parameters'!$E$26:$I$26,1,$B$5))/(INDEX('Pace of change parameters'!$E$25:$I$25,1,$B$5)-INDEX('Pace of change parameters'!$E$26:$I$26,1,$B$5))))</f>
        <v>1</v>
      </c>
      <c r="X115" s="132">
        <f>MIN(T115, T115+(INDEX('Pace of change parameters'!$E$27:$I$27,1,$B$5)-T115)*(1-W115))</f>
        <v>2.473961403263103E-2</v>
      </c>
      <c r="Y115" s="132">
        <v>1.7681749841803152E-2</v>
      </c>
      <c r="Z115" s="108">
        <f t="shared" si="21"/>
        <v>185674.62014580049</v>
      </c>
      <c r="AA115" s="97">
        <f>MIN(VLOOKUP(A115,'2017-18 disagg'!$A$12:$BC$220,54,FALSE),-2.5%)</f>
        <v>-2.5000000000000001E-2</v>
      </c>
      <c r="AB115" s="99">
        <f t="shared" si="13"/>
        <v>184391.09906996015</v>
      </c>
      <c r="AC115" s="99">
        <f>MAX(IF(INDEX('Pace of change parameters'!$E$29:$I$29,1,$B$5)=1,MAX(AB115,Z115),Z115),L115)</f>
        <v>185674.62014580049</v>
      </c>
      <c r="AD115" s="97">
        <f t="shared" si="14"/>
        <v>2.473961403263103E-2</v>
      </c>
      <c r="AE115" s="146">
        <v>1.7681749841803152E-2</v>
      </c>
      <c r="AF115" s="56">
        <f t="shared" si="22"/>
        <v>185674.62014580049</v>
      </c>
      <c r="AG115" s="56">
        <v>1465.0875775294578</v>
      </c>
      <c r="AH115" s="16">
        <f t="shared" si="15"/>
        <v>2.473961403263103E-2</v>
      </c>
      <c r="AI115" s="16">
        <f t="shared" si="16"/>
        <v>1.7681749841803152E-2</v>
      </c>
      <c r="AJ115" s="56"/>
      <c r="AK115" s="56">
        <v>189119.0759691899</v>
      </c>
      <c r="AL115" s="56">
        <v>1492.2664640904434</v>
      </c>
      <c r="AM115" s="16">
        <f t="shared" si="23"/>
        <v>-1.821315912071475E-2</v>
      </c>
      <c r="AN115" s="58">
        <f t="shared" si="23"/>
        <v>-1.821315912071475E-2</v>
      </c>
      <c r="AP115" s="56">
        <f t="shared" si="17"/>
        <v>0</v>
      </c>
      <c r="AQ115" s="56">
        <f t="shared" si="18"/>
        <v>0</v>
      </c>
    </row>
    <row r="116" spans="1:43" x14ac:dyDescent="0.2">
      <c r="A116" s="156" t="s">
        <v>277</v>
      </c>
      <c r="B116" s="156" t="s">
        <v>278</v>
      </c>
      <c r="D116" s="68">
        <f>VLOOKUP(A116,'2017-18 disagg'!A116:AZ324,43,FALSE)</f>
        <v>254794</v>
      </c>
      <c r="E116" s="73">
        <v>1534.6283738770708</v>
      </c>
      <c r="F116" s="55"/>
      <c r="G116" s="88">
        <v>259937.31532759406</v>
      </c>
      <c r="H116" s="81">
        <v>1551.7402832009589</v>
      </c>
      <c r="I116" s="90"/>
      <c r="J116" s="103">
        <f t="shared" si="19"/>
        <v>-1.9786752514205364E-2</v>
      </c>
      <c r="K116" s="126">
        <f t="shared" si="19"/>
        <v>-1.1027560158836214E-2</v>
      </c>
      <c r="L116" s="56">
        <v>260608</v>
      </c>
      <c r="M116" s="103">
        <v>2.1063210976137059E-2</v>
      </c>
      <c r="N116" s="97">
        <f>INDEX('Pace of change parameters'!$E$22:$I$22,1,$B$5)</f>
        <v>1.2019795091496865E-2</v>
      </c>
      <c r="O116" s="108">
        <f>MAX(IF(INDEX('Pace of change parameters'!$E$30:$I$30,1,$B$5)=1,(1+M116)*D116,D116),L116)</f>
        <v>260608</v>
      </c>
      <c r="P116" s="94">
        <f>IF(K116&lt;INDEX('Pace of change parameters'!$E$18:$I$18,1,$B$5),1,IF(K116&gt;INDEX('Pace of change parameters'!$E$19:$I$19,1,$B$5),0,(K116-INDEX('Pace of change parameters'!$E$19:$I$19,1,$B$5))/(INDEX('Pace of change parameters'!$E$18:$I$18,1,$B$5)-INDEX('Pace of change parameters'!$E$19:$I$19,1,$B$5))))</f>
        <v>0.43643602375509627</v>
      </c>
      <c r="Q116" s="57">
        <v>2.6778862732393716E-2</v>
      </c>
      <c r="R116" s="57">
        <v>1.7684824109290398E-2</v>
      </c>
      <c r="S116" s="9">
        <f>MAX(IF(INDEX('Pace of change parameters'!$E$31:$I$31,1,$B$5)=1,D116*(1+Q116),D116),L116)</f>
        <v>261617.09355103751</v>
      </c>
      <c r="T116" s="103">
        <f>IF(Q116&lt;INDEX('Pace of change parameters'!$E$24:$I$24,1,$B$5),INDEX('Pace of change parameters'!$E$24:$I$24,1,$B$5),Q116)</f>
        <v>2.6778862732393716E-2</v>
      </c>
      <c r="U116" s="132">
        <v>1.7684824109290398E-2</v>
      </c>
      <c r="V116" s="117">
        <f t="shared" si="20"/>
        <v>261617.09355103751</v>
      </c>
      <c r="W116" s="131">
        <f>IF(J116&gt;INDEX('Pace of change parameters'!$E$26:$I$26,1,$B$5),0,IF(J116&lt;INDEX('Pace of change parameters'!$E$25:$I$25,1,$B$5),1,(J116-INDEX('Pace of change parameters'!$E$26:$I$26,1,$B$5))/(INDEX('Pace of change parameters'!$E$25:$I$25,1,$B$5)-INDEX('Pace of change parameters'!$E$26:$I$26,1,$B$5))))</f>
        <v>1</v>
      </c>
      <c r="X116" s="132">
        <f>MIN(T116, T116+(INDEX('Pace of change parameters'!$E$27:$I$27,1,$B$5)-T116)*(1-W116))</f>
        <v>2.6778862732393716E-2</v>
      </c>
      <c r="Y116" s="132">
        <v>1.7684824109290398E-2</v>
      </c>
      <c r="Z116" s="108">
        <f t="shared" si="21"/>
        <v>261617.09355103751</v>
      </c>
      <c r="AA116" s="97">
        <f>MIN(VLOOKUP(A116,'2017-18 disagg'!$A$12:$BC$220,54,FALSE),-2.5%)</f>
        <v>-2.5000000000000001E-2</v>
      </c>
      <c r="AB116" s="99">
        <f t="shared" si="13"/>
        <v>259748.94992369006</v>
      </c>
      <c r="AC116" s="99">
        <f>MAX(IF(INDEX('Pace of change parameters'!$E$29:$I$29,1,$B$5)=1,MAX(AB116,Z116),Z116),L116)</f>
        <v>261617.09355103751</v>
      </c>
      <c r="AD116" s="97">
        <f t="shared" si="14"/>
        <v>2.6778862732393716E-2</v>
      </c>
      <c r="AE116" s="146">
        <v>1.7684824109290398E-2</v>
      </c>
      <c r="AF116" s="56">
        <f t="shared" si="22"/>
        <v>261617.09355103751</v>
      </c>
      <c r="AG116" s="56">
        <v>1561.7680067422132</v>
      </c>
      <c r="AH116" s="16">
        <f t="shared" si="15"/>
        <v>2.6778862732393716E-2</v>
      </c>
      <c r="AI116" s="16">
        <f t="shared" si="16"/>
        <v>1.7684824109290398E-2</v>
      </c>
      <c r="AJ116" s="56"/>
      <c r="AK116" s="56">
        <v>266409.1794089129</v>
      </c>
      <c r="AL116" s="56">
        <v>1590.3751832718749</v>
      </c>
      <c r="AM116" s="16">
        <f t="shared" si="23"/>
        <v>-1.7987690471130469E-2</v>
      </c>
      <c r="AN116" s="58">
        <f t="shared" si="23"/>
        <v>-1.7987690471130358E-2</v>
      </c>
      <c r="AP116" s="56">
        <f t="shared" si="17"/>
        <v>0</v>
      </c>
      <c r="AQ116" s="56">
        <f t="shared" si="18"/>
        <v>0</v>
      </c>
    </row>
    <row r="117" spans="1:43" x14ac:dyDescent="0.2">
      <c r="A117" s="156" t="s">
        <v>279</v>
      </c>
      <c r="B117" s="156" t="s">
        <v>280</v>
      </c>
      <c r="D117" s="68">
        <f>VLOOKUP(A117,'2017-18 disagg'!A117:AZ325,43,FALSE)</f>
        <v>207269</v>
      </c>
      <c r="E117" s="73">
        <v>1543.7858339949491</v>
      </c>
      <c r="F117" s="55"/>
      <c r="G117" s="88">
        <v>206815.30876173501</v>
      </c>
      <c r="H117" s="81">
        <v>1529.309301350906</v>
      </c>
      <c r="I117" s="90"/>
      <c r="J117" s="103">
        <f t="shared" si="19"/>
        <v>2.1937023955400647E-3</v>
      </c>
      <c r="K117" s="126">
        <f t="shared" si="19"/>
        <v>9.466059371544544E-3</v>
      </c>
      <c r="L117" s="56">
        <v>211904</v>
      </c>
      <c r="M117" s="103">
        <v>1.9363454504937927E-2</v>
      </c>
      <c r="N117" s="97">
        <f>INDEX('Pace of change parameters'!$E$22:$I$22,1,$B$5)</f>
        <v>1.2019795091496865E-2</v>
      </c>
      <c r="O117" s="108">
        <f>MAX(IF(INDEX('Pace of change parameters'!$E$30:$I$30,1,$B$5)=1,(1+M117)*D117,D117),L117)</f>
        <v>211904</v>
      </c>
      <c r="P117" s="94">
        <f>IF(K117&lt;INDEX('Pace of change parameters'!$E$18:$I$18,1,$B$5),1,IF(K117&gt;INDEX('Pace of change parameters'!$E$19:$I$19,1,$B$5),0,(K117-INDEX('Pace of change parameters'!$E$19:$I$19,1,$B$5))/(INDEX('Pace of change parameters'!$E$18:$I$18,1,$B$5)-INDEX('Pace of change parameters'!$E$19:$I$19,1,$B$5))))</f>
        <v>0</v>
      </c>
      <c r="Q117" s="57">
        <v>1.9363454504937927E-2</v>
      </c>
      <c r="R117" s="57">
        <v>1.2019795091496865E-2</v>
      </c>
      <c r="S117" s="9">
        <f>MAX(IF(INDEX('Pace of change parameters'!$E$31:$I$31,1,$B$5)=1,D117*(1+Q117),D117),L117)</f>
        <v>211904</v>
      </c>
      <c r="T117" s="103">
        <f>IF(Q117&lt;INDEX('Pace of change parameters'!$E$24:$I$24,1,$B$5),INDEX('Pace of change parameters'!$E$24:$I$24,1,$B$5),Q117)</f>
        <v>1.9732353921844841E-2</v>
      </c>
      <c r="U117" s="132">
        <v>1.2386036897260588E-2</v>
      </c>
      <c r="V117" s="117">
        <f t="shared" si="20"/>
        <v>211904</v>
      </c>
      <c r="W117" s="131">
        <f>IF(J117&gt;INDEX('Pace of change parameters'!$E$26:$I$26,1,$B$5),0,IF(J117&lt;INDEX('Pace of change parameters'!$E$25:$I$25,1,$B$5),1,(J117-INDEX('Pace of change parameters'!$E$26:$I$26,1,$B$5))/(INDEX('Pace of change parameters'!$E$25:$I$25,1,$B$5)-INDEX('Pace of change parameters'!$E$26:$I$26,1,$B$5))))</f>
        <v>1</v>
      </c>
      <c r="X117" s="132">
        <f>MIN(T117, T117+(INDEX('Pace of change parameters'!$E$27:$I$27,1,$B$5)-T117)*(1-W117))</f>
        <v>1.9732353921844841E-2</v>
      </c>
      <c r="Y117" s="132">
        <v>1.2386036897260588E-2</v>
      </c>
      <c r="Z117" s="108">
        <f t="shared" si="21"/>
        <v>211904</v>
      </c>
      <c r="AA117" s="97">
        <f>MIN(VLOOKUP(A117,'2017-18 disagg'!$A$12:$BC$220,54,FALSE),-2.5%)</f>
        <v>-2.5000000000000001E-2</v>
      </c>
      <c r="AB117" s="99">
        <f t="shared" si="13"/>
        <v>206756.26281392007</v>
      </c>
      <c r="AC117" s="99">
        <f>MAX(IF(INDEX('Pace of change parameters'!$E$29:$I$29,1,$B$5)=1,MAX(AB117,Z117),Z117),L117)</f>
        <v>211904</v>
      </c>
      <c r="AD117" s="97">
        <f t="shared" si="14"/>
        <v>2.2362244233339323E-2</v>
      </c>
      <c r="AE117" s="146">
        <v>1.499698105303704E-2</v>
      </c>
      <c r="AF117" s="56">
        <f t="shared" si="22"/>
        <v>211904</v>
      </c>
      <c r="AG117" s="56">
        <v>1566.9379608973184</v>
      </c>
      <c r="AH117" s="16">
        <f t="shared" si="15"/>
        <v>2.2362244233339323E-2</v>
      </c>
      <c r="AI117" s="16">
        <f t="shared" si="16"/>
        <v>1.499698105303704E-2</v>
      </c>
      <c r="AJ117" s="56"/>
      <c r="AK117" s="56">
        <v>212057.70545017443</v>
      </c>
      <c r="AL117" s="56">
        <v>1568.0745458823828</v>
      </c>
      <c r="AM117" s="16">
        <f t="shared" si="23"/>
        <v>-7.248284133233307E-4</v>
      </c>
      <c r="AN117" s="58">
        <f t="shared" si="23"/>
        <v>-7.2482841332321968E-4</v>
      </c>
      <c r="AP117" s="56">
        <f t="shared" si="17"/>
        <v>1</v>
      </c>
      <c r="AQ117" s="56">
        <f t="shared" si="18"/>
        <v>0</v>
      </c>
    </row>
    <row r="118" spans="1:43" x14ac:dyDescent="0.2">
      <c r="A118" s="156" t="s">
        <v>281</v>
      </c>
      <c r="B118" s="156" t="s">
        <v>282</v>
      </c>
      <c r="D118" s="68">
        <f>VLOOKUP(A118,'2017-18 disagg'!A118:AZ326,43,FALSE)</f>
        <v>861993</v>
      </c>
      <c r="E118" s="73">
        <v>1562.8174975041088</v>
      </c>
      <c r="F118" s="55"/>
      <c r="G118" s="88">
        <v>870420.92984906933</v>
      </c>
      <c r="H118" s="81">
        <v>1567.2584810169144</v>
      </c>
      <c r="I118" s="90"/>
      <c r="J118" s="103">
        <f t="shared" si="19"/>
        <v>-9.6825909856403936E-3</v>
      </c>
      <c r="K118" s="126">
        <f t="shared" si="19"/>
        <v>-2.8335999240687304E-3</v>
      </c>
      <c r="L118" s="56">
        <v>881908</v>
      </c>
      <c r="M118" s="103">
        <v>1.901887888788667E-2</v>
      </c>
      <c r="N118" s="97">
        <f>INDEX('Pace of change parameters'!$E$22:$I$22,1,$B$5)</f>
        <v>1.2019795091496865E-2</v>
      </c>
      <c r="O118" s="108">
        <f>MAX(IF(INDEX('Pace of change parameters'!$E$30:$I$30,1,$B$5)=1,(1+M118)*D118,D118),L118)</f>
        <v>881908</v>
      </c>
      <c r="P118" s="94">
        <f>IF(K118&lt;INDEX('Pace of change parameters'!$E$18:$I$18,1,$B$5),1,IF(K118&gt;INDEX('Pace of change parameters'!$E$19:$I$19,1,$B$5),0,(K118-INDEX('Pace of change parameters'!$E$19:$I$19,1,$B$5))/(INDEX('Pace of change parameters'!$E$18:$I$18,1,$B$5)-INDEX('Pace of change parameters'!$E$19:$I$19,1,$B$5))))</f>
        <v>0.25863906515826113</v>
      </c>
      <c r="Q118" s="57">
        <v>2.2399285113996692E-2</v>
      </c>
      <c r="R118" s="57">
        <v>1.5376983154594681E-2</v>
      </c>
      <c r="S118" s="9">
        <f>MAX(IF(INDEX('Pace of change parameters'!$E$31:$I$31,1,$B$5)=1,D118*(1+Q118),D118),L118)</f>
        <v>881908</v>
      </c>
      <c r="T118" s="103">
        <f>IF(Q118&lt;INDEX('Pace of change parameters'!$E$24:$I$24,1,$B$5),INDEX('Pace of change parameters'!$E$24:$I$24,1,$B$5),Q118)</f>
        <v>2.2399285113996692E-2</v>
      </c>
      <c r="U118" s="132">
        <v>1.5376983154594681E-2</v>
      </c>
      <c r="V118" s="117">
        <f t="shared" si="20"/>
        <v>881908</v>
      </c>
      <c r="W118" s="131">
        <f>IF(J118&gt;INDEX('Pace of change parameters'!$E$26:$I$26,1,$B$5),0,IF(J118&lt;INDEX('Pace of change parameters'!$E$25:$I$25,1,$B$5),1,(J118-INDEX('Pace of change parameters'!$E$26:$I$26,1,$B$5))/(INDEX('Pace of change parameters'!$E$25:$I$25,1,$B$5)-INDEX('Pace of change parameters'!$E$26:$I$26,1,$B$5))))</f>
        <v>1</v>
      </c>
      <c r="X118" s="132">
        <f>MIN(T118, T118+(INDEX('Pace of change parameters'!$E$27:$I$27,1,$B$5)-T118)*(1-W118))</f>
        <v>2.2399285113996692E-2</v>
      </c>
      <c r="Y118" s="132">
        <v>1.5376983154594681E-2</v>
      </c>
      <c r="Z118" s="108">
        <f t="shared" si="21"/>
        <v>881908</v>
      </c>
      <c r="AA118" s="97">
        <f>MIN(VLOOKUP(A118,'2017-18 disagg'!$A$12:$BC$220,54,FALSE),-2.5%)</f>
        <v>-2.5000000000000001E-2</v>
      </c>
      <c r="AB118" s="99">
        <f t="shared" si="13"/>
        <v>869845.62225517386</v>
      </c>
      <c r="AC118" s="99">
        <f>MAX(IF(INDEX('Pace of change parameters'!$E$29:$I$29,1,$B$5)=1,MAX(AB118,Z118),Z118),L118)</f>
        <v>881908</v>
      </c>
      <c r="AD118" s="97">
        <f t="shared" si="14"/>
        <v>2.3103435874769263E-2</v>
      </c>
      <c r="AE118" s="146">
        <v>1.6076297488602176E-2</v>
      </c>
      <c r="AF118" s="56">
        <f t="shared" si="22"/>
        <v>881908</v>
      </c>
      <c r="AG118" s="56">
        <v>1587.9418165143777</v>
      </c>
      <c r="AH118" s="16">
        <f t="shared" si="15"/>
        <v>2.3103435874769263E-2</v>
      </c>
      <c r="AI118" s="16">
        <f t="shared" si="16"/>
        <v>1.6076297488602176E-2</v>
      </c>
      <c r="AJ118" s="56"/>
      <c r="AK118" s="56">
        <v>892149.3561591527</v>
      </c>
      <c r="AL118" s="56">
        <v>1606.382150089916</v>
      </c>
      <c r="AM118" s="16">
        <f t="shared" si="23"/>
        <v>-1.1479418875829706E-2</v>
      </c>
      <c r="AN118" s="58">
        <f t="shared" si="23"/>
        <v>-1.1479418875829817E-2</v>
      </c>
      <c r="AP118" s="56">
        <f t="shared" si="17"/>
        <v>1</v>
      </c>
      <c r="AQ118" s="56">
        <f t="shared" si="18"/>
        <v>0</v>
      </c>
    </row>
    <row r="119" spans="1:43" x14ac:dyDescent="0.2">
      <c r="A119" s="156" t="s">
        <v>283</v>
      </c>
      <c r="B119" s="156" t="s">
        <v>284</v>
      </c>
      <c r="D119" s="68">
        <f>VLOOKUP(A119,'2017-18 disagg'!A119:AZ327,43,FALSE)</f>
        <v>545559</v>
      </c>
      <c r="E119" s="73">
        <v>1421.5381839267411</v>
      </c>
      <c r="F119" s="55"/>
      <c r="G119" s="88">
        <v>554421.04177293961</v>
      </c>
      <c r="H119" s="81">
        <v>1434.9200356853562</v>
      </c>
      <c r="I119" s="90"/>
      <c r="J119" s="103">
        <f t="shared" si="19"/>
        <v>-1.5984317161917949E-2</v>
      </c>
      <c r="K119" s="126">
        <f t="shared" si="19"/>
        <v>-9.3258519121753869E-3</v>
      </c>
      <c r="L119" s="56">
        <v>558274</v>
      </c>
      <c r="M119" s="103">
        <v>1.8867753671011567E-2</v>
      </c>
      <c r="N119" s="97">
        <f>INDEX('Pace of change parameters'!$E$22:$I$22,1,$B$5)</f>
        <v>1.2019795091496865E-2</v>
      </c>
      <c r="O119" s="108">
        <f>MAX(IF(INDEX('Pace of change parameters'!$E$30:$I$30,1,$B$5)=1,(1+M119)*D119,D119),L119)</f>
        <v>558274</v>
      </c>
      <c r="P119" s="94">
        <f>IF(K119&lt;INDEX('Pace of change parameters'!$E$18:$I$18,1,$B$5),1,IF(K119&gt;INDEX('Pace of change parameters'!$E$19:$I$19,1,$B$5),0,(K119-INDEX('Pace of change parameters'!$E$19:$I$19,1,$B$5))/(INDEX('Pace of change parameters'!$E$18:$I$18,1,$B$5)-INDEX('Pace of change parameters'!$E$19:$I$19,1,$B$5))))</f>
        <v>0.39951144247733106</v>
      </c>
      <c r="Q119" s="57">
        <v>2.4088584018887138E-2</v>
      </c>
      <c r="R119" s="57">
        <v>1.7205535478144185E-2</v>
      </c>
      <c r="S119" s="9">
        <f>MAX(IF(INDEX('Pace of change parameters'!$E$31:$I$31,1,$B$5)=1,D119*(1+Q119),D119),L119)</f>
        <v>558700.74380876007</v>
      </c>
      <c r="T119" s="103">
        <f>IF(Q119&lt;INDEX('Pace of change parameters'!$E$24:$I$24,1,$B$5),INDEX('Pace of change parameters'!$E$24:$I$24,1,$B$5),Q119)</f>
        <v>2.4088584018887138E-2</v>
      </c>
      <c r="U119" s="132">
        <v>1.7205535478144185E-2</v>
      </c>
      <c r="V119" s="117">
        <f t="shared" si="20"/>
        <v>558700.74380876007</v>
      </c>
      <c r="W119" s="131">
        <f>IF(J119&gt;INDEX('Pace of change parameters'!$E$26:$I$26,1,$B$5),0,IF(J119&lt;INDEX('Pace of change parameters'!$E$25:$I$25,1,$B$5),1,(J119-INDEX('Pace of change parameters'!$E$26:$I$26,1,$B$5))/(INDEX('Pace of change parameters'!$E$25:$I$25,1,$B$5)-INDEX('Pace of change parameters'!$E$26:$I$26,1,$B$5))))</f>
        <v>1</v>
      </c>
      <c r="X119" s="132">
        <f>MIN(T119, T119+(INDEX('Pace of change parameters'!$E$27:$I$27,1,$B$5)-T119)*(1-W119))</f>
        <v>2.4088584018887138E-2</v>
      </c>
      <c r="Y119" s="132">
        <v>1.7205535478144185E-2</v>
      </c>
      <c r="Z119" s="108">
        <f t="shared" si="21"/>
        <v>558700.74380876007</v>
      </c>
      <c r="AA119" s="97">
        <f>MIN(VLOOKUP(A119,'2017-18 disagg'!$A$12:$BC$220,54,FALSE),-2.5%)</f>
        <v>-2.5000000000000001E-2</v>
      </c>
      <c r="AB119" s="99">
        <f t="shared" si="13"/>
        <v>554188.85879428755</v>
      </c>
      <c r="AC119" s="99">
        <f>MAX(IF(INDEX('Pace of change parameters'!$E$29:$I$29,1,$B$5)=1,MAX(AB119,Z119),Z119),L119)</f>
        <v>558700.74380876007</v>
      </c>
      <c r="AD119" s="97">
        <f t="shared" si="14"/>
        <v>2.4088584018887138E-2</v>
      </c>
      <c r="AE119" s="146">
        <v>1.7205535478144185E-2</v>
      </c>
      <c r="AF119" s="56">
        <f t="shared" si="22"/>
        <v>558700.74380876007</v>
      </c>
      <c r="AG119" s="56">
        <v>1445.9965095838293</v>
      </c>
      <c r="AH119" s="16">
        <f t="shared" si="15"/>
        <v>2.4088584018887138E-2</v>
      </c>
      <c r="AI119" s="16">
        <f t="shared" si="16"/>
        <v>1.7205535478144185E-2</v>
      </c>
      <c r="AJ119" s="56"/>
      <c r="AK119" s="56">
        <v>568398.82953260257</v>
      </c>
      <c r="AL119" s="56">
        <v>1471.0965264743047</v>
      </c>
      <c r="AM119" s="16">
        <f t="shared" si="23"/>
        <v>-1.7062114170462439E-2</v>
      </c>
      <c r="AN119" s="58">
        <f t="shared" si="23"/>
        <v>-1.706211417046255E-2</v>
      </c>
      <c r="AP119" s="56">
        <f t="shared" si="17"/>
        <v>0</v>
      </c>
      <c r="AQ119" s="56">
        <f t="shared" si="18"/>
        <v>0</v>
      </c>
    </row>
    <row r="120" spans="1:43" x14ac:dyDescent="0.2">
      <c r="A120" s="156" t="s">
        <v>285</v>
      </c>
      <c r="B120" s="156" t="s">
        <v>286</v>
      </c>
      <c r="D120" s="68">
        <f>VLOOKUP(A120,'2017-18 disagg'!A120:AZ328,43,FALSE)</f>
        <v>434932</v>
      </c>
      <c r="E120" s="73">
        <v>1569.851081658622</v>
      </c>
      <c r="F120" s="55"/>
      <c r="G120" s="88">
        <v>446982.97093067656</v>
      </c>
      <c r="H120" s="81">
        <v>1602.0765680057282</v>
      </c>
      <c r="I120" s="90"/>
      <c r="J120" s="103">
        <f t="shared" si="19"/>
        <v>-2.6960693615653564E-2</v>
      </c>
      <c r="K120" s="126">
        <f t="shared" si="19"/>
        <v>-2.0114822843467883E-2</v>
      </c>
      <c r="L120" s="56">
        <v>445531</v>
      </c>
      <c r="M120" s="103">
        <v>1.9139915204459568E-2</v>
      </c>
      <c r="N120" s="97">
        <f>INDEX('Pace of change parameters'!$E$22:$I$22,1,$B$5)</f>
        <v>1.2019795091496865E-2</v>
      </c>
      <c r="O120" s="108">
        <f>MAX(IF(INDEX('Pace of change parameters'!$E$30:$I$30,1,$B$5)=1,(1+M120)*D120,D120),L120)</f>
        <v>445531</v>
      </c>
      <c r="P120" s="94">
        <f>IF(K120&lt;INDEX('Pace of change parameters'!$E$18:$I$18,1,$B$5),1,IF(K120&gt;INDEX('Pace of change parameters'!$E$19:$I$19,1,$B$5),0,(K120-INDEX('Pace of change parameters'!$E$19:$I$19,1,$B$5))/(INDEX('Pace of change parameters'!$E$18:$I$18,1,$B$5)-INDEX('Pace of change parameters'!$E$19:$I$19,1,$B$5))))</f>
        <v>0.63361633962269814</v>
      </c>
      <c r="Q120" s="57">
        <v>2.7422248829982232E-2</v>
      </c>
      <c r="R120" s="57">
        <v>2.0244265013175111E-2</v>
      </c>
      <c r="S120" s="9">
        <f>MAX(IF(INDEX('Pace of change parameters'!$E$31:$I$31,1,$B$5)=1,D120*(1+Q120),D120),L120)</f>
        <v>446858.81352812186</v>
      </c>
      <c r="T120" s="103">
        <f>IF(Q120&lt;INDEX('Pace of change parameters'!$E$24:$I$24,1,$B$5),INDEX('Pace of change parameters'!$E$24:$I$24,1,$B$5),Q120)</f>
        <v>2.7422248829982232E-2</v>
      </c>
      <c r="U120" s="132">
        <v>2.0244265013175111E-2</v>
      </c>
      <c r="V120" s="117">
        <f t="shared" si="20"/>
        <v>446858.81352812186</v>
      </c>
      <c r="W120" s="131">
        <f>IF(J120&gt;INDEX('Pace of change parameters'!$E$26:$I$26,1,$B$5),0,IF(J120&lt;INDEX('Pace of change parameters'!$E$25:$I$25,1,$B$5),1,(J120-INDEX('Pace of change parameters'!$E$26:$I$26,1,$B$5))/(INDEX('Pace of change parameters'!$E$25:$I$25,1,$B$5)-INDEX('Pace of change parameters'!$E$26:$I$26,1,$B$5))))</f>
        <v>1</v>
      </c>
      <c r="X120" s="132">
        <f>MIN(T120, T120+(INDEX('Pace of change parameters'!$E$27:$I$27,1,$B$5)-T120)*(1-W120))</f>
        <v>2.7422248829982232E-2</v>
      </c>
      <c r="Y120" s="132">
        <v>2.0244265013175111E-2</v>
      </c>
      <c r="Z120" s="108">
        <f t="shared" si="21"/>
        <v>446858.81352812186</v>
      </c>
      <c r="AA120" s="97">
        <f>MIN(VLOOKUP(A120,'2017-18 disagg'!$A$12:$BC$220,54,FALSE),-2.5%)</f>
        <v>-2.7025108875339154E-2</v>
      </c>
      <c r="AB120" s="99">
        <f t="shared" si="13"/>
        <v>445971.16250761272</v>
      </c>
      <c r="AC120" s="99">
        <f>MAX(IF(INDEX('Pace of change parameters'!$E$29:$I$29,1,$B$5)=1,MAX(AB120,Z120),Z120),L120)</f>
        <v>446858.81352812186</v>
      </c>
      <c r="AD120" s="97">
        <f t="shared" si="14"/>
        <v>2.7422248829982232E-2</v>
      </c>
      <c r="AE120" s="146">
        <v>2.0244265013175111E-2</v>
      </c>
      <c r="AF120" s="56">
        <f t="shared" si="22"/>
        <v>446858.81352812186</v>
      </c>
      <c r="AG120" s="56">
        <v>1601.6315629869389</v>
      </c>
      <c r="AH120" s="16">
        <f t="shared" si="15"/>
        <v>2.7422248829982232E-2</v>
      </c>
      <c r="AI120" s="16">
        <f t="shared" si="16"/>
        <v>2.0244265013175111E-2</v>
      </c>
      <c r="AJ120" s="56"/>
      <c r="AK120" s="56">
        <v>458358.3467319645</v>
      </c>
      <c r="AL120" s="56">
        <v>1642.8481951340671</v>
      </c>
      <c r="AM120" s="16">
        <f t="shared" si="23"/>
        <v>-2.5088521428338395E-2</v>
      </c>
      <c r="AN120" s="58">
        <f t="shared" si="23"/>
        <v>-2.5088521428338395E-2</v>
      </c>
      <c r="AP120" s="56">
        <f t="shared" si="17"/>
        <v>0</v>
      </c>
      <c r="AQ120" s="56">
        <f t="shared" si="18"/>
        <v>0</v>
      </c>
    </row>
    <row r="121" spans="1:43" x14ac:dyDescent="0.2">
      <c r="A121" s="156" t="s">
        <v>287</v>
      </c>
      <c r="B121" s="156" t="s">
        <v>288</v>
      </c>
      <c r="D121" s="68">
        <f>VLOOKUP(A121,'2017-18 disagg'!A121:AZ329,43,FALSE)</f>
        <v>707995</v>
      </c>
      <c r="E121" s="73">
        <v>1493.6487207860403</v>
      </c>
      <c r="F121" s="55"/>
      <c r="G121" s="88">
        <v>743722.11012388952</v>
      </c>
      <c r="H121" s="81">
        <v>1551.1294553407274</v>
      </c>
      <c r="I121" s="90"/>
      <c r="J121" s="103">
        <f t="shared" si="19"/>
        <v>-4.8038251972820967E-2</v>
      </c>
      <c r="K121" s="126">
        <f t="shared" si="19"/>
        <v>-3.7057341898043439E-2</v>
      </c>
      <c r="L121" s="56">
        <v>727366</v>
      </c>
      <c r="M121" s="103">
        <v>2.3693476714550243E-2</v>
      </c>
      <c r="N121" s="97">
        <f>INDEX('Pace of change parameters'!$E$22:$I$22,1,$B$5)</f>
        <v>1.2019795091496865E-2</v>
      </c>
      <c r="O121" s="108">
        <f>MAX(IF(INDEX('Pace of change parameters'!$E$30:$I$30,1,$B$5)=1,(1+M121)*D121,D121),L121)</f>
        <v>727366</v>
      </c>
      <c r="P121" s="94">
        <f>IF(K121&lt;INDEX('Pace of change parameters'!$E$18:$I$18,1,$B$5),1,IF(K121&gt;INDEX('Pace of change parameters'!$E$19:$I$19,1,$B$5),0,(K121-INDEX('Pace of change parameters'!$E$19:$I$19,1,$B$5))/(INDEX('Pace of change parameters'!$E$18:$I$18,1,$B$5)-INDEX('Pace of change parameters'!$E$19:$I$19,1,$B$5))))</f>
        <v>1</v>
      </c>
      <c r="Q121" s="57">
        <v>3.6823408713609007E-2</v>
      </c>
      <c r="R121" s="57">
        <v>2.4999999999999911E-2</v>
      </c>
      <c r="S121" s="9">
        <f>MAX(IF(INDEX('Pace of change parameters'!$E$31:$I$31,1,$B$5)=1,D121*(1+Q121),D121),L121)</f>
        <v>734065.78925219167</v>
      </c>
      <c r="T121" s="103">
        <f>IF(Q121&lt;INDEX('Pace of change parameters'!$E$24:$I$24,1,$B$5),INDEX('Pace of change parameters'!$E$24:$I$24,1,$B$5),Q121)</f>
        <v>3.6823408713609007E-2</v>
      </c>
      <c r="U121" s="132">
        <v>2.4999999999999911E-2</v>
      </c>
      <c r="V121" s="117">
        <f t="shared" si="20"/>
        <v>734065.78925219167</v>
      </c>
      <c r="W121" s="131">
        <f>IF(J121&gt;INDEX('Pace of change parameters'!$E$26:$I$26,1,$B$5),0,IF(J121&lt;INDEX('Pace of change parameters'!$E$25:$I$25,1,$B$5),1,(J121-INDEX('Pace of change parameters'!$E$26:$I$26,1,$B$5))/(INDEX('Pace of change parameters'!$E$25:$I$25,1,$B$5)-INDEX('Pace of change parameters'!$E$26:$I$26,1,$B$5))))</f>
        <v>1</v>
      </c>
      <c r="X121" s="132">
        <f>MIN(T121, T121+(INDEX('Pace of change parameters'!$E$27:$I$27,1,$B$5)-T121)*(1-W121))</f>
        <v>3.6823408713609007E-2</v>
      </c>
      <c r="Y121" s="132">
        <v>2.4999999999999911E-2</v>
      </c>
      <c r="Z121" s="108">
        <f t="shared" si="21"/>
        <v>734065.78925219167</v>
      </c>
      <c r="AA121" s="97">
        <f>MIN(VLOOKUP(A121,'2017-18 disagg'!$A$12:$BC$220,54,FALSE),-2.5%)</f>
        <v>-4.3848754276557211E-2</v>
      </c>
      <c r="AB121" s="99">
        <f t="shared" si="13"/>
        <v>729242.29620801285</v>
      </c>
      <c r="AC121" s="99">
        <f>MAX(IF(INDEX('Pace of change parameters'!$E$29:$I$29,1,$B$5)=1,MAX(AB121,Z121),Z121),L121)</f>
        <v>734065.78925219167</v>
      </c>
      <c r="AD121" s="97">
        <f t="shared" si="14"/>
        <v>3.6823408713609007E-2</v>
      </c>
      <c r="AE121" s="146">
        <v>2.4999999999999911E-2</v>
      </c>
      <c r="AF121" s="56">
        <f t="shared" si="22"/>
        <v>734065.78925219167</v>
      </c>
      <c r="AG121" s="56">
        <v>1530.9899388056913</v>
      </c>
      <c r="AH121" s="16">
        <f t="shared" si="15"/>
        <v>3.6823408713609007E-2</v>
      </c>
      <c r="AI121" s="16">
        <f t="shared" si="16"/>
        <v>2.4999999999999911E-2</v>
      </c>
      <c r="AJ121" s="56"/>
      <c r="AK121" s="56">
        <v>762685.08718644595</v>
      </c>
      <c r="AL121" s="56">
        <v>1590.679217116375</v>
      </c>
      <c r="AM121" s="16">
        <f t="shared" si="23"/>
        <v>-3.7524396916991276E-2</v>
      </c>
      <c r="AN121" s="58">
        <f t="shared" si="23"/>
        <v>-3.7524396916991165E-2</v>
      </c>
      <c r="AP121" s="56">
        <f t="shared" si="17"/>
        <v>0</v>
      </c>
      <c r="AQ121" s="56">
        <f t="shared" si="18"/>
        <v>0</v>
      </c>
    </row>
    <row r="122" spans="1:43" x14ac:dyDescent="0.2">
      <c r="A122" s="156" t="s">
        <v>289</v>
      </c>
      <c r="B122" s="156" t="s">
        <v>290</v>
      </c>
      <c r="D122" s="68">
        <f>VLOOKUP(A122,'2017-18 disagg'!A122:AZ330,43,FALSE)</f>
        <v>1329026</v>
      </c>
      <c r="E122" s="73">
        <v>1413.296858674403</v>
      </c>
      <c r="F122" s="55"/>
      <c r="G122" s="88">
        <v>1362337.2442766526</v>
      </c>
      <c r="H122" s="81">
        <v>1435.6086364598041</v>
      </c>
      <c r="I122" s="90"/>
      <c r="J122" s="103">
        <f t="shared" si="19"/>
        <v>-2.4451540480594836E-2</v>
      </c>
      <c r="K122" s="126">
        <f t="shared" si="19"/>
        <v>-1.5541685400013772E-2</v>
      </c>
      <c r="L122" s="56">
        <v>1361699</v>
      </c>
      <c r="M122" s="103">
        <v>2.1262749272764836E-2</v>
      </c>
      <c r="N122" s="97">
        <f>INDEX('Pace of change parameters'!$E$22:$I$22,1,$B$5)</f>
        <v>1.2019795091496865E-2</v>
      </c>
      <c r="O122" s="108">
        <f>MAX(IF(INDEX('Pace of change parameters'!$E$30:$I$30,1,$B$5)=1,(1+M122)*D122,D122),L122)</f>
        <v>1361699</v>
      </c>
      <c r="P122" s="94">
        <f>IF(K122&lt;INDEX('Pace of change parameters'!$E$18:$I$18,1,$B$5),1,IF(K122&gt;INDEX('Pace of change parameters'!$E$19:$I$19,1,$B$5),0,(K122-INDEX('Pace of change parameters'!$E$19:$I$19,1,$B$5))/(INDEX('Pace of change parameters'!$E$18:$I$18,1,$B$5)-INDEX('Pace of change parameters'!$E$19:$I$19,1,$B$5))))</f>
        <v>0.53438594242825532</v>
      </c>
      <c r="Q122" s="57">
        <v>2.8262540019254212E-2</v>
      </c>
      <c r="R122" s="57">
        <v>1.8956234124439142E-2</v>
      </c>
      <c r="S122" s="9">
        <f>MAX(IF(INDEX('Pace of change parameters'!$E$31:$I$31,1,$B$5)=1,D122*(1+Q122),D122),L122)</f>
        <v>1366587.6505116294</v>
      </c>
      <c r="T122" s="103">
        <f>IF(Q122&lt;INDEX('Pace of change parameters'!$E$24:$I$24,1,$B$5),INDEX('Pace of change parameters'!$E$24:$I$24,1,$B$5),Q122)</f>
        <v>2.8262540019254212E-2</v>
      </c>
      <c r="U122" s="132">
        <v>1.8956234124439142E-2</v>
      </c>
      <c r="V122" s="117">
        <f t="shared" si="20"/>
        <v>1366587.6505116294</v>
      </c>
      <c r="W122" s="131">
        <f>IF(J122&gt;INDEX('Pace of change parameters'!$E$26:$I$26,1,$B$5),0,IF(J122&lt;INDEX('Pace of change parameters'!$E$25:$I$25,1,$B$5),1,(J122-INDEX('Pace of change parameters'!$E$26:$I$26,1,$B$5))/(INDEX('Pace of change parameters'!$E$25:$I$25,1,$B$5)-INDEX('Pace of change parameters'!$E$26:$I$26,1,$B$5))))</f>
        <v>1</v>
      </c>
      <c r="X122" s="132">
        <f>MIN(T122, T122+(INDEX('Pace of change parameters'!$E$27:$I$27,1,$B$5)-T122)*(1-W122))</f>
        <v>2.8262540019254212E-2</v>
      </c>
      <c r="Y122" s="132">
        <v>1.8956234124439142E-2</v>
      </c>
      <c r="Z122" s="108">
        <f t="shared" si="21"/>
        <v>1366587.6505116294</v>
      </c>
      <c r="AA122" s="97">
        <f>MIN(VLOOKUP(A122,'2017-18 disagg'!$A$12:$BC$220,54,FALSE),-2.5%)</f>
        <v>-2.5000000000000001E-2</v>
      </c>
      <c r="AB122" s="99">
        <f t="shared" si="13"/>
        <v>1362186.2533596433</v>
      </c>
      <c r="AC122" s="99">
        <f>MAX(IF(INDEX('Pace of change parameters'!$E$29:$I$29,1,$B$5)=1,MAX(AB122,Z122),Z122),L122)</f>
        <v>1366587.6505116294</v>
      </c>
      <c r="AD122" s="97">
        <f t="shared" si="14"/>
        <v>2.8262540019254212E-2</v>
      </c>
      <c r="AE122" s="146">
        <v>1.8956234124439142E-2</v>
      </c>
      <c r="AF122" s="56">
        <f t="shared" si="22"/>
        <v>1366587.6505116294</v>
      </c>
      <c r="AG122" s="56">
        <v>1440.0876448147692</v>
      </c>
      <c r="AH122" s="16">
        <f t="shared" si="15"/>
        <v>2.8262540019254212E-2</v>
      </c>
      <c r="AI122" s="16">
        <f t="shared" si="16"/>
        <v>1.8956234124439142E-2</v>
      </c>
      <c r="AJ122" s="56"/>
      <c r="AK122" s="56">
        <v>1397114.1060098906</v>
      </c>
      <c r="AL122" s="56">
        <v>1472.2559227781883</v>
      </c>
      <c r="AM122" s="16">
        <f t="shared" si="23"/>
        <v>-2.1849650910363838E-2</v>
      </c>
      <c r="AN122" s="58">
        <f t="shared" si="23"/>
        <v>-2.1849650910363949E-2</v>
      </c>
      <c r="AP122" s="56">
        <f t="shared" si="17"/>
        <v>0</v>
      </c>
      <c r="AQ122" s="56">
        <f t="shared" si="18"/>
        <v>0</v>
      </c>
    </row>
    <row r="123" spans="1:43" x14ac:dyDescent="0.2">
      <c r="A123" s="156" t="s">
        <v>291</v>
      </c>
      <c r="B123" s="156" t="s">
        <v>292</v>
      </c>
      <c r="D123" s="68">
        <f>VLOOKUP(A123,'2017-18 disagg'!A123:AZ331,43,FALSE)</f>
        <v>290201</v>
      </c>
      <c r="E123" s="73">
        <v>1571.4866031958654</v>
      </c>
      <c r="F123" s="55"/>
      <c r="G123" s="88">
        <v>298097.28367601288</v>
      </c>
      <c r="H123" s="81">
        <v>1606.6121353533251</v>
      </c>
      <c r="I123" s="90"/>
      <c r="J123" s="103">
        <f t="shared" si="19"/>
        <v>-2.6488948770814535E-2</v>
      </c>
      <c r="K123" s="126">
        <f t="shared" si="19"/>
        <v>-2.1863106461432857E-2</v>
      </c>
      <c r="L123" s="56">
        <v>296736</v>
      </c>
      <c r="M123" s="103">
        <v>1.6828619788612498E-2</v>
      </c>
      <c r="N123" s="97">
        <f>INDEX('Pace of change parameters'!$E$22:$I$22,1,$B$5)</f>
        <v>1.2019795091496865E-2</v>
      </c>
      <c r="O123" s="108">
        <f>MAX(IF(INDEX('Pace of change parameters'!$E$30:$I$30,1,$B$5)=1,(1+M123)*D123,D123),L123)</f>
        <v>296736</v>
      </c>
      <c r="P123" s="94">
        <f>IF(K123&lt;INDEX('Pace of change parameters'!$E$18:$I$18,1,$B$5),1,IF(K123&gt;INDEX('Pace of change parameters'!$E$19:$I$19,1,$B$5),0,(K123-INDEX('Pace of change parameters'!$E$19:$I$19,1,$B$5))/(INDEX('Pace of change parameters'!$E$18:$I$18,1,$B$5)-INDEX('Pace of change parameters'!$E$19:$I$19,1,$B$5))))</f>
        <v>0.67155153837066517</v>
      </c>
      <c r="Q123" s="57">
        <v>2.5586916433877116E-2</v>
      </c>
      <c r="R123" s="57">
        <v>2.0736671666168549E-2</v>
      </c>
      <c r="S123" s="9">
        <f>MAX(IF(INDEX('Pace of change parameters'!$E$31:$I$31,1,$B$5)=1,D123*(1+Q123),D123),L123)</f>
        <v>297626.34873602755</v>
      </c>
      <c r="T123" s="103">
        <f>IF(Q123&lt;INDEX('Pace of change parameters'!$E$24:$I$24,1,$B$5),INDEX('Pace of change parameters'!$E$24:$I$24,1,$B$5),Q123)</f>
        <v>2.5586916433877116E-2</v>
      </c>
      <c r="U123" s="132">
        <v>2.0736671666168549E-2</v>
      </c>
      <c r="V123" s="117">
        <f t="shared" si="20"/>
        <v>297626.34873602755</v>
      </c>
      <c r="W123" s="131">
        <f>IF(J123&gt;INDEX('Pace of change parameters'!$E$26:$I$26,1,$B$5),0,IF(J123&lt;INDEX('Pace of change parameters'!$E$25:$I$25,1,$B$5),1,(J123-INDEX('Pace of change parameters'!$E$26:$I$26,1,$B$5))/(INDEX('Pace of change parameters'!$E$25:$I$25,1,$B$5)-INDEX('Pace of change parameters'!$E$26:$I$26,1,$B$5))))</f>
        <v>1</v>
      </c>
      <c r="X123" s="132">
        <f>MIN(T123, T123+(INDEX('Pace of change parameters'!$E$27:$I$27,1,$B$5)-T123)*(1-W123))</f>
        <v>2.5586916433877116E-2</v>
      </c>
      <c r="Y123" s="132">
        <v>2.0736671666168549E-2</v>
      </c>
      <c r="Z123" s="108">
        <f t="shared" si="21"/>
        <v>297626.34873602755</v>
      </c>
      <c r="AA123" s="97">
        <f>MIN(VLOOKUP(A123,'2017-18 disagg'!$A$12:$BC$220,54,FALSE),-2.5%)</f>
        <v>-2.8759602737026713E-2</v>
      </c>
      <c r="AB123" s="99">
        <f t="shared" si="13"/>
        <v>296859.9048255051</v>
      </c>
      <c r="AC123" s="99">
        <f>MAX(IF(INDEX('Pace of change parameters'!$E$29:$I$29,1,$B$5)=1,MAX(AB123,Z123),Z123),L123)</f>
        <v>297626.34873602755</v>
      </c>
      <c r="AD123" s="97">
        <f t="shared" si="14"/>
        <v>2.5586916433877116E-2</v>
      </c>
      <c r="AE123" s="146">
        <v>2.0736671666168549E-2</v>
      </c>
      <c r="AF123" s="56">
        <f t="shared" si="22"/>
        <v>297626.34873602755</v>
      </c>
      <c r="AG123" s="56">
        <v>1604.0740049141205</v>
      </c>
      <c r="AH123" s="16">
        <f t="shared" si="15"/>
        <v>2.5586916433877116E-2</v>
      </c>
      <c r="AI123" s="16">
        <f t="shared" si="16"/>
        <v>2.0736671666168549E-2</v>
      </c>
      <c r="AJ123" s="56"/>
      <c r="AK123" s="56">
        <v>305650.28561628831</v>
      </c>
      <c r="AL123" s="56">
        <v>1647.3194656112632</v>
      </c>
      <c r="AM123" s="16">
        <f t="shared" si="23"/>
        <v>-2.625201826355883E-2</v>
      </c>
      <c r="AN123" s="58">
        <f t="shared" si="23"/>
        <v>-2.625201826355883E-2</v>
      </c>
      <c r="AP123" s="56">
        <f t="shared" si="17"/>
        <v>0</v>
      </c>
      <c r="AQ123" s="56">
        <f t="shared" si="18"/>
        <v>0</v>
      </c>
    </row>
    <row r="124" spans="1:43" x14ac:dyDescent="0.2">
      <c r="A124" s="156" t="s">
        <v>293</v>
      </c>
      <c r="B124" s="156" t="s">
        <v>294</v>
      </c>
      <c r="D124" s="68">
        <f>VLOOKUP(A124,'2017-18 disagg'!A124:AZ332,43,FALSE)</f>
        <v>913260</v>
      </c>
      <c r="E124" s="73">
        <v>1528.7015144573663</v>
      </c>
      <c r="F124" s="55"/>
      <c r="G124" s="88">
        <v>945798.74002012471</v>
      </c>
      <c r="H124" s="81">
        <v>1568.1110972525844</v>
      </c>
      <c r="I124" s="90"/>
      <c r="J124" s="103">
        <f t="shared" si="19"/>
        <v>-3.4403450378282741E-2</v>
      </c>
      <c r="K124" s="126">
        <f t="shared" si="19"/>
        <v>-2.513188183175652E-2</v>
      </c>
      <c r="L124" s="56">
        <v>936876</v>
      </c>
      <c r="M124" s="103">
        <v>2.1737115337005397E-2</v>
      </c>
      <c r="N124" s="97">
        <f>INDEX('Pace of change parameters'!$E$22:$I$22,1,$B$5)</f>
        <v>1.2019795091496865E-2</v>
      </c>
      <c r="O124" s="108">
        <f>MAX(IF(INDEX('Pace of change parameters'!$E$30:$I$30,1,$B$5)=1,(1+M124)*D124,D124),L124)</f>
        <v>936876</v>
      </c>
      <c r="P124" s="94">
        <f>IF(K124&lt;INDEX('Pace of change parameters'!$E$18:$I$18,1,$B$5),1,IF(K124&gt;INDEX('Pace of change parameters'!$E$19:$I$19,1,$B$5),0,(K124-INDEX('Pace of change parameters'!$E$19:$I$19,1,$B$5))/(INDEX('Pace of change parameters'!$E$18:$I$18,1,$B$5)-INDEX('Pace of change parameters'!$E$19:$I$19,1,$B$5))))</f>
        <v>0.74247918538484214</v>
      </c>
      <c r="Q124" s="57">
        <v>3.1467185992021918E-2</v>
      </c>
      <c r="R124" s="57">
        <v>2.1657327058090647E-2</v>
      </c>
      <c r="S124" s="9">
        <f>MAX(IF(INDEX('Pace of change parameters'!$E$31:$I$31,1,$B$5)=1,D124*(1+Q124),D124),L124)</f>
        <v>941997.7222790739</v>
      </c>
      <c r="T124" s="103">
        <f>IF(Q124&lt;INDEX('Pace of change parameters'!$E$24:$I$24,1,$B$5),INDEX('Pace of change parameters'!$E$24:$I$24,1,$B$5),Q124)</f>
        <v>3.1467185992021918E-2</v>
      </c>
      <c r="U124" s="132">
        <v>2.1657327058090647E-2</v>
      </c>
      <c r="V124" s="117">
        <f t="shared" si="20"/>
        <v>941997.7222790739</v>
      </c>
      <c r="W124" s="131">
        <f>IF(J124&gt;INDEX('Pace of change parameters'!$E$26:$I$26,1,$B$5),0,IF(J124&lt;INDEX('Pace of change parameters'!$E$25:$I$25,1,$B$5),1,(J124-INDEX('Pace of change parameters'!$E$26:$I$26,1,$B$5))/(INDEX('Pace of change parameters'!$E$25:$I$25,1,$B$5)-INDEX('Pace of change parameters'!$E$26:$I$26,1,$B$5))))</f>
        <v>1</v>
      </c>
      <c r="X124" s="132">
        <f>MIN(T124, T124+(INDEX('Pace of change parameters'!$E$27:$I$27,1,$B$5)-T124)*(1-W124))</f>
        <v>3.1467185992021918E-2</v>
      </c>
      <c r="Y124" s="132">
        <v>2.1657327058090647E-2</v>
      </c>
      <c r="Z124" s="108">
        <f t="shared" si="21"/>
        <v>941997.7222790739</v>
      </c>
      <c r="AA124" s="97">
        <f>MIN(VLOOKUP(A124,'2017-18 disagg'!$A$12:$BC$220,54,FALSE),-2.5%)</f>
        <v>-3.2004577068217022E-2</v>
      </c>
      <c r="AB124" s="99">
        <f t="shared" si="13"/>
        <v>938674.06806100311</v>
      </c>
      <c r="AC124" s="99">
        <f>MAX(IF(INDEX('Pace of change parameters'!$E$29:$I$29,1,$B$5)=1,MAX(AB124,Z124),Z124),L124)</f>
        <v>941997.7222790739</v>
      </c>
      <c r="AD124" s="97">
        <f t="shared" si="14"/>
        <v>3.1467185992021918E-2</v>
      </c>
      <c r="AE124" s="146">
        <v>2.1657327058090647E-2</v>
      </c>
      <c r="AF124" s="56">
        <f t="shared" si="22"/>
        <v>941997.7222790739</v>
      </c>
      <c r="AG124" s="56">
        <v>1561.8091031301681</v>
      </c>
      <c r="AH124" s="16">
        <f t="shared" si="15"/>
        <v>3.1467185992021918E-2</v>
      </c>
      <c r="AI124" s="16">
        <f t="shared" si="16"/>
        <v>2.1657327058090647E-2</v>
      </c>
      <c r="AJ124" s="56"/>
      <c r="AK124" s="56">
        <v>969709.20091546117</v>
      </c>
      <c r="AL124" s="56">
        <v>1607.7540545582829</v>
      </c>
      <c r="AM124" s="16">
        <f t="shared" si="23"/>
        <v>-2.8577101888098033E-2</v>
      </c>
      <c r="AN124" s="58">
        <f t="shared" si="23"/>
        <v>-2.8577101888098033E-2</v>
      </c>
      <c r="AP124" s="56">
        <f t="shared" si="17"/>
        <v>0</v>
      </c>
      <c r="AQ124" s="56">
        <f t="shared" si="18"/>
        <v>0</v>
      </c>
    </row>
    <row r="125" spans="1:43" x14ac:dyDescent="0.2">
      <c r="A125" s="156" t="s">
        <v>295</v>
      </c>
      <c r="B125" s="156" t="s">
        <v>296</v>
      </c>
      <c r="D125" s="68">
        <f>VLOOKUP(A125,'2017-18 disagg'!A125:AZ333,43,FALSE)</f>
        <v>407525</v>
      </c>
      <c r="E125" s="73">
        <v>1710.63591624879</v>
      </c>
      <c r="F125" s="55"/>
      <c r="G125" s="88">
        <v>414674.78092881327</v>
      </c>
      <c r="H125" s="81">
        <v>1733.6862526064788</v>
      </c>
      <c r="I125" s="90"/>
      <c r="J125" s="103">
        <f t="shared" si="19"/>
        <v>-1.7241899574405695E-2</v>
      </c>
      <c r="K125" s="126">
        <f t="shared" si="19"/>
        <v>-1.3295563902080976E-2</v>
      </c>
      <c r="L125" s="56">
        <v>416651</v>
      </c>
      <c r="M125" s="103">
        <v>1.6083633198492597E-2</v>
      </c>
      <c r="N125" s="97">
        <f>INDEX('Pace of change parameters'!$E$22:$I$22,1,$B$5)</f>
        <v>1.2019795091496865E-2</v>
      </c>
      <c r="O125" s="108">
        <f>MAX(IF(INDEX('Pace of change parameters'!$E$30:$I$30,1,$B$5)=1,(1+M125)*D125,D125),L125)</f>
        <v>416651</v>
      </c>
      <c r="P125" s="94">
        <f>IF(K125&lt;INDEX('Pace of change parameters'!$E$18:$I$18,1,$B$5),1,IF(K125&gt;INDEX('Pace of change parameters'!$E$19:$I$19,1,$B$5),0,(K125-INDEX('Pace of change parameters'!$E$19:$I$19,1,$B$5))/(INDEX('Pace of change parameters'!$E$18:$I$18,1,$B$5)-INDEX('Pace of change parameters'!$E$19:$I$19,1,$B$5))))</f>
        <v>0.48564838945882105</v>
      </c>
      <c r="Q125" s="57">
        <v>2.2412762231074135E-2</v>
      </c>
      <c r="R125" s="57">
        <v>1.8323610700156978E-2</v>
      </c>
      <c r="S125" s="9">
        <f>MAX(IF(INDEX('Pace of change parameters'!$E$31:$I$31,1,$B$5)=1,D125*(1+Q125),D125),L125)</f>
        <v>416658.76092821849</v>
      </c>
      <c r="T125" s="103">
        <f>IF(Q125&lt;INDEX('Pace of change parameters'!$E$24:$I$24,1,$B$5),INDEX('Pace of change parameters'!$E$24:$I$24,1,$B$5),Q125)</f>
        <v>2.2412762231074135E-2</v>
      </c>
      <c r="U125" s="132">
        <v>1.8323610700156978E-2</v>
      </c>
      <c r="V125" s="117">
        <f t="shared" si="20"/>
        <v>416658.76092821849</v>
      </c>
      <c r="W125" s="131">
        <f>IF(J125&gt;INDEX('Pace of change parameters'!$E$26:$I$26,1,$B$5),0,IF(J125&lt;INDEX('Pace of change parameters'!$E$25:$I$25,1,$B$5),1,(J125-INDEX('Pace of change parameters'!$E$26:$I$26,1,$B$5))/(INDEX('Pace of change parameters'!$E$25:$I$25,1,$B$5)-INDEX('Pace of change parameters'!$E$26:$I$26,1,$B$5))))</f>
        <v>1</v>
      </c>
      <c r="X125" s="132">
        <f>MIN(T125, T125+(INDEX('Pace of change parameters'!$E$27:$I$27,1,$B$5)-T125)*(1-W125))</f>
        <v>2.2412762231074135E-2</v>
      </c>
      <c r="Y125" s="132">
        <v>1.8323610700156978E-2</v>
      </c>
      <c r="Z125" s="108">
        <f t="shared" si="21"/>
        <v>416658.76092821849</v>
      </c>
      <c r="AA125" s="97">
        <f>MIN(VLOOKUP(A125,'2017-18 disagg'!$A$12:$BC$220,54,FALSE),-2.5%)</f>
        <v>-2.5000000000000001E-2</v>
      </c>
      <c r="AB125" s="99">
        <f t="shared" si="13"/>
        <v>414456.08250046399</v>
      </c>
      <c r="AC125" s="99">
        <f>MAX(IF(INDEX('Pace of change parameters'!$E$29:$I$29,1,$B$5)=1,MAX(AB125,Z125),Z125),L125)</f>
        <v>416658.76092821849</v>
      </c>
      <c r="AD125" s="97">
        <f t="shared" si="14"/>
        <v>2.2412762231074135E-2</v>
      </c>
      <c r="AE125" s="146">
        <v>1.8323610700156978E-2</v>
      </c>
      <c r="AF125" s="56">
        <f t="shared" si="22"/>
        <v>416658.76092821849</v>
      </c>
      <c r="AG125" s="56">
        <v>1741.9809428278393</v>
      </c>
      <c r="AH125" s="16">
        <f t="shared" si="15"/>
        <v>2.2412762231074135E-2</v>
      </c>
      <c r="AI125" s="16">
        <f t="shared" si="16"/>
        <v>1.8323610700156978E-2</v>
      </c>
      <c r="AJ125" s="56"/>
      <c r="AK125" s="56">
        <v>425083.16153893742</v>
      </c>
      <c r="AL125" s="56">
        <v>1777.2019598680831</v>
      </c>
      <c r="AM125" s="16">
        <f t="shared" si="23"/>
        <v>-1.981824116537545E-2</v>
      </c>
      <c r="AN125" s="58">
        <f t="shared" si="23"/>
        <v>-1.9818241165375561E-2</v>
      </c>
      <c r="AP125" s="56">
        <f t="shared" si="17"/>
        <v>0</v>
      </c>
      <c r="AQ125" s="56">
        <f t="shared" si="18"/>
        <v>0</v>
      </c>
    </row>
    <row r="126" spans="1:43" x14ac:dyDescent="0.2">
      <c r="A126" s="156" t="s">
        <v>297</v>
      </c>
      <c r="B126" s="156" t="s">
        <v>298</v>
      </c>
      <c r="D126" s="68">
        <f>VLOOKUP(A126,'2017-18 disagg'!A126:AZ334,43,FALSE)</f>
        <v>980809</v>
      </c>
      <c r="E126" s="73">
        <v>1520.3333981709045</v>
      </c>
      <c r="F126" s="55"/>
      <c r="G126" s="88">
        <v>1016494.3450707961</v>
      </c>
      <c r="H126" s="81">
        <v>1558.7605276148349</v>
      </c>
      <c r="I126" s="90"/>
      <c r="J126" s="103">
        <f t="shared" si="19"/>
        <v>-3.5106289812473768E-2</v>
      </c>
      <c r="K126" s="126">
        <f t="shared" si="19"/>
        <v>-2.46523624143411E-2</v>
      </c>
      <c r="L126" s="56">
        <v>1007827</v>
      </c>
      <c r="M126" s="103">
        <v>2.2984299628793003E-2</v>
      </c>
      <c r="N126" s="97">
        <f>INDEX('Pace of change parameters'!$E$22:$I$22,1,$B$5)</f>
        <v>1.2019795091496865E-2</v>
      </c>
      <c r="O126" s="108">
        <f>MAX(IF(INDEX('Pace of change parameters'!$E$30:$I$30,1,$B$5)=1,(1+M126)*D126,D126),L126)</f>
        <v>1007827</v>
      </c>
      <c r="P126" s="94">
        <f>IF(K126&lt;INDEX('Pace of change parameters'!$E$18:$I$18,1,$B$5),1,IF(K126&gt;INDEX('Pace of change parameters'!$E$19:$I$19,1,$B$5),0,(K126-INDEX('Pace of change parameters'!$E$19:$I$19,1,$B$5))/(INDEX('Pace of change parameters'!$E$18:$I$18,1,$B$5)-INDEX('Pace of change parameters'!$E$19:$I$19,1,$B$5))))</f>
        <v>0.73207431502156695</v>
      </c>
      <c r="Q126" s="57">
        <v>3.2589726704624677E-2</v>
      </c>
      <c r="R126" s="57">
        <v>2.1522269708728947E-2</v>
      </c>
      <c r="S126" s="9">
        <f>MAX(IF(INDEX('Pace of change parameters'!$E$31:$I$31,1,$B$5)=1,D126*(1+Q126),D126),L126)</f>
        <v>1012773.2972594362</v>
      </c>
      <c r="T126" s="103">
        <f>IF(Q126&lt;INDEX('Pace of change parameters'!$E$24:$I$24,1,$B$5),INDEX('Pace of change parameters'!$E$24:$I$24,1,$B$5),Q126)</f>
        <v>3.2589726704624677E-2</v>
      </c>
      <c r="U126" s="132">
        <v>2.1522269708728947E-2</v>
      </c>
      <c r="V126" s="117">
        <f t="shared" si="20"/>
        <v>1012773.2972594362</v>
      </c>
      <c r="W126" s="131">
        <f>IF(J126&gt;INDEX('Pace of change parameters'!$E$26:$I$26,1,$B$5),0,IF(J126&lt;INDEX('Pace of change parameters'!$E$25:$I$25,1,$B$5),1,(J126-INDEX('Pace of change parameters'!$E$26:$I$26,1,$B$5))/(INDEX('Pace of change parameters'!$E$25:$I$25,1,$B$5)-INDEX('Pace of change parameters'!$E$26:$I$26,1,$B$5))))</f>
        <v>1</v>
      </c>
      <c r="X126" s="132">
        <f>MIN(T126, T126+(INDEX('Pace of change parameters'!$E$27:$I$27,1,$B$5)-T126)*(1-W126))</f>
        <v>3.2589726704624677E-2</v>
      </c>
      <c r="Y126" s="132">
        <v>2.1522269708728947E-2</v>
      </c>
      <c r="Z126" s="108">
        <f t="shared" si="21"/>
        <v>1012773.2972594362</v>
      </c>
      <c r="AA126" s="97">
        <f>MIN(VLOOKUP(A126,'2017-18 disagg'!$A$12:$BC$220,54,FALSE),-2.5%)</f>
        <v>-3.1530732196220379E-2</v>
      </c>
      <c r="AB126" s="99">
        <f t="shared" si="13"/>
        <v>1009502.061797433</v>
      </c>
      <c r="AC126" s="99">
        <f>MAX(IF(INDEX('Pace of change parameters'!$E$29:$I$29,1,$B$5)=1,MAX(AB126,Z126),Z126),L126)</f>
        <v>1012773.2972594362</v>
      </c>
      <c r="AD126" s="97">
        <f t="shared" si="14"/>
        <v>3.2589726704624677E-2</v>
      </c>
      <c r="AE126" s="146">
        <v>2.1522269708728947E-2</v>
      </c>
      <c r="AF126" s="56">
        <f t="shared" si="22"/>
        <v>1012773.2972594362</v>
      </c>
      <c r="AG126" s="56">
        <v>1553.054423613527</v>
      </c>
      <c r="AH126" s="16">
        <f t="shared" si="15"/>
        <v>3.2589726704624677E-2</v>
      </c>
      <c r="AI126" s="16">
        <f t="shared" si="16"/>
        <v>2.1522269708728947E-2</v>
      </c>
      <c r="AJ126" s="56"/>
      <c r="AK126" s="56">
        <v>1042368.7104565583</v>
      </c>
      <c r="AL126" s="56">
        <v>1598.4380129210622</v>
      </c>
      <c r="AM126" s="16">
        <f t="shared" si="23"/>
        <v>-2.8392461228195609E-2</v>
      </c>
      <c r="AN126" s="58">
        <f t="shared" si="23"/>
        <v>-2.8392461228195609E-2</v>
      </c>
      <c r="AP126" s="56">
        <f t="shared" si="17"/>
        <v>0</v>
      </c>
      <c r="AQ126" s="56">
        <f t="shared" si="18"/>
        <v>0</v>
      </c>
    </row>
    <row r="127" spans="1:43" x14ac:dyDescent="0.2">
      <c r="A127" s="156" t="s">
        <v>299</v>
      </c>
      <c r="B127" s="156" t="s">
        <v>300</v>
      </c>
      <c r="D127" s="68">
        <f>VLOOKUP(A127,'2017-18 disagg'!A127:AZ335,43,FALSE)</f>
        <v>608404</v>
      </c>
      <c r="E127" s="73">
        <v>1506.6871460635236</v>
      </c>
      <c r="F127" s="55"/>
      <c r="G127" s="88">
        <v>624947.05867173336</v>
      </c>
      <c r="H127" s="81">
        <v>1539.2461773552361</v>
      </c>
      <c r="I127" s="90"/>
      <c r="J127" s="103">
        <f t="shared" si="19"/>
        <v>-2.6471136142146356E-2</v>
      </c>
      <c r="K127" s="126">
        <f t="shared" si="19"/>
        <v>-2.1152582199460812E-2</v>
      </c>
      <c r="L127" s="56">
        <v>622084</v>
      </c>
      <c r="M127" s="103">
        <v>1.7548631545231119E-2</v>
      </c>
      <c r="N127" s="97">
        <f>INDEX('Pace of change parameters'!$E$22:$I$22,1,$B$5)</f>
        <v>1.2019795091496865E-2</v>
      </c>
      <c r="O127" s="108">
        <f>MAX(IF(INDEX('Pace of change parameters'!$E$30:$I$30,1,$B$5)=1,(1+M127)*D127,D127),L127)</f>
        <v>622084</v>
      </c>
      <c r="P127" s="94">
        <f>IF(K127&lt;INDEX('Pace of change parameters'!$E$18:$I$18,1,$B$5),1,IF(K127&gt;INDEX('Pace of change parameters'!$E$19:$I$19,1,$B$5),0,(K127-INDEX('Pace of change parameters'!$E$19:$I$19,1,$B$5))/(INDEX('Pace of change parameters'!$E$18:$I$18,1,$B$5)-INDEX('Pace of change parameters'!$E$19:$I$19,1,$B$5))))</f>
        <v>0.65613420057936522</v>
      </c>
      <c r="Q127" s="57">
        <v>2.6111916406401869E-2</v>
      </c>
      <c r="R127" s="57">
        <v>2.0536551462494002E-2</v>
      </c>
      <c r="S127" s="9">
        <f>MAX(IF(INDEX('Pace of change parameters'!$E$31:$I$31,1,$B$5)=1,D127*(1+Q127),D127),L127)</f>
        <v>624290.59438932047</v>
      </c>
      <c r="T127" s="103">
        <f>IF(Q127&lt;INDEX('Pace of change parameters'!$E$24:$I$24,1,$B$5),INDEX('Pace of change parameters'!$E$24:$I$24,1,$B$5),Q127)</f>
        <v>2.6111916406401869E-2</v>
      </c>
      <c r="U127" s="132">
        <v>2.0536551462494002E-2</v>
      </c>
      <c r="V127" s="117">
        <f t="shared" si="20"/>
        <v>624290.59438932047</v>
      </c>
      <c r="W127" s="131">
        <f>IF(J127&gt;INDEX('Pace of change parameters'!$E$26:$I$26,1,$B$5),0,IF(J127&lt;INDEX('Pace of change parameters'!$E$25:$I$25,1,$B$5),1,(J127-INDEX('Pace of change parameters'!$E$26:$I$26,1,$B$5))/(INDEX('Pace of change parameters'!$E$25:$I$25,1,$B$5)-INDEX('Pace of change parameters'!$E$26:$I$26,1,$B$5))))</f>
        <v>1</v>
      </c>
      <c r="X127" s="132">
        <f>MIN(T127, T127+(INDEX('Pace of change parameters'!$E$27:$I$27,1,$B$5)-T127)*(1-W127))</f>
        <v>2.6111916406401869E-2</v>
      </c>
      <c r="Y127" s="132">
        <v>2.0536551462494002E-2</v>
      </c>
      <c r="Z127" s="108">
        <f t="shared" si="21"/>
        <v>624290.59438932047</v>
      </c>
      <c r="AA127" s="97">
        <f>MIN(VLOOKUP(A127,'2017-18 disagg'!$A$12:$BC$220,54,FALSE),-2.5%)</f>
        <v>-2.8052077961325805E-2</v>
      </c>
      <c r="AB127" s="99">
        <f t="shared" si="13"/>
        <v>622718.42749257071</v>
      </c>
      <c r="AC127" s="99">
        <f>MAX(IF(INDEX('Pace of change parameters'!$E$29:$I$29,1,$B$5)=1,MAX(AB127,Z127),Z127),L127)</f>
        <v>624290.59438932047</v>
      </c>
      <c r="AD127" s="97">
        <f t="shared" si="14"/>
        <v>2.6111916406401869E-2</v>
      </c>
      <c r="AE127" s="146">
        <v>2.0536551462494002E-2</v>
      </c>
      <c r="AF127" s="56">
        <f t="shared" si="22"/>
        <v>624290.59438932047</v>
      </c>
      <c r="AG127" s="56">
        <v>1537.6293041765352</v>
      </c>
      <c r="AH127" s="16">
        <f t="shared" si="15"/>
        <v>2.6111916406401869E-2</v>
      </c>
      <c r="AI127" s="16">
        <f t="shared" si="16"/>
        <v>2.0536551462493779E-2</v>
      </c>
      <c r="AJ127" s="56"/>
      <c r="AK127" s="56">
        <v>640691.14545397682</v>
      </c>
      <c r="AL127" s="56">
        <v>1578.0239026989229</v>
      </c>
      <c r="AM127" s="16">
        <f t="shared" si="23"/>
        <v>-2.5598217145697211E-2</v>
      </c>
      <c r="AN127" s="58">
        <f t="shared" si="23"/>
        <v>-2.5598217145697322E-2</v>
      </c>
      <c r="AP127" s="56">
        <f t="shared" si="17"/>
        <v>0</v>
      </c>
      <c r="AQ127" s="56">
        <f t="shared" si="18"/>
        <v>0</v>
      </c>
    </row>
    <row r="128" spans="1:43" x14ac:dyDescent="0.2">
      <c r="A128" s="156" t="s">
        <v>301</v>
      </c>
      <c r="B128" s="156" t="s">
        <v>302</v>
      </c>
      <c r="D128" s="68">
        <f>VLOOKUP(A128,'2017-18 disagg'!A128:AZ336,43,FALSE)</f>
        <v>360218</v>
      </c>
      <c r="E128" s="73">
        <v>1549.228845093513</v>
      </c>
      <c r="F128" s="55"/>
      <c r="G128" s="88">
        <v>374814.09708864742</v>
      </c>
      <c r="H128" s="81">
        <v>1593.4395546583262</v>
      </c>
      <c r="I128" s="90"/>
      <c r="J128" s="103">
        <f t="shared" si="19"/>
        <v>-3.8942230833957425E-2</v>
      </c>
      <c r="K128" s="126">
        <f t="shared" si="19"/>
        <v>-2.7745457576703103E-2</v>
      </c>
      <c r="L128" s="56">
        <v>370655</v>
      </c>
      <c r="M128" s="103">
        <v>2.3810299826009684E-2</v>
      </c>
      <c r="N128" s="97">
        <f>INDEX('Pace of change parameters'!$E$22:$I$22,1,$B$5)</f>
        <v>1.2019795091496865E-2</v>
      </c>
      <c r="O128" s="108">
        <f>MAX(IF(INDEX('Pace of change parameters'!$E$30:$I$30,1,$B$5)=1,(1+M128)*D128,D128),L128)</f>
        <v>370655</v>
      </c>
      <c r="P128" s="94">
        <f>IF(K128&lt;INDEX('Pace of change parameters'!$E$18:$I$18,1,$B$5),1,IF(K128&gt;INDEX('Pace of change parameters'!$E$19:$I$19,1,$B$5),0,(K128-INDEX('Pace of change parameters'!$E$19:$I$19,1,$B$5))/(INDEX('Pace of change parameters'!$E$18:$I$18,1,$B$5)-INDEX('Pace of change parameters'!$E$19:$I$19,1,$B$5))))</f>
        <v>0.79918995834445083</v>
      </c>
      <c r="Q128" s="57">
        <v>3.4304807121839698E-2</v>
      </c>
      <c r="R128" s="57">
        <v>2.2393444511625837E-2</v>
      </c>
      <c r="S128" s="9">
        <f>MAX(IF(INDEX('Pace of change parameters'!$E$31:$I$31,1,$B$5)=1,D128*(1+Q128),D128),L128)</f>
        <v>372575.20901181485</v>
      </c>
      <c r="T128" s="103">
        <f>IF(Q128&lt;INDEX('Pace of change parameters'!$E$24:$I$24,1,$B$5),INDEX('Pace of change parameters'!$E$24:$I$24,1,$B$5),Q128)</f>
        <v>3.4304807121839698E-2</v>
      </c>
      <c r="U128" s="132">
        <v>2.2393444511625837E-2</v>
      </c>
      <c r="V128" s="117">
        <f t="shared" si="20"/>
        <v>372575.20901181485</v>
      </c>
      <c r="W128" s="131">
        <f>IF(J128&gt;INDEX('Pace of change parameters'!$E$26:$I$26,1,$B$5),0,IF(J128&lt;INDEX('Pace of change parameters'!$E$25:$I$25,1,$B$5),1,(J128-INDEX('Pace of change parameters'!$E$26:$I$26,1,$B$5))/(INDEX('Pace of change parameters'!$E$25:$I$25,1,$B$5)-INDEX('Pace of change parameters'!$E$26:$I$26,1,$B$5))))</f>
        <v>1</v>
      </c>
      <c r="X128" s="132">
        <f>MIN(T128, T128+(INDEX('Pace of change parameters'!$E$27:$I$27,1,$B$5)-T128)*(1-W128))</f>
        <v>3.4304807121839698E-2</v>
      </c>
      <c r="Y128" s="132">
        <v>2.2393444511625837E-2</v>
      </c>
      <c r="Z128" s="108">
        <f t="shared" si="21"/>
        <v>372575.20901181485</v>
      </c>
      <c r="AA128" s="97">
        <f>MIN(VLOOKUP(A128,'2017-18 disagg'!$A$12:$BC$220,54,FALSE),-2.5%)</f>
        <v>-3.4605116285589044E-2</v>
      </c>
      <c r="AB128" s="99">
        <f t="shared" si="13"/>
        <v>371141.36467382568</v>
      </c>
      <c r="AC128" s="99">
        <f>MAX(IF(INDEX('Pace of change parameters'!$E$29:$I$29,1,$B$5)=1,MAX(AB128,Z128),Z128),L128)</f>
        <v>372575.20901181485</v>
      </c>
      <c r="AD128" s="97">
        <f t="shared" si="14"/>
        <v>3.4304807121839698E-2</v>
      </c>
      <c r="AE128" s="146">
        <v>2.2393444511625837E-2</v>
      </c>
      <c r="AF128" s="56">
        <f t="shared" si="22"/>
        <v>372575.20901181485</v>
      </c>
      <c r="AG128" s="56">
        <v>1583.9214152719246</v>
      </c>
      <c r="AH128" s="16">
        <f t="shared" si="15"/>
        <v>3.4304807121839698E-2</v>
      </c>
      <c r="AI128" s="16">
        <f t="shared" si="16"/>
        <v>2.2393444511625837E-2</v>
      </c>
      <c r="AJ128" s="56"/>
      <c r="AK128" s="56">
        <v>384445.13321412937</v>
      </c>
      <c r="AL128" s="56">
        <v>1634.3837828340786</v>
      </c>
      <c r="AM128" s="16">
        <f t="shared" si="23"/>
        <v>-3.0875470065329647E-2</v>
      </c>
      <c r="AN128" s="58">
        <f t="shared" si="23"/>
        <v>-3.0875470065329758E-2</v>
      </c>
      <c r="AP128" s="56">
        <f t="shared" si="17"/>
        <v>0</v>
      </c>
      <c r="AQ128" s="56">
        <f t="shared" si="18"/>
        <v>0</v>
      </c>
    </row>
    <row r="129" spans="1:43" x14ac:dyDescent="0.2">
      <c r="A129" s="156" t="s">
        <v>303</v>
      </c>
      <c r="B129" s="156" t="s">
        <v>304</v>
      </c>
      <c r="D129" s="68">
        <f>VLOOKUP(A129,'2017-18 disagg'!A129:AZ337,43,FALSE)</f>
        <v>576684</v>
      </c>
      <c r="E129" s="73">
        <v>1484.7419441769011</v>
      </c>
      <c r="F129" s="55"/>
      <c r="G129" s="88">
        <v>591105.51392729627</v>
      </c>
      <c r="H129" s="81">
        <v>1510.9493733368824</v>
      </c>
      <c r="I129" s="90"/>
      <c r="J129" s="103">
        <f t="shared" si="19"/>
        <v>-2.4397529015555808E-2</v>
      </c>
      <c r="K129" s="126">
        <f t="shared" si="19"/>
        <v>-1.7345008126978478E-2</v>
      </c>
      <c r="L129" s="56">
        <v>590046</v>
      </c>
      <c r="M129" s="103">
        <v>1.9335572733321316E-2</v>
      </c>
      <c r="N129" s="97">
        <f>INDEX('Pace of change parameters'!$E$22:$I$22,1,$B$5)</f>
        <v>1.2019795091496865E-2</v>
      </c>
      <c r="O129" s="108">
        <f>MAX(IF(INDEX('Pace of change parameters'!$E$30:$I$30,1,$B$5)=1,(1+M129)*D129,D129),L129)</f>
        <v>590046</v>
      </c>
      <c r="P129" s="94">
        <f>IF(K129&lt;INDEX('Pace of change parameters'!$E$18:$I$18,1,$B$5),1,IF(K129&gt;INDEX('Pace of change parameters'!$E$19:$I$19,1,$B$5),0,(K129-INDEX('Pace of change parameters'!$E$19:$I$19,1,$B$5))/(INDEX('Pace of change parameters'!$E$18:$I$18,1,$B$5)-INDEX('Pace of change parameters'!$E$19:$I$19,1,$B$5))))</f>
        <v>0.57351540938154155</v>
      </c>
      <c r="Q129" s="57">
        <v>2.6833734619005289E-2</v>
      </c>
      <c r="R129" s="57">
        <v>1.9464142623453418E-2</v>
      </c>
      <c r="S129" s="9">
        <f>MAX(IF(INDEX('Pace of change parameters'!$E$31:$I$31,1,$B$5)=1,D129*(1+Q129),D129),L129)</f>
        <v>592158.58541502641</v>
      </c>
      <c r="T129" s="103">
        <f>IF(Q129&lt;INDEX('Pace of change parameters'!$E$24:$I$24,1,$B$5),INDEX('Pace of change parameters'!$E$24:$I$24,1,$B$5),Q129)</f>
        <v>2.6833734619005289E-2</v>
      </c>
      <c r="U129" s="132">
        <v>1.9464142623453418E-2</v>
      </c>
      <c r="V129" s="117">
        <f t="shared" si="20"/>
        <v>592158.58541502641</v>
      </c>
      <c r="W129" s="131">
        <f>IF(J129&gt;INDEX('Pace of change parameters'!$E$26:$I$26,1,$B$5),0,IF(J129&lt;INDEX('Pace of change parameters'!$E$25:$I$25,1,$B$5),1,(J129-INDEX('Pace of change parameters'!$E$26:$I$26,1,$B$5))/(INDEX('Pace of change parameters'!$E$25:$I$25,1,$B$5)-INDEX('Pace of change parameters'!$E$26:$I$26,1,$B$5))))</f>
        <v>1</v>
      </c>
      <c r="X129" s="132">
        <f>MIN(T129, T129+(INDEX('Pace of change parameters'!$E$27:$I$27,1,$B$5)-T129)*(1-W129))</f>
        <v>2.6833734619005289E-2</v>
      </c>
      <c r="Y129" s="132">
        <v>1.9464142623453418E-2</v>
      </c>
      <c r="Z129" s="108">
        <f t="shared" si="21"/>
        <v>592158.58541502641</v>
      </c>
      <c r="AA129" s="97">
        <f>MIN(VLOOKUP(A129,'2017-18 disagg'!$A$12:$BC$220,54,FALSE),-2.5%)</f>
        <v>-2.5000000000000001E-2</v>
      </c>
      <c r="AB129" s="99">
        <f t="shared" si="13"/>
        <v>590834.4053111953</v>
      </c>
      <c r="AC129" s="99">
        <f>MAX(IF(INDEX('Pace of change parameters'!$E$29:$I$29,1,$B$5)=1,MAX(AB129,Z129),Z129),L129)</f>
        <v>592158.58541502641</v>
      </c>
      <c r="AD129" s="97">
        <f t="shared" si="14"/>
        <v>2.6833734619005289E-2</v>
      </c>
      <c r="AE129" s="146">
        <v>1.9464142623453418E-2</v>
      </c>
      <c r="AF129" s="56">
        <f t="shared" si="22"/>
        <v>592158.58541502641</v>
      </c>
      <c r="AG129" s="56">
        <v>1513.6411731373839</v>
      </c>
      <c r="AH129" s="16">
        <f t="shared" si="15"/>
        <v>2.6833734619005289E-2</v>
      </c>
      <c r="AI129" s="16">
        <f t="shared" si="16"/>
        <v>1.9464142623453418E-2</v>
      </c>
      <c r="AJ129" s="56"/>
      <c r="AK129" s="56">
        <v>605984.00544737978</v>
      </c>
      <c r="AL129" s="56">
        <v>1548.9809039330144</v>
      </c>
      <c r="AM129" s="16">
        <f t="shared" si="23"/>
        <v>-2.2814826642406971E-2</v>
      </c>
      <c r="AN129" s="58">
        <f t="shared" si="23"/>
        <v>-2.281482664240686E-2</v>
      </c>
      <c r="AP129" s="56">
        <f t="shared" si="17"/>
        <v>0</v>
      </c>
      <c r="AQ129" s="56">
        <f t="shared" si="18"/>
        <v>0</v>
      </c>
    </row>
    <row r="130" spans="1:43" x14ac:dyDescent="0.2">
      <c r="A130" s="156" t="s">
        <v>305</v>
      </c>
      <c r="B130" s="156" t="s">
        <v>306</v>
      </c>
      <c r="D130" s="68">
        <f>VLOOKUP(A130,'2017-18 disagg'!A130:AZ338,43,FALSE)</f>
        <v>577373</v>
      </c>
      <c r="E130" s="73">
        <v>1675.2842604883258</v>
      </c>
      <c r="F130" s="55"/>
      <c r="G130" s="88">
        <v>592984.71756172087</v>
      </c>
      <c r="H130" s="81">
        <v>1705.787139495973</v>
      </c>
      <c r="I130" s="90"/>
      <c r="J130" s="103">
        <f t="shared" si="19"/>
        <v>-2.632735228980998E-2</v>
      </c>
      <c r="K130" s="126">
        <f t="shared" si="19"/>
        <v>-1.7881996118613075E-2</v>
      </c>
      <c r="L130" s="56">
        <v>591292</v>
      </c>
      <c r="M130" s="103">
        <v>2.079776337678152E-2</v>
      </c>
      <c r="N130" s="97">
        <f>INDEX('Pace of change parameters'!$E$22:$I$22,1,$B$5)</f>
        <v>1.2019795091496865E-2</v>
      </c>
      <c r="O130" s="108">
        <f>MAX(IF(INDEX('Pace of change parameters'!$E$30:$I$30,1,$B$5)=1,(1+M130)*D130,D130),L130)</f>
        <v>591292</v>
      </c>
      <c r="P130" s="94">
        <f>IF(K130&lt;INDEX('Pace of change parameters'!$E$18:$I$18,1,$B$5),1,IF(K130&gt;INDEX('Pace of change parameters'!$E$19:$I$19,1,$B$5),0,(K130-INDEX('Pace of change parameters'!$E$19:$I$19,1,$B$5))/(INDEX('Pace of change parameters'!$E$18:$I$18,1,$B$5)-INDEX('Pace of change parameters'!$E$19:$I$19,1,$B$5))))</f>
        <v>0.58516726379383766</v>
      </c>
      <c r="Q130" s="57">
        <v>2.8459236335621974E-2</v>
      </c>
      <c r="R130" s="57">
        <v>1.9615386081289099E-2</v>
      </c>
      <c r="S130" s="9">
        <f>MAX(IF(INDEX('Pace of change parameters'!$E$31:$I$31,1,$B$5)=1,D130*(1+Q130),D130),L130)</f>
        <v>593804.59466080705</v>
      </c>
      <c r="T130" s="103">
        <f>IF(Q130&lt;INDEX('Pace of change parameters'!$E$24:$I$24,1,$B$5),INDEX('Pace of change parameters'!$E$24:$I$24,1,$B$5),Q130)</f>
        <v>2.8459236335621974E-2</v>
      </c>
      <c r="U130" s="132">
        <v>1.9615386081289099E-2</v>
      </c>
      <c r="V130" s="117">
        <f t="shared" si="20"/>
        <v>593804.59466080705</v>
      </c>
      <c r="W130" s="131">
        <f>IF(J130&gt;INDEX('Pace of change parameters'!$E$26:$I$26,1,$B$5),0,IF(J130&lt;INDEX('Pace of change parameters'!$E$25:$I$25,1,$B$5),1,(J130-INDEX('Pace of change parameters'!$E$26:$I$26,1,$B$5))/(INDEX('Pace of change parameters'!$E$25:$I$25,1,$B$5)-INDEX('Pace of change parameters'!$E$26:$I$26,1,$B$5))))</f>
        <v>1</v>
      </c>
      <c r="X130" s="132">
        <f>MIN(T130, T130+(INDEX('Pace of change parameters'!$E$27:$I$27,1,$B$5)-T130)*(1-W130))</f>
        <v>2.8459236335621974E-2</v>
      </c>
      <c r="Y130" s="132">
        <v>1.9615386081289099E-2</v>
      </c>
      <c r="Z130" s="108">
        <f t="shared" si="21"/>
        <v>593804.59466080705</v>
      </c>
      <c r="AA130" s="97">
        <f>MIN(VLOOKUP(A130,'2017-18 disagg'!$A$12:$BC$220,54,FALSE),-2.5%)</f>
        <v>-2.5000000000000001E-2</v>
      </c>
      <c r="AB130" s="99">
        <f t="shared" si="13"/>
        <v>592585.66430619021</v>
      </c>
      <c r="AC130" s="99">
        <f>MAX(IF(INDEX('Pace of change parameters'!$E$29:$I$29,1,$B$5)=1,MAX(AB130,Z130),Z130),L130)</f>
        <v>593804.59466080705</v>
      </c>
      <c r="AD130" s="97">
        <f t="shared" si="14"/>
        <v>2.8459236335621974E-2</v>
      </c>
      <c r="AE130" s="146">
        <v>1.9615386081289099E-2</v>
      </c>
      <c r="AF130" s="56">
        <f t="shared" si="22"/>
        <v>593804.59466080705</v>
      </c>
      <c r="AG130" s="56">
        <v>1708.1456080537109</v>
      </c>
      <c r="AH130" s="16">
        <f t="shared" si="15"/>
        <v>2.8459236335621974E-2</v>
      </c>
      <c r="AI130" s="16">
        <f t="shared" si="16"/>
        <v>1.9615386081288877E-2</v>
      </c>
      <c r="AJ130" s="56"/>
      <c r="AK130" s="56">
        <v>607780.16851916944</v>
      </c>
      <c r="AL130" s="56">
        <v>1748.3479158850075</v>
      </c>
      <c r="AM130" s="16">
        <f t="shared" si="23"/>
        <v>-2.299445520312593E-2</v>
      </c>
      <c r="AN130" s="58">
        <f t="shared" si="23"/>
        <v>-2.2994455203126041E-2</v>
      </c>
      <c r="AP130" s="56">
        <f t="shared" si="17"/>
        <v>0</v>
      </c>
      <c r="AQ130" s="56">
        <f t="shared" si="18"/>
        <v>0</v>
      </c>
    </row>
    <row r="131" spans="1:43" x14ac:dyDescent="0.2">
      <c r="A131" s="156" t="s">
        <v>307</v>
      </c>
      <c r="B131" s="156" t="s">
        <v>308</v>
      </c>
      <c r="D131" s="68">
        <f>VLOOKUP(A131,'2017-18 disagg'!A131:AZ339,43,FALSE)</f>
        <v>301904</v>
      </c>
      <c r="E131" s="73">
        <v>1746.1732061294988</v>
      </c>
      <c r="F131" s="55"/>
      <c r="G131" s="88">
        <v>297477.63674397126</v>
      </c>
      <c r="H131" s="81">
        <v>1711.8468021826768</v>
      </c>
      <c r="I131" s="90"/>
      <c r="J131" s="103">
        <f t="shared" si="19"/>
        <v>1.4879650465417615E-2</v>
      </c>
      <c r="K131" s="126">
        <f t="shared" si="19"/>
        <v>2.0052263966059636E-2</v>
      </c>
      <c r="L131" s="56">
        <v>308602</v>
      </c>
      <c r="M131" s="103">
        <v>1.7177832552004446E-2</v>
      </c>
      <c r="N131" s="97">
        <f>INDEX('Pace of change parameters'!$E$22:$I$22,1,$B$5)</f>
        <v>1.2019795091496865E-2</v>
      </c>
      <c r="O131" s="108">
        <f>MAX(IF(INDEX('Pace of change parameters'!$E$30:$I$30,1,$B$5)=1,(1+M131)*D131,D131),L131)</f>
        <v>308602</v>
      </c>
      <c r="P131" s="94">
        <f>IF(K131&lt;INDEX('Pace of change parameters'!$E$18:$I$18,1,$B$5),1,IF(K131&gt;INDEX('Pace of change parameters'!$E$19:$I$19,1,$B$5),0,(K131-INDEX('Pace of change parameters'!$E$19:$I$19,1,$B$5))/(INDEX('Pace of change parameters'!$E$18:$I$18,1,$B$5)-INDEX('Pace of change parameters'!$E$19:$I$19,1,$B$5))))</f>
        <v>0</v>
      </c>
      <c r="Q131" s="57">
        <v>1.7177832552004446E-2</v>
      </c>
      <c r="R131" s="57">
        <v>1.2019795091496865E-2</v>
      </c>
      <c r="S131" s="9">
        <f>MAX(IF(INDEX('Pace of change parameters'!$E$31:$I$31,1,$B$5)=1,D131*(1+Q131),D131),L131)</f>
        <v>308602</v>
      </c>
      <c r="T131" s="103">
        <f>IF(Q131&lt;INDEX('Pace of change parameters'!$E$24:$I$24,1,$B$5),INDEX('Pace of change parameters'!$E$24:$I$24,1,$B$5),Q131)</f>
        <v>1.9732353921844841E-2</v>
      </c>
      <c r="U131" s="132">
        <v>1.456136266260355E-2</v>
      </c>
      <c r="V131" s="117">
        <f t="shared" si="20"/>
        <v>308602</v>
      </c>
      <c r="W131" s="131">
        <f>IF(J131&gt;INDEX('Pace of change parameters'!$E$26:$I$26,1,$B$5),0,IF(J131&lt;INDEX('Pace of change parameters'!$E$25:$I$25,1,$B$5),1,(J131-INDEX('Pace of change parameters'!$E$26:$I$26,1,$B$5))/(INDEX('Pace of change parameters'!$E$25:$I$25,1,$B$5)-INDEX('Pace of change parameters'!$E$26:$I$26,1,$B$5))))</f>
        <v>1</v>
      </c>
      <c r="X131" s="132">
        <f>MIN(T131, T131+(INDEX('Pace of change parameters'!$E$27:$I$27,1,$B$5)-T131)*(1-W131))</f>
        <v>1.9732353921844841E-2</v>
      </c>
      <c r="Y131" s="132">
        <v>1.456136266260355E-2</v>
      </c>
      <c r="Z131" s="108">
        <f t="shared" si="21"/>
        <v>308602</v>
      </c>
      <c r="AA131" s="97">
        <f>MIN(VLOOKUP(A131,'2017-18 disagg'!$A$12:$BC$220,54,FALSE),-2.5%)</f>
        <v>-2.5000000000000001E-2</v>
      </c>
      <c r="AB131" s="99">
        <f t="shared" si="13"/>
        <v>297464.89536885422</v>
      </c>
      <c r="AC131" s="99">
        <f>MAX(IF(INDEX('Pace of change parameters'!$E$29:$I$29,1,$B$5)=1,MAX(AB131,Z131),Z131),L131)</f>
        <v>308602</v>
      </c>
      <c r="AD131" s="97">
        <f t="shared" si="14"/>
        <v>2.2185860405956825E-2</v>
      </c>
      <c r="AE131" s="146">
        <v>1.7002427587383906E-2</v>
      </c>
      <c r="AF131" s="56">
        <f t="shared" si="22"/>
        <v>308602</v>
      </c>
      <c r="AG131" s="56">
        <v>1775.8623896217457</v>
      </c>
      <c r="AH131" s="16">
        <f t="shared" si="15"/>
        <v>2.2185860405956825E-2</v>
      </c>
      <c r="AI131" s="16">
        <f t="shared" si="16"/>
        <v>1.7002427587383906E-2</v>
      </c>
      <c r="AJ131" s="56"/>
      <c r="AK131" s="56">
        <v>305092.20037831203</v>
      </c>
      <c r="AL131" s="56">
        <v>1755.6651091658048</v>
      </c>
      <c r="AM131" s="16">
        <f t="shared" si="23"/>
        <v>1.1504062107572155E-2</v>
      </c>
      <c r="AN131" s="58">
        <f t="shared" si="23"/>
        <v>1.1504062107572155E-2</v>
      </c>
      <c r="AP131" s="56">
        <f t="shared" si="17"/>
        <v>1</v>
      </c>
      <c r="AQ131" s="56">
        <f t="shared" si="18"/>
        <v>0</v>
      </c>
    </row>
    <row r="132" spans="1:43" x14ac:dyDescent="0.2">
      <c r="A132" s="156" t="s">
        <v>309</v>
      </c>
      <c r="B132" s="156" t="s">
        <v>310</v>
      </c>
      <c r="D132" s="68">
        <f>VLOOKUP(A132,'2017-18 disagg'!A132:AZ340,43,FALSE)</f>
        <v>320374</v>
      </c>
      <c r="E132" s="73">
        <v>1463.1146550610849</v>
      </c>
      <c r="F132" s="55"/>
      <c r="G132" s="88">
        <v>325889.41951857577</v>
      </c>
      <c r="H132" s="81">
        <v>1478.2066657926332</v>
      </c>
      <c r="I132" s="90"/>
      <c r="J132" s="103">
        <f t="shared" si="19"/>
        <v>-1.6924205537950598E-2</v>
      </c>
      <c r="K132" s="126">
        <f t="shared" si="19"/>
        <v>-1.0209675738037438E-2</v>
      </c>
      <c r="L132" s="56">
        <v>327582</v>
      </c>
      <c r="M132" s="103">
        <v>1.8932016011311115E-2</v>
      </c>
      <c r="N132" s="97">
        <f>INDEX('Pace of change parameters'!$E$22:$I$22,1,$B$5)</f>
        <v>1.2019795091496865E-2</v>
      </c>
      <c r="O132" s="108">
        <f>MAX(IF(INDEX('Pace of change parameters'!$E$30:$I$30,1,$B$5)=1,(1+M132)*D132,D132),L132)</f>
        <v>327582</v>
      </c>
      <c r="P132" s="94">
        <f>IF(K132&lt;INDEX('Pace of change parameters'!$E$18:$I$18,1,$B$5),1,IF(K132&gt;INDEX('Pace of change parameters'!$E$19:$I$19,1,$B$5),0,(K132-INDEX('Pace of change parameters'!$E$19:$I$19,1,$B$5))/(INDEX('Pace of change parameters'!$E$18:$I$18,1,$B$5)-INDEX('Pace of change parameters'!$E$19:$I$19,1,$B$5))))</f>
        <v>0.41868912746375947</v>
      </c>
      <c r="Q132" s="57">
        <v>2.4403806154540186E-2</v>
      </c>
      <c r="R132" s="57">
        <v>1.7454465758938831E-2</v>
      </c>
      <c r="S132" s="9">
        <f>MAX(IF(INDEX('Pace of change parameters'!$E$31:$I$31,1,$B$5)=1,D132*(1+Q132),D132),L132)</f>
        <v>328192.34499295463</v>
      </c>
      <c r="T132" s="103">
        <f>IF(Q132&lt;INDEX('Pace of change parameters'!$E$24:$I$24,1,$B$5),INDEX('Pace of change parameters'!$E$24:$I$24,1,$B$5),Q132)</f>
        <v>2.4403806154540186E-2</v>
      </c>
      <c r="U132" s="132">
        <v>1.7454465758938831E-2</v>
      </c>
      <c r="V132" s="117">
        <f t="shared" si="20"/>
        <v>328192.34499295463</v>
      </c>
      <c r="W132" s="131">
        <f>IF(J132&gt;INDEX('Pace of change parameters'!$E$26:$I$26,1,$B$5),0,IF(J132&lt;INDEX('Pace of change parameters'!$E$25:$I$25,1,$B$5),1,(J132-INDEX('Pace of change parameters'!$E$26:$I$26,1,$B$5))/(INDEX('Pace of change parameters'!$E$25:$I$25,1,$B$5)-INDEX('Pace of change parameters'!$E$26:$I$26,1,$B$5))))</f>
        <v>1</v>
      </c>
      <c r="X132" s="132">
        <f>MIN(T132, T132+(INDEX('Pace of change parameters'!$E$27:$I$27,1,$B$5)-T132)*(1-W132))</f>
        <v>2.4403806154540186E-2</v>
      </c>
      <c r="Y132" s="132">
        <v>1.7454465758938831E-2</v>
      </c>
      <c r="Z132" s="108">
        <f t="shared" si="21"/>
        <v>328192.34499295463</v>
      </c>
      <c r="AA132" s="97">
        <f>MIN(VLOOKUP(A132,'2017-18 disagg'!$A$12:$BC$220,54,FALSE),-2.5%)</f>
        <v>-2.5000000000000001E-2</v>
      </c>
      <c r="AB132" s="99">
        <f t="shared" si="13"/>
        <v>325890.57986188354</v>
      </c>
      <c r="AC132" s="99">
        <f>MAX(IF(INDEX('Pace of change parameters'!$E$29:$I$29,1,$B$5)=1,MAX(AB132,Z132),Z132),L132)</f>
        <v>328192.34499295463</v>
      </c>
      <c r="AD132" s="97">
        <f t="shared" si="14"/>
        <v>2.4403806154540186E-2</v>
      </c>
      <c r="AE132" s="146">
        <v>1.7454465758938831E-2</v>
      </c>
      <c r="AF132" s="56">
        <f t="shared" si="22"/>
        <v>328192.34499295463</v>
      </c>
      <c r="AG132" s="56">
        <v>1488.65253970925</v>
      </c>
      <c r="AH132" s="16">
        <f t="shared" si="15"/>
        <v>2.4403806154540186E-2</v>
      </c>
      <c r="AI132" s="16">
        <f t="shared" si="16"/>
        <v>1.7454465758938609E-2</v>
      </c>
      <c r="AJ132" s="56"/>
      <c r="AK132" s="56">
        <v>334246.74857629079</v>
      </c>
      <c r="AL132" s="56">
        <v>1516.1147989857473</v>
      </c>
      <c r="AM132" s="16">
        <f t="shared" si="23"/>
        <v>-1.8113575103197332E-2</v>
      </c>
      <c r="AN132" s="58">
        <f t="shared" si="23"/>
        <v>-1.8113575103197332E-2</v>
      </c>
      <c r="AP132" s="56">
        <f t="shared" si="17"/>
        <v>0</v>
      </c>
      <c r="AQ132" s="56">
        <f t="shared" si="18"/>
        <v>0</v>
      </c>
    </row>
    <row r="133" spans="1:43" x14ac:dyDescent="0.2">
      <c r="A133" s="156" t="s">
        <v>311</v>
      </c>
      <c r="B133" s="156" t="s">
        <v>312</v>
      </c>
      <c r="D133" s="68">
        <f>VLOOKUP(A133,'2017-18 disagg'!A133:AZ341,43,FALSE)</f>
        <v>356481</v>
      </c>
      <c r="E133" s="73">
        <v>1497.2754427502221</v>
      </c>
      <c r="F133" s="55"/>
      <c r="G133" s="88">
        <v>363889.85961132596</v>
      </c>
      <c r="H133" s="81">
        <v>1513.9946681286485</v>
      </c>
      <c r="I133" s="90"/>
      <c r="J133" s="103">
        <f t="shared" si="19"/>
        <v>-2.0360170572599756E-2</v>
      </c>
      <c r="K133" s="126">
        <f t="shared" si="19"/>
        <v>-1.10431203823802E-2</v>
      </c>
      <c r="L133" s="56">
        <v>365094</v>
      </c>
      <c r="M133" s="103">
        <v>2.16448010795387E-2</v>
      </c>
      <c r="N133" s="97">
        <f>INDEX('Pace of change parameters'!$E$22:$I$22,1,$B$5)</f>
        <v>1.2019795091496865E-2</v>
      </c>
      <c r="O133" s="108">
        <f>MAX(IF(INDEX('Pace of change parameters'!$E$30:$I$30,1,$B$5)=1,(1+M133)*D133,D133),L133)</f>
        <v>365094</v>
      </c>
      <c r="P133" s="94">
        <f>IF(K133&lt;INDEX('Pace of change parameters'!$E$18:$I$18,1,$B$5),1,IF(K133&gt;INDEX('Pace of change parameters'!$E$19:$I$19,1,$B$5),0,(K133-INDEX('Pace of change parameters'!$E$19:$I$19,1,$B$5))/(INDEX('Pace of change parameters'!$E$18:$I$18,1,$B$5)-INDEX('Pace of change parameters'!$E$19:$I$19,1,$B$5))))</f>
        <v>0.43677365785899014</v>
      </c>
      <c r="Q133" s="57">
        <v>2.7368132670062328E-2</v>
      </c>
      <c r="R133" s="57">
        <v>1.7689206669142976E-2</v>
      </c>
      <c r="S133" s="9">
        <f>MAX(IF(INDEX('Pace of change parameters'!$E$31:$I$31,1,$B$5)=1,D133*(1+Q133),D133),L133)</f>
        <v>366237.21930235648</v>
      </c>
      <c r="T133" s="103">
        <f>IF(Q133&lt;INDEX('Pace of change parameters'!$E$24:$I$24,1,$B$5),INDEX('Pace of change parameters'!$E$24:$I$24,1,$B$5),Q133)</f>
        <v>2.7368132670062328E-2</v>
      </c>
      <c r="U133" s="132">
        <v>1.7689206669142976E-2</v>
      </c>
      <c r="V133" s="117">
        <f t="shared" si="20"/>
        <v>366237.21930235648</v>
      </c>
      <c r="W133" s="131">
        <f>IF(J133&gt;INDEX('Pace of change parameters'!$E$26:$I$26,1,$B$5),0,IF(J133&lt;INDEX('Pace of change parameters'!$E$25:$I$25,1,$B$5),1,(J133-INDEX('Pace of change parameters'!$E$26:$I$26,1,$B$5))/(INDEX('Pace of change parameters'!$E$25:$I$25,1,$B$5)-INDEX('Pace of change parameters'!$E$26:$I$26,1,$B$5))))</f>
        <v>1</v>
      </c>
      <c r="X133" s="132">
        <f>MIN(T133, T133+(INDEX('Pace of change parameters'!$E$27:$I$27,1,$B$5)-T133)*(1-W133))</f>
        <v>2.7368132670062328E-2</v>
      </c>
      <c r="Y133" s="132">
        <v>1.7689206669142976E-2</v>
      </c>
      <c r="Z133" s="108">
        <f t="shared" si="21"/>
        <v>366237.21930235648</v>
      </c>
      <c r="AA133" s="97">
        <f>MIN(VLOOKUP(A133,'2017-18 disagg'!$A$12:$BC$220,54,FALSE),-2.5%)</f>
        <v>-2.5000000000000001E-2</v>
      </c>
      <c r="AB133" s="99">
        <f t="shared" si="13"/>
        <v>363885.89611752151</v>
      </c>
      <c r="AC133" s="99">
        <f>MAX(IF(INDEX('Pace of change parameters'!$E$29:$I$29,1,$B$5)=1,MAX(AB133,Z133),Z133),L133)</f>
        <v>366237.21930235648</v>
      </c>
      <c r="AD133" s="97">
        <f t="shared" si="14"/>
        <v>2.7368132670062328E-2</v>
      </c>
      <c r="AE133" s="146">
        <v>1.7689206669142976E-2</v>
      </c>
      <c r="AF133" s="56">
        <f t="shared" si="22"/>
        <v>366237.21930235648</v>
      </c>
      <c r="AG133" s="56">
        <v>1523.7610574976632</v>
      </c>
      <c r="AH133" s="16">
        <f t="shared" si="15"/>
        <v>2.7368132670062328E-2</v>
      </c>
      <c r="AI133" s="16">
        <f t="shared" si="16"/>
        <v>1.7689206669142976E-2</v>
      </c>
      <c r="AJ133" s="56"/>
      <c r="AK133" s="56">
        <v>373216.30371027847</v>
      </c>
      <c r="AL133" s="56">
        <v>1552.7981309497775</v>
      </c>
      <c r="AM133" s="16">
        <f t="shared" si="23"/>
        <v>-1.8699837972083189E-2</v>
      </c>
      <c r="AN133" s="58">
        <f t="shared" si="23"/>
        <v>-1.8699837972083078E-2</v>
      </c>
      <c r="AP133" s="56">
        <f t="shared" si="17"/>
        <v>0</v>
      </c>
      <c r="AQ133" s="56">
        <f t="shared" si="18"/>
        <v>0</v>
      </c>
    </row>
    <row r="134" spans="1:43" x14ac:dyDescent="0.2">
      <c r="A134" s="156" t="s">
        <v>313</v>
      </c>
      <c r="B134" s="156" t="s">
        <v>314</v>
      </c>
      <c r="D134" s="68">
        <f>VLOOKUP(A134,'2017-18 disagg'!A134:AZ342,43,FALSE)</f>
        <v>309930</v>
      </c>
      <c r="E134" s="73">
        <v>1648.008222643359</v>
      </c>
      <c r="F134" s="55"/>
      <c r="G134" s="88">
        <v>316587.01243139617</v>
      </c>
      <c r="H134" s="81">
        <v>1670.815862560929</v>
      </c>
      <c r="I134" s="90"/>
      <c r="J134" s="103">
        <f t="shared" si="19"/>
        <v>-2.1027433754373437E-2</v>
      </c>
      <c r="K134" s="126">
        <f t="shared" si="19"/>
        <v>-1.3650600541110336E-2</v>
      </c>
      <c r="L134" s="56">
        <v>317143</v>
      </c>
      <c r="M134" s="103">
        <v>1.9645648454825304E-2</v>
      </c>
      <c r="N134" s="97">
        <f>INDEX('Pace of change parameters'!$E$22:$I$22,1,$B$5)</f>
        <v>1.2019795091496865E-2</v>
      </c>
      <c r="O134" s="108">
        <f>MAX(IF(INDEX('Pace of change parameters'!$E$30:$I$30,1,$B$5)=1,(1+M134)*D134,D134),L134)</f>
        <v>317143</v>
      </c>
      <c r="P134" s="94">
        <f>IF(K134&lt;INDEX('Pace of change parameters'!$E$18:$I$18,1,$B$5),1,IF(K134&gt;INDEX('Pace of change parameters'!$E$19:$I$19,1,$B$5),0,(K134-INDEX('Pace of change parameters'!$E$19:$I$19,1,$B$5))/(INDEX('Pace of change parameters'!$E$18:$I$18,1,$B$5)-INDEX('Pace of change parameters'!$E$19:$I$19,1,$B$5))))</f>
        <v>0.49335216550865124</v>
      </c>
      <c r="Q134" s="57">
        <v>2.6097715178504899E-2</v>
      </c>
      <c r="R134" s="57">
        <v>1.8423607291852884E-2</v>
      </c>
      <c r="S134" s="9">
        <f>MAX(IF(INDEX('Pace of change parameters'!$E$31:$I$31,1,$B$5)=1,D134*(1+Q134),D134),L134)</f>
        <v>318018.46486527403</v>
      </c>
      <c r="T134" s="103">
        <f>IF(Q134&lt;INDEX('Pace of change parameters'!$E$24:$I$24,1,$B$5),INDEX('Pace of change parameters'!$E$24:$I$24,1,$B$5),Q134)</f>
        <v>2.6097715178504899E-2</v>
      </c>
      <c r="U134" s="132">
        <v>1.8423607291852884E-2</v>
      </c>
      <c r="V134" s="117">
        <f t="shared" si="20"/>
        <v>318018.46486527403</v>
      </c>
      <c r="W134" s="131">
        <f>IF(J134&gt;INDEX('Pace of change parameters'!$E$26:$I$26,1,$B$5),0,IF(J134&lt;INDEX('Pace of change parameters'!$E$25:$I$25,1,$B$5),1,(J134-INDEX('Pace of change parameters'!$E$26:$I$26,1,$B$5))/(INDEX('Pace of change parameters'!$E$25:$I$25,1,$B$5)-INDEX('Pace of change parameters'!$E$26:$I$26,1,$B$5))))</f>
        <v>1</v>
      </c>
      <c r="X134" s="132">
        <f>MIN(T134, T134+(INDEX('Pace of change parameters'!$E$27:$I$27,1,$B$5)-T134)*(1-W134))</f>
        <v>2.6097715178504899E-2</v>
      </c>
      <c r="Y134" s="132">
        <v>1.8423607291852884E-2</v>
      </c>
      <c r="Z134" s="108">
        <f t="shared" si="21"/>
        <v>318018.46486527403</v>
      </c>
      <c r="AA134" s="97">
        <f>MIN(VLOOKUP(A134,'2017-18 disagg'!$A$12:$BC$220,54,FALSE),-2.5%)</f>
        <v>-2.5000000000000001E-2</v>
      </c>
      <c r="AB134" s="99">
        <f t="shared" si="13"/>
        <v>316436.73919038416</v>
      </c>
      <c r="AC134" s="99">
        <f>MAX(IF(INDEX('Pace of change parameters'!$E$29:$I$29,1,$B$5)=1,MAX(AB134,Z134),Z134),L134)</f>
        <v>318018.46486527403</v>
      </c>
      <c r="AD134" s="97">
        <f t="shared" si="14"/>
        <v>2.6097715178504899E-2</v>
      </c>
      <c r="AE134" s="146">
        <v>1.8423607291852884E-2</v>
      </c>
      <c r="AF134" s="56">
        <f t="shared" si="22"/>
        <v>318018.46486527403</v>
      </c>
      <c r="AG134" s="56">
        <v>1678.3704789510844</v>
      </c>
      <c r="AH134" s="16">
        <f t="shared" si="15"/>
        <v>2.6097715178504899E-2</v>
      </c>
      <c r="AI134" s="16">
        <f t="shared" si="16"/>
        <v>1.8423607291852662E-2</v>
      </c>
      <c r="AJ134" s="56"/>
      <c r="AK134" s="56">
        <v>324550.50173372735</v>
      </c>
      <c r="AL134" s="56">
        <v>1712.843879267876</v>
      </c>
      <c r="AM134" s="16">
        <f t="shared" si="23"/>
        <v>-2.0126411247431752E-2</v>
      </c>
      <c r="AN134" s="58">
        <f t="shared" si="23"/>
        <v>-2.0126411247431752E-2</v>
      </c>
      <c r="AP134" s="56">
        <f t="shared" si="17"/>
        <v>0</v>
      </c>
      <c r="AQ134" s="56">
        <f t="shared" si="18"/>
        <v>0</v>
      </c>
    </row>
    <row r="135" spans="1:43" x14ac:dyDescent="0.2">
      <c r="A135" s="156" t="s">
        <v>315</v>
      </c>
      <c r="B135" s="156" t="s">
        <v>316</v>
      </c>
      <c r="D135" s="68">
        <f>VLOOKUP(A135,'2017-18 disagg'!A135:AZ343,43,FALSE)</f>
        <v>264595</v>
      </c>
      <c r="E135" s="73">
        <v>1519.6334226855515</v>
      </c>
      <c r="F135" s="55"/>
      <c r="G135" s="88">
        <v>271149.88423586381</v>
      </c>
      <c r="H135" s="81">
        <v>1541.1906104178402</v>
      </c>
      <c r="I135" s="90"/>
      <c r="J135" s="103">
        <f t="shared" si="19"/>
        <v>-2.4174394373563279E-2</v>
      </c>
      <c r="K135" s="126">
        <f t="shared" si="19"/>
        <v>-1.3987359893429474E-2</v>
      </c>
      <c r="L135" s="56">
        <v>271542</v>
      </c>
      <c r="M135" s="103">
        <v>2.2584675217343531E-2</v>
      </c>
      <c r="N135" s="97">
        <f>INDEX('Pace of change parameters'!$E$22:$I$22,1,$B$5)</f>
        <v>1.2019795091496865E-2</v>
      </c>
      <c r="O135" s="108">
        <f>MAX(IF(INDEX('Pace of change parameters'!$E$30:$I$30,1,$B$5)=1,(1+M135)*D135,D135),L135)</f>
        <v>271542</v>
      </c>
      <c r="P135" s="94">
        <f>IF(K135&lt;INDEX('Pace of change parameters'!$E$18:$I$18,1,$B$5),1,IF(K135&gt;INDEX('Pace of change parameters'!$E$19:$I$19,1,$B$5),0,(K135-INDEX('Pace of change parameters'!$E$19:$I$19,1,$B$5))/(INDEX('Pace of change parameters'!$E$18:$I$18,1,$B$5)-INDEX('Pace of change parameters'!$E$19:$I$19,1,$B$5))))</f>
        <v>0.50065935115587101</v>
      </c>
      <c r="Q135" s="57">
        <v>2.9151178310354853E-2</v>
      </c>
      <c r="R135" s="57">
        <v>1.8518456058858268E-2</v>
      </c>
      <c r="S135" s="9">
        <f>MAX(IF(INDEX('Pace of change parameters'!$E$31:$I$31,1,$B$5)=1,D135*(1+Q135),D135),L135)</f>
        <v>272308.25602502836</v>
      </c>
      <c r="T135" s="103">
        <f>IF(Q135&lt;INDEX('Pace of change parameters'!$E$24:$I$24,1,$B$5),INDEX('Pace of change parameters'!$E$24:$I$24,1,$B$5),Q135)</f>
        <v>2.9151178310354853E-2</v>
      </c>
      <c r="U135" s="132">
        <v>1.8518456058858268E-2</v>
      </c>
      <c r="V135" s="117">
        <f t="shared" si="20"/>
        <v>272308.25602502836</v>
      </c>
      <c r="W135" s="131">
        <f>IF(J135&gt;INDEX('Pace of change parameters'!$E$26:$I$26,1,$B$5),0,IF(J135&lt;INDEX('Pace of change parameters'!$E$25:$I$25,1,$B$5),1,(J135-INDEX('Pace of change parameters'!$E$26:$I$26,1,$B$5))/(INDEX('Pace of change parameters'!$E$25:$I$25,1,$B$5)-INDEX('Pace of change parameters'!$E$26:$I$26,1,$B$5))))</f>
        <v>1</v>
      </c>
      <c r="X135" s="132">
        <f>MIN(T135, T135+(INDEX('Pace of change parameters'!$E$27:$I$27,1,$B$5)-T135)*(1-W135))</f>
        <v>2.9151178310354853E-2</v>
      </c>
      <c r="Y135" s="132">
        <v>1.8518456058858268E-2</v>
      </c>
      <c r="Z135" s="108">
        <f t="shared" si="21"/>
        <v>272308.25602502836</v>
      </c>
      <c r="AA135" s="97">
        <f>MIN(VLOOKUP(A135,'2017-18 disagg'!$A$12:$BC$220,54,FALSE),-2.5%)</f>
        <v>-2.5000000000000001E-2</v>
      </c>
      <c r="AB135" s="99">
        <f t="shared" si="13"/>
        <v>271085.29911265138</v>
      </c>
      <c r="AC135" s="99">
        <f>MAX(IF(INDEX('Pace of change parameters'!$E$29:$I$29,1,$B$5)=1,MAX(AB135,Z135),Z135),L135)</f>
        <v>272308.25602502836</v>
      </c>
      <c r="AD135" s="97">
        <f t="shared" si="14"/>
        <v>2.9151178310354853E-2</v>
      </c>
      <c r="AE135" s="146">
        <v>1.8518456058858268E-2</v>
      </c>
      <c r="AF135" s="56">
        <f t="shared" si="22"/>
        <v>272308.25602502836</v>
      </c>
      <c r="AG135" s="56">
        <v>1547.7746874491265</v>
      </c>
      <c r="AH135" s="16">
        <f t="shared" si="15"/>
        <v>2.9151178310354853E-2</v>
      </c>
      <c r="AI135" s="16">
        <f t="shared" si="16"/>
        <v>1.851845605885849E-2</v>
      </c>
      <c r="AJ135" s="56"/>
      <c r="AK135" s="56">
        <v>278036.20421810402</v>
      </c>
      <c r="AL135" s="56">
        <v>1580.3318098576649</v>
      </c>
      <c r="AM135" s="16">
        <f t="shared" si="23"/>
        <v>-2.0601447243835946E-2</v>
      </c>
      <c r="AN135" s="58">
        <f t="shared" si="23"/>
        <v>-2.0601447243835835E-2</v>
      </c>
      <c r="AP135" s="56">
        <f t="shared" si="17"/>
        <v>0</v>
      </c>
      <c r="AQ135" s="56">
        <f t="shared" si="18"/>
        <v>0</v>
      </c>
    </row>
    <row r="136" spans="1:43" x14ac:dyDescent="0.2">
      <c r="A136" s="156" t="s">
        <v>317</v>
      </c>
      <c r="B136" s="156" t="s">
        <v>318</v>
      </c>
      <c r="D136" s="68">
        <f>VLOOKUP(A136,'2017-18 disagg'!A136:AZ344,43,FALSE)</f>
        <v>490914</v>
      </c>
      <c r="E136" s="73">
        <v>1586.4130773742277</v>
      </c>
      <c r="F136" s="55"/>
      <c r="G136" s="88">
        <v>508288.57587873604</v>
      </c>
      <c r="H136" s="81">
        <v>1625.4460696197896</v>
      </c>
      <c r="I136" s="90"/>
      <c r="J136" s="103">
        <f t="shared" si="19"/>
        <v>-3.4182503214239324E-2</v>
      </c>
      <c r="K136" s="126">
        <f t="shared" si="19"/>
        <v>-2.4013711051448228E-2</v>
      </c>
      <c r="L136" s="56">
        <v>503806</v>
      </c>
      <c r="M136" s="103">
        <v>2.2675036889418632E-2</v>
      </c>
      <c r="N136" s="97">
        <f>INDEX('Pace of change parameters'!$E$22:$I$22,1,$B$5)</f>
        <v>1.2019795091496865E-2</v>
      </c>
      <c r="O136" s="108">
        <f>MAX(IF(INDEX('Pace of change parameters'!$E$30:$I$30,1,$B$5)=1,(1+M136)*D136,D136),L136)</f>
        <v>503806</v>
      </c>
      <c r="P136" s="94">
        <f>IF(K136&lt;INDEX('Pace of change parameters'!$E$18:$I$18,1,$B$5),1,IF(K136&gt;INDEX('Pace of change parameters'!$E$19:$I$19,1,$B$5),0,(K136-INDEX('Pace of change parameters'!$E$19:$I$19,1,$B$5))/(INDEX('Pace of change parameters'!$E$18:$I$18,1,$B$5)-INDEX('Pace of change parameters'!$E$19:$I$19,1,$B$5))))</f>
        <v>0.71821651407151166</v>
      </c>
      <c r="Q136" s="57">
        <v>3.2095789141758146E-2</v>
      </c>
      <c r="R136" s="57">
        <v>2.1342392612816008E-2</v>
      </c>
      <c r="S136" s="9">
        <f>MAX(IF(INDEX('Pace of change parameters'!$E$31:$I$31,1,$B$5)=1,D136*(1+Q136),D136),L136)</f>
        <v>506670.27223073709</v>
      </c>
      <c r="T136" s="103">
        <f>IF(Q136&lt;INDEX('Pace of change parameters'!$E$24:$I$24,1,$B$5),INDEX('Pace of change parameters'!$E$24:$I$24,1,$B$5),Q136)</f>
        <v>3.2095789141758146E-2</v>
      </c>
      <c r="U136" s="132">
        <v>2.1342392612816008E-2</v>
      </c>
      <c r="V136" s="117">
        <f t="shared" si="20"/>
        <v>506670.27223073709</v>
      </c>
      <c r="W136" s="131">
        <f>IF(J136&gt;INDEX('Pace of change parameters'!$E$26:$I$26,1,$B$5),0,IF(J136&lt;INDEX('Pace of change parameters'!$E$25:$I$25,1,$B$5),1,(J136-INDEX('Pace of change parameters'!$E$26:$I$26,1,$B$5))/(INDEX('Pace of change parameters'!$E$25:$I$25,1,$B$5)-INDEX('Pace of change parameters'!$E$26:$I$26,1,$B$5))))</f>
        <v>1</v>
      </c>
      <c r="X136" s="132">
        <f>MIN(T136, T136+(INDEX('Pace of change parameters'!$E$27:$I$27,1,$B$5)-T136)*(1-W136))</f>
        <v>3.2095789141758146E-2</v>
      </c>
      <c r="Y136" s="132">
        <v>2.1342392612816008E-2</v>
      </c>
      <c r="Z136" s="108">
        <f t="shared" si="21"/>
        <v>506670.27223073709</v>
      </c>
      <c r="AA136" s="97">
        <f>MIN(VLOOKUP(A136,'2017-18 disagg'!$A$12:$BC$220,54,FALSE),-2.5%)</f>
        <v>-3.08974055065796E-2</v>
      </c>
      <c r="AB136" s="99">
        <f t="shared" si="13"/>
        <v>505152.92339482356</v>
      </c>
      <c r="AC136" s="99">
        <f>MAX(IF(INDEX('Pace of change parameters'!$E$29:$I$29,1,$B$5)=1,MAX(AB136,Z136),Z136),L136)</f>
        <v>506670.27223073709</v>
      </c>
      <c r="AD136" s="97">
        <f t="shared" si="14"/>
        <v>3.2095789141758146E-2</v>
      </c>
      <c r="AE136" s="146">
        <v>2.1342392612816008E-2</v>
      </c>
      <c r="AF136" s="56">
        <f t="shared" si="22"/>
        <v>506670.27223073709</v>
      </c>
      <c r="AG136" s="56">
        <v>1620.2709281176544</v>
      </c>
      <c r="AH136" s="16">
        <f t="shared" si="15"/>
        <v>3.2095789141758146E-2</v>
      </c>
      <c r="AI136" s="16">
        <f t="shared" si="16"/>
        <v>2.134239261281623E-2</v>
      </c>
      <c r="AJ136" s="56"/>
      <c r="AK136" s="56">
        <v>521258.45732451318</v>
      </c>
      <c r="AL136" s="56">
        <v>1666.9221991649531</v>
      </c>
      <c r="AM136" s="16">
        <f t="shared" si="23"/>
        <v>-2.7986471756551445E-2</v>
      </c>
      <c r="AN136" s="58">
        <f t="shared" si="23"/>
        <v>-2.7986471756551556E-2</v>
      </c>
      <c r="AP136" s="56">
        <f t="shared" si="17"/>
        <v>0</v>
      </c>
      <c r="AQ136" s="56">
        <f t="shared" si="18"/>
        <v>0</v>
      </c>
    </row>
    <row r="137" spans="1:43" x14ac:dyDescent="0.2">
      <c r="A137" s="156" t="s">
        <v>319</v>
      </c>
      <c r="B137" s="156" t="s">
        <v>320</v>
      </c>
      <c r="D137" s="68">
        <f>VLOOKUP(A137,'2017-18 disagg'!A137:AZ345,43,FALSE)</f>
        <v>303715</v>
      </c>
      <c r="E137" s="73">
        <v>1745.2565053142314</v>
      </c>
      <c r="F137" s="55"/>
      <c r="G137" s="88">
        <v>310506.58960611885</v>
      </c>
      <c r="H137" s="81">
        <v>1773.0949155247763</v>
      </c>
      <c r="I137" s="90"/>
      <c r="J137" s="103">
        <f t="shared" si="19"/>
        <v>-2.18726102229716E-2</v>
      </c>
      <c r="K137" s="126">
        <f t="shared" si="19"/>
        <v>-1.5700462488950073E-2</v>
      </c>
      <c r="L137" s="56">
        <v>310319</v>
      </c>
      <c r="M137" s="103">
        <v>1.8405809582393573E-2</v>
      </c>
      <c r="N137" s="97">
        <f>INDEX('Pace of change parameters'!$E$22:$I$22,1,$B$5)</f>
        <v>1.2019795091496865E-2</v>
      </c>
      <c r="O137" s="108">
        <f>MAX(IF(INDEX('Pace of change parameters'!$E$30:$I$30,1,$B$5)=1,(1+M137)*D137,D137),L137)</f>
        <v>310319</v>
      </c>
      <c r="P137" s="94">
        <f>IF(K137&lt;INDEX('Pace of change parameters'!$E$18:$I$18,1,$B$5),1,IF(K137&gt;INDEX('Pace of change parameters'!$E$19:$I$19,1,$B$5),0,(K137-INDEX('Pace of change parameters'!$E$19:$I$19,1,$B$5))/(INDEX('Pace of change parameters'!$E$18:$I$18,1,$B$5)-INDEX('Pace of change parameters'!$E$19:$I$19,1,$B$5))))</f>
        <v>0.53783117314684625</v>
      </c>
      <c r="Q137" s="57">
        <v>2.5431020698091222E-2</v>
      </c>
      <c r="R137" s="57">
        <v>1.9000953925123465E-2</v>
      </c>
      <c r="S137" s="9">
        <f>MAX(IF(INDEX('Pace of change parameters'!$E$31:$I$31,1,$B$5)=1,D137*(1+Q137),D137),L137)</f>
        <v>311438.78245132079</v>
      </c>
      <c r="T137" s="103">
        <f>IF(Q137&lt;INDEX('Pace of change parameters'!$E$24:$I$24,1,$B$5),INDEX('Pace of change parameters'!$E$24:$I$24,1,$B$5),Q137)</f>
        <v>2.5431020698091222E-2</v>
      </c>
      <c r="U137" s="132">
        <v>1.9000953925123465E-2</v>
      </c>
      <c r="V137" s="117">
        <f t="shared" si="20"/>
        <v>311438.78245132079</v>
      </c>
      <c r="W137" s="131">
        <f>IF(J137&gt;INDEX('Pace of change parameters'!$E$26:$I$26,1,$B$5),0,IF(J137&lt;INDEX('Pace of change parameters'!$E$25:$I$25,1,$B$5),1,(J137-INDEX('Pace of change parameters'!$E$26:$I$26,1,$B$5))/(INDEX('Pace of change parameters'!$E$25:$I$25,1,$B$5)-INDEX('Pace of change parameters'!$E$26:$I$26,1,$B$5))))</f>
        <v>1</v>
      </c>
      <c r="X137" s="132">
        <f>MIN(T137, T137+(INDEX('Pace of change parameters'!$E$27:$I$27,1,$B$5)-T137)*(1-W137))</f>
        <v>2.5431020698091222E-2</v>
      </c>
      <c r="Y137" s="132">
        <v>1.9000953925123465E-2</v>
      </c>
      <c r="Z137" s="108">
        <f t="shared" si="21"/>
        <v>311438.78245132079</v>
      </c>
      <c r="AA137" s="97">
        <f>MIN(VLOOKUP(A137,'2017-18 disagg'!$A$12:$BC$220,54,FALSE),-2.5%)</f>
        <v>-2.5000000000000001E-2</v>
      </c>
      <c r="AB137" s="99">
        <f t="shared" si="13"/>
        <v>310360.11509928945</v>
      </c>
      <c r="AC137" s="99">
        <f>MAX(IF(INDEX('Pace of change parameters'!$E$29:$I$29,1,$B$5)=1,MAX(AB137,Z137),Z137),L137)</f>
        <v>311438.78245132079</v>
      </c>
      <c r="AD137" s="97">
        <f t="shared" si="14"/>
        <v>2.5431020698091222E-2</v>
      </c>
      <c r="AE137" s="146">
        <v>1.9000953925123465E-2</v>
      </c>
      <c r="AF137" s="56">
        <f t="shared" si="22"/>
        <v>311438.78245132079</v>
      </c>
      <c r="AG137" s="56">
        <v>1778.4180437592295</v>
      </c>
      <c r="AH137" s="16">
        <f t="shared" si="15"/>
        <v>2.5431020698091222E-2</v>
      </c>
      <c r="AI137" s="16">
        <f t="shared" si="16"/>
        <v>1.9000953925123687E-2</v>
      </c>
      <c r="AJ137" s="56"/>
      <c r="AK137" s="56">
        <v>318318.066768502</v>
      </c>
      <c r="AL137" s="56">
        <v>1817.7010234238999</v>
      </c>
      <c r="AM137" s="16">
        <f t="shared" si="23"/>
        <v>-2.1611353659621857E-2</v>
      </c>
      <c r="AN137" s="58">
        <f t="shared" si="23"/>
        <v>-2.1611353659621857E-2</v>
      </c>
      <c r="AP137" s="56">
        <f t="shared" si="17"/>
        <v>0</v>
      </c>
      <c r="AQ137" s="56">
        <f t="shared" si="18"/>
        <v>0</v>
      </c>
    </row>
    <row r="138" spans="1:43" x14ac:dyDescent="0.2">
      <c r="A138" s="156" t="s">
        <v>321</v>
      </c>
      <c r="B138" s="156" t="s">
        <v>322</v>
      </c>
      <c r="D138" s="68">
        <f>VLOOKUP(A138,'2017-18 disagg'!A138:AZ346,43,FALSE)</f>
        <v>399388</v>
      </c>
      <c r="E138" s="73">
        <v>1603.9302825396499</v>
      </c>
      <c r="F138" s="55"/>
      <c r="G138" s="88">
        <v>410092.14223957394</v>
      </c>
      <c r="H138" s="81">
        <v>1635.1773670302828</v>
      </c>
      <c r="I138" s="90"/>
      <c r="J138" s="103">
        <f t="shared" si="19"/>
        <v>-2.6101797954764527E-2</v>
      </c>
      <c r="K138" s="126">
        <f t="shared" si="19"/>
        <v>-1.9109293658694737E-2</v>
      </c>
      <c r="L138" s="56">
        <v>408848</v>
      </c>
      <c r="M138" s="103">
        <v>1.928600910649747E-2</v>
      </c>
      <c r="N138" s="97">
        <f>INDEX('Pace of change parameters'!$E$22:$I$22,1,$B$5)</f>
        <v>1.2019795091496865E-2</v>
      </c>
      <c r="O138" s="108">
        <f>MAX(IF(INDEX('Pace of change parameters'!$E$30:$I$30,1,$B$5)=1,(1+M138)*D138,D138),L138)</f>
        <v>408848</v>
      </c>
      <c r="P138" s="94">
        <f>IF(K138&lt;INDEX('Pace of change parameters'!$E$18:$I$18,1,$B$5),1,IF(K138&gt;INDEX('Pace of change parameters'!$E$19:$I$19,1,$B$5),0,(K138-INDEX('Pace of change parameters'!$E$19:$I$19,1,$B$5))/(INDEX('Pace of change parameters'!$E$18:$I$18,1,$B$5)-INDEX('Pace of change parameters'!$E$19:$I$19,1,$B$5))))</f>
        <v>0.61179782626520762</v>
      </c>
      <c r="Q138" s="57">
        <v>2.7284287817612052E-2</v>
      </c>
      <c r="R138" s="57">
        <v>1.9961056238996022E-2</v>
      </c>
      <c r="S138" s="9">
        <f>MAX(IF(INDEX('Pace of change parameters'!$E$31:$I$31,1,$B$5)=1,D138*(1+Q138),D138),L138)</f>
        <v>410285.01714290044</v>
      </c>
      <c r="T138" s="103">
        <f>IF(Q138&lt;INDEX('Pace of change parameters'!$E$24:$I$24,1,$B$5),INDEX('Pace of change parameters'!$E$24:$I$24,1,$B$5),Q138)</f>
        <v>2.7284287817612052E-2</v>
      </c>
      <c r="U138" s="132">
        <v>1.9961056238996022E-2</v>
      </c>
      <c r="V138" s="117">
        <f t="shared" si="20"/>
        <v>410285.01714290044</v>
      </c>
      <c r="W138" s="131">
        <f>IF(J138&gt;INDEX('Pace of change parameters'!$E$26:$I$26,1,$B$5),0,IF(J138&lt;INDEX('Pace of change parameters'!$E$25:$I$25,1,$B$5),1,(J138-INDEX('Pace of change parameters'!$E$26:$I$26,1,$B$5))/(INDEX('Pace of change parameters'!$E$25:$I$25,1,$B$5)-INDEX('Pace of change parameters'!$E$26:$I$26,1,$B$5))))</f>
        <v>1</v>
      </c>
      <c r="X138" s="132">
        <f>MIN(T138, T138+(INDEX('Pace of change parameters'!$E$27:$I$27,1,$B$5)-T138)*(1-W138))</f>
        <v>2.7284287817612052E-2</v>
      </c>
      <c r="Y138" s="132">
        <v>1.9961056238996022E-2</v>
      </c>
      <c r="Z138" s="108">
        <f t="shared" si="21"/>
        <v>410285.01714290044</v>
      </c>
      <c r="AA138" s="97">
        <f>MIN(VLOOKUP(A138,'2017-18 disagg'!$A$12:$BC$220,54,FALSE),-2.5%)</f>
        <v>-2.6033670299881906E-2</v>
      </c>
      <c r="AB138" s="99">
        <f t="shared" si="13"/>
        <v>409790.94461387873</v>
      </c>
      <c r="AC138" s="99">
        <f>MAX(IF(INDEX('Pace of change parameters'!$E$29:$I$29,1,$B$5)=1,MAX(AB138,Z138),Z138),L138)</f>
        <v>410285.01714290044</v>
      </c>
      <c r="AD138" s="97">
        <f t="shared" si="14"/>
        <v>2.7284287817612052E-2</v>
      </c>
      <c r="AE138" s="146">
        <v>1.9961056238996022E-2</v>
      </c>
      <c r="AF138" s="56">
        <f t="shared" si="22"/>
        <v>410285.01714290044</v>
      </c>
      <c r="AG138" s="56">
        <v>1635.9464251128525</v>
      </c>
      <c r="AH138" s="16">
        <f t="shared" si="15"/>
        <v>2.7284287817612052E-2</v>
      </c>
      <c r="AI138" s="16">
        <f t="shared" si="16"/>
        <v>1.9961056238996022E-2</v>
      </c>
      <c r="AJ138" s="56"/>
      <c r="AK138" s="56">
        <v>420744.46735756501</v>
      </c>
      <c r="AL138" s="56">
        <v>1677.6518237317998</v>
      </c>
      <c r="AM138" s="16">
        <f t="shared" si="23"/>
        <v>-2.4859388598390542E-2</v>
      </c>
      <c r="AN138" s="58">
        <f t="shared" si="23"/>
        <v>-2.4859388598390542E-2</v>
      </c>
      <c r="AP138" s="56">
        <f t="shared" si="17"/>
        <v>0</v>
      </c>
      <c r="AQ138" s="56">
        <f t="shared" si="18"/>
        <v>0</v>
      </c>
    </row>
    <row r="139" spans="1:43" x14ac:dyDescent="0.2">
      <c r="A139" s="156" t="s">
        <v>323</v>
      </c>
      <c r="B139" s="156" t="s">
        <v>324</v>
      </c>
      <c r="D139" s="68">
        <f>VLOOKUP(A139,'2017-18 disagg'!A139:AZ347,43,FALSE)</f>
        <v>354579</v>
      </c>
      <c r="E139" s="73">
        <v>1594.400577199694</v>
      </c>
      <c r="F139" s="55"/>
      <c r="G139" s="88">
        <v>362324.76189174585</v>
      </c>
      <c r="H139" s="81">
        <v>1599.2307360355387</v>
      </c>
      <c r="I139" s="90"/>
      <c r="J139" s="103">
        <f t="shared" si="19"/>
        <v>-2.1377953445147369E-2</v>
      </c>
      <c r="K139" s="126">
        <f t="shared" si="19"/>
        <v>-3.0203014030474318E-3</v>
      </c>
      <c r="L139" s="56">
        <v>366969</v>
      </c>
      <c r="M139" s="103">
        <v>3.1003944614196088E-2</v>
      </c>
      <c r="N139" s="97">
        <f>INDEX('Pace of change parameters'!$E$22:$I$22,1,$B$5)</f>
        <v>1.2019795091496865E-2</v>
      </c>
      <c r="O139" s="108">
        <f>MAX(IF(INDEX('Pace of change parameters'!$E$30:$I$30,1,$B$5)=1,(1+M139)*D139,D139),L139)</f>
        <v>366969</v>
      </c>
      <c r="P139" s="94">
        <f>IF(K139&lt;INDEX('Pace of change parameters'!$E$18:$I$18,1,$B$5),1,IF(K139&gt;INDEX('Pace of change parameters'!$E$19:$I$19,1,$B$5),0,(K139-INDEX('Pace of change parameters'!$E$19:$I$19,1,$B$5))/(INDEX('Pace of change parameters'!$E$18:$I$18,1,$B$5)-INDEX('Pace of change parameters'!$E$19:$I$19,1,$B$5))))</f>
        <v>0.262690214318968</v>
      </c>
      <c r="Q139" s="57">
        <v>3.4477680240412756E-2</v>
      </c>
      <c r="R139" s="57">
        <v>1.5429567900815622E-2</v>
      </c>
      <c r="S139" s="9">
        <f>MAX(IF(INDEX('Pace of change parameters'!$E$31:$I$31,1,$B$5)=1,D139*(1+Q139),D139),L139)</f>
        <v>366969</v>
      </c>
      <c r="T139" s="103">
        <f>IF(Q139&lt;INDEX('Pace of change parameters'!$E$24:$I$24,1,$B$5),INDEX('Pace of change parameters'!$E$24:$I$24,1,$B$5),Q139)</f>
        <v>3.4477680240412756E-2</v>
      </c>
      <c r="U139" s="132">
        <v>1.5429567900815622E-2</v>
      </c>
      <c r="V139" s="117">
        <f t="shared" si="20"/>
        <v>366969</v>
      </c>
      <c r="W139" s="131">
        <f>IF(J139&gt;INDEX('Pace of change parameters'!$E$26:$I$26,1,$B$5),0,IF(J139&lt;INDEX('Pace of change parameters'!$E$25:$I$25,1,$B$5),1,(J139-INDEX('Pace of change parameters'!$E$26:$I$26,1,$B$5))/(INDEX('Pace of change parameters'!$E$25:$I$25,1,$B$5)-INDEX('Pace of change parameters'!$E$26:$I$26,1,$B$5))))</f>
        <v>1</v>
      </c>
      <c r="X139" s="132">
        <f>MIN(T139, T139+(INDEX('Pace of change parameters'!$E$27:$I$27,1,$B$5)-T139)*(1-W139))</f>
        <v>3.4477680240412756E-2</v>
      </c>
      <c r="Y139" s="132">
        <v>1.5429567900815622E-2</v>
      </c>
      <c r="Z139" s="108">
        <f t="shared" si="21"/>
        <v>366969</v>
      </c>
      <c r="AA139" s="97">
        <f>MIN(VLOOKUP(A139,'2017-18 disagg'!$A$12:$BC$220,54,FALSE),-2.5%)</f>
        <v>-2.5000000000000001E-2</v>
      </c>
      <c r="AB139" s="99">
        <f t="shared" si="13"/>
        <v>362384.67347699776</v>
      </c>
      <c r="AC139" s="99">
        <f>MAX(IF(INDEX('Pace of change parameters'!$E$29:$I$29,1,$B$5)=1,MAX(AB139,Z139),Z139),L139)</f>
        <v>366969</v>
      </c>
      <c r="AD139" s="97">
        <f t="shared" si="14"/>
        <v>3.4942847715177638E-2</v>
      </c>
      <c r="AE139" s="146">
        <v>1.5886170123293963E-2</v>
      </c>
      <c r="AF139" s="56">
        <f t="shared" si="22"/>
        <v>366969</v>
      </c>
      <c r="AG139" s="56">
        <v>1619.7294960137667</v>
      </c>
      <c r="AH139" s="16">
        <f t="shared" si="15"/>
        <v>3.4942847715177638E-2</v>
      </c>
      <c r="AI139" s="16">
        <f t="shared" si="16"/>
        <v>1.5886170123294185E-2</v>
      </c>
      <c r="AJ139" s="56"/>
      <c r="AK139" s="56">
        <v>371676.58818153618</v>
      </c>
      <c r="AL139" s="56">
        <v>1640.5078708430303</v>
      </c>
      <c r="AM139" s="16">
        <f t="shared" si="23"/>
        <v>-1.2665818432547771E-2</v>
      </c>
      <c r="AN139" s="58">
        <f t="shared" si="23"/>
        <v>-1.2665818432547882E-2</v>
      </c>
      <c r="AP139" s="56">
        <f t="shared" si="17"/>
        <v>1</v>
      </c>
      <c r="AQ139" s="56">
        <f t="shared" si="18"/>
        <v>0</v>
      </c>
    </row>
    <row r="140" spans="1:43" x14ac:dyDescent="0.2">
      <c r="A140" s="156" t="s">
        <v>325</v>
      </c>
      <c r="B140" s="156" t="s">
        <v>326</v>
      </c>
      <c r="D140" s="68">
        <f>VLOOKUP(A140,'2017-18 disagg'!A140:AZ348,43,FALSE)</f>
        <v>643637</v>
      </c>
      <c r="E140" s="73">
        <v>1555.0273198787277</v>
      </c>
      <c r="F140" s="55"/>
      <c r="G140" s="88">
        <v>662129.55084662174</v>
      </c>
      <c r="H140" s="81">
        <v>1575.8193967314808</v>
      </c>
      <c r="I140" s="90"/>
      <c r="J140" s="103">
        <f t="shared" si="19"/>
        <v>-2.7928901259544392E-2</v>
      </c>
      <c r="K140" s="126">
        <f t="shared" si="19"/>
        <v>-1.3194454196895578E-2</v>
      </c>
      <c r="L140" s="56">
        <v>665077</v>
      </c>
      <c r="M140" s="103">
        <v>2.7359776000763336E-2</v>
      </c>
      <c r="N140" s="97">
        <f>INDEX('Pace of change parameters'!$E$22:$I$22,1,$B$5)</f>
        <v>1.2019795091496865E-2</v>
      </c>
      <c r="O140" s="108">
        <f>MAX(IF(INDEX('Pace of change parameters'!$E$30:$I$30,1,$B$5)=1,(1+M140)*D140,D140),L140)</f>
        <v>665077</v>
      </c>
      <c r="P140" s="94">
        <f>IF(K140&lt;INDEX('Pace of change parameters'!$E$18:$I$18,1,$B$5),1,IF(K140&gt;INDEX('Pace of change parameters'!$E$19:$I$19,1,$B$5),0,(K140-INDEX('Pace of change parameters'!$E$19:$I$19,1,$B$5))/(INDEX('Pace of change parameters'!$E$18:$I$18,1,$B$5)-INDEX('Pace of change parameters'!$E$19:$I$19,1,$B$5))))</f>
        <v>0.48345445666545589</v>
      </c>
      <c r="Q140" s="57">
        <v>3.3730234150201044E-2</v>
      </c>
      <c r="R140" s="57">
        <v>1.8295133002943498E-2</v>
      </c>
      <c r="S140" s="9">
        <f>MAX(IF(INDEX('Pace of change parameters'!$E$31:$I$31,1,$B$5)=1,D140*(1+Q140),D140),L140)</f>
        <v>665347.02671773289</v>
      </c>
      <c r="T140" s="103">
        <f>IF(Q140&lt;INDEX('Pace of change parameters'!$E$24:$I$24,1,$B$5),INDEX('Pace of change parameters'!$E$24:$I$24,1,$B$5),Q140)</f>
        <v>3.3730234150201044E-2</v>
      </c>
      <c r="U140" s="132">
        <v>1.8295133002943498E-2</v>
      </c>
      <c r="V140" s="117">
        <f t="shared" si="20"/>
        <v>665347.02671773289</v>
      </c>
      <c r="W140" s="131">
        <f>IF(J140&gt;INDEX('Pace of change parameters'!$E$26:$I$26,1,$B$5),0,IF(J140&lt;INDEX('Pace of change parameters'!$E$25:$I$25,1,$B$5),1,(J140-INDEX('Pace of change parameters'!$E$26:$I$26,1,$B$5))/(INDEX('Pace of change parameters'!$E$25:$I$25,1,$B$5)-INDEX('Pace of change parameters'!$E$26:$I$26,1,$B$5))))</f>
        <v>1</v>
      </c>
      <c r="X140" s="132">
        <f>MIN(T140, T140+(INDEX('Pace of change parameters'!$E$27:$I$27,1,$B$5)-T140)*(1-W140))</f>
        <v>3.3730234150201044E-2</v>
      </c>
      <c r="Y140" s="132">
        <v>1.8295133002943498E-2</v>
      </c>
      <c r="Z140" s="108">
        <f t="shared" si="21"/>
        <v>665347.02671773289</v>
      </c>
      <c r="AA140" s="97">
        <f>MIN(VLOOKUP(A140,'2017-18 disagg'!$A$12:$BC$220,54,FALSE),-2.5%)</f>
        <v>-2.5000000000000001E-2</v>
      </c>
      <c r="AB140" s="99">
        <f t="shared" ref="AB140:AB203" si="24">(1+AA140)*AK140</f>
        <v>662628.91140148405</v>
      </c>
      <c r="AC140" s="99">
        <f>MAX(IF(INDEX('Pace of change parameters'!$E$29:$I$29,1,$B$5)=1,MAX(AB140,Z140),Z140),L140)</f>
        <v>665347.02671773289</v>
      </c>
      <c r="AD140" s="97">
        <f t="shared" ref="AD140:AD203" si="25">AC140/D140-1</f>
        <v>3.3730234150201044E-2</v>
      </c>
      <c r="AE140" s="146">
        <v>1.8295133002943498E-2</v>
      </c>
      <c r="AF140" s="56">
        <f t="shared" si="22"/>
        <v>665347.02671773289</v>
      </c>
      <c r="AG140" s="56">
        <v>1583.4767515191195</v>
      </c>
      <c r="AH140" s="16">
        <f t="shared" ref="AH140:AH203" si="26">AF140/D140 - 1</f>
        <v>3.3730234150201044E-2</v>
      </c>
      <c r="AI140" s="16">
        <f t="shared" ref="AI140:AI203" si="27">AG140/E140 - 1</f>
        <v>1.8295133002943276E-2</v>
      </c>
      <c r="AJ140" s="56"/>
      <c r="AK140" s="56">
        <v>679619.39630921441</v>
      </c>
      <c r="AL140" s="56">
        <v>1617.4439363560139</v>
      </c>
      <c r="AM140" s="16">
        <f t="shared" si="23"/>
        <v>-2.1000533046864112E-2</v>
      </c>
      <c r="AN140" s="58">
        <f t="shared" si="23"/>
        <v>-2.1000533046864112E-2</v>
      </c>
      <c r="AP140" s="56">
        <f t="shared" ref="AP140:AP203" si="28">IF(AF140=L140,1,0)</f>
        <v>0</v>
      </c>
      <c r="AQ140" s="56">
        <f t="shared" ref="AQ140:AQ203" si="29">IF(AB140=AF140,1,0)</f>
        <v>0</v>
      </c>
    </row>
    <row r="141" spans="1:43" x14ac:dyDescent="0.2">
      <c r="A141" s="156" t="s">
        <v>327</v>
      </c>
      <c r="B141" s="156" t="s">
        <v>328</v>
      </c>
      <c r="D141" s="68">
        <f>VLOOKUP(A141,'2017-18 disagg'!A141:AZ349,43,FALSE)</f>
        <v>399568</v>
      </c>
      <c r="E141" s="73">
        <v>1672.2437972963312</v>
      </c>
      <c r="F141" s="55"/>
      <c r="G141" s="88">
        <v>411853.31216280756</v>
      </c>
      <c r="H141" s="81">
        <v>1706.892942761267</v>
      </c>
      <c r="I141" s="90"/>
      <c r="J141" s="103">
        <f t="shared" ref="J141:K204" si="30">D141/G141-1</f>
        <v>-2.9829339233166441E-2</v>
      </c>
      <c r="K141" s="126">
        <f t="shared" si="30"/>
        <v>-2.0299542283468197E-2</v>
      </c>
      <c r="L141" s="56">
        <v>410128</v>
      </c>
      <c r="M141" s="103">
        <v>2.1960667915536192E-2</v>
      </c>
      <c r="N141" s="97">
        <f>INDEX('Pace of change parameters'!$E$22:$I$22,1,$B$5)</f>
        <v>1.2019795091496865E-2</v>
      </c>
      <c r="O141" s="108">
        <f>MAX(IF(INDEX('Pace of change parameters'!$E$30:$I$30,1,$B$5)=1,(1+M141)*D141,D141),L141)</f>
        <v>410128</v>
      </c>
      <c r="P141" s="94">
        <f>IF(K141&lt;INDEX('Pace of change parameters'!$E$18:$I$18,1,$B$5),1,IF(K141&gt;INDEX('Pace of change parameters'!$E$19:$I$19,1,$B$5),0,(K141-INDEX('Pace of change parameters'!$E$19:$I$19,1,$B$5))/(INDEX('Pace of change parameters'!$E$18:$I$18,1,$B$5)-INDEX('Pace of change parameters'!$E$19:$I$19,1,$B$5))))</f>
        <v>0.63762448143505568</v>
      </c>
      <c r="Q141" s="57">
        <v>3.0318462747410457E-2</v>
      </c>
      <c r="R141" s="57">
        <v>2.0296291515201847E-2</v>
      </c>
      <c r="S141" s="9">
        <f>MAX(IF(INDEX('Pace of change parameters'!$E$31:$I$31,1,$B$5)=1,D141*(1+Q141),D141),L141)</f>
        <v>411682.28752305731</v>
      </c>
      <c r="T141" s="103">
        <f>IF(Q141&lt;INDEX('Pace of change parameters'!$E$24:$I$24,1,$B$5),INDEX('Pace of change parameters'!$E$24:$I$24,1,$B$5),Q141)</f>
        <v>3.0318462747410457E-2</v>
      </c>
      <c r="U141" s="132">
        <v>2.0296291515201847E-2</v>
      </c>
      <c r="V141" s="117">
        <f t="shared" ref="V141:V204" si="31">MAX(D141*(1+T141),L141)</f>
        <v>411682.28752305731</v>
      </c>
      <c r="W141" s="131">
        <f>IF(J141&gt;INDEX('Pace of change parameters'!$E$26:$I$26,1,$B$5),0,IF(J141&lt;INDEX('Pace of change parameters'!$E$25:$I$25,1,$B$5),1,(J141-INDEX('Pace of change parameters'!$E$26:$I$26,1,$B$5))/(INDEX('Pace of change parameters'!$E$25:$I$25,1,$B$5)-INDEX('Pace of change parameters'!$E$26:$I$26,1,$B$5))))</f>
        <v>1</v>
      </c>
      <c r="X141" s="132">
        <f>MIN(T141, T141+(INDEX('Pace of change parameters'!$E$27:$I$27,1,$B$5)-T141)*(1-W141))</f>
        <v>3.0318462747410457E-2</v>
      </c>
      <c r="Y141" s="132">
        <v>2.0296291515201847E-2</v>
      </c>
      <c r="Z141" s="108">
        <f t="shared" ref="Z141:Z204" si="32">MAX(D141*(1+X141),L141)</f>
        <v>411682.28752305731</v>
      </c>
      <c r="AA141" s="97">
        <f>MIN(VLOOKUP(A141,'2017-18 disagg'!$A$12:$BC$220,54,FALSE),-2.5%)</f>
        <v>-2.7212285503902978E-2</v>
      </c>
      <c r="AB141" s="99">
        <f t="shared" si="24"/>
        <v>410951.20179840137</v>
      </c>
      <c r="AC141" s="99">
        <f>MAX(IF(INDEX('Pace of change parameters'!$E$29:$I$29,1,$B$5)=1,MAX(AB141,Z141),Z141),L141)</f>
        <v>411682.28752305731</v>
      </c>
      <c r="AD141" s="97">
        <f t="shared" si="25"/>
        <v>3.0318462747410457E-2</v>
      </c>
      <c r="AE141" s="146">
        <v>2.0296291515201847E-2</v>
      </c>
      <c r="AF141" s="56">
        <f t="shared" ref="AF141:AF204" si="33">AC141</f>
        <v>411682.28752305731</v>
      </c>
      <c r="AG141" s="56">
        <v>1706.184144890746</v>
      </c>
      <c r="AH141" s="16">
        <f t="shared" si="26"/>
        <v>3.0318462747410457E-2</v>
      </c>
      <c r="AI141" s="16">
        <f t="shared" si="27"/>
        <v>2.029629151520207E-2</v>
      </c>
      <c r="AJ141" s="56"/>
      <c r="AK141" s="56">
        <v>422446.94877882337</v>
      </c>
      <c r="AL141" s="56">
        <v>1750.7974180782137</v>
      </c>
      <c r="AM141" s="16">
        <f t="shared" ref="AM141:AN163" si="34">AF141/AK141-1</f>
        <v>-2.5481687787978324E-2</v>
      </c>
      <c r="AN141" s="58">
        <f t="shared" si="34"/>
        <v>-2.5481687787978435E-2</v>
      </c>
      <c r="AP141" s="56">
        <f t="shared" si="28"/>
        <v>0</v>
      </c>
      <c r="AQ141" s="56">
        <f t="shared" si="29"/>
        <v>0</v>
      </c>
    </row>
    <row r="142" spans="1:43" x14ac:dyDescent="0.2">
      <c r="A142" s="156" t="s">
        <v>329</v>
      </c>
      <c r="B142" s="156" t="s">
        <v>330</v>
      </c>
      <c r="D142" s="68">
        <f>VLOOKUP(A142,'2017-18 disagg'!A142:AZ350,43,FALSE)</f>
        <v>567730</v>
      </c>
      <c r="E142" s="73">
        <v>1508.3306195642294</v>
      </c>
      <c r="F142" s="55"/>
      <c r="G142" s="88">
        <v>570757.92653538892</v>
      </c>
      <c r="H142" s="81">
        <v>1503.2884179007558</v>
      </c>
      <c r="I142" s="90"/>
      <c r="J142" s="103">
        <f t="shared" si="30"/>
        <v>-5.3050976510637948E-3</v>
      </c>
      <c r="K142" s="126">
        <f t="shared" si="30"/>
        <v>3.3541146219397966E-3</v>
      </c>
      <c r="L142" s="56">
        <v>583178</v>
      </c>
      <c r="M142" s="103">
        <v>2.0829827403399337E-2</v>
      </c>
      <c r="N142" s="97">
        <f>INDEX('Pace of change parameters'!$E$22:$I$22,1,$B$5)</f>
        <v>1.2019795091496865E-2</v>
      </c>
      <c r="O142" s="108">
        <f>MAX(IF(INDEX('Pace of change parameters'!$E$30:$I$30,1,$B$5)=1,(1+M142)*D142,D142),L142)</f>
        <v>583178</v>
      </c>
      <c r="P142" s="94">
        <f>IF(K142&lt;INDEX('Pace of change parameters'!$E$18:$I$18,1,$B$5),1,IF(K142&gt;INDEX('Pace of change parameters'!$E$19:$I$19,1,$B$5),0,(K142-INDEX('Pace of change parameters'!$E$19:$I$19,1,$B$5))/(INDEX('Pace of change parameters'!$E$18:$I$18,1,$B$5)-INDEX('Pace of change parameters'!$E$19:$I$19,1,$B$5))))</f>
        <v>0.12437470513883138</v>
      </c>
      <c r="Q142" s="57">
        <v>2.2458290631344413E-2</v>
      </c>
      <c r="R142" s="57">
        <v>1.3634204249633575E-2</v>
      </c>
      <c r="S142" s="9">
        <f>MAX(IF(INDEX('Pace of change parameters'!$E$31:$I$31,1,$B$5)=1,D142*(1+Q142),D142),L142)</f>
        <v>583178</v>
      </c>
      <c r="T142" s="103">
        <f>IF(Q142&lt;INDEX('Pace of change parameters'!$E$24:$I$24,1,$B$5),INDEX('Pace of change parameters'!$E$24:$I$24,1,$B$5),Q142)</f>
        <v>2.2458290631344413E-2</v>
      </c>
      <c r="U142" s="132">
        <v>1.3634204249633575E-2</v>
      </c>
      <c r="V142" s="117">
        <f t="shared" si="31"/>
        <v>583178</v>
      </c>
      <c r="W142" s="131">
        <f>IF(J142&gt;INDEX('Pace of change parameters'!$E$26:$I$26,1,$B$5),0,IF(J142&lt;INDEX('Pace of change parameters'!$E$25:$I$25,1,$B$5),1,(J142-INDEX('Pace of change parameters'!$E$26:$I$26,1,$B$5))/(INDEX('Pace of change parameters'!$E$25:$I$25,1,$B$5)-INDEX('Pace of change parameters'!$E$26:$I$26,1,$B$5))))</f>
        <v>1</v>
      </c>
      <c r="X142" s="132">
        <f>MIN(T142, T142+(INDEX('Pace of change parameters'!$E$27:$I$27,1,$B$5)-T142)*(1-W142))</f>
        <v>2.2458290631344413E-2</v>
      </c>
      <c r="Y142" s="132">
        <v>1.3634204249633575E-2</v>
      </c>
      <c r="Z142" s="108">
        <f t="shared" si="32"/>
        <v>583178</v>
      </c>
      <c r="AA142" s="97">
        <f>MIN(VLOOKUP(A142,'2017-18 disagg'!$A$12:$BC$220,54,FALSE),-2.5%)</f>
        <v>-2.5000000000000001E-2</v>
      </c>
      <c r="AB142" s="99">
        <f t="shared" si="24"/>
        <v>571209.15388924966</v>
      </c>
      <c r="AC142" s="99">
        <f>MAX(IF(INDEX('Pace of change parameters'!$E$29:$I$29,1,$B$5)=1,MAX(AB142,Z142),Z142),L142)</f>
        <v>583178</v>
      </c>
      <c r="AD142" s="97">
        <f t="shared" si="25"/>
        <v>2.7210117485424457E-2</v>
      </c>
      <c r="AE142" s="146">
        <v>1.8345021576952947E-2</v>
      </c>
      <c r="AF142" s="56">
        <f t="shared" si="33"/>
        <v>583178</v>
      </c>
      <c r="AG142" s="56">
        <v>1536.0009773253137</v>
      </c>
      <c r="AH142" s="16">
        <f t="shared" si="26"/>
        <v>2.7210117485424457E-2</v>
      </c>
      <c r="AI142" s="16">
        <f t="shared" si="27"/>
        <v>1.8345021576952725E-2</v>
      </c>
      <c r="AJ142" s="56"/>
      <c r="AK142" s="56">
        <v>585855.54245051253</v>
      </c>
      <c r="AL142" s="56">
        <v>1543.0532114987859</v>
      </c>
      <c r="AM142" s="16">
        <f t="shared" si="34"/>
        <v>-4.5703117176513208E-3</v>
      </c>
      <c r="AN142" s="58">
        <f t="shared" si="34"/>
        <v>-4.5703117176512098E-3</v>
      </c>
      <c r="AP142" s="56">
        <f t="shared" si="28"/>
        <v>1</v>
      </c>
      <c r="AQ142" s="56">
        <f t="shared" si="29"/>
        <v>0</v>
      </c>
    </row>
    <row r="143" spans="1:43" x14ac:dyDescent="0.2">
      <c r="A143" s="156" t="s">
        <v>331</v>
      </c>
      <c r="B143" s="156" t="s">
        <v>332</v>
      </c>
      <c r="D143" s="68">
        <f>VLOOKUP(A143,'2017-18 disagg'!A143:AZ351,43,FALSE)</f>
        <v>571486</v>
      </c>
      <c r="E143" s="73">
        <v>1643.7799181195833</v>
      </c>
      <c r="F143" s="55"/>
      <c r="G143" s="88">
        <v>586698.92655808176</v>
      </c>
      <c r="H143" s="81">
        <v>1668.8848406303016</v>
      </c>
      <c r="I143" s="90"/>
      <c r="J143" s="103">
        <f t="shared" si="30"/>
        <v>-2.5929698980923122E-2</v>
      </c>
      <c r="K143" s="126">
        <f t="shared" si="30"/>
        <v>-1.5042932801305087E-2</v>
      </c>
      <c r="L143" s="56">
        <v>588011</v>
      </c>
      <c r="M143" s="103">
        <v>2.3330706497767473E-2</v>
      </c>
      <c r="N143" s="97">
        <f>INDEX('Pace of change parameters'!$E$22:$I$22,1,$B$5)</f>
        <v>1.2019795091496865E-2</v>
      </c>
      <c r="O143" s="108">
        <f>MAX(IF(INDEX('Pace of change parameters'!$E$30:$I$30,1,$B$5)=1,(1+M143)*D143,D143),L143)</f>
        <v>588011</v>
      </c>
      <c r="P143" s="94">
        <f>IF(K143&lt;INDEX('Pace of change parameters'!$E$18:$I$18,1,$B$5),1,IF(K143&gt;INDEX('Pace of change parameters'!$E$19:$I$19,1,$B$5),0,(K143-INDEX('Pace of change parameters'!$E$19:$I$19,1,$B$5))/(INDEX('Pace of change parameters'!$E$18:$I$18,1,$B$5)-INDEX('Pace of change parameters'!$E$19:$I$19,1,$B$5))))</f>
        <v>0.52356374014731055</v>
      </c>
      <c r="Q143" s="57">
        <v>3.0202626710842173E-2</v>
      </c>
      <c r="R143" s="57">
        <v>1.8815759721271252E-2</v>
      </c>
      <c r="S143" s="9">
        <f>MAX(IF(INDEX('Pace of change parameters'!$E$31:$I$31,1,$B$5)=1,D143*(1+Q143),D143),L143)</f>
        <v>588746.37832847238</v>
      </c>
      <c r="T143" s="103">
        <f>IF(Q143&lt;INDEX('Pace of change parameters'!$E$24:$I$24,1,$B$5),INDEX('Pace of change parameters'!$E$24:$I$24,1,$B$5),Q143)</f>
        <v>3.0202626710842173E-2</v>
      </c>
      <c r="U143" s="132">
        <v>1.8815759721271252E-2</v>
      </c>
      <c r="V143" s="117">
        <f t="shared" si="31"/>
        <v>588746.37832847238</v>
      </c>
      <c r="W143" s="131">
        <f>IF(J143&gt;INDEX('Pace of change parameters'!$E$26:$I$26,1,$B$5),0,IF(J143&lt;INDEX('Pace of change parameters'!$E$25:$I$25,1,$B$5),1,(J143-INDEX('Pace of change parameters'!$E$26:$I$26,1,$B$5))/(INDEX('Pace of change parameters'!$E$25:$I$25,1,$B$5)-INDEX('Pace of change parameters'!$E$26:$I$26,1,$B$5))))</f>
        <v>1</v>
      </c>
      <c r="X143" s="132">
        <f>MIN(T143, T143+(INDEX('Pace of change parameters'!$E$27:$I$27,1,$B$5)-T143)*(1-W143))</f>
        <v>3.0202626710842173E-2</v>
      </c>
      <c r="Y143" s="132">
        <v>1.8815759721271252E-2</v>
      </c>
      <c r="Z143" s="108">
        <f t="shared" si="32"/>
        <v>588746.37832847238</v>
      </c>
      <c r="AA143" s="97">
        <f>MIN(VLOOKUP(A143,'2017-18 disagg'!$A$12:$BC$220,54,FALSE),-2.5%)</f>
        <v>-2.5000000000000001E-2</v>
      </c>
      <c r="AB143" s="99">
        <f t="shared" si="24"/>
        <v>586741.2402284781</v>
      </c>
      <c r="AC143" s="99">
        <f>MAX(IF(INDEX('Pace of change parameters'!$E$29:$I$29,1,$B$5)=1,MAX(AB143,Z143),Z143),L143)</f>
        <v>588746.37832847238</v>
      </c>
      <c r="AD143" s="97">
        <f t="shared" si="25"/>
        <v>3.0202626710842173E-2</v>
      </c>
      <c r="AE143" s="146">
        <v>1.8815759721271252E-2</v>
      </c>
      <c r="AF143" s="56">
        <f t="shared" si="33"/>
        <v>588746.37832847238</v>
      </c>
      <c r="AG143" s="56">
        <v>1674.7088860935726</v>
      </c>
      <c r="AH143" s="16">
        <f t="shared" si="26"/>
        <v>3.0202626710842173E-2</v>
      </c>
      <c r="AI143" s="16">
        <f t="shared" si="27"/>
        <v>1.8815759721271474E-2</v>
      </c>
      <c r="AJ143" s="56"/>
      <c r="AK143" s="56">
        <v>601785.88741382374</v>
      </c>
      <c r="AL143" s="56">
        <v>1711.8002085022724</v>
      </c>
      <c r="AM143" s="16">
        <f t="shared" si="34"/>
        <v>-2.1668020733069504E-2</v>
      </c>
      <c r="AN143" s="58">
        <f t="shared" si="34"/>
        <v>-2.1668020733069504E-2</v>
      </c>
      <c r="AP143" s="56">
        <f t="shared" si="28"/>
        <v>0</v>
      </c>
      <c r="AQ143" s="56">
        <f t="shared" si="29"/>
        <v>0</v>
      </c>
    </row>
    <row r="144" spans="1:43" x14ac:dyDescent="0.2">
      <c r="A144" s="156" t="s">
        <v>333</v>
      </c>
      <c r="B144" s="156" t="s">
        <v>334</v>
      </c>
      <c r="D144" s="68">
        <f>VLOOKUP(A144,'2017-18 disagg'!A144:AZ352,43,FALSE)</f>
        <v>493683</v>
      </c>
      <c r="E144" s="73">
        <v>1847.248976097449</v>
      </c>
      <c r="F144" s="55"/>
      <c r="G144" s="88">
        <v>449027.11544286378</v>
      </c>
      <c r="H144" s="81">
        <v>1660.1220497993238</v>
      </c>
      <c r="I144" s="90"/>
      <c r="J144" s="103">
        <f t="shared" si="30"/>
        <v>9.945030716707004E-2</v>
      </c>
      <c r="K144" s="126">
        <f t="shared" si="30"/>
        <v>0.11271877650245377</v>
      </c>
      <c r="L144" s="56">
        <v>499843</v>
      </c>
      <c r="M144" s="103">
        <v>2.4233128909713963E-2</v>
      </c>
      <c r="N144" s="97">
        <f>INDEX('Pace of change parameters'!$E$22:$I$22,1,$B$5)</f>
        <v>1.2019795091496865E-2</v>
      </c>
      <c r="O144" s="108">
        <f>MAX(IF(INDEX('Pace of change parameters'!$E$30:$I$30,1,$B$5)=1,(1+M144)*D144,D144),L144)</f>
        <v>505646.48377953429</v>
      </c>
      <c r="P144" s="94">
        <f>IF(K144&lt;INDEX('Pace of change parameters'!$E$18:$I$18,1,$B$5),1,IF(K144&gt;INDEX('Pace of change parameters'!$E$19:$I$19,1,$B$5),0,(K144-INDEX('Pace of change parameters'!$E$19:$I$19,1,$B$5))/(INDEX('Pace of change parameters'!$E$18:$I$18,1,$B$5)-INDEX('Pace of change parameters'!$E$19:$I$19,1,$B$5))))</f>
        <v>0</v>
      </c>
      <c r="Q144" s="57">
        <v>2.4233128909713963E-2</v>
      </c>
      <c r="R144" s="57">
        <v>1.2019795091496865E-2</v>
      </c>
      <c r="S144" s="9">
        <f>MAX(IF(INDEX('Pace of change parameters'!$E$31:$I$31,1,$B$5)=1,D144*(1+Q144),D144),L144)</f>
        <v>505646.48377953429</v>
      </c>
      <c r="T144" s="103">
        <f>IF(Q144&lt;INDEX('Pace of change parameters'!$E$24:$I$24,1,$B$5),INDEX('Pace of change parameters'!$E$24:$I$24,1,$B$5),Q144)</f>
        <v>2.4233128909713963E-2</v>
      </c>
      <c r="U144" s="132">
        <v>1.2019795091496865E-2</v>
      </c>
      <c r="V144" s="117">
        <f t="shared" si="31"/>
        <v>505646.48377953429</v>
      </c>
      <c r="W144" s="131">
        <f>IF(J144&gt;INDEX('Pace of change parameters'!$E$26:$I$26,1,$B$5),0,IF(J144&lt;INDEX('Pace of change parameters'!$E$25:$I$25,1,$B$5),1,(J144-INDEX('Pace of change parameters'!$E$26:$I$26,1,$B$5))/(INDEX('Pace of change parameters'!$E$25:$I$25,1,$B$5)-INDEX('Pace of change parameters'!$E$26:$I$26,1,$B$5))))</f>
        <v>1.099385665859931E-2</v>
      </c>
      <c r="X144" s="132">
        <f>MIN(T144, T144+(INDEX('Pace of change parameters'!$E$27:$I$27,1,$B$5)-T144)*(1-W144))</f>
        <v>6.9401623042504926E-4</v>
      </c>
      <c r="Y144" s="132">
        <v>-1.1238628521189842E-2</v>
      </c>
      <c r="Z144" s="108">
        <f t="shared" si="32"/>
        <v>499843</v>
      </c>
      <c r="AA144" s="97">
        <f>MIN(VLOOKUP(A144,'2017-18 disagg'!$A$12:$BC$220,54,FALSE),-2.5%)</f>
        <v>-2.5000000000000001E-2</v>
      </c>
      <c r="AB144" s="99">
        <f t="shared" si="24"/>
        <v>449754.55884484592</v>
      </c>
      <c r="AC144" s="99">
        <f>MAX(IF(INDEX('Pace of change parameters'!$E$29:$I$29,1,$B$5)=1,MAX(AB144,Z144),Z144),L144)</f>
        <v>499843</v>
      </c>
      <c r="AD144" s="97">
        <f t="shared" si="25"/>
        <v>1.2477642535797306E-2</v>
      </c>
      <c r="AE144" s="146">
        <v>4.0448547541749313E-4</v>
      </c>
      <c r="AF144" s="56">
        <f t="shared" si="33"/>
        <v>499843</v>
      </c>
      <c r="AG144" s="56">
        <v>1847.9961614777603</v>
      </c>
      <c r="AH144" s="16">
        <f t="shared" si="26"/>
        <v>1.2477642535797306E-2</v>
      </c>
      <c r="AI144" s="16">
        <f t="shared" si="27"/>
        <v>4.0448547541749313E-4</v>
      </c>
      <c r="AJ144" s="56"/>
      <c r="AK144" s="56">
        <v>461286.72702035483</v>
      </c>
      <c r="AL144" s="56">
        <v>1705.447712330182</v>
      </c>
      <c r="AM144" s="16">
        <f t="shared" si="34"/>
        <v>8.3584180339842717E-2</v>
      </c>
      <c r="AN144" s="58">
        <f t="shared" si="34"/>
        <v>8.3584180339842939E-2</v>
      </c>
      <c r="AP144" s="56">
        <f t="shared" si="28"/>
        <v>1</v>
      </c>
      <c r="AQ144" s="56">
        <f t="shared" si="29"/>
        <v>0</v>
      </c>
    </row>
    <row r="145" spans="1:43" x14ac:dyDescent="0.2">
      <c r="A145" s="156" t="s">
        <v>335</v>
      </c>
      <c r="B145" s="156" t="s">
        <v>336</v>
      </c>
      <c r="D145" s="68">
        <f>VLOOKUP(A145,'2017-18 disagg'!A145:AZ353,43,FALSE)</f>
        <v>360024</v>
      </c>
      <c r="E145" s="73">
        <v>1666.8724760386604</v>
      </c>
      <c r="F145" s="55"/>
      <c r="G145" s="88">
        <v>321847.64907138952</v>
      </c>
      <c r="H145" s="81">
        <v>1473.4499488922495</v>
      </c>
      <c r="I145" s="90"/>
      <c r="J145" s="103">
        <f t="shared" si="30"/>
        <v>0.11861621807323663</v>
      </c>
      <c r="K145" s="126">
        <f t="shared" si="30"/>
        <v>0.13127186796662316</v>
      </c>
      <c r="L145" s="56">
        <v>364315</v>
      </c>
      <c r="M145" s="103">
        <v>2.3469448694691808E-2</v>
      </c>
      <c r="N145" s="97">
        <f>INDEX('Pace of change parameters'!$E$22:$I$22,1,$B$5)</f>
        <v>1.2019795091496865E-2</v>
      </c>
      <c r="O145" s="108">
        <f>MAX(IF(INDEX('Pace of change parameters'!$E$30:$I$30,1,$B$5)=1,(1+M145)*D145,D145),L145)</f>
        <v>368473.56479685771</v>
      </c>
      <c r="P145" s="94">
        <f>IF(K145&lt;INDEX('Pace of change parameters'!$E$18:$I$18,1,$B$5),1,IF(K145&gt;INDEX('Pace of change parameters'!$E$19:$I$19,1,$B$5),0,(K145-INDEX('Pace of change parameters'!$E$19:$I$19,1,$B$5))/(INDEX('Pace of change parameters'!$E$18:$I$18,1,$B$5)-INDEX('Pace of change parameters'!$E$19:$I$19,1,$B$5))))</f>
        <v>0</v>
      </c>
      <c r="Q145" s="57">
        <v>2.3469448694691808E-2</v>
      </c>
      <c r="R145" s="57">
        <v>1.2019795091496865E-2</v>
      </c>
      <c r="S145" s="9">
        <f>MAX(IF(INDEX('Pace of change parameters'!$E$31:$I$31,1,$B$5)=1,D145*(1+Q145),D145),L145)</f>
        <v>368473.56479685771</v>
      </c>
      <c r="T145" s="103">
        <f>IF(Q145&lt;INDEX('Pace of change parameters'!$E$24:$I$24,1,$B$5),INDEX('Pace of change parameters'!$E$24:$I$24,1,$B$5),Q145)</f>
        <v>2.3469448694691808E-2</v>
      </c>
      <c r="U145" s="132">
        <v>1.2019795091496865E-2</v>
      </c>
      <c r="V145" s="117">
        <f t="shared" si="31"/>
        <v>368473.56479685771</v>
      </c>
      <c r="W145" s="131">
        <f>IF(J145&gt;INDEX('Pace of change parameters'!$E$26:$I$26,1,$B$5),0,IF(J145&lt;INDEX('Pace of change parameters'!$E$25:$I$25,1,$B$5),1,(J145-INDEX('Pace of change parameters'!$E$26:$I$26,1,$B$5))/(INDEX('Pace of change parameters'!$E$25:$I$25,1,$B$5)-INDEX('Pace of change parameters'!$E$26:$I$26,1,$B$5))))</f>
        <v>0</v>
      </c>
      <c r="X145" s="132">
        <f>MIN(T145, T145+(INDEX('Pace of change parameters'!$E$27:$I$27,1,$B$5)-T145)*(1-W145))</f>
        <v>4.3235392184483995E-4</v>
      </c>
      <c r="Y145" s="132">
        <v>-1.0759581431421306E-2</v>
      </c>
      <c r="Z145" s="108">
        <f t="shared" si="32"/>
        <v>364315</v>
      </c>
      <c r="AA145" s="97">
        <f>MIN(VLOOKUP(A145,'2017-18 disagg'!$A$12:$BC$220,54,FALSE),-2.5%)</f>
        <v>-2.5000000000000001E-2</v>
      </c>
      <c r="AB145" s="99">
        <f t="shared" si="24"/>
        <v>322137.72595762741</v>
      </c>
      <c r="AC145" s="99">
        <f>MAX(IF(INDEX('Pace of change parameters'!$E$29:$I$29,1,$B$5)=1,MAX(AB145,Z145),Z145),L145)</f>
        <v>364315</v>
      </c>
      <c r="AD145" s="97">
        <f t="shared" si="25"/>
        <v>1.1918649867786568E-2</v>
      </c>
      <c r="AE145" s="146">
        <v>5.9821618959965406E-4</v>
      </c>
      <c r="AF145" s="56">
        <f t="shared" si="33"/>
        <v>364315</v>
      </c>
      <c r="AG145" s="56">
        <v>1667.8696261398247</v>
      </c>
      <c r="AH145" s="16">
        <f t="shared" si="26"/>
        <v>1.1918649867786568E-2</v>
      </c>
      <c r="AI145" s="16">
        <f t="shared" si="27"/>
        <v>5.9821618959965406E-4</v>
      </c>
      <c r="AJ145" s="56"/>
      <c r="AK145" s="56">
        <v>330397.66764884861</v>
      </c>
      <c r="AL145" s="56">
        <v>1512.5927683981038</v>
      </c>
      <c r="AM145" s="16">
        <f t="shared" si="34"/>
        <v>0.10265608892614586</v>
      </c>
      <c r="AN145" s="58">
        <f t="shared" si="34"/>
        <v>0.10265608892614586</v>
      </c>
      <c r="AP145" s="56">
        <f t="shared" si="28"/>
        <v>1</v>
      </c>
      <c r="AQ145" s="56">
        <f t="shared" si="29"/>
        <v>0</v>
      </c>
    </row>
    <row r="146" spans="1:43" x14ac:dyDescent="0.2">
      <c r="A146" s="156" t="s">
        <v>337</v>
      </c>
      <c r="B146" s="156" t="s">
        <v>338</v>
      </c>
      <c r="D146" s="68">
        <f>VLOOKUP(A146,'2017-18 disagg'!A146:AZ354,43,FALSE)</f>
        <v>525140</v>
      </c>
      <c r="E146" s="73">
        <v>1715.5200976193398</v>
      </c>
      <c r="F146" s="55"/>
      <c r="G146" s="88">
        <v>514261.30114628503</v>
      </c>
      <c r="H146" s="81">
        <v>1657.912156611676</v>
      </c>
      <c r="I146" s="90"/>
      <c r="J146" s="103">
        <f t="shared" si="30"/>
        <v>2.1154029730540591E-2</v>
      </c>
      <c r="K146" s="126">
        <f t="shared" si="30"/>
        <v>3.4747281861663204E-2</v>
      </c>
      <c r="L146" s="56">
        <v>541745</v>
      </c>
      <c r="M146" s="103">
        <v>2.5491455424655252E-2</v>
      </c>
      <c r="N146" s="97">
        <f>INDEX('Pace of change parameters'!$E$22:$I$22,1,$B$5)</f>
        <v>1.2019795091496865E-2</v>
      </c>
      <c r="O146" s="108">
        <f>MAX(IF(INDEX('Pace of change parameters'!$E$30:$I$30,1,$B$5)=1,(1+M146)*D146,D146),L146)</f>
        <v>541745</v>
      </c>
      <c r="P146" s="94">
        <f>IF(K146&lt;INDEX('Pace of change parameters'!$E$18:$I$18,1,$B$5),1,IF(K146&gt;INDEX('Pace of change parameters'!$E$19:$I$19,1,$B$5),0,(K146-INDEX('Pace of change parameters'!$E$19:$I$19,1,$B$5))/(INDEX('Pace of change parameters'!$E$18:$I$18,1,$B$5)-INDEX('Pace of change parameters'!$E$19:$I$19,1,$B$5))))</f>
        <v>0</v>
      </c>
      <c r="Q146" s="57">
        <v>2.5491455424655252E-2</v>
      </c>
      <c r="R146" s="57">
        <v>1.2019795091496865E-2</v>
      </c>
      <c r="S146" s="9">
        <f>MAX(IF(INDEX('Pace of change parameters'!$E$31:$I$31,1,$B$5)=1,D146*(1+Q146),D146),L146)</f>
        <v>541745</v>
      </c>
      <c r="T146" s="103">
        <f>IF(Q146&lt;INDEX('Pace of change parameters'!$E$24:$I$24,1,$B$5),INDEX('Pace of change parameters'!$E$24:$I$24,1,$B$5),Q146)</f>
        <v>2.5491455424655252E-2</v>
      </c>
      <c r="U146" s="132">
        <v>1.2019795091496865E-2</v>
      </c>
      <c r="V146" s="117">
        <f t="shared" si="31"/>
        <v>541745</v>
      </c>
      <c r="W146" s="131">
        <f>IF(J146&gt;INDEX('Pace of change parameters'!$E$26:$I$26,1,$B$5),0,IF(J146&lt;INDEX('Pace of change parameters'!$E$25:$I$25,1,$B$5),1,(J146-INDEX('Pace of change parameters'!$E$26:$I$26,1,$B$5))/(INDEX('Pace of change parameters'!$E$25:$I$25,1,$B$5)-INDEX('Pace of change parameters'!$E$26:$I$26,1,$B$5))))</f>
        <v>1</v>
      </c>
      <c r="X146" s="132">
        <f>MIN(T146, T146+(INDEX('Pace of change parameters'!$E$27:$I$27,1,$B$5)-T146)*(1-W146))</f>
        <v>2.5491455424655252E-2</v>
      </c>
      <c r="Y146" s="132">
        <v>1.2019795091496865E-2</v>
      </c>
      <c r="Z146" s="108">
        <f t="shared" si="32"/>
        <v>541745</v>
      </c>
      <c r="AA146" s="97">
        <f>MIN(VLOOKUP(A146,'2017-18 disagg'!$A$12:$BC$220,54,FALSE),-2.5%)</f>
        <v>-2.5000000000000001E-2</v>
      </c>
      <c r="AB146" s="99">
        <f t="shared" si="24"/>
        <v>514790.25672699866</v>
      </c>
      <c r="AC146" s="99">
        <f>MAX(IF(INDEX('Pace of change parameters'!$E$29:$I$29,1,$B$5)=1,MAX(AB146,Z146),Z146),L146)</f>
        <v>541745</v>
      </c>
      <c r="AD146" s="97">
        <f t="shared" si="25"/>
        <v>3.1620139391400404E-2</v>
      </c>
      <c r="AE146" s="146">
        <v>1.8067967857244183E-2</v>
      </c>
      <c r="AF146" s="56">
        <f t="shared" si="33"/>
        <v>541745</v>
      </c>
      <c r="AG146" s="56">
        <v>1746.5160596015824</v>
      </c>
      <c r="AH146" s="16">
        <f t="shared" si="26"/>
        <v>3.1620139391400404E-2</v>
      </c>
      <c r="AI146" s="16">
        <f t="shared" si="27"/>
        <v>1.8067967857244183E-2</v>
      </c>
      <c r="AJ146" s="56"/>
      <c r="AK146" s="56">
        <v>527990.00689948583</v>
      </c>
      <c r="AL146" s="56">
        <v>1702.171734596724</v>
      </c>
      <c r="AM146" s="16">
        <f t="shared" si="34"/>
        <v>2.6051616357831486E-2</v>
      </c>
      <c r="AN146" s="58">
        <f t="shared" si="34"/>
        <v>2.6051616357831486E-2</v>
      </c>
      <c r="AP146" s="56">
        <f t="shared" si="28"/>
        <v>1</v>
      </c>
      <c r="AQ146" s="56">
        <f t="shared" si="29"/>
        <v>0</v>
      </c>
    </row>
    <row r="147" spans="1:43" x14ac:dyDescent="0.2">
      <c r="A147" s="156" t="s">
        <v>339</v>
      </c>
      <c r="B147" s="156" t="s">
        <v>340</v>
      </c>
      <c r="D147" s="68">
        <f>VLOOKUP(A147,'2017-18 disagg'!A147:AZ355,43,FALSE)</f>
        <v>654088</v>
      </c>
      <c r="E147" s="73">
        <v>1598.950402423895</v>
      </c>
      <c r="F147" s="55"/>
      <c r="G147" s="88">
        <v>676339.24495135015</v>
      </c>
      <c r="H147" s="81">
        <v>1635.1255099816865</v>
      </c>
      <c r="I147" s="90"/>
      <c r="J147" s="103">
        <f t="shared" si="30"/>
        <v>-3.2899532471978188E-2</v>
      </c>
      <c r="K147" s="126">
        <f t="shared" si="30"/>
        <v>-2.2123749728665598E-2</v>
      </c>
      <c r="L147" s="56">
        <v>673004</v>
      </c>
      <c r="M147" s="103">
        <v>2.3296085208192263E-2</v>
      </c>
      <c r="N147" s="97">
        <f>INDEX('Pace of change parameters'!$E$22:$I$22,1,$B$5)</f>
        <v>1.2019795091496865E-2</v>
      </c>
      <c r="O147" s="108">
        <f>MAX(IF(INDEX('Pace of change parameters'!$E$30:$I$30,1,$B$5)=1,(1+M147)*D147,D147),L147)</f>
        <v>673004</v>
      </c>
      <c r="P147" s="94">
        <f>IF(K147&lt;INDEX('Pace of change parameters'!$E$18:$I$18,1,$B$5),1,IF(K147&gt;INDEX('Pace of change parameters'!$E$19:$I$19,1,$B$5),0,(K147-INDEX('Pace of change parameters'!$E$19:$I$19,1,$B$5))/(INDEX('Pace of change parameters'!$E$18:$I$18,1,$B$5)-INDEX('Pace of change parameters'!$E$19:$I$19,1,$B$5))))</f>
        <v>0.67720711624326624</v>
      </c>
      <c r="Q147" s="57">
        <v>3.2184316896987086E-2</v>
      </c>
      <c r="R147" s="57">
        <v>2.0810082225831028E-2</v>
      </c>
      <c r="S147" s="9">
        <f>MAX(IF(INDEX('Pace of change parameters'!$E$31:$I$31,1,$B$5)=1,D147*(1+Q147),D147),L147)</f>
        <v>675139.3754705165</v>
      </c>
      <c r="T147" s="103">
        <f>IF(Q147&lt;INDEX('Pace of change parameters'!$E$24:$I$24,1,$B$5),INDEX('Pace of change parameters'!$E$24:$I$24,1,$B$5),Q147)</f>
        <v>3.2184316896987086E-2</v>
      </c>
      <c r="U147" s="132">
        <v>2.0810082225831028E-2</v>
      </c>
      <c r="V147" s="117">
        <f t="shared" si="31"/>
        <v>675139.3754705165</v>
      </c>
      <c r="W147" s="131">
        <f>IF(J147&gt;INDEX('Pace of change parameters'!$E$26:$I$26,1,$B$5),0,IF(J147&lt;INDEX('Pace of change parameters'!$E$25:$I$25,1,$B$5),1,(J147-INDEX('Pace of change parameters'!$E$26:$I$26,1,$B$5))/(INDEX('Pace of change parameters'!$E$25:$I$25,1,$B$5)-INDEX('Pace of change parameters'!$E$26:$I$26,1,$B$5))))</f>
        <v>1</v>
      </c>
      <c r="X147" s="132">
        <f>MIN(T147, T147+(INDEX('Pace of change parameters'!$E$27:$I$27,1,$B$5)-T147)*(1-W147))</f>
        <v>3.2184316896987086E-2</v>
      </c>
      <c r="Y147" s="132">
        <v>2.0810082225831028E-2</v>
      </c>
      <c r="Z147" s="108">
        <f t="shared" si="32"/>
        <v>675139.3754705165</v>
      </c>
      <c r="AA147" s="97">
        <f>MIN(VLOOKUP(A147,'2017-18 disagg'!$A$12:$BC$220,54,FALSE),-2.5%)</f>
        <v>-2.902747941067696E-2</v>
      </c>
      <c r="AB147" s="99">
        <f t="shared" si="24"/>
        <v>673796.83749258099</v>
      </c>
      <c r="AC147" s="99">
        <f>MAX(IF(INDEX('Pace of change parameters'!$E$29:$I$29,1,$B$5)=1,MAX(AB147,Z147),Z147),L147)</f>
        <v>675139.3754705165</v>
      </c>
      <c r="AD147" s="97">
        <f t="shared" si="25"/>
        <v>3.2184316896987086E-2</v>
      </c>
      <c r="AE147" s="146">
        <v>2.0810082225831028E-2</v>
      </c>
      <c r="AF147" s="56">
        <f t="shared" si="33"/>
        <v>675139.3754705165</v>
      </c>
      <c r="AG147" s="56">
        <v>1632.2246917733619</v>
      </c>
      <c r="AH147" s="16">
        <f t="shared" si="26"/>
        <v>3.2184316896987086E-2</v>
      </c>
      <c r="AI147" s="16">
        <f t="shared" si="27"/>
        <v>2.0810082225831028E-2</v>
      </c>
      <c r="AJ147" s="56"/>
      <c r="AK147" s="56">
        <v>693940.17153402662</v>
      </c>
      <c r="AL147" s="56">
        <v>1677.6777118086252</v>
      </c>
      <c r="AM147" s="16">
        <f t="shared" si="34"/>
        <v>-2.7092819863633211E-2</v>
      </c>
      <c r="AN147" s="58">
        <f t="shared" si="34"/>
        <v>-2.70928198636331E-2</v>
      </c>
      <c r="AP147" s="56">
        <f t="shared" si="28"/>
        <v>0</v>
      </c>
      <c r="AQ147" s="56">
        <f t="shared" si="29"/>
        <v>0</v>
      </c>
    </row>
    <row r="148" spans="1:43" x14ac:dyDescent="0.2">
      <c r="A148" s="156" t="s">
        <v>341</v>
      </c>
      <c r="B148" s="156" t="s">
        <v>342</v>
      </c>
      <c r="D148" s="68">
        <f>VLOOKUP(A148,'2017-18 disagg'!A148:AZ356,43,FALSE)</f>
        <v>663610</v>
      </c>
      <c r="E148" s="73">
        <v>1524.8878072142179</v>
      </c>
      <c r="F148" s="55"/>
      <c r="G148" s="88">
        <v>676242.62053158763</v>
      </c>
      <c r="H148" s="81">
        <v>1538.3956018958941</v>
      </c>
      <c r="I148" s="90"/>
      <c r="J148" s="103">
        <f t="shared" si="30"/>
        <v>-1.868060389576931E-2</v>
      </c>
      <c r="K148" s="126">
        <f t="shared" si="30"/>
        <v>-8.7804428620501529E-3</v>
      </c>
      <c r="L148" s="56">
        <v>682617</v>
      </c>
      <c r="M148" s="103">
        <v>2.2229680864154222E-2</v>
      </c>
      <c r="N148" s="97">
        <f>INDEX('Pace of change parameters'!$E$22:$I$22,1,$B$5)</f>
        <v>1.2019795091496865E-2</v>
      </c>
      <c r="O148" s="108">
        <f>MAX(IF(INDEX('Pace of change parameters'!$E$30:$I$30,1,$B$5)=1,(1+M148)*D148,D148),L148)</f>
        <v>682617</v>
      </c>
      <c r="P148" s="94">
        <f>IF(K148&lt;INDEX('Pace of change parameters'!$E$18:$I$18,1,$B$5),1,IF(K148&gt;INDEX('Pace of change parameters'!$E$19:$I$19,1,$B$5),0,(K148-INDEX('Pace of change parameters'!$E$19:$I$19,1,$B$5))/(INDEX('Pace of change parameters'!$E$18:$I$18,1,$B$5)-INDEX('Pace of change parameters'!$E$19:$I$19,1,$B$5))))</f>
        <v>0.38767686340627372</v>
      </c>
      <c r="Q148" s="57">
        <v>2.7312573200699797E-2</v>
      </c>
      <c r="R148" s="57">
        <v>1.7051920216796024E-2</v>
      </c>
      <c r="S148" s="9">
        <f>MAX(IF(INDEX('Pace of change parameters'!$E$31:$I$31,1,$B$5)=1,D148*(1+Q148),D148),L148)</f>
        <v>682617</v>
      </c>
      <c r="T148" s="103">
        <f>IF(Q148&lt;INDEX('Pace of change parameters'!$E$24:$I$24,1,$B$5),INDEX('Pace of change parameters'!$E$24:$I$24,1,$B$5),Q148)</f>
        <v>2.7312573200699797E-2</v>
      </c>
      <c r="U148" s="132">
        <v>1.7051920216796024E-2</v>
      </c>
      <c r="V148" s="117">
        <f t="shared" si="31"/>
        <v>682617</v>
      </c>
      <c r="W148" s="131">
        <f>IF(J148&gt;INDEX('Pace of change parameters'!$E$26:$I$26,1,$B$5),0,IF(J148&lt;INDEX('Pace of change parameters'!$E$25:$I$25,1,$B$5),1,(J148-INDEX('Pace of change parameters'!$E$26:$I$26,1,$B$5))/(INDEX('Pace of change parameters'!$E$25:$I$25,1,$B$5)-INDEX('Pace of change parameters'!$E$26:$I$26,1,$B$5))))</f>
        <v>1</v>
      </c>
      <c r="X148" s="132">
        <f>MIN(T148, T148+(INDEX('Pace of change parameters'!$E$27:$I$27,1,$B$5)-T148)*(1-W148))</f>
        <v>2.7312573200699797E-2</v>
      </c>
      <c r="Y148" s="132">
        <v>1.7051920216796024E-2</v>
      </c>
      <c r="Z148" s="108">
        <f t="shared" si="32"/>
        <v>682617</v>
      </c>
      <c r="AA148" s="97">
        <f>MIN(VLOOKUP(A148,'2017-18 disagg'!$A$12:$BC$220,54,FALSE),-2.5%)</f>
        <v>-2.5000000000000001E-2</v>
      </c>
      <c r="AB148" s="99">
        <f t="shared" si="24"/>
        <v>676469.03022571653</v>
      </c>
      <c r="AC148" s="99">
        <f>MAX(IF(INDEX('Pace of change parameters'!$E$29:$I$29,1,$B$5)=1,MAX(AB148,Z148),Z148),L148)</f>
        <v>682617</v>
      </c>
      <c r="AD148" s="97">
        <f t="shared" si="25"/>
        <v>2.8641822757342394E-2</v>
      </c>
      <c r="AE148" s="146">
        <v>1.8367893416480152E-2</v>
      </c>
      <c r="AF148" s="56">
        <f t="shared" si="33"/>
        <v>682617</v>
      </c>
      <c r="AG148" s="56">
        <v>1552.8967839292188</v>
      </c>
      <c r="AH148" s="16">
        <f t="shared" si="26"/>
        <v>2.8641822757342394E-2</v>
      </c>
      <c r="AI148" s="16">
        <f t="shared" si="27"/>
        <v>1.8367893416480152E-2</v>
      </c>
      <c r="AJ148" s="56"/>
      <c r="AK148" s="56">
        <v>693814.38997509389</v>
      </c>
      <c r="AL148" s="56">
        <v>1578.3699129030424</v>
      </c>
      <c r="AM148" s="16">
        <f t="shared" si="34"/>
        <v>-1.6138884025590494E-2</v>
      </c>
      <c r="AN148" s="58">
        <f t="shared" si="34"/>
        <v>-1.6138884025590494E-2</v>
      </c>
      <c r="AP148" s="56">
        <f t="shared" si="28"/>
        <v>1</v>
      </c>
      <c r="AQ148" s="56">
        <f t="shared" si="29"/>
        <v>0</v>
      </c>
    </row>
    <row r="149" spans="1:43" x14ac:dyDescent="0.2">
      <c r="A149" s="156" t="s">
        <v>343</v>
      </c>
      <c r="B149" s="156" t="s">
        <v>344</v>
      </c>
      <c r="D149" s="68">
        <f>VLOOKUP(A149,'2017-18 disagg'!A149:AZ357,43,FALSE)</f>
        <v>547616</v>
      </c>
      <c r="E149" s="73">
        <v>1640.9970149651706</v>
      </c>
      <c r="F149" s="55"/>
      <c r="G149" s="88">
        <v>566190.77568801749</v>
      </c>
      <c r="H149" s="81">
        <v>1673.1797212686042</v>
      </c>
      <c r="I149" s="90"/>
      <c r="J149" s="103">
        <f t="shared" si="30"/>
        <v>-3.2806567124739838E-2</v>
      </c>
      <c r="K149" s="126">
        <f t="shared" si="30"/>
        <v>-1.9234458734075921E-2</v>
      </c>
      <c r="L149" s="56">
        <v>565183</v>
      </c>
      <c r="M149" s="103">
        <v>2.62209278593728E-2</v>
      </c>
      <c r="N149" s="97">
        <f>INDEX('Pace of change parameters'!$E$22:$I$22,1,$B$5)</f>
        <v>1.2019795091496865E-2</v>
      </c>
      <c r="O149" s="108">
        <f>MAX(IF(INDEX('Pace of change parameters'!$E$30:$I$30,1,$B$5)=1,(1+M149)*D149,D149),L149)</f>
        <v>565183</v>
      </c>
      <c r="P149" s="94">
        <f>IF(K149&lt;INDEX('Pace of change parameters'!$E$18:$I$18,1,$B$5),1,IF(K149&gt;INDEX('Pace of change parameters'!$E$19:$I$19,1,$B$5),0,(K149-INDEX('Pace of change parameters'!$E$19:$I$19,1,$B$5))/(INDEX('Pace of change parameters'!$E$18:$I$18,1,$B$5)-INDEX('Pace of change parameters'!$E$19:$I$19,1,$B$5))))</f>
        <v>0.6145137254260179</v>
      </c>
      <c r="Q149" s="57">
        <v>3.4309372092333978E-2</v>
      </c>
      <c r="R149" s="57">
        <v>1.9996309166614212E-2</v>
      </c>
      <c r="S149" s="9">
        <f>MAX(IF(INDEX('Pace of change parameters'!$E$31:$I$31,1,$B$5)=1,D149*(1+Q149),D149),L149)</f>
        <v>566404.36110771552</v>
      </c>
      <c r="T149" s="103">
        <f>IF(Q149&lt;INDEX('Pace of change parameters'!$E$24:$I$24,1,$B$5),INDEX('Pace of change parameters'!$E$24:$I$24,1,$B$5),Q149)</f>
        <v>3.4309372092333978E-2</v>
      </c>
      <c r="U149" s="132">
        <v>1.9996309166614212E-2</v>
      </c>
      <c r="V149" s="117">
        <f t="shared" si="31"/>
        <v>566404.36110771552</v>
      </c>
      <c r="W149" s="131">
        <f>IF(J149&gt;INDEX('Pace of change parameters'!$E$26:$I$26,1,$B$5),0,IF(J149&lt;INDEX('Pace of change parameters'!$E$25:$I$25,1,$B$5),1,(J149-INDEX('Pace of change parameters'!$E$26:$I$26,1,$B$5))/(INDEX('Pace of change parameters'!$E$25:$I$25,1,$B$5)-INDEX('Pace of change parameters'!$E$26:$I$26,1,$B$5))))</f>
        <v>1</v>
      </c>
      <c r="X149" s="132">
        <f>MIN(T149, T149+(INDEX('Pace of change parameters'!$E$27:$I$27,1,$B$5)-T149)*(1-W149))</f>
        <v>3.4309372092333978E-2</v>
      </c>
      <c r="Y149" s="132">
        <v>1.9996309166614212E-2</v>
      </c>
      <c r="Z149" s="108">
        <f t="shared" si="32"/>
        <v>566404.36110771552</v>
      </c>
      <c r="AA149" s="97">
        <f>MIN(VLOOKUP(A149,'2017-18 disagg'!$A$12:$BC$220,54,FALSE),-2.5%)</f>
        <v>-2.6164362251210438E-2</v>
      </c>
      <c r="AB149" s="99">
        <f t="shared" si="24"/>
        <v>565962.95153318951</v>
      </c>
      <c r="AC149" s="99">
        <f>MAX(IF(INDEX('Pace of change parameters'!$E$29:$I$29,1,$B$5)=1,MAX(AB149,Z149),Z149),L149)</f>
        <v>566404.36110771552</v>
      </c>
      <c r="AD149" s="97">
        <f t="shared" si="25"/>
        <v>3.4309372092333978E-2</v>
      </c>
      <c r="AE149" s="146">
        <v>1.9996309166614212E-2</v>
      </c>
      <c r="AF149" s="56">
        <f t="shared" si="33"/>
        <v>566404.36110771552</v>
      </c>
      <c r="AG149" s="56">
        <v>1673.8108986179052</v>
      </c>
      <c r="AH149" s="16">
        <f t="shared" si="26"/>
        <v>3.4309372092333978E-2</v>
      </c>
      <c r="AI149" s="16">
        <f t="shared" si="27"/>
        <v>1.9996309166614212E-2</v>
      </c>
      <c r="AJ149" s="56"/>
      <c r="AK149" s="56">
        <v>581168.86422592099</v>
      </c>
      <c r="AL149" s="56">
        <v>1717.4422474013068</v>
      </c>
      <c r="AM149" s="16">
        <f t="shared" si="34"/>
        <v>-2.5404841909194231E-2</v>
      </c>
      <c r="AN149" s="58">
        <f t="shared" si="34"/>
        <v>-2.5404841909194342E-2</v>
      </c>
      <c r="AP149" s="56">
        <f t="shared" si="28"/>
        <v>0</v>
      </c>
      <c r="AQ149" s="56">
        <f t="shared" si="29"/>
        <v>0</v>
      </c>
    </row>
    <row r="150" spans="1:43" x14ac:dyDescent="0.2">
      <c r="A150" s="156" t="s">
        <v>345</v>
      </c>
      <c r="B150" s="156" t="s">
        <v>346</v>
      </c>
      <c r="D150" s="68">
        <f>VLOOKUP(A150,'2017-18 disagg'!A150:AZ358,43,FALSE)</f>
        <v>504904</v>
      </c>
      <c r="E150" s="73">
        <v>1725.9976603649202</v>
      </c>
      <c r="F150" s="55"/>
      <c r="G150" s="88">
        <v>518580.50342890411</v>
      </c>
      <c r="H150" s="81">
        <v>1752.6880857501412</v>
      </c>
      <c r="I150" s="90"/>
      <c r="J150" s="103">
        <f t="shared" si="30"/>
        <v>-2.6372961070602829E-2</v>
      </c>
      <c r="K150" s="126">
        <f t="shared" si="30"/>
        <v>-1.5228280264025229E-2</v>
      </c>
      <c r="L150" s="56">
        <v>519851</v>
      </c>
      <c r="M150" s="103">
        <v>2.3603940904286524E-2</v>
      </c>
      <c r="N150" s="97">
        <f>INDEX('Pace of change parameters'!$E$22:$I$22,1,$B$5)</f>
        <v>1.2019795091496865E-2</v>
      </c>
      <c r="O150" s="108">
        <f>MAX(IF(INDEX('Pace of change parameters'!$E$30:$I$30,1,$B$5)=1,(1+M150)*D150,D150),L150)</f>
        <v>519851</v>
      </c>
      <c r="P150" s="94">
        <f>IF(K150&lt;INDEX('Pace of change parameters'!$E$18:$I$18,1,$B$5),1,IF(K150&gt;INDEX('Pace of change parameters'!$E$19:$I$19,1,$B$5),0,(K150-INDEX('Pace of change parameters'!$E$19:$I$19,1,$B$5))/(INDEX('Pace of change parameters'!$E$18:$I$18,1,$B$5)-INDEX('Pace of change parameters'!$E$19:$I$19,1,$B$5))))</f>
        <v>0.52758550913460123</v>
      </c>
      <c r="Q150" s="57">
        <v>3.0530496889119574E-2</v>
      </c>
      <c r="R150" s="57">
        <v>1.8867963106820929E-2</v>
      </c>
      <c r="S150" s="9">
        <f>MAX(IF(INDEX('Pace of change parameters'!$E$31:$I$31,1,$B$5)=1,D150*(1+Q150),D150),L150)</f>
        <v>520318.97000130406</v>
      </c>
      <c r="T150" s="103">
        <f>IF(Q150&lt;INDEX('Pace of change parameters'!$E$24:$I$24,1,$B$5),INDEX('Pace of change parameters'!$E$24:$I$24,1,$B$5),Q150)</f>
        <v>3.0530496889119574E-2</v>
      </c>
      <c r="U150" s="132">
        <v>1.8867963106820929E-2</v>
      </c>
      <c r="V150" s="117">
        <f t="shared" si="31"/>
        <v>520318.97000130406</v>
      </c>
      <c r="W150" s="131">
        <f>IF(J150&gt;INDEX('Pace of change parameters'!$E$26:$I$26,1,$B$5),0,IF(J150&lt;INDEX('Pace of change parameters'!$E$25:$I$25,1,$B$5),1,(J150-INDEX('Pace of change parameters'!$E$26:$I$26,1,$B$5))/(INDEX('Pace of change parameters'!$E$25:$I$25,1,$B$5)-INDEX('Pace of change parameters'!$E$26:$I$26,1,$B$5))))</f>
        <v>1</v>
      </c>
      <c r="X150" s="132">
        <f>MIN(T150, T150+(INDEX('Pace of change parameters'!$E$27:$I$27,1,$B$5)-T150)*(1-W150))</f>
        <v>3.0530496889119574E-2</v>
      </c>
      <c r="Y150" s="132">
        <v>1.8867963106820929E-2</v>
      </c>
      <c r="Z150" s="108">
        <f t="shared" si="32"/>
        <v>520318.97000130406</v>
      </c>
      <c r="AA150" s="97">
        <f>MIN(VLOOKUP(A150,'2017-18 disagg'!$A$12:$BC$220,54,FALSE),-2.5%)</f>
        <v>-2.5000000000000001E-2</v>
      </c>
      <c r="AB150" s="99">
        <f t="shared" si="24"/>
        <v>518918.82649278978</v>
      </c>
      <c r="AC150" s="99">
        <f>MAX(IF(INDEX('Pace of change parameters'!$E$29:$I$29,1,$B$5)=1,MAX(AB150,Z150),Z150),L150)</f>
        <v>520318.97000130406</v>
      </c>
      <c r="AD150" s="97">
        <f t="shared" si="25"/>
        <v>3.0530496889119574E-2</v>
      </c>
      <c r="AE150" s="146">
        <v>1.8867963106820929E-2</v>
      </c>
      <c r="AF150" s="56">
        <f t="shared" si="33"/>
        <v>520318.97000130406</v>
      </c>
      <c r="AG150" s="56">
        <v>1758.5637205431449</v>
      </c>
      <c r="AH150" s="16">
        <f t="shared" si="26"/>
        <v>3.0530496889119574E-2</v>
      </c>
      <c r="AI150" s="16">
        <f t="shared" si="27"/>
        <v>1.8867963106820929E-2</v>
      </c>
      <c r="AJ150" s="56"/>
      <c r="AK150" s="56">
        <v>532224.43742850237</v>
      </c>
      <c r="AL150" s="56">
        <v>1798.8015828942459</v>
      </c>
      <c r="AM150" s="16">
        <f t="shared" si="34"/>
        <v>-2.2369261142387242E-2</v>
      </c>
      <c r="AN150" s="58">
        <f t="shared" si="34"/>
        <v>-2.2369261142387353E-2</v>
      </c>
      <c r="AP150" s="56">
        <f t="shared" si="28"/>
        <v>0</v>
      </c>
      <c r="AQ150" s="56">
        <f t="shared" si="29"/>
        <v>0</v>
      </c>
    </row>
    <row r="151" spans="1:43" x14ac:dyDescent="0.2">
      <c r="A151" s="156" t="s">
        <v>347</v>
      </c>
      <c r="B151" s="156" t="s">
        <v>348</v>
      </c>
      <c r="D151" s="68">
        <f>VLOOKUP(A151,'2017-18 disagg'!A151:AZ359,43,FALSE)</f>
        <v>350782</v>
      </c>
      <c r="E151" s="73">
        <v>1660.8800167885063</v>
      </c>
      <c r="F151" s="55"/>
      <c r="G151" s="88">
        <v>333996.48499696434</v>
      </c>
      <c r="H151" s="81">
        <v>1575.6410914587943</v>
      </c>
      <c r="I151" s="90"/>
      <c r="J151" s="103">
        <f t="shared" si="30"/>
        <v>5.0256561841326652E-2</v>
      </c>
      <c r="K151" s="126">
        <f t="shared" si="30"/>
        <v>5.409793244906691E-2</v>
      </c>
      <c r="L151" s="56">
        <v>357090</v>
      </c>
      <c r="M151" s="103">
        <v>1.5721312641170604E-2</v>
      </c>
      <c r="N151" s="97">
        <f>INDEX('Pace of change parameters'!$E$22:$I$22,1,$B$5)</f>
        <v>1.2019795091496865E-2</v>
      </c>
      <c r="O151" s="108">
        <f>MAX(IF(INDEX('Pace of change parameters'!$E$30:$I$30,1,$B$5)=1,(1+M151)*D151,D151),L151)</f>
        <v>357090</v>
      </c>
      <c r="P151" s="94">
        <f>IF(K151&lt;INDEX('Pace of change parameters'!$E$18:$I$18,1,$B$5),1,IF(K151&gt;INDEX('Pace of change parameters'!$E$19:$I$19,1,$B$5),0,(K151-INDEX('Pace of change parameters'!$E$19:$I$19,1,$B$5))/(INDEX('Pace of change parameters'!$E$18:$I$18,1,$B$5)-INDEX('Pace of change parameters'!$E$19:$I$19,1,$B$5))))</f>
        <v>0</v>
      </c>
      <c r="Q151" s="57">
        <v>1.5721312641170604E-2</v>
      </c>
      <c r="R151" s="57">
        <v>1.2019795091496865E-2</v>
      </c>
      <c r="S151" s="9">
        <f>MAX(IF(INDEX('Pace of change parameters'!$E$31:$I$31,1,$B$5)=1,D151*(1+Q151),D151),L151)</f>
        <v>357090</v>
      </c>
      <c r="T151" s="103">
        <f>IF(Q151&lt;INDEX('Pace of change parameters'!$E$24:$I$24,1,$B$5),INDEX('Pace of change parameters'!$E$24:$I$24,1,$B$5),Q151)</f>
        <v>1.9732353921844841E-2</v>
      </c>
      <c r="U151" s="132">
        <v>1.6016219233091711E-2</v>
      </c>
      <c r="V151" s="117">
        <f t="shared" si="31"/>
        <v>357703.75457341259</v>
      </c>
      <c r="W151" s="131">
        <f>IF(J151&gt;INDEX('Pace of change parameters'!$E$26:$I$26,1,$B$5),0,IF(J151&lt;INDEX('Pace of change parameters'!$E$25:$I$25,1,$B$5),1,(J151-INDEX('Pace of change parameters'!$E$26:$I$26,1,$B$5))/(INDEX('Pace of change parameters'!$E$25:$I$25,1,$B$5)-INDEX('Pace of change parameters'!$E$26:$I$26,1,$B$5))))</f>
        <v>0.99486876317346706</v>
      </c>
      <c r="X151" s="132">
        <f>MIN(T151, T151+(INDEX('Pace of change parameters'!$E$27:$I$27,1,$B$5)-T151)*(1-W151))</f>
        <v>1.9633321051092754E-2</v>
      </c>
      <c r="Y151" s="132">
        <v>1.5917547260456688E-2</v>
      </c>
      <c r="Z151" s="108">
        <f t="shared" si="32"/>
        <v>357669.01562494447</v>
      </c>
      <c r="AA151" s="97">
        <f>MIN(VLOOKUP(A151,'2017-18 disagg'!$A$12:$BC$220,54,FALSE),-2.5%)</f>
        <v>-2.5000000000000001E-2</v>
      </c>
      <c r="AB151" s="99">
        <f t="shared" si="24"/>
        <v>334177.25045244565</v>
      </c>
      <c r="AC151" s="99">
        <f>MAX(IF(INDEX('Pace of change parameters'!$E$29:$I$29,1,$B$5)=1,MAX(AB151,Z151),Z151),L151)</f>
        <v>357669.01562494447</v>
      </c>
      <c r="AD151" s="97">
        <f t="shared" si="25"/>
        <v>1.9633321051092834E-2</v>
      </c>
      <c r="AE151" s="146">
        <v>1.5917547260456688E-2</v>
      </c>
      <c r="AF151" s="56">
        <f t="shared" si="33"/>
        <v>357669.01562494447</v>
      </c>
      <c r="AG151" s="56">
        <v>1687.3171529496851</v>
      </c>
      <c r="AH151" s="16">
        <f t="shared" si="26"/>
        <v>1.9633321051092834E-2</v>
      </c>
      <c r="AI151" s="16">
        <f t="shared" si="27"/>
        <v>1.5917547260456466E-2</v>
      </c>
      <c r="AJ151" s="56"/>
      <c r="AK151" s="56">
        <v>342745.89789994428</v>
      </c>
      <c r="AL151" s="56">
        <v>1616.9167788247867</v>
      </c>
      <c r="AM151" s="16">
        <f t="shared" si="34"/>
        <v>4.3539887177166392E-2</v>
      </c>
      <c r="AN151" s="58">
        <f t="shared" si="34"/>
        <v>4.3539887177166392E-2</v>
      </c>
      <c r="AP151" s="56">
        <f t="shared" si="28"/>
        <v>0</v>
      </c>
      <c r="AQ151" s="56">
        <f t="shared" si="29"/>
        <v>0</v>
      </c>
    </row>
    <row r="152" spans="1:43" x14ac:dyDescent="0.2">
      <c r="A152" s="156" t="s">
        <v>349</v>
      </c>
      <c r="B152" s="156" t="s">
        <v>350</v>
      </c>
      <c r="D152" s="68">
        <f>VLOOKUP(A152,'2017-18 disagg'!A152:AZ360,43,FALSE)</f>
        <v>499598</v>
      </c>
      <c r="E152" s="73">
        <v>1612.7570836063946</v>
      </c>
      <c r="F152" s="55"/>
      <c r="G152" s="88">
        <v>512898.99465264415</v>
      </c>
      <c r="H152" s="81">
        <v>1635.2006200981759</v>
      </c>
      <c r="I152" s="90"/>
      <c r="J152" s="103">
        <f t="shared" si="30"/>
        <v>-2.5932970801886834E-2</v>
      </c>
      <c r="K152" s="126">
        <f t="shared" si="30"/>
        <v>-1.3725249499008774E-2</v>
      </c>
      <c r="L152" s="56">
        <v>515425</v>
      </c>
      <c r="M152" s="103">
        <v>2.4703168248725538E-2</v>
      </c>
      <c r="N152" s="97">
        <f>INDEX('Pace of change parameters'!$E$22:$I$22,1,$B$5)</f>
        <v>1.2019795091496865E-2</v>
      </c>
      <c r="O152" s="108">
        <f>MAX(IF(INDEX('Pace of change parameters'!$E$30:$I$30,1,$B$5)=1,(1+M152)*D152,D152),L152)</f>
        <v>515425</v>
      </c>
      <c r="P152" s="94">
        <f>IF(K152&lt;INDEX('Pace of change parameters'!$E$18:$I$18,1,$B$5),1,IF(K152&gt;INDEX('Pace of change parameters'!$E$19:$I$19,1,$B$5),0,(K152-INDEX('Pace of change parameters'!$E$19:$I$19,1,$B$5))/(INDEX('Pace of change parameters'!$E$18:$I$18,1,$B$5)-INDEX('Pace of change parameters'!$E$19:$I$19,1,$B$5))))</f>
        <v>0.4949719387680393</v>
      </c>
      <c r="Q152" s="57">
        <v>3.120852620234893E-2</v>
      </c>
      <c r="R152" s="57">
        <v>1.8444632280665063E-2</v>
      </c>
      <c r="S152" s="9">
        <f>MAX(IF(INDEX('Pace of change parameters'!$E$31:$I$31,1,$B$5)=1,D152*(1+Q152),D152),L152)</f>
        <v>515425</v>
      </c>
      <c r="T152" s="103">
        <f>IF(Q152&lt;INDEX('Pace of change parameters'!$E$24:$I$24,1,$B$5),INDEX('Pace of change parameters'!$E$24:$I$24,1,$B$5),Q152)</f>
        <v>3.120852620234893E-2</v>
      </c>
      <c r="U152" s="132">
        <v>1.8444632280665063E-2</v>
      </c>
      <c r="V152" s="117">
        <f t="shared" si="31"/>
        <v>515425</v>
      </c>
      <c r="W152" s="131">
        <f>IF(J152&gt;INDEX('Pace of change parameters'!$E$26:$I$26,1,$B$5),0,IF(J152&lt;INDEX('Pace of change parameters'!$E$25:$I$25,1,$B$5),1,(J152-INDEX('Pace of change parameters'!$E$26:$I$26,1,$B$5))/(INDEX('Pace of change parameters'!$E$25:$I$25,1,$B$5)-INDEX('Pace of change parameters'!$E$26:$I$26,1,$B$5))))</f>
        <v>1</v>
      </c>
      <c r="X152" s="132">
        <f>MIN(T152, T152+(INDEX('Pace of change parameters'!$E$27:$I$27,1,$B$5)-T152)*(1-W152))</f>
        <v>3.120852620234893E-2</v>
      </c>
      <c r="Y152" s="132">
        <v>1.8444632280665063E-2</v>
      </c>
      <c r="Z152" s="108">
        <f t="shared" si="32"/>
        <v>515425</v>
      </c>
      <c r="AA152" s="97">
        <f>MIN(VLOOKUP(A152,'2017-18 disagg'!$A$12:$BC$220,54,FALSE),-2.5%)</f>
        <v>-2.5000000000000001E-2</v>
      </c>
      <c r="AB152" s="99">
        <f t="shared" si="24"/>
        <v>513480.09067853412</v>
      </c>
      <c r="AC152" s="99">
        <f>MAX(IF(INDEX('Pace of change parameters'!$E$29:$I$29,1,$B$5)=1,MAX(AB152,Z152),Z152),L152)</f>
        <v>515425</v>
      </c>
      <c r="AD152" s="97">
        <f t="shared" si="25"/>
        <v>3.1679470294116552E-2</v>
      </c>
      <c r="AE152" s="146">
        <v>1.8909747211523387E-2</v>
      </c>
      <c r="AF152" s="56">
        <f t="shared" si="33"/>
        <v>515425</v>
      </c>
      <c r="AG152" s="56">
        <v>1643.2539123709848</v>
      </c>
      <c r="AH152" s="16">
        <f t="shared" si="26"/>
        <v>3.1679470294116552E-2</v>
      </c>
      <c r="AI152" s="16">
        <f t="shared" si="27"/>
        <v>1.8909747211523165E-2</v>
      </c>
      <c r="AJ152" s="56"/>
      <c r="AK152" s="56">
        <v>526646.24684977857</v>
      </c>
      <c r="AL152" s="56">
        <v>1679.0289674955507</v>
      </c>
      <c r="AM152" s="16">
        <f t="shared" si="34"/>
        <v>-2.1306991015127008E-2</v>
      </c>
      <c r="AN152" s="58">
        <f t="shared" si="34"/>
        <v>-2.1306991015127119E-2</v>
      </c>
      <c r="AP152" s="56">
        <f t="shared" si="28"/>
        <v>1</v>
      </c>
      <c r="AQ152" s="56">
        <f t="shared" si="29"/>
        <v>0</v>
      </c>
    </row>
    <row r="153" spans="1:43" x14ac:dyDescent="0.2">
      <c r="A153" s="156" t="s">
        <v>351</v>
      </c>
      <c r="B153" s="156" t="s">
        <v>352</v>
      </c>
      <c r="D153" s="68">
        <f>VLOOKUP(A153,'2017-18 disagg'!A153:AZ361,43,FALSE)</f>
        <v>394841</v>
      </c>
      <c r="E153" s="73">
        <v>1487.1894804015587</v>
      </c>
      <c r="F153" s="55"/>
      <c r="G153" s="88">
        <v>409034.56491571944</v>
      </c>
      <c r="H153" s="81">
        <v>1522.9020175569715</v>
      </c>
      <c r="I153" s="90"/>
      <c r="J153" s="103">
        <f t="shared" si="30"/>
        <v>-3.470016016530042E-2</v>
      </c>
      <c r="K153" s="126">
        <f t="shared" si="30"/>
        <v>-2.3450318368283818E-2</v>
      </c>
      <c r="L153" s="56">
        <v>406346</v>
      </c>
      <c r="M153" s="103">
        <v>2.3814122740176469E-2</v>
      </c>
      <c r="N153" s="97">
        <f>INDEX('Pace of change parameters'!$E$22:$I$22,1,$B$5)</f>
        <v>1.2019795091496865E-2</v>
      </c>
      <c r="O153" s="108">
        <f>MAX(IF(INDEX('Pace of change parameters'!$E$30:$I$30,1,$B$5)=1,(1+M153)*D153,D153),L153)</f>
        <v>406346</v>
      </c>
      <c r="P153" s="94">
        <f>IF(K153&lt;INDEX('Pace of change parameters'!$E$18:$I$18,1,$B$5),1,IF(K153&gt;INDEX('Pace of change parameters'!$E$19:$I$19,1,$B$5),0,(K153-INDEX('Pace of change parameters'!$E$19:$I$19,1,$B$5))/(INDEX('Pace of change parameters'!$E$18:$I$18,1,$B$5)-INDEX('Pace of change parameters'!$E$19:$I$19,1,$B$5))))</f>
        <v>0.70599171645322234</v>
      </c>
      <c r="Q153" s="57">
        <v>3.3084838428154795E-2</v>
      </c>
      <c r="R153" s="57">
        <v>2.1183712234765562E-2</v>
      </c>
      <c r="S153" s="9">
        <f>MAX(IF(INDEX('Pace of change parameters'!$E$31:$I$31,1,$B$5)=1,D153*(1+Q153),D153),L153)</f>
        <v>407904.25068981107</v>
      </c>
      <c r="T153" s="103">
        <f>IF(Q153&lt;INDEX('Pace of change parameters'!$E$24:$I$24,1,$B$5),INDEX('Pace of change parameters'!$E$24:$I$24,1,$B$5),Q153)</f>
        <v>3.3084838428154795E-2</v>
      </c>
      <c r="U153" s="132">
        <v>2.1183712234765562E-2</v>
      </c>
      <c r="V153" s="117">
        <f t="shared" si="31"/>
        <v>407904.25068981107</v>
      </c>
      <c r="W153" s="131">
        <f>IF(J153&gt;INDEX('Pace of change parameters'!$E$26:$I$26,1,$B$5),0,IF(J153&lt;INDEX('Pace of change parameters'!$E$25:$I$25,1,$B$5),1,(J153-INDEX('Pace of change parameters'!$E$26:$I$26,1,$B$5))/(INDEX('Pace of change parameters'!$E$25:$I$25,1,$B$5)-INDEX('Pace of change parameters'!$E$26:$I$26,1,$B$5))))</f>
        <v>1</v>
      </c>
      <c r="X153" s="132">
        <f>MIN(T153, T153+(INDEX('Pace of change parameters'!$E$27:$I$27,1,$B$5)-T153)*(1-W153))</f>
        <v>3.3084838428154795E-2</v>
      </c>
      <c r="Y153" s="132">
        <v>2.1183712234765562E-2</v>
      </c>
      <c r="Z153" s="108">
        <f t="shared" si="32"/>
        <v>407904.25068981107</v>
      </c>
      <c r="AA153" s="97">
        <f>MIN(VLOOKUP(A153,'2017-18 disagg'!$A$12:$BC$220,54,FALSE),-2.5%)</f>
        <v>-3.0348152279290219E-2</v>
      </c>
      <c r="AB153" s="99">
        <f t="shared" si="24"/>
        <v>407046.93351086474</v>
      </c>
      <c r="AC153" s="99">
        <f>MAX(IF(INDEX('Pace of change parameters'!$E$29:$I$29,1,$B$5)=1,MAX(AB153,Z153),Z153),L153)</f>
        <v>407904.25068981107</v>
      </c>
      <c r="AD153" s="97">
        <f t="shared" si="25"/>
        <v>3.3084838428154795E-2</v>
      </c>
      <c r="AE153" s="146">
        <v>2.1183712234765562E-2</v>
      </c>
      <c r="AF153" s="56">
        <f t="shared" si="33"/>
        <v>407904.25068981107</v>
      </c>
      <c r="AG153" s="56">
        <v>1518.6936743929557</v>
      </c>
      <c r="AH153" s="16">
        <f t="shared" si="26"/>
        <v>3.3084838428154795E-2</v>
      </c>
      <c r="AI153" s="16">
        <f t="shared" si="27"/>
        <v>2.1183712234765339E-2</v>
      </c>
      <c r="AJ153" s="56"/>
      <c r="AK153" s="56">
        <v>419786.68371300527</v>
      </c>
      <c r="AL153" s="56">
        <v>1562.9338994904035</v>
      </c>
      <c r="AM153" s="16">
        <f t="shared" si="34"/>
        <v>-2.8305883640934781E-2</v>
      </c>
      <c r="AN153" s="58">
        <f t="shared" si="34"/>
        <v>-2.8305883640934781E-2</v>
      </c>
      <c r="AP153" s="56">
        <f t="shared" si="28"/>
        <v>0</v>
      </c>
      <c r="AQ153" s="56">
        <f t="shared" si="29"/>
        <v>0</v>
      </c>
    </row>
    <row r="154" spans="1:43" x14ac:dyDescent="0.2">
      <c r="A154" s="156" t="s">
        <v>353</v>
      </c>
      <c r="B154" s="156" t="s">
        <v>354</v>
      </c>
      <c r="D154" s="68">
        <f>VLOOKUP(A154,'2017-18 disagg'!A154:AZ362,43,FALSE)</f>
        <v>457808</v>
      </c>
      <c r="E154" s="73">
        <v>1679.9981325915585</v>
      </c>
      <c r="F154" s="55"/>
      <c r="G154" s="88">
        <v>475293.06243128696</v>
      </c>
      <c r="H154" s="81">
        <v>1724.7994557727015</v>
      </c>
      <c r="I154" s="90"/>
      <c r="J154" s="103">
        <f t="shared" si="30"/>
        <v>-3.6787960551843302E-2</v>
      </c>
      <c r="K154" s="126">
        <f t="shared" si="30"/>
        <v>-2.5974801320349572E-2</v>
      </c>
      <c r="L154" s="56">
        <v>470344</v>
      </c>
      <c r="M154" s="103">
        <v>2.3380877326325988E-2</v>
      </c>
      <c r="N154" s="97">
        <f>INDEX('Pace of change parameters'!$E$22:$I$22,1,$B$5)</f>
        <v>1.2019795091496865E-2</v>
      </c>
      <c r="O154" s="108">
        <f>MAX(IF(INDEX('Pace of change parameters'!$E$30:$I$30,1,$B$5)=1,(1+M154)*D154,D154),L154)</f>
        <v>470344</v>
      </c>
      <c r="P154" s="94">
        <f>IF(K154&lt;INDEX('Pace of change parameters'!$E$18:$I$18,1,$B$5),1,IF(K154&gt;INDEX('Pace of change parameters'!$E$19:$I$19,1,$B$5),0,(K154-INDEX('Pace of change parameters'!$E$19:$I$19,1,$B$5))/(INDEX('Pace of change parameters'!$E$18:$I$18,1,$B$5)-INDEX('Pace of change parameters'!$E$19:$I$19,1,$B$5))))</f>
        <v>0.76076930604932169</v>
      </c>
      <c r="Q154" s="57">
        <v>3.3366676344288138E-2</v>
      </c>
      <c r="R154" s="57">
        <v>2.1894736572116713E-2</v>
      </c>
      <c r="S154" s="9">
        <f>MAX(IF(INDEX('Pace of change parameters'!$E$31:$I$31,1,$B$5)=1,D154*(1+Q154),D154),L154)</f>
        <v>473083.53136382584</v>
      </c>
      <c r="T154" s="103">
        <f>IF(Q154&lt;INDEX('Pace of change parameters'!$E$24:$I$24,1,$B$5),INDEX('Pace of change parameters'!$E$24:$I$24,1,$B$5),Q154)</f>
        <v>3.3366676344288138E-2</v>
      </c>
      <c r="U154" s="132">
        <v>2.1894736572116713E-2</v>
      </c>
      <c r="V154" s="117">
        <f t="shared" si="31"/>
        <v>473083.53136382584</v>
      </c>
      <c r="W154" s="131">
        <f>IF(J154&gt;INDEX('Pace of change parameters'!$E$26:$I$26,1,$B$5),0,IF(J154&lt;INDEX('Pace of change parameters'!$E$25:$I$25,1,$B$5),1,(J154-INDEX('Pace of change parameters'!$E$26:$I$26,1,$B$5))/(INDEX('Pace of change parameters'!$E$25:$I$25,1,$B$5)-INDEX('Pace of change parameters'!$E$26:$I$26,1,$B$5))))</f>
        <v>1</v>
      </c>
      <c r="X154" s="132">
        <f>MIN(T154, T154+(INDEX('Pace of change parameters'!$E$27:$I$27,1,$B$5)-T154)*(1-W154))</f>
        <v>3.3366676344288138E-2</v>
      </c>
      <c r="Y154" s="132">
        <v>2.1894736572116713E-2</v>
      </c>
      <c r="Z154" s="108">
        <f t="shared" si="32"/>
        <v>473083.53136382584</v>
      </c>
      <c r="AA154" s="97">
        <f>MIN(VLOOKUP(A154,'2017-18 disagg'!$A$12:$BC$220,54,FALSE),-2.5%)</f>
        <v>-3.2846343179554593E-2</v>
      </c>
      <c r="AB154" s="99">
        <f t="shared" si="24"/>
        <v>471466.42884114117</v>
      </c>
      <c r="AC154" s="99">
        <f>MAX(IF(INDEX('Pace of change parameters'!$E$29:$I$29,1,$B$5)=1,MAX(AB154,Z154),Z154),L154)</f>
        <v>473083.53136382584</v>
      </c>
      <c r="AD154" s="97">
        <f t="shared" si="25"/>
        <v>3.3366676344288138E-2</v>
      </c>
      <c r="AE154" s="146">
        <v>2.1894736572116713E-2</v>
      </c>
      <c r="AF154" s="56">
        <f t="shared" si="33"/>
        <v>473083.53136382584</v>
      </c>
      <c r="AG154" s="56">
        <v>1716.7812491462987</v>
      </c>
      <c r="AH154" s="16">
        <f t="shared" si="26"/>
        <v>3.3366676344288138E-2</v>
      </c>
      <c r="AI154" s="16">
        <f t="shared" si="27"/>
        <v>2.1894736572116713E-2</v>
      </c>
      <c r="AJ154" s="56"/>
      <c r="AK154" s="56">
        <v>487478.30865997559</v>
      </c>
      <c r="AL154" s="56">
        <v>1769.018712742683</v>
      </c>
      <c r="AM154" s="16">
        <f t="shared" si="34"/>
        <v>-2.9529062197084066E-2</v>
      </c>
      <c r="AN154" s="58">
        <f t="shared" si="34"/>
        <v>-2.9529062197084066E-2</v>
      </c>
      <c r="AP154" s="56">
        <f t="shared" si="28"/>
        <v>0</v>
      </c>
      <c r="AQ154" s="56">
        <f t="shared" si="29"/>
        <v>0</v>
      </c>
    </row>
    <row r="155" spans="1:43" x14ac:dyDescent="0.2">
      <c r="A155" s="156" t="s">
        <v>355</v>
      </c>
      <c r="B155" s="156" t="s">
        <v>356</v>
      </c>
      <c r="D155" s="68">
        <f>VLOOKUP(A155,'2017-18 disagg'!A155:AZ363,43,FALSE)</f>
        <v>477946</v>
      </c>
      <c r="E155" s="73">
        <v>1522.2600184002467</v>
      </c>
      <c r="F155" s="55"/>
      <c r="G155" s="88">
        <v>494759.28016679315</v>
      </c>
      <c r="H155" s="81">
        <v>1553.3036173592427</v>
      </c>
      <c r="I155" s="90"/>
      <c r="J155" s="103">
        <f t="shared" si="30"/>
        <v>-3.3982748461282131E-2</v>
      </c>
      <c r="K155" s="126">
        <f t="shared" si="30"/>
        <v>-1.9985531876744678E-2</v>
      </c>
      <c r="L155" s="56">
        <v>493610</v>
      </c>
      <c r="M155" s="103">
        <v>2.668357075095984E-2</v>
      </c>
      <c r="N155" s="97">
        <f>INDEX('Pace of change parameters'!$E$22:$I$22,1,$B$5)</f>
        <v>1.2019795091496865E-2</v>
      </c>
      <c r="O155" s="108">
        <f>MAX(IF(INDEX('Pace of change parameters'!$E$30:$I$30,1,$B$5)=1,(1+M155)*D155,D155),L155)</f>
        <v>493610</v>
      </c>
      <c r="P155" s="94">
        <f>IF(K155&lt;INDEX('Pace of change parameters'!$E$18:$I$18,1,$B$5),1,IF(K155&gt;INDEX('Pace of change parameters'!$E$19:$I$19,1,$B$5),0,(K155-INDEX('Pace of change parameters'!$E$19:$I$19,1,$B$5))/(INDEX('Pace of change parameters'!$E$18:$I$18,1,$B$5)-INDEX('Pace of change parameters'!$E$19:$I$19,1,$B$5))))</f>
        <v>0.63081091465127914</v>
      </c>
      <c r="Q155" s="57">
        <v>3.4990267432707833E-2</v>
      </c>
      <c r="R155" s="57">
        <v>2.0207850022190721E-2</v>
      </c>
      <c r="S155" s="9">
        <f>MAX(IF(INDEX('Pace of change parameters'!$E$31:$I$31,1,$B$5)=1,D155*(1+Q155),D155),L155)</f>
        <v>494669.45835839299</v>
      </c>
      <c r="T155" s="103">
        <f>IF(Q155&lt;INDEX('Pace of change parameters'!$E$24:$I$24,1,$B$5),INDEX('Pace of change parameters'!$E$24:$I$24,1,$B$5),Q155)</f>
        <v>3.4990267432707833E-2</v>
      </c>
      <c r="U155" s="132">
        <v>2.0207850022190721E-2</v>
      </c>
      <c r="V155" s="117">
        <f t="shared" si="31"/>
        <v>494669.45835839299</v>
      </c>
      <c r="W155" s="131">
        <f>IF(J155&gt;INDEX('Pace of change parameters'!$E$26:$I$26,1,$B$5),0,IF(J155&lt;INDEX('Pace of change parameters'!$E$25:$I$25,1,$B$5),1,(J155-INDEX('Pace of change parameters'!$E$26:$I$26,1,$B$5))/(INDEX('Pace of change parameters'!$E$25:$I$25,1,$B$5)-INDEX('Pace of change parameters'!$E$26:$I$26,1,$B$5))))</f>
        <v>1</v>
      </c>
      <c r="X155" s="132">
        <f>MIN(T155, T155+(INDEX('Pace of change parameters'!$E$27:$I$27,1,$B$5)-T155)*(1-W155))</f>
        <v>3.4990267432707833E-2</v>
      </c>
      <c r="Y155" s="132">
        <v>2.0207850022190721E-2</v>
      </c>
      <c r="Z155" s="108">
        <f t="shared" si="32"/>
        <v>494669.45835839299</v>
      </c>
      <c r="AA155" s="97">
        <f>MIN(VLOOKUP(A155,'2017-18 disagg'!$A$12:$BC$220,54,FALSE),-2.5%)</f>
        <v>-2.6901962417846037E-2</v>
      </c>
      <c r="AB155" s="99">
        <f t="shared" si="24"/>
        <v>493895.3318109336</v>
      </c>
      <c r="AC155" s="99">
        <f>MAX(IF(INDEX('Pace of change parameters'!$E$29:$I$29,1,$B$5)=1,MAX(AB155,Z155),Z155),L155)</f>
        <v>494669.45835839299</v>
      </c>
      <c r="AD155" s="97">
        <f t="shared" si="25"/>
        <v>3.4990267432707833E-2</v>
      </c>
      <c r="AE155" s="146">
        <v>2.0207850022190721E-2</v>
      </c>
      <c r="AF155" s="56">
        <f t="shared" si="33"/>
        <v>494669.45835839299</v>
      </c>
      <c r="AG155" s="56">
        <v>1553.0216205468562</v>
      </c>
      <c r="AH155" s="16">
        <f t="shared" si="26"/>
        <v>3.4990267432707833E-2</v>
      </c>
      <c r="AI155" s="16">
        <f t="shared" si="27"/>
        <v>2.0207850022190721E-2</v>
      </c>
      <c r="AJ155" s="56"/>
      <c r="AK155" s="56">
        <v>507549.40688001993</v>
      </c>
      <c r="AL155" s="56">
        <v>1593.4583974442987</v>
      </c>
      <c r="AM155" s="16">
        <f t="shared" si="34"/>
        <v>-2.5376738396369891E-2</v>
      </c>
      <c r="AN155" s="58">
        <f t="shared" si="34"/>
        <v>-2.537673839636978E-2</v>
      </c>
      <c r="AP155" s="56">
        <f t="shared" si="28"/>
        <v>0</v>
      </c>
      <c r="AQ155" s="56">
        <f t="shared" si="29"/>
        <v>0</v>
      </c>
    </row>
    <row r="156" spans="1:43" x14ac:dyDescent="0.2">
      <c r="A156" s="156" t="s">
        <v>357</v>
      </c>
      <c r="B156" s="156" t="s">
        <v>358</v>
      </c>
      <c r="D156" s="68">
        <f>VLOOKUP(A156,'2017-18 disagg'!A156:AZ364,43,FALSE)</f>
        <v>457022</v>
      </c>
      <c r="E156" s="73">
        <v>1449.6589483961254</v>
      </c>
      <c r="F156" s="55"/>
      <c r="G156" s="88">
        <v>471691.21265699429</v>
      </c>
      <c r="H156" s="81">
        <v>1474.9984674837976</v>
      </c>
      <c r="I156" s="90"/>
      <c r="J156" s="103">
        <f t="shared" si="30"/>
        <v>-3.1099185788015737E-2</v>
      </c>
      <c r="K156" s="126">
        <f t="shared" si="30"/>
        <v>-1.7179352823938121E-2</v>
      </c>
      <c r="L156" s="56">
        <v>471783</v>
      </c>
      <c r="M156" s="103">
        <v>2.6559102208779883E-2</v>
      </c>
      <c r="N156" s="97">
        <f>INDEX('Pace of change parameters'!$E$22:$I$22,1,$B$5)</f>
        <v>1.2019795091496865E-2</v>
      </c>
      <c r="O156" s="108">
        <f>MAX(IF(INDEX('Pace of change parameters'!$E$30:$I$30,1,$B$5)=1,(1+M156)*D156,D156),L156)</f>
        <v>471783</v>
      </c>
      <c r="P156" s="94">
        <f>IF(K156&lt;INDEX('Pace of change parameters'!$E$18:$I$18,1,$B$5),1,IF(K156&gt;INDEX('Pace of change parameters'!$E$19:$I$19,1,$B$5),0,(K156-INDEX('Pace of change parameters'!$E$19:$I$19,1,$B$5))/(INDEX('Pace of change parameters'!$E$18:$I$18,1,$B$5)-INDEX('Pace of change parameters'!$E$19:$I$19,1,$B$5))))</f>
        <v>0.56992093147194156</v>
      </c>
      <c r="Q156" s="57">
        <v>3.4063072512861892E-2</v>
      </c>
      <c r="R156" s="57">
        <v>1.9417485563647752E-2</v>
      </c>
      <c r="S156" s="9">
        <f>MAX(IF(INDEX('Pace of change parameters'!$E$31:$I$31,1,$B$5)=1,D156*(1+Q156),D156),L156)</f>
        <v>472589.57352597319</v>
      </c>
      <c r="T156" s="103">
        <f>IF(Q156&lt;INDEX('Pace of change parameters'!$E$24:$I$24,1,$B$5),INDEX('Pace of change parameters'!$E$24:$I$24,1,$B$5),Q156)</f>
        <v>3.4063072512861892E-2</v>
      </c>
      <c r="U156" s="132">
        <v>1.9417485563647752E-2</v>
      </c>
      <c r="V156" s="117">
        <f t="shared" si="31"/>
        <v>472589.57352597319</v>
      </c>
      <c r="W156" s="131">
        <f>IF(J156&gt;INDEX('Pace of change parameters'!$E$26:$I$26,1,$B$5),0,IF(J156&lt;INDEX('Pace of change parameters'!$E$25:$I$25,1,$B$5),1,(J156-INDEX('Pace of change parameters'!$E$26:$I$26,1,$B$5))/(INDEX('Pace of change parameters'!$E$25:$I$25,1,$B$5)-INDEX('Pace of change parameters'!$E$26:$I$26,1,$B$5))))</f>
        <v>1</v>
      </c>
      <c r="X156" s="132">
        <f>MIN(T156, T156+(INDEX('Pace of change parameters'!$E$27:$I$27,1,$B$5)-T156)*(1-W156))</f>
        <v>3.4063072512861892E-2</v>
      </c>
      <c r="Y156" s="132">
        <v>1.9417485563647752E-2</v>
      </c>
      <c r="Z156" s="108">
        <f t="shared" si="32"/>
        <v>472589.57352597319</v>
      </c>
      <c r="AA156" s="97">
        <f>MIN(VLOOKUP(A156,'2017-18 disagg'!$A$12:$BC$220,54,FALSE),-2.5%)</f>
        <v>-2.5000000000000001E-2</v>
      </c>
      <c r="AB156" s="99">
        <f t="shared" si="24"/>
        <v>471729.17714328988</v>
      </c>
      <c r="AC156" s="99">
        <f>MAX(IF(INDEX('Pace of change parameters'!$E$29:$I$29,1,$B$5)=1,MAX(AB156,Z156),Z156),L156)</f>
        <v>472589.57352597319</v>
      </c>
      <c r="AD156" s="97">
        <f t="shared" si="25"/>
        <v>3.4063072512861892E-2</v>
      </c>
      <c r="AE156" s="146">
        <v>1.9417485563647752E-2</v>
      </c>
      <c r="AF156" s="56">
        <f t="shared" si="33"/>
        <v>472589.57352597319</v>
      </c>
      <c r="AG156" s="56">
        <v>1477.8076800988201</v>
      </c>
      <c r="AH156" s="16">
        <f t="shared" si="26"/>
        <v>3.4063072512861892E-2</v>
      </c>
      <c r="AI156" s="16">
        <f t="shared" si="27"/>
        <v>1.9417485563647752E-2</v>
      </c>
      <c r="AJ156" s="56"/>
      <c r="AK156" s="56">
        <v>483824.79707004089</v>
      </c>
      <c r="AL156" s="56">
        <v>1512.9407015854606</v>
      </c>
      <c r="AM156" s="16">
        <f t="shared" si="34"/>
        <v>-2.3221677789369788E-2</v>
      </c>
      <c r="AN156" s="58">
        <f t="shared" si="34"/>
        <v>-2.3221677789369677E-2</v>
      </c>
      <c r="AP156" s="56">
        <f t="shared" si="28"/>
        <v>0</v>
      </c>
      <c r="AQ156" s="56">
        <f t="shared" si="29"/>
        <v>0</v>
      </c>
    </row>
    <row r="157" spans="1:43" x14ac:dyDescent="0.2">
      <c r="A157" s="156" t="s">
        <v>359</v>
      </c>
      <c r="B157" s="156" t="s">
        <v>360</v>
      </c>
      <c r="D157" s="68">
        <f>VLOOKUP(A157,'2017-18 disagg'!A157:AZ365,43,FALSE)</f>
        <v>464690</v>
      </c>
      <c r="E157" s="73">
        <v>1917.5049154005819</v>
      </c>
      <c r="F157" s="55"/>
      <c r="G157" s="88">
        <v>452149.15087809355</v>
      </c>
      <c r="H157" s="81">
        <v>1838.0125057648181</v>
      </c>
      <c r="I157" s="90"/>
      <c r="J157" s="103">
        <f t="shared" si="30"/>
        <v>2.7736089070501624E-2</v>
      </c>
      <c r="K157" s="126">
        <f t="shared" si="30"/>
        <v>4.3249112498658482E-2</v>
      </c>
      <c r="L157" s="56">
        <v>480565</v>
      </c>
      <c r="M157" s="103">
        <v>2.7295591045312095E-2</v>
      </c>
      <c r="N157" s="97">
        <f>INDEX('Pace of change parameters'!$E$22:$I$22,1,$B$5)</f>
        <v>1.2019795091496865E-2</v>
      </c>
      <c r="O157" s="108">
        <f>MAX(IF(INDEX('Pace of change parameters'!$E$30:$I$30,1,$B$5)=1,(1+M157)*D157,D157),L157)</f>
        <v>480565</v>
      </c>
      <c r="P157" s="94">
        <f>IF(K157&lt;INDEX('Pace of change parameters'!$E$18:$I$18,1,$B$5),1,IF(K157&gt;INDEX('Pace of change parameters'!$E$19:$I$19,1,$B$5),0,(K157-INDEX('Pace of change parameters'!$E$19:$I$19,1,$B$5))/(INDEX('Pace of change parameters'!$E$18:$I$18,1,$B$5)-INDEX('Pace of change parameters'!$E$19:$I$19,1,$B$5))))</f>
        <v>0</v>
      </c>
      <c r="Q157" s="57">
        <v>2.7295591045312095E-2</v>
      </c>
      <c r="R157" s="57">
        <v>1.2019795091496865E-2</v>
      </c>
      <c r="S157" s="9">
        <f>MAX(IF(INDEX('Pace of change parameters'!$E$31:$I$31,1,$B$5)=1,D157*(1+Q157),D157),L157)</f>
        <v>480565</v>
      </c>
      <c r="T157" s="103">
        <f>IF(Q157&lt;INDEX('Pace of change parameters'!$E$24:$I$24,1,$B$5),INDEX('Pace of change parameters'!$E$24:$I$24,1,$B$5),Q157)</f>
        <v>2.7295591045312095E-2</v>
      </c>
      <c r="U157" s="132">
        <v>1.2019795091496865E-2</v>
      </c>
      <c r="V157" s="117">
        <f t="shared" si="31"/>
        <v>480565</v>
      </c>
      <c r="W157" s="131">
        <f>IF(J157&gt;INDEX('Pace of change parameters'!$E$26:$I$26,1,$B$5),0,IF(J157&lt;INDEX('Pace of change parameters'!$E$25:$I$25,1,$B$5),1,(J157-INDEX('Pace of change parameters'!$E$26:$I$26,1,$B$5))/(INDEX('Pace of change parameters'!$E$25:$I$25,1,$B$5)-INDEX('Pace of change parameters'!$E$26:$I$26,1,$B$5))))</f>
        <v>1</v>
      </c>
      <c r="X157" s="132">
        <f>MIN(T157, T157+(INDEX('Pace of change parameters'!$E$27:$I$27,1,$B$5)-T157)*(1-W157))</f>
        <v>2.7295591045312095E-2</v>
      </c>
      <c r="Y157" s="132">
        <v>1.2019795091496865E-2</v>
      </c>
      <c r="Z157" s="108">
        <f t="shared" si="32"/>
        <v>480565</v>
      </c>
      <c r="AA157" s="97">
        <f>MIN(VLOOKUP(A157,'2017-18 disagg'!$A$12:$BC$220,54,FALSE),-2.5%)</f>
        <v>-2.5000000000000001E-2</v>
      </c>
      <c r="AB157" s="99">
        <f t="shared" si="24"/>
        <v>452606.79391218309</v>
      </c>
      <c r="AC157" s="99">
        <f>MAX(IF(INDEX('Pace of change parameters'!$E$29:$I$29,1,$B$5)=1,MAX(AB157,Z157),Z157),L157)</f>
        <v>480565</v>
      </c>
      <c r="AD157" s="97">
        <f t="shared" si="25"/>
        <v>3.4162559986227414E-2</v>
      </c>
      <c r="AE157" s="146">
        <v>1.8784652802424473E-2</v>
      </c>
      <c r="AF157" s="56">
        <f t="shared" si="33"/>
        <v>480565</v>
      </c>
      <c r="AG157" s="56">
        <v>1953.5245794833243</v>
      </c>
      <c r="AH157" s="16">
        <f t="shared" si="26"/>
        <v>3.4162559986227414E-2</v>
      </c>
      <c r="AI157" s="16">
        <f t="shared" si="27"/>
        <v>1.8784652802424473E-2</v>
      </c>
      <c r="AJ157" s="56"/>
      <c r="AK157" s="56">
        <v>464212.09632018779</v>
      </c>
      <c r="AL157" s="56">
        <v>1887.0490781787423</v>
      </c>
      <c r="AM157" s="16">
        <f t="shared" si="34"/>
        <v>3.5227224386098044E-2</v>
      </c>
      <c r="AN157" s="58">
        <f t="shared" si="34"/>
        <v>3.5227224386098044E-2</v>
      </c>
      <c r="AP157" s="56">
        <f t="shared" si="28"/>
        <v>1</v>
      </c>
      <c r="AQ157" s="56">
        <f t="shared" si="29"/>
        <v>0</v>
      </c>
    </row>
    <row r="158" spans="1:43" x14ac:dyDescent="0.2">
      <c r="A158" s="156" t="s">
        <v>361</v>
      </c>
      <c r="B158" s="156" t="s">
        <v>362</v>
      </c>
      <c r="D158" s="68">
        <f>VLOOKUP(A158,'2017-18 disagg'!A158:AZ366,43,FALSE)</f>
        <v>300408</v>
      </c>
      <c r="E158" s="73">
        <v>1436.2935276488695</v>
      </c>
      <c r="F158" s="55"/>
      <c r="G158" s="88">
        <v>304503.42222760268</v>
      </c>
      <c r="H158" s="81">
        <v>1434.5503455982766</v>
      </c>
      <c r="I158" s="90"/>
      <c r="J158" s="103">
        <f t="shared" si="30"/>
        <v>-1.3449511331079633E-2</v>
      </c>
      <c r="K158" s="126">
        <f t="shared" si="30"/>
        <v>1.2151417731287584E-3</v>
      </c>
      <c r="L158" s="56">
        <v>309874</v>
      </c>
      <c r="M158" s="103">
        <v>2.7063038595062983E-2</v>
      </c>
      <c r="N158" s="97">
        <f>INDEX('Pace of change parameters'!$E$22:$I$22,1,$B$5)</f>
        <v>1.2019795091496865E-2</v>
      </c>
      <c r="O158" s="108">
        <f>MAX(IF(INDEX('Pace of change parameters'!$E$30:$I$30,1,$B$5)=1,(1+M158)*D158,D158),L158)</f>
        <v>309874</v>
      </c>
      <c r="P158" s="94">
        <f>IF(K158&lt;INDEX('Pace of change parameters'!$E$18:$I$18,1,$B$5),1,IF(K158&gt;INDEX('Pace of change parameters'!$E$19:$I$19,1,$B$5),0,(K158-INDEX('Pace of change parameters'!$E$19:$I$19,1,$B$5))/(INDEX('Pace of change parameters'!$E$18:$I$18,1,$B$5)-INDEX('Pace of change parameters'!$E$19:$I$19,1,$B$5))))</f>
        <v>0.17078728905962731</v>
      </c>
      <c r="Q158" s="57">
        <v>2.9312845194080728E-2</v>
      </c>
      <c r="R158" s="57">
        <v>1.423664909925848E-2</v>
      </c>
      <c r="S158" s="9">
        <f>MAX(IF(INDEX('Pace of change parameters'!$E$31:$I$31,1,$B$5)=1,D158*(1+Q158),D158),L158)</f>
        <v>309874</v>
      </c>
      <c r="T158" s="103">
        <f>IF(Q158&lt;INDEX('Pace of change parameters'!$E$24:$I$24,1,$B$5),INDEX('Pace of change parameters'!$E$24:$I$24,1,$B$5),Q158)</f>
        <v>2.9312845194080728E-2</v>
      </c>
      <c r="U158" s="132">
        <v>1.423664909925848E-2</v>
      </c>
      <c r="V158" s="117">
        <f t="shared" si="31"/>
        <v>309874</v>
      </c>
      <c r="W158" s="131">
        <f>IF(J158&gt;INDEX('Pace of change parameters'!$E$26:$I$26,1,$B$5),0,IF(J158&lt;INDEX('Pace of change parameters'!$E$25:$I$25,1,$B$5),1,(J158-INDEX('Pace of change parameters'!$E$26:$I$26,1,$B$5))/(INDEX('Pace of change parameters'!$E$25:$I$25,1,$B$5)-INDEX('Pace of change parameters'!$E$26:$I$26,1,$B$5))))</f>
        <v>1</v>
      </c>
      <c r="X158" s="132">
        <f>MIN(T158, T158+(INDEX('Pace of change parameters'!$E$27:$I$27,1,$B$5)-T158)*(1-W158))</f>
        <v>2.9312845194080728E-2</v>
      </c>
      <c r="Y158" s="132">
        <v>1.423664909925848E-2</v>
      </c>
      <c r="Z158" s="108">
        <f t="shared" si="32"/>
        <v>309874</v>
      </c>
      <c r="AA158" s="97">
        <f>MIN(VLOOKUP(A158,'2017-18 disagg'!$A$12:$BC$220,54,FALSE),-2.5%)</f>
        <v>-2.5000000000000001E-2</v>
      </c>
      <c r="AB158" s="99">
        <f t="shared" si="24"/>
        <v>304570.01459821773</v>
      </c>
      <c r="AC158" s="99">
        <f>MAX(IF(INDEX('Pace of change parameters'!$E$29:$I$29,1,$B$5)=1,MAX(AB158,Z158),Z158),L158)</f>
        <v>309874</v>
      </c>
      <c r="AD158" s="97">
        <f t="shared" si="25"/>
        <v>3.1510479081782172E-2</v>
      </c>
      <c r="AE158" s="146">
        <v>1.6402094561846825E-2</v>
      </c>
      <c r="AF158" s="56">
        <f t="shared" si="33"/>
        <v>309874</v>
      </c>
      <c r="AG158" s="56">
        <v>1459.8517499079346</v>
      </c>
      <c r="AH158" s="16">
        <f t="shared" si="26"/>
        <v>3.1510479081782172E-2</v>
      </c>
      <c r="AI158" s="16">
        <f t="shared" si="27"/>
        <v>1.6402094561846603E-2</v>
      </c>
      <c r="AJ158" s="56"/>
      <c r="AK158" s="56">
        <v>312379.50215201819</v>
      </c>
      <c r="AL158" s="56">
        <v>1471.6554562563917</v>
      </c>
      <c r="AM158" s="16">
        <f t="shared" si="34"/>
        <v>-8.0206996129947861E-3</v>
      </c>
      <c r="AN158" s="58">
        <f t="shared" si="34"/>
        <v>-8.020699612994675E-3</v>
      </c>
      <c r="AP158" s="56">
        <f t="shared" si="28"/>
        <v>1</v>
      </c>
      <c r="AQ158" s="56">
        <f t="shared" si="29"/>
        <v>0</v>
      </c>
    </row>
    <row r="159" spans="1:43" x14ac:dyDescent="0.2">
      <c r="A159" s="156" t="s">
        <v>363</v>
      </c>
      <c r="B159" s="156" t="s">
        <v>364</v>
      </c>
      <c r="D159" s="68">
        <f>VLOOKUP(A159,'2017-18 disagg'!A159:AZ367,43,FALSE)</f>
        <v>678892</v>
      </c>
      <c r="E159" s="73">
        <v>1729.0218924851031</v>
      </c>
      <c r="F159" s="55"/>
      <c r="G159" s="88">
        <v>686676.62947400892</v>
      </c>
      <c r="H159" s="81">
        <v>1730.4962560791098</v>
      </c>
      <c r="I159" s="90"/>
      <c r="J159" s="103">
        <f t="shared" si="30"/>
        <v>-1.1336674556656878E-2</v>
      </c>
      <c r="K159" s="126">
        <f t="shared" si="30"/>
        <v>-8.5198889557103197E-4</v>
      </c>
      <c r="L159" s="56">
        <v>698514</v>
      </c>
      <c r="M159" s="103">
        <v>2.2752174012878212E-2</v>
      </c>
      <c r="N159" s="97">
        <f>INDEX('Pace of change parameters'!$E$22:$I$22,1,$B$5)</f>
        <v>1.2019795091496865E-2</v>
      </c>
      <c r="O159" s="108">
        <f>MAX(IF(INDEX('Pace of change parameters'!$E$30:$I$30,1,$B$5)=1,(1+M159)*D159,D159),L159)</f>
        <v>698514</v>
      </c>
      <c r="P159" s="94">
        <f>IF(K159&lt;INDEX('Pace of change parameters'!$E$18:$I$18,1,$B$5),1,IF(K159&gt;INDEX('Pace of change parameters'!$E$19:$I$19,1,$B$5),0,(K159-INDEX('Pace of change parameters'!$E$19:$I$19,1,$B$5))/(INDEX('Pace of change parameters'!$E$18:$I$18,1,$B$5)-INDEX('Pace of change parameters'!$E$19:$I$19,1,$B$5))))</f>
        <v>0.21564100269587538</v>
      </c>
      <c r="Q159" s="57">
        <v>2.5580922240820314E-2</v>
      </c>
      <c r="R159" s="57">
        <v>1.4818859493164416E-2</v>
      </c>
      <c r="S159" s="9">
        <f>MAX(IF(INDEX('Pace of change parameters'!$E$31:$I$31,1,$B$5)=1,D159*(1+Q159),D159),L159)</f>
        <v>698514</v>
      </c>
      <c r="T159" s="103">
        <f>IF(Q159&lt;INDEX('Pace of change parameters'!$E$24:$I$24,1,$B$5),INDEX('Pace of change parameters'!$E$24:$I$24,1,$B$5),Q159)</f>
        <v>2.5580922240820314E-2</v>
      </c>
      <c r="U159" s="132">
        <v>1.4818859493164416E-2</v>
      </c>
      <c r="V159" s="117">
        <f t="shared" si="31"/>
        <v>698514</v>
      </c>
      <c r="W159" s="131">
        <f>IF(J159&gt;INDEX('Pace of change parameters'!$E$26:$I$26,1,$B$5),0,IF(J159&lt;INDEX('Pace of change parameters'!$E$25:$I$25,1,$B$5),1,(J159-INDEX('Pace of change parameters'!$E$26:$I$26,1,$B$5))/(INDEX('Pace of change parameters'!$E$25:$I$25,1,$B$5)-INDEX('Pace of change parameters'!$E$26:$I$26,1,$B$5))))</f>
        <v>1</v>
      </c>
      <c r="X159" s="132">
        <f>MIN(T159, T159+(INDEX('Pace of change parameters'!$E$27:$I$27,1,$B$5)-T159)*(1-W159))</f>
        <v>2.5580922240820314E-2</v>
      </c>
      <c r="Y159" s="132">
        <v>1.4818859493164416E-2</v>
      </c>
      <c r="Z159" s="108">
        <f t="shared" si="32"/>
        <v>698514</v>
      </c>
      <c r="AA159" s="97">
        <f>MIN(VLOOKUP(A159,'2017-18 disagg'!$A$12:$BC$220,54,FALSE),-2.5%)</f>
        <v>-2.5000000000000001E-2</v>
      </c>
      <c r="AB159" s="99">
        <f t="shared" si="24"/>
        <v>687752.7357494426</v>
      </c>
      <c r="AC159" s="99">
        <f>MAX(IF(INDEX('Pace of change parameters'!$E$29:$I$29,1,$B$5)=1,MAX(AB159,Z159),Z159),L159)</f>
        <v>698514</v>
      </c>
      <c r="AD159" s="97">
        <f t="shared" si="25"/>
        <v>2.8902977204032343E-2</v>
      </c>
      <c r="AE159" s="146">
        <v>1.8106054053662168E-2</v>
      </c>
      <c r="AF159" s="56">
        <f t="shared" si="33"/>
        <v>698514</v>
      </c>
      <c r="AG159" s="56">
        <v>1760.3276563304039</v>
      </c>
      <c r="AH159" s="16">
        <f t="shared" si="26"/>
        <v>2.8902977204032343E-2</v>
      </c>
      <c r="AI159" s="16">
        <f t="shared" si="27"/>
        <v>1.810605405366239E-2</v>
      </c>
      <c r="AJ159" s="56"/>
      <c r="AK159" s="56">
        <v>705387.42128147965</v>
      </c>
      <c r="AL159" s="56">
        <v>1777.6493901473332</v>
      </c>
      <c r="AM159" s="16">
        <f t="shared" si="34"/>
        <v>-9.7441789775506438E-3</v>
      </c>
      <c r="AN159" s="58">
        <f t="shared" si="34"/>
        <v>-9.7441789775506438E-3</v>
      </c>
      <c r="AP159" s="56">
        <f t="shared" si="28"/>
        <v>1</v>
      </c>
      <c r="AQ159" s="56">
        <f t="shared" si="29"/>
        <v>0</v>
      </c>
    </row>
    <row r="160" spans="1:43" x14ac:dyDescent="0.2">
      <c r="A160" s="156" t="s">
        <v>365</v>
      </c>
      <c r="B160" s="156" t="s">
        <v>366</v>
      </c>
      <c r="D160" s="68">
        <f>VLOOKUP(A160,'2017-18 disagg'!A160:AZ368,43,FALSE)</f>
        <v>573644</v>
      </c>
      <c r="E160" s="73">
        <v>1782.5737295600368</v>
      </c>
      <c r="F160" s="55"/>
      <c r="G160" s="88">
        <v>570915.77053492598</v>
      </c>
      <c r="H160" s="81">
        <v>1750.0561819493182</v>
      </c>
      <c r="I160" s="90"/>
      <c r="J160" s="103">
        <f t="shared" si="30"/>
        <v>4.7786899677297878E-3</v>
      </c>
      <c r="K160" s="126">
        <f t="shared" si="30"/>
        <v>1.8580859258185978E-2</v>
      </c>
      <c r="L160" s="56">
        <v>592066</v>
      </c>
      <c r="M160" s="103">
        <v>2.5921432015737267E-2</v>
      </c>
      <c r="N160" s="97">
        <f>INDEX('Pace of change parameters'!$E$22:$I$22,1,$B$5)</f>
        <v>1.2019795091496865E-2</v>
      </c>
      <c r="O160" s="108">
        <f>MAX(IF(INDEX('Pace of change parameters'!$E$30:$I$30,1,$B$5)=1,(1+M160)*D160,D160),L160)</f>
        <v>592066</v>
      </c>
      <c r="P160" s="94">
        <f>IF(K160&lt;INDEX('Pace of change parameters'!$E$18:$I$18,1,$B$5),1,IF(K160&gt;INDEX('Pace of change parameters'!$E$19:$I$19,1,$B$5),0,(K160-INDEX('Pace of change parameters'!$E$19:$I$19,1,$B$5))/(INDEX('Pace of change parameters'!$E$18:$I$18,1,$B$5)-INDEX('Pace of change parameters'!$E$19:$I$19,1,$B$5))))</f>
        <v>0</v>
      </c>
      <c r="Q160" s="57">
        <v>2.5921432015737267E-2</v>
      </c>
      <c r="R160" s="57">
        <v>1.2019795091496865E-2</v>
      </c>
      <c r="S160" s="9">
        <f>MAX(IF(INDEX('Pace of change parameters'!$E$31:$I$31,1,$B$5)=1,D160*(1+Q160),D160),L160)</f>
        <v>592066</v>
      </c>
      <c r="T160" s="103">
        <f>IF(Q160&lt;INDEX('Pace of change parameters'!$E$24:$I$24,1,$B$5),INDEX('Pace of change parameters'!$E$24:$I$24,1,$B$5),Q160)</f>
        <v>2.5921432015737267E-2</v>
      </c>
      <c r="U160" s="132">
        <v>1.2019795091496865E-2</v>
      </c>
      <c r="V160" s="117">
        <f t="shared" si="31"/>
        <v>592066</v>
      </c>
      <c r="W160" s="131">
        <f>IF(J160&gt;INDEX('Pace of change parameters'!$E$26:$I$26,1,$B$5),0,IF(J160&lt;INDEX('Pace of change parameters'!$E$25:$I$25,1,$B$5),1,(J160-INDEX('Pace of change parameters'!$E$26:$I$26,1,$B$5))/(INDEX('Pace of change parameters'!$E$25:$I$25,1,$B$5)-INDEX('Pace of change parameters'!$E$26:$I$26,1,$B$5))))</f>
        <v>1</v>
      </c>
      <c r="X160" s="132">
        <f>MIN(T160, T160+(INDEX('Pace of change parameters'!$E$27:$I$27,1,$B$5)-T160)*(1-W160))</f>
        <v>2.5921432015737267E-2</v>
      </c>
      <c r="Y160" s="132">
        <v>1.2019795091496865E-2</v>
      </c>
      <c r="Z160" s="108">
        <f t="shared" si="32"/>
        <v>592066</v>
      </c>
      <c r="AA160" s="97">
        <f>MIN(VLOOKUP(A160,'2017-18 disagg'!$A$12:$BC$220,54,FALSE),-2.5%)</f>
        <v>-2.5000000000000001E-2</v>
      </c>
      <c r="AB160" s="99">
        <f t="shared" si="24"/>
        <v>571411.91243768751</v>
      </c>
      <c r="AC160" s="99">
        <f>MAX(IF(INDEX('Pace of change parameters'!$E$29:$I$29,1,$B$5)=1,MAX(AB160,Z160),Z160),L160)</f>
        <v>592066</v>
      </c>
      <c r="AD160" s="97">
        <f t="shared" si="25"/>
        <v>3.2113994045087191E-2</v>
      </c>
      <c r="AE160" s="146">
        <v>1.8128445481732536E-2</v>
      </c>
      <c r="AF160" s="56">
        <f t="shared" si="33"/>
        <v>592066</v>
      </c>
      <c r="AG160" s="56">
        <v>1814.8890202335344</v>
      </c>
      <c r="AH160" s="16">
        <f t="shared" si="26"/>
        <v>3.2113994045087191E-2</v>
      </c>
      <c r="AI160" s="16">
        <f t="shared" si="27"/>
        <v>1.8128445481732536E-2</v>
      </c>
      <c r="AJ160" s="56"/>
      <c r="AK160" s="56">
        <v>586063.49993608973</v>
      </c>
      <c r="AL160" s="56">
        <v>1796.4892616594198</v>
      </c>
      <c r="AM160" s="16">
        <f t="shared" si="34"/>
        <v>1.0242064323345179E-2</v>
      </c>
      <c r="AN160" s="58">
        <f t="shared" si="34"/>
        <v>1.0242064323345179E-2</v>
      </c>
      <c r="AP160" s="56">
        <f t="shared" si="28"/>
        <v>1</v>
      </c>
      <c r="AQ160" s="56">
        <f t="shared" si="29"/>
        <v>0</v>
      </c>
    </row>
    <row r="161" spans="1:43" x14ac:dyDescent="0.2">
      <c r="A161" s="156" t="s">
        <v>367</v>
      </c>
      <c r="B161" s="156" t="s">
        <v>368</v>
      </c>
      <c r="D161" s="68">
        <f>VLOOKUP(A161,'2017-18 disagg'!A161:AZ369,43,FALSE)</f>
        <v>331157</v>
      </c>
      <c r="E161" s="73">
        <v>1461.8572501904835</v>
      </c>
      <c r="F161" s="55"/>
      <c r="G161" s="88">
        <v>333384.83906002587</v>
      </c>
      <c r="H161" s="81">
        <v>1453.1387397951084</v>
      </c>
      <c r="I161" s="90"/>
      <c r="J161" s="103">
        <f t="shared" si="30"/>
        <v>-6.6824846213979772E-3</v>
      </c>
      <c r="K161" s="126">
        <f t="shared" si="30"/>
        <v>5.9997783808338756E-3</v>
      </c>
      <c r="L161" s="56">
        <v>340911</v>
      </c>
      <c r="M161" s="103">
        <v>2.4940840986799717E-2</v>
      </c>
      <c r="N161" s="97">
        <f>INDEX('Pace of change parameters'!$E$22:$I$22,1,$B$5)</f>
        <v>1.2019795091496865E-2</v>
      </c>
      <c r="O161" s="108">
        <f>MAX(IF(INDEX('Pace of change parameters'!$E$30:$I$30,1,$B$5)=1,(1+M161)*D161,D161),L161)</f>
        <v>340911</v>
      </c>
      <c r="P161" s="94">
        <f>IF(K161&lt;INDEX('Pace of change parameters'!$E$18:$I$18,1,$B$5),1,IF(K161&gt;INDEX('Pace of change parameters'!$E$19:$I$19,1,$B$5),0,(K161-INDEX('Pace of change parameters'!$E$19:$I$19,1,$B$5))/(INDEX('Pace of change parameters'!$E$18:$I$18,1,$B$5)-INDEX('Pace of change parameters'!$E$19:$I$19,1,$B$5))))</f>
        <v>6.6967669185039519E-2</v>
      </c>
      <c r="Q161" s="57">
        <v>2.5821193327812964E-2</v>
      </c>
      <c r="R161" s="57">
        <v>1.2889049159763522E-2</v>
      </c>
      <c r="S161" s="9">
        <f>MAX(IF(INDEX('Pace of change parameters'!$E$31:$I$31,1,$B$5)=1,D161*(1+Q161),D161),L161)</f>
        <v>340911</v>
      </c>
      <c r="T161" s="103">
        <f>IF(Q161&lt;INDEX('Pace of change parameters'!$E$24:$I$24,1,$B$5),INDEX('Pace of change parameters'!$E$24:$I$24,1,$B$5),Q161)</f>
        <v>2.5821193327812964E-2</v>
      </c>
      <c r="U161" s="132">
        <v>1.2889049159763522E-2</v>
      </c>
      <c r="V161" s="117">
        <f t="shared" si="31"/>
        <v>340911</v>
      </c>
      <c r="W161" s="131">
        <f>IF(J161&gt;INDEX('Pace of change parameters'!$E$26:$I$26,1,$B$5),0,IF(J161&lt;INDEX('Pace of change parameters'!$E$25:$I$25,1,$B$5),1,(J161-INDEX('Pace of change parameters'!$E$26:$I$26,1,$B$5))/(INDEX('Pace of change parameters'!$E$25:$I$25,1,$B$5)-INDEX('Pace of change parameters'!$E$26:$I$26,1,$B$5))))</f>
        <v>1</v>
      </c>
      <c r="X161" s="132">
        <f>MIN(T161, T161+(INDEX('Pace of change parameters'!$E$27:$I$27,1,$B$5)-T161)*(1-W161))</f>
        <v>2.5821193327812964E-2</v>
      </c>
      <c r="Y161" s="132">
        <v>1.2889049159763522E-2</v>
      </c>
      <c r="Z161" s="108">
        <f t="shared" si="32"/>
        <v>340911</v>
      </c>
      <c r="AA161" s="97">
        <f>MIN(VLOOKUP(A161,'2017-18 disagg'!$A$12:$BC$220,54,FALSE),-2.5%)</f>
        <v>-2.5000000000000001E-2</v>
      </c>
      <c r="AB161" s="99">
        <f t="shared" si="24"/>
        <v>333515.35647250817</v>
      </c>
      <c r="AC161" s="99">
        <f>MAX(IF(INDEX('Pace of change parameters'!$E$29:$I$29,1,$B$5)=1,MAX(AB161,Z161),Z161),L161)</f>
        <v>340911</v>
      </c>
      <c r="AD161" s="97">
        <f t="shared" si="25"/>
        <v>2.9454307171522975E-2</v>
      </c>
      <c r="AE161" s="146">
        <v>1.6476361695885622E-2</v>
      </c>
      <c r="AF161" s="56">
        <f t="shared" si="33"/>
        <v>340911</v>
      </c>
      <c r="AG161" s="56">
        <v>1485.9433389923745</v>
      </c>
      <c r="AH161" s="16">
        <f t="shared" si="26"/>
        <v>2.9454307171522975E-2</v>
      </c>
      <c r="AI161" s="16">
        <f t="shared" si="27"/>
        <v>1.6476361695885622E-2</v>
      </c>
      <c r="AJ161" s="56"/>
      <c r="AK161" s="56">
        <v>342067.03227949556</v>
      </c>
      <c r="AL161" s="56">
        <v>1490.9821862732676</v>
      </c>
      <c r="AM161" s="16">
        <f t="shared" si="34"/>
        <v>-3.379548949198341E-3</v>
      </c>
      <c r="AN161" s="58">
        <f t="shared" si="34"/>
        <v>-3.37954894919823E-3</v>
      </c>
      <c r="AP161" s="56">
        <f t="shared" si="28"/>
        <v>1</v>
      </c>
      <c r="AQ161" s="56">
        <f t="shared" si="29"/>
        <v>0</v>
      </c>
    </row>
    <row r="162" spans="1:43" x14ac:dyDescent="0.2">
      <c r="A162" s="156" t="s">
        <v>369</v>
      </c>
      <c r="B162" s="156" t="s">
        <v>370</v>
      </c>
      <c r="D162" s="68">
        <f>VLOOKUP(A162,'2017-18 disagg'!A162:AZ370,43,FALSE)</f>
        <v>580139</v>
      </c>
      <c r="E162" s="73">
        <v>1512.9067762988939</v>
      </c>
      <c r="F162" s="55"/>
      <c r="G162" s="88">
        <v>570191.65316461434</v>
      </c>
      <c r="H162" s="81">
        <v>1465.1711861534588</v>
      </c>
      <c r="I162" s="90"/>
      <c r="J162" s="103">
        <f t="shared" si="30"/>
        <v>1.7445619872155316E-2</v>
      </c>
      <c r="K162" s="126">
        <f t="shared" si="30"/>
        <v>3.2580213559042281E-2</v>
      </c>
      <c r="L162" s="56">
        <v>598389</v>
      </c>
      <c r="M162" s="103">
        <v>2.7073679154333563E-2</v>
      </c>
      <c r="N162" s="97">
        <f>INDEX('Pace of change parameters'!$E$22:$I$22,1,$B$5)</f>
        <v>1.2019795091496865E-2</v>
      </c>
      <c r="O162" s="108">
        <f>MAX(IF(INDEX('Pace of change parameters'!$E$30:$I$30,1,$B$5)=1,(1+M162)*D162,D162),L162)</f>
        <v>598389</v>
      </c>
      <c r="P162" s="94">
        <f>IF(K162&lt;INDEX('Pace of change parameters'!$E$18:$I$18,1,$B$5),1,IF(K162&gt;INDEX('Pace of change parameters'!$E$19:$I$19,1,$B$5),0,(K162-INDEX('Pace of change parameters'!$E$19:$I$19,1,$B$5))/(INDEX('Pace of change parameters'!$E$18:$I$18,1,$B$5)-INDEX('Pace of change parameters'!$E$19:$I$19,1,$B$5))))</f>
        <v>0</v>
      </c>
      <c r="Q162" s="57">
        <v>2.7073679154333563E-2</v>
      </c>
      <c r="R162" s="57">
        <v>1.2019795091496865E-2</v>
      </c>
      <c r="S162" s="9">
        <f>MAX(IF(INDEX('Pace of change parameters'!$E$31:$I$31,1,$B$5)=1,D162*(1+Q162),D162),L162)</f>
        <v>598389</v>
      </c>
      <c r="T162" s="103">
        <f>IF(Q162&lt;INDEX('Pace of change parameters'!$E$24:$I$24,1,$B$5),INDEX('Pace of change parameters'!$E$24:$I$24,1,$B$5),Q162)</f>
        <v>2.7073679154333563E-2</v>
      </c>
      <c r="U162" s="132">
        <v>1.2019795091496865E-2</v>
      </c>
      <c r="V162" s="117">
        <f t="shared" si="31"/>
        <v>598389</v>
      </c>
      <c r="W162" s="131">
        <f>IF(J162&gt;INDEX('Pace of change parameters'!$E$26:$I$26,1,$B$5),0,IF(J162&lt;INDEX('Pace of change parameters'!$E$25:$I$25,1,$B$5),1,(J162-INDEX('Pace of change parameters'!$E$26:$I$26,1,$B$5))/(INDEX('Pace of change parameters'!$E$25:$I$25,1,$B$5)-INDEX('Pace of change parameters'!$E$26:$I$26,1,$B$5))))</f>
        <v>1</v>
      </c>
      <c r="X162" s="132">
        <f>MIN(T162, T162+(INDEX('Pace of change parameters'!$E$27:$I$27,1,$B$5)-T162)*(1-W162))</f>
        <v>2.7073679154333563E-2</v>
      </c>
      <c r="Y162" s="132">
        <v>1.2019795091496865E-2</v>
      </c>
      <c r="Z162" s="108">
        <f t="shared" si="32"/>
        <v>598389</v>
      </c>
      <c r="AA162" s="97">
        <f>MIN(VLOOKUP(A162,'2017-18 disagg'!$A$12:$BC$220,54,FALSE),-2.5%)</f>
        <v>-2.5000000000000001E-2</v>
      </c>
      <c r="AB162" s="99">
        <f t="shared" si="24"/>
        <v>570428.9121166612</v>
      </c>
      <c r="AC162" s="99">
        <f>MAX(IF(INDEX('Pace of change parameters'!$E$29:$I$29,1,$B$5)=1,MAX(AB162,Z162),Z162),L162)</f>
        <v>598389</v>
      </c>
      <c r="AD162" s="97">
        <f t="shared" si="25"/>
        <v>3.1457978174196155E-2</v>
      </c>
      <c r="AE162" s="146">
        <v>1.6339833162528405E-2</v>
      </c>
      <c r="AF162" s="56">
        <f t="shared" si="33"/>
        <v>598389</v>
      </c>
      <c r="AG162" s="56">
        <v>1537.6274206140765</v>
      </c>
      <c r="AH162" s="16">
        <f t="shared" si="26"/>
        <v>3.1457978174196155E-2</v>
      </c>
      <c r="AI162" s="16">
        <f t="shared" si="27"/>
        <v>1.6339833162528405E-2</v>
      </c>
      <c r="AJ162" s="56"/>
      <c r="AK162" s="56">
        <v>585055.29447862692</v>
      </c>
      <c r="AL162" s="56">
        <v>1503.3649738978827</v>
      </c>
      <c r="AM162" s="16">
        <f t="shared" si="34"/>
        <v>2.2790504841521786E-2</v>
      </c>
      <c r="AN162" s="58">
        <f t="shared" si="34"/>
        <v>2.2790504841521786E-2</v>
      </c>
      <c r="AP162" s="56">
        <f t="shared" si="28"/>
        <v>1</v>
      </c>
      <c r="AQ162" s="56">
        <f t="shared" si="29"/>
        <v>0</v>
      </c>
    </row>
    <row r="163" spans="1:43" x14ac:dyDescent="0.2">
      <c r="A163" s="156" t="s">
        <v>371</v>
      </c>
      <c r="B163" s="156" t="s">
        <v>372</v>
      </c>
      <c r="D163" s="68">
        <f>VLOOKUP(A163,'2017-18 disagg'!A163:AZ371,43,FALSE)</f>
        <v>459221</v>
      </c>
      <c r="E163" s="73">
        <v>1472.7760045760481</v>
      </c>
      <c r="F163" s="55"/>
      <c r="G163" s="88">
        <v>475078.26069674193</v>
      </c>
      <c r="H163" s="81">
        <v>1497.6998324632714</v>
      </c>
      <c r="I163" s="90"/>
      <c r="J163" s="103">
        <f t="shared" si="30"/>
        <v>-3.3378207357848688E-2</v>
      </c>
      <c r="K163" s="126">
        <f t="shared" si="30"/>
        <v>-1.6641403936215271E-2</v>
      </c>
      <c r="L163" s="56">
        <v>475403</v>
      </c>
      <c r="M163" s="103">
        <v>2.9542653047088585E-2</v>
      </c>
      <c r="N163" s="97">
        <f>INDEX('Pace of change parameters'!$E$22:$I$22,1,$B$5)</f>
        <v>1.2019795091496865E-2</v>
      </c>
      <c r="O163" s="108">
        <f>MAX(IF(INDEX('Pace of change parameters'!$E$30:$I$30,1,$B$5)=1,(1+M163)*D163,D163),L163)</f>
        <v>475403</v>
      </c>
      <c r="P163" s="94">
        <f>IF(K163&lt;INDEX('Pace of change parameters'!$E$18:$I$18,1,$B$5),1,IF(K163&gt;INDEX('Pace of change parameters'!$E$19:$I$19,1,$B$5),0,(K163-INDEX('Pace of change parameters'!$E$19:$I$19,1,$B$5))/(INDEX('Pace of change parameters'!$E$18:$I$18,1,$B$5)-INDEX('Pace of change parameters'!$E$19:$I$19,1,$B$5))))</f>
        <v>0.55824822701923471</v>
      </c>
      <c r="Q163" s="57">
        <v>3.6914295071593939E-2</v>
      </c>
      <c r="R163" s="57">
        <v>1.9265971468015008E-2</v>
      </c>
      <c r="S163" s="9">
        <f>MAX(IF(INDEX('Pace of change parameters'!$E$31:$I$31,1,$B$5)=1,D163*(1+Q163),D163),L163)</f>
        <v>476172.81949707243</v>
      </c>
      <c r="T163" s="103">
        <f>IF(Q163&lt;INDEX('Pace of change parameters'!$E$24:$I$24,1,$B$5),INDEX('Pace of change parameters'!$E$24:$I$24,1,$B$5),Q163)</f>
        <v>3.6914295071593939E-2</v>
      </c>
      <c r="U163" s="132">
        <v>1.9265971468015008E-2</v>
      </c>
      <c r="V163" s="117">
        <f t="shared" si="31"/>
        <v>476172.81949707243</v>
      </c>
      <c r="W163" s="131">
        <f>IF(J163&gt;INDEX('Pace of change parameters'!$E$26:$I$26,1,$B$5),0,IF(J163&lt;INDEX('Pace of change parameters'!$E$25:$I$25,1,$B$5),1,(J163-INDEX('Pace of change parameters'!$E$26:$I$26,1,$B$5))/(INDEX('Pace of change parameters'!$E$25:$I$25,1,$B$5)-INDEX('Pace of change parameters'!$E$26:$I$26,1,$B$5))))</f>
        <v>1</v>
      </c>
      <c r="X163" s="132">
        <f>MIN(T163, T163+(INDEX('Pace of change parameters'!$E$27:$I$27,1,$B$5)-T163)*(1-W163))</f>
        <v>3.6914295071593939E-2</v>
      </c>
      <c r="Y163" s="132">
        <v>1.9265971468015008E-2</v>
      </c>
      <c r="Z163" s="108">
        <f t="shared" si="32"/>
        <v>476172.81949707243</v>
      </c>
      <c r="AA163" s="97">
        <f>MIN(VLOOKUP(A163,'2017-18 disagg'!$A$12:$BC$220,54,FALSE),-2.5%)</f>
        <v>-2.5000000000000001E-2</v>
      </c>
      <c r="AB163" s="99">
        <f t="shared" si="24"/>
        <v>475154.47709697823</v>
      </c>
      <c r="AC163" s="99">
        <f>MAX(IF(INDEX('Pace of change parameters'!$E$29:$I$29,1,$B$5)=1,MAX(AB163,Z163),Z163),L163)</f>
        <v>476172.81949707243</v>
      </c>
      <c r="AD163" s="97">
        <f t="shared" si="25"/>
        <v>3.6914295071593939E-2</v>
      </c>
      <c r="AE163" s="146">
        <v>1.9265971468015008E-2</v>
      </c>
      <c r="AF163" s="56">
        <f t="shared" si="33"/>
        <v>476172.81949707243</v>
      </c>
      <c r="AG163" s="56">
        <v>1501.1504650589875</v>
      </c>
      <c r="AH163" s="16">
        <f t="shared" si="26"/>
        <v>3.6914295071593939E-2</v>
      </c>
      <c r="AI163" s="16">
        <f t="shared" si="27"/>
        <v>1.9265971468015008E-2</v>
      </c>
      <c r="AJ163" s="56"/>
      <c r="AK163" s="56">
        <v>487337.92522767</v>
      </c>
      <c r="AL163" s="56">
        <v>1536.3488278668888</v>
      </c>
      <c r="AM163" s="16">
        <f t="shared" si="34"/>
        <v>-2.2910397801241378E-2</v>
      </c>
      <c r="AN163" s="58">
        <f t="shared" si="34"/>
        <v>-2.2910397801241378E-2</v>
      </c>
      <c r="AP163" s="56">
        <f t="shared" si="28"/>
        <v>0</v>
      </c>
      <c r="AQ163" s="56">
        <f t="shared" si="29"/>
        <v>0</v>
      </c>
    </row>
    <row r="164" spans="1:43" x14ac:dyDescent="0.2">
      <c r="A164" s="156" t="s">
        <v>373</v>
      </c>
      <c r="B164" s="156" t="s">
        <v>374</v>
      </c>
      <c r="D164" s="68">
        <f>VLOOKUP(A164,'2017-18 disagg'!A164:AZ372,43,FALSE)</f>
        <v>307992</v>
      </c>
      <c r="E164" s="73">
        <v>1430.6817064949757</v>
      </c>
      <c r="F164" s="55"/>
      <c r="G164" s="88">
        <v>303596.37093641877</v>
      </c>
      <c r="H164" s="81">
        <v>1393.1421295230718</v>
      </c>
      <c r="I164" s="90"/>
      <c r="J164" s="103">
        <f t="shared" si="30"/>
        <v>1.4478529667608653E-2</v>
      </c>
      <c r="K164" s="126">
        <f t="shared" si="30"/>
        <v>2.6945977855651559E-2</v>
      </c>
      <c r="L164" s="56">
        <v>317163</v>
      </c>
      <c r="M164" s="103">
        <v>2.4457026626314216E-2</v>
      </c>
      <c r="N164" s="97">
        <f>INDEX('Pace of change parameters'!$E$22:$I$22,1,$B$5)</f>
        <v>1.2019795091496865E-2</v>
      </c>
      <c r="O164" s="108">
        <f>MAX(IF(INDEX('Pace of change parameters'!$E$30:$I$30,1,$B$5)=1,(1+M164)*D164,D164),L164)</f>
        <v>317163</v>
      </c>
      <c r="P164" s="94">
        <f>IF(K164&lt;INDEX('Pace of change parameters'!$E$18:$I$18,1,$B$5),1,IF(K164&gt;INDEX('Pace of change parameters'!$E$19:$I$19,1,$B$5),0,(K164-INDEX('Pace of change parameters'!$E$19:$I$19,1,$B$5))/(INDEX('Pace of change parameters'!$E$18:$I$18,1,$B$5)-INDEX('Pace of change parameters'!$E$19:$I$19,1,$B$5))))</f>
        <v>0</v>
      </c>
      <c r="Q164" s="57">
        <v>2.4457026626314216E-2</v>
      </c>
      <c r="R164" s="57">
        <v>1.2019795091496865E-2</v>
      </c>
      <c r="S164" s="9">
        <f>MAX(IF(INDEX('Pace of change parameters'!$E$31:$I$31,1,$B$5)=1,D164*(1+Q164),D164),L164)</f>
        <v>317163</v>
      </c>
      <c r="T164" s="103">
        <f>IF(Q164&lt;INDEX('Pace of change parameters'!$E$24:$I$24,1,$B$5),INDEX('Pace of change parameters'!$E$24:$I$24,1,$B$5),Q164)</f>
        <v>2.4457026626314216E-2</v>
      </c>
      <c r="U164" s="132">
        <v>1.2019795091496865E-2</v>
      </c>
      <c r="V164" s="117">
        <f t="shared" si="31"/>
        <v>317163</v>
      </c>
      <c r="W164" s="131">
        <f>IF(J164&gt;INDEX('Pace of change parameters'!$E$26:$I$26,1,$B$5),0,IF(J164&lt;INDEX('Pace of change parameters'!$E$25:$I$25,1,$B$5),1,(J164-INDEX('Pace of change parameters'!$E$26:$I$26,1,$B$5))/(INDEX('Pace of change parameters'!$E$25:$I$25,1,$B$5)-INDEX('Pace of change parameters'!$E$26:$I$26,1,$B$5))))</f>
        <v>1</v>
      </c>
      <c r="X164" s="132">
        <f>MIN(T164, T164+(INDEX('Pace of change parameters'!$E$27:$I$27,1,$B$5)-T164)*(1-W164))</f>
        <v>2.4457026626314216E-2</v>
      </c>
      <c r="Y164" s="132">
        <v>1.2019795091496865E-2</v>
      </c>
      <c r="Z164" s="108">
        <f t="shared" si="32"/>
        <v>317163</v>
      </c>
      <c r="AA164" s="97">
        <f>MIN(VLOOKUP(A164,'2017-18 disagg'!$A$12:$BC$220,54,FALSE),-2.5%)</f>
        <v>-2.5000000000000001E-2</v>
      </c>
      <c r="AB164" s="99">
        <f t="shared" si="24"/>
        <v>303633.48526240594</v>
      </c>
      <c r="AC164" s="99">
        <f>MAX(IF(INDEX('Pace of change parameters'!$E$29:$I$29,1,$B$5)=1,MAX(AB164,Z164),Z164),L164)</f>
        <v>317163</v>
      </c>
      <c r="AD164" s="97">
        <f t="shared" si="25"/>
        <v>2.9776747447985752E-2</v>
      </c>
      <c r="AE164" s="146">
        <v>1.7274932823941658E-2</v>
      </c>
      <c r="AF164" s="56">
        <f t="shared" si="33"/>
        <v>317163</v>
      </c>
      <c r="AG164" s="56">
        <v>1455.3966368671183</v>
      </c>
      <c r="AH164" s="16">
        <f t="shared" si="26"/>
        <v>2.9776747447985752E-2</v>
      </c>
      <c r="AI164" s="16">
        <f t="shared" si="27"/>
        <v>1.7274932823941436E-2</v>
      </c>
      <c r="AJ164" s="56"/>
      <c r="AK164" s="56">
        <v>311418.95924349327</v>
      </c>
      <c r="AL164" s="56">
        <v>1429.0383996230275</v>
      </c>
      <c r="AM164" s="16">
        <f t="shared" ref="AM164:AN220" si="35">AF164/AK164-1</f>
        <v>1.8444736860145916E-2</v>
      </c>
      <c r="AN164" s="58">
        <f t="shared" si="35"/>
        <v>1.8444736860145916E-2</v>
      </c>
      <c r="AP164" s="56">
        <f t="shared" si="28"/>
        <v>1</v>
      </c>
      <c r="AQ164" s="56">
        <f t="shared" si="29"/>
        <v>0</v>
      </c>
    </row>
    <row r="165" spans="1:43" x14ac:dyDescent="0.2">
      <c r="A165" s="156" t="s">
        <v>375</v>
      </c>
      <c r="B165" s="156" t="s">
        <v>376</v>
      </c>
      <c r="D165" s="68">
        <f>VLOOKUP(A165,'2017-18 disagg'!A165:AZ373,43,FALSE)</f>
        <v>567420</v>
      </c>
      <c r="E165" s="73">
        <v>1767.7915143658597</v>
      </c>
      <c r="F165" s="55"/>
      <c r="G165" s="88">
        <v>561908.45445339463</v>
      </c>
      <c r="H165" s="81">
        <v>1728.2763085094452</v>
      </c>
      <c r="I165" s="90"/>
      <c r="J165" s="103">
        <f t="shared" si="30"/>
        <v>9.8086182952468182E-3</v>
      </c>
      <c r="K165" s="126">
        <f t="shared" si="30"/>
        <v>2.2863940020386275E-2</v>
      </c>
      <c r="L165" s="56">
        <v>585216</v>
      </c>
      <c r="M165" s="103">
        <v>2.510370403994111E-2</v>
      </c>
      <c r="N165" s="97">
        <f>INDEX('Pace of change parameters'!$E$22:$I$22,1,$B$5)</f>
        <v>1.2019795091496865E-2</v>
      </c>
      <c r="O165" s="108">
        <f>MAX(IF(INDEX('Pace of change parameters'!$E$30:$I$30,1,$B$5)=1,(1+M165)*D165,D165),L165)</f>
        <v>585216</v>
      </c>
      <c r="P165" s="94">
        <f>IF(K165&lt;INDEX('Pace of change parameters'!$E$18:$I$18,1,$B$5),1,IF(K165&gt;INDEX('Pace of change parameters'!$E$19:$I$19,1,$B$5),0,(K165-INDEX('Pace of change parameters'!$E$19:$I$19,1,$B$5))/(INDEX('Pace of change parameters'!$E$18:$I$18,1,$B$5)-INDEX('Pace of change parameters'!$E$19:$I$19,1,$B$5))))</f>
        <v>0</v>
      </c>
      <c r="Q165" s="57">
        <v>2.510370403994111E-2</v>
      </c>
      <c r="R165" s="57">
        <v>1.2019795091496865E-2</v>
      </c>
      <c r="S165" s="9">
        <f>MAX(IF(INDEX('Pace of change parameters'!$E$31:$I$31,1,$B$5)=1,D165*(1+Q165),D165),L165)</f>
        <v>585216</v>
      </c>
      <c r="T165" s="103">
        <f>IF(Q165&lt;INDEX('Pace of change parameters'!$E$24:$I$24,1,$B$5),INDEX('Pace of change parameters'!$E$24:$I$24,1,$B$5),Q165)</f>
        <v>2.510370403994111E-2</v>
      </c>
      <c r="U165" s="132">
        <v>1.2019795091496865E-2</v>
      </c>
      <c r="V165" s="117">
        <f t="shared" si="31"/>
        <v>585216</v>
      </c>
      <c r="W165" s="131">
        <f>IF(J165&gt;INDEX('Pace of change parameters'!$E$26:$I$26,1,$B$5),0,IF(J165&lt;INDEX('Pace of change parameters'!$E$25:$I$25,1,$B$5),1,(J165-INDEX('Pace of change parameters'!$E$26:$I$26,1,$B$5))/(INDEX('Pace of change parameters'!$E$25:$I$25,1,$B$5)-INDEX('Pace of change parameters'!$E$26:$I$26,1,$B$5))))</f>
        <v>1</v>
      </c>
      <c r="X165" s="132">
        <f>MIN(T165, T165+(INDEX('Pace of change parameters'!$E$27:$I$27,1,$B$5)-T165)*(1-W165))</f>
        <v>2.510370403994111E-2</v>
      </c>
      <c r="Y165" s="132">
        <v>1.2019795091496865E-2</v>
      </c>
      <c r="Z165" s="108">
        <f t="shared" si="32"/>
        <v>585216</v>
      </c>
      <c r="AA165" s="97">
        <f>MIN(VLOOKUP(A165,'2017-18 disagg'!$A$12:$BC$220,54,FALSE),-2.5%)</f>
        <v>-2.5000000000000001E-2</v>
      </c>
      <c r="AB165" s="99">
        <f t="shared" si="24"/>
        <v>562547.10416515905</v>
      </c>
      <c r="AC165" s="99">
        <f>MAX(IF(INDEX('Pace of change parameters'!$E$29:$I$29,1,$B$5)=1,MAX(AB165,Z165),Z165),L165)</f>
        <v>585216</v>
      </c>
      <c r="AD165" s="97">
        <f t="shared" si="25"/>
        <v>3.1363011525853857E-2</v>
      </c>
      <c r="AE165" s="146">
        <v>1.8199211919612379E-2</v>
      </c>
      <c r="AF165" s="56">
        <f t="shared" si="33"/>
        <v>585216</v>
      </c>
      <c r="AG165" s="56">
        <v>1799.9639267654968</v>
      </c>
      <c r="AH165" s="16">
        <f t="shared" si="26"/>
        <v>3.1363011525853857E-2</v>
      </c>
      <c r="AI165" s="16">
        <f t="shared" si="27"/>
        <v>1.8199211919612601E-2</v>
      </c>
      <c r="AJ165" s="56"/>
      <c r="AK165" s="56">
        <v>576971.38888734265</v>
      </c>
      <c r="AL165" s="56">
        <v>1774.6057639794603</v>
      </c>
      <c r="AM165" s="16">
        <f t="shared" si="35"/>
        <v>1.428946265179043E-2</v>
      </c>
      <c r="AN165" s="58">
        <f t="shared" si="35"/>
        <v>1.428946265179043E-2</v>
      </c>
      <c r="AP165" s="56">
        <f t="shared" si="28"/>
        <v>1</v>
      </c>
      <c r="AQ165" s="56">
        <f t="shared" si="29"/>
        <v>0</v>
      </c>
    </row>
    <row r="166" spans="1:43" x14ac:dyDescent="0.2">
      <c r="A166" s="156" t="s">
        <v>377</v>
      </c>
      <c r="B166" s="156" t="s">
        <v>378</v>
      </c>
      <c r="D166" s="68">
        <f>VLOOKUP(A166,'2017-18 disagg'!A166:AZ374,43,FALSE)</f>
        <v>320984</v>
      </c>
      <c r="E166" s="73">
        <v>1639.9346860276412</v>
      </c>
      <c r="F166" s="55"/>
      <c r="G166" s="88">
        <v>325942.71273569571</v>
      </c>
      <c r="H166" s="81">
        <v>1642.8170644388229</v>
      </c>
      <c r="I166" s="90"/>
      <c r="J166" s="103">
        <f t="shared" si="30"/>
        <v>-1.5213448688808917E-2</v>
      </c>
      <c r="K166" s="126">
        <f t="shared" si="30"/>
        <v>-1.7545340096440931E-3</v>
      </c>
      <c r="L166" s="56">
        <v>330710</v>
      </c>
      <c r="M166" s="103">
        <v>2.5850902002560128E-2</v>
      </c>
      <c r="N166" s="97">
        <f>INDEX('Pace of change parameters'!$E$22:$I$22,1,$B$5)</f>
        <v>1.2019795091496865E-2</v>
      </c>
      <c r="O166" s="108">
        <f>MAX(IF(INDEX('Pace of change parameters'!$E$30:$I$30,1,$B$5)=1,(1+M166)*D166,D166),L166)</f>
        <v>330710</v>
      </c>
      <c r="P166" s="94">
        <f>IF(K166&lt;INDEX('Pace of change parameters'!$E$18:$I$18,1,$B$5),1,IF(K166&gt;INDEX('Pace of change parameters'!$E$19:$I$19,1,$B$5),0,(K166-INDEX('Pace of change parameters'!$E$19:$I$19,1,$B$5))/(INDEX('Pace of change parameters'!$E$18:$I$18,1,$B$5)-INDEX('Pace of change parameters'!$E$19:$I$19,1,$B$5))))</f>
        <v>0.23522491226840914</v>
      </c>
      <c r="Q166" s="57">
        <v>2.8945898065406928E-2</v>
      </c>
      <c r="R166" s="57">
        <v>1.5073062652325442E-2</v>
      </c>
      <c r="S166" s="9">
        <f>MAX(IF(INDEX('Pace of change parameters'!$E$31:$I$31,1,$B$5)=1,D166*(1+Q166),D166),L166)</f>
        <v>330710</v>
      </c>
      <c r="T166" s="103">
        <f>IF(Q166&lt;INDEX('Pace of change parameters'!$E$24:$I$24,1,$B$5),INDEX('Pace of change parameters'!$E$24:$I$24,1,$B$5),Q166)</f>
        <v>2.8945898065406928E-2</v>
      </c>
      <c r="U166" s="132">
        <v>1.5073062652325442E-2</v>
      </c>
      <c r="V166" s="117">
        <f t="shared" si="31"/>
        <v>330710</v>
      </c>
      <c r="W166" s="131">
        <f>IF(J166&gt;INDEX('Pace of change parameters'!$E$26:$I$26,1,$B$5),0,IF(J166&lt;INDEX('Pace of change parameters'!$E$25:$I$25,1,$B$5),1,(J166-INDEX('Pace of change parameters'!$E$26:$I$26,1,$B$5))/(INDEX('Pace of change parameters'!$E$25:$I$25,1,$B$5)-INDEX('Pace of change parameters'!$E$26:$I$26,1,$B$5))))</f>
        <v>1</v>
      </c>
      <c r="X166" s="132">
        <f>MIN(T166, T166+(INDEX('Pace of change parameters'!$E$27:$I$27,1,$B$5)-T166)*(1-W166))</f>
        <v>2.8945898065406928E-2</v>
      </c>
      <c r="Y166" s="132">
        <v>1.5073062652325442E-2</v>
      </c>
      <c r="Z166" s="108">
        <f t="shared" si="32"/>
        <v>330710</v>
      </c>
      <c r="AA166" s="97">
        <f>MIN(VLOOKUP(A166,'2017-18 disagg'!$A$12:$BC$220,54,FALSE),-2.5%)</f>
        <v>-2.5000000000000001E-2</v>
      </c>
      <c r="AB166" s="99">
        <f t="shared" si="24"/>
        <v>325937.56118548202</v>
      </c>
      <c r="AC166" s="99">
        <f>MAX(IF(INDEX('Pace of change parameters'!$E$29:$I$29,1,$B$5)=1,MAX(AB166,Z166),Z166),L166)</f>
        <v>330710</v>
      </c>
      <c r="AD166" s="97">
        <f t="shared" si="25"/>
        <v>3.0300575729631296E-2</v>
      </c>
      <c r="AE166" s="146">
        <v>1.6409475779698202E-2</v>
      </c>
      <c r="AF166" s="56">
        <f t="shared" si="33"/>
        <v>330710</v>
      </c>
      <c r="AG166" s="56">
        <v>1666.8451545382991</v>
      </c>
      <c r="AH166" s="16">
        <f t="shared" si="26"/>
        <v>3.0300575729631296E-2</v>
      </c>
      <c r="AI166" s="16">
        <f t="shared" si="27"/>
        <v>1.6409475779698424E-2</v>
      </c>
      <c r="AJ166" s="56"/>
      <c r="AK166" s="56">
        <v>334294.93454921234</v>
      </c>
      <c r="AL166" s="56">
        <v>1684.9139482932248</v>
      </c>
      <c r="AM166" s="16">
        <f t="shared" si="35"/>
        <v>-1.0723867395856623E-2</v>
      </c>
      <c r="AN166" s="58">
        <f t="shared" si="35"/>
        <v>-1.0723867395856623E-2</v>
      </c>
      <c r="AP166" s="56">
        <f t="shared" si="28"/>
        <v>1</v>
      </c>
      <c r="AQ166" s="56">
        <f t="shared" si="29"/>
        <v>0</v>
      </c>
    </row>
    <row r="167" spans="1:43" x14ac:dyDescent="0.2">
      <c r="A167" s="156" t="s">
        <v>379</v>
      </c>
      <c r="B167" s="156" t="s">
        <v>380</v>
      </c>
      <c r="D167" s="68">
        <f>VLOOKUP(A167,'2017-18 disagg'!A167:AZ375,43,FALSE)</f>
        <v>538698</v>
      </c>
      <c r="E167" s="73">
        <v>1750.4833625069807</v>
      </c>
      <c r="F167" s="55"/>
      <c r="G167" s="88">
        <v>505881.86850109382</v>
      </c>
      <c r="H167" s="81">
        <v>1612.0197422492329</v>
      </c>
      <c r="I167" s="90"/>
      <c r="J167" s="103">
        <f t="shared" si="30"/>
        <v>6.4869159268623244E-2</v>
      </c>
      <c r="K167" s="126">
        <f t="shared" si="30"/>
        <v>8.5894494111189434E-2</v>
      </c>
      <c r="L167" s="56">
        <v>559294</v>
      </c>
      <c r="M167" s="103">
        <v>3.2001644386219663E-2</v>
      </c>
      <c r="N167" s="97">
        <f>INDEX('Pace of change parameters'!$E$22:$I$22,1,$B$5)</f>
        <v>1.2019795091496865E-2</v>
      </c>
      <c r="O167" s="108">
        <f>MAX(IF(INDEX('Pace of change parameters'!$E$30:$I$30,1,$B$5)=1,(1+M167)*D167,D167),L167)</f>
        <v>559294</v>
      </c>
      <c r="P167" s="94">
        <f>IF(K167&lt;INDEX('Pace of change parameters'!$E$18:$I$18,1,$B$5),1,IF(K167&gt;INDEX('Pace of change parameters'!$E$19:$I$19,1,$B$5),0,(K167-INDEX('Pace of change parameters'!$E$19:$I$19,1,$B$5))/(INDEX('Pace of change parameters'!$E$18:$I$18,1,$B$5)-INDEX('Pace of change parameters'!$E$19:$I$19,1,$B$5))))</f>
        <v>0</v>
      </c>
      <c r="Q167" s="57">
        <v>3.2001644386219663E-2</v>
      </c>
      <c r="R167" s="57">
        <v>1.2019795091496865E-2</v>
      </c>
      <c r="S167" s="9">
        <f>MAX(IF(INDEX('Pace of change parameters'!$E$31:$I$31,1,$B$5)=1,D167*(1+Q167),D167),L167)</f>
        <v>559294</v>
      </c>
      <c r="T167" s="103">
        <f>IF(Q167&lt;INDEX('Pace of change parameters'!$E$24:$I$24,1,$B$5),INDEX('Pace of change parameters'!$E$24:$I$24,1,$B$5),Q167)</f>
        <v>3.2001644386219663E-2</v>
      </c>
      <c r="U167" s="132">
        <v>1.2019795091496865E-2</v>
      </c>
      <c r="V167" s="117">
        <f t="shared" si="31"/>
        <v>559294</v>
      </c>
      <c r="W167" s="131">
        <f>IF(J167&gt;INDEX('Pace of change parameters'!$E$26:$I$26,1,$B$5),0,IF(J167&lt;INDEX('Pace of change parameters'!$E$25:$I$25,1,$B$5),1,(J167-INDEX('Pace of change parameters'!$E$26:$I$26,1,$B$5))/(INDEX('Pace of change parameters'!$E$25:$I$25,1,$B$5)-INDEX('Pace of change parameters'!$E$26:$I$26,1,$B$5))))</f>
        <v>0.70261681462753522</v>
      </c>
      <c r="X167" s="132">
        <f>MIN(T167, T167+(INDEX('Pace of change parameters'!$E$27:$I$27,1,$B$5)-T167)*(1-W167))</f>
        <v>2.2613468227975303E-2</v>
      </c>
      <c r="Y167" s="132">
        <v>2.8133949237916234E-3</v>
      </c>
      <c r="Z167" s="108">
        <f t="shared" si="32"/>
        <v>559294</v>
      </c>
      <c r="AA167" s="97">
        <f>MIN(VLOOKUP(A167,'2017-18 disagg'!$A$12:$BC$220,54,FALSE),-2.5%)</f>
        <v>-2.5000000000000001E-2</v>
      </c>
      <c r="AB167" s="99">
        <f t="shared" si="24"/>
        <v>506481.07014965423</v>
      </c>
      <c r="AC167" s="99">
        <f>MAX(IF(INDEX('Pace of change parameters'!$E$29:$I$29,1,$B$5)=1,MAX(AB167,Z167),Z167),L167)</f>
        <v>559294</v>
      </c>
      <c r="AD167" s="97">
        <f t="shared" si="25"/>
        <v>3.823292456998173E-2</v>
      </c>
      <c r="AE167" s="146">
        <v>1.8130423818720542E-2</v>
      </c>
      <c r="AF167" s="56">
        <f t="shared" si="33"/>
        <v>559294</v>
      </c>
      <c r="AG167" s="56">
        <v>1782.2203677568514</v>
      </c>
      <c r="AH167" s="16">
        <f t="shared" si="26"/>
        <v>3.823292456998173E-2</v>
      </c>
      <c r="AI167" s="16">
        <f t="shared" si="27"/>
        <v>1.8130423818720542E-2</v>
      </c>
      <c r="AJ167" s="56"/>
      <c r="AK167" s="56">
        <v>519467.76425605564</v>
      </c>
      <c r="AL167" s="56">
        <v>1655.3119286998553</v>
      </c>
      <c r="AM167" s="16">
        <f t="shared" si="35"/>
        <v>7.6667386283306049E-2</v>
      </c>
      <c r="AN167" s="58">
        <f t="shared" si="35"/>
        <v>7.6667386283306049E-2</v>
      </c>
      <c r="AP167" s="56">
        <f t="shared" si="28"/>
        <v>1</v>
      </c>
      <c r="AQ167" s="56">
        <f t="shared" si="29"/>
        <v>0</v>
      </c>
    </row>
    <row r="168" spans="1:43" x14ac:dyDescent="0.2">
      <c r="A168" s="156" t="s">
        <v>381</v>
      </c>
      <c r="B168" s="156" t="s">
        <v>382</v>
      </c>
      <c r="D168" s="68">
        <f>VLOOKUP(A168,'2017-18 disagg'!A168:AZ376,43,FALSE)</f>
        <v>480410</v>
      </c>
      <c r="E168" s="73">
        <v>1573.8819577750166</v>
      </c>
      <c r="F168" s="55"/>
      <c r="G168" s="88">
        <v>493024.12745386775</v>
      </c>
      <c r="H168" s="81">
        <v>1595.7199106773298</v>
      </c>
      <c r="I168" s="90"/>
      <c r="J168" s="103">
        <f t="shared" si="30"/>
        <v>-2.5585213281571262E-2</v>
      </c>
      <c r="K168" s="126">
        <f t="shared" si="30"/>
        <v>-1.36853295845909E-2</v>
      </c>
      <c r="L168" s="56">
        <v>495074</v>
      </c>
      <c r="M168" s="103">
        <v>2.4378923898632499E-2</v>
      </c>
      <c r="N168" s="97">
        <f>INDEX('Pace of change parameters'!$E$22:$I$22,1,$B$5)</f>
        <v>1.2019795091496865E-2</v>
      </c>
      <c r="O168" s="108">
        <f>MAX(IF(INDEX('Pace of change parameters'!$E$30:$I$30,1,$B$5)=1,(1+M168)*D168,D168),L168)</f>
        <v>495074</v>
      </c>
      <c r="P168" s="94">
        <f>IF(K168&lt;INDEX('Pace of change parameters'!$E$18:$I$18,1,$B$5),1,IF(K168&gt;INDEX('Pace of change parameters'!$E$19:$I$19,1,$B$5),0,(K168-INDEX('Pace of change parameters'!$E$19:$I$19,1,$B$5))/(INDEX('Pace of change parameters'!$E$18:$I$18,1,$B$5)-INDEX('Pace of change parameters'!$E$19:$I$19,1,$B$5))))</f>
        <v>0.49410573498286248</v>
      </c>
      <c r="Q168" s="57">
        <v>3.0870842565451806E-2</v>
      </c>
      <c r="R168" s="57">
        <v>1.8433388778041015E-2</v>
      </c>
      <c r="S168" s="9">
        <f>MAX(IF(INDEX('Pace of change parameters'!$E$31:$I$31,1,$B$5)=1,D168*(1+Q168),D168),L168)</f>
        <v>495240.66147686873</v>
      </c>
      <c r="T168" s="103">
        <f>IF(Q168&lt;INDEX('Pace of change parameters'!$E$24:$I$24,1,$B$5),INDEX('Pace of change parameters'!$E$24:$I$24,1,$B$5),Q168)</f>
        <v>3.0870842565451806E-2</v>
      </c>
      <c r="U168" s="132">
        <v>1.8433388778041015E-2</v>
      </c>
      <c r="V168" s="117">
        <f t="shared" si="31"/>
        <v>495240.66147686873</v>
      </c>
      <c r="W168" s="131">
        <f>IF(J168&gt;INDEX('Pace of change parameters'!$E$26:$I$26,1,$B$5),0,IF(J168&lt;INDEX('Pace of change parameters'!$E$25:$I$25,1,$B$5),1,(J168-INDEX('Pace of change parameters'!$E$26:$I$26,1,$B$5))/(INDEX('Pace of change parameters'!$E$25:$I$25,1,$B$5)-INDEX('Pace of change parameters'!$E$26:$I$26,1,$B$5))))</f>
        <v>1</v>
      </c>
      <c r="X168" s="132">
        <f>MIN(T168, T168+(INDEX('Pace of change parameters'!$E$27:$I$27,1,$B$5)-T168)*(1-W168))</f>
        <v>3.0870842565451806E-2</v>
      </c>
      <c r="Y168" s="132">
        <v>1.8433388778041015E-2</v>
      </c>
      <c r="Z168" s="108">
        <f t="shared" si="32"/>
        <v>495240.66147686873</v>
      </c>
      <c r="AA168" s="97">
        <f>MIN(VLOOKUP(A168,'2017-18 disagg'!$A$12:$BC$220,54,FALSE),-2.5%)</f>
        <v>-2.5000000000000001E-2</v>
      </c>
      <c r="AB168" s="99">
        <f t="shared" si="24"/>
        <v>493352.49660362472</v>
      </c>
      <c r="AC168" s="99">
        <f>MAX(IF(INDEX('Pace of change parameters'!$E$29:$I$29,1,$B$5)=1,MAX(AB168,Z168),Z168),L168)</f>
        <v>495240.66147686873</v>
      </c>
      <c r="AD168" s="97">
        <f t="shared" si="25"/>
        <v>3.0870842565451806E-2</v>
      </c>
      <c r="AE168" s="146">
        <v>1.8433388778041015E-2</v>
      </c>
      <c r="AF168" s="56">
        <f t="shared" si="33"/>
        <v>495240.66147686873</v>
      </c>
      <c r="AG168" s="56">
        <v>1602.893935793428</v>
      </c>
      <c r="AH168" s="16">
        <f t="shared" si="26"/>
        <v>3.0870842565451806E-2</v>
      </c>
      <c r="AI168" s="16">
        <f t="shared" si="27"/>
        <v>1.8433388778041015E-2</v>
      </c>
      <c r="AJ168" s="56"/>
      <c r="AK168" s="56">
        <v>506002.56061910227</v>
      </c>
      <c r="AL168" s="56">
        <v>1637.7258553318286</v>
      </c>
      <c r="AM168" s="16">
        <f t="shared" si="35"/>
        <v>-2.1268467750570674E-2</v>
      </c>
      <c r="AN168" s="58">
        <f t="shared" si="35"/>
        <v>-2.1268467750570563E-2</v>
      </c>
      <c r="AP168" s="56">
        <f t="shared" si="28"/>
        <v>0</v>
      </c>
      <c r="AQ168" s="56">
        <f t="shared" si="29"/>
        <v>0</v>
      </c>
    </row>
    <row r="169" spans="1:43" x14ac:dyDescent="0.2">
      <c r="A169" s="156" t="s">
        <v>383</v>
      </c>
      <c r="B169" s="156" t="s">
        <v>384</v>
      </c>
      <c r="D169" s="68">
        <f>VLOOKUP(A169,'2017-18 disagg'!A169:AZ377,43,FALSE)</f>
        <v>575868</v>
      </c>
      <c r="E169" s="73">
        <v>1473.6159346154095</v>
      </c>
      <c r="F169" s="55"/>
      <c r="G169" s="88">
        <v>559753.15469492623</v>
      </c>
      <c r="H169" s="81">
        <v>1418.8514712741769</v>
      </c>
      <c r="I169" s="90"/>
      <c r="J169" s="103">
        <f t="shared" si="30"/>
        <v>2.8789199613991734E-2</v>
      </c>
      <c r="K169" s="126">
        <f t="shared" si="30"/>
        <v>3.859774222318868E-2</v>
      </c>
      <c r="L169" s="56">
        <v>591239</v>
      </c>
      <c r="M169" s="103">
        <v>2.1668457115971984E-2</v>
      </c>
      <c r="N169" s="97">
        <f>INDEX('Pace of change parameters'!$E$22:$I$22,1,$B$5)</f>
        <v>1.2019795091496865E-2</v>
      </c>
      <c r="O169" s="108">
        <f>MAX(IF(INDEX('Pace of change parameters'!$E$30:$I$30,1,$B$5)=1,(1+M169)*D169,D169),L169)</f>
        <v>591239</v>
      </c>
      <c r="P169" s="94">
        <f>IF(K169&lt;INDEX('Pace of change parameters'!$E$18:$I$18,1,$B$5),1,IF(K169&gt;INDEX('Pace of change parameters'!$E$19:$I$19,1,$B$5),0,(K169-INDEX('Pace of change parameters'!$E$19:$I$19,1,$B$5))/(INDEX('Pace of change parameters'!$E$18:$I$18,1,$B$5)-INDEX('Pace of change parameters'!$E$19:$I$19,1,$B$5))))</f>
        <v>0</v>
      </c>
      <c r="Q169" s="57">
        <v>2.1668457115971984E-2</v>
      </c>
      <c r="R169" s="57">
        <v>1.2019795091496865E-2</v>
      </c>
      <c r="S169" s="9">
        <f>MAX(IF(INDEX('Pace of change parameters'!$E$31:$I$31,1,$B$5)=1,D169*(1+Q169),D169),L169)</f>
        <v>591239</v>
      </c>
      <c r="T169" s="103">
        <f>IF(Q169&lt;INDEX('Pace of change parameters'!$E$24:$I$24,1,$B$5),INDEX('Pace of change parameters'!$E$24:$I$24,1,$B$5),Q169)</f>
        <v>2.1668457115971984E-2</v>
      </c>
      <c r="U169" s="132">
        <v>1.2019795091496865E-2</v>
      </c>
      <c r="V169" s="117">
        <f t="shared" si="31"/>
        <v>591239</v>
      </c>
      <c r="W169" s="131">
        <f>IF(J169&gt;INDEX('Pace of change parameters'!$E$26:$I$26,1,$B$5),0,IF(J169&lt;INDEX('Pace of change parameters'!$E$25:$I$25,1,$B$5),1,(J169-INDEX('Pace of change parameters'!$E$26:$I$26,1,$B$5))/(INDEX('Pace of change parameters'!$E$25:$I$25,1,$B$5)-INDEX('Pace of change parameters'!$E$26:$I$26,1,$B$5))))</f>
        <v>1</v>
      </c>
      <c r="X169" s="132">
        <f>MIN(T169, T169+(INDEX('Pace of change parameters'!$E$27:$I$27,1,$B$5)-T169)*(1-W169))</f>
        <v>2.1668457115971984E-2</v>
      </c>
      <c r="Y169" s="132">
        <v>1.2019795091496865E-2</v>
      </c>
      <c r="Z169" s="108">
        <f t="shared" si="32"/>
        <v>591239</v>
      </c>
      <c r="AA169" s="97">
        <f>MIN(VLOOKUP(A169,'2017-18 disagg'!$A$12:$BC$220,54,FALSE),-2.5%)</f>
        <v>-2.5000000000000001E-2</v>
      </c>
      <c r="AB169" s="99">
        <f t="shared" si="24"/>
        <v>560218.46190264635</v>
      </c>
      <c r="AC169" s="99">
        <f>MAX(IF(INDEX('Pace of change parameters'!$E$29:$I$29,1,$B$5)=1,MAX(AB169,Z169),Z169),L169)</f>
        <v>591239</v>
      </c>
      <c r="AD169" s="97">
        <f t="shared" si="25"/>
        <v>2.6691880778233923E-2</v>
      </c>
      <c r="AE169" s="146">
        <v>1.6995777417202484E-2</v>
      </c>
      <c r="AF169" s="56">
        <f t="shared" si="33"/>
        <v>591239</v>
      </c>
      <c r="AG169" s="56">
        <v>1498.6611830385759</v>
      </c>
      <c r="AH169" s="16">
        <f t="shared" si="26"/>
        <v>2.6691880778233923E-2</v>
      </c>
      <c r="AI169" s="16">
        <f t="shared" si="27"/>
        <v>1.6995777417202484E-2</v>
      </c>
      <c r="AJ169" s="56"/>
      <c r="AK169" s="56">
        <v>574583.03784886806</v>
      </c>
      <c r="AL169" s="56">
        <v>1456.4419722929024</v>
      </c>
      <c r="AM169" s="16">
        <f t="shared" si="35"/>
        <v>2.898791132694889E-2</v>
      </c>
      <c r="AN169" s="58">
        <f t="shared" si="35"/>
        <v>2.8987911326949112E-2</v>
      </c>
      <c r="AP169" s="56">
        <f t="shared" si="28"/>
        <v>1</v>
      </c>
      <c r="AQ169" s="56">
        <f t="shared" si="29"/>
        <v>0</v>
      </c>
    </row>
    <row r="170" spans="1:43" x14ac:dyDescent="0.2">
      <c r="A170" s="156" t="s">
        <v>385</v>
      </c>
      <c r="B170" s="156" t="s">
        <v>386</v>
      </c>
      <c r="D170" s="68">
        <f>VLOOKUP(A170,'2017-18 disagg'!A170:AZ378,43,FALSE)</f>
        <v>469443</v>
      </c>
      <c r="E170" s="73">
        <v>1904.7188269766614</v>
      </c>
      <c r="F170" s="55"/>
      <c r="G170" s="88">
        <v>386211.09546108718</v>
      </c>
      <c r="H170" s="81">
        <v>1559.8825011711922</v>
      </c>
      <c r="I170" s="90"/>
      <c r="J170" s="103">
        <f t="shared" si="30"/>
        <v>0.21550883834537293</v>
      </c>
      <c r="K170" s="126">
        <f t="shared" si="30"/>
        <v>0.22106557740506672</v>
      </c>
      <c r="L170" s="56">
        <v>473499</v>
      </c>
      <c r="M170" s="103">
        <v>1.6646277225697892E-2</v>
      </c>
      <c r="N170" s="97">
        <f>INDEX('Pace of change parameters'!$E$22:$I$22,1,$B$5)</f>
        <v>1.2019795091496865E-2</v>
      </c>
      <c r="O170" s="108">
        <f>MAX(IF(INDEX('Pace of change parameters'!$E$30:$I$30,1,$B$5)=1,(1+M170)*D170,D170),L170)</f>
        <v>477257.47831966332</v>
      </c>
      <c r="P170" s="94">
        <f>IF(K170&lt;INDEX('Pace of change parameters'!$E$18:$I$18,1,$B$5),1,IF(K170&gt;INDEX('Pace of change parameters'!$E$19:$I$19,1,$B$5),0,(K170-INDEX('Pace of change parameters'!$E$19:$I$19,1,$B$5))/(INDEX('Pace of change parameters'!$E$18:$I$18,1,$B$5)-INDEX('Pace of change parameters'!$E$19:$I$19,1,$B$5))))</f>
        <v>0</v>
      </c>
      <c r="Q170" s="57">
        <v>1.6646277225697892E-2</v>
      </c>
      <c r="R170" s="57">
        <v>1.2019795091496865E-2</v>
      </c>
      <c r="S170" s="9">
        <f>MAX(IF(INDEX('Pace of change parameters'!$E$31:$I$31,1,$B$5)=1,D170*(1+Q170),D170),L170)</f>
        <v>477257.47831966332</v>
      </c>
      <c r="T170" s="103">
        <f>IF(Q170&lt;INDEX('Pace of change parameters'!$E$24:$I$24,1,$B$5),INDEX('Pace of change parameters'!$E$24:$I$24,1,$B$5),Q170)</f>
        <v>1.9732353921844841E-2</v>
      </c>
      <c r="U170" s="132">
        <v>1.5091827887597775E-2</v>
      </c>
      <c r="V170" s="117">
        <f t="shared" si="31"/>
        <v>478706.21542213258</v>
      </c>
      <c r="W170" s="131">
        <f>IF(J170&gt;INDEX('Pace of change parameters'!$E$26:$I$26,1,$B$5),0,IF(J170&lt;INDEX('Pace of change parameters'!$E$25:$I$25,1,$B$5),1,(J170-INDEX('Pace of change parameters'!$E$26:$I$26,1,$B$5))/(INDEX('Pace of change parameters'!$E$25:$I$25,1,$B$5)-INDEX('Pace of change parameters'!$E$26:$I$26,1,$B$5))))</f>
        <v>0</v>
      </c>
      <c r="X170" s="132">
        <f>MIN(T170, T170+(INDEX('Pace of change parameters'!$E$27:$I$27,1,$B$5)-T170)*(1-W170))</f>
        <v>4.3235392184483995E-4</v>
      </c>
      <c r="Y170" s="132">
        <v>-4.1203430343930147E-3</v>
      </c>
      <c r="Z170" s="108">
        <f t="shared" si="32"/>
        <v>473499</v>
      </c>
      <c r="AA170" s="97">
        <f>MIN(VLOOKUP(A170,'2017-18 disagg'!$A$12:$BC$220,54,FALSE),-2.5%)</f>
        <v>-2.5000000000000001E-2</v>
      </c>
      <c r="AB170" s="99">
        <f t="shared" si="24"/>
        <v>386543.11623310833</v>
      </c>
      <c r="AC170" s="99">
        <f>MAX(IF(INDEX('Pace of change parameters'!$E$29:$I$29,1,$B$5)=1,MAX(AB170,Z170),Z170),L170)</f>
        <v>473499</v>
      </c>
      <c r="AD170" s="97">
        <f t="shared" si="25"/>
        <v>8.6400265846970914E-3</v>
      </c>
      <c r="AE170" s="146">
        <v>4.0499787309162816E-3</v>
      </c>
      <c r="AF170" s="56">
        <f t="shared" si="33"/>
        <v>473499</v>
      </c>
      <c r="AG170" s="56">
        <v>1912.4328977142927</v>
      </c>
      <c r="AH170" s="16">
        <f t="shared" si="26"/>
        <v>8.6400265846970914E-3</v>
      </c>
      <c r="AI170" s="16">
        <f t="shared" si="27"/>
        <v>4.0499787309162816E-3</v>
      </c>
      <c r="AJ170" s="56"/>
      <c r="AK170" s="56">
        <v>396454.47818780341</v>
      </c>
      <c r="AL170" s="56">
        <v>1601.2548844506719</v>
      </c>
      <c r="AM170" s="16">
        <f t="shared" si="35"/>
        <v>0.19433384171713164</v>
      </c>
      <c r="AN170" s="58">
        <f t="shared" si="35"/>
        <v>0.19433384171713164</v>
      </c>
      <c r="AP170" s="56">
        <f t="shared" si="28"/>
        <v>1</v>
      </c>
      <c r="AQ170" s="56">
        <f t="shared" si="29"/>
        <v>0</v>
      </c>
    </row>
    <row r="171" spans="1:43" x14ac:dyDescent="0.2">
      <c r="A171" s="156" t="s">
        <v>387</v>
      </c>
      <c r="B171" s="156" t="s">
        <v>388</v>
      </c>
      <c r="D171" s="68">
        <f>VLOOKUP(A171,'2017-18 disagg'!A171:AZ379,43,FALSE)</f>
        <v>193632</v>
      </c>
      <c r="E171" s="73">
        <v>1483.7286464362564</v>
      </c>
      <c r="F171" s="55"/>
      <c r="G171" s="88">
        <v>193142.66492441596</v>
      </c>
      <c r="H171" s="81">
        <v>1464.7329224338378</v>
      </c>
      <c r="I171" s="90"/>
      <c r="J171" s="103">
        <f t="shared" si="30"/>
        <v>2.5335421139369707E-3</v>
      </c>
      <c r="K171" s="126">
        <f t="shared" si="30"/>
        <v>1.296872877743116E-2</v>
      </c>
      <c r="L171" s="56">
        <v>198802</v>
      </c>
      <c r="M171" s="103">
        <v>2.2553722411936317E-2</v>
      </c>
      <c r="N171" s="97">
        <f>INDEX('Pace of change parameters'!$E$22:$I$22,1,$B$5)</f>
        <v>1.2019795091496865E-2</v>
      </c>
      <c r="O171" s="108">
        <f>MAX(IF(INDEX('Pace of change parameters'!$E$30:$I$30,1,$B$5)=1,(1+M171)*D171,D171),L171)</f>
        <v>198802</v>
      </c>
      <c r="P171" s="94">
        <f>IF(K171&lt;INDEX('Pace of change parameters'!$E$18:$I$18,1,$B$5),1,IF(K171&gt;INDEX('Pace of change parameters'!$E$19:$I$19,1,$B$5),0,(K171-INDEX('Pace of change parameters'!$E$19:$I$19,1,$B$5))/(INDEX('Pace of change parameters'!$E$18:$I$18,1,$B$5)-INDEX('Pace of change parameters'!$E$19:$I$19,1,$B$5))))</f>
        <v>0</v>
      </c>
      <c r="Q171" s="57">
        <v>2.2553722411936317E-2</v>
      </c>
      <c r="R171" s="57">
        <v>1.2019795091496865E-2</v>
      </c>
      <c r="S171" s="9">
        <f>MAX(IF(INDEX('Pace of change parameters'!$E$31:$I$31,1,$B$5)=1,D171*(1+Q171),D171),L171)</f>
        <v>198802</v>
      </c>
      <c r="T171" s="103">
        <f>IF(Q171&lt;INDEX('Pace of change parameters'!$E$24:$I$24,1,$B$5),INDEX('Pace of change parameters'!$E$24:$I$24,1,$B$5),Q171)</f>
        <v>2.2553722411936317E-2</v>
      </c>
      <c r="U171" s="132">
        <v>1.2019795091496865E-2</v>
      </c>
      <c r="V171" s="117">
        <f t="shared" si="31"/>
        <v>198802</v>
      </c>
      <c r="W171" s="131">
        <f>IF(J171&gt;INDEX('Pace of change parameters'!$E$26:$I$26,1,$B$5),0,IF(J171&lt;INDEX('Pace of change parameters'!$E$25:$I$25,1,$B$5),1,(J171-INDEX('Pace of change parameters'!$E$26:$I$26,1,$B$5))/(INDEX('Pace of change parameters'!$E$25:$I$25,1,$B$5)-INDEX('Pace of change parameters'!$E$26:$I$26,1,$B$5))))</f>
        <v>1</v>
      </c>
      <c r="X171" s="132">
        <f>MIN(T171, T171+(INDEX('Pace of change parameters'!$E$27:$I$27,1,$B$5)-T171)*(1-W171))</f>
        <v>2.2553722411936317E-2</v>
      </c>
      <c r="Y171" s="132">
        <v>1.2019795091496865E-2</v>
      </c>
      <c r="Z171" s="108">
        <f t="shared" si="32"/>
        <v>198802</v>
      </c>
      <c r="AA171" s="97">
        <f>MIN(VLOOKUP(A171,'2017-18 disagg'!$A$12:$BC$220,54,FALSE),-2.5%)</f>
        <v>-2.5000000000000001E-2</v>
      </c>
      <c r="AB171" s="99">
        <f t="shared" si="24"/>
        <v>193194.93534100364</v>
      </c>
      <c r="AC171" s="99">
        <f>MAX(IF(INDEX('Pace of change parameters'!$E$29:$I$29,1,$B$5)=1,MAX(AB171,Z171),Z171),L171)</f>
        <v>198802</v>
      </c>
      <c r="AD171" s="97">
        <f t="shared" si="25"/>
        <v>2.6700132209552141E-2</v>
      </c>
      <c r="AE171" s="146">
        <v>1.6123490283032282E-2</v>
      </c>
      <c r="AF171" s="56">
        <f t="shared" si="33"/>
        <v>198802</v>
      </c>
      <c r="AG171" s="56">
        <v>1507.651530849728</v>
      </c>
      <c r="AH171" s="16">
        <f t="shared" si="26"/>
        <v>2.6700132209552141E-2</v>
      </c>
      <c r="AI171" s="16">
        <f t="shared" si="27"/>
        <v>1.6123490283032282E-2</v>
      </c>
      <c r="AJ171" s="56"/>
      <c r="AK171" s="56">
        <v>198148.65163179862</v>
      </c>
      <c r="AL171" s="56">
        <v>1502.6967433350303</v>
      </c>
      <c r="AM171" s="16">
        <f t="shared" si="35"/>
        <v>3.2972637604187227E-3</v>
      </c>
      <c r="AN171" s="58">
        <f t="shared" si="35"/>
        <v>3.2972637604187227E-3</v>
      </c>
      <c r="AP171" s="56">
        <f t="shared" si="28"/>
        <v>1</v>
      </c>
      <c r="AQ171" s="56">
        <f t="shared" si="29"/>
        <v>0</v>
      </c>
    </row>
    <row r="172" spans="1:43" x14ac:dyDescent="0.2">
      <c r="A172" s="156" t="s">
        <v>389</v>
      </c>
      <c r="B172" s="156" t="s">
        <v>390</v>
      </c>
      <c r="D172" s="68">
        <f>VLOOKUP(A172,'2017-18 disagg'!A172:AZ380,43,FALSE)</f>
        <v>310864</v>
      </c>
      <c r="E172" s="73">
        <v>1467.2925213537576</v>
      </c>
      <c r="F172" s="55"/>
      <c r="G172" s="88">
        <v>316121.90346698277</v>
      </c>
      <c r="H172" s="81">
        <v>1476.9631623896159</v>
      </c>
      <c r="I172" s="90"/>
      <c r="J172" s="103">
        <f t="shared" si="30"/>
        <v>-1.6632518687626829E-2</v>
      </c>
      <c r="K172" s="126">
        <f t="shared" si="30"/>
        <v>-6.5476521568837986E-3</v>
      </c>
      <c r="L172" s="56">
        <v>319204</v>
      </c>
      <c r="M172" s="103">
        <v>2.239850371662544E-2</v>
      </c>
      <c r="N172" s="97">
        <f>INDEX('Pace of change parameters'!$E$22:$I$22,1,$B$5)</f>
        <v>1.2019795091496865E-2</v>
      </c>
      <c r="O172" s="108">
        <f>MAX(IF(INDEX('Pace of change parameters'!$E$30:$I$30,1,$B$5)=1,(1+M172)*D172,D172),L172)</f>
        <v>319204</v>
      </c>
      <c r="P172" s="94">
        <f>IF(K172&lt;INDEX('Pace of change parameters'!$E$18:$I$18,1,$B$5),1,IF(K172&gt;INDEX('Pace of change parameters'!$E$19:$I$19,1,$B$5),0,(K172-INDEX('Pace of change parameters'!$E$19:$I$19,1,$B$5))/(INDEX('Pace of change parameters'!$E$18:$I$18,1,$B$5)-INDEX('Pace of change parameters'!$E$19:$I$19,1,$B$5))))</f>
        <v>0.33922856915199662</v>
      </c>
      <c r="Q172" s="57">
        <v>2.6846917387689517E-2</v>
      </c>
      <c r="R172" s="57">
        <v>1.6423051429908186E-2</v>
      </c>
      <c r="S172" s="9">
        <f>MAX(IF(INDEX('Pace of change parameters'!$E$31:$I$31,1,$B$5)=1,D172*(1+Q172),D172),L172)</f>
        <v>319209.74012680672</v>
      </c>
      <c r="T172" s="103">
        <f>IF(Q172&lt;INDEX('Pace of change parameters'!$E$24:$I$24,1,$B$5),INDEX('Pace of change parameters'!$E$24:$I$24,1,$B$5),Q172)</f>
        <v>2.6846917387689517E-2</v>
      </c>
      <c r="U172" s="132">
        <v>1.6423051429908186E-2</v>
      </c>
      <c r="V172" s="117">
        <f t="shared" si="31"/>
        <v>319209.74012680672</v>
      </c>
      <c r="W172" s="131">
        <f>IF(J172&gt;INDEX('Pace of change parameters'!$E$26:$I$26,1,$B$5),0,IF(J172&lt;INDEX('Pace of change parameters'!$E$25:$I$25,1,$B$5),1,(J172-INDEX('Pace of change parameters'!$E$26:$I$26,1,$B$5))/(INDEX('Pace of change parameters'!$E$25:$I$25,1,$B$5)-INDEX('Pace of change parameters'!$E$26:$I$26,1,$B$5))))</f>
        <v>1</v>
      </c>
      <c r="X172" s="132">
        <f>MIN(T172, T172+(INDEX('Pace of change parameters'!$E$27:$I$27,1,$B$5)-T172)*(1-W172))</f>
        <v>2.6846917387689517E-2</v>
      </c>
      <c r="Y172" s="132">
        <v>1.6423051429908186E-2</v>
      </c>
      <c r="Z172" s="108">
        <f t="shared" si="32"/>
        <v>319209.74012680672</v>
      </c>
      <c r="AA172" s="97">
        <f>MIN(VLOOKUP(A172,'2017-18 disagg'!$A$12:$BC$220,54,FALSE),-2.5%)</f>
        <v>-2.5000000000000001E-2</v>
      </c>
      <c r="AB172" s="99">
        <f t="shared" si="24"/>
        <v>316016.70160285267</v>
      </c>
      <c r="AC172" s="99">
        <f>MAX(IF(INDEX('Pace of change parameters'!$E$29:$I$29,1,$B$5)=1,MAX(AB172,Z172),Z172),L172)</f>
        <v>319209.74012680672</v>
      </c>
      <c r="AD172" s="97">
        <f t="shared" si="25"/>
        <v>2.6846917387689517E-2</v>
      </c>
      <c r="AE172" s="146">
        <v>1.6423051429908186E-2</v>
      </c>
      <c r="AF172" s="56">
        <f t="shared" si="33"/>
        <v>319209.74012680672</v>
      </c>
      <c r="AG172" s="56">
        <v>1491.3899418946701</v>
      </c>
      <c r="AH172" s="16">
        <f t="shared" si="26"/>
        <v>2.6846917387689517E-2</v>
      </c>
      <c r="AI172" s="16">
        <f t="shared" si="27"/>
        <v>1.6423051429908186E-2</v>
      </c>
      <c r="AJ172" s="56"/>
      <c r="AK172" s="56">
        <v>324119.69395164377</v>
      </c>
      <c r="AL172" s="56">
        <v>1514.3298927452308</v>
      </c>
      <c r="AM172" s="16">
        <f t="shared" si="35"/>
        <v>-1.514858219497639E-2</v>
      </c>
      <c r="AN172" s="58">
        <f t="shared" si="35"/>
        <v>-1.5148582194976279E-2</v>
      </c>
      <c r="AP172" s="56">
        <f t="shared" si="28"/>
        <v>0</v>
      </c>
      <c r="AQ172" s="56">
        <f t="shared" si="29"/>
        <v>0</v>
      </c>
    </row>
    <row r="173" spans="1:43" x14ac:dyDescent="0.2">
      <c r="A173" s="156" t="s">
        <v>391</v>
      </c>
      <c r="B173" s="156" t="s">
        <v>392</v>
      </c>
      <c r="D173" s="68">
        <f>VLOOKUP(A173,'2017-18 disagg'!A173:AZ381,43,FALSE)</f>
        <v>204384</v>
      </c>
      <c r="E173" s="73">
        <v>1431.8954145427592</v>
      </c>
      <c r="F173" s="55"/>
      <c r="G173" s="88">
        <v>209586.22307774649</v>
      </c>
      <c r="H173" s="81">
        <v>1454.3416133348235</v>
      </c>
      <c r="I173" s="90"/>
      <c r="J173" s="103">
        <f t="shared" si="30"/>
        <v>-2.4821398092644276E-2</v>
      </c>
      <c r="K173" s="126">
        <f t="shared" si="30"/>
        <v>-1.5433924592582415E-2</v>
      </c>
      <c r="L173" s="56">
        <v>209727</v>
      </c>
      <c r="M173" s="103">
        <v>2.1761917190338931E-2</v>
      </c>
      <c r="N173" s="97">
        <f>INDEX('Pace of change parameters'!$E$22:$I$22,1,$B$5)</f>
        <v>1.2019795091496865E-2</v>
      </c>
      <c r="O173" s="108">
        <f>MAX(IF(INDEX('Pace of change parameters'!$E$30:$I$30,1,$B$5)=1,(1+M173)*D173,D173),L173)</f>
        <v>209727</v>
      </c>
      <c r="P173" s="94">
        <f>IF(K173&lt;INDEX('Pace of change parameters'!$E$18:$I$18,1,$B$5),1,IF(K173&gt;INDEX('Pace of change parameters'!$E$19:$I$19,1,$B$5),0,(K173-INDEX('Pace of change parameters'!$E$19:$I$19,1,$B$5))/(INDEX('Pace of change parameters'!$E$18:$I$18,1,$B$5)-INDEX('Pace of change parameters'!$E$19:$I$19,1,$B$5))))</f>
        <v>0.53204769043919409</v>
      </c>
      <c r="Q173" s="57">
        <v>2.8734486099882162E-2</v>
      </c>
      <c r="R173" s="57">
        <v>1.8925883134493393E-2</v>
      </c>
      <c r="S173" s="9">
        <f>MAX(IF(INDEX('Pace of change parameters'!$E$31:$I$31,1,$B$5)=1,D173*(1+Q173),D173),L173)</f>
        <v>210256.86920703831</v>
      </c>
      <c r="T173" s="103">
        <f>IF(Q173&lt;INDEX('Pace of change parameters'!$E$24:$I$24,1,$B$5),INDEX('Pace of change parameters'!$E$24:$I$24,1,$B$5),Q173)</f>
        <v>2.8734486099882162E-2</v>
      </c>
      <c r="U173" s="132">
        <v>1.8925883134493393E-2</v>
      </c>
      <c r="V173" s="117">
        <f t="shared" si="31"/>
        <v>210256.86920703831</v>
      </c>
      <c r="W173" s="131">
        <f>IF(J173&gt;INDEX('Pace of change parameters'!$E$26:$I$26,1,$B$5),0,IF(J173&lt;INDEX('Pace of change parameters'!$E$25:$I$25,1,$B$5),1,(J173-INDEX('Pace of change parameters'!$E$26:$I$26,1,$B$5))/(INDEX('Pace of change parameters'!$E$25:$I$25,1,$B$5)-INDEX('Pace of change parameters'!$E$26:$I$26,1,$B$5))))</f>
        <v>1</v>
      </c>
      <c r="X173" s="132">
        <f>MIN(T173, T173+(INDEX('Pace of change parameters'!$E$27:$I$27,1,$B$5)-T173)*(1-W173))</f>
        <v>2.8734486099882162E-2</v>
      </c>
      <c r="Y173" s="132">
        <v>1.8925883134493393E-2</v>
      </c>
      <c r="Z173" s="108">
        <f t="shared" si="32"/>
        <v>210256.86920703831</v>
      </c>
      <c r="AA173" s="97">
        <f>MIN(VLOOKUP(A173,'2017-18 disagg'!$A$12:$BC$220,54,FALSE),-2.5%)</f>
        <v>-2.5000000000000001E-2</v>
      </c>
      <c r="AB173" s="99">
        <f t="shared" si="24"/>
        <v>209532.12949120317</v>
      </c>
      <c r="AC173" s="99">
        <f>MAX(IF(INDEX('Pace of change parameters'!$E$29:$I$29,1,$B$5)=1,MAX(AB173,Z173),Z173),L173)</f>
        <v>210256.86920703831</v>
      </c>
      <c r="AD173" s="97">
        <f t="shared" si="25"/>
        <v>2.8734486099882162E-2</v>
      </c>
      <c r="AE173" s="146">
        <v>1.8925883134493393E-2</v>
      </c>
      <c r="AF173" s="56">
        <f t="shared" si="33"/>
        <v>210256.86920703831</v>
      </c>
      <c r="AG173" s="56">
        <v>1458.9952998192123</v>
      </c>
      <c r="AH173" s="16">
        <f t="shared" si="26"/>
        <v>2.8734486099882162E-2</v>
      </c>
      <c r="AI173" s="16">
        <f t="shared" si="27"/>
        <v>1.8925883134493171E-2</v>
      </c>
      <c r="AJ173" s="56"/>
      <c r="AK173" s="56">
        <v>214904.74819610582</v>
      </c>
      <c r="AL173" s="56">
        <v>1491.2474380002509</v>
      </c>
      <c r="AM173" s="16">
        <f t="shared" si="35"/>
        <v>-2.1627623531268902E-2</v>
      </c>
      <c r="AN173" s="58">
        <f t="shared" si="35"/>
        <v>-2.1627623531268902E-2</v>
      </c>
      <c r="AP173" s="56">
        <f t="shared" si="28"/>
        <v>0</v>
      </c>
      <c r="AQ173" s="56">
        <f t="shared" si="29"/>
        <v>0</v>
      </c>
    </row>
    <row r="174" spans="1:43" x14ac:dyDescent="0.2">
      <c r="A174" s="156" t="s">
        <v>393</v>
      </c>
      <c r="B174" s="156" t="s">
        <v>394</v>
      </c>
      <c r="D174" s="68">
        <f>VLOOKUP(A174,'2017-18 disagg'!A174:AZ382,43,FALSE)</f>
        <v>501807</v>
      </c>
      <c r="E174" s="73">
        <v>1593.3487586718593</v>
      </c>
      <c r="F174" s="55"/>
      <c r="G174" s="88">
        <v>487304.88389123336</v>
      </c>
      <c r="H174" s="81">
        <v>1536.4581657715062</v>
      </c>
      <c r="I174" s="90"/>
      <c r="J174" s="103">
        <f t="shared" si="30"/>
        <v>2.9759841504078732E-2</v>
      </c>
      <c r="K174" s="126">
        <f t="shared" si="30"/>
        <v>3.7027101790165773E-2</v>
      </c>
      <c r="L174" s="56">
        <v>514891</v>
      </c>
      <c r="M174" s="103">
        <v>1.9161859647889301E-2</v>
      </c>
      <c r="N174" s="97">
        <f>INDEX('Pace of change parameters'!$E$22:$I$22,1,$B$5)</f>
        <v>1.2019795091496865E-2</v>
      </c>
      <c r="O174" s="108">
        <f>MAX(IF(INDEX('Pace of change parameters'!$E$30:$I$30,1,$B$5)=1,(1+M174)*D174,D174),L174)</f>
        <v>514891</v>
      </c>
      <c r="P174" s="94">
        <f>IF(K174&lt;INDEX('Pace of change parameters'!$E$18:$I$18,1,$B$5),1,IF(K174&gt;INDEX('Pace of change parameters'!$E$19:$I$19,1,$B$5),0,(K174-INDEX('Pace of change parameters'!$E$19:$I$19,1,$B$5))/(INDEX('Pace of change parameters'!$E$18:$I$18,1,$B$5)-INDEX('Pace of change parameters'!$E$19:$I$19,1,$B$5))))</f>
        <v>0</v>
      </c>
      <c r="Q174" s="57">
        <v>1.9161859647889301E-2</v>
      </c>
      <c r="R174" s="57">
        <v>1.2019795091496865E-2</v>
      </c>
      <c r="S174" s="9">
        <f>MAX(IF(INDEX('Pace of change parameters'!$E$31:$I$31,1,$B$5)=1,D174*(1+Q174),D174),L174)</f>
        <v>514891</v>
      </c>
      <c r="T174" s="103">
        <f>IF(Q174&lt;INDEX('Pace of change parameters'!$E$24:$I$24,1,$B$5),INDEX('Pace of change parameters'!$E$24:$I$24,1,$B$5),Q174)</f>
        <v>1.9732353921844841E-2</v>
      </c>
      <c r="U174" s="132">
        <v>1.258629146571244E-2</v>
      </c>
      <c r="V174" s="117">
        <f t="shared" si="31"/>
        <v>514891</v>
      </c>
      <c r="W174" s="131">
        <f>IF(J174&gt;INDEX('Pace of change parameters'!$E$26:$I$26,1,$B$5),0,IF(J174&lt;INDEX('Pace of change parameters'!$E$25:$I$25,1,$B$5),1,(J174-INDEX('Pace of change parameters'!$E$26:$I$26,1,$B$5))/(INDEX('Pace of change parameters'!$E$25:$I$25,1,$B$5)-INDEX('Pace of change parameters'!$E$26:$I$26,1,$B$5))))</f>
        <v>1</v>
      </c>
      <c r="X174" s="132">
        <f>MIN(T174, T174+(INDEX('Pace of change parameters'!$E$27:$I$27,1,$B$5)-T174)*(1-W174))</f>
        <v>1.9732353921844841E-2</v>
      </c>
      <c r="Y174" s="132">
        <v>1.258629146571244E-2</v>
      </c>
      <c r="Z174" s="108">
        <f t="shared" si="32"/>
        <v>514891</v>
      </c>
      <c r="AA174" s="97">
        <f>MIN(VLOOKUP(A174,'2017-18 disagg'!$A$12:$BC$220,54,FALSE),-2.5%)</f>
        <v>-2.5000000000000001E-2</v>
      </c>
      <c r="AB174" s="99">
        <f t="shared" si="24"/>
        <v>487667.33754616755</v>
      </c>
      <c r="AC174" s="99">
        <f>MAX(IF(INDEX('Pace of change parameters'!$E$29:$I$29,1,$B$5)=1,MAX(AB174,Z174),Z174),L174)</f>
        <v>514891</v>
      </c>
      <c r="AD174" s="97">
        <f t="shared" si="25"/>
        <v>2.6073769397397806E-2</v>
      </c>
      <c r="AE174" s="146">
        <v>1.8883267681420124E-2</v>
      </c>
      <c r="AF174" s="56">
        <f t="shared" si="33"/>
        <v>514891</v>
      </c>
      <c r="AG174" s="56">
        <v>1623.4363897917187</v>
      </c>
      <c r="AH174" s="16">
        <f t="shared" si="26"/>
        <v>2.6073769397397806E-2</v>
      </c>
      <c r="AI174" s="16">
        <f t="shared" si="27"/>
        <v>1.8883267681420346E-2</v>
      </c>
      <c r="AJ174" s="56"/>
      <c r="AK174" s="56">
        <v>500171.62825247954</v>
      </c>
      <c r="AL174" s="56">
        <v>1577.0266375727115</v>
      </c>
      <c r="AM174" s="16">
        <f t="shared" si="35"/>
        <v>2.9428641922268906E-2</v>
      </c>
      <c r="AN174" s="58">
        <f t="shared" si="35"/>
        <v>2.9428641922269128E-2</v>
      </c>
      <c r="AP174" s="56">
        <f t="shared" si="28"/>
        <v>1</v>
      </c>
      <c r="AQ174" s="56">
        <f t="shared" si="29"/>
        <v>0</v>
      </c>
    </row>
    <row r="175" spans="1:43" x14ac:dyDescent="0.2">
      <c r="A175" s="156" t="s">
        <v>395</v>
      </c>
      <c r="B175" s="156" t="s">
        <v>396</v>
      </c>
      <c r="D175" s="68">
        <f>VLOOKUP(A175,'2017-18 disagg'!A175:AZ383,43,FALSE)</f>
        <v>339704</v>
      </c>
      <c r="E175" s="73">
        <v>1544.9348987910505</v>
      </c>
      <c r="F175" s="55"/>
      <c r="G175" s="88">
        <v>339370.32177533518</v>
      </c>
      <c r="H175" s="81">
        <v>1534.5242677629471</v>
      </c>
      <c r="I175" s="90"/>
      <c r="J175" s="103">
        <f t="shared" si="30"/>
        <v>9.832274752821224E-4</v>
      </c>
      <c r="K175" s="126">
        <f t="shared" si="30"/>
        <v>6.7842726549252053E-3</v>
      </c>
      <c r="L175" s="56">
        <v>347778</v>
      </c>
      <c r="M175" s="103">
        <v>1.7884801010553453E-2</v>
      </c>
      <c r="N175" s="97">
        <f>INDEX('Pace of change parameters'!$E$22:$I$22,1,$B$5)</f>
        <v>1.2019795091496865E-2</v>
      </c>
      <c r="O175" s="108">
        <f>MAX(IF(INDEX('Pace of change parameters'!$E$30:$I$30,1,$B$5)=1,(1+M175)*D175,D175),L175)</f>
        <v>347778</v>
      </c>
      <c r="P175" s="94">
        <f>IF(K175&lt;INDEX('Pace of change parameters'!$E$18:$I$18,1,$B$5),1,IF(K175&gt;INDEX('Pace of change parameters'!$E$19:$I$19,1,$B$5),0,(K175-INDEX('Pace of change parameters'!$E$19:$I$19,1,$B$5))/(INDEX('Pace of change parameters'!$E$18:$I$18,1,$B$5)-INDEX('Pace of change parameters'!$E$19:$I$19,1,$B$5))))</f>
        <v>4.9945290265229161E-2</v>
      </c>
      <c r="Q175" s="57">
        <v>1.8536858236483988E-2</v>
      </c>
      <c r="R175" s="57">
        <v>1.2668095193354212E-2</v>
      </c>
      <c r="S175" s="9">
        <f>MAX(IF(INDEX('Pace of change parameters'!$E$31:$I$31,1,$B$5)=1,D175*(1+Q175),D175),L175)</f>
        <v>347778</v>
      </c>
      <c r="T175" s="103">
        <f>IF(Q175&lt;INDEX('Pace of change parameters'!$E$24:$I$24,1,$B$5),INDEX('Pace of change parameters'!$E$24:$I$24,1,$B$5),Q175)</f>
        <v>1.9732353921844841E-2</v>
      </c>
      <c r="U175" s="132">
        <v>1.3856702486960026E-2</v>
      </c>
      <c r="V175" s="117">
        <f t="shared" si="31"/>
        <v>347778</v>
      </c>
      <c r="W175" s="131">
        <f>IF(J175&gt;INDEX('Pace of change parameters'!$E$26:$I$26,1,$B$5),0,IF(J175&lt;INDEX('Pace of change parameters'!$E$25:$I$25,1,$B$5),1,(J175-INDEX('Pace of change parameters'!$E$26:$I$26,1,$B$5))/(INDEX('Pace of change parameters'!$E$25:$I$25,1,$B$5)-INDEX('Pace of change parameters'!$E$26:$I$26,1,$B$5))))</f>
        <v>1</v>
      </c>
      <c r="X175" s="132">
        <f>MIN(T175, T175+(INDEX('Pace of change parameters'!$E$27:$I$27,1,$B$5)-T175)*(1-W175))</f>
        <v>1.9732353921844841E-2</v>
      </c>
      <c r="Y175" s="132">
        <v>1.3856702486960026E-2</v>
      </c>
      <c r="Z175" s="108">
        <f t="shared" si="32"/>
        <v>347778</v>
      </c>
      <c r="AA175" s="97">
        <f>MIN(VLOOKUP(A175,'2017-18 disagg'!$A$12:$BC$220,54,FALSE),-2.5%)</f>
        <v>-2.5000000000000001E-2</v>
      </c>
      <c r="AB175" s="99">
        <f t="shared" si="24"/>
        <v>339342.5861845215</v>
      </c>
      <c r="AC175" s="99">
        <f>MAX(IF(INDEX('Pace of change parameters'!$E$29:$I$29,1,$B$5)=1,MAX(AB175,Z175),Z175),L175)</f>
        <v>347778</v>
      </c>
      <c r="AD175" s="97">
        <f t="shared" si="25"/>
        <v>2.376775074770987E-2</v>
      </c>
      <c r="AE175" s="146">
        <v>1.7868847539887822E-2</v>
      </c>
      <c r="AF175" s="56">
        <f t="shared" si="33"/>
        <v>347778</v>
      </c>
      <c r="AG175" s="56">
        <v>1572.5411049565992</v>
      </c>
      <c r="AH175" s="16">
        <f t="shared" si="26"/>
        <v>2.376775074770987E-2</v>
      </c>
      <c r="AI175" s="16">
        <f t="shared" si="27"/>
        <v>1.7868847539887378E-2</v>
      </c>
      <c r="AJ175" s="56"/>
      <c r="AK175" s="56">
        <v>348043.6781379708</v>
      </c>
      <c r="AL175" s="56">
        <v>1573.7424166918079</v>
      </c>
      <c r="AM175" s="16">
        <f t="shared" si="35"/>
        <v>-7.6334711606362848E-4</v>
      </c>
      <c r="AN175" s="58">
        <f t="shared" si="35"/>
        <v>-7.6334711606362848E-4</v>
      </c>
      <c r="AP175" s="56">
        <f t="shared" si="28"/>
        <v>1</v>
      </c>
      <c r="AQ175" s="56">
        <f t="shared" si="29"/>
        <v>0</v>
      </c>
    </row>
    <row r="176" spans="1:43" x14ac:dyDescent="0.2">
      <c r="A176" s="156" t="s">
        <v>397</v>
      </c>
      <c r="B176" s="156" t="s">
        <v>398</v>
      </c>
      <c r="D176" s="68">
        <f>VLOOKUP(A176,'2017-18 disagg'!A176:AZ384,43,FALSE)</f>
        <v>484056</v>
      </c>
      <c r="E176" s="73">
        <v>1416.7270828965529</v>
      </c>
      <c r="F176" s="55"/>
      <c r="G176" s="88">
        <v>496102.36065516673</v>
      </c>
      <c r="H176" s="81">
        <v>1443.2716273160538</v>
      </c>
      <c r="I176" s="90"/>
      <c r="J176" s="103">
        <f t="shared" si="30"/>
        <v>-2.4282006316716509E-2</v>
      </c>
      <c r="K176" s="126">
        <f t="shared" si="30"/>
        <v>-1.8391925620310223E-2</v>
      </c>
      <c r="L176" s="56">
        <v>495927</v>
      </c>
      <c r="M176" s="103">
        <v>1.8129017528758062E-2</v>
      </c>
      <c r="N176" s="97">
        <f>INDEX('Pace of change parameters'!$E$22:$I$22,1,$B$5)</f>
        <v>1.2019795091496865E-2</v>
      </c>
      <c r="O176" s="108">
        <f>MAX(IF(INDEX('Pace of change parameters'!$E$30:$I$30,1,$B$5)=1,(1+M176)*D176,D176),L176)</f>
        <v>495927</v>
      </c>
      <c r="P176" s="94">
        <f>IF(K176&lt;INDEX('Pace of change parameters'!$E$18:$I$18,1,$B$5),1,IF(K176&gt;INDEX('Pace of change parameters'!$E$19:$I$19,1,$B$5),0,(K176-INDEX('Pace of change parameters'!$E$19:$I$19,1,$B$5))/(INDEX('Pace of change parameters'!$E$18:$I$18,1,$B$5)-INDEX('Pace of change parameters'!$E$19:$I$19,1,$B$5))))</f>
        <v>0.59623198853046255</v>
      </c>
      <c r="Q176" s="57">
        <v>2.5914949935857745E-2</v>
      </c>
      <c r="R176" s="57">
        <v>1.9759008475626505E-2</v>
      </c>
      <c r="S176" s="9">
        <f>MAX(IF(INDEX('Pace of change parameters'!$E$31:$I$31,1,$B$5)=1,D176*(1+Q176),D176),L176)</f>
        <v>496600.28700615157</v>
      </c>
      <c r="T176" s="103">
        <f>IF(Q176&lt;INDEX('Pace of change parameters'!$E$24:$I$24,1,$B$5),INDEX('Pace of change parameters'!$E$24:$I$24,1,$B$5),Q176)</f>
        <v>2.5914949935857745E-2</v>
      </c>
      <c r="U176" s="132">
        <v>1.9759008475626505E-2</v>
      </c>
      <c r="V176" s="117">
        <f t="shared" si="31"/>
        <v>496600.28700615157</v>
      </c>
      <c r="W176" s="131">
        <f>IF(J176&gt;INDEX('Pace of change parameters'!$E$26:$I$26,1,$B$5),0,IF(J176&lt;INDEX('Pace of change parameters'!$E$25:$I$25,1,$B$5),1,(J176-INDEX('Pace of change parameters'!$E$26:$I$26,1,$B$5))/(INDEX('Pace of change parameters'!$E$25:$I$25,1,$B$5)-INDEX('Pace of change parameters'!$E$26:$I$26,1,$B$5))))</f>
        <v>1</v>
      </c>
      <c r="X176" s="132">
        <f>MIN(T176, T176+(INDEX('Pace of change parameters'!$E$27:$I$27,1,$B$5)-T176)*(1-W176))</f>
        <v>2.5914949935857745E-2</v>
      </c>
      <c r="Y176" s="132">
        <v>1.9759008475626505E-2</v>
      </c>
      <c r="Z176" s="108">
        <f t="shared" si="32"/>
        <v>496600.28700615157</v>
      </c>
      <c r="AA176" s="97">
        <f>MIN(VLOOKUP(A176,'2017-18 disagg'!$A$12:$BC$220,54,FALSE),-2.5%)</f>
        <v>-2.5313335156641914E-2</v>
      </c>
      <c r="AB176" s="99">
        <f t="shared" si="24"/>
        <v>495819.06284400076</v>
      </c>
      <c r="AC176" s="99">
        <f>MAX(IF(INDEX('Pace of change parameters'!$E$29:$I$29,1,$B$5)=1,MAX(AB176,Z176),Z176),L176)</f>
        <v>496600.28700615157</v>
      </c>
      <c r="AD176" s="97">
        <f t="shared" si="25"/>
        <v>2.5914949935857745E-2</v>
      </c>
      <c r="AE176" s="146">
        <v>1.9759008475626505E-2</v>
      </c>
      <c r="AF176" s="56">
        <f t="shared" si="33"/>
        <v>496600.28700615157</v>
      </c>
      <c r="AG176" s="56">
        <v>1444.7202053351552</v>
      </c>
      <c r="AH176" s="16">
        <f t="shared" si="26"/>
        <v>2.5914949935857745E-2</v>
      </c>
      <c r="AI176" s="16">
        <f t="shared" si="27"/>
        <v>1.9759008475626283E-2</v>
      </c>
      <c r="AJ176" s="56"/>
      <c r="AK176" s="56">
        <v>508695.85142388695</v>
      </c>
      <c r="AL176" s="56">
        <v>1479.9088807476985</v>
      </c>
      <c r="AM176" s="16">
        <f t="shared" si="35"/>
        <v>-2.3777595952235053E-2</v>
      </c>
      <c r="AN176" s="58">
        <f t="shared" si="35"/>
        <v>-2.3777595952235053E-2</v>
      </c>
      <c r="AP176" s="56">
        <f t="shared" si="28"/>
        <v>0</v>
      </c>
      <c r="AQ176" s="56">
        <f t="shared" si="29"/>
        <v>0</v>
      </c>
    </row>
    <row r="177" spans="1:43" x14ac:dyDescent="0.2">
      <c r="A177" s="156" t="s">
        <v>399</v>
      </c>
      <c r="B177" s="156" t="s">
        <v>400</v>
      </c>
      <c r="D177" s="68">
        <f>VLOOKUP(A177,'2017-18 disagg'!A177:AZ385,43,FALSE)</f>
        <v>882534</v>
      </c>
      <c r="E177" s="73">
        <v>1723.3762538797639</v>
      </c>
      <c r="F177" s="55"/>
      <c r="G177" s="88">
        <v>902195.14116406825</v>
      </c>
      <c r="H177" s="81">
        <v>1747.6494069658893</v>
      </c>
      <c r="I177" s="90"/>
      <c r="J177" s="103">
        <f t="shared" si="30"/>
        <v>-2.1792559355507279E-2</v>
      </c>
      <c r="K177" s="126">
        <f t="shared" si="30"/>
        <v>-1.3889028880378351E-2</v>
      </c>
      <c r="L177" s="56">
        <v>904151</v>
      </c>
      <c r="M177" s="103">
        <v>2.0196516060486225E-2</v>
      </c>
      <c r="N177" s="97">
        <f>INDEX('Pace of change parameters'!$E$22:$I$22,1,$B$5)</f>
        <v>1.2019795091496865E-2</v>
      </c>
      <c r="O177" s="108">
        <f>MAX(IF(INDEX('Pace of change parameters'!$E$30:$I$30,1,$B$5)=1,(1+M177)*D177,D177),L177)</f>
        <v>904151</v>
      </c>
      <c r="P177" s="94">
        <f>IF(K177&lt;INDEX('Pace of change parameters'!$E$18:$I$18,1,$B$5),1,IF(K177&gt;INDEX('Pace of change parameters'!$E$19:$I$19,1,$B$5),0,(K177-INDEX('Pace of change parameters'!$E$19:$I$19,1,$B$5))/(INDEX('Pace of change parameters'!$E$18:$I$18,1,$B$5)-INDEX('Pace of change parameters'!$E$19:$I$19,1,$B$5))))</f>
        <v>0.49852571191973538</v>
      </c>
      <c r="Q177" s="57">
        <v>2.6719764806684143E-2</v>
      </c>
      <c r="R177" s="57">
        <v>1.8490760984372523E-2</v>
      </c>
      <c r="S177" s="9">
        <f>MAX(IF(INDEX('Pace of change parameters'!$E$31:$I$31,1,$B$5)=1,D177*(1+Q177),D177),L177)</f>
        <v>906115.10091390216</v>
      </c>
      <c r="T177" s="103">
        <f>IF(Q177&lt;INDEX('Pace of change parameters'!$E$24:$I$24,1,$B$5),INDEX('Pace of change parameters'!$E$24:$I$24,1,$B$5),Q177)</f>
        <v>2.6719764806684143E-2</v>
      </c>
      <c r="U177" s="132">
        <v>1.8490760984372523E-2</v>
      </c>
      <c r="V177" s="117">
        <f t="shared" si="31"/>
        <v>906115.10091390216</v>
      </c>
      <c r="W177" s="131">
        <f>IF(J177&gt;INDEX('Pace of change parameters'!$E$26:$I$26,1,$B$5),0,IF(J177&lt;INDEX('Pace of change parameters'!$E$25:$I$25,1,$B$5),1,(J177-INDEX('Pace of change parameters'!$E$26:$I$26,1,$B$5))/(INDEX('Pace of change parameters'!$E$25:$I$25,1,$B$5)-INDEX('Pace of change parameters'!$E$26:$I$26,1,$B$5))))</f>
        <v>1</v>
      </c>
      <c r="X177" s="132">
        <f>MIN(T177, T177+(INDEX('Pace of change parameters'!$E$27:$I$27,1,$B$5)-T177)*(1-W177))</f>
        <v>2.6719764806684143E-2</v>
      </c>
      <c r="Y177" s="132">
        <v>1.8490760984372523E-2</v>
      </c>
      <c r="Z177" s="108">
        <f t="shared" si="32"/>
        <v>906115.10091390216</v>
      </c>
      <c r="AA177" s="97">
        <f>MIN(VLOOKUP(A177,'2017-18 disagg'!$A$12:$BC$220,54,FALSE),-2.5%)</f>
        <v>-2.5000000000000001E-2</v>
      </c>
      <c r="AB177" s="99">
        <f t="shared" si="24"/>
        <v>901651.05739766266</v>
      </c>
      <c r="AC177" s="99">
        <f>MAX(IF(INDEX('Pace of change parameters'!$E$29:$I$29,1,$B$5)=1,MAX(AB177,Z177),Z177),L177)</f>
        <v>906115.10091390216</v>
      </c>
      <c r="AD177" s="97">
        <f t="shared" si="25"/>
        <v>2.6719764806684143E-2</v>
      </c>
      <c r="AE177" s="146">
        <v>1.8490760984372523E-2</v>
      </c>
      <c r="AF177" s="56">
        <f t="shared" si="33"/>
        <v>906115.10091390216</v>
      </c>
      <c r="AG177" s="56">
        <v>1755.2427922763979</v>
      </c>
      <c r="AH177" s="16">
        <f t="shared" si="26"/>
        <v>2.6719764806684143E-2</v>
      </c>
      <c r="AI177" s="16">
        <f t="shared" si="27"/>
        <v>1.8490760984372523E-2</v>
      </c>
      <c r="AJ177" s="56"/>
      <c r="AK177" s="56">
        <v>924770.31527965399</v>
      </c>
      <c r="AL177" s="56">
        <v>1791.3799568825625</v>
      </c>
      <c r="AM177" s="16">
        <f t="shared" si="35"/>
        <v>-2.0172808380111595E-2</v>
      </c>
      <c r="AN177" s="58">
        <f t="shared" si="35"/>
        <v>-2.0172808380111595E-2</v>
      </c>
      <c r="AP177" s="56">
        <f t="shared" si="28"/>
        <v>0</v>
      </c>
      <c r="AQ177" s="56">
        <f t="shared" si="29"/>
        <v>0</v>
      </c>
    </row>
    <row r="178" spans="1:43" x14ac:dyDescent="0.2">
      <c r="A178" s="156" t="s">
        <v>401</v>
      </c>
      <c r="B178" s="156" t="s">
        <v>402</v>
      </c>
      <c r="D178" s="68">
        <f>VLOOKUP(A178,'2017-18 disagg'!A178:AZ386,43,FALSE)</f>
        <v>206409</v>
      </c>
      <c r="E178" s="73">
        <v>1564.5225618970205</v>
      </c>
      <c r="F178" s="55"/>
      <c r="G178" s="88">
        <v>209087.74997542758</v>
      </c>
      <c r="H178" s="81">
        <v>1568.2345001178176</v>
      </c>
      <c r="I178" s="90"/>
      <c r="J178" s="103">
        <f t="shared" si="30"/>
        <v>-1.2811606494126937E-2</v>
      </c>
      <c r="K178" s="126">
        <f t="shared" si="30"/>
        <v>-2.3669535522385932E-3</v>
      </c>
      <c r="L178" s="56">
        <v>211939</v>
      </c>
      <c r="M178" s="103">
        <v>2.2727169286317794E-2</v>
      </c>
      <c r="N178" s="97">
        <f>INDEX('Pace of change parameters'!$E$22:$I$22,1,$B$5)</f>
        <v>1.2019795091496865E-2</v>
      </c>
      <c r="O178" s="108">
        <f>MAX(IF(INDEX('Pace of change parameters'!$E$30:$I$30,1,$B$5)=1,(1+M178)*D178,D178),L178)</f>
        <v>211939</v>
      </c>
      <c r="P178" s="94">
        <f>IF(K178&lt;INDEX('Pace of change parameters'!$E$18:$I$18,1,$B$5),1,IF(K178&gt;INDEX('Pace of change parameters'!$E$19:$I$19,1,$B$5),0,(K178-INDEX('Pace of change parameters'!$E$19:$I$19,1,$B$5))/(INDEX('Pace of change parameters'!$E$18:$I$18,1,$B$5)-INDEX('Pace of change parameters'!$E$19:$I$19,1,$B$5))))</f>
        <v>0.24851352106547842</v>
      </c>
      <c r="Q178" s="57">
        <v>2.5987054867937731E-2</v>
      </c>
      <c r="R178" s="57">
        <v>1.5245551517460321E-2</v>
      </c>
      <c r="S178" s="9">
        <f>MAX(IF(INDEX('Pace of change parameters'!$E$31:$I$31,1,$B$5)=1,D178*(1+Q178),D178),L178)</f>
        <v>211939</v>
      </c>
      <c r="T178" s="103">
        <f>IF(Q178&lt;INDEX('Pace of change parameters'!$E$24:$I$24,1,$B$5),INDEX('Pace of change parameters'!$E$24:$I$24,1,$B$5),Q178)</f>
        <v>2.5987054867937731E-2</v>
      </c>
      <c r="U178" s="132">
        <v>1.5245551517460321E-2</v>
      </c>
      <c r="V178" s="117">
        <f t="shared" si="31"/>
        <v>211939</v>
      </c>
      <c r="W178" s="131">
        <f>IF(J178&gt;INDEX('Pace of change parameters'!$E$26:$I$26,1,$B$5),0,IF(J178&lt;INDEX('Pace of change parameters'!$E$25:$I$25,1,$B$5),1,(J178-INDEX('Pace of change parameters'!$E$26:$I$26,1,$B$5))/(INDEX('Pace of change parameters'!$E$25:$I$25,1,$B$5)-INDEX('Pace of change parameters'!$E$26:$I$26,1,$B$5))))</f>
        <v>1</v>
      </c>
      <c r="X178" s="132">
        <f>MIN(T178, T178+(INDEX('Pace of change parameters'!$E$27:$I$27,1,$B$5)-T178)*(1-W178))</f>
        <v>2.5987054867937731E-2</v>
      </c>
      <c r="Y178" s="132">
        <v>1.5245551517460321E-2</v>
      </c>
      <c r="Z178" s="108">
        <f t="shared" si="32"/>
        <v>211939</v>
      </c>
      <c r="AA178" s="97">
        <f>MIN(VLOOKUP(A178,'2017-18 disagg'!$A$12:$BC$220,54,FALSE),-2.5%)</f>
        <v>-2.5000000000000001E-2</v>
      </c>
      <c r="AB178" s="99">
        <f t="shared" si="24"/>
        <v>209075.67473475618</v>
      </c>
      <c r="AC178" s="99">
        <f>MAX(IF(INDEX('Pace of change parameters'!$E$29:$I$29,1,$B$5)=1,MAX(AB178,Z178),Z178),L178)</f>
        <v>211939</v>
      </c>
      <c r="AD178" s="97">
        <f t="shared" si="25"/>
        <v>2.6791467426323434E-2</v>
      </c>
      <c r="AE178" s="146">
        <v>1.6041542331975078E-2</v>
      </c>
      <c r="AF178" s="56">
        <f t="shared" si="33"/>
        <v>211939</v>
      </c>
      <c r="AG178" s="56">
        <v>1589.6199168030214</v>
      </c>
      <c r="AH178" s="16">
        <f t="shared" si="26"/>
        <v>2.6791467426323434E-2</v>
      </c>
      <c r="AI178" s="16">
        <f t="shared" si="27"/>
        <v>1.6041542331974856E-2</v>
      </c>
      <c r="AJ178" s="56"/>
      <c r="AK178" s="56">
        <v>214436.58947154481</v>
      </c>
      <c r="AL178" s="56">
        <v>1608.3527501558501</v>
      </c>
      <c r="AM178" s="16">
        <f t="shared" si="35"/>
        <v>-1.1647216912467395E-2</v>
      </c>
      <c r="AN178" s="58">
        <f t="shared" si="35"/>
        <v>-1.1647216912467395E-2</v>
      </c>
      <c r="AP178" s="56">
        <f t="shared" si="28"/>
        <v>1</v>
      </c>
      <c r="AQ178" s="56">
        <f t="shared" si="29"/>
        <v>0</v>
      </c>
    </row>
    <row r="179" spans="1:43" x14ac:dyDescent="0.2">
      <c r="A179" s="156" t="s">
        <v>403</v>
      </c>
      <c r="B179" s="156" t="s">
        <v>404</v>
      </c>
      <c r="D179" s="68">
        <f>VLOOKUP(A179,'2017-18 disagg'!A179:AZ387,43,FALSE)</f>
        <v>418636</v>
      </c>
      <c r="E179" s="73">
        <v>1584.7854251183198</v>
      </c>
      <c r="F179" s="55"/>
      <c r="G179" s="88">
        <v>429351.73205215519</v>
      </c>
      <c r="H179" s="81">
        <v>1609.6083291785521</v>
      </c>
      <c r="I179" s="90"/>
      <c r="J179" s="103">
        <f t="shared" si="30"/>
        <v>-2.4957933675817778E-2</v>
      </c>
      <c r="K179" s="126">
        <f t="shared" si="30"/>
        <v>-1.5421704529138713E-2</v>
      </c>
      <c r="L179" s="56">
        <v>429634</v>
      </c>
      <c r="M179" s="103">
        <v>2.1917678475493529E-2</v>
      </c>
      <c r="N179" s="97">
        <f>INDEX('Pace of change parameters'!$E$22:$I$22,1,$B$5)</f>
        <v>1.2019795091496865E-2</v>
      </c>
      <c r="O179" s="108">
        <f>MAX(IF(INDEX('Pace of change parameters'!$E$30:$I$30,1,$B$5)=1,(1+M179)*D179,D179),L179)</f>
        <v>429634</v>
      </c>
      <c r="P179" s="94">
        <f>IF(K179&lt;INDEX('Pace of change parameters'!$E$18:$I$18,1,$B$5),1,IF(K179&gt;INDEX('Pace of change parameters'!$E$19:$I$19,1,$B$5),0,(K179-INDEX('Pace of change parameters'!$E$19:$I$19,1,$B$5))/(INDEX('Pace of change parameters'!$E$18:$I$18,1,$B$5)-INDEX('Pace of change parameters'!$E$19:$I$19,1,$B$5))))</f>
        <v>0.53178253292659938</v>
      </c>
      <c r="Q179" s="57">
        <v>2.8887834849284477E-2</v>
      </c>
      <c r="R179" s="57">
        <v>1.8922441335647022E-2</v>
      </c>
      <c r="S179" s="9">
        <f>MAX(IF(INDEX('Pace of change parameters'!$E$31:$I$31,1,$B$5)=1,D179*(1+Q179),D179),L179)</f>
        <v>430729.48762996506</v>
      </c>
      <c r="T179" s="103">
        <f>IF(Q179&lt;INDEX('Pace of change parameters'!$E$24:$I$24,1,$B$5),INDEX('Pace of change parameters'!$E$24:$I$24,1,$B$5),Q179)</f>
        <v>2.8887834849284477E-2</v>
      </c>
      <c r="U179" s="132">
        <v>1.8922441335647022E-2</v>
      </c>
      <c r="V179" s="117">
        <f t="shared" si="31"/>
        <v>430729.48762996506</v>
      </c>
      <c r="W179" s="131">
        <f>IF(J179&gt;INDEX('Pace of change parameters'!$E$26:$I$26,1,$B$5),0,IF(J179&lt;INDEX('Pace of change parameters'!$E$25:$I$25,1,$B$5),1,(J179-INDEX('Pace of change parameters'!$E$26:$I$26,1,$B$5))/(INDEX('Pace of change parameters'!$E$25:$I$25,1,$B$5)-INDEX('Pace of change parameters'!$E$26:$I$26,1,$B$5))))</f>
        <v>1</v>
      </c>
      <c r="X179" s="132">
        <f>MIN(T179, T179+(INDEX('Pace of change parameters'!$E$27:$I$27,1,$B$5)-T179)*(1-W179))</f>
        <v>2.8887834849284477E-2</v>
      </c>
      <c r="Y179" s="132">
        <v>1.8922441335647022E-2</v>
      </c>
      <c r="Z179" s="108">
        <f t="shared" si="32"/>
        <v>430729.48762996506</v>
      </c>
      <c r="AA179" s="97">
        <f>MIN(VLOOKUP(A179,'2017-18 disagg'!$A$12:$BC$220,54,FALSE),-2.5%)</f>
        <v>-2.5000000000000001E-2</v>
      </c>
      <c r="AB179" s="99">
        <f t="shared" si="24"/>
        <v>429323.11101442319</v>
      </c>
      <c r="AC179" s="99">
        <f>MAX(IF(INDEX('Pace of change parameters'!$E$29:$I$29,1,$B$5)=1,MAX(AB179,Z179),Z179),L179)</f>
        <v>430729.48762996506</v>
      </c>
      <c r="AD179" s="97">
        <f t="shared" si="25"/>
        <v>2.8887834849284477E-2</v>
      </c>
      <c r="AE179" s="146">
        <v>1.8922441335647022E-2</v>
      </c>
      <c r="AF179" s="56">
        <f t="shared" si="33"/>
        <v>430729.48762996506</v>
      </c>
      <c r="AG179" s="56">
        <v>1614.7734343547102</v>
      </c>
      <c r="AH179" s="16">
        <f t="shared" si="26"/>
        <v>2.8887834849284477E-2</v>
      </c>
      <c r="AI179" s="16">
        <f t="shared" si="27"/>
        <v>1.8922441335647244E-2</v>
      </c>
      <c r="AJ179" s="56"/>
      <c r="AK179" s="56">
        <v>440331.39591222891</v>
      </c>
      <c r="AL179" s="56">
        <v>1650.7702882005517</v>
      </c>
      <c r="AM179" s="16">
        <f t="shared" si="35"/>
        <v>-2.18060950715806E-2</v>
      </c>
      <c r="AN179" s="58">
        <f t="shared" si="35"/>
        <v>-2.1806095071580489E-2</v>
      </c>
      <c r="AP179" s="56">
        <f t="shared" si="28"/>
        <v>0</v>
      </c>
      <c r="AQ179" s="56">
        <f t="shared" si="29"/>
        <v>0</v>
      </c>
    </row>
    <row r="180" spans="1:43" x14ac:dyDescent="0.2">
      <c r="A180" s="156" t="s">
        <v>405</v>
      </c>
      <c r="B180" s="156" t="s">
        <v>406</v>
      </c>
      <c r="D180" s="68">
        <f>VLOOKUP(A180,'2017-18 disagg'!A180:AZ388,43,FALSE)</f>
        <v>282793</v>
      </c>
      <c r="E180" s="73">
        <v>1543.9924194192954</v>
      </c>
      <c r="F180" s="55"/>
      <c r="G180" s="88">
        <v>292687.44110145234</v>
      </c>
      <c r="H180" s="81">
        <v>1580.9754399350404</v>
      </c>
      <c r="I180" s="90"/>
      <c r="J180" s="103">
        <f t="shared" si="30"/>
        <v>-3.380548568881947E-2</v>
      </c>
      <c r="K180" s="126">
        <f t="shared" si="30"/>
        <v>-2.3392533230791046E-2</v>
      </c>
      <c r="L180" s="56">
        <v>290451</v>
      </c>
      <c r="M180" s="103">
        <v>2.2926619604348053E-2</v>
      </c>
      <c r="N180" s="97">
        <f>INDEX('Pace of change parameters'!$E$22:$I$22,1,$B$5)</f>
        <v>1.2019795091496865E-2</v>
      </c>
      <c r="O180" s="108">
        <f>MAX(IF(INDEX('Pace of change parameters'!$E$30:$I$30,1,$B$5)=1,(1+M180)*D180,D180),L180)</f>
        <v>290451</v>
      </c>
      <c r="P180" s="94">
        <f>IF(K180&lt;INDEX('Pace of change parameters'!$E$18:$I$18,1,$B$5),1,IF(K180&gt;INDEX('Pace of change parameters'!$E$19:$I$19,1,$B$5),0,(K180-INDEX('Pace of change parameters'!$E$19:$I$19,1,$B$5))/(INDEX('Pace of change parameters'!$E$18:$I$18,1,$B$5)-INDEX('Pace of change parameters'!$E$19:$I$19,1,$B$5))))</f>
        <v>0.70473786344393863</v>
      </c>
      <c r="Q180" s="57">
        <v>3.2172848210939131E-2</v>
      </c>
      <c r="R180" s="57">
        <v>2.116743696577994E-2</v>
      </c>
      <c r="S180" s="9">
        <f>MAX(IF(INDEX('Pace of change parameters'!$E$31:$I$31,1,$B$5)=1,D180*(1+Q180),D180),L180)</f>
        <v>291891.25626411609</v>
      </c>
      <c r="T180" s="103">
        <f>IF(Q180&lt;INDEX('Pace of change parameters'!$E$24:$I$24,1,$B$5),INDEX('Pace of change parameters'!$E$24:$I$24,1,$B$5),Q180)</f>
        <v>3.2172848210939131E-2</v>
      </c>
      <c r="U180" s="132">
        <v>2.116743696577994E-2</v>
      </c>
      <c r="V180" s="117">
        <f t="shared" si="31"/>
        <v>291891.25626411609</v>
      </c>
      <c r="W180" s="131">
        <f>IF(J180&gt;INDEX('Pace of change parameters'!$E$26:$I$26,1,$B$5),0,IF(J180&lt;INDEX('Pace of change parameters'!$E$25:$I$25,1,$B$5),1,(J180-INDEX('Pace of change parameters'!$E$26:$I$26,1,$B$5))/(INDEX('Pace of change parameters'!$E$25:$I$25,1,$B$5)-INDEX('Pace of change parameters'!$E$26:$I$26,1,$B$5))))</f>
        <v>1</v>
      </c>
      <c r="X180" s="132">
        <f>MIN(T180, T180+(INDEX('Pace of change parameters'!$E$27:$I$27,1,$B$5)-T180)*(1-W180))</f>
        <v>3.2172848210939131E-2</v>
      </c>
      <c r="Y180" s="132">
        <v>2.116743696577994E-2</v>
      </c>
      <c r="Z180" s="108">
        <f t="shared" si="32"/>
        <v>291891.25626411609</v>
      </c>
      <c r="AA180" s="97">
        <f>MIN(VLOOKUP(A180,'2017-18 disagg'!$A$12:$BC$220,54,FALSE),-2.5%)</f>
        <v>-3.0280387536603781E-2</v>
      </c>
      <c r="AB180" s="99">
        <f t="shared" si="24"/>
        <v>291061.3752019548</v>
      </c>
      <c r="AC180" s="99">
        <f>MAX(IF(INDEX('Pace of change parameters'!$E$29:$I$29,1,$B$5)=1,MAX(AB180,Z180),Z180),L180)</f>
        <v>291891.25626411609</v>
      </c>
      <c r="AD180" s="97">
        <f t="shared" si="25"/>
        <v>3.2172848210939131E-2</v>
      </c>
      <c r="AE180" s="146">
        <v>2.116743696577994E-2</v>
      </c>
      <c r="AF180" s="56">
        <f t="shared" si="33"/>
        <v>291891.25626411609</v>
      </c>
      <c r="AG180" s="56">
        <v>1576.6747816329953</v>
      </c>
      <c r="AH180" s="16">
        <f t="shared" si="26"/>
        <v>3.2172848210939131E-2</v>
      </c>
      <c r="AI180" s="16">
        <f t="shared" si="27"/>
        <v>2.116743696577994E-2</v>
      </c>
      <c r="AJ180" s="56"/>
      <c r="AK180" s="56">
        <v>300150.03456779255</v>
      </c>
      <c r="AL180" s="56">
        <v>1621.2852562500286</v>
      </c>
      <c r="AM180" s="16">
        <f t="shared" si="35"/>
        <v>-2.7515500091708667E-2</v>
      </c>
      <c r="AN180" s="58">
        <f t="shared" si="35"/>
        <v>-2.7515500091708556E-2</v>
      </c>
      <c r="AP180" s="56">
        <f t="shared" si="28"/>
        <v>0</v>
      </c>
      <c r="AQ180" s="56">
        <f t="shared" si="29"/>
        <v>0</v>
      </c>
    </row>
    <row r="181" spans="1:43" x14ac:dyDescent="0.2">
      <c r="A181" s="156" t="s">
        <v>407</v>
      </c>
      <c r="B181" s="156" t="s">
        <v>408</v>
      </c>
      <c r="D181" s="68">
        <f>VLOOKUP(A181,'2017-18 disagg'!A181:AZ389,43,FALSE)</f>
        <v>341589</v>
      </c>
      <c r="E181" s="73">
        <v>1750.2241129688537</v>
      </c>
      <c r="F181" s="55"/>
      <c r="G181" s="88">
        <v>346367.2863736421</v>
      </c>
      <c r="H181" s="81">
        <v>1761.9679950529892</v>
      </c>
      <c r="I181" s="90"/>
      <c r="J181" s="103">
        <f t="shared" si="30"/>
        <v>-1.3795432079251158E-2</v>
      </c>
      <c r="K181" s="126">
        <f t="shared" si="30"/>
        <v>-6.6652073801046763E-3</v>
      </c>
      <c r="L181" s="56">
        <v>349848</v>
      </c>
      <c r="M181" s="103">
        <v>1.9336662984534625E-2</v>
      </c>
      <c r="N181" s="97">
        <f>INDEX('Pace of change parameters'!$E$22:$I$22,1,$B$5)</f>
        <v>1.2019795091496865E-2</v>
      </c>
      <c r="O181" s="108">
        <f>MAX(IF(INDEX('Pace of change parameters'!$E$30:$I$30,1,$B$5)=1,(1+M181)*D181,D181),L181)</f>
        <v>349848</v>
      </c>
      <c r="P181" s="94">
        <f>IF(K181&lt;INDEX('Pace of change parameters'!$E$18:$I$18,1,$B$5),1,IF(K181&gt;INDEX('Pace of change parameters'!$E$19:$I$19,1,$B$5),0,(K181-INDEX('Pace of change parameters'!$E$19:$I$19,1,$B$5))/(INDEX('Pace of change parameters'!$E$18:$I$18,1,$B$5)-INDEX('Pace of change parameters'!$E$19:$I$19,1,$B$5))))</f>
        <v>0.34177934564553636</v>
      </c>
      <c r="Q181" s="57">
        <v>2.380510369583666E-2</v>
      </c>
      <c r="R181" s="57">
        <v>1.6456161031469962E-2</v>
      </c>
      <c r="S181" s="9">
        <f>MAX(IF(INDEX('Pace of change parameters'!$E$31:$I$31,1,$B$5)=1,D181*(1+Q181),D181),L181)</f>
        <v>349848</v>
      </c>
      <c r="T181" s="103">
        <f>IF(Q181&lt;INDEX('Pace of change parameters'!$E$24:$I$24,1,$B$5),INDEX('Pace of change parameters'!$E$24:$I$24,1,$B$5),Q181)</f>
        <v>2.380510369583666E-2</v>
      </c>
      <c r="U181" s="132">
        <v>1.6456161031469962E-2</v>
      </c>
      <c r="V181" s="117">
        <f t="shared" si="31"/>
        <v>349848</v>
      </c>
      <c r="W181" s="131">
        <f>IF(J181&gt;INDEX('Pace of change parameters'!$E$26:$I$26,1,$B$5),0,IF(J181&lt;INDEX('Pace of change parameters'!$E$25:$I$25,1,$B$5),1,(J181-INDEX('Pace of change parameters'!$E$26:$I$26,1,$B$5))/(INDEX('Pace of change parameters'!$E$25:$I$25,1,$B$5)-INDEX('Pace of change parameters'!$E$26:$I$26,1,$B$5))))</f>
        <v>1</v>
      </c>
      <c r="X181" s="132">
        <f>MIN(T181, T181+(INDEX('Pace of change parameters'!$E$27:$I$27,1,$B$5)-T181)*(1-W181))</f>
        <v>2.380510369583666E-2</v>
      </c>
      <c r="Y181" s="132">
        <v>1.6456161031469962E-2</v>
      </c>
      <c r="Z181" s="108">
        <f t="shared" si="32"/>
        <v>349848</v>
      </c>
      <c r="AA181" s="97">
        <f>MIN(VLOOKUP(A181,'2017-18 disagg'!$A$12:$BC$220,54,FALSE),-2.5%)</f>
        <v>-2.5000000000000001E-2</v>
      </c>
      <c r="AB181" s="99">
        <f t="shared" si="24"/>
        <v>346215.03843225521</v>
      </c>
      <c r="AC181" s="99">
        <f>MAX(IF(INDEX('Pace of change parameters'!$E$29:$I$29,1,$B$5)=1,MAX(AB181,Z181),Z181),L181)</f>
        <v>349848</v>
      </c>
      <c r="AD181" s="97">
        <f t="shared" si="25"/>
        <v>2.417817903972308E-2</v>
      </c>
      <c r="AE181" s="146">
        <v>1.6826558415164783E-2</v>
      </c>
      <c r="AF181" s="56">
        <f t="shared" si="33"/>
        <v>349848</v>
      </c>
      <c r="AG181" s="56">
        <v>1779.674361245354</v>
      </c>
      <c r="AH181" s="16">
        <f t="shared" si="26"/>
        <v>2.417817903972308E-2</v>
      </c>
      <c r="AI181" s="16">
        <f t="shared" si="27"/>
        <v>1.6826558415164783E-2</v>
      </c>
      <c r="AJ181" s="56"/>
      <c r="AK181" s="56">
        <v>355092.34711000533</v>
      </c>
      <c r="AL181" s="56">
        <v>1806.3523187959122</v>
      </c>
      <c r="AM181" s="16">
        <f t="shared" si="35"/>
        <v>-1.4768966869287858E-2</v>
      </c>
      <c r="AN181" s="58">
        <f t="shared" si="35"/>
        <v>-1.4768966869287858E-2</v>
      </c>
      <c r="AP181" s="56">
        <f t="shared" si="28"/>
        <v>1</v>
      </c>
      <c r="AQ181" s="56">
        <f t="shared" si="29"/>
        <v>0</v>
      </c>
    </row>
    <row r="182" spans="1:43" x14ac:dyDescent="0.2">
      <c r="A182" s="156" t="s">
        <v>409</v>
      </c>
      <c r="B182" s="156" t="s">
        <v>410</v>
      </c>
      <c r="D182" s="68">
        <f>VLOOKUP(A182,'2017-18 disagg'!A182:AZ390,43,FALSE)</f>
        <v>308498</v>
      </c>
      <c r="E182" s="73">
        <v>1503.4539780930581</v>
      </c>
      <c r="F182" s="55"/>
      <c r="G182" s="88">
        <v>315590.73943992279</v>
      </c>
      <c r="H182" s="81">
        <v>1529.5267354116904</v>
      </c>
      <c r="I182" s="90"/>
      <c r="J182" s="103">
        <f t="shared" si="30"/>
        <v>-2.2474485317630855E-2</v>
      </c>
      <c r="K182" s="126">
        <f t="shared" si="30"/>
        <v>-1.704629066952168E-2</v>
      </c>
      <c r="L182" s="56">
        <v>315645</v>
      </c>
      <c r="M182" s="103">
        <v>1.7639536318692528E-2</v>
      </c>
      <c r="N182" s="97">
        <f>INDEX('Pace of change parameters'!$E$22:$I$22,1,$B$5)</f>
        <v>1.2019795091496865E-2</v>
      </c>
      <c r="O182" s="108">
        <f>MAX(IF(INDEX('Pace of change parameters'!$E$30:$I$30,1,$B$5)=1,(1+M182)*D182,D182),L182)</f>
        <v>315645</v>
      </c>
      <c r="P182" s="94">
        <f>IF(K182&lt;INDEX('Pace of change parameters'!$E$18:$I$18,1,$B$5),1,IF(K182&gt;INDEX('Pace of change parameters'!$E$19:$I$19,1,$B$5),0,(K182-INDEX('Pace of change parameters'!$E$19:$I$19,1,$B$5))/(INDEX('Pace of change parameters'!$E$18:$I$18,1,$B$5)-INDEX('Pace of change parameters'!$E$19:$I$19,1,$B$5))))</f>
        <v>0.56703367724056231</v>
      </c>
      <c r="Q182" s="57">
        <v>2.504062086972092E-2</v>
      </c>
      <c r="R182" s="57">
        <v>1.9380008412101413E-2</v>
      </c>
      <c r="S182" s="9">
        <f>MAX(IF(INDEX('Pace of change parameters'!$E$31:$I$31,1,$B$5)=1,D182*(1+Q182),D182),L182)</f>
        <v>316222.98145706719</v>
      </c>
      <c r="T182" s="103">
        <f>IF(Q182&lt;INDEX('Pace of change parameters'!$E$24:$I$24,1,$B$5),INDEX('Pace of change parameters'!$E$24:$I$24,1,$B$5),Q182)</f>
        <v>2.504062086972092E-2</v>
      </c>
      <c r="U182" s="132">
        <v>1.9380008412101413E-2</v>
      </c>
      <c r="V182" s="117">
        <f t="shared" si="31"/>
        <v>316222.98145706719</v>
      </c>
      <c r="W182" s="131">
        <f>IF(J182&gt;INDEX('Pace of change parameters'!$E$26:$I$26,1,$B$5),0,IF(J182&lt;INDEX('Pace of change parameters'!$E$25:$I$25,1,$B$5),1,(J182-INDEX('Pace of change parameters'!$E$26:$I$26,1,$B$5))/(INDEX('Pace of change parameters'!$E$25:$I$25,1,$B$5)-INDEX('Pace of change parameters'!$E$26:$I$26,1,$B$5))))</f>
        <v>1</v>
      </c>
      <c r="X182" s="132">
        <f>MIN(T182, T182+(INDEX('Pace of change parameters'!$E$27:$I$27,1,$B$5)-T182)*(1-W182))</f>
        <v>2.504062086972092E-2</v>
      </c>
      <c r="Y182" s="132">
        <v>1.9380008412101413E-2</v>
      </c>
      <c r="Z182" s="108">
        <f t="shared" si="32"/>
        <v>316222.98145706719</v>
      </c>
      <c r="AA182" s="97">
        <f>MIN(VLOOKUP(A182,'2017-18 disagg'!$A$12:$BC$220,54,FALSE),-2.5%)</f>
        <v>-2.5000000000000001E-2</v>
      </c>
      <c r="AB182" s="99">
        <f t="shared" si="24"/>
        <v>315343.80537026544</v>
      </c>
      <c r="AC182" s="99">
        <f>MAX(IF(INDEX('Pace of change parameters'!$E$29:$I$29,1,$B$5)=1,MAX(AB182,Z182),Z182),L182)</f>
        <v>316222.98145706719</v>
      </c>
      <c r="AD182" s="97">
        <f t="shared" si="25"/>
        <v>2.504062086972092E-2</v>
      </c>
      <c r="AE182" s="146">
        <v>1.9380008412101413E-2</v>
      </c>
      <c r="AF182" s="56">
        <f t="shared" si="33"/>
        <v>316222.98145706719</v>
      </c>
      <c r="AG182" s="56">
        <v>1532.5909288357091</v>
      </c>
      <c r="AH182" s="16">
        <f t="shared" si="26"/>
        <v>2.504062086972092E-2</v>
      </c>
      <c r="AI182" s="16">
        <f t="shared" si="27"/>
        <v>1.9380008412101413E-2</v>
      </c>
      <c r="AJ182" s="56"/>
      <c r="AK182" s="56">
        <v>323429.54396950302</v>
      </c>
      <c r="AL182" s="56">
        <v>1567.5179043634071</v>
      </c>
      <c r="AM182" s="16">
        <f t="shared" si="35"/>
        <v>-2.2281707552094687E-2</v>
      </c>
      <c r="AN182" s="58">
        <f t="shared" si="35"/>
        <v>-2.2281707552094798E-2</v>
      </c>
      <c r="AP182" s="56">
        <f t="shared" si="28"/>
        <v>0</v>
      </c>
      <c r="AQ182" s="56">
        <f t="shared" si="29"/>
        <v>0</v>
      </c>
    </row>
    <row r="183" spans="1:43" x14ac:dyDescent="0.2">
      <c r="A183" s="156" t="s">
        <v>411</v>
      </c>
      <c r="B183" s="156" t="s">
        <v>412</v>
      </c>
      <c r="D183" s="68">
        <f>VLOOKUP(A183,'2017-18 disagg'!A183:AZ391,43,FALSE)</f>
        <v>324954</v>
      </c>
      <c r="E183" s="73">
        <v>1448.0994341530445</v>
      </c>
      <c r="F183" s="55"/>
      <c r="G183" s="88">
        <v>325833.36267082719</v>
      </c>
      <c r="H183" s="81">
        <v>1440.6395549233619</v>
      </c>
      <c r="I183" s="90"/>
      <c r="J183" s="103">
        <f t="shared" si="30"/>
        <v>-2.6988110229693163E-3</v>
      </c>
      <c r="K183" s="126">
        <f t="shared" si="30"/>
        <v>5.1781718780306019E-3</v>
      </c>
      <c r="L183" s="56">
        <v>333096</v>
      </c>
      <c r="M183" s="103">
        <v>2.0013029943233063E-2</v>
      </c>
      <c r="N183" s="97">
        <f>INDEX('Pace of change parameters'!$E$22:$I$22,1,$B$5)</f>
        <v>1.2019795091496865E-2</v>
      </c>
      <c r="O183" s="108">
        <f>MAX(IF(INDEX('Pace of change parameters'!$E$30:$I$30,1,$B$5)=1,(1+M183)*D183,D183),L183)</f>
        <v>333096</v>
      </c>
      <c r="P183" s="94">
        <f>IF(K183&lt;INDEX('Pace of change parameters'!$E$18:$I$18,1,$B$5),1,IF(K183&gt;INDEX('Pace of change parameters'!$E$19:$I$19,1,$B$5),0,(K183-INDEX('Pace of change parameters'!$E$19:$I$19,1,$B$5))/(INDEX('Pace of change parameters'!$E$18:$I$18,1,$B$5)-INDEX('Pace of change parameters'!$E$19:$I$19,1,$B$5))))</f>
        <v>8.4795329214677112E-2</v>
      </c>
      <c r="Q183" s="57">
        <v>2.112238403932154E-2</v>
      </c>
      <c r="R183" s="57">
        <v>1.3120455839987333E-2</v>
      </c>
      <c r="S183" s="9">
        <f>MAX(IF(INDEX('Pace of change parameters'!$E$31:$I$31,1,$B$5)=1,D183*(1+Q183),D183),L183)</f>
        <v>333096</v>
      </c>
      <c r="T183" s="103">
        <f>IF(Q183&lt;INDEX('Pace of change parameters'!$E$24:$I$24,1,$B$5),INDEX('Pace of change parameters'!$E$24:$I$24,1,$B$5),Q183)</f>
        <v>2.112238403932154E-2</v>
      </c>
      <c r="U183" s="132">
        <v>1.3120455839987333E-2</v>
      </c>
      <c r="V183" s="117">
        <f t="shared" si="31"/>
        <v>333096</v>
      </c>
      <c r="W183" s="131">
        <f>IF(J183&gt;INDEX('Pace of change parameters'!$E$26:$I$26,1,$B$5),0,IF(J183&lt;INDEX('Pace of change parameters'!$E$25:$I$25,1,$B$5),1,(J183-INDEX('Pace of change parameters'!$E$26:$I$26,1,$B$5))/(INDEX('Pace of change parameters'!$E$25:$I$25,1,$B$5)-INDEX('Pace of change parameters'!$E$26:$I$26,1,$B$5))))</f>
        <v>1</v>
      </c>
      <c r="X183" s="132">
        <f>MIN(T183, T183+(INDEX('Pace of change parameters'!$E$27:$I$27,1,$B$5)-T183)*(1-W183))</f>
        <v>2.112238403932154E-2</v>
      </c>
      <c r="Y183" s="132">
        <v>1.3120455839987333E-2</v>
      </c>
      <c r="Z183" s="108">
        <f t="shared" si="32"/>
        <v>333096</v>
      </c>
      <c r="AA183" s="97">
        <f>MIN(VLOOKUP(A183,'2017-18 disagg'!$A$12:$BC$220,54,FALSE),-2.5%)</f>
        <v>-2.5000000000000001E-2</v>
      </c>
      <c r="AB183" s="99">
        <f t="shared" si="24"/>
        <v>325674.98119827418</v>
      </c>
      <c r="AC183" s="99">
        <f>MAX(IF(INDEX('Pace of change parameters'!$E$29:$I$29,1,$B$5)=1,MAX(AB183,Z183),Z183),L183)</f>
        <v>333096</v>
      </c>
      <c r="AD183" s="97">
        <f t="shared" si="25"/>
        <v>2.5055854059343741E-2</v>
      </c>
      <c r="AE183" s="146">
        <v>1.7023101597250845E-2</v>
      </c>
      <c r="AF183" s="56">
        <f t="shared" si="33"/>
        <v>333096</v>
      </c>
      <c r="AG183" s="56">
        <v>1472.7505779435533</v>
      </c>
      <c r="AH183" s="16">
        <f t="shared" si="26"/>
        <v>2.5055854059343741E-2</v>
      </c>
      <c r="AI183" s="16">
        <f t="shared" si="27"/>
        <v>1.7023101597250845E-2</v>
      </c>
      <c r="AJ183" s="56"/>
      <c r="AK183" s="56">
        <v>334025.62174181966</v>
      </c>
      <c r="AL183" s="56">
        <v>1476.8608072994562</v>
      </c>
      <c r="AM183" s="16">
        <f t="shared" si="35"/>
        <v>-2.7830851327272921E-3</v>
      </c>
      <c r="AN183" s="58">
        <f t="shared" si="35"/>
        <v>-2.7830851327274031E-3</v>
      </c>
      <c r="AP183" s="56">
        <f t="shared" si="28"/>
        <v>1</v>
      </c>
      <c r="AQ183" s="56">
        <f t="shared" si="29"/>
        <v>0</v>
      </c>
    </row>
    <row r="184" spans="1:43" x14ac:dyDescent="0.2">
      <c r="A184" s="156" t="s">
        <v>413</v>
      </c>
      <c r="B184" s="156" t="s">
        <v>414</v>
      </c>
      <c r="D184" s="68">
        <f>VLOOKUP(A184,'2017-18 disagg'!A184:AZ392,43,FALSE)</f>
        <v>345485</v>
      </c>
      <c r="E184" s="73">
        <v>1833.5448533291926</v>
      </c>
      <c r="F184" s="55"/>
      <c r="G184" s="88">
        <v>334116.07765903679</v>
      </c>
      <c r="H184" s="81">
        <v>1761.4982774969396</v>
      </c>
      <c r="I184" s="90"/>
      <c r="J184" s="103">
        <f t="shared" si="30"/>
        <v>3.402686401869337E-2</v>
      </c>
      <c r="K184" s="126">
        <f t="shared" si="30"/>
        <v>4.0900735897755114E-2</v>
      </c>
      <c r="L184" s="56">
        <v>352807</v>
      </c>
      <c r="M184" s="103">
        <v>1.8747371185117379E-2</v>
      </c>
      <c r="N184" s="97">
        <f>INDEX('Pace of change parameters'!$E$22:$I$22,1,$B$5)</f>
        <v>1.2019795091496865E-2</v>
      </c>
      <c r="O184" s="108">
        <f>MAX(IF(INDEX('Pace of change parameters'!$E$30:$I$30,1,$B$5)=1,(1+M184)*D184,D184),L184)</f>
        <v>352807</v>
      </c>
      <c r="P184" s="94">
        <f>IF(K184&lt;INDEX('Pace of change parameters'!$E$18:$I$18,1,$B$5),1,IF(K184&gt;INDEX('Pace of change parameters'!$E$19:$I$19,1,$B$5),0,(K184-INDEX('Pace of change parameters'!$E$19:$I$19,1,$B$5))/(INDEX('Pace of change parameters'!$E$18:$I$18,1,$B$5)-INDEX('Pace of change parameters'!$E$19:$I$19,1,$B$5))))</f>
        <v>0</v>
      </c>
      <c r="Q184" s="57">
        <v>1.8747371185117379E-2</v>
      </c>
      <c r="R184" s="57">
        <v>1.2019795091496865E-2</v>
      </c>
      <c r="S184" s="9">
        <f>MAX(IF(INDEX('Pace of change parameters'!$E$31:$I$31,1,$B$5)=1,D184*(1+Q184),D184),L184)</f>
        <v>352807</v>
      </c>
      <c r="T184" s="103">
        <f>IF(Q184&lt;INDEX('Pace of change parameters'!$E$24:$I$24,1,$B$5),INDEX('Pace of change parameters'!$E$24:$I$24,1,$B$5),Q184)</f>
        <v>1.9732353921844841E-2</v>
      </c>
      <c r="U184" s="132">
        <v>1.2998273226102475E-2</v>
      </c>
      <c r="V184" s="117">
        <f t="shared" si="31"/>
        <v>352807</v>
      </c>
      <c r="W184" s="131">
        <f>IF(J184&gt;INDEX('Pace of change parameters'!$E$26:$I$26,1,$B$5),0,IF(J184&lt;INDEX('Pace of change parameters'!$E$25:$I$25,1,$B$5),1,(J184-INDEX('Pace of change parameters'!$E$26:$I$26,1,$B$5))/(INDEX('Pace of change parameters'!$E$25:$I$25,1,$B$5)-INDEX('Pace of change parameters'!$E$26:$I$26,1,$B$5))))</f>
        <v>1</v>
      </c>
      <c r="X184" s="132">
        <f>MIN(T184, T184+(INDEX('Pace of change parameters'!$E$27:$I$27,1,$B$5)-T184)*(1-W184))</f>
        <v>1.9732353921844841E-2</v>
      </c>
      <c r="Y184" s="132">
        <v>1.2998273226102475E-2</v>
      </c>
      <c r="Z184" s="108">
        <f t="shared" si="32"/>
        <v>352807</v>
      </c>
      <c r="AA184" s="97">
        <f>MIN(VLOOKUP(A184,'2017-18 disagg'!$A$12:$BC$220,54,FALSE),-2.5%)</f>
        <v>-2.5000000000000001E-2</v>
      </c>
      <c r="AB184" s="99">
        <f t="shared" si="24"/>
        <v>333940.91064761725</v>
      </c>
      <c r="AC184" s="99">
        <f>MAX(IF(INDEX('Pace of change parameters'!$E$29:$I$29,1,$B$5)=1,MAX(AB184,Z184),Z184),L184)</f>
        <v>352807</v>
      </c>
      <c r="AD184" s="97">
        <f t="shared" si="25"/>
        <v>2.1193394792827558E-2</v>
      </c>
      <c r="AE184" s="146">
        <v>1.444966571524553E-2</v>
      </c>
      <c r="AF184" s="56">
        <f t="shared" si="33"/>
        <v>352807</v>
      </c>
      <c r="AG184" s="56">
        <v>1860.0389635337083</v>
      </c>
      <c r="AH184" s="16">
        <f t="shared" si="26"/>
        <v>2.1193394792827558E-2</v>
      </c>
      <c r="AI184" s="16">
        <f t="shared" si="27"/>
        <v>1.444966571524553E-2</v>
      </c>
      <c r="AJ184" s="56"/>
      <c r="AK184" s="56">
        <v>342503.49810012028</v>
      </c>
      <c r="AL184" s="56">
        <v>1805.7177199228393</v>
      </c>
      <c r="AM184" s="16">
        <f t="shared" si="35"/>
        <v>3.0082909976200556E-2</v>
      </c>
      <c r="AN184" s="58">
        <f t="shared" si="35"/>
        <v>3.0082909976200556E-2</v>
      </c>
      <c r="AP184" s="56">
        <f t="shared" si="28"/>
        <v>1</v>
      </c>
      <c r="AQ184" s="56">
        <f t="shared" si="29"/>
        <v>0</v>
      </c>
    </row>
    <row r="185" spans="1:43" x14ac:dyDescent="0.2">
      <c r="A185" s="156" t="s">
        <v>415</v>
      </c>
      <c r="B185" s="156" t="s">
        <v>416</v>
      </c>
      <c r="D185" s="68">
        <f>VLOOKUP(A185,'2017-18 disagg'!A185:AZ393,43,FALSE)</f>
        <v>264710</v>
      </c>
      <c r="E185" s="73">
        <v>1546.3970618829799</v>
      </c>
      <c r="F185" s="55"/>
      <c r="G185" s="88">
        <v>267908.62824969884</v>
      </c>
      <c r="H185" s="81">
        <v>1554.0157769075452</v>
      </c>
      <c r="I185" s="90"/>
      <c r="J185" s="103">
        <f t="shared" si="30"/>
        <v>-1.1939250596728179E-2</v>
      </c>
      <c r="K185" s="126">
        <f t="shared" si="30"/>
        <v>-4.9025982475714436E-3</v>
      </c>
      <c r="L185" s="56">
        <v>270937</v>
      </c>
      <c r="M185" s="103">
        <v>1.9227076094030959E-2</v>
      </c>
      <c r="N185" s="97">
        <f>INDEX('Pace of change parameters'!$E$22:$I$22,1,$B$5)</f>
        <v>1.2019795091496865E-2</v>
      </c>
      <c r="O185" s="108">
        <f>MAX(IF(INDEX('Pace of change parameters'!$E$30:$I$30,1,$B$5)=1,(1+M185)*D185,D185),L185)</f>
        <v>270937</v>
      </c>
      <c r="P185" s="94">
        <f>IF(K185&lt;INDEX('Pace of change parameters'!$E$18:$I$18,1,$B$5),1,IF(K185&gt;INDEX('Pace of change parameters'!$E$19:$I$19,1,$B$5),0,(K185-INDEX('Pace of change parameters'!$E$19:$I$19,1,$B$5))/(INDEX('Pace of change parameters'!$E$18:$I$18,1,$B$5)-INDEX('Pace of change parameters'!$E$19:$I$19,1,$B$5))))</f>
        <v>0.30353330417346569</v>
      </c>
      <c r="Q185" s="57">
        <v>2.3195059459649059E-2</v>
      </c>
      <c r="R185" s="57">
        <v>1.5959719576223552E-2</v>
      </c>
      <c r="S185" s="9">
        <f>MAX(IF(INDEX('Pace of change parameters'!$E$31:$I$31,1,$B$5)=1,D185*(1+Q185),D185),L185)</f>
        <v>270937</v>
      </c>
      <c r="T185" s="103">
        <f>IF(Q185&lt;INDEX('Pace of change parameters'!$E$24:$I$24,1,$B$5),INDEX('Pace of change parameters'!$E$24:$I$24,1,$B$5),Q185)</f>
        <v>2.3195059459649059E-2</v>
      </c>
      <c r="U185" s="132">
        <v>1.5959719576223552E-2</v>
      </c>
      <c r="V185" s="117">
        <f t="shared" si="31"/>
        <v>270937</v>
      </c>
      <c r="W185" s="131">
        <f>IF(J185&gt;INDEX('Pace of change parameters'!$E$26:$I$26,1,$B$5),0,IF(J185&lt;INDEX('Pace of change parameters'!$E$25:$I$25,1,$B$5),1,(J185-INDEX('Pace of change parameters'!$E$26:$I$26,1,$B$5))/(INDEX('Pace of change parameters'!$E$25:$I$25,1,$B$5)-INDEX('Pace of change parameters'!$E$26:$I$26,1,$B$5))))</f>
        <v>1</v>
      </c>
      <c r="X185" s="132">
        <f>MIN(T185, T185+(INDEX('Pace of change parameters'!$E$27:$I$27,1,$B$5)-T185)*(1-W185))</f>
        <v>2.3195059459649059E-2</v>
      </c>
      <c r="Y185" s="132">
        <v>1.5959719576223552E-2</v>
      </c>
      <c r="Z185" s="108">
        <f t="shared" si="32"/>
        <v>270937</v>
      </c>
      <c r="AA185" s="97">
        <f>MIN(VLOOKUP(A185,'2017-18 disagg'!$A$12:$BC$220,54,FALSE),-2.5%)</f>
        <v>-2.5000000000000001E-2</v>
      </c>
      <c r="AB185" s="99">
        <f t="shared" si="24"/>
        <v>267830.35623526608</v>
      </c>
      <c r="AC185" s="99">
        <f>MAX(IF(INDEX('Pace of change parameters'!$E$29:$I$29,1,$B$5)=1,MAX(AB185,Z185),Z185),L185)</f>
        <v>270937</v>
      </c>
      <c r="AD185" s="97">
        <f t="shared" si="25"/>
        <v>2.3523856295568635E-2</v>
      </c>
      <c r="AE185" s="146">
        <v>1.6286191384438542E-2</v>
      </c>
      <c r="AF185" s="56">
        <f t="shared" si="33"/>
        <v>270937</v>
      </c>
      <c r="AG185" s="56">
        <v>1571.5819803891397</v>
      </c>
      <c r="AH185" s="16">
        <f t="shared" si="26"/>
        <v>2.3523856295568635E-2</v>
      </c>
      <c r="AI185" s="16">
        <f t="shared" si="27"/>
        <v>1.6286191384438764E-2</v>
      </c>
      <c r="AJ185" s="56"/>
      <c r="AK185" s="56">
        <v>274697.80126693955</v>
      </c>
      <c r="AL185" s="56">
        <v>1593.3966734836483</v>
      </c>
      <c r="AM185" s="16">
        <f t="shared" si="35"/>
        <v>-1.3690685726621354E-2</v>
      </c>
      <c r="AN185" s="58">
        <f t="shared" si="35"/>
        <v>-1.3690685726621354E-2</v>
      </c>
      <c r="AP185" s="56">
        <f t="shared" si="28"/>
        <v>1</v>
      </c>
      <c r="AQ185" s="56">
        <f t="shared" si="29"/>
        <v>0</v>
      </c>
    </row>
    <row r="186" spans="1:43" x14ac:dyDescent="0.2">
      <c r="A186" s="156" t="s">
        <v>417</v>
      </c>
      <c r="B186" s="156" t="s">
        <v>418</v>
      </c>
      <c r="D186" s="68">
        <f>VLOOKUP(A186,'2017-18 disagg'!A186:AZ394,43,FALSE)</f>
        <v>350640</v>
      </c>
      <c r="E186" s="73">
        <v>1477.9550281132197</v>
      </c>
      <c r="F186" s="55"/>
      <c r="G186" s="88">
        <v>357382.62721391802</v>
      </c>
      <c r="H186" s="81">
        <v>1496.3191990908858</v>
      </c>
      <c r="I186" s="90"/>
      <c r="J186" s="103">
        <f t="shared" si="30"/>
        <v>-1.8866689929732061E-2</v>
      </c>
      <c r="K186" s="126">
        <f t="shared" si="30"/>
        <v>-1.2272896711359227E-2</v>
      </c>
      <c r="L186" s="56">
        <v>359031</v>
      </c>
      <c r="M186" s="103">
        <v>1.8821163665208251E-2</v>
      </c>
      <c r="N186" s="97">
        <f>INDEX('Pace of change parameters'!$E$22:$I$22,1,$B$5)</f>
        <v>1.2019795091496865E-2</v>
      </c>
      <c r="O186" s="108">
        <f>MAX(IF(INDEX('Pace of change parameters'!$E$30:$I$30,1,$B$5)=1,(1+M186)*D186,D186),L186)</f>
        <v>359031</v>
      </c>
      <c r="P186" s="94">
        <f>IF(K186&lt;INDEX('Pace of change parameters'!$E$18:$I$18,1,$B$5),1,IF(K186&gt;INDEX('Pace of change parameters'!$E$19:$I$19,1,$B$5),0,(K186-INDEX('Pace of change parameters'!$E$19:$I$19,1,$B$5))/(INDEX('Pace of change parameters'!$E$18:$I$18,1,$B$5)-INDEX('Pace of change parameters'!$E$19:$I$19,1,$B$5))))</f>
        <v>0.4634580064257679</v>
      </c>
      <c r="Q186" s="57">
        <v>2.4877373136111158E-2</v>
      </c>
      <c r="R186" s="57">
        <v>1.8035574981389635E-2</v>
      </c>
      <c r="S186" s="9">
        <f>MAX(IF(INDEX('Pace of change parameters'!$E$31:$I$31,1,$B$5)=1,D186*(1+Q186),D186),L186)</f>
        <v>359363.00211644603</v>
      </c>
      <c r="T186" s="103">
        <f>IF(Q186&lt;INDEX('Pace of change parameters'!$E$24:$I$24,1,$B$5),INDEX('Pace of change parameters'!$E$24:$I$24,1,$B$5),Q186)</f>
        <v>2.4877373136111158E-2</v>
      </c>
      <c r="U186" s="132">
        <v>1.8035574981389635E-2</v>
      </c>
      <c r="V186" s="117">
        <f t="shared" si="31"/>
        <v>359363.00211644603</v>
      </c>
      <c r="W186" s="131">
        <f>IF(J186&gt;INDEX('Pace of change parameters'!$E$26:$I$26,1,$B$5),0,IF(J186&lt;INDEX('Pace of change parameters'!$E$25:$I$25,1,$B$5),1,(J186-INDEX('Pace of change parameters'!$E$26:$I$26,1,$B$5))/(INDEX('Pace of change parameters'!$E$25:$I$25,1,$B$5)-INDEX('Pace of change parameters'!$E$26:$I$26,1,$B$5))))</f>
        <v>1</v>
      </c>
      <c r="X186" s="132">
        <f>MIN(T186, T186+(INDEX('Pace of change parameters'!$E$27:$I$27,1,$B$5)-T186)*(1-W186))</f>
        <v>2.4877373136111158E-2</v>
      </c>
      <c r="Y186" s="132">
        <v>1.8035574981389635E-2</v>
      </c>
      <c r="Z186" s="108">
        <f t="shared" si="32"/>
        <v>359363.00211644603</v>
      </c>
      <c r="AA186" s="97">
        <f>MIN(VLOOKUP(A186,'2017-18 disagg'!$A$12:$BC$220,54,FALSE),-2.5%)</f>
        <v>-2.5000000000000001E-2</v>
      </c>
      <c r="AB186" s="99">
        <f t="shared" si="24"/>
        <v>357362.28932769439</v>
      </c>
      <c r="AC186" s="99">
        <f>MAX(IF(INDEX('Pace of change parameters'!$E$29:$I$29,1,$B$5)=1,MAX(AB186,Z186),Z186),L186)</f>
        <v>359363.00211644603</v>
      </c>
      <c r="AD186" s="97">
        <f t="shared" si="25"/>
        <v>2.4877373136111158E-2</v>
      </c>
      <c r="AE186" s="146">
        <v>1.8035574981389635E-2</v>
      </c>
      <c r="AF186" s="56">
        <f t="shared" si="33"/>
        <v>359363.00211644603</v>
      </c>
      <c r="AG186" s="56">
        <v>1504.6107968418773</v>
      </c>
      <c r="AH186" s="16">
        <f t="shared" si="26"/>
        <v>2.4877373136111158E-2</v>
      </c>
      <c r="AI186" s="16">
        <f t="shared" si="27"/>
        <v>1.8035574981389635E-2</v>
      </c>
      <c r="AJ186" s="56"/>
      <c r="AK186" s="56">
        <v>366525.42495148146</v>
      </c>
      <c r="AL186" s="56">
        <v>1534.5990223010165</v>
      </c>
      <c r="AM186" s="16">
        <f t="shared" si="35"/>
        <v>-1.9541407900921293E-2</v>
      </c>
      <c r="AN186" s="58">
        <f t="shared" si="35"/>
        <v>-1.9541407900921293E-2</v>
      </c>
      <c r="AP186" s="56">
        <f t="shared" si="28"/>
        <v>0</v>
      </c>
      <c r="AQ186" s="56">
        <f t="shared" si="29"/>
        <v>0</v>
      </c>
    </row>
    <row r="187" spans="1:43" x14ac:dyDescent="0.2">
      <c r="A187" s="156" t="s">
        <v>419</v>
      </c>
      <c r="B187" s="156" t="s">
        <v>420</v>
      </c>
      <c r="D187" s="68">
        <f>VLOOKUP(A187,'2017-18 disagg'!A187:AZ395,43,FALSE)</f>
        <v>263257</v>
      </c>
      <c r="E187" s="73">
        <v>1831.9616664544571</v>
      </c>
      <c r="F187" s="55"/>
      <c r="G187" s="88">
        <v>241014.71968987101</v>
      </c>
      <c r="H187" s="81">
        <v>1670.1179973271194</v>
      </c>
      <c r="I187" s="90"/>
      <c r="J187" s="103">
        <f t="shared" si="30"/>
        <v>9.2285982942243328E-2</v>
      </c>
      <c r="K187" s="126">
        <f t="shared" si="30"/>
        <v>9.6905529660990863E-2</v>
      </c>
      <c r="L187" s="56">
        <v>265273</v>
      </c>
      <c r="M187" s="103">
        <v>1.6299876312652284E-2</v>
      </c>
      <c r="N187" s="97">
        <f>INDEX('Pace of change parameters'!$E$22:$I$22,1,$B$5)</f>
        <v>1.2019795091496865E-2</v>
      </c>
      <c r="O187" s="108">
        <f>MAX(IF(INDEX('Pace of change parameters'!$E$30:$I$30,1,$B$5)=1,(1+M187)*D187,D187),L187)</f>
        <v>267548.05653843988</v>
      </c>
      <c r="P187" s="94">
        <f>IF(K187&lt;INDEX('Pace of change parameters'!$E$18:$I$18,1,$B$5),1,IF(K187&gt;INDEX('Pace of change parameters'!$E$19:$I$19,1,$B$5),0,(K187-INDEX('Pace of change parameters'!$E$19:$I$19,1,$B$5))/(INDEX('Pace of change parameters'!$E$18:$I$18,1,$B$5)-INDEX('Pace of change parameters'!$E$19:$I$19,1,$B$5))))</f>
        <v>0</v>
      </c>
      <c r="Q187" s="57">
        <v>1.6299876312652284E-2</v>
      </c>
      <c r="R187" s="57">
        <v>1.2019795091496865E-2</v>
      </c>
      <c r="S187" s="9">
        <f>MAX(IF(INDEX('Pace of change parameters'!$E$31:$I$31,1,$B$5)=1,D187*(1+Q187),D187),L187)</f>
        <v>267548.05653843988</v>
      </c>
      <c r="T187" s="103">
        <f>IF(Q187&lt;INDEX('Pace of change parameters'!$E$24:$I$24,1,$B$5),INDEX('Pace of change parameters'!$E$24:$I$24,1,$B$5),Q187)</f>
        <v>1.9732353921844841E-2</v>
      </c>
      <c r="U187" s="132">
        <v>1.5437817043161939E-2</v>
      </c>
      <c r="V187" s="117">
        <f t="shared" si="31"/>
        <v>268451.68029640312</v>
      </c>
      <c r="W187" s="131">
        <f>IF(J187&gt;INDEX('Pace of change parameters'!$E$26:$I$26,1,$B$5),0,IF(J187&lt;INDEX('Pace of change parameters'!$E$25:$I$25,1,$B$5),1,(J187-INDEX('Pace of change parameters'!$E$26:$I$26,1,$B$5))/(INDEX('Pace of change parameters'!$E$25:$I$25,1,$B$5)-INDEX('Pace of change parameters'!$E$26:$I$26,1,$B$5))))</f>
        <v>0.15428034115513356</v>
      </c>
      <c r="X187" s="132">
        <f>MIN(T187, T187+(INDEX('Pace of change parameters'!$E$27:$I$27,1,$B$5)-T187)*(1-W187))</f>
        <v>3.4099645061389169E-3</v>
      </c>
      <c r="Y187" s="132">
        <v>-8.1583168482868285E-4</v>
      </c>
      <c r="Z187" s="108">
        <f t="shared" si="32"/>
        <v>265273</v>
      </c>
      <c r="AA187" s="97">
        <f>MIN(VLOOKUP(A187,'2017-18 disagg'!$A$12:$BC$220,54,FALSE),-2.5%)</f>
        <v>-2.5000000000000001E-2</v>
      </c>
      <c r="AB187" s="99">
        <f t="shared" si="24"/>
        <v>240863.77432732156</v>
      </c>
      <c r="AC187" s="99">
        <f>MAX(IF(INDEX('Pace of change parameters'!$E$29:$I$29,1,$B$5)=1,MAX(AB187,Z187),Z187),L187)</f>
        <v>265273</v>
      </c>
      <c r="AD187" s="97">
        <f t="shared" si="25"/>
        <v>7.657916028823486E-3</v>
      </c>
      <c r="AE187" s="146">
        <v>3.4142298646655522E-3</v>
      </c>
      <c r="AF187" s="56">
        <f t="shared" si="33"/>
        <v>265273</v>
      </c>
      <c r="AG187" s="56">
        <v>1838.2164046869882</v>
      </c>
      <c r="AH187" s="16">
        <f t="shared" si="26"/>
        <v>7.657916028823486E-3</v>
      </c>
      <c r="AI187" s="16">
        <f t="shared" si="27"/>
        <v>3.4142298646653302E-3</v>
      </c>
      <c r="AJ187" s="56"/>
      <c r="AK187" s="56">
        <v>247039.76854084263</v>
      </c>
      <c r="AL187" s="56">
        <v>1711.8687357622277</v>
      </c>
      <c r="AM187" s="16">
        <f t="shared" si="35"/>
        <v>7.3806867480702421E-2</v>
      </c>
      <c r="AN187" s="58">
        <f t="shared" si="35"/>
        <v>7.3806867480702421E-2</v>
      </c>
      <c r="AP187" s="56">
        <f t="shared" si="28"/>
        <v>1</v>
      </c>
      <c r="AQ187" s="56">
        <f t="shared" si="29"/>
        <v>0</v>
      </c>
    </row>
    <row r="188" spans="1:43" x14ac:dyDescent="0.2">
      <c r="A188" s="156" t="s">
        <v>421</v>
      </c>
      <c r="B188" s="156" t="s">
        <v>422</v>
      </c>
      <c r="D188" s="68">
        <f>VLOOKUP(A188,'2017-18 disagg'!A188:AZ396,43,FALSE)</f>
        <v>470428</v>
      </c>
      <c r="E188" s="73">
        <v>1570.6784461304421</v>
      </c>
      <c r="F188" s="55"/>
      <c r="G188" s="88">
        <v>484411.90948431182</v>
      </c>
      <c r="H188" s="81">
        <v>1602.7721613881706</v>
      </c>
      <c r="I188" s="90"/>
      <c r="J188" s="103">
        <f t="shared" si="30"/>
        <v>-2.8867806943885022E-2</v>
      </c>
      <c r="K188" s="126">
        <f t="shared" si="30"/>
        <v>-2.0023878646564408E-2</v>
      </c>
      <c r="L188" s="56">
        <v>482294</v>
      </c>
      <c r="M188" s="103">
        <v>2.1236079514209916E-2</v>
      </c>
      <c r="N188" s="97">
        <f>INDEX('Pace of change parameters'!$E$22:$I$22,1,$B$5)</f>
        <v>1.2019795091496865E-2</v>
      </c>
      <c r="O188" s="108">
        <f>MAX(IF(INDEX('Pace of change parameters'!$E$30:$I$30,1,$B$5)=1,(1+M188)*D188,D188),L188)</f>
        <v>482294</v>
      </c>
      <c r="P188" s="94">
        <f>IF(K188&lt;INDEX('Pace of change parameters'!$E$18:$I$18,1,$B$5),1,IF(K188&gt;INDEX('Pace of change parameters'!$E$19:$I$19,1,$B$5),0,(K188-INDEX('Pace of change parameters'!$E$19:$I$19,1,$B$5))/(INDEX('Pace of change parameters'!$E$18:$I$18,1,$B$5)-INDEX('Pace of change parameters'!$E$19:$I$19,1,$B$5))))</f>
        <v>0.63164298349840786</v>
      </c>
      <c r="Q188" s="57">
        <v>2.9509600387693569E-2</v>
      </c>
      <c r="R188" s="57">
        <v>2.0218650446324427E-2</v>
      </c>
      <c r="S188" s="9">
        <f>MAX(IF(INDEX('Pace of change parameters'!$E$31:$I$31,1,$B$5)=1,D188*(1+Q188),D188),L188)</f>
        <v>484310.1422911819</v>
      </c>
      <c r="T188" s="103">
        <f>IF(Q188&lt;INDEX('Pace of change parameters'!$E$24:$I$24,1,$B$5),INDEX('Pace of change parameters'!$E$24:$I$24,1,$B$5),Q188)</f>
        <v>2.9509600387693569E-2</v>
      </c>
      <c r="U188" s="132">
        <v>2.0218650446324427E-2</v>
      </c>
      <c r="V188" s="117">
        <f t="shared" si="31"/>
        <v>484310.1422911819</v>
      </c>
      <c r="W188" s="131">
        <f>IF(J188&gt;INDEX('Pace of change parameters'!$E$26:$I$26,1,$B$5),0,IF(J188&lt;INDEX('Pace of change parameters'!$E$25:$I$25,1,$B$5),1,(J188-INDEX('Pace of change parameters'!$E$26:$I$26,1,$B$5))/(INDEX('Pace of change parameters'!$E$25:$I$25,1,$B$5)-INDEX('Pace of change parameters'!$E$26:$I$26,1,$B$5))))</f>
        <v>1</v>
      </c>
      <c r="X188" s="132">
        <f>MIN(T188, T188+(INDEX('Pace of change parameters'!$E$27:$I$27,1,$B$5)-T188)*(1-W188))</f>
        <v>2.9509600387693569E-2</v>
      </c>
      <c r="Y188" s="132">
        <v>2.0218650446324427E-2</v>
      </c>
      <c r="Z188" s="108">
        <f t="shared" si="32"/>
        <v>484310.1422911819</v>
      </c>
      <c r="AA188" s="97">
        <f>MIN(VLOOKUP(A188,'2017-18 disagg'!$A$12:$BC$220,54,FALSE),-2.5%)</f>
        <v>-2.6938297029944103E-2</v>
      </c>
      <c r="AB188" s="99">
        <f t="shared" si="24"/>
        <v>483483.27127631329</v>
      </c>
      <c r="AC188" s="99">
        <f>MAX(IF(INDEX('Pace of change parameters'!$E$29:$I$29,1,$B$5)=1,MAX(AB188,Z188),Z188),L188)</f>
        <v>484310.1422911819</v>
      </c>
      <c r="AD188" s="97">
        <f t="shared" si="25"/>
        <v>2.9509600387693569E-2</v>
      </c>
      <c r="AE188" s="146">
        <v>2.0218650446324427E-2</v>
      </c>
      <c r="AF188" s="56">
        <f t="shared" si="33"/>
        <v>484310.1422911819</v>
      </c>
      <c r="AG188" s="56">
        <v>1602.4354445963295</v>
      </c>
      <c r="AH188" s="16">
        <f t="shared" si="26"/>
        <v>2.9509600387693569E-2</v>
      </c>
      <c r="AI188" s="16">
        <f t="shared" si="27"/>
        <v>2.0218650446324427E-2</v>
      </c>
      <c r="AJ188" s="56"/>
      <c r="AK188" s="56">
        <v>496868.05040275183</v>
      </c>
      <c r="AL188" s="56">
        <v>1643.9857556692382</v>
      </c>
      <c r="AM188" s="16">
        <f t="shared" si="35"/>
        <v>-2.5274130830893138E-2</v>
      </c>
      <c r="AN188" s="58">
        <f t="shared" si="35"/>
        <v>-2.5274130830892916E-2</v>
      </c>
      <c r="AP188" s="56">
        <f t="shared" si="28"/>
        <v>0</v>
      </c>
      <c r="AQ188" s="56">
        <f t="shared" si="29"/>
        <v>0</v>
      </c>
    </row>
    <row r="189" spans="1:43" x14ac:dyDescent="0.2">
      <c r="A189" s="156" t="s">
        <v>423</v>
      </c>
      <c r="B189" s="156" t="s">
        <v>424</v>
      </c>
      <c r="D189" s="68">
        <f>VLOOKUP(A189,'2017-18 disagg'!A189:AZ397,43,FALSE)</f>
        <v>171151</v>
      </c>
      <c r="E189" s="73">
        <v>1440.8978339295161</v>
      </c>
      <c r="F189" s="55"/>
      <c r="G189" s="88">
        <v>173252.76117039783</v>
      </c>
      <c r="H189" s="81">
        <v>1449.9398939893231</v>
      </c>
      <c r="I189" s="90"/>
      <c r="J189" s="103">
        <f t="shared" si="30"/>
        <v>-1.2131184266268136E-2</v>
      </c>
      <c r="K189" s="126">
        <f t="shared" si="30"/>
        <v>-6.2361619935353829E-3</v>
      </c>
      <c r="L189" s="56">
        <v>175152</v>
      </c>
      <c r="M189" s="103">
        <v>1.8058936258312119E-2</v>
      </c>
      <c r="N189" s="97">
        <f>INDEX('Pace of change parameters'!$E$22:$I$22,1,$B$5)</f>
        <v>1.2019795091496865E-2</v>
      </c>
      <c r="O189" s="108">
        <f>MAX(IF(INDEX('Pace of change parameters'!$E$30:$I$30,1,$B$5)=1,(1+M189)*D189,D189),L189)</f>
        <v>175152</v>
      </c>
      <c r="P189" s="94">
        <f>IF(K189&lt;INDEX('Pace of change parameters'!$E$18:$I$18,1,$B$5),1,IF(K189&gt;INDEX('Pace of change parameters'!$E$19:$I$19,1,$B$5),0,(K189-INDEX('Pace of change parameters'!$E$19:$I$19,1,$B$5))/(INDEX('Pace of change parameters'!$E$18:$I$18,1,$B$5)-INDEX('Pace of change parameters'!$E$19:$I$19,1,$B$5))))</f>
        <v>0.33246968796519383</v>
      </c>
      <c r="Q189" s="57">
        <v>2.240021345664589E-2</v>
      </c>
      <c r="R189" s="57">
        <v>1.6335319767151191E-2</v>
      </c>
      <c r="S189" s="9">
        <f>MAX(IF(INDEX('Pace of change parameters'!$E$31:$I$31,1,$B$5)=1,D189*(1+Q189),D189),L189)</f>
        <v>175152</v>
      </c>
      <c r="T189" s="103">
        <f>IF(Q189&lt;INDEX('Pace of change parameters'!$E$24:$I$24,1,$B$5),INDEX('Pace of change parameters'!$E$24:$I$24,1,$B$5),Q189)</f>
        <v>2.240021345664589E-2</v>
      </c>
      <c r="U189" s="132">
        <v>1.6335319767151191E-2</v>
      </c>
      <c r="V189" s="117">
        <f t="shared" si="31"/>
        <v>175152</v>
      </c>
      <c r="W189" s="131">
        <f>IF(J189&gt;INDEX('Pace of change parameters'!$E$26:$I$26,1,$B$5),0,IF(J189&lt;INDEX('Pace of change parameters'!$E$25:$I$25,1,$B$5),1,(J189-INDEX('Pace of change parameters'!$E$26:$I$26,1,$B$5))/(INDEX('Pace of change parameters'!$E$25:$I$25,1,$B$5)-INDEX('Pace of change parameters'!$E$26:$I$26,1,$B$5))))</f>
        <v>1</v>
      </c>
      <c r="X189" s="132">
        <f>MIN(T189, T189+(INDEX('Pace of change parameters'!$E$27:$I$27,1,$B$5)-T189)*(1-W189))</f>
        <v>2.240021345664589E-2</v>
      </c>
      <c r="Y189" s="132">
        <v>1.6335319767151191E-2</v>
      </c>
      <c r="Z189" s="108">
        <f t="shared" si="32"/>
        <v>175152</v>
      </c>
      <c r="AA189" s="97">
        <f>MIN(VLOOKUP(A189,'2017-18 disagg'!$A$12:$BC$220,54,FALSE),-2.5%)</f>
        <v>-2.5000000000000001E-2</v>
      </c>
      <c r="AB189" s="99">
        <f t="shared" si="24"/>
        <v>173175.81808427389</v>
      </c>
      <c r="AC189" s="99">
        <f>MAX(IF(INDEX('Pace of change parameters'!$E$29:$I$29,1,$B$5)=1,MAX(AB189,Z189),Z189),L189)</f>
        <v>175152</v>
      </c>
      <c r="AD189" s="97">
        <f t="shared" si="25"/>
        <v>2.3377017954905321E-2</v>
      </c>
      <c r="AE189" s="146">
        <v>1.7306329846200397E-2</v>
      </c>
      <c r="AF189" s="56">
        <f t="shared" si="33"/>
        <v>175152</v>
      </c>
      <c r="AG189" s="56">
        <v>1465.834487118176</v>
      </c>
      <c r="AH189" s="16">
        <f t="shared" si="26"/>
        <v>2.3377017954905321E-2</v>
      </c>
      <c r="AI189" s="16">
        <f t="shared" si="27"/>
        <v>1.7306329846200397E-2</v>
      </c>
      <c r="AJ189" s="56"/>
      <c r="AK189" s="56">
        <v>177616.22367617837</v>
      </c>
      <c r="AL189" s="56">
        <v>1486.4573977815733</v>
      </c>
      <c r="AM189" s="16">
        <f t="shared" si="35"/>
        <v>-1.3873865940709496E-2</v>
      </c>
      <c r="AN189" s="58">
        <f t="shared" si="35"/>
        <v>-1.3873865940709385E-2</v>
      </c>
      <c r="AP189" s="56">
        <f t="shared" si="28"/>
        <v>1</v>
      </c>
      <c r="AQ189" s="56">
        <f t="shared" si="29"/>
        <v>0</v>
      </c>
    </row>
    <row r="190" spans="1:43" x14ac:dyDescent="0.2">
      <c r="A190" s="156" t="s">
        <v>425</v>
      </c>
      <c r="B190" s="156" t="s">
        <v>426</v>
      </c>
      <c r="D190" s="68">
        <f>VLOOKUP(A190,'2017-18 disagg'!A190:AZ398,43,FALSE)</f>
        <v>160903</v>
      </c>
      <c r="E190" s="73">
        <v>1449.9056519541407</v>
      </c>
      <c r="F190" s="55"/>
      <c r="G190" s="88">
        <v>164683.5563987288</v>
      </c>
      <c r="H190" s="81">
        <v>1472.7308763554518</v>
      </c>
      <c r="I190" s="90"/>
      <c r="J190" s="103">
        <f t="shared" si="30"/>
        <v>-2.2956489897360433E-2</v>
      </c>
      <c r="K190" s="126">
        <f t="shared" si="30"/>
        <v>-1.5498571237805736E-2</v>
      </c>
      <c r="L190" s="56">
        <v>164623</v>
      </c>
      <c r="M190" s="103">
        <v>1.9744692944672959E-2</v>
      </c>
      <c r="N190" s="97">
        <f>INDEX('Pace of change parameters'!$E$22:$I$22,1,$B$5)</f>
        <v>1.2019795091496865E-2</v>
      </c>
      <c r="O190" s="108">
        <f>MAX(IF(INDEX('Pace of change parameters'!$E$30:$I$30,1,$B$5)=1,(1+M190)*D190,D190),L190)</f>
        <v>164623</v>
      </c>
      <c r="P190" s="94">
        <f>IF(K190&lt;INDEX('Pace of change parameters'!$E$18:$I$18,1,$B$5),1,IF(K190&gt;INDEX('Pace of change parameters'!$E$19:$I$19,1,$B$5),0,(K190-INDEX('Pace of change parameters'!$E$19:$I$19,1,$B$5))/(INDEX('Pace of change parameters'!$E$18:$I$18,1,$B$5)-INDEX('Pace of change parameters'!$E$19:$I$19,1,$B$5))))</f>
        <v>0.53345042813560428</v>
      </c>
      <c r="Q190" s="57">
        <v>2.6721842992234679E-2</v>
      </c>
      <c r="R190" s="57">
        <v>1.8944090957225823E-2</v>
      </c>
      <c r="S190" s="9">
        <f>MAX(IF(INDEX('Pace of change parameters'!$E$31:$I$31,1,$B$5)=1,D190*(1+Q190),D190),L190)</f>
        <v>165202.62470297955</v>
      </c>
      <c r="T190" s="103">
        <f>IF(Q190&lt;INDEX('Pace of change parameters'!$E$24:$I$24,1,$B$5),INDEX('Pace of change parameters'!$E$24:$I$24,1,$B$5),Q190)</f>
        <v>2.6721842992234679E-2</v>
      </c>
      <c r="U190" s="132">
        <v>1.8944090957225823E-2</v>
      </c>
      <c r="V190" s="117">
        <f t="shared" si="31"/>
        <v>165202.62470297955</v>
      </c>
      <c r="W190" s="131">
        <f>IF(J190&gt;INDEX('Pace of change parameters'!$E$26:$I$26,1,$B$5),0,IF(J190&lt;INDEX('Pace of change parameters'!$E$25:$I$25,1,$B$5),1,(J190-INDEX('Pace of change parameters'!$E$26:$I$26,1,$B$5))/(INDEX('Pace of change parameters'!$E$25:$I$25,1,$B$5)-INDEX('Pace of change parameters'!$E$26:$I$26,1,$B$5))))</f>
        <v>1</v>
      </c>
      <c r="X190" s="132">
        <f>MIN(T190, T190+(INDEX('Pace of change parameters'!$E$27:$I$27,1,$B$5)-T190)*(1-W190))</f>
        <v>2.6721842992234679E-2</v>
      </c>
      <c r="Y190" s="132">
        <v>1.8944090957225823E-2</v>
      </c>
      <c r="Z190" s="108">
        <f t="shared" si="32"/>
        <v>165202.62470297955</v>
      </c>
      <c r="AA190" s="97">
        <f>MIN(VLOOKUP(A190,'2017-18 disagg'!$A$12:$BC$220,54,FALSE),-2.5%)</f>
        <v>-2.5000000000000001E-2</v>
      </c>
      <c r="AB190" s="99">
        <f t="shared" si="24"/>
        <v>164561.38157797078</v>
      </c>
      <c r="AC190" s="99">
        <f>MAX(IF(INDEX('Pace of change parameters'!$E$29:$I$29,1,$B$5)=1,MAX(AB190,Z190),Z190),L190)</f>
        <v>165202.62470297955</v>
      </c>
      <c r="AD190" s="97">
        <f t="shared" si="25"/>
        <v>2.6721842992234679E-2</v>
      </c>
      <c r="AE190" s="146">
        <v>1.8944090957225823E-2</v>
      </c>
      <c r="AF190" s="56">
        <f t="shared" si="33"/>
        <v>165202.62470297955</v>
      </c>
      <c r="AG190" s="56">
        <v>1477.3727965041558</v>
      </c>
      <c r="AH190" s="16">
        <f t="shared" si="26"/>
        <v>2.6721842992234679E-2</v>
      </c>
      <c r="AI190" s="16">
        <f t="shared" si="27"/>
        <v>1.8944090957225823E-2</v>
      </c>
      <c r="AJ190" s="56"/>
      <c r="AK190" s="56">
        <v>168780.90418253414</v>
      </c>
      <c r="AL190" s="56">
        <v>1509.3726074689489</v>
      </c>
      <c r="AM190" s="16">
        <f t="shared" si="35"/>
        <v>-2.1200736522211883E-2</v>
      </c>
      <c r="AN190" s="58">
        <f t="shared" si="35"/>
        <v>-2.1200736522211883E-2</v>
      </c>
      <c r="AP190" s="56">
        <f t="shared" si="28"/>
        <v>0</v>
      </c>
      <c r="AQ190" s="56">
        <f t="shared" si="29"/>
        <v>0</v>
      </c>
    </row>
    <row r="191" spans="1:43" x14ac:dyDescent="0.2">
      <c r="A191" s="156" t="s">
        <v>427</v>
      </c>
      <c r="B191" s="156" t="s">
        <v>428</v>
      </c>
      <c r="D191" s="68">
        <f>VLOOKUP(A191,'2017-18 disagg'!A191:AZ399,43,FALSE)</f>
        <v>340869</v>
      </c>
      <c r="E191" s="73">
        <v>1507.104363357475</v>
      </c>
      <c r="F191" s="55"/>
      <c r="G191" s="88">
        <v>351979.37446215883</v>
      </c>
      <c r="H191" s="81">
        <v>1548.2441917430306</v>
      </c>
      <c r="I191" s="90"/>
      <c r="J191" s="103">
        <f t="shared" si="30"/>
        <v>-3.1565413397123043E-2</v>
      </c>
      <c r="K191" s="126">
        <f t="shared" si="30"/>
        <v>-2.657192489722171E-2</v>
      </c>
      <c r="L191" s="56">
        <v>348817</v>
      </c>
      <c r="M191" s="103">
        <v>1.7238019717476849E-2</v>
      </c>
      <c r="N191" s="97">
        <f>INDEX('Pace of change parameters'!$E$22:$I$22,1,$B$5)</f>
        <v>1.2019795091496865E-2</v>
      </c>
      <c r="O191" s="108">
        <f>MAX(IF(INDEX('Pace of change parameters'!$E$30:$I$30,1,$B$5)=1,(1+M191)*D191,D191),L191)</f>
        <v>348817</v>
      </c>
      <c r="P191" s="94">
        <f>IF(K191&lt;INDEX('Pace of change parameters'!$E$18:$I$18,1,$B$5),1,IF(K191&gt;INDEX('Pace of change parameters'!$E$19:$I$19,1,$B$5),0,(K191-INDEX('Pace of change parameters'!$E$19:$I$19,1,$B$5))/(INDEX('Pace of change parameters'!$E$18:$I$18,1,$B$5)-INDEX('Pace of change parameters'!$E$19:$I$19,1,$B$5))))</f>
        <v>0.77372601475091607</v>
      </c>
      <c r="Q191" s="57">
        <v>2.7332926756663101E-2</v>
      </c>
      <c r="R191" s="57">
        <v>2.2062917306003182E-2</v>
      </c>
      <c r="S191" s="9">
        <f>MAX(IF(INDEX('Pace of change parameters'!$E$31:$I$31,1,$B$5)=1,D191*(1+Q191),D191),L191)</f>
        <v>350185.94741061697</v>
      </c>
      <c r="T191" s="103">
        <f>IF(Q191&lt;INDEX('Pace of change parameters'!$E$24:$I$24,1,$B$5),INDEX('Pace of change parameters'!$E$24:$I$24,1,$B$5),Q191)</f>
        <v>2.7332926756663101E-2</v>
      </c>
      <c r="U191" s="132">
        <v>2.2062917306003182E-2</v>
      </c>
      <c r="V191" s="117">
        <f t="shared" si="31"/>
        <v>350185.94741061697</v>
      </c>
      <c r="W191" s="131">
        <f>IF(J191&gt;INDEX('Pace of change parameters'!$E$26:$I$26,1,$B$5),0,IF(J191&lt;INDEX('Pace of change parameters'!$E$25:$I$25,1,$B$5),1,(J191-INDEX('Pace of change parameters'!$E$26:$I$26,1,$B$5))/(INDEX('Pace of change parameters'!$E$25:$I$25,1,$B$5)-INDEX('Pace of change parameters'!$E$26:$I$26,1,$B$5))))</f>
        <v>1</v>
      </c>
      <c r="X191" s="132">
        <f>MIN(T191, T191+(INDEX('Pace of change parameters'!$E$27:$I$27,1,$B$5)-T191)*(1-W191))</f>
        <v>2.7332926756663101E-2</v>
      </c>
      <c r="Y191" s="132">
        <v>2.2062917306003182E-2</v>
      </c>
      <c r="Z191" s="108">
        <f t="shared" si="32"/>
        <v>350185.94741061697</v>
      </c>
      <c r="AA191" s="97">
        <f>MIN(VLOOKUP(A191,'2017-18 disagg'!$A$12:$BC$220,54,FALSE),-2.5%)</f>
        <v>-3.3436860621479658E-2</v>
      </c>
      <c r="AB191" s="99">
        <f t="shared" si="24"/>
        <v>348874.2859248147</v>
      </c>
      <c r="AC191" s="99">
        <f>MAX(IF(INDEX('Pace of change parameters'!$E$29:$I$29,1,$B$5)=1,MAX(AB191,Z191),Z191),L191)</f>
        <v>350185.94741061697</v>
      </c>
      <c r="AD191" s="97">
        <f t="shared" si="25"/>
        <v>2.7332926756663101E-2</v>
      </c>
      <c r="AE191" s="146">
        <v>2.2062917306003182E-2</v>
      </c>
      <c r="AF191" s="56">
        <f t="shared" si="33"/>
        <v>350185.94741061697</v>
      </c>
      <c r="AG191" s="56">
        <v>1540.3554822977476</v>
      </c>
      <c r="AH191" s="16">
        <f t="shared" si="26"/>
        <v>2.7332926756663101E-2</v>
      </c>
      <c r="AI191" s="16">
        <f t="shared" si="27"/>
        <v>2.2062917306003182E-2</v>
      </c>
      <c r="AJ191" s="56"/>
      <c r="AK191" s="56">
        <v>360943.08970765583</v>
      </c>
      <c r="AL191" s="56">
        <v>1587.6726954344344</v>
      </c>
      <c r="AM191" s="16">
        <f t="shared" si="35"/>
        <v>-2.9802876419525171E-2</v>
      </c>
      <c r="AN191" s="58">
        <f t="shared" si="35"/>
        <v>-2.9802876419525171E-2</v>
      </c>
      <c r="AP191" s="56">
        <f t="shared" si="28"/>
        <v>0</v>
      </c>
      <c r="AQ191" s="56">
        <f t="shared" si="29"/>
        <v>0</v>
      </c>
    </row>
    <row r="192" spans="1:43" x14ac:dyDescent="0.2">
      <c r="A192" s="156" t="s">
        <v>429</v>
      </c>
      <c r="B192" s="156" t="s">
        <v>430</v>
      </c>
      <c r="D192" s="68">
        <f>VLOOKUP(A192,'2017-18 disagg'!A192:AZ400,43,FALSE)</f>
        <v>328421</v>
      </c>
      <c r="E192" s="73">
        <v>1453.4097344515212</v>
      </c>
      <c r="F192" s="55"/>
      <c r="G192" s="88">
        <v>335421.25661011058</v>
      </c>
      <c r="H192" s="81">
        <v>1470.2095676374538</v>
      </c>
      <c r="I192" s="90"/>
      <c r="J192" s="103">
        <f t="shared" si="30"/>
        <v>-2.0870044674144106E-2</v>
      </c>
      <c r="K192" s="126">
        <f t="shared" si="30"/>
        <v>-1.142682890639124E-2</v>
      </c>
      <c r="L192" s="56">
        <v>336860</v>
      </c>
      <c r="M192" s="103">
        <v>2.1780216815195264E-2</v>
      </c>
      <c r="N192" s="97">
        <f>INDEX('Pace of change parameters'!$E$22:$I$22,1,$B$5)</f>
        <v>1.2019795091496865E-2</v>
      </c>
      <c r="O192" s="108">
        <f>MAX(IF(INDEX('Pace of change parameters'!$E$30:$I$30,1,$B$5)=1,(1+M192)*D192,D192),L192)</f>
        <v>336860</v>
      </c>
      <c r="P192" s="94">
        <f>IF(K192&lt;INDEX('Pace of change parameters'!$E$18:$I$18,1,$B$5),1,IF(K192&gt;INDEX('Pace of change parameters'!$E$19:$I$19,1,$B$5),0,(K192-INDEX('Pace of change parameters'!$E$19:$I$19,1,$B$5))/(INDEX('Pace of change parameters'!$E$18:$I$18,1,$B$5)-INDEX('Pace of change parameters'!$E$19:$I$19,1,$B$5))))</f>
        <v>0.44509957189837884</v>
      </c>
      <c r="Q192" s="57">
        <v>2.7613421385954018E-2</v>
      </c>
      <c r="R192" s="57">
        <v>1.7797278739424938E-2</v>
      </c>
      <c r="S192" s="9">
        <f>MAX(IF(INDEX('Pace of change parameters'!$E$31:$I$31,1,$B$5)=1,D192*(1+Q192),D192),L192)</f>
        <v>337489.82746499643</v>
      </c>
      <c r="T192" s="103">
        <f>IF(Q192&lt;INDEX('Pace of change parameters'!$E$24:$I$24,1,$B$5),INDEX('Pace of change parameters'!$E$24:$I$24,1,$B$5),Q192)</f>
        <v>2.7613421385954018E-2</v>
      </c>
      <c r="U192" s="132">
        <v>1.7797278739424938E-2</v>
      </c>
      <c r="V192" s="117">
        <f t="shared" si="31"/>
        <v>337489.82746499643</v>
      </c>
      <c r="W192" s="131">
        <f>IF(J192&gt;INDEX('Pace of change parameters'!$E$26:$I$26,1,$B$5),0,IF(J192&lt;INDEX('Pace of change parameters'!$E$25:$I$25,1,$B$5),1,(J192-INDEX('Pace of change parameters'!$E$26:$I$26,1,$B$5))/(INDEX('Pace of change parameters'!$E$25:$I$25,1,$B$5)-INDEX('Pace of change parameters'!$E$26:$I$26,1,$B$5))))</f>
        <v>1</v>
      </c>
      <c r="X192" s="132">
        <f>MIN(T192, T192+(INDEX('Pace of change parameters'!$E$27:$I$27,1,$B$5)-T192)*(1-W192))</f>
        <v>2.7613421385954018E-2</v>
      </c>
      <c r="Y192" s="132">
        <v>1.7797278739424938E-2</v>
      </c>
      <c r="Z192" s="108">
        <f t="shared" si="32"/>
        <v>337489.82746499643</v>
      </c>
      <c r="AA192" s="97">
        <f>MIN(VLOOKUP(A192,'2017-18 disagg'!$A$12:$BC$220,54,FALSE),-2.5%)</f>
        <v>-2.5000000000000001E-2</v>
      </c>
      <c r="AB192" s="99">
        <f t="shared" si="24"/>
        <v>335190.79186831403</v>
      </c>
      <c r="AC192" s="99">
        <f>MAX(IF(INDEX('Pace of change parameters'!$E$29:$I$29,1,$B$5)=1,MAX(AB192,Z192),Z192),L192)</f>
        <v>337489.82746499643</v>
      </c>
      <c r="AD192" s="97">
        <f t="shared" si="25"/>
        <v>2.7613421385954018E-2</v>
      </c>
      <c r="AE192" s="146">
        <v>1.7797278739424938E-2</v>
      </c>
      <c r="AF192" s="56">
        <f t="shared" si="33"/>
        <v>337489.82746499643</v>
      </c>
      <c r="AG192" s="56">
        <v>1479.2764726181488</v>
      </c>
      <c r="AH192" s="16">
        <f t="shared" si="26"/>
        <v>2.7613421385954018E-2</v>
      </c>
      <c r="AI192" s="16">
        <f t="shared" si="27"/>
        <v>1.779727873942516E-2</v>
      </c>
      <c r="AJ192" s="56"/>
      <c r="AK192" s="56">
        <v>343785.42755724519</v>
      </c>
      <c r="AL192" s="56">
        <v>1506.8711801903114</v>
      </c>
      <c r="AM192" s="16">
        <f t="shared" si="35"/>
        <v>-1.8312585664209013E-2</v>
      </c>
      <c r="AN192" s="58">
        <f t="shared" si="35"/>
        <v>-1.8312585664208902E-2</v>
      </c>
      <c r="AP192" s="56">
        <f t="shared" si="28"/>
        <v>0</v>
      </c>
      <c r="AQ192" s="56">
        <f t="shared" si="29"/>
        <v>0</v>
      </c>
    </row>
    <row r="193" spans="1:43" x14ac:dyDescent="0.2">
      <c r="A193" s="156" t="s">
        <v>431</v>
      </c>
      <c r="B193" s="156" t="s">
        <v>432</v>
      </c>
      <c r="D193" s="68">
        <f>VLOOKUP(A193,'2017-18 disagg'!A193:AZ401,43,FALSE)</f>
        <v>560526</v>
      </c>
      <c r="E193" s="73">
        <v>1510.0914104196825</v>
      </c>
      <c r="F193" s="55"/>
      <c r="G193" s="88">
        <v>572390.08715561207</v>
      </c>
      <c r="H193" s="81">
        <v>1529.8072206656441</v>
      </c>
      <c r="I193" s="90"/>
      <c r="J193" s="103">
        <f t="shared" si="30"/>
        <v>-2.0727275719550797E-2</v>
      </c>
      <c r="K193" s="126">
        <f t="shared" si="30"/>
        <v>-1.2887774341516667E-2</v>
      </c>
      <c r="L193" s="56">
        <v>574923</v>
      </c>
      <c r="M193" s="103">
        <v>2.0121450923938466E-2</v>
      </c>
      <c r="N193" s="97">
        <f>INDEX('Pace of change parameters'!$E$22:$I$22,1,$B$5)</f>
        <v>1.2019795091496865E-2</v>
      </c>
      <c r="O193" s="108">
        <f>MAX(IF(INDEX('Pace of change parameters'!$E$30:$I$30,1,$B$5)=1,(1+M193)*D193,D193),L193)</f>
        <v>574923</v>
      </c>
      <c r="P193" s="94">
        <f>IF(K193&lt;INDEX('Pace of change parameters'!$E$18:$I$18,1,$B$5),1,IF(K193&gt;INDEX('Pace of change parameters'!$E$19:$I$19,1,$B$5),0,(K193-INDEX('Pace of change parameters'!$E$19:$I$19,1,$B$5))/(INDEX('Pace of change parameters'!$E$18:$I$18,1,$B$5)-INDEX('Pace of change parameters'!$E$19:$I$19,1,$B$5))))</f>
        <v>0.47679995212955062</v>
      </c>
      <c r="Q193" s="57">
        <v>2.6359957311115068E-2</v>
      </c>
      <c r="R193" s="57">
        <v>1.8208756170502882E-2</v>
      </c>
      <c r="S193" s="9">
        <f>MAX(IF(INDEX('Pace of change parameters'!$E$31:$I$31,1,$B$5)=1,D193*(1+Q193),D193),L193)</f>
        <v>575301.4414317701</v>
      </c>
      <c r="T193" s="103">
        <f>IF(Q193&lt;INDEX('Pace of change parameters'!$E$24:$I$24,1,$B$5),INDEX('Pace of change parameters'!$E$24:$I$24,1,$B$5),Q193)</f>
        <v>2.6359957311115068E-2</v>
      </c>
      <c r="U193" s="132">
        <v>1.8208756170502882E-2</v>
      </c>
      <c r="V193" s="117">
        <f t="shared" si="31"/>
        <v>575301.4414317701</v>
      </c>
      <c r="W193" s="131">
        <f>IF(J193&gt;INDEX('Pace of change parameters'!$E$26:$I$26,1,$B$5),0,IF(J193&lt;INDEX('Pace of change parameters'!$E$25:$I$25,1,$B$5),1,(J193-INDEX('Pace of change parameters'!$E$26:$I$26,1,$B$5))/(INDEX('Pace of change parameters'!$E$25:$I$25,1,$B$5)-INDEX('Pace of change parameters'!$E$26:$I$26,1,$B$5))))</f>
        <v>1</v>
      </c>
      <c r="X193" s="132">
        <f>MIN(T193, T193+(INDEX('Pace of change parameters'!$E$27:$I$27,1,$B$5)-T193)*(1-W193))</f>
        <v>2.6359957311115068E-2</v>
      </c>
      <c r="Y193" s="132">
        <v>1.8208756170502882E-2</v>
      </c>
      <c r="Z193" s="108">
        <f t="shared" si="32"/>
        <v>575301.4414317701</v>
      </c>
      <c r="AA193" s="97">
        <f>MIN(VLOOKUP(A193,'2017-18 disagg'!$A$12:$BC$220,54,FALSE),-2.5%)</f>
        <v>-2.5000000000000001E-2</v>
      </c>
      <c r="AB193" s="99">
        <f t="shared" si="24"/>
        <v>572136.06424862449</v>
      </c>
      <c r="AC193" s="99">
        <f>MAX(IF(INDEX('Pace of change parameters'!$E$29:$I$29,1,$B$5)=1,MAX(AB193,Z193),Z193),L193)</f>
        <v>575301.4414317701</v>
      </c>
      <c r="AD193" s="97">
        <f t="shared" si="25"/>
        <v>2.6359957311115068E-2</v>
      </c>
      <c r="AE193" s="146">
        <v>1.8208756170502882E-2</v>
      </c>
      <c r="AF193" s="56">
        <f t="shared" si="33"/>
        <v>575301.4414317701</v>
      </c>
      <c r="AG193" s="56">
        <v>1537.5882967071852</v>
      </c>
      <c r="AH193" s="16">
        <f t="shared" si="26"/>
        <v>2.6359957311115068E-2</v>
      </c>
      <c r="AI193" s="16">
        <f t="shared" si="27"/>
        <v>1.8208756170502882E-2</v>
      </c>
      <c r="AJ193" s="56"/>
      <c r="AK193" s="56">
        <v>586806.21974217903</v>
      </c>
      <c r="AL193" s="56">
        <v>1568.3367204244471</v>
      </c>
      <c r="AM193" s="16">
        <f t="shared" si="35"/>
        <v>-1.9605753864476272E-2</v>
      </c>
      <c r="AN193" s="58">
        <f t="shared" si="35"/>
        <v>-1.9605753864476383E-2</v>
      </c>
      <c r="AP193" s="56">
        <f t="shared" si="28"/>
        <v>0</v>
      </c>
      <c r="AQ193" s="56">
        <f t="shared" si="29"/>
        <v>0</v>
      </c>
    </row>
    <row r="194" spans="1:43" x14ac:dyDescent="0.2">
      <c r="A194" s="156" t="s">
        <v>433</v>
      </c>
      <c r="B194" s="156" t="s">
        <v>434</v>
      </c>
      <c r="D194" s="68">
        <f>VLOOKUP(A194,'2017-18 disagg'!A194:AZ402,43,FALSE)</f>
        <v>1055397</v>
      </c>
      <c r="E194" s="73">
        <v>1455.3960790591541</v>
      </c>
      <c r="F194" s="55"/>
      <c r="G194" s="88">
        <v>1054719.3251257271</v>
      </c>
      <c r="H194" s="81">
        <v>1445.6314092886546</v>
      </c>
      <c r="I194" s="90"/>
      <c r="J194" s="103">
        <f t="shared" si="30"/>
        <v>6.4251678918658683E-4</v>
      </c>
      <c r="K194" s="126">
        <f t="shared" si="30"/>
        <v>6.7546054324485461E-3</v>
      </c>
      <c r="L194" s="56">
        <v>1081518</v>
      </c>
      <c r="M194" s="103">
        <v>1.8201378017018488E-2</v>
      </c>
      <c r="N194" s="97">
        <f>INDEX('Pace of change parameters'!$E$22:$I$22,1,$B$5)</f>
        <v>1.2019795091496865E-2</v>
      </c>
      <c r="O194" s="108">
        <f>MAX(IF(INDEX('Pace of change parameters'!$E$30:$I$30,1,$B$5)=1,(1+M194)*D194,D194),L194)</f>
        <v>1081518</v>
      </c>
      <c r="P194" s="94">
        <f>IF(K194&lt;INDEX('Pace of change parameters'!$E$18:$I$18,1,$B$5),1,IF(K194&gt;INDEX('Pace of change parameters'!$E$19:$I$19,1,$B$5),0,(K194-INDEX('Pace of change parameters'!$E$19:$I$19,1,$B$5))/(INDEX('Pace of change parameters'!$E$18:$I$18,1,$B$5)-INDEX('Pace of change parameters'!$E$19:$I$19,1,$B$5))))</f>
        <v>5.0589025623375597E-2</v>
      </c>
      <c r="Q194" s="57">
        <v>1.8862044897804298E-2</v>
      </c>
      <c r="R194" s="57">
        <v>1.2676451010209755E-2</v>
      </c>
      <c r="S194" s="9">
        <f>MAX(IF(INDEX('Pace of change parameters'!$E$31:$I$31,1,$B$5)=1,D194*(1+Q194),D194),L194)</f>
        <v>1081518</v>
      </c>
      <c r="T194" s="103">
        <f>IF(Q194&lt;INDEX('Pace of change parameters'!$E$24:$I$24,1,$B$5),INDEX('Pace of change parameters'!$E$24:$I$24,1,$B$5),Q194)</f>
        <v>1.9732353921844841E-2</v>
      </c>
      <c r="U194" s="132">
        <v>1.3541476317768364E-2</v>
      </c>
      <c r="V194" s="117">
        <f t="shared" si="31"/>
        <v>1081518</v>
      </c>
      <c r="W194" s="131">
        <f>IF(J194&gt;INDEX('Pace of change parameters'!$E$26:$I$26,1,$B$5),0,IF(J194&lt;INDEX('Pace of change parameters'!$E$25:$I$25,1,$B$5),1,(J194-INDEX('Pace of change parameters'!$E$26:$I$26,1,$B$5))/(INDEX('Pace of change parameters'!$E$25:$I$25,1,$B$5)-INDEX('Pace of change parameters'!$E$26:$I$26,1,$B$5))))</f>
        <v>1</v>
      </c>
      <c r="X194" s="132">
        <f>MIN(T194, T194+(INDEX('Pace of change parameters'!$E$27:$I$27,1,$B$5)-T194)*(1-W194))</f>
        <v>1.9732353921844841E-2</v>
      </c>
      <c r="Y194" s="132">
        <v>1.3541476317768364E-2</v>
      </c>
      <c r="Z194" s="108">
        <f t="shared" si="32"/>
        <v>1081518</v>
      </c>
      <c r="AA194" s="97">
        <f>MIN(VLOOKUP(A194,'2017-18 disagg'!$A$12:$BC$220,54,FALSE),-2.5%)</f>
        <v>-2.5000000000000001E-2</v>
      </c>
      <c r="AB194" s="99">
        <f t="shared" si="24"/>
        <v>1055001.8554470006</v>
      </c>
      <c r="AC194" s="99">
        <f>MAX(IF(INDEX('Pace of change parameters'!$E$29:$I$29,1,$B$5)=1,MAX(AB194,Z194),Z194),L194)</f>
        <v>1081518</v>
      </c>
      <c r="AD194" s="97">
        <f t="shared" si="25"/>
        <v>2.4749928226060813E-2</v>
      </c>
      <c r="AE194" s="146">
        <v>1.8528588522525258E-2</v>
      </c>
      <c r="AF194" s="56">
        <f t="shared" si="33"/>
        <v>1081518</v>
      </c>
      <c r="AG194" s="56">
        <v>1482.3625141453383</v>
      </c>
      <c r="AH194" s="16">
        <f t="shared" si="26"/>
        <v>2.4749928226060813E-2</v>
      </c>
      <c r="AI194" s="16">
        <f t="shared" si="27"/>
        <v>1.8528588522525702E-2</v>
      </c>
      <c r="AJ194" s="56"/>
      <c r="AK194" s="56">
        <v>1082053.1850738467</v>
      </c>
      <c r="AL194" s="56">
        <v>1483.0960556042883</v>
      </c>
      <c r="AM194" s="16">
        <f t="shared" si="35"/>
        <v>-4.9460144956758878E-4</v>
      </c>
      <c r="AN194" s="58">
        <f t="shared" si="35"/>
        <v>-4.946014495676998E-4</v>
      </c>
      <c r="AP194" s="56">
        <f t="shared" si="28"/>
        <v>1</v>
      </c>
      <c r="AQ194" s="56">
        <f t="shared" si="29"/>
        <v>0</v>
      </c>
    </row>
    <row r="195" spans="1:43" x14ac:dyDescent="0.2">
      <c r="A195" s="156" t="s">
        <v>435</v>
      </c>
      <c r="B195" s="156" t="s">
        <v>436</v>
      </c>
      <c r="D195" s="68">
        <f>VLOOKUP(A195,'2017-18 disagg'!A195:AZ403,43,FALSE)</f>
        <v>351431</v>
      </c>
      <c r="E195" s="73">
        <v>1565.0800746377492</v>
      </c>
      <c r="F195" s="55"/>
      <c r="G195" s="88">
        <v>346460.73345485842</v>
      </c>
      <c r="H195" s="81">
        <v>1533.0899594113141</v>
      </c>
      <c r="I195" s="90"/>
      <c r="J195" s="103">
        <f t="shared" si="30"/>
        <v>1.4345829311098957E-2</v>
      </c>
      <c r="K195" s="126">
        <f t="shared" si="30"/>
        <v>2.0866430590099849E-2</v>
      </c>
      <c r="L195" s="56">
        <v>360000</v>
      </c>
      <c r="M195" s="103">
        <v>1.8525443736722158E-2</v>
      </c>
      <c r="N195" s="97">
        <f>INDEX('Pace of change parameters'!$E$22:$I$22,1,$B$5)</f>
        <v>1.2019795091496865E-2</v>
      </c>
      <c r="O195" s="108">
        <f>MAX(IF(INDEX('Pace of change parameters'!$E$30:$I$30,1,$B$5)=1,(1+M195)*D195,D195),L195)</f>
        <v>360000</v>
      </c>
      <c r="P195" s="94">
        <f>IF(K195&lt;INDEX('Pace of change parameters'!$E$18:$I$18,1,$B$5),1,IF(K195&gt;INDEX('Pace of change parameters'!$E$19:$I$19,1,$B$5),0,(K195-INDEX('Pace of change parameters'!$E$19:$I$19,1,$B$5))/(INDEX('Pace of change parameters'!$E$18:$I$18,1,$B$5)-INDEX('Pace of change parameters'!$E$19:$I$19,1,$B$5))))</f>
        <v>0</v>
      </c>
      <c r="Q195" s="57">
        <v>1.8525443736722158E-2</v>
      </c>
      <c r="R195" s="57">
        <v>1.2019795091496865E-2</v>
      </c>
      <c r="S195" s="9">
        <f>MAX(IF(INDEX('Pace of change parameters'!$E$31:$I$31,1,$B$5)=1,D195*(1+Q195),D195),L195)</f>
        <v>360000</v>
      </c>
      <c r="T195" s="103">
        <f>IF(Q195&lt;INDEX('Pace of change parameters'!$E$24:$I$24,1,$B$5),INDEX('Pace of change parameters'!$E$24:$I$24,1,$B$5),Q195)</f>
        <v>1.9732353921844841E-2</v>
      </c>
      <c r="U195" s="132">
        <v>1.3218996354216861E-2</v>
      </c>
      <c r="V195" s="117">
        <f t="shared" si="31"/>
        <v>360000</v>
      </c>
      <c r="W195" s="131">
        <f>IF(J195&gt;INDEX('Pace of change parameters'!$E$26:$I$26,1,$B$5),0,IF(J195&lt;INDEX('Pace of change parameters'!$E$25:$I$25,1,$B$5),1,(J195-INDEX('Pace of change parameters'!$E$26:$I$26,1,$B$5))/(INDEX('Pace of change parameters'!$E$25:$I$25,1,$B$5)-INDEX('Pace of change parameters'!$E$26:$I$26,1,$B$5))))</f>
        <v>1</v>
      </c>
      <c r="X195" s="132">
        <f>MIN(T195, T195+(INDEX('Pace of change parameters'!$E$27:$I$27,1,$B$5)-T195)*(1-W195))</f>
        <v>1.9732353921844841E-2</v>
      </c>
      <c r="Y195" s="132">
        <v>1.3218996354216861E-2</v>
      </c>
      <c r="Z195" s="108">
        <f t="shared" si="32"/>
        <v>360000</v>
      </c>
      <c r="AA195" s="97">
        <f>MIN(VLOOKUP(A195,'2017-18 disagg'!$A$12:$BC$220,54,FALSE),-2.5%)</f>
        <v>-2.5000000000000001E-2</v>
      </c>
      <c r="AB195" s="99">
        <f t="shared" si="24"/>
        <v>346308.18569555867</v>
      </c>
      <c r="AC195" s="99">
        <f>MAX(IF(INDEX('Pace of change parameters'!$E$29:$I$29,1,$B$5)=1,MAX(AB195,Z195),Z195),L195)</f>
        <v>360000</v>
      </c>
      <c r="AD195" s="97">
        <f t="shared" si="25"/>
        <v>2.4383164831787818E-2</v>
      </c>
      <c r="AE195" s="146">
        <v>1.7840101043386181E-2</v>
      </c>
      <c r="AF195" s="56">
        <f t="shared" si="33"/>
        <v>360000</v>
      </c>
      <c r="AG195" s="56">
        <v>1593.0012613102767</v>
      </c>
      <c r="AH195" s="16">
        <f t="shared" si="26"/>
        <v>2.4383164831787818E-2</v>
      </c>
      <c r="AI195" s="16">
        <f t="shared" si="27"/>
        <v>1.7840101043385959E-2</v>
      </c>
      <c r="AJ195" s="56"/>
      <c r="AK195" s="56">
        <v>355187.88276467554</v>
      </c>
      <c r="AL195" s="56">
        <v>1571.7076256840412</v>
      </c>
      <c r="AM195" s="16">
        <f t="shared" si="35"/>
        <v>1.3548089529035634E-2</v>
      </c>
      <c r="AN195" s="58">
        <f t="shared" si="35"/>
        <v>1.3548089529035634E-2</v>
      </c>
      <c r="AP195" s="56">
        <f t="shared" si="28"/>
        <v>1</v>
      </c>
      <c r="AQ195" s="56">
        <f t="shared" si="29"/>
        <v>0</v>
      </c>
    </row>
    <row r="196" spans="1:43" x14ac:dyDescent="0.2">
      <c r="A196" s="156" t="s">
        <v>437</v>
      </c>
      <c r="B196" s="156" t="s">
        <v>438</v>
      </c>
      <c r="D196" s="68">
        <f>VLOOKUP(A196,'2017-18 disagg'!A196:AZ404,43,FALSE)</f>
        <v>236090</v>
      </c>
      <c r="E196" s="73">
        <v>1516.5180409588856</v>
      </c>
      <c r="F196" s="55"/>
      <c r="G196" s="88">
        <v>236063.60739621212</v>
      </c>
      <c r="H196" s="81">
        <v>1498.0473419343814</v>
      </c>
      <c r="I196" s="90"/>
      <c r="J196" s="103">
        <f t="shared" si="30"/>
        <v>1.1180293345081083E-4</v>
      </c>
      <c r="K196" s="126">
        <f t="shared" si="30"/>
        <v>1.2329850003707898E-2</v>
      </c>
      <c r="L196" s="56">
        <v>242875</v>
      </c>
      <c r="M196" s="103">
        <v>2.4383318305793322E-2</v>
      </c>
      <c r="N196" s="97">
        <f>INDEX('Pace of change parameters'!$E$22:$I$22,1,$B$5)</f>
        <v>1.2019795091496865E-2</v>
      </c>
      <c r="O196" s="108">
        <f>MAX(IF(INDEX('Pace of change parameters'!$E$30:$I$30,1,$B$5)=1,(1+M196)*D196,D196),L196)</f>
        <v>242875</v>
      </c>
      <c r="P196" s="94">
        <f>IF(K196&lt;INDEX('Pace of change parameters'!$E$18:$I$18,1,$B$5),1,IF(K196&gt;INDEX('Pace of change parameters'!$E$19:$I$19,1,$B$5),0,(K196-INDEX('Pace of change parameters'!$E$19:$I$19,1,$B$5))/(INDEX('Pace of change parameters'!$E$18:$I$18,1,$B$5)-INDEX('Pace of change parameters'!$E$19:$I$19,1,$B$5))))</f>
        <v>0</v>
      </c>
      <c r="Q196" s="57">
        <v>2.4383318305793322E-2</v>
      </c>
      <c r="R196" s="57">
        <v>1.2019795091496865E-2</v>
      </c>
      <c r="S196" s="9">
        <f>MAX(IF(INDEX('Pace of change parameters'!$E$31:$I$31,1,$B$5)=1,D196*(1+Q196),D196),L196)</f>
        <v>242875</v>
      </c>
      <c r="T196" s="103">
        <f>IF(Q196&lt;INDEX('Pace of change parameters'!$E$24:$I$24,1,$B$5),INDEX('Pace of change parameters'!$E$24:$I$24,1,$B$5),Q196)</f>
        <v>2.4383318305793322E-2</v>
      </c>
      <c r="U196" s="132">
        <v>1.2019795091496865E-2</v>
      </c>
      <c r="V196" s="117">
        <f t="shared" si="31"/>
        <v>242875</v>
      </c>
      <c r="W196" s="131">
        <f>IF(J196&gt;INDEX('Pace of change parameters'!$E$26:$I$26,1,$B$5),0,IF(J196&lt;INDEX('Pace of change parameters'!$E$25:$I$25,1,$B$5),1,(J196-INDEX('Pace of change parameters'!$E$26:$I$26,1,$B$5))/(INDEX('Pace of change parameters'!$E$25:$I$25,1,$B$5)-INDEX('Pace of change parameters'!$E$26:$I$26,1,$B$5))))</f>
        <v>1</v>
      </c>
      <c r="X196" s="132">
        <f>MIN(T196, T196+(INDEX('Pace of change parameters'!$E$27:$I$27,1,$B$5)-T196)*(1-W196))</f>
        <v>2.4383318305793322E-2</v>
      </c>
      <c r="Y196" s="132">
        <v>1.2019795091496865E-2</v>
      </c>
      <c r="Z196" s="108">
        <f t="shared" si="32"/>
        <v>242875</v>
      </c>
      <c r="AA196" s="97">
        <f>MIN(VLOOKUP(A196,'2017-18 disagg'!$A$12:$BC$220,54,FALSE),-2.5%)</f>
        <v>-2.5000000000000001E-2</v>
      </c>
      <c r="AB196" s="99">
        <f t="shared" si="24"/>
        <v>236075.64318705536</v>
      </c>
      <c r="AC196" s="99">
        <f>MAX(IF(INDEX('Pace of change parameters'!$E$29:$I$29,1,$B$5)=1,MAX(AB196,Z196),Z196),L196)</f>
        <v>242875</v>
      </c>
      <c r="AD196" s="97">
        <f t="shared" si="25"/>
        <v>2.8739040196535282E-2</v>
      </c>
      <c r="AE196" s="146">
        <v>1.6322946750228162E-2</v>
      </c>
      <c r="AF196" s="56">
        <f t="shared" si="33"/>
        <v>242875</v>
      </c>
      <c r="AG196" s="56">
        <v>1541.2720841872176</v>
      </c>
      <c r="AH196" s="16">
        <f t="shared" si="26"/>
        <v>2.8739040196535282E-2</v>
      </c>
      <c r="AI196" s="16">
        <f t="shared" si="27"/>
        <v>1.632294675022794E-2</v>
      </c>
      <c r="AJ196" s="56"/>
      <c r="AK196" s="56">
        <v>242128.86480723627</v>
      </c>
      <c r="AL196" s="56">
        <v>1536.5371491645253</v>
      </c>
      <c r="AM196" s="16">
        <f t="shared" si="35"/>
        <v>3.0815623463882336E-3</v>
      </c>
      <c r="AN196" s="58">
        <f t="shared" si="35"/>
        <v>3.0815623463884556E-3</v>
      </c>
      <c r="AP196" s="56">
        <f t="shared" si="28"/>
        <v>1</v>
      </c>
      <c r="AQ196" s="56">
        <f t="shared" si="29"/>
        <v>0</v>
      </c>
    </row>
    <row r="197" spans="1:43" x14ac:dyDescent="0.2">
      <c r="A197" s="156" t="s">
        <v>439</v>
      </c>
      <c r="B197" s="156" t="s">
        <v>440</v>
      </c>
      <c r="D197" s="68">
        <f>VLOOKUP(A197,'2017-18 disagg'!A197:AZ405,43,FALSE)</f>
        <v>336166</v>
      </c>
      <c r="E197" s="73">
        <v>1570.0241383303332</v>
      </c>
      <c r="F197" s="55"/>
      <c r="G197" s="88">
        <v>345495.84434918582</v>
      </c>
      <c r="H197" s="81">
        <v>1605.873132211789</v>
      </c>
      <c r="I197" s="90"/>
      <c r="J197" s="103">
        <f t="shared" si="30"/>
        <v>-2.7004215830035649E-2</v>
      </c>
      <c r="K197" s="126">
        <f t="shared" si="30"/>
        <v>-2.2323677482592008E-2</v>
      </c>
      <c r="L197" s="56">
        <v>344119</v>
      </c>
      <c r="M197" s="103">
        <v>1.6888056122389861E-2</v>
      </c>
      <c r="N197" s="97">
        <f>INDEX('Pace of change parameters'!$E$22:$I$22,1,$B$5)</f>
        <v>1.2019795091496865E-2</v>
      </c>
      <c r="O197" s="108">
        <f>MAX(IF(INDEX('Pace of change parameters'!$E$30:$I$30,1,$B$5)=1,(1+M197)*D197,D197),L197)</f>
        <v>344119</v>
      </c>
      <c r="P197" s="94">
        <f>IF(K197&lt;INDEX('Pace of change parameters'!$E$18:$I$18,1,$B$5),1,IF(K197&gt;INDEX('Pace of change parameters'!$E$19:$I$19,1,$B$5),0,(K197-INDEX('Pace of change parameters'!$E$19:$I$19,1,$B$5))/(INDEX('Pace of change parameters'!$E$18:$I$18,1,$B$5)-INDEX('Pace of change parameters'!$E$19:$I$19,1,$B$5))))</f>
        <v>0.68154525623525519</v>
      </c>
      <c r="Q197" s="57">
        <v>2.5777209231814702E-2</v>
      </c>
      <c r="R197" s="57">
        <v>2.0866392171848824E-2</v>
      </c>
      <c r="S197" s="9">
        <f>MAX(IF(INDEX('Pace of change parameters'!$E$31:$I$31,1,$B$5)=1,D197*(1+Q197),D197),L197)</f>
        <v>344831.42131862225</v>
      </c>
      <c r="T197" s="103">
        <f>IF(Q197&lt;INDEX('Pace of change parameters'!$E$24:$I$24,1,$B$5),INDEX('Pace of change parameters'!$E$24:$I$24,1,$B$5),Q197)</f>
        <v>2.5777209231814702E-2</v>
      </c>
      <c r="U197" s="132">
        <v>2.0866392171848824E-2</v>
      </c>
      <c r="V197" s="117">
        <f t="shared" si="31"/>
        <v>344831.42131862225</v>
      </c>
      <c r="W197" s="131">
        <f>IF(J197&gt;INDEX('Pace of change parameters'!$E$26:$I$26,1,$B$5),0,IF(J197&lt;INDEX('Pace of change parameters'!$E$25:$I$25,1,$B$5),1,(J197-INDEX('Pace of change parameters'!$E$26:$I$26,1,$B$5))/(INDEX('Pace of change parameters'!$E$25:$I$25,1,$B$5)-INDEX('Pace of change parameters'!$E$26:$I$26,1,$B$5))))</f>
        <v>1</v>
      </c>
      <c r="X197" s="132">
        <f>MIN(T197, T197+(INDEX('Pace of change parameters'!$E$27:$I$27,1,$B$5)-T197)*(1-W197))</f>
        <v>2.5777209231814702E-2</v>
      </c>
      <c r="Y197" s="132">
        <v>2.0866392171848824E-2</v>
      </c>
      <c r="Z197" s="108">
        <f t="shared" si="32"/>
        <v>344831.42131862225</v>
      </c>
      <c r="AA197" s="97">
        <f>MIN(VLOOKUP(A197,'2017-18 disagg'!$A$12:$BC$220,54,FALSE),-2.5%)</f>
        <v>-2.9211649848962629E-2</v>
      </c>
      <c r="AB197" s="99">
        <f t="shared" si="24"/>
        <v>343771.10524060065</v>
      </c>
      <c r="AC197" s="99">
        <f>MAX(IF(INDEX('Pace of change parameters'!$E$29:$I$29,1,$B$5)=1,MAX(AB197,Z197),Z197),L197)</f>
        <v>344831.42131862225</v>
      </c>
      <c r="AD197" s="97">
        <f t="shared" si="25"/>
        <v>2.5777209231814702E-2</v>
      </c>
      <c r="AE197" s="146">
        <v>2.0866392171848824E-2</v>
      </c>
      <c r="AF197" s="56">
        <f t="shared" si="33"/>
        <v>344831.42131862225</v>
      </c>
      <c r="AG197" s="56">
        <v>1602.7848777200029</v>
      </c>
      <c r="AH197" s="16">
        <f t="shared" si="26"/>
        <v>2.5777209231814702E-2</v>
      </c>
      <c r="AI197" s="16">
        <f t="shared" si="27"/>
        <v>2.0866392171848824E-2</v>
      </c>
      <c r="AJ197" s="56"/>
      <c r="AK197" s="56">
        <v>354115.40032090002</v>
      </c>
      <c r="AL197" s="56">
        <v>1645.9370391240291</v>
      </c>
      <c r="AM197" s="16">
        <f t="shared" si="35"/>
        <v>-2.6217382790651333E-2</v>
      </c>
      <c r="AN197" s="58">
        <f t="shared" si="35"/>
        <v>-2.6217382790651445E-2</v>
      </c>
      <c r="AP197" s="56">
        <f t="shared" si="28"/>
        <v>0</v>
      </c>
      <c r="AQ197" s="56">
        <f t="shared" si="29"/>
        <v>0</v>
      </c>
    </row>
    <row r="198" spans="1:43" x14ac:dyDescent="0.2">
      <c r="A198" s="156" t="s">
        <v>441</v>
      </c>
      <c r="B198" s="156" t="s">
        <v>442</v>
      </c>
      <c r="D198" s="68">
        <f>VLOOKUP(A198,'2017-18 disagg'!A198:AZ406,43,FALSE)</f>
        <v>361552</v>
      </c>
      <c r="E198" s="73">
        <v>1788.5255392724359</v>
      </c>
      <c r="F198" s="55"/>
      <c r="G198" s="88">
        <v>351351.01407959819</v>
      </c>
      <c r="H198" s="81">
        <v>1729.5603159310681</v>
      </c>
      <c r="I198" s="90"/>
      <c r="J198" s="103">
        <f t="shared" si="30"/>
        <v>2.9033603182061052E-2</v>
      </c>
      <c r="K198" s="126">
        <f t="shared" si="30"/>
        <v>3.4092608854537243E-2</v>
      </c>
      <c r="L198" s="56">
        <v>370131</v>
      </c>
      <c r="M198" s="103">
        <v>1.6995156312154869E-2</v>
      </c>
      <c r="N198" s="97">
        <f>INDEX('Pace of change parameters'!$E$22:$I$22,1,$B$5)</f>
        <v>1.2019795091496865E-2</v>
      </c>
      <c r="O198" s="108">
        <f>MAX(IF(INDEX('Pace of change parameters'!$E$30:$I$30,1,$B$5)=1,(1+M198)*D198,D198),L198)</f>
        <v>370131</v>
      </c>
      <c r="P198" s="94">
        <f>IF(K198&lt;INDEX('Pace of change parameters'!$E$18:$I$18,1,$B$5),1,IF(K198&gt;INDEX('Pace of change parameters'!$E$19:$I$19,1,$B$5),0,(K198-INDEX('Pace of change parameters'!$E$19:$I$19,1,$B$5))/(INDEX('Pace of change parameters'!$E$18:$I$18,1,$B$5)-INDEX('Pace of change parameters'!$E$19:$I$19,1,$B$5))))</f>
        <v>0</v>
      </c>
      <c r="Q198" s="57">
        <v>1.6995156312154869E-2</v>
      </c>
      <c r="R198" s="57">
        <v>1.2019795091496865E-2</v>
      </c>
      <c r="S198" s="9">
        <f>MAX(IF(INDEX('Pace of change parameters'!$E$31:$I$31,1,$B$5)=1,D198*(1+Q198),D198),L198)</f>
        <v>370131</v>
      </c>
      <c r="T198" s="103">
        <f>IF(Q198&lt;INDEX('Pace of change parameters'!$E$24:$I$24,1,$B$5),INDEX('Pace of change parameters'!$E$24:$I$24,1,$B$5),Q198)</f>
        <v>1.9732353921844841E-2</v>
      </c>
      <c r="U198" s="132">
        <v>1.4743601735894618E-2</v>
      </c>
      <c r="V198" s="117">
        <f t="shared" si="31"/>
        <v>370131</v>
      </c>
      <c r="W198" s="131">
        <f>IF(J198&gt;INDEX('Pace of change parameters'!$E$26:$I$26,1,$B$5),0,IF(J198&lt;INDEX('Pace of change parameters'!$E$25:$I$25,1,$B$5),1,(J198-INDEX('Pace of change parameters'!$E$26:$I$26,1,$B$5))/(INDEX('Pace of change parameters'!$E$25:$I$25,1,$B$5)-INDEX('Pace of change parameters'!$E$26:$I$26,1,$B$5))))</f>
        <v>1</v>
      </c>
      <c r="X198" s="132">
        <f>MIN(T198, T198+(INDEX('Pace of change parameters'!$E$27:$I$27,1,$B$5)-T198)*(1-W198))</f>
        <v>1.9732353921844841E-2</v>
      </c>
      <c r="Y198" s="132">
        <v>1.4743601735894618E-2</v>
      </c>
      <c r="Z198" s="108">
        <f t="shared" si="32"/>
        <v>370131</v>
      </c>
      <c r="AA198" s="97">
        <f>MIN(VLOOKUP(A198,'2017-18 disagg'!$A$12:$BC$220,54,FALSE),-2.5%)</f>
        <v>-2.5000000000000001E-2</v>
      </c>
      <c r="AB198" s="99">
        <f t="shared" si="24"/>
        <v>351336.03063427057</v>
      </c>
      <c r="AC198" s="99">
        <f>MAX(IF(INDEX('Pace of change parameters'!$E$29:$I$29,1,$B$5)=1,MAX(AB198,Z198),Z198),L198)</f>
        <v>370131</v>
      </c>
      <c r="AD198" s="97">
        <f t="shared" si="25"/>
        <v>2.372826038854714E-2</v>
      </c>
      <c r="AE198" s="146">
        <v>1.8719959360154137E-2</v>
      </c>
      <c r="AF198" s="56">
        <f t="shared" si="33"/>
        <v>370131</v>
      </c>
      <c r="AG198" s="56">
        <v>1822.0066646822136</v>
      </c>
      <c r="AH198" s="16">
        <f t="shared" si="26"/>
        <v>2.372826038854714E-2</v>
      </c>
      <c r="AI198" s="16">
        <f t="shared" si="27"/>
        <v>1.8719959360154137E-2</v>
      </c>
      <c r="AJ198" s="56"/>
      <c r="AK198" s="56">
        <v>360344.64680438006</v>
      </c>
      <c r="AL198" s="56">
        <v>1773.8323676215687</v>
      </c>
      <c r="AM198" s="16">
        <f t="shared" si="35"/>
        <v>2.7158314359343461E-2</v>
      </c>
      <c r="AN198" s="58">
        <f t="shared" si="35"/>
        <v>2.7158314359343461E-2</v>
      </c>
      <c r="AP198" s="56">
        <f t="shared" si="28"/>
        <v>1</v>
      </c>
      <c r="AQ198" s="56">
        <f t="shared" si="29"/>
        <v>0</v>
      </c>
    </row>
    <row r="199" spans="1:43" x14ac:dyDescent="0.2">
      <c r="A199" s="156" t="s">
        <v>443</v>
      </c>
      <c r="B199" s="156" t="s">
        <v>444</v>
      </c>
      <c r="D199" s="68">
        <f>VLOOKUP(A199,'2017-18 disagg'!A199:AZ407,43,FALSE)</f>
        <v>180233</v>
      </c>
      <c r="E199" s="73">
        <v>1294.908553119421</v>
      </c>
      <c r="F199" s="55"/>
      <c r="G199" s="88">
        <v>184969.32132899441</v>
      </c>
      <c r="H199" s="81">
        <v>1323.750139034415</v>
      </c>
      <c r="I199" s="90"/>
      <c r="J199" s="103">
        <f t="shared" si="30"/>
        <v>-2.5605983170420954E-2</v>
      </c>
      <c r="K199" s="126">
        <f t="shared" si="30"/>
        <v>-2.1787786882524585E-2</v>
      </c>
      <c r="L199" s="56">
        <v>184363</v>
      </c>
      <c r="M199" s="103">
        <v>1.598542927864921E-2</v>
      </c>
      <c r="N199" s="97">
        <f>INDEX('Pace of change parameters'!$E$22:$I$22,1,$B$5)</f>
        <v>1.2019795091496865E-2</v>
      </c>
      <c r="O199" s="108">
        <f>MAX(IF(INDEX('Pace of change parameters'!$E$30:$I$30,1,$B$5)=1,(1+M199)*D199,D199),L199)</f>
        <v>184363</v>
      </c>
      <c r="P199" s="94">
        <f>IF(K199&lt;INDEX('Pace of change parameters'!$E$18:$I$18,1,$B$5),1,IF(K199&gt;INDEX('Pace of change parameters'!$E$19:$I$19,1,$B$5),0,(K199-INDEX('Pace of change parameters'!$E$19:$I$19,1,$B$5))/(INDEX('Pace of change parameters'!$E$18:$I$18,1,$B$5)-INDEX('Pace of change parameters'!$E$19:$I$19,1,$B$5))))</f>
        <v>0.66991721361572387</v>
      </c>
      <c r="Q199" s="57">
        <v>2.471516623489145E-2</v>
      </c>
      <c r="R199" s="57">
        <v>2.0715457795962511E-2</v>
      </c>
      <c r="S199" s="9">
        <f>MAX(IF(INDEX('Pace of change parameters'!$E$31:$I$31,1,$B$5)=1,D199*(1+Q199),D199),L199)</f>
        <v>184687.48855601318</v>
      </c>
      <c r="T199" s="103">
        <f>IF(Q199&lt;INDEX('Pace of change parameters'!$E$24:$I$24,1,$B$5),INDEX('Pace of change parameters'!$E$24:$I$24,1,$B$5),Q199)</f>
        <v>2.471516623489145E-2</v>
      </c>
      <c r="U199" s="132">
        <v>2.0715457795962511E-2</v>
      </c>
      <c r="V199" s="117">
        <f t="shared" si="31"/>
        <v>184687.48855601318</v>
      </c>
      <c r="W199" s="131">
        <f>IF(J199&gt;INDEX('Pace of change parameters'!$E$26:$I$26,1,$B$5),0,IF(J199&lt;INDEX('Pace of change parameters'!$E$25:$I$25,1,$B$5),1,(J199-INDEX('Pace of change parameters'!$E$26:$I$26,1,$B$5))/(INDEX('Pace of change parameters'!$E$25:$I$25,1,$B$5)-INDEX('Pace of change parameters'!$E$26:$I$26,1,$B$5))))</f>
        <v>1</v>
      </c>
      <c r="X199" s="132">
        <f>MIN(T199, T199+(INDEX('Pace of change parameters'!$E$27:$I$27,1,$B$5)-T199)*(1-W199))</f>
        <v>2.471516623489145E-2</v>
      </c>
      <c r="Y199" s="132">
        <v>2.0715457795962511E-2</v>
      </c>
      <c r="Z199" s="108">
        <f t="shared" si="32"/>
        <v>184687.48855601318</v>
      </c>
      <c r="AA199" s="97">
        <f>MIN(VLOOKUP(A199,'2017-18 disagg'!$A$12:$BC$220,54,FALSE),-2.5%)</f>
        <v>-2.8683014288767072E-2</v>
      </c>
      <c r="AB199" s="99">
        <f t="shared" si="24"/>
        <v>184197.81725094345</v>
      </c>
      <c r="AC199" s="99">
        <f>MAX(IF(INDEX('Pace of change parameters'!$E$29:$I$29,1,$B$5)=1,MAX(AB199,Z199),Z199),L199)</f>
        <v>184687.48855601318</v>
      </c>
      <c r="AD199" s="97">
        <f t="shared" si="25"/>
        <v>2.471516623489145E-2</v>
      </c>
      <c r="AE199" s="146">
        <v>2.0715457795962511E-2</v>
      </c>
      <c r="AF199" s="56">
        <f t="shared" si="33"/>
        <v>184687.48855601318</v>
      </c>
      <c r="AG199" s="56">
        <v>1321.7331766011971</v>
      </c>
      <c r="AH199" s="16">
        <f t="shared" si="26"/>
        <v>2.471516623489145E-2</v>
      </c>
      <c r="AI199" s="16">
        <f t="shared" si="27"/>
        <v>2.0715457795962511E-2</v>
      </c>
      <c r="AJ199" s="56"/>
      <c r="AK199" s="56">
        <v>189637.18328890053</v>
      </c>
      <c r="AL199" s="56">
        <v>1357.1561269789174</v>
      </c>
      <c r="AM199" s="16">
        <f t="shared" si="35"/>
        <v>-2.6100866122583111E-2</v>
      </c>
      <c r="AN199" s="58">
        <f t="shared" si="35"/>
        <v>-2.6100866122583222E-2</v>
      </c>
      <c r="AP199" s="56">
        <f t="shared" si="28"/>
        <v>0</v>
      </c>
      <c r="AQ199" s="56">
        <f t="shared" si="29"/>
        <v>0</v>
      </c>
    </row>
    <row r="200" spans="1:43" x14ac:dyDescent="0.2">
      <c r="A200" s="156" t="s">
        <v>445</v>
      </c>
      <c r="B200" s="156" t="s">
        <v>446</v>
      </c>
      <c r="D200" s="68">
        <f>VLOOKUP(A200,'2017-18 disagg'!A200:AZ408,43,FALSE)</f>
        <v>435503</v>
      </c>
      <c r="E200" s="73">
        <v>1565.6652415734904</v>
      </c>
      <c r="F200" s="55"/>
      <c r="G200" s="88">
        <v>441190.30544554139</v>
      </c>
      <c r="H200" s="81">
        <v>1576.7369616159456</v>
      </c>
      <c r="I200" s="90"/>
      <c r="J200" s="103">
        <f t="shared" si="30"/>
        <v>-1.2890821433163668E-2</v>
      </c>
      <c r="K200" s="126">
        <f t="shared" si="30"/>
        <v>-7.0219195160542425E-3</v>
      </c>
      <c r="L200" s="56">
        <v>446487</v>
      </c>
      <c r="M200" s="103">
        <v>1.8036804197002931E-2</v>
      </c>
      <c r="N200" s="97">
        <f>INDEX('Pace of change parameters'!$E$22:$I$22,1,$B$5)</f>
        <v>1.2019795091496865E-2</v>
      </c>
      <c r="O200" s="108">
        <f>MAX(IF(INDEX('Pace of change parameters'!$E$30:$I$30,1,$B$5)=1,(1+M200)*D200,D200),L200)</f>
        <v>446487</v>
      </c>
      <c r="P200" s="94">
        <f>IF(K200&lt;INDEX('Pace of change parameters'!$E$18:$I$18,1,$B$5),1,IF(K200&gt;INDEX('Pace of change parameters'!$E$19:$I$19,1,$B$5),0,(K200-INDEX('Pace of change parameters'!$E$19:$I$19,1,$B$5))/(INDEX('Pace of change parameters'!$E$18:$I$18,1,$B$5)-INDEX('Pace of change parameters'!$E$19:$I$19,1,$B$5))))</f>
        <v>0.34951947752917772</v>
      </c>
      <c r="Q200" s="57">
        <v>2.2600612587582392E-2</v>
      </c>
      <c r="R200" s="57">
        <v>1.6556629529338451E-2</v>
      </c>
      <c r="S200" s="9">
        <f>MAX(IF(INDEX('Pace of change parameters'!$E$31:$I$31,1,$B$5)=1,D200*(1+Q200),D200),L200)</f>
        <v>446487</v>
      </c>
      <c r="T200" s="103">
        <f>IF(Q200&lt;INDEX('Pace of change parameters'!$E$24:$I$24,1,$B$5),INDEX('Pace of change parameters'!$E$24:$I$24,1,$B$5),Q200)</f>
        <v>2.2600612587582392E-2</v>
      </c>
      <c r="U200" s="132">
        <v>1.6556629529338451E-2</v>
      </c>
      <c r="V200" s="117">
        <f t="shared" si="31"/>
        <v>446487</v>
      </c>
      <c r="W200" s="131">
        <f>IF(J200&gt;INDEX('Pace of change parameters'!$E$26:$I$26,1,$B$5),0,IF(J200&lt;INDEX('Pace of change parameters'!$E$25:$I$25,1,$B$5),1,(J200-INDEX('Pace of change parameters'!$E$26:$I$26,1,$B$5))/(INDEX('Pace of change parameters'!$E$25:$I$25,1,$B$5)-INDEX('Pace of change parameters'!$E$26:$I$26,1,$B$5))))</f>
        <v>1</v>
      </c>
      <c r="X200" s="132">
        <f>MIN(T200, T200+(INDEX('Pace of change parameters'!$E$27:$I$27,1,$B$5)-T200)*(1-W200))</f>
        <v>2.2600612587582392E-2</v>
      </c>
      <c r="Y200" s="132">
        <v>1.6556629529338451E-2</v>
      </c>
      <c r="Z200" s="108">
        <f t="shared" si="32"/>
        <v>446487</v>
      </c>
      <c r="AA200" s="97">
        <f>MIN(VLOOKUP(A200,'2017-18 disagg'!$A$12:$BC$220,54,FALSE),-2.5%)</f>
        <v>-2.5000000000000001E-2</v>
      </c>
      <c r="AB200" s="99">
        <f t="shared" si="24"/>
        <v>441063.09026501968</v>
      </c>
      <c r="AC200" s="99">
        <f>MAX(IF(INDEX('Pace of change parameters'!$E$29:$I$29,1,$B$5)=1,MAX(AB200,Z200),Z200),L200)</f>
        <v>446487</v>
      </c>
      <c r="AD200" s="97">
        <f t="shared" si="25"/>
        <v>2.5221410644702846E-2</v>
      </c>
      <c r="AE200" s="146">
        <v>1.9161937610351565E-2</v>
      </c>
      <c r="AF200" s="56">
        <f t="shared" si="33"/>
        <v>446487</v>
      </c>
      <c r="AG200" s="56">
        <v>1595.6664212512178</v>
      </c>
      <c r="AH200" s="16">
        <f t="shared" si="26"/>
        <v>2.5221410644702846E-2</v>
      </c>
      <c r="AI200" s="16">
        <f t="shared" si="27"/>
        <v>1.9161937610351565E-2</v>
      </c>
      <c r="AJ200" s="56"/>
      <c r="AK200" s="56">
        <v>452372.40027181507</v>
      </c>
      <c r="AL200" s="56">
        <v>1616.6998121211827</v>
      </c>
      <c r="AM200" s="16">
        <f t="shared" si="35"/>
        <v>-1.3010078130935354E-2</v>
      </c>
      <c r="AN200" s="58">
        <f t="shared" si="35"/>
        <v>-1.3010078130935243E-2</v>
      </c>
      <c r="AP200" s="56">
        <f t="shared" si="28"/>
        <v>1</v>
      </c>
      <c r="AQ200" s="56">
        <f t="shared" si="29"/>
        <v>0</v>
      </c>
    </row>
    <row r="201" spans="1:43" x14ac:dyDescent="0.2">
      <c r="A201" s="156" t="s">
        <v>447</v>
      </c>
      <c r="B201" s="156" t="s">
        <v>448</v>
      </c>
      <c r="D201" s="68">
        <f>VLOOKUP(A201,'2017-18 disagg'!A201:AZ409,43,FALSE)</f>
        <v>474297</v>
      </c>
      <c r="E201" s="73">
        <v>1538.8456728921467</v>
      </c>
      <c r="F201" s="55"/>
      <c r="G201" s="88">
        <v>487310.22519683128</v>
      </c>
      <c r="H201" s="81">
        <v>1567.1404073877861</v>
      </c>
      <c r="I201" s="90"/>
      <c r="J201" s="103">
        <f t="shared" si="30"/>
        <v>-2.6704190726913324E-2</v>
      </c>
      <c r="K201" s="126">
        <f t="shared" si="30"/>
        <v>-1.80550092143964E-2</v>
      </c>
      <c r="L201" s="56">
        <v>486426</v>
      </c>
      <c r="M201" s="103">
        <v>2.1013096838623513E-2</v>
      </c>
      <c r="N201" s="97">
        <f>INDEX('Pace of change parameters'!$E$22:$I$22,1,$B$5)</f>
        <v>1.2019795091496865E-2</v>
      </c>
      <c r="O201" s="108">
        <f>MAX(IF(INDEX('Pace of change parameters'!$E$30:$I$30,1,$B$5)=1,(1+M201)*D201,D201),L201)</f>
        <v>486426</v>
      </c>
      <c r="P201" s="94">
        <f>IF(K201&lt;INDEX('Pace of change parameters'!$E$18:$I$18,1,$B$5),1,IF(K201&gt;INDEX('Pace of change parameters'!$E$19:$I$19,1,$B$5),0,(K201-INDEX('Pace of change parameters'!$E$19:$I$19,1,$B$5))/(INDEX('Pace of change parameters'!$E$18:$I$18,1,$B$5)-INDEX('Pace of change parameters'!$E$19:$I$19,1,$B$5))))</f>
        <v>0.58892139504982988</v>
      </c>
      <c r="Q201" s="57">
        <v>2.8725348382587335E-2</v>
      </c>
      <c r="R201" s="57">
        <v>1.9664115474245181E-2</v>
      </c>
      <c r="S201" s="9">
        <f>MAX(IF(INDEX('Pace of change parameters'!$E$31:$I$31,1,$B$5)=1,D201*(1+Q201),D201),L201)</f>
        <v>487921.346561816</v>
      </c>
      <c r="T201" s="103">
        <f>IF(Q201&lt;INDEX('Pace of change parameters'!$E$24:$I$24,1,$B$5),INDEX('Pace of change parameters'!$E$24:$I$24,1,$B$5),Q201)</f>
        <v>2.8725348382587335E-2</v>
      </c>
      <c r="U201" s="132">
        <v>1.9664115474245181E-2</v>
      </c>
      <c r="V201" s="117">
        <f t="shared" si="31"/>
        <v>487921.346561816</v>
      </c>
      <c r="W201" s="131">
        <f>IF(J201&gt;INDEX('Pace of change parameters'!$E$26:$I$26,1,$B$5),0,IF(J201&lt;INDEX('Pace of change parameters'!$E$25:$I$25,1,$B$5),1,(J201-INDEX('Pace of change parameters'!$E$26:$I$26,1,$B$5))/(INDEX('Pace of change parameters'!$E$25:$I$25,1,$B$5)-INDEX('Pace of change parameters'!$E$26:$I$26,1,$B$5))))</f>
        <v>1</v>
      </c>
      <c r="X201" s="132">
        <f>MIN(T201, T201+(INDEX('Pace of change parameters'!$E$27:$I$27,1,$B$5)-T201)*(1-W201))</f>
        <v>2.8725348382587335E-2</v>
      </c>
      <c r="Y201" s="132">
        <v>1.9664115474245181E-2</v>
      </c>
      <c r="Z201" s="108">
        <f t="shared" si="32"/>
        <v>487921.346561816</v>
      </c>
      <c r="AA201" s="97">
        <f>MIN(VLOOKUP(A201,'2017-18 disagg'!$A$12:$BC$220,54,FALSE),-2.5%)</f>
        <v>-2.5000000000000001E-2</v>
      </c>
      <c r="AB201" s="99">
        <f t="shared" si="24"/>
        <v>487370.11989656813</v>
      </c>
      <c r="AC201" s="99">
        <f>MAX(IF(INDEX('Pace of change parameters'!$E$29:$I$29,1,$B$5)=1,MAX(AB201,Z201),Z201),L201)</f>
        <v>487921.346561816</v>
      </c>
      <c r="AD201" s="97">
        <f t="shared" si="25"/>
        <v>2.8725348382587335E-2</v>
      </c>
      <c r="AE201" s="146">
        <v>1.9664115474245181E-2</v>
      </c>
      <c r="AF201" s="56">
        <f t="shared" si="33"/>
        <v>487921.346561816</v>
      </c>
      <c r="AG201" s="56">
        <v>1569.1057119009402</v>
      </c>
      <c r="AH201" s="16">
        <f t="shared" si="26"/>
        <v>2.8725348382587335E-2</v>
      </c>
      <c r="AI201" s="16">
        <f t="shared" si="27"/>
        <v>1.9664115474244959E-2</v>
      </c>
      <c r="AJ201" s="56"/>
      <c r="AK201" s="56">
        <v>499866.78963750578</v>
      </c>
      <c r="AL201" s="56">
        <v>1607.5210489082906</v>
      </c>
      <c r="AM201" s="16">
        <f t="shared" si="35"/>
        <v>-2.38972528748157E-2</v>
      </c>
      <c r="AN201" s="58">
        <f t="shared" si="35"/>
        <v>-2.38972528748157E-2</v>
      </c>
      <c r="AP201" s="56">
        <f t="shared" si="28"/>
        <v>0</v>
      </c>
      <c r="AQ201" s="56">
        <f t="shared" si="29"/>
        <v>0</v>
      </c>
    </row>
    <row r="202" spans="1:43" x14ac:dyDescent="0.2">
      <c r="A202" s="156" t="s">
        <v>449</v>
      </c>
      <c r="B202" s="156" t="s">
        <v>450</v>
      </c>
      <c r="D202" s="68">
        <f>VLOOKUP(A202,'2017-18 disagg'!A202:AZ410,43,FALSE)</f>
        <v>151129</v>
      </c>
      <c r="E202" s="73">
        <v>1578.4683322970598</v>
      </c>
      <c r="F202" s="55"/>
      <c r="G202" s="88">
        <v>152670.42988591708</v>
      </c>
      <c r="H202" s="81">
        <v>1586.6808117672481</v>
      </c>
      <c r="I202" s="90"/>
      <c r="J202" s="103">
        <f t="shared" si="30"/>
        <v>-1.0096453432854813E-2</v>
      </c>
      <c r="K202" s="126">
        <f t="shared" si="30"/>
        <v>-5.1758862962748564E-3</v>
      </c>
      <c r="L202" s="56">
        <v>154846</v>
      </c>
      <c r="M202" s="103">
        <v>1.7050296661639264E-2</v>
      </c>
      <c r="N202" s="97">
        <f>INDEX('Pace of change parameters'!$E$22:$I$22,1,$B$5)</f>
        <v>1.2019795091496865E-2</v>
      </c>
      <c r="O202" s="108">
        <f>MAX(IF(INDEX('Pace of change parameters'!$E$30:$I$30,1,$B$5)=1,(1+M202)*D202,D202),L202)</f>
        <v>154846</v>
      </c>
      <c r="P202" s="94">
        <f>IF(K202&lt;INDEX('Pace of change parameters'!$E$18:$I$18,1,$B$5),1,IF(K202&gt;INDEX('Pace of change parameters'!$E$19:$I$19,1,$B$5),0,(K202-INDEX('Pace of change parameters'!$E$19:$I$19,1,$B$5))/(INDEX('Pace of change parameters'!$E$18:$I$18,1,$B$5)-INDEX('Pace of change parameters'!$E$19:$I$19,1,$B$5))))</f>
        <v>0.3094632553189644</v>
      </c>
      <c r="Q202" s="57">
        <v>2.1087160132004845E-2</v>
      </c>
      <c r="R202" s="57">
        <v>1.6036691557189453E-2</v>
      </c>
      <c r="S202" s="9">
        <f>MAX(IF(INDEX('Pace of change parameters'!$E$31:$I$31,1,$B$5)=1,D202*(1+Q202),D202),L202)</f>
        <v>154846</v>
      </c>
      <c r="T202" s="103">
        <f>IF(Q202&lt;INDEX('Pace of change parameters'!$E$24:$I$24,1,$B$5),INDEX('Pace of change parameters'!$E$24:$I$24,1,$B$5),Q202)</f>
        <v>2.1087160132004845E-2</v>
      </c>
      <c r="U202" s="132">
        <v>1.6036691557189453E-2</v>
      </c>
      <c r="V202" s="117">
        <f t="shared" si="31"/>
        <v>154846</v>
      </c>
      <c r="W202" s="131">
        <f>IF(J202&gt;INDEX('Pace of change parameters'!$E$26:$I$26,1,$B$5),0,IF(J202&lt;INDEX('Pace of change parameters'!$E$25:$I$25,1,$B$5),1,(J202-INDEX('Pace of change parameters'!$E$26:$I$26,1,$B$5))/(INDEX('Pace of change parameters'!$E$25:$I$25,1,$B$5)-INDEX('Pace of change parameters'!$E$26:$I$26,1,$B$5))))</f>
        <v>1</v>
      </c>
      <c r="X202" s="132">
        <f>MIN(T202, T202+(INDEX('Pace of change parameters'!$E$27:$I$27,1,$B$5)-T202)*(1-W202))</f>
        <v>2.1087160132004845E-2</v>
      </c>
      <c r="Y202" s="132">
        <v>1.6036691557189453E-2</v>
      </c>
      <c r="Z202" s="108">
        <f t="shared" si="32"/>
        <v>154846</v>
      </c>
      <c r="AA202" s="97">
        <f>MIN(VLOOKUP(A202,'2017-18 disagg'!$A$12:$BC$220,54,FALSE),-2.5%)</f>
        <v>-2.5000000000000001E-2</v>
      </c>
      <c r="AB202" s="99">
        <f t="shared" si="24"/>
        <v>152658.98891700935</v>
      </c>
      <c r="AC202" s="99">
        <f>MAX(IF(INDEX('Pace of change parameters'!$E$29:$I$29,1,$B$5)=1,MAX(AB202,Z202),Z202),L202)</f>
        <v>154846</v>
      </c>
      <c r="AD202" s="97">
        <f t="shared" si="25"/>
        <v>2.4594882517584349E-2</v>
      </c>
      <c r="AE202" s="146">
        <v>1.952706415876504E-2</v>
      </c>
      <c r="AF202" s="56">
        <f t="shared" si="33"/>
        <v>154846</v>
      </c>
      <c r="AG202" s="56">
        <v>1609.2911846944032</v>
      </c>
      <c r="AH202" s="16">
        <f t="shared" si="26"/>
        <v>2.4594882517584349E-2</v>
      </c>
      <c r="AI202" s="16">
        <f t="shared" si="27"/>
        <v>1.952706415876504E-2</v>
      </c>
      <c r="AJ202" s="56"/>
      <c r="AK202" s="56">
        <v>156573.32196616344</v>
      </c>
      <c r="AL202" s="56">
        <v>1627.2429820496841</v>
      </c>
      <c r="AM202" s="16">
        <f t="shared" si="35"/>
        <v>-1.1032032433575867E-2</v>
      </c>
      <c r="AN202" s="58">
        <f t="shared" si="35"/>
        <v>-1.1032032433575867E-2</v>
      </c>
      <c r="AP202" s="56">
        <f t="shared" si="28"/>
        <v>1</v>
      </c>
      <c r="AQ202" s="56">
        <f t="shared" si="29"/>
        <v>0</v>
      </c>
    </row>
    <row r="203" spans="1:43" x14ac:dyDescent="0.2">
      <c r="A203" s="156" t="s">
        <v>451</v>
      </c>
      <c r="B203" s="156" t="s">
        <v>452</v>
      </c>
      <c r="D203" s="68">
        <f>VLOOKUP(A203,'2017-18 disagg'!A203:AZ411,43,FALSE)</f>
        <v>183146</v>
      </c>
      <c r="E203" s="73">
        <v>1638.515934562955</v>
      </c>
      <c r="F203" s="55"/>
      <c r="G203" s="88">
        <v>188195.78862063619</v>
      </c>
      <c r="H203" s="81">
        <v>1665.1602832575311</v>
      </c>
      <c r="I203" s="90"/>
      <c r="J203" s="103">
        <f t="shared" si="30"/>
        <v>-2.6832633491153834E-2</v>
      </c>
      <c r="K203" s="126">
        <f t="shared" si="30"/>
        <v>-1.6001071465896466E-2</v>
      </c>
      <c r="L203" s="56">
        <v>188091</v>
      </c>
      <c r="M203" s="103">
        <v>2.3283793000352215E-2</v>
      </c>
      <c r="N203" s="97">
        <f>INDEX('Pace of change parameters'!$E$22:$I$22,1,$B$5)</f>
        <v>1.2019795091496865E-2</v>
      </c>
      <c r="O203" s="108">
        <f>MAX(IF(INDEX('Pace of change parameters'!$E$30:$I$30,1,$B$5)=1,(1+M203)*D203,D203),L203)</f>
        <v>188091</v>
      </c>
      <c r="P203" s="94">
        <f>IF(K203&lt;INDEX('Pace of change parameters'!$E$18:$I$18,1,$B$5),1,IF(K203&gt;INDEX('Pace of change parameters'!$E$19:$I$19,1,$B$5),0,(K203-INDEX('Pace of change parameters'!$E$19:$I$19,1,$B$5))/(INDEX('Pace of change parameters'!$E$18:$I$18,1,$B$5)-INDEX('Pace of change parameters'!$E$19:$I$19,1,$B$5))))</f>
        <v>0.54435394849559571</v>
      </c>
      <c r="Q203" s="57">
        <v>3.0428262954856455E-2</v>
      </c>
      <c r="R203" s="57">
        <v>1.908562088572241E-2</v>
      </c>
      <c r="S203" s="9">
        <f>MAX(IF(INDEX('Pace of change parameters'!$E$31:$I$31,1,$B$5)=1,D203*(1+Q203),D203),L203)</f>
        <v>188718.81464713014</v>
      </c>
      <c r="T203" s="103">
        <f>IF(Q203&lt;INDEX('Pace of change parameters'!$E$24:$I$24,1,$B$5),INDEX('Pace of change parameters'!$E$24:$I$24,1,$B$5),Q203)</f>
        <v>3.0428262954856455E-2</v>
      </c>
      <c r="U203" s="132">
        <v>1.908562088572241E-2</v>
      </c>
      <c r="V203" s="117">
        <f t="shared" si="31"/>
        <v>188718.81464713014</v>
      </c>
      <c r="W203" s="131">
        <f>IF(J203&gt;INDEX('Pace of change parameters'!$E$26:$I$26,1,$B$5),0,IF(J203&lt;INDEX('Pace of change parameters'!$E$25:$I$25,1,$B$5),1,(J203-INDEX('Pace of change parameters'!$E$26:$I$26,1,$B$5))/(INDEX('Pace of change parameters'!$E$25:$I$25,1,$B$5)-INDEX('Pace of change parameters'!$E$26:$I$26,1,$B$5))))</f>
        <v>1</v>
      </c>
      <c r="X203" s="132">
        <f>MIN(T203, T203+(INDEX('Pace of change parameters'!$E$27:$I$27,1,$B$5)-T203)*(1-W203))</f>
        <v>3.0428262954856455E-2</v>
      </c>
      <c r="Y203" s="132">
        <v>1.908562088572241E-2</v>
      </c>
      <c r="Z203" s="108">
        <f t="shared" si="32"/>
        <v>188718.81464713014</v>
      </c>
      <c r="AA203" s="97">
        <f>MIN(VLOOKUP(A203,'2017-18 disagg'!$A$12:$BC$220,54,FALSE),-2.5%)</f>
        <v>-2.5000000000000001E-2</v>
      </c>
      <c r="AB203" s="99">
        <f t="shared" si="24"/>
        <v>188144.39876587983</v>
      </c>
      <c r="AC203" s="99">
        <f>MAX(IF(INDEX('Pace of change parameters'!$E$29:$I$29,1,$B$5)=1,MAX(AB203,Z203),Z203),L203)</f>
        <v>188718.81464713014</v>
      </c>
      <c r="AD203" s="97">
        <f t="shared" si="25"/>
        <v>3.0428262954856455E-2</v>
      </c>
      <c r="AE203" s="146">
        <v>1.908562088572241E-2</v>
      </c>
      <c r="AF203" s="56">
        <f t="shared" si="33"/>
        <v>188718.81464713014</v>
      </c>
      <c r="AG203" s="56">
        <v>1669.7880285052386</v>
      </c>
      <c r="AH203" s="16">
        <f t="shared" si="26"/>
        <v>3.0428262954856455E-2</v>
      </c>
      <c r="AI203" s="16">
        <f t="shared" si="27"/>
        <v>1.908562088572241E-2</v>
      </c>
      <c r="AJ203" s="56"/>
      <c r="AK203" s="56">
        <v>192968.61411885111</v>
      </c>
      <c r="AL203" s="56">
        <v>1707.3903433284652</v>
      </c>
      <c r="AM203" s="16">
        <f t="shared" si="35"/>
        <v>-2.2023267831023929E-2</v>
      </c>
      <c r="AN203" s="58">
        <f t="shared" si="35"/>
        <v>-2.2023267831023929E-2</v>
      </c>
      <c r="AP203" s="56">
        <f t="shared" si="28"/>
        <v>0</v>
      </c>
      <c r="AQ203" s="56">
        <f t="shared" si="29"/>
        <v>0</v>
      </c>
    </row>
    <row r="204" spans="1:43" x14ac:dyDescent="0.2">
      <c r="A204" s="156" t="s">
        <v>453</v>
      </c>
      <c r="B204" s="156" t="s">
        <v>454</v>
      </c>
      <c r="D204" s="68">
        <f>VLOOKUP(A204,'2017-18 disagg'!A204:AZ412,43,FALSE)</f>
        <v>273494</v>
      </c>
      <c r="E204" s="73">
        <v>1871.313971902101</v>
      </c>
      <c r="F204" s="55"/>
      <c r="G204" s="88">
        <v>274055.2923179692</v>
      </c>
      <c r="H204" s="81">
        <v>1859.0017909071862</v>
      </c>
      <c r="I204" s="90"/>
      <c r="J204" s="103">
        <f t="shared" si="30"/>
        <v>-2.0480988096298613E-3</v>
      </c>
      <c r="K204" s="126">
        <f t="shared" si="30"/>
        <v>6.6230065270171945E-3</v>
      </c>
      <c r="L204" s="56">
        <v>280702</v>
      </c>
      <c r="M204" s="103">
        <v>2.0813134966437552E-2</v>
      </c>
      <c r="N204" s="97">
        <f>INDEX('Pace of change parameters'!$E$22:$I$22,1,$B$5)</f>
        <v>1.2019795091496865E-2</v>
      </c>
      <c r="O204" s="108">
        <f>MAX(IF(INDEX('Pace of change parameters'!$E$30:$I$30,1,$B$5)=1,(1+M204)*D204,D204),L204)</f>
        <v>280702</v>
      </c>
      <c r="P204" s="94">
        <f>IF(K204&lt;INDEX('Pace of change parameters'!$E$18:$I$18,1,$B$5),1,IF(K204&gt;INDEX('Pace of change parameters'!$E$19:$I$19,1,$B$5),0,(K204-INDEX('Pace of change parameters'!$E$19:$I$19,1,$B$5))/(INDEX('Pace of change parameters'!$E$18:$I$18,1,$B$5)-INDEX('Pace of change parameters'!$E$19:$I$19,1,$B$5))))</f>
        <v>5.3444529490856929E-2</v>
      </c>
      <c r="Q204" s="57">
        <v>2.1512883583116649E-2</v>
      </c>
      <c r="R204" s="57">
        <v>1.2713516035526728E-2</v>
      </c>
      <c r="S204" s="9">
        <f>MAX(IF(INDEX('Pace of change parameters'!$E$31:$I$31,1,$B$5)=1,D204*(1+Q204),D204),L204)</f>
        <v>280702</v>
      </c>
      <c r="T204" s="103">
        <f>IF(Q204&lt;INDEX('Pace of change parameters'!$E$24:$I$24,1,$B$5),INDEX('Pace of change parameters'!$E$24:$I$24,1,$B$5),Q204)</f>
        <v>2.1512883583116649E-2</v>
      </c>
      <c r="U204" s="132">
        <v>1.2713516035526728E-2</v>
      </c>
      <c r="V204" s="117">
        <f t="shared" si="31"/>
        <v>280702</v>
      </c>
      <c r="W204" s="131">
        <f>IF(J204&gt;INDEX('Pace of change parameters'!$E$26:$I$26,1,$B$5),0,IF(J204&lt;INDEX('Pace of change parameters'!$E$25:$I$25,1,$B$5),1,(J204-INDEX('Pace of change parameters'!$E$26:$I$26,1,$B$5))/(INDEX('Pace of change parameters'!$E$25:$I$25,1,$B$5)-INDEX('Pace of change parameters'!$E$26:$I$26,1,$B$5))))</f>
        <v>1</v>
      </c>
      <c r="X204" s="132">
        <f>MIN(T204, T204+(INDEX('Pace of change parameters'!$E$27:$I$27,1,$B$5)-T204)*(1-W204))</f>
        <v>2.1512883583116649E-2</v>
      </c>
      <c r="Y204" s="132">
        <v>1.2713516035526728E-2</v>
      </c>
      <c r="Z204" s="108">
        <f t="shared" si="32"/>
        <v>280702</v>
      </c>
      <c r="AA204" s="97">
        <f>MIN(VLOOKUP(A204,'2017-18 disagg'!$A$12:$BC$220,54,FALSE),-2.5%)</f>
        <v>-2.5000000000000001E-2</v>
      </c>
      <c r="AB204" s="99">
        <f t="shared" ref="AB204:AB220" si="36">(1+AA204)*AK204</f>
        <v>274011.82470721065</v>
      </c>
      <c r="AC204" s="99">
        <f>MAX(IF(INDEX('Pace of change parameters'!$E$29:$I$29,1,$B$5)=1,MAX(AB204,Z204),Z204),L204)</f>
        <v>280702</v>
      </c>
      <c r="AD204" s="97">
        <f t="shared" ref="AD204:AD220" si="37">AC204/D204-1</f>
        <v>2.6355239968701261E-2</v>
      </c>
      <c r="AE204" s="146">
        <v>1.7514160099790788E-2</v>
      </c>
      <c r="AF204" s="56">
        <f t="shared" si="33"/>
        <v>280702</v>
      </c>
      <c r="AG204" s="56">
        <v>1904.0884644029697</v>
      </c>
      <c r="AH204" s="16">
        <f t="shared" ref="AH204:AH220" si="38">AF204/D204 - 1</f>
        <v>2.6355239968701261E-2</v>
      </c>
      <c r="AI204" s="16">
        <f t="shared" ref="AI204:AI220" si="39">AG204/E204 - 1</f>
        <v>1.7514160099790788E-2</v>
      </c>
      <c r="AJ204" s="56"/>
      <c r="AK204" s="56">
        <v>281037.76893047249</v>
      </c>
      <c r="AL204" s="56">
        <v>1906.3660888845111</v>
      </c>
      <c r="AM204" s="16">
        <f t="shared" si="35"/>
        <v>-1.1947466411732499E-3</v>
      </c>
      <c r="AN204" s="58">
        <f t="shared" si="35"/>
        <v>-1.1947466411732499E-3</v>
      </c>
      <c r="AP204" s="56">
        <f t="shared" ref="AP204:AP220" si="40">IF(AF204=L204,1,0)</f>
        <v>1</v>
      </c>
      <c r="AQ204" s="56">
        <f t="shared" ref="AQ204:AQ220" si="41">IF(AB204=AF204,1,0)</f>
        <v>0</v>
      </c>
    </row>
    <row r="205" spans="1:43" x14ac:dyDescent="0.2">
      <c r="A205" s="156" t="s">
        <v>455</v>
      </c>
      <c r="B205" s="156" t="s">
        <v>456</v>
      </c>
      <c r="D205" s="68">
        <f>VLOOKUP(A205,'2017-18 disagg'!A205:AZ413,43,FALSE)</f>
        <v>874245</v>
      </c>
      <c r="E205" s="73">
        <v>1562.732302525056</v>
      </c>
      <c r="F205" s="55"/>
      <c r="G205" s="88">
        <v>883726.80815342499</v>
      </c>
      <c r="H205" s="81">
        <v>1569.0944815831472</v>
      </c>
      <c r="I205" s="90"/>
      <c r="J205" s="103">
        <f t="shared" ref="J205:K220" si="42">D205/G205-1</f>
        <v>-1.072934312498397E-2</v>
      </c>
      <c r="K205" s="126">
        <f t="shared" si="42"/>
        <v>-4.0546819409319479E-3</v>
      </c>
      <c r="L205" s="56">
        <v>895189</v>
      </c>
      <c r="M205" s="103">
        <v>1.884794590830885E-2</v>
      </c>
      <c r="N205" s="97">
        <f>INDEX('Pace of change parameters'!$E$22:$I$22,1,$B$5)</f>
        <v>1.2019795091496865E-2</v>
      </c>
      <c r="O205" s="108">
        <f>MAX(IF(INDEX('Pace of change parameters'!$E$30:$I$30,1,$B$5)=1,(1+M205)*D205,D205),L205)</f>
        <v>895189</v>
      </c>
      <c r="P205" s="94">
        <f>IF(K205&lt;INDEX('Pace of change parameters'!$E$18:$I$18,1,$B$5),1,IF(K205&gt;INDEX('Pace of change parameters'!$E$19:$I$19,1,$B$5),0,(K205-INDEX('Pace of change parameters'!$E$19:$I$19,1,$B$5))/(INDEX('Pace of change parameters'!$E$18:$I$18,1,$B$5)-INDEX('Pace of change parameters'!$E$19:$I$19,1,$B$5))))</f>
        <v>0.28513475986207243</v>
      </c>
      <c r="Q205" s="57">
        <v>2.2574025085674521E-2</v>
      </c>
      <c r="R205" s="57">
        <v>1.5720902701043427E-2</v>
      </c>
      <c r="S205" s="9">
        <f>MAX(IF(INDEX('Pace of change parameters'!$E$31:$I$31,1,$B$5)=1,D205*(1+Q205),D205),L205)</f>
        <v>895189</v>
      </c>
      <c r="T205" s="103">
        <f>IF(Q205&lt;INDEX('Pace of change parameters'!$E$24:$I$24,1,$B$5),INDEX('Pace of change parameters'!$E$24:$I$24,1,$B$5),Q205)</f>
        <v>2.2574025085674521E-2</v>
      </c>
      <c r="U205" s="132">
        <v>1.5720902701043427E-2</v>
      </c>
      <c r="V205" s="117">
        <f t="shared" ref="V205:V220" si="43">MAX(D205*(1+T205),L205)</f>
        <v>895189</v>
      </c>
      <c r="W205" s="131">
        <f>IF(J205&gt;INDEX('Pace of change parameters'!$E$26:$I$26,1,$B$5),0,IF(J205&lt;INDEX('Pace of change parameters'!$E$25:$I$25,1,$B$5),1,(J205-INDEX('Pace of change parameters'!$E$26:$I$26,1,$B$5))/(INDEX('Pace of change parameters'!$E$25:$I$25,1,$B$5)-INDEX('Pace of change parameters'!$E$26:$I$26,1,$B$5))))</f>
        <v>1</v>
      </c>
      <c r="X205" s="132">
        <f>MIN(T205, T205+(INDEX('Pace of change parameters'!$E$27:$I$27,1,$B$5)-T205)*(1-W205))</f>
        <v>2.2574025085674521E-2</v>
      </c>
      <c r="Y205" s="132">
        <v>1.5720902701043427E-2</v>
      </c>
      <c r="Z205" s="108">
        <f t="shared" ref="Z205:Z220" si="44">MAX(D205*(1+X205),L205)</f>
        <v>895189</v>
      </c>
      <c r="AA205" s="97">
        <f>MIN(VLOOKUP(A205,'2017-18 disagg'!$A$12:$BC$220,54,FALSE),-2.5%)</f>
        <v>-2.5000000000000001E-2</v>
      </c>
      <c r="AB205" s="99">
        <f t="shared" si="36"/>
        <v>883219.61760878633</v>
      </c>
      <c r="AC205" s="99">
        <f>MAX(IF(INDEX('Pace of change parameters'!$E$29:$I$29,1,$B$5)=1,MAX(AB205,Z205),Z205),L205)</f>
        <v>895189</v>
      </c>
      <c r="AD205" s="97">
        <f t="shared" si="37"/>
        <v>2.3956671184850897E-2</v>
      </c>
      <c r="AE205" s="146">
        <v>1.7094282534209082E-2</v>
      </c>
      <c r="AF205" s="56">
        <f t="shared" ref="AF205:AF220" si="45">AC205</f>
        <v>895189</v>
      </c>
      <c r="AG205" s="56">
        <v>1589.446090029754</v>
      </c>
      <c r="AH205" s="16">
        <f t="shared" si="38"/>
        <v>2.3956671184850897E-2</v>
      </c>
      <c r="AI205" s="16">
        <f t="shared" si="39"/>
        <v>1.709428253420886E-2</v>
      </c>
      <c r="AJ205" s="56"/>
      <c r="AK205" s="56">
        <v>905866.27447055012</v>
      </c>
      <c r="AL205" s="56">
        <v>1608.4040443381632</v>
      </c>
      <c r="AM205" s="16">
        <f t="shared" si="35"/>
        <v>-1.1786810891917354E-2</v>
      </c>
      <c r="AN205" s="58">
        <f t="shared" si="35"/>
        <v>-1.1786810891917465E-2</v>
      </c>
      <c r="AP205" s="56">
        <f t="shared" si="40"/>
        <v>1</v>
      </c>
      <c r="AQ205" s="56">
        <f t="shared" si="41"/>
        <v>0</v>
      </c>
    </row>
    <row r="206" spans="1:43" x14ac:dyDescent="0.2">
      <c r="A206" s="156" t="s">
        <v>457</v>
      </c>
      <c r="B206" s="156" t="s">
        <v>458</v>
      </c>
      <c r="D206" s="68">
        <f>VLOOKUP(A206,'2017-18 disagg'!A206:AZ414,43,FALSE)</f>
        <v>738687</v>
      </c>
      <c r="E206" s="73">
        <v>1520.4927899638737</v>
      </c>
      <c r="F206" s="55"/>
      <c r="G206" s="88">
        <v>759595.67974379705</v>
      </c>
      <c r="H206" s="81">
        <v>1548.5599508575674</v>
      </c>
      <c r="I206" s="90"/>
      <c r="J206" s="103">
        <f t="shared" si="42"/>
        <v>-2.7526064591164245E-2</v>
      </c>
      <c r="K206" s="126">
        <f t="shared" si="42"/>
        <v>-1.8124684729287077E-2</v>
      </c>
      <c r="L206" s="56">
        <v>757953</v>
      </c>
      <c r="M206" s="103">
        <v>2.180348406758692E-2</v>
      </c>
      <c r="N206" s="97">
        <f>INDEX('Pace of change parameters'!$E$22:$I$22,1,$B$5)</f>
        <v>1.2019795091496865E-2</v>
      </c>
      <c r="O206" s="108">
        <f>MAX(IF(INDEX('Pace of change parameters'!$E$30:$I$30,1,$B$5)=1,(1+M206)*D206,D206),L206)</f>
        <v>757953</v>
      </c>
      <c r="P206" s="94">
        <f>IF(K206&lt;INDEX('Pace of change parameters'!$E$18:$I$18,1,$B$5),1,IF(K206&gt;INDEX('Pace of change parameters'!$E$19:$I$19,1,$B$5),0,(K206-INDEX('Pace of change parameters'!$E$19:$I$19,1,$B$5))/(INDEX('Pace of change parameters'!$E$18:$I$18,1,$B$5)-INDEX('Pace of change parameters'!$E$19:$I$19,1,$B$5))))</f>
        <v>0.59043325186647244</v>
      </c>
      <c r="Q206" s="57">
        <v>2.9541519752119605E-2</v>
      </c>
      <c r="R206" s="57">
        <v>1.9683739685517621E-2</v>
      </c>
      <c r="S206" s="9">
        <f>MAX(IF(INDEX('Pace of change parameters'!$E$31:$I$31,1,$B$5)=1,D206*(1+Q206),D206),L206)</f>
        <v>760508.93660113402</v>
      </c>
      <c r="T206" s="103">
        <f>IF(Q206&lt;INDEX('Pace of change parameters'!$E$24:$I$24,1,$B$5),INDEX('Pace of change parameters'!$E$24:$I$24,1,$B$5),Q206)</f>
        <v>2.9541519752119605E-2</v>
      </c>
      <c r="U206" s="132">
        <v>1.9683739685517621E-2</v>
      </c>
      <c r="V206" s="117">
        <f t="shared" si="43"/>
        <v>760508.93660113402</v>
      </c>
      <c r="W206" s="131">
        <f>IF(J206&gt;INDEX('Pace of change parameters'!$E$26:$I$26,1,$B$5),0,IF(J206&lt;INDEX('Pace of change parameters'!$E$25:$I$25,1,$B$5),1,(J206-INDEX('Pace of change parameters'!$E$26:$I$26,1,$B$5))/(INDEX('Pace of change parameters'!$E$25:$I$25,1,$B$5)-INDEX('Pace of change parameters'!$E$26:$I$26,1,$B$5))))</f>
        <v>1</v>
      </c>
      <c r="X206" s="132">
        <f>MIN(T206, T206+(INDEX('Pace of change parameters'!$E$27:$I$27,1,$B$5)-T206)*(1-W206))</f>
        <v>2.9541519752119605E-2</v>
      </c>
      <c r="Y206" s="132">
        <v>1.9683739685517621E-2</v>
      </c>
      <c r="Z206" s="108">
        <f t="shared" si="44"/>
        <v>760508.93660113402</v>
      </c>
      <c r="AA206" s="97">
        <f>MIN(VLOOKUP(A206,'2017-18 disagg'!$A$12:$BC$220,54,FALSE),-2.5%)</f>
        <v>-2.5052583055511168E-2</v>
      </c>
      <c r="AB206" s="99">
        <f t="shared" si="36"/>
        <v>759611.16480166442</v>
      </c>
      <c r="AC206" s="99">
        <f>MAX(IF(INDEX('Pace of change parameters'!$E$29:$I$29,1,$B$5)=1,MAX(AB206,Z206),Z206),L206)</f>
        <v>760508.93660113402</v>
      </c>
      <c r="AD206" s="97">
        <f t="shared" si="37"/>
        <v>2.9541519752119605E-2</v>
      </c>
      <c r="AE206" s="146">
        <v>1.9683739685517621E-2</v>
      </c>
      <c r="AF206" s="56">
        <f t="shared" si="45"/>
        <v>760508.93660113402</v>
      </c>
      <c r="AG206" s="56">
        <v>1550.4217742352293</v>
      </c>
      <c r="AH206" s="16">
        <f t="shared" si="38"/>
        <v>2.9541519752119605E-2</v>
      </c>
      <c r="AI206" s="16">
        <f t="shared" si="39"/>
        <v>1.9683739685517843E-2</v>
      </c>
      <c r="AJ206" s="56"/>
      <c r="AK206" s="56">
        <v>779130.39370093006</v>
      </c>
      <c r="AL206" s="56">
        <v>1588.3846582541096</v>
      </c>
      <c r="AM206" s="16">
        <f t="shared" si="35"/>
        <v>-2.3900308921774527E-2</v>
      </c>
      <c r="AN206" s="58">
        <f t="shared" si="35"/>
        <v>-2.3900308921774416E-2</v>
      </c>
      <c r="AP206" s="56">
        <f t="shared" si="40"/>
        <v>0</v>
      </c>
      <c r="AQ206" s="56">
        <f t="shared" si="41"/>
        <v>0</v>
      </c>
    </row>
    <row r="207" spans="1:43" x14ac:dyDescent="0.2">
      <c r="A207" s="156" t="s">
        <v>459</v>
      </c>
      <c r="B207" s="156" t="s">
        <v>460</v>
      </c>
      <c r="D207" s="68">
        <f>VLOOKUP(A207,'2017-18 disagg'!A207:AZ415,43,FALSE)</f>
        <v>221214</v>
      </c>
      <c r="E207" s="73">
        <v>1431.0030034796393</v>
      </c>
      <c r="F207" s="55"/>
      <c r="G207" s="88">
        <v>228020.45013875814</v>
      </c>
      <c r="H207" s="81">
        <v>1462.5577994961418</v>
      </c>
      <c r="I207" s="90"/>
      <c r="J207" s="103">
        <f t="shared" si="42"/>
        <v>-2.9850174116471506E-2</v>
      </c>
      <c r="K207" s="126">
        <f t="shared" si="42"/>
        <v>-2.1575076231088564E-2</v>
      </c>
      <c r="L207" s="56">
        <v>226901</v>
      </c>
      <c r="M207" s="103">
        <v>2.0652031724328834E-2</v>
      </c>
      <c r="N207" s="97">
        <f>INDEX('Pace of change parameters'!$E$22:$I$22,1,$B$5)</f>
        <v>1.2019795091496865E-2</v>
      </c>
      <c r="O207" s="108">
        <f>MAX(IF(INDEX('Pace of change parameters'!$E$30:$I$30,1,$B$5)=1,(1+M207)*D207,D207),L207)</f>
        <v>226901</v>
      </c>
      <c r="P207" s="94">
        <f>IF(K207&lt;INDEX('Pace of change parameters'!$E$18:$I$18,1,$B$5),1,IF(K207&gt;INDEX('Pace of change parameters'!$E$19:$I$19,1,$B$5),0,(K207-INDEX('Pace of change parameters'!$E$19:$I$19,1,$B$5))/(INDEX('Pace of change parameters'!$E$18:$I$18,1,$B$5)-INDEX('Pace of change parameters'!$E$19:$I$19,1,$B$5))))</f>
        <v>0.66530170343469974</v>
      </c>
      <c r="Q207" s="57">
        <v>2.9361444635609857E-2</v>
      </c>
      <c r="R207" s="57">
        <v>2.0655547528055429E-2</v>
      </c>
      <c r="S207" s="9">
        <f>MAX(IF(INDEX('Pace of change parameters'!$E$31:$I$31,1,$B$5)=1,D207*(1+Q207),D207),L207)</f>
        <v>227709.1626136218</v>
      </c>
      <c r="T207" s="103">
        <f>IF(Q207&lt;INDEX('Pace of change parameters'!$E$24:$I$24,1,$B$5),INDEX('Pace of change parameters'!$E$24:$I$24,1,$B$5),Q207)</f>
        <v>2.9361444635609857E-2</v>
      </c>
      <c r="U207" s="132">
        <v>2.0655547528055429E-2</v>
      </c>
      <c r="V207" s="117">
        <f t="shared" si="43"/>
        <v>227709.1626136218</v>
      </c>
      <c r="W207" s="131">
        <f>IF(J207&gt;INDEX('Pace of change parameters'!$E$26:$I$26,1,$B$5),0,IF(J207&lt;INDEX('Pace of change parameters'!$E$25:$I$25,1,$B$5),1,(J207-INDEX('Pace of change parameters'!$E$26:$I$26,1,$B$5))/(INDEX('Pace of change parameters'!$E$25:$I$25,1,$B$5)-INDEX('Pace of change parameters'!$E$26:$I$26,1,$B$5))))</f>
        <v>1</v>
      </c>
      <c r="X207" s="132">
        <f>MIN(T207, T207+(INDEX('Pace of change parameters'!$E$27:$I$27,1,$B$5)-T207)*(1-W207))</f>
        <v>2.9361444635609857E-2</v>
      </c>
      <c r="Y207" s="132">
        <v>2.0655547528055429E-2</v>
      </c>
      <c r="Z207" s="108">
        <f t="shared" si="44"/>
        <v>227709.1626136218</v>
      </c>
      <c r="AA207" s="97">
        <f>MIN(VLOOKUP(A207,'2017-18 disagg'!$A$12:$BC$220,54,FALSE),-2.5%)</f>
        <v>-2.8472281679450595E-2</v>
      </c>
      <c r="AB207" s="99">
        <f t="shared" si="36"/>
        <v>227122.44573195069</v>
      </c>
      <c r="AC207" s="99">
        <f>MAX(IF(INDEX('Pace of change parameters'!$E$29:$I$29,1,$B$5)=1,MAX(AB207,Z207),Z207),L207)</f>
        <v>227709.1626136218</v>
      </c>
      <c r="AD207" s="97">
        <f t="shared" si="37"/>
        <v>2.9361444635609857E-2</v>
      </c>
      <c r="AE207" s="146">
        <v>2.0655547528055429E-2</v>
      </c>
      <c r="AF207" s="56">
        <f t="shared" si="45"/>
        <v>227709.1626136218</v>
      </c>
      <c r="AG207" s="56">
        <v>1460.5611540308032</v>
      </c>
      <c r="AH207" s="16">
        <f t="shared" si="38"/>
        <v>2.9361444635609857E-2</v>
      </c>
      <c r="AI207" s="16">
        <f t="shared" si="39"/>
        <v>2.0655547528055429E-2</v>
      </c>
      <c r="AJ207" s="56"/>
      <c r="AK207" s="56">
        <v>233778.65751948941</v>
      </c>
      <c r="AL207" s="56">
        <v>1499.4918162068352</v>
      </c>
      <c r="AM207" s="16">
        <f t="shared" si="35"/>
        <v>-2.5962570622434233E-2</v>
      </c>
      <c r="AN207" s="58">
        <f t="shared" si="35"/>
        <v>-2.5962570622434122E-2</v>
      </c>
      <c r="AP207" s="56">
        <f t="shared" si="40"/>
        <v>0</v>
      </c>
      <c r="AQ207" s="56">
        <f t="shared" si="41"/>
        <v>0</v>
      </c>
    </row>
    <row r="208" spans="1:43" x14ac:dyDescent="0.2">
      <c r="A208" s="156" t="s">
        <v>461</v>
      </c>
      <c r="B208" s="156" t="s">
        <v>462</v>
      </c>
      <c r="D208" s="68">
        <f>VLOOKUP(A208,'2017-18 disagg'!A208:AZ416,43,FALSE)</f>
        <v>220740</v>
      </c>
      <c r="E208" s="73">
        <v>1355.9392188782344</v>
      </c>
      <c r="F208" s="55"/>
      <c r="G208" s="88">
        <v>223314.68647293549</v>
      </c>
      <c r="H208" s="81">
        <v>1359.4075272385903</v>
      </c>
      <c r="I208" s="90"/>
      <c r="J208" s="103">
        <f t="shared" si="42"/>
        <v>-1.1529409523396983E-2</v>
      </c>
      <c r="K208" s="126">
        <f t="shared" si="42"/>
        <v>-2.5513382049613398E-3</v>
      </c>
      <c r="L208" s="56">
        <v>226209</v>
      </c>
      <c r="M208" s="103">
        <v>2.1211758902599742E-2</v>
      </c>
      <c r="N208" s="97">
        <f>INDEX('Pace of change parameters'!$E$22:$I$22,1,$B$5)</f>
        <v>1.2019795091496865E-2</v>
      </c>
      <c r="O208" s="108">
        <f>MAX(IF(INDEX('Pace of change parameters'!$E$30:$I$30,1,$B$5)=1,(1+M208)*D208,D208),L208)</f>
        <v>226209</v>
      </c>
      <c r="P208" s="94">
        <f>IF(K208&lt;INDEX('Pace of change parameters'!$E$18:$I$18,1,$B$5),1,IF(K208&gt;INDEX('Pace of change parameters'!$E$19:$I$19,1,$B$5),0,(K208-INDEX('Pace of change parameters'!$E$19:$I$19,1,$B$5))/(INDEX('Pace of change parameters'!$E$18:$I$18,1,$B$5)-INDEX('Pace of change parameters'!$E$19:$I$19,1,$B$5))))</f>
        <v>0.25251439848332791</v>
      </c>
      <c r="Q208" s="57">
        <v>2.4519218096552109E-2</v>
      </c>
      <c r="R208" s="57">
        <v>1.5297483726157912E-2</v>
      </c>
      <c r="S208" s="9">
        <f>MAX(IF(INDEX('Pace of change parameters'!$E$31:$I$31,1,$B$5)=1,D208*(1+Q208),D208),L208)</f>
        <v>226209</v>
      </c>
      <c r="T208" s="103">
        <f>IF(Q208&lt;INDEX('Pace of change parameters'!$E$24:$I$24,1,$B$5),INDEX('Pace of change parameters'!$E$24:$I$24,1,$B$5),Q208)</f>
        <v>2.4519218096552109E-2</v>
      </c>
      <c r="U208" s="132">
        <v>1.5297483726157912E-2</v>
      </c>
      <c r="V208" s="117">
        <f t="shared" si="43"/>
        <v>226209</v>
      </c>
      <c r="W208" s="131">
        <f>IF(J208&gt;INDEX('Pace of change parameters'!$E$26:$I$26,1,$B$5),0,IF(J208&lt;INDEX('Pace of change parameters'!$E$25:$I$25,1,$B$5),1,(J208-INDEX('Pace of change parameters'!$E$26:$I$26,1,$B$5))/(INDEX('Pace of change parameters'!$E$25:$I$25,1,$B$5)-INDEX('Pace of change parameters'!$E$26:$I$26,1,$B$5))))</f>
        <v>1</v>
      </c>
      <c r="X208" s="132">
        <f>MIN(T208, T208+(INDEX('Pace of change parameters'!$E$27:$I$27,1,$B$5)-T208)*(1-W208))</f>
        <v>2.4519218096552109E-2</v>
      </c>
      <c r="Y208" s="132">
        <v>1.5297483726157912E-2</v>
      </c>
      <c r="Z208" s="108">
        <f t="shared" si="44"/>
        <v>226209</v>
      </c>
      <c r="AA208" s="97">
        <f>MIN(VLOOKUP(A208,'2017-18 disagg'!$A$12:$BC$220,54,FALSE),-2.5%)</f>
        <v>-2.5000000000000001E-2</v>
      </c>
      <c r="AB208" s="99">
        <f t="shared" si="36"/>
        <v>223194.29821905354</v>
      </c>
      <c r="AC208" s="99">
        <f>MAX(IF(INDEX('Pace of change parameters'!$E$29:$I$29,1,$B$5)=1,MAX(AB208,Z208),Z208),L208)</f>
        <v>226209</v>
      </c>
      <c r="AD208" s="97">
        <f t="shared" si="37"/>
        <v>2.4775754281054718E-2</v>
      </c>
      <c r="AE208" s="146">
        <v>1.5551710819227127E-2</v>
      </c>
      <c r="AF208" s="56">
        <f t="shared" si="45"/>
        <v>226209</v>
      </c>
      <c r="AG208" s="56">
        <v>1377.0263934986774</v>
      </c>
      <c r="AH208" s="16">
        <f t="shared" si="38"/>
        <v>2.4775754281054718E-2</v>
      </c>
      <c r="AI208" s="16">
        <f t="shared" si="39"/>
        <v>1.5551710819227127E-2</v>
      </c>
      <c r="AJ208" s="56"/>
      <c r="AK208" s="56">
        <v>228917.22894261903</v>
      </c>
      <c r="AL208" s="56">
        <v>1393.5124870388258</v>
      </c>
      <c r="AM208" s="16">
        <f t="shared" si="35"/>
        <v>-1.1830603380656335E-2</v>
      </c>
      <c r="AN208" s="58">
        <f t="shared" si="35"/>
        <v>-1.1830603380656446E-2</v>
      </c>
      <c r="AP208" s="56">
        <f t="shared" si="40"/>
        <v>1</v>
      </c>
      <c r="AQ208" s="56">
        <f t="shared" si="41"/>
        <v>0</v>
      </c>
    </row>
    <row r="209" spans="1:43" x14ac:dyDescent="0.2">
      <c r="A209" s="156" t="s">
        <v>463</v>
      </c>
      <c r="B209" s="156" t="s">
        <v>464</v>
      </c>
      <c r="D209" s="68">
        <f>VLOOKUP(A209,'2017-18 disagg'!A209:AZ417,43,FALSE)</f>
        <v>297138</v>
      </c>
      <c r="E209" s="73">
        <v>1446.8820810020886</v>
      </c>
      <c r="F209" s="55"/>
      <c r="G209" s="88">
        <v>301511.92184632353</v>
      </c>
      <c r="H209" s="81">
        <v>1461.7798896480122</v>
      </c>
      <c r="I209" s="90"/>
      <c r="J209" s="103">
        <f t="shared" si="42"/>
        <v>-1.4506629852443664E-2</v>
      </c>
      <c r="K209" s="126">
        <f t="shared" si="42"/>
        <v>-1.0191553975688383E-2</v>
      </c>
      <c r="L209" s="56">
        <v>303993</v>
      </c>
      <c r="M209" s="103">
        <v>1.6451019427328184E-2</v>
      </c>
      <c r="N209" s="97">
        <f>INDEX('Pace of change parameters'!$E$22:$I$22,1,$B$5)</f>
        <v>1.2019795091496865E-2</v>
      </c>
      <c r="O209" s="108">
        <f>MAX(IF(INDEX('Pace of change parameters'!$E$30:$I$30,1,$B$5)=1,(1+M209)*D209,D209),L209)</f>
        <v>303993</v>
      </c>
      <c r="P209" s="94">
        <f>IF(K209&lt;INDEX('Pace of change parameters'!$E$18:$I$18,1,$B$5),1,IF(K209&gt;INDEX('Pace of change parameters'!$E$19:$I$19,1,$B$5),0,(K209-INDEX('Pace of change parameters'!$E$19:$I$19,1,$B$5))/(INDEX('Pace of change parameters'!$E$18:$I$18,1,$B$5)-INDEX('Pace of change parameters'!$E$19:$I$19,1,$B$5))))</f>
        <v>0.41829591171243014</v>
      </c>
      <c r="Q209" s="57">
        <v>2.1904359944545648E-2</v>
      </c>
      <c r="R209" s="57">
        <v>1.7449361737913449E-2</v>
      </c>
      <c r="S209" s="9">
        <f>MAX(IF(INDEX('Pace of change parameters'!$E$31:$I$31,1,$B$5)=1,D209*(1+Q209),D209),L209)</f>
        <v>303993</v>
      </c>
      <c r="T209" s="103">
        <f>IF(Q209&lt;INDEX('Pace of change parameters'!$E$24:$I$24,1,$B$5),INDEX('Pace of change parameters'!$E$24:$I$24,1,$B$5),Q209)</f>
        <v>2.1904359944545648E-2</v>
      </c>
      <c r="U209" s="132">
        <v>1.7449361737913449E-2</v>
      </c>
      <c r="V209" s="117">
        <f t="shared" si="43"/>
        <v>303993</v>
      </c>
      <c r="W209" s="131">
        <f>IF(J209&gt;INDEX('Pace of change parameters'!$E$26:$I$26,1,$B$5),0,IF(J209&lt;INDEX('Pace of change parameters'!$E$25:$I$25,1,$B$5),1,(J209-INDEX('Pace of change parameters'!$E$26:$I$26,1,$B$5))/(INDEX('Pace of change parameters'!$E$25:$I$25,1,$B$5)-INDEX('Pace of change parameters'!$E$26:$I$26,1,$B$5))))</f>
        <v>1</v>
      </c>
      <c r="X209" s="132">
        <f>MIN(T209, T209+(INDEX('Pace of change parameters'!$E$27:$I$27,1,$B$5)-T209)*(1-W209))</f>
        <v>2.1904359944545648E-2</v>
      </c>
      <c r="Y209" s="132">
        <v>1.7449361737913449E-2</v>
      </c>
      <c r="Z209" s="108">
        <f t="shared" si="44"/>
        <v>303993</v>
      </c>
      <c r="AA209" s="97">
        <f>MIN(VLOOKUP(A209,'2017-18 disagg'!$A$12:$BC$220,54,FALSE),-2.5%)</f>
        <v>-2.5000000000000001E-2</v>
      </c>
      <c r="AB209" s="99">
        <f t="shared" si="36"/>
        <v>301348.8102357607</v>
      </c>
      <c r="AC209" s="99">
        <f>MAX(IF(INDEX('Pace of change parameters'!$E$29:$I$29,1,$B$5)=1,MAX(AB209,Z209),Z209),L209)</f>
        <v>303993</v>
      </c>
      <c r="AD209" s="97">
        <f t="shared" si="37"/>
        <v>2.3070088645679832E-2</v>
      </c>
      <c r="AE209" s="146">
        <v>1.8610008437760062E-2</v>
      </c>
      <c r="AF209" s="56">
        <f t="shared" si="45"/>
        <v>303993</v>
      </c>
      <c r="AG209" s="56">
        <v>1473.8085687379812</v>
      </c>
      <c r="AH209" s="16">
        <f t="shared" si="38"/>
        <v>2.3070088645679832E-2</v>
      </c>
      <c r="AI209" s="16">
        <f t="shared" si="39"/>
        <v>1.8610008437760062E-2</v>
      </c>
      <c r="AJ209" s="56"/>
      <c r="AK209" s="56">
        <v>309075.7028059084</v>
      </c>
      <c r="AL209" s="56">
        <v>1498.4503563702503</v>
      </c>
      <c r="AM209" s="16">
        <f t="shared" si="35"/>
        <v>-1.644484752365083E-2</v>
      </c>
      <c r="AN209" s="58">
        <f t="shared" si="35"/>
        <v>-1.6444847523650941E-2</v>
      </c>
      <c r="AP209" s="56">
        <f t="shared" si="40"/>
        <v>1</v>
      </c>
      <c r="AQ209" s="56">
        <f t="shared" si="41"/>
        <v>0</v>
      </c>
    </row>
    <row r="210" spans="1:43" x14ac:dyDescent="0.2">
      <c r="A210" s="156" t="s">
        <v>465</v>
      </c>
      <c r="B210" s="156" t="s">
        <v>466</v>
      </c>
      <c r="D210" s="68">
        <f>VLOOKUP(A210,'2017-18 disagg'!A210:AZ418,43,FALSE)</f>
        <v>784658</v>
      </c>
      <c r="E210" s="73">
        <v>1573.8845996545845</v>
      </c>
      <c r="F210" s="55"/>
      <c r="G210" s="88">
        <v>774789.59425822948</v>
      </c>
      <c r="H210" s="81">
        <v>1539.5819999303785</v>
      </c>
      <c r="I210" s="90"/>
      <c r="J210" s="103">
        <f t="shared" si="42"/>
        <v>1.2736884716705976E-2</v>
      </c>
      <c r="K210" s="126">
        <f t="shared" si="42"/>
        <v>2.2280462960567959E-2</v>
      </c>
      <c r="L210" s="56">
        <v>805370</v>
      </c>
      <c r="M210" s="103">
        <v>2.1556615804306789E-2</v>
      </c>
      <c r="N210" s="97">
        <f>INDEX('Pace of change parameters'!$E$22:$I$22,1,$B$5)</f>
        <v>1.2019795091496865E-2</v>
      </c>
      <c r="O210" s="108">
        <f>MAX(IF(INDEX('Pace of change parameters'!$E$30:$I$30,1,$B$5)=1,(1+M210)*D210,D210),L210)</f>
        <v>805370</v>
      </c>
      <c r="P210" s="94">
        <f>IF(K210&lt;INDEX('Pace of change parameters'!$E$18:$I$18,1,$B$5),1,IF(K210&gt;INDEX('Pace of change parameters'!$E$19:$I$19,1,$B$5),0,(K210-INDEX('Pace of change parameters'!$E$19:$I$19,1,$B$5))/(INDEX('Pace of change parameters'!$E$18:$I$18,1,$B$5)-INDEX('Pace of change parameters'!$E$19:$I$19,1,$B$5))))</f>
        <v>0</v>
      </c>
      <c r="Q210" s="57">
        <v>2.1556615804306789E-2</v>
      </c>
      <c r="R210" s="57">
        <v>1.2019795091496865E-2</v>
      </c>
      <c r="S210" s="9">
        <f>MAX(IF(INDEX('Pace of change parameters'!$E$31:$I$31,1,$B$5)=1,D210*(1+Q210),D210),L210)</f>
        <v>805370</v>
      </c>
      <c r="T210" s="103">
        <f>IF(Q210&lt;INDEX('Pace of change parameters'!$E$24:$I$24,1,$B$5),INDEX('Pace of change parameters'!$E$24:$I$24,1,$B$5),Q210)</f>
        <v>2.1556615804306789E-2</v>
      </c>
      <c r="U210" s="132">
        <v>1.2019795091496865E-2</v>
      </c>
      <c r="V210" s="117">
        <f t="shared" si="43"/>
        <v>805370</v>
      </c>
      <c r="W210" s="131">
        <f>IF(J210&gt;INDEX('Pace of change parameters'!$E$26:$I$26,1,$B$5),0,IF(J210&lt;INDEX('Pace of change parameters'!$E$25:$I$25,1,$B$5),1,(J210-INDEX('Pace of change parameters'!$E$26:$I$26,1,$B$5))/(INDEX('Pace of change parameters'!$E$25:$I$25,1,$B$5)-INDEX('Pace of change parameters'!$E$26:$I$26,1,$B$5))))</f>
        <v>1</v>
      </c>
      <c r="X210" s="132">
        <f>MIN(T210, T210+(INDEX('Pace of change parameters'!$E$27:$I$27,1,$B$5)-T210)*(1-W210))</f>
        <v>2.1556615804306789E-2</v>
      </c>
      <c r="Y210" s="132">
        <v>1.2019795091496865E-2</v>
      </c>
      <c r="Z210" s="108">
        <f t="shared" si="44"/>
        <v>805370</v>
      </c>
      <c r="AA210" s="97">
        <f>MIN(VLOOKUP(A210,'2017-18 disagg'!$A$12:$BC$220,54,FALSE),-2.5%)</f>
        <v>-2.5000000000000001E-2</v>
      </c>
      <c r="AB210" s="99">
        <f t="shared" si="36"/>
        <v>775113.41507910821</v>
      </c>
      <c r="AC210" s="99">
        <f>MAX(IF(INDEX('Pace of change parameters'!$E$29:$I$29,1,$B$5)=1,MAX(AB210,Z210),Z210),L210)</f>
        <v>805370</v>
      </c>
      <c r="AD210" s="97">
        <f t="shared" si="37"/>
        <v>2.6396213382135825E-2</v>
      </c>
      <c r="AE210" s="146">
        <v>1.6814212232228343E-2</v>
      </c>
      <c r="AF210" s="56">
        <f t="shared" si="45"/>
        <v>805370</v>
      </c>
      <c r="AG210" s="56">
        <v>1600.3482293422126</v>
      </c>
      <c r="AH210" s="16">
        <f t="shared" si="38"/>
        <v>2.6396213382135825E-2</v>
      </c>
      <c r="AI210" s="16">
        <f t="shared" si="39"/>
        <v>1.6814212232228565E-2</v>
      </c>
      <c r="AJ210" s="56"/>
      <c r="AK210" s="56">
        <v>794988.11802985461</v>
      </c>
      <c r="AL210" s="56">
        <v>1579.7184238762009</v>
      </c>
      <c r="AM210" s="16">
        <f t="shared" si="35"/>
        <v>1.3059166212287421E-2</v>
      </c>
      <c r="AN210" s="58">
        <f t="shared" si="35"/>
        <v>1.3059166212287199E-2</v>
      </c>
      <c r="AP210" s="56">
        <f t="shared" si="40"/>
        <v>1</v>
      </c>
      <c r="AQ210" s="56">
        <f t="shared" si="41"/>
        <v>0</v>
      </c>
    </row>
    <row r="211" spans="1:43" x14ac:dyDescent="0.2">
      <c r="A211" s="156" t="s">
        <v>467</v>
      </c>
      <c r="B211" s="156" t="s">
        <v>468</v>
      </c>
      <c r="D211" s="68">
        <f>VLOOKUP(A211,'2017-18 disagg'!A211:AZ419,43,FALSE)</f>
        <v>1321790</v>
      </c>
      <c r="E211" s="73">
        <v>1660.2892659658428</v>
      </c>
      <c r="F211" s="55"/>
      <c r="G211" s="88">
        <v>1316789.4441301771</v>
      </c>
      <c r="H211" s="81">
        <v>1644.1911391638891</v>
      </c>
      <c r="I211" s="90"/>
      <c r="J211" s="103">
        <f t="shared" si="42"/>
        <v>3.7975364186839666E-3</v>
      </c>
      <c r="K211" s="126">
        <f t="shared" si="42"/>
        <v>9.7909095959123338E-3</v>
      </c>
      <c r="L211" s="56">
        <v>1352459</v>
      </c>
      <c r="M211" s="103">
        <v>1.8062260902247385E-2</v>
      </c>
      <c r="N211" s="97">
        <f>INDEX('Pace of change parameters'!$E$22:$I$22,1,$B$5)</f>
        <v>1.2019795091496865E-2</v>
      </c>
      <c r="O211" s="108">
        <f>MAX(IF(INDEX('Pace of change parameters'!$E$30:$I$30,1,$B$5)=1,(1+M211)*D211,D211),L211)</f>
        <v>1352459</v>
      </c>
      <c r="P211" s="94">
        <f>IF(K211&lt;INDEX('Pace of change parameters'!$E$18:$I$18,1,$B$5),1,IF(K211&gt;INDEX('Pace of change parameters'!$E$19:$I$19,1,$B$5),0,(K211-INDEX('Pace of change parameters'!$E$19:$I$19,1,$B$5))/(INDEX('Pace of change parameters'!$E$18:$I$18,1,$B$5)-INDEX('Pace of change parameters'!$E$19:$I$19,1,$B$5))))</f>
        <v>0</v>
      </c>
      <c r="Q211" s="57">
        <v>1.8062260902247385E-2</v>
      </c>
      <c r="R211" s="57">
        <v>1.2019795091496865E-2</v>
      </c>
      <c r="S211" s="9">
        <f>MAX(IF(INDEX('Pace of change parameters'!$E$31:$I$31,1,$B$5)=1,D211*(1+Q211),D211),L211)</f>
        <v>1352459</v>
      </c>
      <c r="T211" s="103">
        <f>IF(Q211&lt;INDEX('Pace of change parameters'!$E$24:$I$24,1,$B$5),INDEX('Pace of change parameters'!$E$24:$I$24,1,$B$5),Q211)</f>
        <v>1.9732353921844841E-2</v>
      </c>
      <c r="U211" s="132">
        <v>1.3679975672180378E-2</v>
      </c>
      <c r="V211" s="117">
        <f t="shared" si="43"/>
        <v>1352459</v>
      </c>
      <c r="W211" s="131">
        <f>IF(J211&gt;INDEX('Pace of change parameters'!$E$26:$I$26,1,$B$5),0,IF(J211&lt;INDEX('Pace of change parameters'!$E$25:$I$25,1,$B$5),1,(J211-INDEX('Pace of change parameters'!$E$26:$I$26,1,$B$5))/(INDEX('Pace of change parameters'!$E$25:$I$25,1,$B$5)-INDEX('Pace of change parameters'!$E$26:$I$26,1,$B$5))))</f>
        <v>1</v>
      </c>
      <c r="X211" s="132">
        <f>MIN(T211, T211+(INDEX('Pace of change parameters'!$E$27:$I$27,1,$B$5)-T211)*(1-W211))</f>
        <v>1.9732353921844841E-2</v>
      </c>
      <c r="Y211" s="132">
        <v>1.3679975672180378E-2</v>
      </c>
      <c r="Z211" s="108">
        <f t="shared" si="44"/>
        <v>1352459</v>
      </c>
      <c r="AA211" s="97">
        <f>MIN(VLOOKUP(A211,'2017-18 disagg'!$A$12:$BC$220,54,FALSE),-2.5%)</f>
        <v>-2.5000000000000001E-2</v>
      </c>
      <c r="AB211" s="99">
        <f t="shared" si="36"/>
        <v>1315847.9622922356</v>
      </c>
      <c r="AC211" s="99">
        <f>MAX(IF(INDEX('Pace of change parameters'!$E$29:$I$29,1,$B$5)=1,MAX(AB211,Z211),Z211),L211)</f>
        <v>1352459</v>
      </c>
      <c r="AD211" s="97">
        <f t="shared" si="37"/>
        <v>2.3202626741010368E-2</v>
      </c>
      <c r="AE211" s="146">
        <v>1.712965151445256E-2</v>
      </c>
      <c r="AF211" s="56">
        <f t="shared" si="45"/>
        <v>1352459</v>
      </c>
      <c r="AG211" s="56">
        <v>1688.7294425050238</v>
      </c>
      <c r="AH211" s="16">
        <f t="shared" si="38"/>
        <v>2.3202626741010368E-2</v>
      </c>
      <c r="AI211" s="16">
        <f t="shared" si="39"/>
        <v>1.712965151445256E-2</v>
      </c>
      <c r="AJ211" s="56"/>
      <c r="AK211" s="56">
        <v>1349587.6536330623</v>
      </c>
      <c r="AL211" s="56">
        <v>1685.1441751146797</v>
      </c>
      <c r="AM211" s="16">
        <f t="shared" si="35"/>
        <v>2.1275730844219076E-3</v>
      </c>
      <c r="AN211" s="58">
        <f t="shared" si="35"/>
        <v>2.1275730844216856E-3</v>
      </c>
      <c r="AP211" s="56">
        <f t="shared" si="40"/>
        <v>1</v>
      </c>
      <c r="AQ211" s="56">
        <f t="shared" si="41"/>
        <v>0</v>
      </c>
    </row>
    <row r="212" spans="1:43" x14ac:dyDescent="0.2">
      <c r="A212" s="156" t="s">
        <v>469</v>
      </c>
      <c r="B212" s="156" t="s">
        <v>470</v>
      </c>
      <c r="D212" s="68">
        <f>VLOOKUP(A212,'2017-18 disagg'!A212:AZ420,43,FALSE)</f>
        <v>973793</v>
      </c>
      <c r="E212" s="73">
        <v>1511.7106310119184</v>
      </c>
      <c r="F212" s="55"/>
      <c r="G212" s="88">
        <v>982400.72298919875</v>
      </c>
      <c r="H212" s="81">
        <v>1514.7578066293729</v>
      </c>
      <c r="I212" s="90"/>
      <c r="J212" s="103">
        <f t="shared" si="42"/>
        <v>-8.761926561910105E-3</v>
      </c>
      <c r="K212" s="126">
        <f t="shared" si="42"/>
        <v>-2.0116586322370678E-3</v>
      </c>
      <c r="L212" s="56">
        <v>996765</v>
      </c>
      <c r="M212" s="103">
        <v>1.8911585217461058E-2</v>
      </c>
      <c r="N212" s="97">
        <f>INDEX('Pace of change parameters'!$E$22:$I$22,1,$B$5)</f>
        <v>1.2019795091496865E-2</v>
      </c>
      <c r="O212" s="108">
        <f>MAX(IF(INDEX('Pace of change parameters'!$E$30:$I$30,1,$B$5)=1,(1+M212)*D212,D212),L212)</f>
        <v>996765</v>
      </c>
      <c r="P212" s="94">
        <f>IF(K212&lt;INDEX('Pace of change parameters'!$E$18:$I$18,1,$B$5),1,IF(K212&gt;INDEX('Pace of change parameters'!$E$19:$I$19,1,$B$5),0,(K212-INDEX('Pace of change parameters'!$E$19:$I$19,1,$B$5))/(INDEX('Pace of change parameters'!$E$18:$I$18,1,$B$5)-INDEX('Pace of change parameters'!$E$19:$I$19,1,$B$5))))</f>
        <v>0.24080414069612524</v>
      </c>
      <c r="Q212" s="57">
        <v>2.2058558035825238E-2</v>
      </c>
      <c r="R212" s="57">
        <v>1.5145482180548564E-2</v>
      </c>
      <c r="S212" s="9">
        <f>MAX(IF(INDEX('Pace of change parameters'!$E$31:$I$31,1,$B$5)=1,D212*(1+Q212),D212),L212)</f>
        <v>996765</v>
      </c>
      <c r="T212" s="103">
        <f>IF(Q212&lt;INDEX('Pace of change parameters'!$E$24:$I$24,1,$B$5),INDEX('Pace of change parameters'!$E$24:$I$24,1,$B$5),Q212)</f>
        <v>2.2058558035825238E-2</v>
      </c>
      <c r="U212" s="132">
        <v>1.5145482180548564E-2</v>
      </c>
      <c r="V212" s="117">
        <f t="shared" si="43"/>
        <v>996765</v>
      </c>
      <c r="W212" s="131">
        <f>IF(J212&gt;INDEX('Pace of change parameters'!$E$26:$I$26,1,$B$5),0,IF(J212&lt;INDEX('Pace of change parameters'!$E$25:$I$25,1,$B$5),1,(J212-INDEX('Pace of change parameters'!$E$26:$I$26,1,$B$5))/(INDEX('Pace of change parameters'!$E$25:$I$25,1,$B$5)-INDEX('Pace of change parameters'!$E$26:$I$26,1,$B$5))))</f>
        <v>1</v>
      </c>
      <c r="X212" s="132">
        <f>MIN(T212, T212+(INDEX('Pace of change parameters'!$E$27:$I$27,1,$B$5)-T212)*(1-W212))</f>
        <v>2.2058558035825238E-2</v>
      </c>
      <c r="Y212" s="132">
        <v>1.5145482180548564E-2</v>
      </c>
      <c r="Z212" s="108">
        <f t="shared" si="44"/>
        <v>996765</v>
      </c>
      <c r="AA212" s="97">
        <f>MIN(VLOOKUP(A212,'2017-18 disagg'!$A$12:$BC$220,54,FALSE),-2.5%)</f>
        <v>-2.5000000000000001E-2</v>
      </c>
      <c r="AB212" s="99">
        <f t="shared" si="36"/>
        <v>981984.73863098689</v>
      </c>
      <c r="AC212" s="99">
        <f>MAX(IF(INDEX('Pace of change parameters'!$E$29:$I$29,1,$B$5)=1,MAX(AB212,Z212),Z212),L212)</f>
        <v>996765</v>
      </c>
      <c r="AD212" s="97">
        <f t="shared" si="37"/>
        <v>2.3590229134939467E-2</v>
      </c>
      <c r="AE212" s="146">
        <v>1.6666793248517608E-2</v>
      </c>
      <c r="AF212" s="56">
        <f t="shared" si="45"/>
        <v>996765</v>
      </c>
      <c r="AG212" s="56">
        <v>1536.90599955058</v>
      </c>
      <c r="AH212" s="16">
        <f t="shared" si="38"/>
        <v>2.3590229134939467E-2</v>
      </c>
      <c r="AI212" s="16">
        <f t="shared" si="39"/>
        <v>1.6666793248517608E-2</v>
      </c>
      <c r="AJ212" s="56"/>
      <c r="AK212" s="56">
        <v>1007163.8344933199</v>
      </c>
      <c r="AL212" s="56">
        <v>1552.939900340753</v>
      </c>
      <c r="AM212" s="16">
        <f t="shared" si="35"/>
        <v>-1.0324868841772195E-2</v>
      </c>
      <c r="AN212" s="58">
        <f t="shared" si="35"/>
        <v>-1.0324868841772195E-2</v>
      </c>
      <c r="AP212" s="56">
        <f t="shared" si="40"/>
        <v>1</v>
      </c>
      <c r="AQ212" s="56">
        <f t="shared" si="41"/>
        <v>0</v>
      </c>
    </row>
    <row r="213" spans="1:43" x14ac:dyDescent="0.2">
      <c r="A213" s="156" t="s">
        <v>471</v>
      </c>
      <c r="B213" s="156" t="s">
        <v>472</v>
      </c>
      <c r="D213" s="68">
        <f>VLOOKUP(A213,'2017-18 disagg'!A213:AZ421,43,FALSE)</f>
        <v>968063</v>
      </c>
      <c r="E213" s="73">
        <v>1698.8470001854457</v>
      </c>
      <c r="F213" s="55"/>
      <c r="G213" s="88">
        <v>950275.49223677418</v>
      </c>
      <c r="H213" s="81">
        <v>1654.3148365901495</v>
      </c>
      <c r="I213" s="90"/>
      <c r="J213" s="103">
        <f t="shared" si="42"/>
        <v>1.8718264238676063E-2</v>
      </c>
      <c r="K213" s="126">
        <f t="shared" si="42"/>
        <v>2.6918795993563949E-2</v>
      </c>
      <c r="L213" s="56">
        <v>990373</v>
      </c>
      <c r="M213" s="103">
        <v>2.0166405157848288E-2</v>
      </c>
      <c r="N213" s="97">
        <f>INDEX('Pace of change parameters'!$E$22:$I$22,1,$B$5)</f>
        <v>1.2019795091496865E-2</v>
      </c>
      <c r="O213" s="108">
        <f>MAX(IF(INDEX('Pace of change parameters'!$E$30:$I$30,1,$B$5)=1,(1+M213)*D213,D213),L213)</f>
        <v>990373</v>
      </c>
      <c r="P213" s="94">
        <f>IF(K213&lt;INDEX('Pace of change parameters'!$E$18:$I$18,1,$B$5),1,IF(K213&gt;INDEX('Pace of change parameters'!$E$19:$I$19,1,$B$5),0,(K213-INDEX('Pace of change parameters'!$E$19:$I$19,1,$B$5))/(INDEX('Pace of change parameters'!$E$18:$I$18,1,$B$5)-INDEX('Pace of change parameters'!$E$19:$I$19,1,$B$5))))</f>
        <v>0</v>
      </c>
      <c r="Q213" s="57">
        <v>2.0166405157848288E-2</v>
      </c>
      <c r="R213" s="57">
        <v>1.2019795091496865E-2</v>
      </c>
      <c r="S213" s="9">
        <f>MAX(IF(INDEX('Pace of change parameters'!$E$31:$I$31,1,$B$5)=1,D213*(1+Q213),D213),L213)</f>
        <v>990373</v>
      </c>
      <c r="T213" s="103">
        <f>IF(Q213&lt;INDEX('Pace of change parameters'!$E$24:$I$24,1,$B$5),INDEX('Pace of change parameters'!$E$24:$I$24,1,$B$5),Q213)</f>
        <v>2.0166405157848288E-2</v>
      </c>
      <c r="U213" s="132">
        <v>1.2019795091496865E-2</v>
      </c>
      <c r="V213" s="117">
        <f t="shared" si="43"/>
        <v>990373</v>
      </c>
      <c r="W213" s="131">
        <f>IF(J213&gt;INDEX('Pace of change parameters'!$E$26:$I$26,1,$B$5),0,IF(J213&lt;INDEX('Pace of change parameters'!$E$25:$I$25,1,$B$5),1,(J213-INDEX('Pace of change parameters'!$E$26:$I$26,1,$B$5))/(INDEX('Pace of change parameters'!$E$25:$I$25,1,$B$5)-INDEX('Pace of change parameters'!$E$26:$I$26,1,$B$5))))</f>
        <v>1</v>
      </c>
      <c r="X213" s="132">
        <f>MIN(T213, T213+(INDEX('Pace of change parameters'!$E$27:$I$27,1,$B$5)-T213)*(1-W213))</f>
        <v>2.0166405157848288E-2</v>
      </c>
      <c r="Y213" s="132">
        <v>1.2019795091496865E-2</v>
      </c>
      <c r="Z213" s="108">
        <f t="shared" si="44"/>
        <v>990373</v>
      </c>
      <c r="AA213" s="97">
        <f>MIN(VLOOKUP(A213,'2017-18 disagg'!$A$12:$BC$220,54,FALSE),-2.5%)</f>
        <v>-2.5000000000000001E-2</v>
      </c>
      <c r="AB213" s="99">
        <f t="shared" si="36"/>
        <v>949811.68410775322</v>
      </c>
      <c r="AC213" s="99">
        <f>MAX(IF(INDEX('Pace of change parameters'!$E$29:$I$29,1,$B$5)=1,MAX(AB213,Z213),Z213),L213)</f>
        <v>990373</v>
      </c>
      <c r="AD213" s="97">
        <f t="shared" si="37"/>
        <v>2.3046020765177477E-2</v>
      </c>
      <c r="AE213" s="146">
        <v>1.4876415327310877E-2</v>
      </c>
      <c r="AF213" s="56">
        <f t="shared" si="45"/>
        <v>990373</v>
      </c>
      <c r="AG213" s="56">
        <v>1724.1197537377604</v>
      </c>
      <c r="AH213" s="16">
        <f t="shared" si="38"/>
        <v>2.3046020765177477E-2</v>
      </c>
      <c r="AI213" s="16">
        <f t="shared" si="39"/>
        <v>1.4876415327310877E-2</v>
      </c>
      <c r="AJ213" s="56"/>
      <c r="AK213" s="56">
        <v>974165.82985410583</v>
      </c>
      <c r="AL213" s="56">
        <v>1695.9050283759775</v>
      </c>
      <c r="AM213" s="16">
        <f t="shared" si="35"/>
        <v>1.6636972524812776E-2</v>
      </c>
      <c r="AN213" s="58">
        <f t="shared" si="35"/>
        <v>1.6636972524812776E-2</v>
      </c>
      <c r="AP213" s="56">
        <f t="shared" si="40"/>
        <v>1</v>
      </c>
      <c r="AQ213" s="56">
        <f t="shared" si="41"/>
        <v>0</v>
      </c>
    </row>
    <row r="214" spans="1:43" x14ac:dyDescent="0.2">
      <c r="A214" s="156" t="s">
        <v>473</v>
      </c>
      <c r="B214" s="156" t="s">
        <v>474</v>
      </c>
      <c r="D214" s="68">
        <f>VLOOKUP(A214,'2017-18 disagg'!A214:AZ422,43,FALSE)</f>
        <v>361896</v>
      </c>
      <c r="E214" s="73">
        <v>1644.6630200303644</v>
      </c>
      <c r="F214" s="55"/>
      <c r="G214" s="88">
        <v>365199.21459486289</v>
      </c>
      <c r="H214" s="81">
        <v>1643.0385649337707</v>
      </c>
      <c r="I214" s="90"/>
      <c r="J214" s="103">
        <f t="shared" si="42"/>
        <v>-9.0449663166097816E-3</v>
      </c>
      <c r="K214" s="126">
        <f t="shared" si="42"/>
        <v>9.8868957263897883E-4</v>
      </c>
      <c r="L214" s="56">
        <v>371399</v>
      </c>
      <c r="M214" s="103">
        <v>2.2266736710343515E-2</v>
      </c>
      <c r="N214" s="97">
        <f>INDEX('Pace of change parameters'!$E$22:$I$22,1,$B$5)</f>
        <v>1.2019795091496865E-2</v>
      </c>
      <c r="O214" s="108">
        <f>MAX(IF(INDEX('Pace of change parameters'!$E$30:$I$30,1,$B$5)=1,(1+M214)*D214,D214),L214)</f>
        <v>371399</v>
      </c>
      <c r="P214" s="94">
        <f>IF(K214&lt;INDEX('Pace of change parameters'!$E$18:$I$18,1,$B$5),1,IF(K214&gt;INDEX('Pace of change parameters'!$E$19:$I$19,1,$B$5),0,(K214-INDEX('Pace of change parameters'!$E$19:$I$19,1,$B$5))/(INDEX('Pace of change parameters'!$E$18:$I$18,1,$B$5)-INDEX('Pace of change parameters'!$E$19:$I$19,1,$B$5))))</f>
        <v>0.17570097076677146</v>
      </c>
      <c r="Q214" s="57">
        <v>2.4570463282417521E-2</v>
      </c>
      <c r="R214" s="57">
        <v>1.430042969467249E-2</v>
      </c>
      <c r="S214" s="9">
        <f>MAX(IF(INDEX('Pace of change parameters'!$E$31:$I$31,1,$B$5)=1,D214*(1+Q214),D214),L214)</f>
        <v>371399</v>
      </c>
      <c r="T214" s="103">
        <f>IF(Q214&lt;INDEX('Pace of change parameters'!$E$24:$I$24,1,$B$5),INDEX('Pace of change parameters'!$E$24:$I$24,1,$B$5),Q214)</f>
        <v>2.4570463282417521E-2</v>
      </c>
      <c r="U214" s="132">
        <v>1.430042969467249E-2</v>
      </c>
      <c r="V214" s="117">
        <f t="shared" si="43"/>
        <v>371399</v>
      </c>
      <c r="W214" s="131">
        <f>IF(J214&gt;INDEX('Pace of change parameters'!$E$26:$I$26,1,$B$5),0,IF(J214&lt;INDEX('Pace of change parameters'!$E$25:$I$25,1,$B$5),1,(J214-INDEX('Pace of change parameters'!$E$26:$I$26,1,$B$5))/(INDEX('Pace of change parameters'!$E$25:$I$25,1,$B$5)-INDEX('Pace of change parameters'!$E$26:$I$26,1,$B$5))))</f>
        <v>1</v>
      </c>
      <c r="X214" s="132">
        <f>MIN(T214, T214+(INDEX('Pace of change parameters'!$E$27:$I$27,1,$B$5)-T214)*(1-W214))</f>
        <v>2.4570463282417521E-2</v>
      </c>
      <c r="Y214" s="132">
        <v>1.430042969467249E-2</v>
      </c>
      <c r="Z214" s="108">
        <f t="shared" si="44"/>
        <v>371399</v>
      </c>
      <c r="AA214" s="97">
        <f>MIN(VLOOKUP(A214,'2017-18 disagg'!$A$12:$BC$220,54,FALSE),-2.5%)</f>
        <v>-2.5000000000000001E-2</v>
      </c>
      <c r="AB214" s="99">
        <f t="shared" si="36"/>
        <v>365041.11621615745</v>
      </c>
      <c r="AC214" s="99">
        <f>MAX(IF(INDEX('Pace of change parameters'!$E$29:$I$29,1,$B$5)=1,MAX(AB214,Z214),Z214),L214)</f>
        <v>371399</v>
      </c>
      <c r="AD214" s="97">
        <f t="shared" si="37"/>
        <v>2.6258925216084084E-2</v>
      </c>
      <c r="AE214" s="146">
        <v>1.5971966915601543E-2</v>
      </c>
      <c r="AF214" s="56">
        <f t="shared" si="45"/>
        <v>371399</v>
      </c>
      <c r="AG214" s="56">
        <v>1670.9315233736027</v>
      </c>
      <c r="AH214" s="16">
        <f t="shared" si="38"/>
        <v>2.6258925216084084E-2</v>
      </c>
      <c r="AI214" s="16">
        <f t="shared" si="39"/>
        <v>1.5971966915601543E-2</v>
      </c>
      <c r="AJ214" s="56"/>
      <c r="AK214" s="56">
        <v>374401.14483708458</v>
      </c>
      <c r="AL214" s="56">
        <v>1684.4382329932246</v>
      </c>
      <c r="AM214" s="16">
        <f t="shared" si="35"/>
        <v>-8.018524725374232E-3</v>
      </c>
      <c r="AN214" s="58">
        <f t="shared" si="35"/>
        <v>-8.018524725374232E-3</v>
      </c>
      <c r="AP214" s="56">
        <f t="shared" si="40"/>
        <v>1</v>
      </c>
      <c r="AQ214" s="56">
        <f t="shared" si="41"/>
        <v>0</v>
      </c>
    </row>
    <row r="215" spans="1:43" x14ac:dyDescent="0.2">
      <c r="A215" s="156" t="s">
        <v>475</v>
      </c>
      <c r="B215" s="156" t="s">
        <v>476</v>
      </c>
      <c r="D215" s="68">
        <f>VLOOKUP(A215,'2017-18 disagg'!A215:AZ423,43,FALSE)</f>
        <v>1507831</v>
      </c>
      <c r="E215" s="73">
        <v>1655.0566240260421</v>
      </c>
      <c r="F215" s="55"/>
      <c r="G215" s="88">
        <v>1501699.9083109696</v>
      </c>
      <c r="H215" s="81">
        <v>1639.8874241360736</v>
      </c>
      <c r="I215" s="90"/>
      <c r="J215" s="103">
        <f t="shared" si="42"/>
        <v>4.0827675723349444E-3</v>
      </c>
      <c r="K215" s="126">
        <f t="shared" si="42"/>
        <v>9.2501470934567287E-3</v>
      </c>
      <c r="L215" s="56">
        <v>1542945</v>
      </c>
      <c r="M215" s="103">
        <v>1.7228021477822875E-2</v>
      </c>
      <c r="N215" s="97">
        <f>INDEX('Pace of change parameters'!$E$22:$I$22,1,$B$5)</f>
        <v>1.2019795091496865E-2</v>
      </c>
      <c r="O215" s="108">
        <f>MAX(IF(INDEX('Pace of change parameters'!$E$30:$I$30,1,$B$5)=1,(1+M215)*D215,D215),L215)</f>
        <v>1542945</v>
      </c>
      <c r="P215" s="94">
        <f>IF(K215&lt;INDEX('Pace of change parameters'!$E$18:$I$18,1,$B$5),1,IF(K215&gt;INDEX('Pace of change parameters'!$E$19:$I$19,1,$B$5),0,(K215-INDEX('Pace of change parameters'!$E$19:$I$19,1,$B$5))/(INDEX('Pace of change parameters'!$E$18:$I$18,1,$B$5)-INDEX('Pace of change parameters'!$E$19:$I$19,1,$B$5))))</f>
        <v>0</v>
      </c>
      <c r="Q215" s="57">
        <v>1.7228021477822875E-2</v>
      </c>
      <c r="R215" s="57">
        <v>1.2019795091496865E-2</v>
      </c>
      <c r="S215" s="9">
        <f>MAX(IF(INDEX('Pace of change parameters'!$E$31:$I$31,1,$B$5)=1,D215*(1+Q215),D215),L215)</f>
        <v>1542945</v>
      </c>
      <c r="T215" s="103">
        <f>IF(Q215&lt;INDEX('Pace of change parameters'!$E$24:$I$24,1,$B$5),INDEX('Pace of change parameters'!$E$24:$I$24,1,$B$5),Q215)</f>
        <v>1.9732353921844841E-2</v>
      </c>
      <c r="U215" s="132">
        <v>1.4511305306834865E-2</v>
      </c>
      <c r="V215" s="117">
        <f t="shared" si="43"/>
        <v>1542945</v>
      </c>
      <c r="W215" s="131">
        <f>IF(J215&gt;INDEX('Pace of change parameters'!$E$26:$I$26,1,$B$5),0,IF(J215&lt;INDEX('Pace of change parameters'!$E$25:$I$25,1,$B$5),1,(J215-INDEX('Pace of change parameters'!$E$26:$I$26,1,$B$5))/(INDEX('Pace of change parameters'!$E$25:$I$25,1,$B$5)-INDEX('Pace of change parameters'!$E$26:$I$26,1,$B$5))))</f>
        <v>1</v>
      </c>
      <c r="X215" s="132">
        <f>MIN(T215, T215+(INDEX('Pace of change parameters'!$E$27:$I$27,1,$B$5)-T215)*(1-W215))</f>
        <v>1.9732353921844841E-2</v>
      </c>
      <c r="Y215" s="132">
        <v>1.4511305306834865E-2</v>
      </c>
      <c r="Z215" s="108">
        <f t="shared" si="44"/>
        <v>1542945</v>
      </c>
      <c r="AA215" s="97">
        <f>MIN(VLOOKUP(A215,'2017-18 disagg'!$A$12:$BC$220,54,FALSE),-2.5%)</f>
        <v>-2.5000000000000001E-2</v>
      </c>
      <c r="AB215" s="99">
        <f t="shared" si="36"/>
        <v>1501237.7754189491</v>
      </c>
      <c r="AC215" s="99">
        <f>MAX(IF(INDEX('Pace of change parameters'!$E$29:$I$29,1,$B$5)=1,MAX(AB215,Z215),Z215),L215)</f>
        <v>1542945</v>
      </c>
      <c r="AD215" s="97">
        <f t="shared" si="37"/>
        <v>2.328775572328734E-2</v>
      </c>
      <c r="AE215" s="146">
        <v>1.8048503384937797E-2</v>
      </c>
      <c r="AF215" s="56">
        <f t="shared" si="45"/>
        <v>1542945</v>
      </c>
      <c r="AG215" s="56">
        <v>1684.9279191070395</v>
      </c>
      <c r="AH215" s="16">
        <f t="shared" si="38"/>
        <v>2.328775572328734E-2</v>
      </c>
      <c r="AI215" s="16">
        <f t="shared" si="39"/>
        <v>1.8048503384937575E-2</v>
      </c>
      <c r="AJ215" s="56"/>
      <c r="AK215" s="56">
        <v>1539731.0517117428</v>
      </c>
      <c r="AL215" s="56">
        <v>1681.4182209639102</v>
      </c>
      <c r="AM215" s="16">
        <f t="shared" si="35"/>
        <v>2.0873439453494846E-3</v>
      </c>
      <c r="AN215" s="58">
        <f t="shared" si="35"/>
        <v>2.0873439453494846E-3</v>
      </c>
      <c r="AP215" s="56">
        <f t="shared" si="40"/>
        <v>1</v>
      </c>
      <c r="AQ215" s="56">
        <f t="shared" si="41"/>
        <v>0</v>
      </c>
    </row>
    <row r="216" spans="1:43" x14ac:dyDescent="0.2">
      <c r="A216" s="156" t="s">
        <v>477</v>
      </c>
      <c r="B216" s="156" t="s">
        <v>478</v>
      </c>
      <c r="D216" s="68">
        <f>VLOOKUP(A216,'2017-18 disagg'!A216:AZ424,43,FALSE)</f>
        <v>916934</v>
      </c>
      <c r="E216" s="73">
        <v>1612.9747177982726</v>
      </c>
      <c r="F216" s="55"/>
      <c r="G216" s="88">
        <v>928637.51728532626</v>
      </c>
      <c r="H216" s="81">
        <v>1623.215711863955</v>
      </c>
      <c r="I216" s="90"/>
      <c r="J216" s="103">
        <f t="shared" si="42"/>
        <v>-1.2602890866975747E-2</v>
      </c>
      <c r="K216" s="126">
        <f t="shared" si="42"/>
        <v>-6.3090777096548312E-3</v>
      </c>
      <c r="L216" s="56">
        <v>937494</v>
      </c>
      <c r="M216" s="103">
        <v>1.8470556839633501E-2</v>
      </c>
      <c r="N216" s="97">
        <f>INDEX('Pace of change parameters'!$E$22:$I$22,1,$B$5)</f>
        <v>1.2019795091496865E-2</v>
      </c>
      <c r="O216" s="108">
        <f>MAX(IF(INDEX('Pace of change parameters'!$E$30:$I$30,1,$B$5)=1,(1+M216)*D216,D216),L216)</f>
        <v>937494</v>
      </c>
      <c r="P216" s="94">
        <f>IF(K216&lt;INDEX('Pace of change parameters'!$E$18:$I$18,1,$B$5),1,IF(K216&gt;INDEX('Pace of change parameters'!$E$19:$I$19,1,$B$5),0,(K216-INDEX('Pace of change parameters'!$E$19:$I$19,1,$B$5))/(INDEX('Pace of change parameters'!$E$18:$I$18,1,$B$5)-INDEX('Pace of change parameters'!$E$19:$I$19,1,$B$5))))</f>
        <v>0.33405185241175051</v>
      </c>
      <c r="Q216" s="57">
        <v>2.2834257022259052E-2</v>
      </c>
      <c r="R216" s="57">
        <v>1.6355856585866357E-2</v>
      </c>
      <c r="S216" s="9">
        <f>MAX(IF(INDEX('Pace of change parameters'!$E$31:$I$31,1,$B$5)=1,D216*(1+Q216),D216),L216)</f>
        <v>937871.50662844803</v>
      </c>
      <c r="T216" s="103">
        <f>IF(Q216&lt;INDEX('Pace of change parameters'!$E$24:$I$24,1,$B$5),INDEX('Pace of change parameters'!$E$24:$I$24,1,$B$5),Q216)</f>
        <v>2.2834257022259052E-2</v>
      </c>
      <c r="U216" s="132">
        <v>1.6355856585866357E-2</v>
      </c>
      <c r="V216" s="117">
        <f t="shared" si="43"/>
        <v>937871.50662844803</v>
      </c>
      <c r="W216" s="131">
        <f>IF(J216&gt;INDEX('Pace of change parameters'!$E$26:$I$26,1,$B$5),0,IF(J216&lt;INDEX('Pace of change parameters'!$E$25:$I$25,1,$B$5),1,(J216-INDEX('Pace of change parameters'!$E$26:$I$26,1,$B$5))/(INDEX('Pace of change parameters'!$E$25:$I$25,1,$B$5)-INDEX('Pace of change parameters'!$E$26:$I$26,1,$B$5))))</f>
        <v>1</v>
      </c>
      <c r="X216" s="132">
        <f>MIN(T216, T216+(INDEX('Pace of change parameters'!$E$27:$I$27,1,$B$5)-T216)*(1-W216))</f>
        <v>2.2834257022259052E-2</v>
      </c>
      <c r="Y216" s="132">
        <v>1.6355856585866357E-2</v>
      </c>
      <c r="Z216" s="108">
        <f t="shared" si="44"/>
        <v>937871.50662844803</v>
      </c>
      <c r="AA216" s="97">
        <f>MIN(VLOOKUP(A216,'2017-18 disagg'!$A$12:$BC$220,54,FALSE),-2.5%)</f>
        <v>-2.5000000000000001E-2</v>
      </c>
      <c r="AB216" s="99">
        <f t="shared" si="36"/>
        <v>928064.44039869425</v>
      </c>
      <c r="AC216" s="99">
        <f>MAX(IF(INDEX('Pace of change parameters'!$E$29:$I$29,1,$B$5)=1,MAX(AB216,Z216),Z216),L216)</f>
        <v>937871.50662844803</v>
      </c>
      <c r="AD216" s="97">
        <f t="shared" si="37"/>
        <v>2.2834257022259052E-2</v>
      </c>
      <c r="AE216" s="146">
        <v>1.6355856585866357E-2</v>
      </c>
      <c r="AF216" s="56">
        <f t="shared" si="45"/>
        <v>937871.50662844803</v>
      </c>
      <c r="AG216" s="56">
        <v>1639.3563009592092</v>
      </c>
      <c r="AH216" s="16">
        <f t="shared" si="38"/>
        <v>2.2834257022259052E-2</v>
      </c>
      <c r="AI216" s="16">
        <f t="shared" si="39"/>
        <v>1.6355856585866135E-2</v>
      </c>
      <c r="AJ216" s="56"/>
      <c r="AK216" s="56">
        <v>951860.96451148135</v>
      </c>
      <c r="AL216" s="56">
        <v>1663.8092305614728</v>
      </c>
      <c r="AM216" s="16">
        <f t="shared" si="35"/>
        <v>-1.4696955127488698E-2</v>
      </c>
      <c r="AN216" s="58">
        <f t="shared" si="35"/>
        <v>-1.4696955127488809E-2</v>
      </c>
      <c r="AP216" s="56">
        <f t="shared" si="40"/>
        <v>0</v>
      </c>
      <c r="AQ216" s="56">
        <f t="shared" si="41"/>
        <v>0</v>
      </c>
    </row>
    <row r="217" spans="1:43" x14ac:dyDescent="0.2">
      <c r="A217" s="156" t="s">
        <v>479</v>
      </c>
      <c r="B217" s="156" t="s">
        <v>480</v>
      </c>
      <c r="D217" s="68">
        <f>VLOOKUP(A217,'2017-18 disagg'!A217:AZ425,43,FALSE)</f>
        <v>511312</v>
      </c>
      <c r="E217" s="73">
        <v>1767.6028811767874</v>
      </c>
      <c r="F217" s="55"/>
      <c r="G217" s="88">
        <v>494518.99688713049</v>
      </c>
      <c r="H217" s="81">
        <v>1701.593569990107</v>
      </c>
      <c r="I217" s="90"/>
      <c r="J217" s="103">
        <f t="shared" si="42"/>
        <v>3.3958256848729995E-2</v>
      </c>
      <c r="K217" s="126">
        <f t="shared" si="42"/>
        <v>3.8792642585658177E-2</v>
      </c>
      <c r="L217" s="56">
        <v>521978</v>
      </c>
      <c r="M217" s="103">
        <v>1.675160513360674E-2</v>
      </c>
      <c r="N217" s="97">
        <f>INDEX('Pace of change parameters'!$E$22:$I$22,1,$B$5)</f>
        <v>1.2019795091496865E-2</v>
      </c>
      <c r="O217" s="108">
        <f>MAX(IF(INDEX('Pace of change parameters'!$E$30:$I$30,1,$B$5)=1,(1+M217)*D217,D217),L217)</f>
        <v>521978</v>
      </c>
      <c r="P217" s="94">
        <f>IF(K217&lt;INDEX('Pace of change parameters'!$E$18:$I$18,1,$B$5),1,IF(K217&gt;INDEX('Pace of change parameters'!$E$19:$I$19,1,$B$5),0,(K217-INDEX('Pace of change parameters'!$E$19:$I$19,1,$B$5))/(INDEX('Pace of change parameters'!$E$18:$I$18,1,$B$5)-INDEX('Pace of change parameters'!$E$19:$I$19,1,$B$5))))</f>
        <v>0</v>
      </c>
      <c r="Q217" s="57">
        <v>1.675160513360674E-2</v>
      </c>
      <c r="R217" s="57">
        <v>1.2019795091496865E-2</v>
      </c>
      <c r="S217" s="9">
        <f>MAX(IF(INDEX('Pace of change parameters'!$E$31:$I$31,1,$B$5)=1,D217*(1+Q217),D217),L217)</f>
        <v>521978</v>
      </c>
      <c r="T217" s="103">
        <f>IF(Q217&lt;INDEX('Pace of change parameters'!$E$24:$I$24,1,$B$5),INDEX('Pace of change parameters'!$E$24:$I$24,1,$B$5),Q217)</f>
        <v>1.9732353921844841E-2</v>
      </c>
      <c r="U217" s="132">
        <v>1.498667192027292E-2</v>
      </c>
      <c r="V217" s="117">
        <f t="shared" si="43"/>
        <v>521978</v>
      </c>
      <c r="W217" s="131">
        <f>IF(J217&gt;INDEX('Pace of change parameters'!$E$26:$I$26,1,$B$5),0,IF(J217&lt;INDEX('Pace of change parameters'!$E$25:$I$25,1,$B$5),1,(J217-INDEX('Pace of change parameters'!$E$26:$I$26,1,$B$5))/(INDEX('Pace of change parameters'!$E$25:$I$25,1,$B$5)-INDEX('Pace of change parameters'!$E$26:$I$26,1,$B$5))))</f>
        <v>1</v>
      </c>
      <c r="X217" s="132">
        <f>MIN(T217, T217+(INDEX('Pace of change parameters'!$E$27:$I$27,1,$B$5)-T217)*(1-W217))</f>
        <v>1.9732353921844841E-2</v>
      </c>
      <c r="Y217" s="132">
        <v>1.498667192027292E-2</v>
      </c>
      <c r="Z217" s="108">
        <f t="shared" si="44"/>
        <v>521978</v>
      </c>
      <c r="AA217" s="97">
        <f>MIN(VLOOKUP(A217,'2017-18 disagg'!$A$12:$BC$220,54,FALSE),-2.5%)</f>
        <v>-2.5000000000000001E-2</v>
      </c>
      <c r="AB217" s="99">
        <f t="shared" si="36"/>
        <v>494359.88919428678</v>
      </c>
      <c r="AC217" s="99">
        <f>MAX(IF(INDEX('Pace of change parameters'!$E$29:$I$29,1,$B$5)=1,MAX(AB217,Z217),Z217),L217)</f>
        <v>521978</v>
      </c>
      <c r="AD217" s="97">
        <f t="shared" si="37"/>
        <v>2.0860061958256404E-2</v>
      </c>
      <c r="AE217" s="146">
        <v>1.6109131771991025E-2</v>
      </c>
      <c r="AF217" s="56">
        <f t="shared" si="45"/>
        <v>521978</v>
      </c>
      <c r="AG217" s="56">
        <v>1796.0774289102151</v>
      </c>
      <c r="AH217" s="16">
        <f t="shared" si="38"/>
        <v>2.0860061958256404E-2</v>
      </c>
      <c r="AI217" s="16">
        <f t="shared" si="39"/>
        <v>1.6109131771991025E-2</v>
      </c>
      <c r="AJ217" s="56"/>
      <c r="AK217" s="56">
        <v>507035.78378901212</v>
      </c>
      <c r="AL217" s="56">
        <v>1744.6626618616965</v>
      </c>
      <c r="AM217" s="16">
        <f t="shared" si="35"/>
        <v>2.9469746887146098E-2</v>
      </c>
      <c r="AN217" s="58">
        <f t="shared" si="35"/>
        <v>2.9469746887146098E-2</v>
      </c>
      <c r="AP217" s="56">
        <f t="shared" si="40"/>
        <v>1</v>
      </c>
      <c r="AQ217" s="56">
        <f t="shared" si="41"/>
        <v>0</v>
      </c>
    </row>
    <row r="218" spans="1:43" x14ac:dyDescent="0.2">
      <c r="A218" s="156" t="s">
        <v>481</v>
      </c>
      <c r="B218" s="156" t="s">
        <v>482</v>
      </c>
      <c r="D218" s="68">
        <f>VLOOKUP(A218,'2017-18 disagg'!A218:AZ426,43,FALSE)</f>
        <v>384390</v>
      </c>
      <c r="E218" s="73">
        <v>1432.3334354983447</v>
      </c>
      <c r="F218" s="55"/>
      <c r="G218" s="88">
        <v>391607.84409801604</v>
      </c>
      <c r="H218" s="81">
        <v>1447.3979398051442</v>
      </c>
      <c r="I218" s="90"/>
      <c r="J218" s="103">
        <f t="shared" si="42"/>
        <v>-1.843130623351219E-2</v>
      </c>
      <c r="K218" s="126">
        <f t="shared" si="42"/>
        <v>-1.0407990706983838E-2</v>
      </c>
      <c r="L218" s="56">
        <v>393717</v>
      </c>
      <c r="M218" s="103">
        <v>2.0292017083372249E-2</v>
      </c>
      <c r="N218" s="97">
        <f>INDEX('Pace of change parameters'!$E$22:$I$22,1,$B$5)</f>
        <v>1.2019795091496865E-2</v>
      </c>
      <c r="O218" s="108">
        <f>MAX(IF(INDEX('Pace of change parameters'!$E$30:$I$30,1,$B$5)=1,(1+M218)*D218,D218),L218)</f>
        <v>393717</v>
      </c>
      <c r="P218" s="94">
        <f>IF(K218&lt;INDEX('Pace of change parameters'!$E$18:$I$18,1,$B$5),1,IF(K218&gt;INDEX('Pace of change parameters'!$E$19:$I$19,1,$B$5),0,(K218-INDEX('Pace of change parameters'!$E$19:$I$19,1,$B$5))/(INDEX('Pace of change parameters'!$E$18:$I$18,1,$B$5)-INDEX('Pace of change parameters'!$E$19:$I$19,1,$B$5))))</f>
        <v>0.42299227237936282</v>
      </c>
      <c r="Q218" s="57">
        <v>2.5827422865224214E-2</v>
      </c>
      <c r="R218" s="57">
        <v>1.7510321461694289E-2</v>
      </c>
      <c r="S218" s="9">
        <f>MAX(IF(INDEX('Pace of change parameters'!$E$31:$I$31,1,$B$5)=1,D218*(1+Q218),D218),L218)</f>
        <v>394317.80307516351</v>
      </c>
      <c r="T218" s="103">
        <f>IF(Q218&lt;INDEX('Pace of change parameters'!$E$24:$I$24,1,$B$5),INDEX('Pace of change parameters'!$E$24:$I$24,1,$B$5),Q218)</f>
        <v>2.5827422865224214E-2</v>
      </c>
      <c r="U218" s="132">
        <v>1.7510321461694289E-2</v>
      </c>
      <c r="V218" s="117">
        <f t="shared" si="43"/>
        <v>394317.80307516351</v>
      </c>
      <c r="W218" s="131">
        <f>IF(J218&gt;INDEX('Pace of change parameters'!$E$26:$I$26,1,$B$5),0,IF(J218&lt;INDEX('Pace of change parameters'!$E$25:$I$25,1,$B$5),1,(J218-INDEX('Pace of change parameters'!$E$26:$I$26,1,$B$5))/(INDEX('Pace of change parameters'!$E$25:$I$25,1,$B$5)-INDEX('Pace of change parameters'!$E$26:$I$26,1,$B$5))))</f>
        <v>1</v>
      </c>
      <c r="X218" s="132">
        <f>MIN(T218, T218+(INDEX('Pace of change parameters'!$E$27:$I$27,1,$B$5)-T218)*(1-W218))</f>
        <v>2.5827422865224214E-2</v>
      </c>
      <c r="Y218" s="132">
        <v>1.7510321461694289E-2</v>
      </c>
      <c r="Z218" s="108">
        <f t="shared" si="44"/>
        <v>394317.80307516351</v>
      </c>
      <c r="AA218" s="97">
        <f>MIN(VLOOKUP(A218,'2017-18 disagg'!$A$12:$BC$220,54,FALSE),-2.5%)</f>
        <v>-2.5000000000000001E-2</v>
      </c>
      <c r="AB218" s="99">
        <f t="shared" si="36"/>
        <v>391563.72553881345</v>
      </c>
      <c r="AC218" s="99">
        <f>MAX(IF(INDEX('Pace of change parameters'!$E$29:$I$29,1,$B$5)=1,MAX(AB218,Z218),Z218),L218)</f>
        <v>394317.80307516351</v>
      </c>
      <c r="AD218" s="97">
        <f t="shared" si="37"/>
        <v>2.5827422865224214E-2</v>
      </c>
      <c r="AE218" s="146">
        <v>1.7510321461694289E-2</v>
      </c>
      <c r="AF218" s="56">
        <f t="shared" si="45"/>
        <v>394317.80307516351</v>
      </c>
      <c r="AG218" s="56">
        <v>1457.4140543942533</v>
      </c>
      <c r="AH218" s="16">
        <f t="shared" si="38"/>
        <v>2.5827422865224214E-2</v>
      </c>
      <c r="AI218" s="16">
        <f t="shared" si="39"/>
        <v>1.7510321461694067E-2</v>
      </c>
      <c r="AJ218" s="56"/>
      <c r="AK218" s="56">
        <v>401603.82106544968</v>
      </c>
      <c r="AL218" s="56">
        <v>1484.3434624422798</v>
      </c>
      <c r="AM218" s="16">
        <f t="shared" si="35"/>
        <v>-1.8142302458568405E-2</v>
      </c>
      <c r="AN218" s="58">
        <f t="shared" si="35"/>
        <v>-1.8142302458568405E-2</v>
      </c>
      <c r="AP218" s="56">
        <f t="shared" si="40"/>
        <v>0</v>
      </c>
      <c r="AQ218" s="56">
        <f t="shared" si="41"/>
        <v>0</v>
      </c>
    </row>
    <row r="219" spans="1:43" x14ac:dyDescent="0.2">
      <c r="A219" s="156" t="s">
        <v>483</v>
      </c>
      <c r="B219" s="156" t="s">
        <v>484</v>
      </c>
      <c r="D219" s="68">
        <f>VLOOKUP(A219,'2017-18 disagg'!A219:AZ427,43,FALSE)</f>
        <v>343358</v>
      </c>
      <c r="E219" s="73">
        <v>1451.4456803603412</v>
      </c>
      <c r="F219" s="55"/>
      <c r="G219" s="88">
        <v>351554.60937343718</v>
      </c>
      <c r="H219" s="81">
        <v>1469.5251094552493</v>
      </c>
      <c r="I219" s="90"/>
      <c r="J219" s="103">
        <f t="shared" si="42"/>
        <v>-2.3315323295136747E-2</v>
      </c>
      <c r="K219" s="126">
        <f t="shared" si="42"/>
        <v>-1.2302905869781444E-2</v>
      </c>
      <c r="L219" s="56">
        <v>352675</v>
      </c>
      <c r="M219" s="103">
        <v>2.3430626746878458E-2</v>
      </c>
      <c r="N219" s="97">
        <f>INDEX('Pace of change parameters'!$E$22:$I$22,1,$B$5)</f>
        <v>1.2019795091496865E-2</v>
      </c>
      <c r="O219" s="108">
        <f>MAX(IF(INDEX('Pace of change parameters'!$E$30:$I$30,1,$B$5)=1,(1+M219)*D219,D219),L219)</f>
        <v>352675</v>
      </c>
      <c r="P219" s="94">
        <f>IF(K219&lt;INDEX('Pace of change parameters'!$E$18:$I$18,1,$B$5),1,IF(K219&gt;INDEX('Pace of change parameters'!$E$19:$I$19,1,$B$5),0,(K219-INDEX('Pace of change parameters'!$E$19:$I$19,1,$B$5))/(INDEX('Pace of change parameters'!$E$18:$I$18,1,$B$5)-INDEX('Pace of change parameters'!$E$19:$I$19,1,$B$5))))</f>
        <v>0.46410916129406732</v>
      </c>
      <c r="Q219" s="57">
        <v>2.9522783812539588E-2</v>
      </c>
      <c r="R219" s="57">
        <v>1.8044027105007299E-2</v>
      </c>
      <c r="S219" s="9">
        <f>MAX(IF(INDEX('Pace of change parameters'!$E$31:$I$31,1,$B$5)=1,D219*(1+Q219),D219),L219)</f>
        <v>353494.88400430599</v>
      </c>
      <c r="T219" s="103">
        <f>IF(Q219&lt;INDEX('Pace of change parameters'!$E$24:$I$24,1,$B$5),INDEX('Pace of change parameters'!$E$24:$I$24,1,$B$5),Q219)</f>
        <v>2.9522783812539588E-2</v>
      </c>
      <c r="U219" s="132">
        <v>1.8044027105007299E-2</v>
      </c>
      <c r="V219" s="117">
        <f t="shared" si="43"/>
        <v>353494.88400430599</v>
      </c>
      <c r="W219" s="131">
        <f>IF(J219&gt;INDEX('Pace of change parameters'!$E$26:$I$26,1,$B$5),0,IF(J219&lt;INDEX('Pace of change parameters'!$E$25:$I$25,1,$B$5),1,(J219-INDEX('Pace of change parameters'!$E$26:$I$26,1,$B$5))/(INDEX('Pace of change parameters'!$E$25:$I$25,1,$B$5)-INDEX('Pace of change parameters'!$E$26:$I$26,1,$B$5))))</f>
        <v>1</v>
      </c>
      <c r="X219" s="132">
        <f>MIN(T219, T219+(INDEX('Pace of change parameters'!$E$27:$I$27,1,$B$5)-T219)*(1-W219))</f>
        <v>2.9522783812539588E-2</v>
      </c>
      <c r="Y219" s="132">
        <v>1.8044027105007299E-2</v>
      </c>
      <c r="Z219" s="108">
        <f t="shared" si="44"/>
        <v>353494.88400430599</v>
      </c>
      <c r="AA219" s="97">
        <f>MIN(VLOOKUP(A219,'2017-18 disagg'!$A$12:$BC$220,54,FALSE),-2.5%)</f>
        <v>-2.5000000000000001E-2</v>
      </c>
      <c r="AB219" s="99">
        <f t="shared" si="36"/>
        <v>351433.48737080564</v>
      </c>
      <c r="AC219" s="99">
        <f>MAX(IF(INDEX('Pace of change parameters'!$E$29:$I$29,1,$B$5)=1,MAX(AB219,Z219),Z219),L219)</f>
        <v>353494.88400430599</v>
      </c>
      <c r="AD219" s="97">
        <f t="shared" si="37"/>
        <v>2.9522783812539588E-2</v>
      </c>
      <c r="AE219" s="146">
        <v>1.8044027105007299E-2</v>
      </c>
      <c r="AF219" s="56">
        <f t="shared" si="45"/>
        <v>353494.88400430599</v>
      </c>
      <c r="AG219" s="56">
        <v>1477.6356055582091</v>
      </c>
      <c r="AH219" s="16">
        <f t="shared" si="38"/>
        <v>2.9522783812539588E-2</v>
      </c>
      <c r="AI219" s="16">
        <f t="shared" si="39"/>
        <v>1.8044027105007521E-2</v>
      </c>
      <c r="AJ219" s="56"/>
      <c r="AK219" s="56">
        <v>360444.60243159556</v>
      </c>
      <c r="AL219" s="56">
        <v>1506.6859592166286</v>
      </c>
      <c r="AM219" s="16">
        <f t="shared" si="35"/>
        <v>-1.928096129171053E-2</v>
      </c>
      <c r="AN219" s="58">
        <f t="shared" si="35"/>
        <v>-1.9280961291710419E-2</v>
      </c>
      <c r="AP219" s="56">
        <f t="shared" si="40"/>
        <v>0</v>
      </c>
      <c r="AQ219" s="56">
        <f t="shared" si="41"/>
        <v>0</v>
      </c>
    </row>
    <row r="220" spans="1:43" x14ac:dyDescent="0.2">
      <c r="A220" s="156" t="s">
        <v>485</v>
      </c>
      <c r="B220" s="156" t="s">
        <v>486</v>
      </c>
      <c r="D220" s="68">
        <f>VLOOKUP(A220,'2017-18 disagg'!A220:AZ428,43,FALSE)</f>
        <v>752057</v>
      </c>
      <c r="E220" s="73">
        <v>1529.7334784799073</v>
      </c>
      <c r="F220" s="55"/>
      <c r="G220" s="88">
        <v>773204.04874335229</v>
      </c>
      <c r="H220" s="81">
        <v>1563.6589224416443</v>
      </c>
      <c r="I220" s="90"/>
      <c r="J220" s="103">
        <f t="shared" si="42"/>
        <v>-2.7349893961007399E-2</v>
      </c>
      <c r="K220" s="126">
        <f t="shared" si="42"/>
        <v>-2.1696191845190005E-2</v>
      </c>
      <c r="L220" s="56">
        <v>769458</v>
      </c>
      <c r="M220" s="103">
        <v>1.7902340542562234E-2</v>
      </c>
      <c r="N220" s="97">
        <f>INDEX('Pace of change parameters'!$E$22:$I$22,1,$B$5)</f>
        <v>1.2019795091496865E-2</v>
      </c>
      <c r="O220" s="108">
        <f>MAX(IF(INDEX('Pace of change parameters'!$E$30:$I$30,1,$B$5)=1,(1+M220)*D220,D220),L220)</f>
        <v>769458</v>
      </c>
      <c r="P220" s="94">
        <f>IF(K220&lt;INDEX('Pace of change parameters'!$E$18:$I$18,1,$B$5),1,IF(K220&gt;INDEX('Pace of change parameters'!$E$19:$I$19,1,$B$5),0,(K220-INDEX('Pace of change parameters'!$E$19:$I$19,1,$B$5))/(INDEX('Pace of change parameters'!$E$18:$I$18,1,$B$5)-INDEX('Pace of change parameters'!$E$19:$I$19,1,$B$5))))</f>
        <v>0.66792973520552223</v>
      </c>
      <c r="Q220" s="57">
        <v>2.6622600504721428E-2</v>
      </c>
      <c r="R220" s="57">
        <v>2.0689659918946779E-2</v>
      </c>
      <c r="S220" s="9">
        <f>MAX(IF(INDEX('Pace of change parameters'!$E$31:$I$31,1,$B$5)=1,D220*(1+Q220),D220),L220)</f>
        <v>772078.71306777932</v>
      </c>
      <c r="T220" s="103">
        <f>IF(Q220&lt;INDEX('Pace of change parameters'!$E$24:$I$24,1,$B$5),INDEX('Pace of change parameters'!$E$24:$I$24,1,$B$5),Q220)</f>
        <v>2.6622600504721428E-2</v>
      </c>
      <c r="U220" s="132">
        <v>2.0689659918946779E-2</v>
      </c>
      <c r="V220" s="117">
        <f t="shared" si="43"/>
        <v>772078.71306777932</v>
      </c>
      <c r="W220" s="131">
        <f>IF(J220&gt;INDEX('Pace of change parameters'!$E$26:$I$26,1,$B$5),0,IF(J220&lt;INDEX('Pace of change parameters'!$E$25:$I$25,1,$B$5),1,(J220-INDEX('Pace of change parameters'!$E$26:$I$26,1,$B$5))/(INDEX('Pace of change parameters'!$E$25:$I$25,1,$B$5)-INDEX('Pace of change parameters'!$E$26:$I$26,1,$B$5))))</f>
        <v>1</v>
      </c>
      <c r="X220" s="132">
        <f>MIN(T220, T220+(INDEX('Pace of change parameters'!$E$27:$I$27,1,$B$5)-T220)*(1-W220))</f>
        <v>2.6622600504721428E-2</v>
      </c>
      <c r="Y220" s="132">
        <v>2.0689659918946779E-2</v>
      </c>
      <c r="Z220" s="108">
        <f t="shared" si="44"/>
        <v>772078.71306777932</v>
      </c>
      <c r="AA220" s="97">
        <f>MIN(VLOOKUP(A220,'2017-18 disagg'!$A$12:$BC$220,54,FALSE),-2.5%)</f>
        <v>-2.8590294833129359E-2</v>
      </c>
      <c r="AB220" s="99">
        <f t="shared" si="36"/>
        <v>769929.31027958042</v>
      </c>
      <c r="AC220" s="99">
        <f>MAX(IF(INDEX('Pace of change parameters'!$E$29:$I$29,1,$B$5)=1,MAX(AB220,Z220),Z220),L220)</f>
        <v>772078.71306777932</v>
      </c>
      <c r="AD220" s="97">
        <f t="shared" si="37"/>
        <v>2.6622600504721428E-2</v>
      </c>
      <c r="AE220" s="146">
        <v>2.0689659918946779E-2</v>
      </c>
      <c r="AF220" s="56">
        <f t="shared" si="45"/>
        <v>772078.71306777932</v>
      </c>
      <c r="AG220" s="56">
        <v>1561.3831439162843</v>
      </c>
      <c r="AH220" s="16">
        <f t="shared" si="38"/>
        <v>2.6622600504721428E-2</v>
      </c>
      <c r="AI220" s="16">
        <f t="shared" si="39"/>
        <v>2.0689659918947001E-2</v>
      </c>
      <c r="AJ220" s="56"/>
      <c r="AK220" s="56">
        <v>792589.68299819541</v>
      </c>
      <c r="AL220" s="56">
        <v>1602.8627005633978</v>
      </c>
      <c r="AM220" s="16">
        <f t="shared" si="35"/>
        <v>-2.5878421546981945E-2</v>
      </c>
      <c r="AN220" s="58">
        <f t="shared" si="35"/>
        <v>-2.5878421546981945E-2</v>
      </c>
      <c r="AP220" s="56">
        <f t="shared" si="40"/>
        <v>0</v>
      </c>
      <c r="AQ220" s="56">
        <f t="shared" si="41"/>
        <v>0</v>
      </c>
    </row>
    <row r="221" spans="1:43" x14ac:dyDescent="0.2">
      <c r="A221" s="156"/>
      <c r="B221" s="156"/>
      <c r="D221" s="68"/>
      <c r="E221" s="73"/>
      <c r="F221" s="55"/>
      <c r="G221" s="88"/>
      <c r="H221" s="81"/>
      <c r="I221" s="90"/>
      <c r="J221" s="103"/>
      <c r="K221" s="126"/>
      <c r="L221" s="56"/>
      <c r="M221" s="103"/>
      <c r="N221" s="97"/>
      <c r="O221" s="108"/>
      <c r="P221" s="94"/>
      <c r="Q221" s="57"/>
      <c r="R221" s="57"/>
      <c r="S221" s="9"/>
      <c r="T221" s="103"/>
      <c r="U221" s="132"/>
      <c r="V221" s="117"/>
      <c r="W221" s="131"/>
      <c r="X221" s="132"/>
      <c r="Y221" s="132"/>
      <c r="Z221" s="108"/>
      <c r="AA221" s="97"/>
      <c r="AB221" s="99"/>
      <c r="AC221" s="99"/>
      <c r="AD221" s="97"/>
      <c r="AE221" s="146"/>
      <c r="AF221" s="56"/>
      <c r="AG221" s="56"/>
      <c r="AH221" s="16"/>
      <c r="AI221" s="16"/>
      <c r="AJ221" s="56"/>
      <c r="AK221" s="56"/>
      <c r="AL221" s="56"/>
      <c r="AM221" s="16"/>
      <c r="AN221" s="58"/>
      <c r="AP221" s="16"/>
      <c r="AQ221" s="16"/>
    </row>
    <row r="222" spans="1:43" s="43" customFormat="1" x14ac:dyDescent="0.2">
      <c r="A222" s="2"/>
      <c r="B222" s="59" t="s">
        <v>12</v>
      </c>
      <c r="D222" s="23">
        <f>SUM(D12:D220)</f>
        <v>94829648</v>
      </c>
      <c r="E222" s="74">
        <v>1630.1113270385943</v>
      </c>
      <c r="F222" s="60"/>
      <c r="G222" s="89">
        <f>SUM(G12:G220)</f>
        <v>94829716.878834456</v>
      </c>
      <c r="H222" s="82">
        <v>1618.4696648849867</v>
      </c>
      <c r="I222" s="154"/>
      <c r="J222" s="104">
        <f>D222/G222-1</f>
        <v>-7.263422977521472E-7</v>
      </c>
      <c r="K222" s="127">
        <f>E222/H222-1</f>
        <v>7.193006088523024E-3</v>
      </c>
      <c r="L222" s="24">
        <f>SUM(L12:L220)</f>
        <v>97149858</v>
      </c>
      <c r="M222" s="104">
        <f>O222/D222 - 1</f>
        <v>2.4677431975188124E-2</v>
      </c>
      <c r="N222" s="26">
        <f>'Pace of change parameters'!$E$22</f>
        <v>9.0547645222140982E-3</v>
      </c>
      <c r="O222" s="109">
        <f>SUM(O12:O220)</f>
        <v>97169800.18775104</v>
      </c>
      <c r="P222" s="26"/>
      <c r="Q222" s="26">
        <f>S222/D222 - 1</f>
        <v>2.5674011581985345E-2</v>
      </c>
      <c r="R222" s="26"/>
      <c r="S222" s="109">
        <f>SUM(S12:S220)</f>
        <v>97264305.481067583</v>
      </c>
      <c r="T222" s="104">
        <f>V222/D222-1</f>
        <v>2.5773451304067052E-2</v>
      </c>
      <c r="U222" s="26"/>
      <c r="V222" s="118">
        <f>SUM(V12:V220)</f>
        <v>97273735.314909816</v>
      </c>
      <c r="W222" s="104"/>
      <c r="X222" s="26">
        <f>Z222/D222-1</f>
        <v>2.5486443052915808E-2</v>
      </c>
      <c r="Y222" s="26"/>
      <c r="Z222" s="109">
        <f>SUM(Z12:Z220)</f>
        <v>97246518.423480049</v>
      </c>
      <c r="AA222" s="29"/>
      <c r="AB222" s="29">
        <f>SUM(AB12:AB220)</f>
        <v>94739854.54661122</v>
      </c>
      <c r="AC222" s="29">
        <f>SUM(AC12:AC220)</f>
        <v>97246518.423480049</v>
      </c>
      <c r="AD222" s="26">
        <f>AC222/D222-1</f>
        <v>2.5486443052915808E-2</v>
      </c>
      <c r="AE222" s="127"/>
      <c r="AF222" s="24">
        <f>SUM(AF12:AF220)</f>
        <v>97246518.423480049</v>
      </c>
      <c r="AG222" s="61">
        <v>1659.7174943080554</v>
      </c>
      <c r="AH222" s="25">
        <f>AF222/D222 - 1</f>
        <v>2.5486443052915808E-2</v>
      </c>
      <c r="AI222" s="25">
        <f>AG222/E222 - 1</f>
        <v>1.8162052357029168E-2</v>
      </c>
      <c r="AJ222" s="21"/>
      <c r="AK222" s="24">
        <f>SUM(AK12:AK220)</f>
        <v>97246569.278791621</v>
      </c>
      <c r="AL222" s="61">
        <v>1659.7183622614966</v>
      </c>
      <c r="AM222" s="25">
        <f t="shared" ref="AM222:AN222" si="46">AF222/AK222-1</f>
        <v>-5.2295224350906722E-7</v>
      </c>
      <c r="AN222" s="62">
        <f t="shared" si="46"/>
        <v>-5.2295224350906722E-7</v>
      </c>
      <c r="AP222" s="28">
        <f>SUM(AP12:AP220)</f>
        <v>132</v>
      </c>
      <c r="AQ222" s="28">
        <f>SUM(AQ12:AQ220)</f>
        <v>0</v>
      </c>
    </row>
    <row r="223" spans="1:43" x14ac:dyDescent="0.2">
      <c r="D223" s="13"/>
      <c r="E223" s="69"/>
      <c r="G223" s="84"/>
      <c r="H223" s="77"/>
      <c r="J223" s="125"/>
      <c r="K223" s="116"/>
      <c r="L223" s="3"/>
      <c r="M223" s="125"/>
      <c r="N223" s="15"/>
      <c r="O223" s="107"/>
      <c r="P223" s="4"/>
      <c r="Q223" s="4"/>
      <c r="R223" s="4"/>
      <c r="S223" s="4"/>
      <c r="T223" s="125"/>
      <c r="U223" s="15"/>
      <c r="V223" s="116"/>
      <c r="W223" s="125"/>
      <c r="X223" s="15"/>
      <c r="Y223" s="15"/>
      <c r="Z223" s="107"/>
      <c r="AA223" s="15"/>
      <c r="AB223" s="15"/>
      <c r="AC223" s="15"/>
      <c r="AD223" s="15"/>
      <c r="AE223" s="116"/>
      <c r="AF223" s="3"/>
      <c r="AG223" s="3"/>
      <c r="AH223" s="3"/>
      <c r="AI223" s="3"/>
      <c r="AJ223" s="3"/>
      <c r="AK223" s="3"/>
      <c r="AL223" s="3"/>
      <c r="AM223" s="3"/>
      <c r="AN223" s="4"/>
      <c r="AP223" s="3"/>
      <c r="AQ223" s="3"/>
    </row>
    <row r="224" spans="1:43" x14ac:dyDescent="0.2">
      <c r="B224" s="43" t="s">
        <v>513</v>
      </c>
      <c r="D224" s="1"/>
      <c r="AP224" s="1"/>
      <c r="AQ224" s="1"/>
    </row>
    <row r="225" spans="2:43" x14ac:dyDescent="0.2">
      <c r="D225" s="1"/>
      <c r="AP225" s="1"/>
      <c r="AQ225" s="1"/>
    </row>
    <row r="226" spans="2:43" x14ac:dyDescent="0.2">
      <c r="B226" s="1" t="s">
        <v>514</v>
      </c>
      <c r="D226" s="55">
        <v>28280566</v>
      </c>
      <c r="E226" s="166">
        <v>1750.7810093049661</v>
      </c>
      <c r="G226" s="55">
        <v>27701722.407323509</v>
      </c>
      <c r="H226" s="166">
        <v>1707.9115819285578</v>
      </c>
      <c r="J226" s="167">
        <f>D226/G226-1</f>
        <v>2.0895581298708832E-2</v>
      </c>
      <c r="K226" s="168">
        <f>E226/H226-1</f>
        <v>2.5100495734094563E-2</v>
      </c>
      <c r="L226" s="55">
        <v>28916900</v>
      </c>
      <c r="M226" s="167">
        <f>O226/$D226-1</f>
        <v>2.2640303744859924E-2</v>
      </c>
      <c r="N226" s="169">
        <f>N$222</f>
        <v>9.0547645222140982E-3</v>
      </c>
      <c r="O226" s="55">
        <v>28920846.604316559</v>
      </c>
      <c r="Q226" s="167">
        <f>S226/$D226-1</f>
        <v>2.2765775225481066E-2</v>
      </c>
      <c r="R226" s="170">
        <v>1.857043770475908E-2</v>
      </c>
      <c r="S226" s="55">
        <v>28924395.008805383</v>
      </c>
      <c r="T226" s="167">
        <f>V226/$D226-1</f>
        <v>2.2965652580339446E-2</v>
      </c>
      <c r="U226" s="170">
        <v>1.8769495172027639E-2</v>
      </c>
      <c r="V226" s="55">
        <v>28930047.653531361</v>
      </c>
      <c r="X226" s="167">
        <f>Z226/$D226-1</f>
        <v>2.26819547751409E-2</v>
      </c>
      <c r="Y226" s="170">
        <v>1.8486961081997766E-2</v>
      </c>
      <c r="Z226" s="55">
        <v>28922024.51902739</v>
      </c>
      <c r="AB226" s="55">
        <v>27683259.123892587</v>
      </c>
      <c r="AC226" s="55">
        <v>28922024.51902739</v>
      </c>
      <c r="AD226" s="167">
        <f>AC226/$D226-1</f>
        <v>2.26819547751409E-2</v>
      </c>
      <c r="AE226" s="170">
        <v>1.8486961081997766E-2</v>
      </c>
      <c r="AF226" s="55">
        <v>28922024.51902739</v>
      </c>
      <c r="AG226" s="166">
        <v>1783.1476296870878</v>
      </c>
      <c r="AH226" s="171">
        <f t="shared" ref="AH226:AI229" si="47">AF226/D226 - 1</f>
        <v>2.26819547751409E-2</v>
      </c>
      <c r="AI226" s="171">
        <f t="shared" si="47"/>
        <v>1.8486961081997766E-2</v>
      </c>
      <c r="AK226" s="55">
        <v>28400032.181357808</v>
      </c>
      <c r="AL226" s="166">
        <v>1750.9649102852015</v>
      </c>
      <c r="AM226" s="171">
        <f>AF226/AK226-1</f>
        <v>1.837999106255328E-2</v>
      </c>
      <c r="AN226" s="170">
        <f t="shared" ref="AN226:AN229" si="48">AG226/AL226-1</f>
        <v>1.837999106255328E-2</v>
      </c>
      <c r="AP226" s="55">
        <v>60</v>
      </c>
      <c r="AQ226" s="55">
        <v>0</v>
      </c>
    </row>
    <row r="227" spans="2:43" x14ac:dyDescent="0.2">
      <c r="B227" s="1" t="s">
        <v>515</v>
      </c>
      <c r="D227" s="55">
        <v>27703260</v>
      </c>
      <c r="E227" s="166">
        <v>1576.7807653143998</v>
      </c>
      <c r="G227" s="55">
        <v>28150218.038036503</v>
      </c>
      <c r="H227" s="166">
        <v>1591.0065679782999</v>
      </c>
      <c r="J227" s="167">
        <f t="shared" ref="J227:K229" si="49">D227/G227-1</f>
        <v>-1.5877604835336401E-2</v>
      </c>
      <c r="K227" s="168">
        <f t="shared" si="49"/>
        <v>-8.9413852527189253E-3</v>
      </c>
      <c r="L227" s="55">
        <v>28374276</v>
      </c>
      <c r="M227" s="167">
        <f>O227/$D227-1</f>
        <v>2.4221553708841492E-2</v>
      </c>
      <c r="N227" s="169">
        <f t="shared" ref="N227:N229" si="50">N$222</f>
        <v>9.0547645222140982E-3</v>
      </c>
      <c r="O227" s="55">
        <v>28374276</v>
      </c>
      <c r="Q227" s="167">
        <f>S227/$D227-1</f>
        <v>2.6204620310747107E-2</v>
      </c>
      <c r="R227" s="170">
        <v>1.9022420915823401E-2</v>
      </c>
      <c r="S227" s="55">
        <v>28429213.40966991</v>
      </c>
      <c r="T227" s="167">
        <f>V227/$D227-1</f>
        <v>2.6233897503481263E-2</v>
      </c>
      <c r="U227" s="170">
        <v>1.9051493203384062E-2</v>
      </c>
      <c r="V227" s="55">
        <v>28430024.483352292</v>
      </c>
      <c r="X227" s="167">
        <f>Z227/$D227-1</f>
        <v>2.6204620310747107E-2</v>
      </c>
      <c r="Y227" s="170">
        <v>1.9022420915823401E-2</v>
      </c>
      <c r="Z227" s="55">
        <v>28429213.40966991</v>
      </c>
      <c r="AB227" s="55">
        <v>28098741.66331809</v>
      </c>
      <c r="AC227" s="55">
        <v>28429213.40966991</v>
      </c>
      <c r="AD227" s="167">
        <f>AC227/$D227-1</f>
        <v>2.6204620310747107E-2</v>
      </c>
      <c r="AE227" s="170">
        <v>1.9022420915823401E-2</v>
      </c>
      <c r="AF227" s="55">
        <v>28429213.40966991</v>
      </c>
      <c r="AG227" s="166">
        <v>1606.7749527241845</v>
      </c>
      <c r="AH227" s="171">
        <f t="shared" si="47"/>
        <v>2.6204620310747107E-2</v>
      </c>
      <c r="AI227" s="171">
        <f t="shared" si="47"/>
        <v>1.9022420915823401E-2</v>
      </c>
      <c r="AK227" s="55">
        <v>28866089.922673993</v>
      </c>
      <c r="AL227" s="166">
        <v>1631.4665341764407</v>
      </c>
      <c r="AM227" s="171">
        <f t="shared" ref="AM227:AM229" si="51">AF227/AK227-1</f>
        <v>-1.513459267169126E-2</v>
      </c>
      <c r="AN227" s="170">
        <f t="shared" si="48"/>
        <v>-1.513459267169126E-2</v>
      </c>
      <c r="AP227" s="55">
        <v>26</v>
      </c>
      <c r="AQ227" s="55">
        <v>0</v>
      </c>
    </row>
    <row r="228" spans="2:43" x14ac:dyDescent="0.2">
      <c r="B228" s="1" t="s">
        <v>516</v>
      </c>
      <c r="D228" s="55">
        <v>15573028</v>
      </c>
      <c r="E228" s="166">
        <v>1619.2684499530469</v>
      </c>
      <c r="G228" s="55">
        <v>15543144.798347939</v>
      </c>
      <c r="H228" s="166">
        <v>1596.2377737159866</v>
      </c>
      <c r="J228" s="167">
        <f t="shared" si="49"/>
        <v>1.9225968772571544E-3</v>
      </c>
      <c r="K228" s="168">
        <f t="shared" si="49"/>
        <v>1.442809875589246E-2</v>
      </c>
      <c r="L228" s="55">
        <v>16022436</v>
      </c>
      <c r="M228" s="167">
        <f>O228/$D228-1</f>
        <v>2.9739144301034859E-2</v>
      </c>
      <c r="N228" s="169">
        <f t="shared" si="50"/>
        <v>9.0547645222140982E-3</v>
      </c>
      <c r="O228" s="55">
        <v>16036156.526896056</v>
      </c>
      <c r="Q228" s="167">
        <f>S228/$D228-1</f>
        <v>3.0605044886376609E-2</v>
      </c>
      <c r="R228" s="170">
        <v>1.7900119479870469E-2</v>
      </c>
      <c r="S228" s="55">
        <v>16049641.220956799</v>
      </c>
      <c r="T228" s="167">
        <f>V228/$D228-1</f>
        <v>3.0737484876588006E-2</v>
      </c>
      <c r="U228" s="170">
        <v>1.8030926797891089E-2</v>
      </c>
      <c r="V228" s="55">
        <v>16051703.71263268</v>
      </c>
      <c r="X228" s="167">
        <f>Z228/$D228-1</f>
        <v>2.9761181299210904E-2</v>
      </c>
      <c r="Y228" s="170">
        <v>1.7066658737112883E-2</v>
      </c>
      <c r="Z228" s="55">
        <v>16036499.709685687</v>
      </c>
      <c r="AB228" s="55">
        <v>15541694.07839133</v>
      </c>
      <c r="AC228" s="55">
        <v>16036499.709685687</v>
      </c>
      <c r="AD228" s="167">
        <f>AC228/$D228-1</f>
        <v>2.9761181299210904E-2</v>
      </c>
      <c r="AE228" s="170">
        <v>1.7066658737112883E-2</v>
      </c>
      <c r="AF228" s="55">
        <v>16036499.709685687</v>
      </c>
      <c r="AG228" s="166">
        <v>1646.9039519921689</v>
      </c>
      <c r="AH228" s="171">
        <f t="shared" si="47"/>
        <v>2.9761181299210904E-2</v>
      </c>
      <c r="AI228" s="171">
        <f t="shared" si="47"/>
        <v>1.7066658737112661E-2</v>
      </c>
      <c r="AK228" s="55">
        <v>15951933.864206351</v>
      </c>
      <c r="AL228" s="166">
        <v>1638.2192746844796</v>
      </c>
      <c r="AM228" s="171">
        <f t="shared" si="51"/>
        <v>5.3012911286629549E-3</v>
      </c>
      <c r="AN228" s="170">
        <f t="shared" si="48"/>
        <v>5.3012911286627329E-3</v>
      </c>
      <c r="AP228" s="55">
        <v>19</v>
      </c>
      <c r="AQ228" s="55">
        <v>0</v>
      </c>
    </row>
    <row r="229" spans="2:43" x14ac:dyDescent="0.2">
      <c r="B229" s="1" t="s">
        <v>517</v>
      </c>
      <c r="D229" s="55">
        <v>23272794</v>
      </c>
      <c r="E229" s="166">
        <v>1568.9050780802233</v>
      </c>
      <c r="G229" s="55">
        <v>23434631.635126397</v>
      </c>
      <c r="H229" s="166">
        <v>1568.3873970767372</v>
      </c>
      <c r="J229" s="167">
        <f t="shared" si="49"/>
        <v>-6.905917602895717E-3</v>
      </c>
      <c r="K229" s="168">
        <f t="shared" si="49"/>
        <v>3.3007215210423269E-4</v>
      </c>
      <c r="L229" s="55">
        <v>23836246</v>
      </c>
      <c r="M229" s="167">
        <f>O229/$D229-1</f>
        <v>2.4308514763566436E-2</v>
      </c>
      <c r="N229" s="169">
        <f t="shared" si="50"/>
        <v>9.0547645222140982E-3</v>
      </c>
      <c r="O229" s="55">
        <v>23838521.05653844</v>
      </c>
      <c r="Q229" s="167">
        <f>S229/$D229-1</f>
        <v>2.5276803534440617E-2</v>
      </c>
      <c r="R229" s="170">
        <v>1.7860359049818308E-2</v>
      </c>
      <c r="S229" s="55">
        <v>23861055.84163551</v>
      </c>
      <c r="T229" s="167">
        <f>V229/$D229-1</f>
        <v>2.5315631006465056E-2</v>
      </c>
      <c r="U229" s="170">
        <v>1.7898905659357922E-2</v>
      </c>
      <c r="V229" s="55">
        <v>23861959.465393476</v>
      </c>
      <c r="X229" s="167">
        <f>Z229/$D229-1</f>
        <v>2.5179047479089611E-2</v>
      </c>
      <c r="Y229" s="170">
        <v>1.7763310122878906E-2</v>
      </c>
      <c r="Z229" s="55">
        <v>23858780.78509707</v>
      </c>
      <c r="AB229" s="55">
        <v>23416159.681009252</v>
      </c>
      <c r="AC229" s="55">
        <v>23858780.78509707</v>
      </c>
      <c r="AD229" s="167">
        <f>AC229/$D229-1</f>
        <v>2.5179047479089611E-2</v>
      </c>
      <c r="AE229" s="170">
        <v>1.7763310122878906E-2</v>
      </c>
      <c r="AF229" s="55">
        <v>23858780.78509707</v>
      </c>
      <c r="AG229" s="166">
        <v>1596.774025535522</v>
      </c>
      <c r="AH229" s="171">
        <f t="shared" si="47"/>
        <v>2.5179047479089611E-2</v>
      </c>
      <c r="AI229" s="171">
        <f t="shared" si="47"/>
        <v>1.7763310122878906E-2</v>
      </c>
      <c r="AK229" s="55">
        <v>24028513.310553506</v>
      </c>
      <c r="AL229" s="166">
        <v>1608.1335535172148</v>
      </c>
      <c r="AM229" s="171">
        <f t="shared" si="51"/>
        <v>-7.0637963848512175E-3</v>
      </c>
      <c r="AN229" s="170">
        <f t="shared" si="48"/>
        <v>-7.0637963848511065E-3</v>
      </c>
      <c r="AP229" s="55">
        <v>27</v>
      </c>
      <c r="AQ229" s="55">
        <v>0</v>
      </c>
    </row>
    <row r="230" spans="2:43" ht="15" x14ac:dyDescent="0.25">
      <c r="B230"/>
      <c r="D230" s="1"/>
      <c r="G230" s="1"/>
      <c r="L230" s="1"/>
      <c r="O230" s="1"/>
      <c r="Q230" s="53"/>
      <c r="S230" s="1"/>
      <c r="U230" s="52"/>
      <c r="V230" s="1"/>
      <c r="X230" s="53"/>
      <c r="Y230" s="52"/>
      <c r="Z230" s="1"/>
      <c r="AB230" s="1"/>
      <c r="AC230" s="1"/>
      <c r="AD230" s="53"/>
      <c r="AE230" s="52"/>
      <c r="AF230" s="1"/>
      <c r="AG230" s="75"/>
      <c r="AK230" s="1"/>
      <c r="AL230" s="75"/>
      <c r="AP230" s="1"/>
      <c r="AQ230" s="1"/>
    </row>
    <row r="231" spans="2:43" x14ac:dyDescent="0.2">
      <c r="B231" s="1" t="s">
        <v>12</v>
      </c>
      <c r="D231" s="172">
        <f>SUM(D226:D229)</f>
        <v>94829648</v>
      </c>
      <c r="E231" s="173">
        <v>1630.1113270385943</v>
      </c>
      <c r="G231" s="172">
        <f>SUM(G226:G229)</f>
        <v>94829716.878834352</v>
      </c>
      <c r="H231" s="173">
        <v>1618.4696648849849</v>
      </c>
      <c r="J231" s="167">
        <f>D231/G231-1</f>
        <v>-7.2634229664192418E-7</v>
      </c>
      <c r="K231" s="168">
        <f>E231/H231-1</f>
        <v>7.1930060885241343E-3</v>
      </c>
      <c r="L231" s="172">
        <f>SUM(L226:L229)</f>
        <v>97149858</v>
      </c>
      <c r="M231" s="167">
        <f>O231/$D231-1</f>
        <v>2.4677431975188346E-2</v>
      </c>
      <c r="N231" s="169">
        <f>N$222</f>
        <v>9.0547645222140982E-3</v>
      </c>
      <c r="O231" s="172">
        <f>SUM(O226:O229)</f>
        <v>97169800.187751055</v>
      </c>
      <c r="Q231" s="167">
        <f>S231/$D231-1</f>
        <v>2.5674011581985345E-2</v>
      </c>
      <c r="R231" s="170">
        <v>1.8348281204625172E-2</v>
      </c>
      <c r="S231" s="172">
        <f>SUM(S226:S229)</f>
        <v>97264305.481067598</v>
      </c>
      <c r="T231" s="167">
        <f>V231/$D231-1</f>
        <v>2.5773451304067052E-2</v>
      </c>
      <c r="U231" s="170">
        <v>1.8447010692670851E-2</v>
      </c>
      <c r="V231" s="172">
        <f>SUM(V226:V229)</f>
        <v>97273735.314909816</v>
      </c>
      <c r="X231" s="167">
        <f>Z231/$D231-1</f>
        <v>2.548644305291603E-2</v>
      </c>
      <c r="Y231" s="170">
        <v>1.816205235702939E-2</v>
      </c>
      <c r="Z231" s="172">
        <f>SUM(Z226:Z229)</f>
        <v>97246518.423480064</v>
      </c>
      <c r="AB231" s="172">
        <f>SUM(AB226:AB229)</f>
        <v>94739854.546611249</v>
      </c>
      <c r="AC231" s="172">
        <f>SUM(AC226:AC229)</f>
        <v>97246518.423480064</v>
      </c>
      <c r="AD231" s="167">
        <f>AC231/$D231-1</f>
        <v>2.548644305291603E-2</v>
      </c>
      <c r="AE231" s="170">
        <v>1.816205235702939E-2</v>
      </c>
      <c r="AF231" s="172">
        <f>SUM(AF226:AF229)</f>
        <v>97246518.423480064</v>
      </c>
      <c r="AG231" s="166">
        <v>1659.7174943080556</v>
      </c>
      <c r="AH231" s="171">
        <f>AF231/D231 - 1</f>
        <v>2.548644305291603E-2</v>
      </c>
      <c r="AI231" s="171">
        <f>AG231/E231 - 1</f>
        <v>1.8162052357029168E-2</v>
      </c>
      <c r="AK231" s="172">
        <f>SUM(AK226:AK229)</f>
        <v>97246569.278791651</v>
      </c>
      <c r="AL231" s="173">
        <v>1659.7183622614971</v>
      </c>
      <c r="AM231" s="171">
        <f>AF231/AK231-1</f>
        <v>-5.2295224362008952E-7</v>
      </c>
      <c r="AN231" s="170">
        <f t="shared" ref="AN231" si="52">AG231/AL231-1</f>
        <v>-5.2295224373111182E-7</v>
      </c>
      <c r="AP231" s="172">
        <f>SUM(AP226:AP229)</f>
        <v>132</v>
      </c>
      <c r="AQ231" s="172">
        <f>SUM(AQ226:AQ229)</f>
        <v>0</v>
      </c>
    </row>
    <row r="232" spans="2:43" ht="15" x14ac:dyDescent="0.25">
      <c r="B232"/>
      <c r="D232" s="1"/>
      <c r="G232" s="1"/>
      <c r="L232" s="1"/>
      <c r="O232" s="1"/>
      <c r="Q232" s="53"/>
      <c r="S232" s="1"/>
      <c r="U232" s="52"/>
      <c r="V232" s="1"/>
      <c r="X232" s="53"/>
      <c r="Y232" s="52"/>
      <c r="Z232" s="1"/>
      <c r="AB232" s="1"/>
      <c r="AC232" s="1"/>
      <c r="AD232" s="53"/>
      <c r="AE232" s="52"/>
      <c r="AF232" s="1"/>
      <c r="AG232" s="75"/>
      <c r="AK232" s="1"/>
      <c r="AL232" s="75"/>
      <c r="AP232" s="1"/>
      <c r="AQ232" s="1"/>
    </row>
    <row r="233" spans="2:43" x14ac:dyDescent="0.2">
      <c r="B233" s="43" t="s">
        <v>518</v>
      </c>
      <c r="D233" s="1"/>
      <c r="G233" s="1"/>
      <c r="L233" s="1"/>
      <c r="O233" s="1"/>
      <c r="Q233" s="53"/>
      <c r="S233" s="1"/>
      <c r="U233" s="52"/>
      <c r="V233" s="1"/>
      <c r="X233" s="53"/>
      <c r="Y233" s="52"/>
      <c r="Z233" s="1"/>
      <c r="AB233" s="1"/>
      <c r="AC233" s="1"/>
      <c r="AD233" s="53"/>
      <c r="AE233" s="52"/>
      <c r="AF233" s="1"/>
      <c r="AG233" s="75"/>
      <c r="AK233" s="1"/>
      <c r="AL233" s="75"/>
      <c r="AP233" s="1"/>
      <c r="AQ233" s="1"/>
    </row>
    <row r="234" spans="2:43" x14ac:dyDescent="0.2">
      <c r="D234" s="1"/>
      <c r="G234" s="1"/>
      <c r="L234" s="1"/>
      <c r="O234" s="1"/>
      <c r="Q234" s="53"/>
      <c r="S234" s="1"/>
      <c r="U234" s="52"/>
      <c r="V234" s="1"/>
      <c r="X234" s="53"/>
      <c r="Y234" s="52"/>
      <c r="Z234" s="1"/>
      <c r="AB234" s="1"/>
      <c r="AC234" s="1"/>
      <c r="AD234" s="53"/>
      <c r="AE234" s="52"/>
      <c r="AF234" s="1"/>
      <c r="AG234" s="75"/>
      <c r="AK234" s="1"/>
      <c r="AL234" s="75"/>
      <c r="AP234" s="1"/>
      <c r="AQ234" s="1"/>
    </row>
    <row r="235" spans="2:43" x14ac:dyDescent="0.2">
      <c r="B235" s="1" t="s">
        <v>519</v>
      </c>
      <c r="D235" s="55">
        <v>2261689</v>
      </c>
      <c r="E235" s="166">
        <v>1816.6258839269119</v>
      </c>
      <c r="G235" s="55">
        <v>2212842.7467287532</v>
      </c>
      <c r="H235" s="166">
        <v>1771.2362561446121</v>
      </c>
      <c r="J235" s="167">
        <f t="shared" ref="J235:K259" si="53">D235/G235-1</f>
        <v>2.2073983044414769E-2</v>
      </c>
      <c r="K235" s="168">
        <f t="shared" si="53"/>
        <v>2.5625959058165337E-2</v>
      </c>
      <c r="L235" s="55">
        <v>2312259</v>
      </c>
      <c r="M235" s="167">
        <f t="shared" ref="M235:M259" si="54">O235/$D235-1</f>
        <v>2.2359396008911903E-2</v>
      </c>
      <c r="N235" s="169">
        <f t="shared" ref="N235:N259" si="55">N$222</f>
        <v>9.0547645222140982E-3</v>
      </c>
      <c r="O235" s="55">
        <v>2312259</v>
      </c>
      <c r="Q235" s="167">
        <f t="shared" ref="Q235:Q259" si="56">S235/$D235-1</f>
        <v>2.2359396008911903E-2</v>
      </c>
      <c r="R235" s="170">
        <v>1.8818732846104691E-2</v>
      </c>
      <c r="S235" s="55">
        <v>2312259</v>
      </c>
      <c r="T235" s="167">
        <f t="shared" ref="T235:T259" si="57">V235/$D235-1</f>
        <v>2.2359396008911903E-2</v>
      </c>
      <c r="U235" s="170">
        <v>1.8818732846104691E-2</v>
      </c>
      <c r="V235" s="55">
        <v>2312259</v>
      </c>
      <c r="X235" s="167">
        <f t="shared" ref="X235:X259" si="58">Z235/$D235-1</f>
        <v>2.2359396008911903E-2</v>
      </c>
      <c r="Y235" s="170">
        <v>1.8818732846104691E-2</v>
      </c>
      <c r="Z235" s="55">
        <v>2312259</v>
      </c>
      <c r="AB235" s="55">
        <v>2211413.3522614678</v>
      </c>
      <c r="AC235" s="55">
        <v>2312259</v>
      </c>
      <c r="AD235" s="167">
        <f t="shared" ref="AD235:AD259" si="59">AC235/$D235-1</f>
        <v>2.2359396008911903E-2</v>
      </c>
      <c r="AE235" s="170">
        <v>1.8818732846104691E-2</v>
      </c>
      <c r="AF235" s="55">
        <v>2312259</v>
      </c>
      <c r="AG235" s="166">
        <v>1850.8124811178513</v>
      </c>
      <c r="AH235" s="171">
        <f t="shared" ref="AH235:AI259" si="60">AF235/D235 - 1</f>
        <v>2.2359396008911903E-2</v>
      </c>
      <c r="AI235" s="171">
        <f t="shared" si="60"/>
        <v>1.8818732846104691E-2</v>
      </c>
      <c r="AK235" s="55">
        <v>2268116.2587297102</v>
      </c>
      <c r="AL235" s="166">
        <v>1815.4790965386114</v>
      </c>
      <c r="AM235" s="171">
        <f t="shared" ref="AM235:AN259" si="61">AF235/AK235-1</f>
        <v>1.9462292155611349E-2</v>
      </c>
      <c r="AN235" s="170">
        <f t="shared" si="61"/>
        <v>1.9462292155611349E-2</v>
      </c>
      <c r="AP235" s="55">
        <v>5</v>
      </c>
      <c r="AQ235" s="55">
        <v>0</v>
      </c>
    </row>
    <row r="236" spans="2:43" x14ac:dyDescent="0.2">
      <c r="B236" s="1" t="s">
        <v>520</v>
      </c>
      <c r="D236" s="55">
        <v>3689615</v>
      </c>
      <c r="E236" s="166">
        <v>1828.5424092356177</v>
      </c>
      <c r="G236" s="55">
        <v>3532163.1987104043</v>
      </c>
      <c r="H236" s="166">
        <v>1746.8715549645071</v>
      </c>
      <c r="J236" s="167">
        <f t="shared" si="53"/>
        <v>4.4576592991819153E-2</v>
      </c>
      <c r="K236" s="168">
        <f t="shared" si="53"/>
        <v>4.6752638474767405E-2</v>
      </c>
      <c r="L236" s="55">
        <v>3762111</v>
      </c>
      <c r="M236" s="167">
        <f t="shared" si="54"/>
        <v>2.0681232750591194E-2</v>
      </c>
      <c r="N236" s="169">
        <f t="shared" si="55"/>
        <v>9.0547645222140982E-3</v>
      </c>
      <c r="O236" s="55">
        <v>3765920.7865750729</v>
      </c>
      <c r="Q236" s="167">
        <f t="shared" si="56"/>
        <v>2.0681232750591194E-2</v>
      </c>
      <c r="R236" s="170">
        <v>1.8559385903094139E-2</v>
      </c>
      <c r="S236" s="55">
        <v>3765920.7865750729</v>
      </c>
      <c r="T236" s="167">
        <f t="shared" si="57"/>
        <v>2.1971714125781805E-2</v>
      </c>
      <c r="U236" s="170">
        <v>1.9847184556441855E-2</v>
      </c>
      <c r="V236" s="55">
        <v>3770682.1660141964</v>
      </c>
      <c r="X236" s="167">
        <f t="shared" si="58"/>
        <v>1.9925231868614279E-2</v>
      </c>
      <c r="Y236" s="170">
        <v>1.7804956636266578E-2</v>
      </c>
      <c r="Z236" s="55">
        <v>3763131.4343809169</v>
      </c>
      <c r="AB236" s="55">
        <v>3530078.8342024935</v>
      </c>
      <c r="AC236" s="55">
        <v>3763131.4343809169</v>
      </c>
      <c r="AD236" s="167">
        <f t="shared" si="59"/>
        <v>1.9925231868614279E-2</v>
      </c>
      <c r="AE236" s="170">
        <v>1.7804956636266578E-2</v>
      </c>
      <c r="AF236" s="55">
        <v>3763131.4343809169</v>
      </c>
      <c r="AG236" s="166">
        <v>1861.0995275396319</v>
      </c>
      <c r="AH236" s="171">
        <f t="shared" si="60"/>
        <v>1.9925231868614279E-2</v>
      </c>
      <c r="AI236" s="171">
        <f t="shared" si="60"/>
        <v>1.7804956636266356E-2</v>
      </c>
      <c r="AK236" s="55">
        <v>3620593.6761051221</v>
      </c>
      <c r="AL236" s="166">
        <v>1790.6058551262788</v>
      </c>
      <c r="AM236" s="171">
        <f t="shared" si="61"/>
        <v>3.9368614936412971E-2</v>
      </c>
      <c r="AN236" s="170">
        <f t="shared" si="61"/>
        <v>3.9368614936412971E-2</v>
      </c>
      <c r="AP236" s="55">
        <v>5</v>
      </c>
      <c r="AQ236" s="55">
        <v>0</v>
      </c>
    </row>
    <row r="237" spans="2:43" x14ac:dyDescent="0.2">
      <c r="B237" s="1" t="s">
        <v>55</v>
      </c>
      <c r="D237" s="55">
        <v>2725897</v>
      </c>
      <c r="E237" s="166">
        <v>1775.3803940035225</v>
      </c>
      <c r="G237" s="55">
        <v>2685656.4147114535</v>
      </c>
      <c r="H237" s="166">
        <v>1744.793765592279</v>
      </c>
      <c r="J237" s="167">
        <f t="shared" si="53"/>
        <v>1.4983519510581189E-2</v>
      </c>
      <c r="K237" s="168">
        <f t="shared" si="53"/>
        <v>1.7530225642949038E-2</v>
      </c>
      <c r="L237" s="55">
        <v>2789059</v>
      </c>
      <c r="M237" s="167">
        <f t="shared" si="54"/>
        <v>2.3171088269292595E-2</v>
      </c>
      <c r="N237" s="169">
        <f t="shared" si="55"/>
        <v>9.0547645222140982E-3</v>
      </c>
      <c r="O237" s="55">
        <v>2789059</v>
      </c>
      <c r="Q237" s="167">
        <f t="shared" si="56"/>
        <v>2.3171088269292595E-2</v>
      </c>
      <c r="R237" s="170">
        <v>2.0610264011408308E-2</v>
      </c>
      <c r="S237" s="55">
        <v>2789059</v>
      </c>
      <c r="T237" s="167">
        <f t="shared" si="57"/>
        <v>2.3171088269292595E-2</v>
      </c>
      <c r="U237" s="170">
        <v>2.0610264011408308E-2</v>
      </c>
      <c r="V237" s="55">
        <v>2789059</v>
      </c>
      <c r="X237" s="167">
        <f t="shared" si="58"/>
        <v>2.3171088269292595E-2</v>
      </c>
      <c r="Y237" s="170">
        <v>2.0610264011408308E-2</v>
      </c>
      <c r="Z237" s="55">
        <v>2789059</v>
      </c>
      <c r="AB237" s="55">
        <v>2684591.1975117675</v>
      </c>
      <c r="AC237" s="55">
        <v>2789059</v>
      </c>
      <c r="AD237" s="167">
        <f t="shared" si="59"/>
        <v>2.3171088269292595E-2</v>
      </c>
      <c r="AE237" s="170">
        <v>2.0610264011408308E-2</v>
      </c>
      <c r="AF237" s="55">
        <v>2789059</v>
      </c>
      <c r="AG237" s="166">
        <v>1811.9714526446132</v>
      </c>
      <c r="AH237" s="171">
        <f t="shared" si="60"/>
        <v>2.3171088269292595E-2</v>
      </c>
      <c r="AI237" s="171">
        <f t="shared" si="60"/>
        <v>2.0610264011408308E-2</v>
      </c>
      <c r="AK237" s="55">
        <v>2753570.0818077666</v>
      </c>
      <c r="AL237" s="166">
        <v>1788.9153227278323</v>
      </c>
      <c r="AM237" s="171">
        <f t="shared" si="61"/>
        <v>1.2888329382535479E-2</v>
      </c>
      <c r="AN237" s="170">
        <f t="shared" si="61"/>
        <v>1.2888329382535479E-2</v>
      </c>
      <c r="AP237" s="55">
        <v>8</v>
      </c>
      <c r="AQ237" s="55">
        <v>0</v>
      </c>
    </row>
    <row r="238" spans="2:43" x14ac:dyDescent="0.2">
      <c r="B238" s="1" t="s">
        <v>521</v>
      </c>
      <c r="D238" s="55">
        <v>5291677</v>
      </c>
      <c r="E238" s="166">
        <v>1772.8080432622903</v>
      </c>
      <c r="G238" s="55">
        <v>5329172.9732591193</v>
      </c>
      <c r="H238" s="166">
        <v>1774.728473941115</v>
      </c>
      <c r="J238" s="167">
        <f t="shared" si="53"/>
        <v>-7.035983528263734E-3</v>
      </c>
      <c r="K238" s="168">
        <f t="shared" si="53"/>
        <v>-1.0820983080076507E-3</v>
      </c>
      <c r="L238" s="55">
        <v>5423163</v>
      </c>
      <c r="M238" s="167">
        <f t="shared" si="54"/>
        <v>2.4847699510004206E-2</v>
      </c>
      <c r="N238" s="169">
        <f t="shared" si="55"/>
        <v>9.0547645222140982E-3</v>
      </c>
      <c r="O238" s="55">
        <v>5423163</v>
      </c>
      <c r="Q238" s="167">
        <f t="shared" si="56"/>
        <v>2.5255492833827997E-2</v>
      </c>
      <c r="R238" s="170">
        <v>1.9144626750209115E-2</v>
      </c>
      <c r="S238" s="55">
        <v>5425320.9105524328</v>
      </c>
      <c r="T238" s="167">
        <f t="shared" si="57"/>
        <v>2.5255492833827997E-2</v>
      </c>
      <c r="U238" s="170">
        <v>1.9144626750209115E-2</v>
      </c>
      <c r="V238" s="55">
        <v>5425320.9105524328</v>
      </c>
      <c r="X238" s="167">
        <f t="shared" si="58"/>
        <v>2.5255492833827997E-2</v>
      </c>
      <c r="Y238" s="170">
        <v>1.9144626750209115E-2</v>
      </c>
      <c r="Z238" s="55">
        <v>5425320.9105524328</v>
      </c>
      <c r="AB238" s="55">
        <v>5324310.2529218942</v>
      </c>
      <c r="AC238" s="55">
        <v>5425320.9105524328</v>
      </c>
      <c r="AD238" s="167">
        <f t="shared" si="59"/>
        <v>2.5255492833827997E-2</v>
      </c>
      <c r="AE238" s="170">
        <v>1.9144626750209115E-2</v>
      </c>
      <c r="AF238" s="55">
        <v>5425320.9105524328</v>
      </c>
      <c r="AG238" s="166">
        <v>1806.7477915503152</v>
      </c>
      <c r="AH238" s="171">
        <f t="shared" si="60"/>
        <v>2.5255492833827997E-2</v>
      </c>
      <c r="AI238" s="171">
        <f t="shared" si="60"/>
        <v>1.9144626750209115E-2</v>
      </c>
      <c r="AK238" s="55">
        <v>5465627.562853178</v>
      </c>
      <c r="AL238" s="166">
        <v>1820.1707680395975</v>
      </c>
      <c r="AM238" s="171">
        <f t="shared" si="61"/>
        <v>-7.3745698617825317E-3</v>
      </c>
      <c r="AN238" s="170">
        <f t="shared" si="61"/>
        <v>-7.3745698617825317E-3</v>
      </c>
      <c r="AP238" s="55">
        <v>10</v>
      </c>
      <c r="AQ238" s="55">
        <v>0</v>
      </c>
    </row>
    <row r="239" spans="2:43" x14ac:dyDescent="0.2">
      <c r="B239" s="1" t="s">
        <v>522</v>
      </c>
      <c r="D239" s="55">
        <v>2212181</v>
      </c>
      <c r="E239" s="166">
        <v>1691.5789843160048</v>
      </c>
      <c r="G239" s="55">
        <v>2224757.6770678749</v>
      </c>
      <c r="H239" s="166">
        <v>1694.9342358931051</v>
      </c>
      <c r="J239" s="167">
        <f t="shared" si="53"/>
        <v>-5.6530548012089232E-3</v>
      </c>
      <c r="K239" s="168">
        <f t="shared" si="53"/>
        <v>-1.979576260864313E-3</v>
      </c>
      <c r="L239" s="55">
        <v>2263133</v>
      </c>
      <c r="M239" s="167">
        <f t="shared" si="54"/>
        <v>2.3032473382603058E-2</v>
      </c>
      <c r="N239" s="169">
        <f t="shared" si="55"/>
        <v>9.0547645222140982E-3</v>
      </c>
      <c r="O239" s="55">
        <v>2263133</v>
      </c>
      <c r="Q239" s="167">
        <f t="shared" si="56"/>
        <v>2.328674371784456E-2</v>
      </c>
      <c r="R239" s="170">
        <v>1.9520265793892655E-2</v>
      </c>
      <c r="S239" s="55">
        <v>2263695.4920044849</v>
      </c>
      <c r="T239" s="167">
        <f t="shared" si="57"/>
        <v>2.328674371784456E-2</v>
      </c>
      <c r="U239" s="170">
        <v>1.9520265793892655E-2</v>
      </c>
      <c r="V239" s="55">
        <v>2263695.4920044849</v>
      </c>
      <c r="X239" s="167">
        <f t="shared" si="58"/>
        <v>2.328674371784456E-2</v>
      </c>
      <c r="Y239" s="170">
        <v>1.9520265793892655E-2</v>
      </c>
      <c r="Z239" s="55">
        <v>2263695.4920044849</v>
      </c>
      <c r="AB239" s="55">
        <v>2223183.9312525131</v>
      </c>
      <c r="AC239" s="55">
        <v>2263695.4920044849</v>
      </c>
      <c r="AD239" s="167">
        <f t="shared" si="59"/>
        <v>2.328674371784456E-2</v>
      </c>
      <c r="AE239" s="170">
        <v>1.9520265793892655E-2</v>
      </c>
      <c r="AF239" s="55">
        <v>2263695.4920044849</v>
      </c>
      <c r="AG239" s="166">
        <v>1724.599055701216</v>
      </c>
      <c r="AH239" s="171">
        <f t="shared" si="60"/>
        <v>2.328674371784456E-2</v>
      </c>
      <c r="AI239" s="171">
        <f t="shared" si="60"/>
        <v>1.9520265793892433E-2</v>
      </c>
      <c r="AK239" s="55">
        <v>2280188.6474384749</v>
      </c>
      <c r="AL239" s="166">
        <v>1737.1643854407766</v>
      </c>
      <c r="AM239" s="171">
        <f t="shared" si="61"/>
        <v>-7.2332416234587305E-3</v>
      </c>
      <c r="AN239" s="170">
        <f t="shared" si="61"/>
        <v>-7.2332416234589525E-3</v>
      </c>
      <c r="AP239" s="55">
        <v>5</v>
      </c>
      <c r="AQ239" s="55">
        <v>0</v>
      </c>
    </row>
    <row r="240" spans="2:43" x14ac:dyDescent="0.2">
      <c r="B240" s="1" t="s">
        <v>523</v>
      </c>
      <c r="D240" s="55">
        <v>2525195</v>
      </c>
      <c r="E240" s="166">
        <v>1975.9798922642681</v>
      </c>
      <c r="G240" s="55">
        <v>2417041.6135531776</v>
      </c>
      <c r="H240" s="166">
        <v>1887.5498541234006</v>
      </c>
      <c r="J240" s="167">
        <f t="shared" si="53"/>
        <v>4.4746183036473042E-2</v>
      </c>
      <c r="K240" s="168">
        <f t="shared" si="53"/>
        <v>4.6849113917542207E-2</v>
      </c>
      <c r="L240" s="55">
        <v>2578625</v>
      </c>
      <c r="M240" s="167">
        <f t="shared" si="54"/>
        <v>2.1158761996598274E-2</v>
      </c>
      <c r="N240" s="169">
        <f t="shared" si="55"/>
        <v>9.0547645222140982E-3</v>
      </c>
      <c r="O240" s="55">
        <v>2578625</v>
      </c>
      <c r="Q240" s="167">
        <f t="shared" si="56"/>
        <v>2.1158761996598274E-2</v>
      </c>
      <c r="R240" s="170">
        <v>1.9107438394631471E-2</v>
      </c>
      <c r="S240" s="55">
        <v>2578625</v>
      </c>
      <c r="T240" s="167">
        <f t="shared" si="57"/>
        <v>2.1212172456177569E-2</v>
      </c>
      <c r="U240" s="170">
        <v>1.916074156223968E-2</v>
      </c>
      <c r="V240" s="55">
        <v>2578759.8718254771</v>
      </c>
      <c r="X240" s="167">
        <f t="shared" si="58"/>
        <v>2.1158761996598274E-2</v>
      </c>
      <c r="Y240" s="170">
        <v>1.9107438394631471E-2</v>
      </c>
      <c r="Z240" s="55">
        <v>2578625</v>
      </c>
      <c r="AB240" s="55">
        <v>2416001.2168997061</v>
      </c>
      <c r="AC240" s="55">
        <v>2578625</v>
      </c>
      <c r="AD240" s="167">
        <f t="shared" si="59"/>
        <v>2.1158761996598274E-2</v>
      </c>
      <c r="AE240" s="170">
        <v>1.9107438394631471E-2</v>
      </c>
      <c r="AF240" s="55">
        <v>2578625</v>
      </c>
      <c r="AG240" s="166">
        <v>2013.7358063247382</v>
      </c>
      <c r="AH240" s="171">
        <f t="shared" si="60"/>
        <v>2.1158761996598274E-2</v>
      </c>
      <c r="AI240" s="171">
        <f t="shared" si="60"/>
        <v>1.9107438394631471E-2</v>
      </c>
      <c r="AK240" s="55">
        <v>2477949.9660509801</v>
      </c>
      <c r="AL240" s="166">
        <v>1935.1152544158333</v>
      </c>
      <c r="AM240" s="171">
        <f t="shared" si="61"/>
        <v>4.0628356233302743E-2</v>
      </c>
      <c r="AN240" s="170">
        <f t="shared" si="61"/>
        <v>4.0628356233302743E-2</v>
      </c>
      <c r="AP240" s="55">
        <v>6</v>
      </c>
      <c r="AQ240" s="55">
        <v>0</v>
      </c>
    </row>
    <row r="241" spans="2:43" x14ac:dyDescent="0.2">
      <c r="B241" s="1" t="s">
        <v>524</v>
      </c>
      <c r="D241" s="55">
        <v>4071087</v>
      </c>
      <c r="E241" s="166">
        <v>1615.8001048777539</v>
      </c>
      <c r="G241" s="55">
        <v>3993374.369688238</v>
      </c>
      <c r="H241" s="166">
        <v>1575.3067959066866</v>
      </c>
      <c r="J241" s="167">
        <f t="shared" si="53"/>
        <v>1.9460391918584063E-2</v>
      </c>
      <c r="K241" s="168">
        <f t="shared" si="53"/>
        <v>2.570503033205096E-2</v>
      </c>
      <c r="L241" s="55">
        <v>4164682</v>
      </c>
      <c r="M241" s="167">
        <f t="shared" si="54"/>
        <v>2.3023781545687294E-2</v>
      </c>
      <c r="N241" s="169">
        <f t="shared" si="55"/>
        <v>9.0547645222140982E-3</v>
      </c>
      <c r="O241" s="55">
        <v>4164818.8177414872</v>
      </c>
      <c r="Q241" s="167">
        <f t="shared" si="56"/>
        <v>2.3227167504254576E-2</v>
      </c>
      <c r="R241" s="170">
        <v>1.6997614672840999E-2</v>
      </c>
      <c r="S241" s="55">
        <v>4165646.8196733929</v>
      </c>
      <c r="T241" s="167">
        <f t="shared" si="57"/>
        <v>2.3330054624122853E-2</v>
      </c>
      <c r="U241" s="170">
        <v>1.7099875401259679E-2</v>
      </c>
      <c r="V241" s="55">
        <v>4166065.682089556</v>
      </c>
      <c r="X241" s="167">
        <f t="shared" si="58"/>
        <v>2.3330054624122853E-2</v>
      </c>
      <c r="Y241" s="170">
        <v>1.7099875401259679E-2</v>
      </c>
      <c r="Z241" s="55">
        <v>4166065.682089556</v>
      </c>
      <c r="AB241" s="55">
        <v>3989079.2746448047</v>
      </c>
      <c r="AC241" s="55">
        <v>4166065.682089556</v>
      </c>
      <c r="AD241" s="167">
        <f t="shared" si="59"/>
        <v>2.3330054624122853E-2</v>
      </c>
      <c r="AE241" s="170">
        <v>1.7099875401259679E-2</v>
      </c>
      <c r="AF241" s="55">
        <v>4166065.682089556</v>
      </c>
      <c r="AG241" s="166">
        <v>1643.4300853445059</v>
      </c>
      <c r="AH241" s="171">
        <f t="shared" si="60"/>
        <v>2.3330054624122853E-2</v>
      </c>
      <c r="AI241" s="171">
        <f t="shared" si="60"/>
        <v>1.7099875401259679E-2</v>
      </c>
      <c r="AK241" s="55">
        <v>4093369.5122721083</v>
      </c>
      <c r="AL241" s="166">
        <v>1614.7528916360802</v>
      </c>
      <c r="AM241" s="171">
        <f t="shared" si="61"/>
        <v>1.7759493639531332E-2</v>
      </c>
      <c r="AN241" s="170">
        <f t="shared" si="61"/>
        <v>1.7759493639531332E-2</v>
      </c>
      <c r="AP241" s="55">
        <v>8</v>
      </c>
      <c r="AQ241" s="55">
        <v>0</v>
      </c>
    </row>
    <row r="242" spans="2:43" x14ac:dyDescent="0.2">
      <c r="B242" s="1" t="s">
        <v>525</v>
      </c>
      <c r="D242" s="55">
        <v>2715595</v>
      </c>
      <c r="E242" s="166">
        <v>1760.8900373505983</v>
      </c>
      <c r="G242" s="55">
        <v>2574253.1356635233</v>
      </c>
      <c r="H242" s="166">
        <v>1661.6765850236245</v>
      </c>
      <c r="J242" s="167">
        <f t="shared" si="53"/>
        <v>5.4905969571654056E-2</v>
      </c>
      <c r="K242" s="168">
        <f t="shared" si="53"/>
        <v>5.9706836589722645E-2</v>
      </c>
      <c r="L242" s="55">
        <v>2772620</v>
      </c>
      <c r="M242" s="167">
        <f t="shared" si="54"/>
        <v>2.0999081232658146E-2</v>
      </c>
      <c r="N242" s="169">
        <f t="shared" si="55"/>
        <v>9.0547645222140982E-3</v>
      </c>
      <c r="O242" s="55">
        <v>2772620</v>
      </c>
      <c r="Q242" s="167">
        <f t="shared" si="56"/>
        <v>2.0999081232658146E-2</v>
      </c>
      <c r="R242" s="170">
        <v>1.6373574776229027E-2</v>
      </c>
      <c r="S242" s="55">
        <v>2772620</v>
      </c>
      <c r="T242" s="167">
        <f t="shared" si="57"/>
        <v>2.1041450853245269E-2</v>
      </c>
      <c r="U242" s="170">
        <v>1.6415752446639953E-2</v>
      </c>
      <c r="V242" s="55">
        <v>2772735.0587298186</v>
      </c>
      <c r="X242" s="167">
        <f t="shared" si="58"/>
        <v>2.0999081232658146E-2</v>
      </c>
      <c r="Y242" s="170">
        <v>1.6373574776229027E-2</v>
      </c>
      <c r="Z242" s="55">
        <v>2772620</v>
      </c>
      <c r="AB242" s="55">
        <v>2573511.9397511794</v>
      </c>
      <c r="AC242" s="55">
        <v>2772620</v>
      </c>
      <c r="AD242" s="167">
        <f t="shared" si="59"/>
        <v>2.0999081232658146E-2</v>
      </c>
      <c r="AE242" s="170">
        <v>1.6373574776229027E-2</v>
      </c>
      <c r="AF242" s="55">
        <v>2772620</v>
      </c>
      <c r="AG242" s="166">
        <v>1789.7221020498746</v>
      </c>
      <c r="AH242" s="171">
        <f t="shared" si="60"/>
        <v>2.0999081232658146E-2</v>
      </c>
      <c r="AI242" s="171">
        <f t="shared" si="60"/>
        <v>1.6373574776228805E-2</v>
      </c>
      <c r="AK242" s="55">
        <v>2639499.4253858253</v>
      </c>
      <c r="AL242" s="166">
        <v>1703.7929683696125</v>
      </c>
      <c r="AM242" s="171">
        <f t="shared" si="61"/>
        <v>5.0434022956726388E-2</v>
      </c>
      <c r="AN242" s="170">
        <f t="shared" si="61"/>
        <v>5.0434022956726388E-2</v>
      </c>
      <c r="AP242" s="55">
        <v>5</v>
      </c>
      <c r="AQ242" s="55">
        <v>0</v>
      </c>
    </row>
    <row r="243" spans="2:43" x14ac:dyDescent="0.2">
      <c r="B243" s="1" t="s">
        <v>526</v>
      </c>
      <c r="D243" s="55">
        <v>2787630</v>
      </c>
      <c r="E243" s="166">
        <v>1618.2665190204455</v>
      </c>
      <c r="G243" s="55">
        <v>2732460.2779409573</v>
      </c>
      <c r="H243" s="166">
        <v>1580.3712074810221</v>
      </c>
      <c r="J243" s="167">
        <f t="shared" si="53"/>
        <v>2.0190493711628843E-2</v>
      </c>
      <c r="K243" s="168">
        <f t="shared" si="53"/>
        <v>2.3978740792060638E-2</v>
      </c>
      <c r="L243" s="55">
        <v>2851248</v>
      </c>
      <c r="M243" s="167">
        <f t="shared" si="54"/>
        <v>2.2821536574079149E-2</v>
      </c>
      <c r="N243" s="169">
        <f t="shared" si="55"/>
        <v>9.0547645222140982E-3</v>
      </c>
      <c r="O243" s="55">
        <v>2851248</v>
      </c>
      <c r="Q243" s="167">
        <f t="shared" si="56"/>
        <v>2.2821536574079149E-2</v>
      </c>
      <c r="R243" s="170">
        <v>1.9037570613289256E-2</v>
      </c>
      <c r="S243" s="55">
        <v>2851248</v>
      </c>
      <c r="T243" s="167">
        <f t="shared" si="57"/>
        <v>2.2901343548245245E-2</v>
      </c>
      <c r="U243" s="170">
        <v>1.9117082338613978E-2</v>
      </c>
      <c r="V243" s="55">
        <v>2851470.4723153948</v>
      </c>
      <c r="X243" s="167">
        <f t="shared" si="58"/>
        <v>2.2821536574079149E-2</v>
      </c>
      <c r="Y243" s="170">
        <v>1.9037570613289256E-2</v>
      </c>
      <c r="Z243" s="55">
        <v>2851248</v>
      </c>
      <c r="AB243" s="55">
        <v>2731089.1244467637</v>
      </c>
      <c r="AC243" s="55">
        <v>2851248</v>
      </c>
      <c r="AD243" s="167">
        <f t="shared" si="59"/>
        <v>2.2821536574079149E-2</v>
      </c>
      <c r="AE243" s="170">
        <v>1.9037570613289256E-2</v>
      </c>
      <c r="AF243" s="55">
        <v>2851248</v>
      </c>
      <c r="AG243" s="166">
        <v>1649.0743821474189</v>
      </c>
      <c r="AH243" s="171">
        <f t="shared" si="60"/>
        <v>2.2821536574079149E-2</v>
      </c>
      <c r="AI243" s="171">
        <f t="shared" si="60"/>
        <v>1.9037570613289256E-2</v>
      </c>
      <c r="AK243" s="55">
        <v>2801117.0507146292</v>
      </c>
      <c r="AL243" s="166">
        <v>1620.0801788304025</v>
      </c>
      <c r="AM243" s="171">
        <f t="shared" si="61"/>
        <v>1.7896770601778744E-2</v>
      </c>
      <c r="AN243" s="170">
        <f t="shared" si="61"/>
        <v>1.7896770601778744E-2</v>
      </c>
      <c r="AP243" s="55">
        <v>8</v>
      </c>
      <c r="AQ243" s="55">
        <v>0</v>
      </c>
    </row>
    <row r="244" spans="2:43" x14ac:dyDescent="0.2">
      <c r="B244" s="1" t="s">
        <v>527</v>
      </c>
      <c r="D244" s="55">
        <v>4550294</v>
      </c>
      <c r="E244" s="166">
        <v>1677.9432894579186</v>
      </c>
      <c r="G244" s="55">
        <v>4585493.4802459683</v>
      </c>
      <c r="H244" s="166">
        <v>1680.521681387683</v>
      </c>
      <c r="J244" s="167">
        <f t="shared" si="53"/>
        <v>-7.6762687369648086E-3</v>
      </c>
      <c r="K244" s="168">
        <f t="shared" si="53"/>
        <v>-1.5342806691046595E-3</v>
      </c>
      <c r="L244" s="55">
        <v>4661310</v>
      </c>
      <c r="M244" s="167">
        <f t="shared" si="54"/>
        <v>2.4397544422404271E-2</v>
      </c>
      <c r="N244" s="169">
        <f t="shared" si="55"/>
        <v>9.0547645222140982E-3</v>
      </c>
      <c r="O244" s="55">
        <v>4661310</v>
      </c>
      <c r="Q244" s="167">
        <f t="shared" si="56"/>
        <v>2.490361927168605E-2</v>
      </c>
      <c r="R244" s="170">
        <v>1.8599000416577249E-2</v>
      </c>
      <c r="S244" s="55">
        <v>4663612.7893502377</v>
      </c>
      <c r="T244" s="167">
        <f t="shared" si="57"/>
        <v>2.490361927168605E-2</v>
      </c>
      <c r="U244" s="170">
        <v>1.8599000416577249E-2</v>
      </c>
      <c r="V244" s="55">
        <v>4663612.7893502377</v>
      </c>
      <c r="X244" s="167">
        <f t="shared" si="58"/>
        <v>2.490361927168605E-2</v>
      </c>
      <c r="Y244" s="170">
        <v>1.8599000416577249E-2</v>
      </c>
      <c r="Z244" s="55">
        <v>4663612.7893502377</v>
      </c>
      <c r="AB244" s="55">
        <v>4586037.7834776221</v>
      </c>
      <c r="AC244" s="55">
        <v>4663612.7893502377</v>
      </c>
      <c r="AD244" s="167">
        <f t="shared" si="59"/>
        <v>2.490361927168605E-2</v>
      </c>
      <c r="AE244" s="170">
        <v>1.8599000416577249E-2</v>
      </c>
      <c r="AF244" s="55">
        <v>4663612.7893502377</v>
      </c>
      <c r="AG244" s="166">
        <v>1709.1513573975396</v>
      </c>
      <c r="AH244" s="171">
        <f t="shared" si="60"/>
        <v>2.490361927168605E-2</v>
      </c>
      <c r="AI244" s="171">
        <f t="shared" si="60"/>
        <v>1.8599000416577471E-2</v>
      </c>
      <c r="AK244" s="55">
        <v>4703628.495874485</v>
      </c>
      <c r="AL244" s="166">
        <v>1723.8165755904649</v>
      </c>
      <c r="AM244" s="171">
        <f t="shared" si="61"/>
        <v>-8.507412215770227E-3</v>
      </c>
      <c r="AN244" s="170">
        <f t="shared" si="61"/>
        <v>-8.507412215770116E-3</v>
      </c>
      <c r="AP244" s="55">
        <v>4</v>
      </c>
      <c r="AQ244" s="55">
        <v>0</v>
      </c>
    </row>
    <row r="245" spans="2:43" x14ac:dyDescent="0.2">
      <c r="B245" s="1" t="s">
        <v>528</v>
      </c>
      <c r="D245" s="55">
        <v>2643334</v>
      </c>
      <c r="E245" s="166">
        <v>1622.2421488669968</v>
      </c>
      <c r="G245" s="55">
        <v>2655440.4570656619</v>
      </c>
      <c r="H245" s="166">
        <v>1623.4865426426377</v>
      </c>
      <c r="J245" s="167">
        <f t="shared" si="53"/>
        <v>-4.5591144901964142E-3</v>
      </c>
      <c r="K245" s="168">
        <f t="shared" si="53"/>
        <v>-7.6649466623557316E-4</v>
      </c>
      <c r="L245" s="55">
        <v>2704115</v>
      </c>
      <c r="M245" s="167">
        <f t="shared" si="54"/>
        <v>2.2994067340714519E-2</v>
      </c>
      <c r="N245" s="169">
        <f t="shared" si="55"/>
        <v>9.0547645222140982E-3</v>
      </c>
      <c r="O245" s="55">
        <v>2704115</v>
      </c>
      <c r="Q245" s="167">
        <f t="shared" si="56"/>
        <v>2.3494640746350548E-2</v>
      </c>
      <c r="R245" s="170">
        <v>1.9609937077496253E-2</v>
      </c>
      <c r="S245" s="55">
        <v>2705438.1827026135</v>
      </c>
      <c r="T245" s="167">
        <f t="shared" si="57"/>
        <v>2.3494640746350548E-2</v>
      </c>
      <c r="U245" s="170">
        <v>1.9609937077496253E-2</v>
      </c>
      <c r="V245" s="55">
        <v>2705438.1827026135</v>
      </c>
      <c r="X245" s="167">
        <f t="shared" si="58"/>
        <v>2.3494640746350548E-2</v>
      </c>
      <c r="Y245" s="170">
        <v>1.9609937077496253E-2</v>
      </c>
      <c r="Z245" s="55">
        <v>2705438.1827026135</v>
      </c>
      <c r="AB245" s="55">
        <v>2652971.491610066</v>
      </c>
      <c r="AC245" s="55">
        <v>2705438.1827026135</v>
      </c>
      <c r="AD245" s="167">
        <f t="shared" si="59"/>
        <v>2.3494640746350548E-2</v>
      </c>
      <c r="AE245" s="170">
        <v>1.9609937077496253E-2</v>
      </c>
      <c r="AF245" s="55">
        <v>2705438.1827026135</v>
      </c>
      <c r="AG245" s="166">
        <v>1654.0542153307406</v>
      </c>
      <c r="AH245" s="171">
        <f t="shared" si="60"/>
        <v>2.3494640746350548E-2</v>
      </c>
      <c r="AI245" s="171">
        <f t="shared" si="60"/>
        <v>1.9609937077496031E-2</v>
      </c>
      <c r="AK245" s="55">
        <v>2722662.610567837</v>
      </c>
      <c r="AL245" s="166">
        <v>1664.5849078075776</v>
      </c>
      <c r="AM245" s="171">
        <f t="shared" si="61"/>
        <v>-6.3263174064858152E-3</v>
      </c>
      <c r="AN245" s="170">
        <f t="shared" si="61"/>
        <v>-6.3263174064860372E-3</v>
      </c>
      <c r="AP245" s="55">
        <v>5</v>
      </c>
      <c r="AQ245" s="55">
        <v>0</v>
      </c>
    </row>
    <row r="246" spans="2:43" x14ac:dyDescent="0.2">
      <c r="B246" s="1" t="s">
        <v>529</v>
      </c>
      <c r="D246" s="55">
        <v>2726738</v>
      </c>
      <c r="E246" s="166">
        <v>1560.4363747717873</v>
      </c>
      <c r="G246" s="55">
        <v>2758713.7488338146</v>
      </c>
      <c r="H246" s="166">
        <v>1568.3759384211307</v>
      </c>
      <c r="J246" s="167">
        <f t="shared" si="53"/>
        <v>-1.1590817948158527E-2</v>
      </c>
      <c r="K246" s="168">
        <f t="shared" si="53"/>
        <v>-5.0622835092306584E-3</v>
      </c>
      <c r="L246" s="55">
        <v>2794604</v>
      </c>
      <c r="M246" s="167">
        <f t="shared" si="54"/>
        <v>2.4889079918936075E-2</v>
      </c>
      <c r="N246" s="169">
        <f t="shared" si="55"/>
        <v>9.0547645222140982E-3</v>
      </c>
      <c r="O246" s="55">
        <v>2794604</v>
      </c>
      <c r="Q246" s="167">
        <f t="shared" si="56"/>
        <v>2.494322532002724E-2</v>
      </c>
      <c r="R246" s="170">
        <v>1.8217802176909714E-2</v>
      </c>
      <c r="S246" s="55">
        <v>2794751.6403226806</v>
      </c>
      <c r="T246" s="167">
        <f t="shared" si="57"/>
        <v>2.494322532002724E-2</v>
      </c>
      <c r="U246" s="170">
        <v>1.8217802176909714E-2</v>
      </c>
      <c r="V246" s="55">
        <v>2794751.6403226806</v>
      </c>
      <c r="X246" s="167">
        <f t="shared" si="58"/>
        <v>2.494322532002724E-2</v>
      </c>
      <c r="Y246" s="170">
        <v>1.8217802176909714E-2</v>
      </c>
      <c r="Z246" s="55">
        <v>2794751.6403226806</v>
      </c>
      <c r="AB246" s="55">
        <v>2757906.0450450936</v>
      </c>
      <c r="AC246" s="55">
        <v>2794751.6403226806</v>
      </c>
      <c r="AD246" s="167">
        <f t="shared" si="59"/>
        <v>2.494322532002724E-2</v>
      </c>
      <c r="AE246" s="170">
        <v>1.8217802176909714E-2</v>
      </c>
      <c r="AF246" s="55">
        <v>2794751.6403226806</v>
      </c>
      <c r="AG246" s="166">
        <v>1588.8640959570339</v>
      </c>
      <c r="AH246" s="171">
        <f t="shared" si="60"/>
        <v>2.494322532002724E-2</v>
      </c>
      <c r="AI246" s="171">
        <f t="shared" si="60"/>
        <v>1.8217802176909714E-2</v>
      </c>
      <c r="AK246" s="55">
        <v>2828621.5846616346</v>
      </c>
      <c r="AL246" s="166">
        <v>1608.1197384677271</v>
      </c>
      <c r="AM246" s="171">
        <f t="shared" si="61"/>
        <v>-1.1974010423527748E-2</v>
      </c>
      <c r="AN246" s="170">
        <f t="shared" si="61"/>
        <v>-1.1974010423527637E-2</v>
      </c>
      <c r="AP246" s="55">
        <v>6</v>
      </c>
      <c r="AQ246" s="55">
        <v>0</v>
      </c>
    </row>
    <row r="247" spans="2:43" x14ac:dyDescent="0.2">
      <c r="B247" s="1" t="s">
        <v>530</v>
      </c>
      <c r="D247" s="55">
        <v>4513502</v>
      </c>
      <c r="E247" s="166">
        <v>1510.8868718320182</v>
      </c>
      <c r="G247" s="55">
        <v>4680929.903958925</v>
      </c>
      <c r="H247" s="166">
        <v>1550.7833786606798</v>
      </c>
      <c r="J247" s="167">
        <f t="shared" si="53"/>
        <v>-3.5768086126930054E-2</v>
      </c>
      <c r="K247" s="168">
        <f t="shared" si="53"/>
        <v>-2.5726679417416687E-2</v>
      </c>
      <c r="L247" s="55">
        <v>4635085</v>
      </c>
      <c r="M247" s="167">
        <f t="shared" si="54"/>
        <v>2.6937619613329078E-2</v>
      </c>
      <c r="N247" s="169">
        <f t="shared" si="55"/>
        <v>9.0547645222140982E-3</v>
      </c>
      <c r="O247" s="55">
        <v>4635085</v>
      </c>
      <c r="Q247" s="167">
        <f t="shared" si="56"/>
        <v>3.2442993648287732E-2</v>
      </c>
      <c r="R247" s="170">
        <v>2.1802057696751254E-2</v>
      </c>
      <c r="S247" s="55">
        <v>4659933.5167175336</v>
      </c>
      <c r="T247" s="167">
        <f t="shared" si="57"/>
        <v>3.2442993648287732E-2</v>
      </c>
      <c r="U247" s="170">
        <v>2.1802057696751254E-2</v>
      </c>
      <c r="V247" s="55">
        <v>4659933.5167175336</v>
      </c>
      <c r="X247" s="167">
        <f t="shared" si="58"/>
        <v>3.2442993648287732E-2</v>
      </c>
      <c r="Y247" s="170">
        <v>2.1802057696751254E-2</v>
      </c>
      <c r="Z247" s="55">
        <v>4659933.5167175336</v>
      </c>
      <c r="AB247" s="55">
        <v>4643478.1649980638</v>
      </c>
      <c r="AC247" s="55">
        <v>4659933.5167175336</v>
      </c>
      <c r="AD247" s="167">
        <f t="shared" si="59"/>
        <v>3.2442993648287732E-2</v>
      </c>
      <c r="AE247" s="170">
        <v>2.1802057696751254E-2</v>
      </c>
      <c r="AF247" s="55">
        <v>4659933.5167175336</v>
      </c>
      <c r="AG247" s="166">
        <v>1543.8273145849635</v>
      </c>
      <c r="AH247" s="171">
        <f t="shared" si="60"/>
        <v>3.2442993648287732E-2</v>
      </c>
      <c r="AI247" s="171">
        <f t="shared" si="60"/>
        <v>2.1802057696751032E-2</v>
      </c>
      <c r="AK247" s="55">
        <v>4800008.051800753</v>
      </c>
      <c r="AL247" s="166">
        <v>1590.2337477590556</v>
      </c>
      <c r="AM247" s="171">
        <f t="shared" si="61"/>
        <v>-2.918214585716572E-2</v>
      </c>
      <c r="AN247" s="170">
        <f t="shared" si="61"/>
        <v>-2.9182145857165831E-2</v>
      </c>
      <c r="AP247" s="55">
        <v>0</v>
      </c>
      <c r="AQ247" s="55">
        <v>0</v>
      </c>
    </row>
    <row r="248" spans="2:43" x14ac:dyDescent="0.2">
      <c r="B248" s="1" t="s">
        <v>531</v>
      </c>
      <c r="D248" s="55">
        <v>2878972</v>
      </c>
      <c r="E248" s="166">
        <v>1524.6875300497745</v>
      </c>
      <c r="G248" s="55">
        <v>2921668.1736091683</v>
      </c>
      <c r="H248" s="166">
        <v>1537.465068917428</v>
      </c>
      <c r="J248" s="167">
        <f t="shared" si="53"/>
        <v>-1.4613628609447926E-2</v>
      </c>
      <c r="K248" s="168">
        <f t="shared" si="53"/>
        <v>-8.3107832015009153E-3</v>
      </c>
      <c r="L248" s="55">
        <v>2945915</v>
      </c>
      <c r="M248" s="167">
        <f t="shared" si="54"/>
        <v>2.3252397036164218E-2</v>
      </c>
      <c r="N248" s="169">
        <f t="shared" si="55"/>
        <v>9.0547645222140982E-3</v>
      </c>
      <c r="O248" s="55">
        <v>2945915</v>
      </c>
      <c r="Q248" s="167">
        <f t="shared" si="56"/>
        <v>2.4100839003853736E-2</v>
      </c>
      <c r="R248" s="170">
        <v>1.759199615162621E-2</v>
      </c>
      <c r="S248" s="55">
        <v>2948357.6406686027</v>
      </c>
      <c r="T248" s="167">
        <f t="shared" si="57"/>
        <v>2.4100839003853736E-2</v>
      </c>
      <c r="U248" s="170">
        <v>1.759199615162621E-2</v>
      </c>
      <c r="V248" s="55">
        <v>2948357.6406686027</v>
      </c>
      <c r="X248" s="167">
        <f t="shared" si="58"/>
        <v>2.4100839003853736E-2</v>
      </c>
      <c r="Y248" s="170">
        <v>1.759199615162621E-2</v>
      </c>
      <c r="Z248" s="55">
        <v>2948357.6406686027</v>
      </c>
      <c r="AB248" s="55">
        <v>2921020.341853098</v>
      </c>
      <c r="AC248" s="55">
        <v>2948357.6406686027</v>
      </c>
      <c r="AD248" s="167">
        <f t="shared" si="59"/>
        <v>2.4100839003853736E-2</v>
      </c>
      <c r="AE248" s="170">
        <v>1.759199615162621E-2</v>
      </c>
      <c r="AF248" s="55">
        <v>2948357.6406686027</v>
      </c>
      <c r="AG248" s="166">
        <v>1551.5098272108426</v>
      </c>
      <c r="AH248" s="171">
        <f t="shared" si="60"/>
        <v>2.4100839003853736E-2</v>
      </c>
      <c r="AI248" s="171">
        <f t="shared" si="60"/>
        <v>1.759199615162621E-2</v>
      </c>
      <c r="AK248" s="55">
        <v>2995918.2993365107</v>
      </c>
      <c r="AL248" s="166">
        <v>1576.5376014177555</v>
      </c>
      <c r="AM248" s="171">
        <f t="shared" si="61"/>
        <v>-1.5875152095583211E-2</v>
      </c>
      <c r="AN248" s="170">
        <f t="shared" si="61"/>
        <v>-1.5875152095583323E-2</v>
      </c>
      <c r="AP248" s="55">
        <v>3</v>
      </c>
      <c r="AQ248" s="55">
        <v>0</v>
      </c>
    </row>
    <row r="249" spans="2:43" x14ac:dyDescent="0.2">
      <c r="B249" s="1" t="s">
        <v>532</v>
      </c>
      <c r="D249" s="55">
        <v>3418974</v>
      </c>
      <c r="E249" s="166">
        <v>1625.3834003252098</v>
      </c>
      <c r="G249" s="55">
        <v>3412961.5840844978</v>
      </c>
      <c r="H249" s="166">
        <v>1613.5388973989709</v>
      </c>
      <c r="J249" s="167">
        <f t="shared" si="53"/>
        <v>1.7616418372652376E-3</v>
      </c>
      <c r="K249" s="168">
        <f t="shared" si="53"/>
        <v>7.3406987246060762E-3</v>
      </c>
      <c r="L249" s="55">
        <v>3496272</v>
      </c>
      <c r="M249" s="167">
        <f t="shared" si="54"/>
        <v>2.2608536947049007E-2</v>
      </c>
      <c r="N249" s="169">
        <f t="shared" si="55"/>
        <v>9.0547645222140982E-3</v>
      </c>
      <c r="O249" s="55">
        <v>3496272</v>
      </c>
      <c r="Q249" s="167">
        <f t="shared" si="56"/>
        <v>2.2933176657242038E-2</v>
      </c>
      <c r="R249" s="170">
        <v>1.7267762372140005E-2</v>
      </c>
      <c r="S249" s="55">
        <v>3497381.9347285177</v>
      </c>
      <c r="T249" s="167">
        <f t="shared" si="57"/>
        <v>2.3170403872887047E-2</v>
      </c>
      <c r="U249" s="170">
        <v>1.7503675728300472E-2</v>
      </c>
      <c r="V249" s="55">
        <v>3498193.0084108999</v>
      </c>
      <c r="X249" s="167">
        <f t="shared" si="58"/>
        <v>2.2933176657242038E-2</v>
      </c>
      <c r="Y249" s="170">
        <v>1.7267762372140005E-2</v>
      </c>
      <c r="Z249" s="55">
        <v>3497381.9347285177</v>
      </c>
      <c r="AB249" s="55">
        <v>3411648.5432716766</v>
      </c>
      <c r="AC249" s="55">
        <v>3497381.9347285177</v>
      </c>
      <c r="AD249" s="167">
        <f t="shared" si="59"/>
        <v>2.2933176657242038E-2</v>
      </c>
      <c r="AE249" s="170">
        <v>1.7267762372140005E-2</v>
      </c>
      <c r="AF249" s="55">
        <v>3497381.9347285177</v>
      </c>
      <c r="AG249" s="166">
        <v>1653.4501346456466</v>
      </c>
      <c r="AH249" s="171">
        <f t="shared" si="60"/>
        <v>2.2933176657242038E-2</v>
      </c>
      <c r="AI249" s="171">
        <f t="shared" si="60"/>
        <v>1.7267762372140005E-2</v>
      </c>
      <c r="AK249" s="55">
        <v>3499126.7110478729</v>
      </c>
      <c r="AL249" s="166">
        <v>1654.2750089928027</v>
      </c>
      <c r="AM249" s="171">
        <f t="shared" si="61"/>
        <v>-4.9863193403265615E-4</v>
      </c>
      <c r="AN249" s="170">
        <f t="shared" si="61"/>
        <v>-4.9863193403276718E-4</v>
      </c>
      <c r="AP249" s="55">
        <v>7</v>
      </c>
      <c r="AQ249" s="55">
        <v>0</v>
      </c>
    </row>
    <row r="250" spans="2:43" x14ac:dyDescent="0.2">
      <c r="B250" s="1" t="s">
        <v>56</v>
      </c>
      <c r="D250" s="55">
        <v>2944629</v>
      </c>
      <c r="E250" s="166">
        <v>1577.7066080849597</v>
      </c>
      <c r="G250" s="55">
        <v>3025195.9586417028</v>
      </c>
      <c r="H250" s="166">
        <v>1607.8510913412008</v>
      </c>
      <c r="J250" s="167">
        <f t="shared" si="53"/>
        <v>-2.6631980123984045E-2</v>
      </c>
      <c r="K250" s="168">
        <f t="shared" si="53"/>
        <v>-1.8748305373911145E-2</v>
      </c>
      <c r="L250" s="55">
        <v>3016096</v>
      </c>
      <c r="M250" s="167">
        <f t="shared" si="54"/>
        <v>2.427029007728998E-2</v>
      </c>
      <c r="N250" s="169">
        <f t="shared" si="55"/>
        <v>9.0547645222140982E-3</v>
      </c>
      <c r="O250" s="55">
        <v>3016096</v>
      </c>
      <c r="Q250" s="167">
        <f t="shared" si="56"/>
        <v>2.8124539784476266E-2</v>
      </c>
      <c r="R250" s="170">
        <v>1.9864274331056642E-2</v>
      </c>
      <c r="S250" s="55">
        <v>3027445.3354610223</v>
      </c>
      <c r="T250" s="167">
        <f t="shared" si="57"/>
        <v>2.8124539784476266E-2</v>
      </c>
      <c r="U250" s="170">
        <v>1.9864274331056642E-2</v>
      </c>
      <c r="V250" s="55">
        <v>3027445.3354610223</v>
      </c>
      <c r="X250" s="167">
        <f t="shared" si="58"/>
        <v>2.8124539784476266E-2</v>
      </c>
      <c r="Y250" s="170">
        <v>1.9864274331056642E-2</v>
      </c>
      <c r="Z250" s="55">
        <v>3027445.3354610223</v>
      </c>
      <c r="AB250" s="55">
        <v>3018926.0986483628</v>
      </c>
      <c r="AC250" s="55">
        <v>3027445.3354610223</v>
      </c>
      <c r="AD250" s="167">
        <f t="shared" si="59"/>
        <v>2.8124539784476266E-2</v>
      </c>
      <c r="AE250" s="170">
        <v>1.9864274331056642E-2</v>
      </c>
      <c r="AF250" s="55">
        <v>3027445.3354610223</v>
      </c>
      <c r="AG250" s="166">
        <v>1609.0466049618801</v>
      </c>
      <c r="AH250" s="171">
        <f t="shared" si="60"/>
        <v>2.8124539784476266E-2</v>
      </c>
      <c r="AI250" s="171">
        <f t="shared" si="60"/>
        <v>1.9864274331056642E-2</v>
      </c>
      <c r="AK250" s="55">
        <v>3101617.9695911468</v>
      </c>
      <c r="AL250" s="166">
        <v>1648.4683655235726</v>
      </c>
      <c r="AM250" s="171">
        <f t="shared" si="61"/>
        <v>-2.3914174749220307E-2</v>
      </c>
      <c r="AN250" s="170">
        <f t="shared" si="61"/>
        <v>-2.3914174749220418E-2</v>
      </c>
      <c r="AP250" s="55">
        <v>0</v>
      </c>
      <c r="AQ250" s="55">
        <v>0</v>
      </c>
    </row>
    <row r="251" spans="2:43" x14ac:dyDescent="0.2">
      <c r="B251" s="1" t="s">
        <v>533</v>
      </c>
      <c r="D251" s="55">
        <v>4026817</v>
      </c>
      <c r="E251" s="166">
        <v>1527.9819133977999</v>
      </c>
      <c r="G251" s="55">
        <v>4109814.7315967651</v>
      </c>
      <c r="H251" s="166">
        <v>1548.1504939457648</v>
      </c>
      <c r="J251" s="167">
        <f t="shared" si="53"/>
        <v>-2.0195005618785733E-2</v>
      </c>
      <c r="K251" s="168">
        <f t="shared" si="53"/>
        <v>-1.3027532288906407E-2</v>
      </c>
      <c r="L251" s="55">
        <v>4120879</v>
      </c>
      <c r="M251" s="167">
        <f t="shared" si="54"/>
        <v>2.3358896120682981E-2</v>
      </c>
      <c r="N251" s="169">
        <f t="shared" si="55"/>
        <v>9.0547645222140982E-3</v>
      </c>
      <c r="O251" s="55">
        <v>4120879</v>
      </c>
      <c r="Q251" s="167">
        <f t="shared" si="56"/>
        <v>2.6193236424377098E-2</v>
      </c>
      <c r="R251" s="170">
        <v>1.8740938722059397E-2</v>
      </c>
      <c r="S251" s="55">
        <v>4132292.3697187011</v>
      </c>
      <c r="T251" s="167">
        <f t="shared" si="57"/>
        <v>2.6193236424377098E-2</v>
      </c>
      <c r="U251" s="170">
        <v>1.8740938722059397E-2</v>
      </c>
      <c r="V251" s="55">
        <v>4132292.3697187011</v>
      </c>
      <c r="X251" s="167">
        <f t="shared" si="58"/>
        <v>2.6193236424377098E-2</v>
      </c>
      <c r="Y251" s="170">
        <v>1.8740938722059397E-2</v>
      </c>
      <c r="Z251" s="55">
        <v>4132292.3697187011</v>
      </c>
      <c r="AB251" s="55">
        <v>4106753.1944141053</v>
      </c>
      <c r="AC251" s="55">
        <v>4132292.3697187011</v>
      </c>
      <c r="AD251" s="167">
        <f t="shared" si="59"/>
        <v>2.6193236424377098E-2</v>
      </c>
      <c r="AE251" s="170">
        <v>1.8740938722059397E-2</v>
      </c>
      <c r="AF251" s="55">
        <v>4132292.3697187011</v>
      </c>
      <c r="AG251" s="166">
        <v>1556.6177288052031</v>
      </c>
      <c r="AH251" s="171">
        <f t="shared" si="60"/>
        <v>2.6193236424377098E-2</v>
      </c>
      <c r="AI251" s="171">
        <f t="shared" si="60"/>
        <v>1.8740938722059397E-2</v>
      </c>
      <c r="AK251" s="55">
        <v>4214506.1997937532</v>
      </c>
      <c r="AL251" s="166">
        <v>1587.5873442142204</v>
      </c>
      <c r="AM251" s="171">
        <f t="shared" si="61"/>
        <v>-1.950734586155678E-2</v>
      </c>
      <c r="AN251" s="170">
        <f t="shared" si="61"/>
        <v>-1.950734586155678E-2</v>
      </c>
      <c r="AP251" s="55">
        <v>1</v>
      </c>
      <c r="AQ251" s="55">
        <v>0</v>
      </c>
    </row>
    <row r="252" spans="2:43" x14ac:dyDescent="0.2">
      <c r="B252" s="1" t="s">
        <v>516</v>
      </c>
      <c r="D252" s="55">
        <v>15573028</v>
      </c>
      <c r="E252" s="166">
        <v>1619.2684499530469</v>
      </c>
      <c r="G252" s="55">
        <v>15543144.798347939</v>
      </c>
      <c r="H252" s="166">
        <v>1596.2377737159866</v>
      </c>
      <c r="J252" s="167">
        <f t="shared" si="53"/>
        <v>1.9225968772571544E-3</v>
      </c>
      <c r="K252" s="168">
        <f t="shared" si="53"/>
        <v>1.442809875589246E-2</v>
      </c>
      <c r="L252" s="55">
        <v>16022436</v>
      </c>
      <c r="M252" s="167">
        <f t="shared" si="54"/>
        <v>2.9739144301034859E-2</v>
      </c>
      <c r="N252" s="169">
        <f t="shared" si="55"/>
        <v>9.0547645222140982E-3</v>
      </c>
      <c r="O252" s="55">
        <v>16036156.526896056</v>
      </c>
      <c r="Q252" s="167">
        <f t="shared" si="56"/>
        <v>3.0605044886376609E-2</v>
      </c>
      <c r="R252" s="170">
        <v>1.7900119479870469E-2</v>
      </c>
      <c r="S252" s="55">
        <v>16049641.220956799</v>
      </c>
      <c r="T252" s="167">
        <f t="shared" si="57"/>
        <v>3.0737484876588006E-2</v>
      </c>
      <c r="U252" s="170">
        <v>1.8030926797891089E-2</v>
      </c>
      <c r="V252" s="55">
        <v>16051703.71263268</v>
      </c>
      <c r="X252" s="167">
        <f t="shared" si="58"/>
        <v>2.9761181299210904E-2</v>
      </c>
      <c r="Y252" s="170">
        <v>1.7066658737112883E-2</v>
      </c>
      <c r="Z252" s="55">
        <v>16036499.709685687</v>
      </c>
      <c r="AB252" s="55">
        <v>15541694.07839133</v>
      </c>
      <c r="AC252" s="55">
        <v>16036499.709685687</v>
      </c>
      <c r="AD252" s="167">
        <f t="shared" si="59"/>
        <v>2.9761181299210904E-2</v>
      </c>
      <c r="AE252" s="170">
        <v>1.7066658737112883E-2</v>
      </c>
      <c r="AF252" s="55">
        <v>16036499.709685687</v>
      </c>
      <c r="AG252" s="166">
        <v>1646.9039519921689</v>
      </c>
      <c r="AH252" s="171">
        <f t="shared" si="60"/>
        <v>2.9761181299210904E-2</v>
      </c>
      <c r="AI252" s="171">
        <f t="shared" si="60"/>
        <v>1.7066658737112661E-2</v>
      </c>
      <c r="AK252" s="55">
        <v>15951933.864206351</v>
      </c>
      <c r="AL252" s="166">
        <v>1638.2192746844796</v>
      </c>
      <c r="AM252" s="171">
        <f t="shared" si="61"/>
        <v>5.3012911286629549E-3</v>
      </c>
      <c r="AN252" s="170">
        <f t="shared" si="61"/>
        <v>5.3012911286627329E-3</v>
      </c>
      <c r="AP252" s="55">
        <v>19</v>
      </c>
      <c r="AQ252" s="55">
        <v>0</v>
      </c>
    </row>
    <row r="253" spans="2:43" x14ac:dyDescent="0.2">
      <c r="B253" s="1" t="s">
        <v>534</v>
      </c>
      <c r="D253" s="55">
        <v>2979279</v>
      </c>
      <c r="E253" s="166">
        <v>1601.8062270323996</v>
      </c>
      <c r="G253" s="55">
        <v>3019474.4029982188</v>
      </c>
      <c r="H253" s="166">
        <v>1609.4438910727533</v>
      </c>
      <c r="J253" s="167">
        <f t="shared" si="53"/>
        <v>-1.3312052905070648E-2</v>
      </c>
      <c r="K253" s="168">
        <f t="shared" si="53"/>
        <v>-4.7455298583057859E-3</v>
      </c>
      <c r="L253" s="55">
        <v>3055385</v>
      </c>
      <c r="M253" s="167">
        <f t="shared" si="54"/>
        <v>2.5545106718773303E-2</v>
      </c>
      <c r="N253" s="169">
        <f t="shared" si="55"/>
        <v>9.0547645222140982E-3</v>
      </c>
      <c r="O253" s="55">
        <v>3055385</v>
      </c>
      <c r="Q253" s="167">
        <f t="shared" si="56"/>
        <v>2.765816198127502E-2</v>
      </c>
      <c r="R253" s="170">
        <v>1.8812728383217348E-2</v>
      </c>
      <c r="S253" s="55">
        <v>3061680.3811694114</v>
      </c>
      <c r="T253" s="167">
        <f t="shared" si="57"/>
        <v>2.765816198127502E-2</v>
      </c>
      <c r="U253" s="170">
        <v>1.8812728383217348E-2</v>
      </c>
      <c r="V253" s="55">
        <v>3061680.3811694114</v>
      </c>
      <c r="X253" s="167">
        <f t="shared" si="58"/>
        <v>2.765816198127502E-2</v>
      </c>
      <c r="Y253" s="170">
        <v>1.8812728383217348E-2</v>
      </c>
      <c r="Z253" s="55">
        <v>3061680.3811694114</v>
      </c>
      <c r="AB253" s="55">
        <v>3018447.3227252867</v>
      </c>
      <c r="AC253" s="55">
        <v>3061680.3811694114</v>
      </c>
      <c r="AD253" s="167">
        <f t="shared" si="59"/>
        <v>2.765816198127502E-2</v>
      </c>
      <c r="AE253" s="170">
        <v>1.8812728383217348E-2</v>
      </c>
      <c r="AF253" s="55">
        <v>3061680.3811694114</v>
      </c>
      <c r="AG253" s="166">
        <v>1631.9405725041063</v>
      </c>
      <c r="AH253" s="171">
        <f t="shared" si="60"/>
        <v>2.765816198127502E-2</v>
      </c>
      <c r="AI253" s="171">
        <f t="shared" si="60"/>
        <v>1.8812728383217348E-2</v>
      </c>
      <c r="AK253" s="55">
        <v>3096873.1996393837</v>
      </c>
      <c r="AL253" s="166">
        <v>1650.6990910859784</v>
      </c>
      <c r="AM253" s="171">
        <f t="shared" si="61"/>
        <v>-1.1363984316203335E-2</v>
      </c>
      <c r="AN253" s="170">
        <f t="shared" si="61"/>
        <v>-1.1363984316203335E-2</v>
      </c>
      <c r="AP253" s="55">
        <v>4</v>
      </c>
      <c r="AQ253" s="55">
        <v>0</v>
      </c>
    </row>
    <row r="254" spans="2:43" x14ac:dyDescent="0.2">
      <c r="B254" s="1" t="s">
        <v>535</v>
      </c>
      <c r="D254" s="55">
        <v>3245032</v>
      </c>
      <c r="E254" s="166">
        <v>1433.6761508806899</v>
      </c>
      <c r="G254" s="55">
        <v>3286834.1952316496</v>
      </c>
      <c r="H254" s="166">
        <v>1441.4209730545431</v>
      </c>
      <c r="J254" s="167">
        <f t="shared" si="53"/>
        <v>-1.2718072390841551E-2</v>
      </c>
      <c r="K254" s="168">
        <f t="shared" si="53"/>
        <v>-5.3730466800694376E-3</v>
      </c>
      <c r="L254" s="55">
        <v>3326499</v>
      </c>
      <c r="M254" s="167">
        <f t="shared" si="54"/>
        <v>2.510514534217223E-2</v>
      </c>
      <c r="N254" s="169">
        <f t="shared" si="55"/>
        <v>9.0547645222140982E-3</v>
      </c>
      <c r="O254" s="55">
        <v>3326499</v>
      </c>
      <c r="Q254" s="167">
        <f t="shared" si="56"/>
        <v>2.600534361837159E-2</v>
      </c>
      <c r="R254" s="170">
        <v>1.8428597781038114E-2</v>
      </c>
      <c r="S254" s="55">
        <v>3329420.1722126114</v>
      </c>
      <c r="T254" s="167">
        <f t="shared" si="57"/>
        <v>2.600534361837159E-2</v>
      </c>
      <c r="U254" s="170">
        <v>1.8428597781038114E-2</v>
      </c>
      <c r="V254" s="55">
        <v>3329420.1722126114</v>
      </c>
      <c r="X254" s="167">
        <f t="shared" si="58"/>
        <v>2.600534361837159E-2</v>
      </c>
      <c r="Y254" s="170">
        <v>1.8428597781038114E-2</v>
      </c>
      <c r="Z254" s="55">
        <v>3329420.1722126114</v>
      </c>
      <c r="AB254" s="55">
        <v>3284697.1534363045</v>
      </c>
      <c r="AC254" s="55">
        <v>3329420.1722126114</v>
      </c>
      <c r="AD254" s="167">
        <f t="shared" si="59"/>
        <v>2.600534361837159E-2</v>
      </c>
      <c r="AE254" s="170">
        <v>1.8428597781038114E-2</v>
      </c>
      <c r="AF254" s="55">
        <v>3329420.1722126114</v>
      </c>
      <c r="AG254" s="166">
        <v>1460.096792013537</v>
      </c>
      <c r="AH254" s="171">
        <f t="shared" si="60"/>
        <v>2.600534361837159E-2</v>
      </c>
      <c r="AI254" s="171">
        <f t="shared" si="60"/>
        <v>1.8428597781038114E-2</v>
      </c>
      <c r="AK254" s="55">
        <v>3370632.5410624417</v>
      </c>
      <c r="AL254" s="166">
        <v>1478.1702235530975</v>
      </c>
      <c r="AM254" s="171">
        <f t="shared" si="61"/>
        <v>-1.2226894610362971E-2</v>
      </c>
      <c r="AN254" s="170">
        <f t="shared" si="61"/>
        <v>-1.2226894610363082E-2</v>
      </c>
      <c r="AP254" s="55">
        <v>4</v>
      </c>
      <c r="AQ254" s="55">
        <v>0</v>
      </c>
    </row>
    <row r="255" spans="2:43" x14ac:dyDescent="0.2">
      <c r="B255" s="1" t="s">
        <v>536</v>
      </c>
      <c r="D255" s="55">
        <v>4686873</v>
      </c>
      <c r="E255" s="166">
        <v>1597.6042113412827</v>
      </c>
      <c r="G255" s="55">
        <v>4735253.940537665</v>
      </c>
      <c r="H255" s="166">
        <v>1601.4498761875175</v>
      </c>
      <c r="J255" s="167">
        <f t="shared" si="53"/>
        <v>-1.0217179721552894E-2</v>
      </c>
      <c r="K255" s="168">
        <f t="shared" si="53"/>
        <v>-2.4013644781626375E-3</v>
      </c>
      <c r="L255" s="55">
        <v>4803346</v>
      </c>
      <c r="M255" s="167">
        <f t="shared" si="54"/>
        <v>2.4850897389368187E-2</v>
      </c>
      <c r="N255" s="169">
        <f t="shared" si="55"/>
        <v>9.0547645222140982E-3</v>
      </c>
      <c r="O255" s="55">
        <v>4803346</v>
      </c>
      <c r="Q255" s="167">
        <f t="shared" si="56"/>
        <v>2.6047888920406104E-2</v>
      </c>
      <c r="R255" s="170">
        <v>1.800918433008003E-2</v>
      </c>
      <c r="S255" s="55">
        <v>4808956.1472880505</v>
      </c>
      <c r="T255" s="167">
        <f t="shared" si="57"/>
        <v>2.6047888920406104E-2</v>
      </c>
      <c r="U255" s="170">
        <v>1.800918433008003E-2</v>
      </c>
      <c r="V255" s="55">
        <v>4808956.1472880505</v>
      </c>
      <c r="X255" s="167">
        <f t="shared" si="58"/>
        <v>2.6047888920406104E-2</v>
      </c>
      <c r="Y255" s="170">
        <v>1.800918433008003E-2</v>
      </c>
      <c r="Z255" s="55">
        <v>4808956.1472880505</v>
      </c>
      <c r="AB255" s="55">
        <v>4732644.1937838504</v>
      </c>
      <c r="AC255" s="55">
        <v>4808956.1472880505</v>
      </c>
      <c r="AD255" s="167">
        <f t="shared" si="59"/>
        <v>2.6047888920406104E-2</v>
      </c>
      <c r="AE255" s="170">
        <v>1.800918433008003E-2</v>
      </c>
      <c r="AF255" s="55">
        <v>4808956.1472880505</v>
      </c>
      <c r="AG255" s="166">
        <v>1626.3757600698398</v>
      </c>
      <c r="AH255" s="171">
        <f t="shared" si="60"/>
        <v>2.6047888920406104E-2</v>
      </c>
      <c r="AI255" s="171">
        <f t="shared" si="60"/>
        <v>1.8009184330079808E-2</v>
      </c>
      <c r="AK255" s="55">
        <v>4855619.5920876861</v>
      </c>
      <c r="AL255" s="166">
        <v>1642.1572089288159</v>
      </c>
      <c r="AM255" s="171">
        <f t="shared" si="61"/>
        <v>-9.6101936971492163E-3</v>
      </c>
      <c r="AN255" s="170">
        <f t="shared" si="61"/>
        <v>-9.6101936971493274E-3</v>
      </c>
      <c r="AP255" s="55">
        <v>7</v>
      </c>
      <c r="AQ255" s="55">
        <v>0</v>
      </c>
    </row>
    <row r="256" spans="2:43" x14ac:dyDescent="0.2">
      <c r="B256" s="1" t="s">
        <v>537</v>
      </c>
      <c r="D256" s="55">
        <v>4560180</v>
      </c>
      <c r="E256" s="166">
        <v>1587.0281682363425</v>
      </c>
      <c r="G256" s="55">
        <v>4577669.2257352509</v>
      </c>
      <c r="H256" s="166">
        <v>1583.3351139607184</v>
      </c>
      <c r="J256" s="167">
        <f t="shared" si="53"/>
        <v>-3.8205525285505137E-3</v>
      </c>
      <c r="K256" s="168">
        <f t="shared" si="53"/>
        <v>2.3324527088810498E-3</v>
      </c>
      <c r="L256" s="55">
        <v>4664849</v>
      </c>
      <c r="M256" s="167">
        <f t="shared" si="54"/>
        <v>2.3451718252007758E-2</v>
      </c>
      <c r="N256" s="169">
        <f t="shared" si="55"/>
        <v>9.0547645222140982E-3</v>
      </c>
      <c r="O256" s="55">
        <v>4667124.0565384403</v>
      </c>
      <c r="Q256" s="167">
        <f t="shared" si="56"/>
        <v>2.4173000668777034E-2</v>
      </c>
      <c r="R256" s="170">
        <v>1.7885923142632931E-2</v>
      </c>
      <c r="S256" s="55">
        <v>4670413.2341897432</v>
      </c>
      <c r="T256" s="167">
        <f t="shared" si="57"/>
        <v>2.4371155951674384E-2</v>
      </c>
      <c r="U256" s="170">
        <v>1.8082862012263279E-2</v>
      </c>
      <c r="V256" s="55">
        <v>4671316.8579477062</v>
      </c>
      <c r="X256" s="167">
        <f t="shared" si="58"/>
        <v>2.3674104454495914E-2</v>
      </c>
      <c r="Y256" s="170">
        <v>1.739008949607701E-2</v>
      </c>
      <c r="Z256" s="55">
        <v>4668138.1776513029</v>
      </c>
      <c r="AB256" s="55">
        <v>4570482.618592917</v>
      </c>
      <c r="AC256" s="55">
        <v>4668138.1776513029</v>
      </c>
      <c r="AD256" s="167">
        <f t="shared" si="59"/>
        <v>2.3674104454495914E-2</v>
      </c>
      <c r="AE256" s="170">
        <v>1.739008949607701E-2</v>
      </c>
      <c r="AF256" s="55">
        <v>4668138.1776513029</v>
      </c>
      <c r="AG256" s="166">
        <v>1614.6267301147675</v>
      </c>
      <c r="AH256" s="171">
        <f t="shared" si="60"/>
        <v>2.3674104454495914E-2</v>
      </c>
      <c r="AI256" s="171">
        <f t="shared" si="60"/>
        <v>1.739008949607701E-2</v>
      </c>
      <c r="AK256" s="55">
        <v>4692327.4412362501</v>
      </c>
      <c r="AL256" s="166">
        <v>1622.9933701069233</v>
      </c>
      <c r="AM256" s="171">
        <f t="shared" si="61"/>
        <v>-5.1550672641409445E-3</v>
      </c>
      <c r="AN256" s="170">
        <f t="shared" si="61"/>
        <v>-5.1550672641408335E-3</v>
      </c>
      <c r="AP256" s="55">
        <v>5</v>
      </c>
      <c r="AQ256" s="55">
        <v>0</v>
      </c>
    </row>
    <row r="257" spans="2:43" x14ac:dyDescent="0.2">
      <c r="B257" s="1" t="s">
        <v>538</v>
      </c>
      <c r="D257" s="55">
        <v>2366346</v>
      </c>
      <c r="E257" s="166">
        <v>1499.8521146975979</v>
      </c>
      <c r="G257" s="55">
        <v>2408671.3029523119</v>
      </c>
      <c r="H257" s="166">
        <v>1516.2890177205102</v>
      </c>
      <c r="J257" s="167">
        <f t="shared" si="53"/>
        <v>-1.75720543107869E-2</v>
      </c>
      <c r="K257" s="168">
        <f t="shared" si="53"/>
        <v>-1.0840217683316333E-2</v>
      </c>
      <c r="L257" s="55">
        <v>2422891</v>
      </c>
      <c r="M257" s="167">
        <f t="shared" si="54"/>
        <v>2.3895491191905149E-2</v>
      </c>
      <c r="N257" s="169">
        <f t="shared" si="55"/>
        <v>9.0547645222140982E-3</v>
      </c>
      <c r="O257" s="55">
        <v>2422891</v>
      </c>
      <c r="Q257" s="167">
        <f t="shared" si="56"/>
        <v>2.5349461605397305E-2</v>
      </c>
      <c r="R257" s="170">
        <v>1.8371332100953985E-2</v>
      </c>
      <c r="S257" s="55">
        <v>2426331.5970720854</v>
      </c>
      <c r="T257" s="167">
        <f t="shared" si="57"/>
        <v>2.5349461605397305E-2</v>
      </c>
      <c r="U257" s="170">
        <v>1.8371332100953985E-2</v>
      </c>
      <c r="V257" s="55">
        <v>2426331.5970720854</v>
      </c>
      <c r="X257" s="167">
        <f t="shared" si="58"/>
        <v>2.5349461605397305E-2</v>
      </c>
      <c r="Y257" s="170">
        <v>1.8371332100953985E-2</v>
      </c>
      <c r="Z257" s="55">
        <v>2426331.5970720854</v>
      </c>
      <c r="AB257" s="55">
        <v>2404696.3465171335</v>
      </c>
      <c r="AC257" s="55">
        <v>2426331.5970720854</v>
      </c>
      <c r="AD257" s="167">
        <f t="shared" si="59"/>
        <v>2.5349461605397305E-2</v>
      </c>
      <c r="AE257" s="170">
        <v>1.8371332100953985E-2</v>
      </c>
      <c r="AF257" s="55">
        <v>2426331.5970720854</v>
      </c>
      <c r="AG257" s="166">
        <v>1527.406395999026</v>
      </c>
      <c r="AH257" s="171">
        <f t="shared" si="60"/>
        <v>2.5349461605397305E-2</v>
      </c>
      <c r="AI257" s="171">
        <f t="shared" si="60"/>
        <v>1.8371332100954207E-2</v>
      </c>
      <c r="AK257" s="55">
        <v>2469273.8227290194</v>
      </c>
      <c r="AL257" s="166">
        <v>1554.4390696063697</v>
      </c>
      <c r="AM257" s="171">
        <f t="shared" si="61"/>
        <v>-1.7390629286093029E-2</v>
      </c>
      <c r="AN257" s="170">
        <f t="shared" si="61"/>
        <v>-1.7390629286093029E-2</v>
      </c>
      <c r="AP257" s="55">
        <v>2</v>
      </c>
      <c r="AQ257" s="55">
        <v>0</v>
      </c>
    </row>
    <row r="258" spans="2:43" x14ac:dyDescent="0.2">
      <c r="B258" s="1" t="s">
        <v>539</v>
      </c>
      <c r="D258" s="55">
        <v>2447878</v>
      </c>
      <c r="E258" s="166">
        <v>1573.7614326936377</v>
      </c>
      <c r="G258" s="55">
        <v>2460234.1702364348</v>
      </c>
      <c r="H258" s="166">
        <v>1568.8521297368948</v>
      </c>
      <c r="J258" s="167">
        <f t="shared" si="53"/>
        <v>-5.0223553456487657E-3</v>
      </c>
      <c r="K258" s="168">
        <f t="shared" si="53"/>
        <v>3.1292324264915461E-3</v>
      </c>
      <c r="L258" s="55">
        <v>2507980</v>
      </c>
      <c r="M258" s="167">
        <f t="shared" si="54"/>
        <v>2.4552694211067649E-2</v>
      </c>
      <c r="N258" s="169">
        <f t="shared" si="55"/>
        <v>9.0547645222140982E-3</v>
      </c>
      <c r="O258" s="55">
        <v>2507980</v>
      </c>
      <c r="Q258" s="167">
        <f t="shared" si="56"/>
        <v>2.4952350445410998E-2</v>
      </c>
      <c r="R258" s="170">
        <v>1.662342454350374E-2</v>
      </c>
      <c r="S258" s="55">
        <v>2508958.3097036118</v>
      </c>
      <c r="T258" s="167">
        <f t="shared" si="57"/>
        <v>2.4952350445410998E-2</v>
      </c>
      <c r="U258" s="170">
        <v>1.662342454350374E-2</v>
      </c>
      <c r="V258" s="55">
        <v>2508958.3097036118</v>
      </c>
      <c r="X258" s="167">
        <f t="shared" si="58"/>
        <v>2.4952350445410998E-2</v>
      </c>
      <c r="Y258" s="170">
        <v>1.662342454350374E-2</v>
      </c>
      <c r="Z258" s="55">
        <v>2508958.3097036118</v>
      </c>
      <c r="AB258" s="55">
        <v>2459782.6972327731</v>
      </c>
      <c r="AC258" s="55">
        <v>2508958.3097036118</v>
      </c>
      <c r="AD258" s="167">
        <f t="shared" si="59"/>
        <v>2.4952350445410998E-2</v>
      </c>
      <c r="AE258" s="170">
        <v>1.662342454350374E-2</v>
      </c>
      <c r="AF258" s="55">
        <v>2508958.3097036118</v>
      </c>
      <c r="AG258" s="166">
        <v>1599.9227371194968</v>
      </c>
      <c r="AH258" s="171">
        <f t="shared" si="60"/>
        <v>2.4952350445410998E-2</v>
      </c>
      <c r="AI258" s="171">
        <f t="shared" si="60"/>
        <v>1.662342454350374E-2</v>
      </c>
      <c r="AK258" s="55">
        <v>2522854.0484438702</v>
      </c>
      <c r="AL258" s="166">
        <v>1608.7838283036854</v>
      </c>
      <c r="AM258" s="171">
        <f t="shared" si="61"/>
        <v>-5.5079439687878429E-3</v>
      </c>
      <c r="AN258" s="170">
        <f t="shared" si="61"/>
        <v>-5.5079439687877318E-3</v>
      </c>
      <c r="AP258" s="55">
        <v>2</v>
      </c>
      <c r="AQ258" s="55">
        <v>0</v>
      </c>
    </row>
    <row r="259" spans="2:43" x14ac:dyDescent="0.2">
      <c r="B259" s="1" t="s">
        <v>540</v>
      </c>
      <c r="D259" s="55">
        <v>2987206</v>
      </c>
      <c r="E259" s="166">
        <v>1687.545078060904</v>
      </c>
      <c r="G259" s="55">
        <v>2946494.3974348744</v>
      </c>
      <c r="H259" s="166">
        <v>1654.6116351995961</v>
      </c>
      <c r="J259" s="167">
        <f t="shared" si="53"/>
        <v>1.3816962489583418E-2</v>
      </c>
      <c r="K259" s="168">
        <f t="shared" si="53"/>
        <v>1.9904031955713331E-2</v>
      </c>
      <c r="L259" s="55">
        <v>3055296</v>
      </c>
      <c r="M259" s="167">
        <f t="shared" si="54"/>
        <v>2.2793874945350234E-2</v>
      </c>
      <c r="N259" s="169">
        <f t="shared" si="55"/>
        <v>9.0547645222140982E-3</v>
      </c>
      <c r="O259" s="55">
        <v>3055296</v>
      </c>
      <c r="Q259" s="167">
        <f t="shared" si="56"/>
        <v>2.2793874945350234E-2</v>
      </c>
      <c r="R259" s="170">
        <v>1.6689558096650181E-2</v>
      </c>
      <c r="S259" s="55">
        <v>3055296</v>
      </c>
      <c r="T259" s="167">
        <f t="shared" si="57"/>
        <v>2.2793874945350234E-2</v>
      </c>
      <c r="U259" s="170">
        <v>1.6689558096650181E-2</v>
      </c>
      <c r="V259" s="55">
        <v>3055296</v>
      </c>
      <c r="X259" s="167">
        <f t="shared" si="58"/>
        <v>2.2793874945350234E-2</v>
      </c>
      <c r="Y259" s="170">
        <v>1.6689558096650181E-2</v>
      </c>
      <c r="Z259" s="55">
        <v>3055296</v>
      </c>
      <c r="AB259" s="55">
        <v>2945409.3487209892</v>
      </c>
      <c r="AC259" s="55">
        <v>3055296</v>
      </c>
      <c r="AD259" s="167">
        <f t="shared" si="59"/>
        <v>2.2793874945350234E-2</v>
      </c>
      <c r="AE259" s="170">
        <v>1.6689558096650181E-2</v>
      </c>
      <c r="AF259" s="55">
        <v>3055296</v>
      </c>
      <c r="AG259" s="166">
        <v>1715.7094596819172</v>
      </c>
      <c r="AH259" s="171">
        <f t="shared" si="60"/>
        <v>2.2793874945350234E-2</v>
      </c>
      <c r="AI259" s="171">
        <f t="shared" si="60"/>
        <v>1.6689558096649959E-2</v>
      </c>
      <c r="AK259" s="55">
        <v>3020932.6653548605</v>
      </c>
      <c r="AL259" s="166">
        <v>1696.4126392373903</v>
      </c>
      <c r="AM259" s="171">
        <f t="shared" si="61"/>
        <v>1.1375074671220009E-2</v>
      </c>
      <c r="AN259" s="170">
        <f t="shared" si="61"/>
        <v>1.1375074671220231E-2</v>
      </c>
      <c r="AP259" s="55">
        <v>3</v>
      </c>
      <c r="AQ259" s="55">
        <v>0</v>
      </c>
    </row>
    <row r="260" spans="2:43" ht="15" x14ac:dyDescent="0.25">
      <c r="B260"/>
      <c r="D260" s="1"/>
      <c r="G260" s="1"/>
      <c r="L260" s="1"/>
      <c r="O260" s="1"/>
      <c r="Q260" s="53"/>
      <c r="S260" s="1"/>
      <c r="U260" s="52"/>
      <c r="V260" s="1"/>
      <c r="X260" s="53"/>
      <c r="Y260" s="52"/>
      <c r="Z260" s="1"/>
      <c r="AB260" s="1"/>
      <c r="AC260" s="1"/>
      <c r="AD260" s="53"/>
      <c r="AE260" s="52"/>
      <c r="AF260" s="1"/>
      <c r="AG260" s="75"/>
      <c r="AK260" s="1"/>
      <c r="AL260" s="75"/>
      <c r="AP260" s="1"/>
      <c r="AQ260" s="1"/>
    </row>
    <row r="261" spans="2:43" x14ac:dyDescent="0.2">
      <c r="B261" s="1" t="s">
        <v>12</v>
      </c>
      <c r="D261" s="172">
        <f>SUM(D235:D259)</f>
        <v>94829648</v>
      </c>
      <c r="E261" s="173">
        <v>1630.1113270385943</v>
      </c>
      <c r="G261" s="172">
        <f>SUM(G235:G259)</f>
        <v>94829716.878834352</v>
      </c>
      <c r="H261" s="173">
        <v>1618.4696648849849</v>
      </c>
      <c r="J261" s="167">
        <f>D261/G261-1</f>
        <v>-7.2634229664192418E-7</v>
      </c>
      <c r="K261" s="168">
        <f>E261/H261-1</f>
        <v>7.1930060885241343E-3</v>
      </c>
      <c r="L261" s="172">
        <f>SUM(L235:L259)</f>
        <v>97149858</v>
      </c>
      <c r="M261" s="167">
        <f>O261/$D261-1</f>
        <v>2.4677431975188346E-2</v>
      </c>
      <c r="N261" s="169">
        <f>N$222</f>
        <v>9.0547645222140982E-3</v>
      </c>
      <c r="O261" s="172">
        <f>SUM(O235:O259)</f>
        <v>97169800.187751055</v>
      </c>
      <c r="Q261" s="167">
        <f>S261/$D261-1</f>
        <v>2.5674011581985567E-2</v>
      </c>
      <c r="R261" s="170">
        <v>1.8348281204625394E-2</v>
      </c>
      <c r="S261" s="172">
        <f>SUM(S235:S259)</f>
        <v>97264305.481067613</v>
      </c>
      <c r="T261" s="167">
        <f>V261/$D261-1</f>
        <v>2.5773451304067052E-2</v>
      </c>
      <c r="U261" s="170">
        <v>1.8447010692670851E-2</v>
      </c>
      <c r="V261" s="172">
        <f>SUM(V235:V259)</f>
        <v>97273735.314909816</v>
      </c>
      <c r="X261" s="167">
        <f>Z261/$D261-1</f>
        <v>2.5486443052915808E-2</v>
      </c>
      <c r="Y261" s="170">
        <v>1.8162052357029168E-2</v>
      </c>
      <c r="Z261" s="172">
        <f>SUM(Z235:Z259)</f>
        <v>97246518.423480049</v>
      </c>
      <c r="AB261" s="172">
        <f>SUM(AB235:AB259)</f>
        <v>94739854.546611235</v>
      </c>
      <c r="AC261" s="172">
        <f>SUM(AC235:AC259)</f>
        <v>97246518.423480049</v>
      </c>
      <c r="AD261" s="167">
        <f>AC261/$D261-1</f>
        <v>2.5486443052915808E-2</v>
      </c>
      <c r="AE261" s="170">
        <v>1.8162052357029168E-2</v>
      </c>
      <c r="AF261" s="172">
        <f>SUM(AF235:AF259)</f>
        <v>97246518.423480049</v>
      </c>
      <c r="AG261" s="166">
        <v>1659.7174943080554</v>
      </c>
      <c r="AH261" s="171">
        <f>AF261/D261 - 1</f>
        <v>2.5486443052915808E-2</v>
      </c>
      <c r="AI261" s="171">
        <f>AG261/E261 - 1</f>
        <v>1.8162052357029168E-2</v>
      </c>
      <c r="AK261" s="172">
        <f>SUM(AK235:AK259)</f>
        <v>97246569.278791666</v>
      </c>
      <c r="AL261" s="173">
        <v>1659.7183622614975</v>
      </c>
      <c r="AM261" s="171">
        <f>AF261/AK261-1</f>
        <v>-5.2295224395315643E-7</v>
      </c>
      <c r="AN261" s="170">
        <f t="shared" ref="AN261" si="62">AG261/AL261-1</f>
        <v>-5.2295224406417873E-7</v>
      </c>
      <c r="AP261" s="172">
        <f>SUM(AP235:AP259)</f>
        <v>132</v>
      </c>
      <c r="AQ261" s="172">
        <f>SUM(AQ235:AQ259)</f>
        <v>0</v>
      </c>
    </row>
    <row r="262" spans="2:43" ht="15" x14ac:dyDescent="0.25">
      <c r="B262"/>
      <c r="D262" s="1"/>
      <c r="G262" s="1"/>
      <c r="L262" s="1"/>
      <c r="O262" s="1"/>
      <c r="Q262" s="53"/>
      <c r="S262" s="1"/>
      <c r="U262" s="52"/>
      <c r="V262" s="1"/>
      <c r="X262" s="53"/>
      <c r="Y262" s="52"/>
      <c r="Z262" s="1"/>
      <c r="AB262" s="1"/>
      <c r="AC262" s="1"/>
      <c r="AD262" s="53"/>
      <c r="AE262" s="52"/>
      <c r="AF262" s="1"/>
      <c r="AG262" s="75"/>
      <c r="AK262" s="1"/>
      <c r="AL262" s="75"/>
      <c r="AP262" s="1"/>
      <c r="AQ262" s="1"/>
    </row>
    <row r="263" spans="2:43" ht="15" x14ac:dyDescent="0.25">
      <c r="B263" s="174" t="s">
        <v>541</v>
      </c>
      <c r="D263" s="1"/>
      <c r="G263" s="1"/>
      <c r="L263" s="1"/>
      <c r="O263" s="1"/>
      <c r="Q263" s="53"/>
      <c r="S263" s="1"/>
      <c r="U263" s="52"/>
      <c r="V263" s="1"/>
      <c r="X263" s="53"/>
      <c r="Y263" s="52"/>
      <c r="Z263" s="1"/>
      <c r="AB263" s="1"/>
      <c r="AC263" s="1"/>
      <c r="AD263" s="53"/>
      <c r="AE263" s="52"/>
      <c r="AF263" s="1"/>
      <c r="AG263" s="75"/>
      <c r="AK263" s="1"/>
      <c r="AL263" s="75"/>
      <c r="AP263" s="1"/>
      <c r="AQ263" s="1"/>
    </row>
    <row r="264" spans="2:43" ht="15" x14ac:dyDescent="0.25">
      <c r="B264" t="s">
        <v>542</v>
      </c>
      <c r="D264" s="55">
        <v>6977576</v>
      </c>
      <c r="E264" s="166">
        <v>1479.6592220176958</v>
      </c>
      <c r="G264" s="55">
        <v>7090606.1861565989</v>
      </c>
      <c r="H264" s="166">
        <v>1491.7501928776032</v>
      </c>
      <c r="J264" s="167">
        <f t="shared" ref="J264:K273" si="63">D264/G264-1</f>
        <v>-1.5940835408018272E-2</v>
      </c>
      <c r="K264" s="168">
        <f t="shared" si="63"/>
        <v>-8.105224934869204E-3</v>
      </c>
      <c r="L264" s="55">
        <v>7153113</v>
      </c>
      <c r="M264" s="167">
        <f t="shared" ref="M264:M273" si="64">O264/$D264-1</f>
        <v>2.5157303911845563E-2</v>
      </c>
      <c r="N264" s="169">
        <f t="shared" ref="N264:N273" si="65">N$222</f>
        <v>9.0547645222140982E-3</v>
      </c>
      <c r="O264" s="55">
        <v>7153113</v>
      </c>
      <c r="Q264" s="167">
        <f t="shared" ref="Q264:Q273" si="66">S264/$D264-1</f>
        <v>2.6385972012653136E-2</v>
      </c>
      <c r="R264" s="170">
        <v>1.8277893541055468E-2</v>
      </c>
      <c r="S264" s="55">
        <v>7161686.1250521597</v>
      </c>
      <c r="T264" s="167">
        <f t="shared" ref="T264:T273" si="67">V264/$D264-1</f>
        <v>2.6385972012653136E-2</v>
      </c>
      <c r="U264" s="170">
        <v>1.8277893541055468E-2</v>
      </c>
      <c r="V264" s="55">
        <v>7161686.1250521597</v>
      </c>
      <c r="X264" s="167">
        <f t="shared" ref="X264:X273" si="68">Z264/$D264-1</f>
        <v>2.6385972012653136E-2</v>
      </c>
      <c r="Y264" s="170">
        <v>1.8277893541055468E-2</v>
      </c>
      <c r="Z264" s="55">
        <v>7161686.1250521597</v>
      </c>
      <c r="AB264" s="55">
        <v>7082845.6935648713</v>
      </c>
      <c r="AC264" s="55">
        <v>7161686.1250521597</v>
      </c>
      <c r="AD264" s="167">
        <f t="shared" ref="AD264:AD273" si="69">AC264/$D264-1</f>
        <v>2.6385972012653136E-2</v>
      </c>
      <c r="AE264" s="170">
        <v>1.8277893541055468E-2</v>
      </c>
      <c r="AF264" s="55">
        <v>7161686.1250521597</v>
      </c>
      <c r="AG264" s="166">
        <v>1506.7042757547761</v>
      </c>
      <c r="AH264" s="171">
        <f t="shared" ref="AH264:AI273" si="70">AF264/D264 - 1</f>
        <v>2.6385972012653136E-2</v>
      </c>
      <c r="AI264" s="171">
        <f t="shared" si="70"/>
        <v>1.8277893541055468E-2</v>
      </c>
      <c r="AK264" s="55">
        <v>7270202.0166671835</v>
      </c>
      <c r="AL264" s="166">
        <v>1529.5342846421745</v>
      </c>
      <c r="AM264" s="171">
        <f t="shared" ref="AM264:AN273" si="71">AF264/AK264-1</f>
        <v>-1.4926117784106574E-2</v>
      </c>
      <c r="AN264" s="170">
        <f t="shared" si="71"/>
        <v>-1.4926117784106685E-2</v>
      </c>
      <c r="AP264" s="55">
        <v>9</v>
      </c>
      <c r="AQ264" s="55">
        <v>0</v>
      </c>
    </row>
    <row r="265" spans="2:43" ht="15" x14ac:dyDescent="0.25">
      <c r="B265" t="s">
        <v>543</v>
      </c>
      <c r="D265" s="55">
        <v>10442467</v>
      </c>
      <c r="E265" s="166">
        <v>1509.0070813814889</v>
      </c>
      <c r="G265" s="55">
        <v>10633511.313747672</v>
      </c>
      <c r="H265" s="166">
        <v>1524.728550735497</v>
      </c>
      <c r="J265" s="167">
        <f t="shared" si="63"/>
        <v>-1.7966249163686721E-2</v>
      </c>
      <c r="K265" s="168">
        <f t="shared" si="63"/>
        <v>-1.0310995584377536E-2</v>
      </c>
      <c r="L265" s="55">
        <v>10702730</v>
      </c>
      <c r="M265" s="167">
        <f t="shared" si="64"/>
        <v>2.4923516636442322E-2</v>
      </c>
      <c r="N265" s="169">
        <f t="shared" si="65"/>
        <v>9.0547645222140982E-3</v>
      </c>
      <c r="O265" s="55">
        <v>10702730</v>
      </c>
      <c r="Q265" s="167">
        <f t="shared" si="66"/>
        <v>2.7615521470306881E-2</v>
      </c>
      <c r="R265" s="170">
        <v>1.9666905931697176E-2</v>
      </c>
      <c r="S265" s="55">
        <v>10730841.171641471</v>
      </c>
      <c r="T265" s="167">
        <f t="shared" si="67"/>
        <v>2.7636826044732832E-2</v>
      </c>
      <c r="U265" s="170">
        <v>1.9688045715043234E-2</v>
      </c>
      <c r="V265" s="55">
        <v>10731063.643956864</v>
      </c>
      <c r="X265" s="167">
        <f t="shared" si="68"/>
        <v>2.7615521470306881E-2</v>
      </c>
      <c r="Y265" s="170">
        <v>1.9666905931697176E-2</v>
      </c>
      <c r="Z265" s="55">
        <v>10730841.171641471</v>
      </c>
      <c r="AB265" s="55">
        <v>10596804.289723985</v>
      </c>
      <c r="AC265" s="55">
        <v>10730841.171641471</v>
      </c>
      <c r="AD265" s="167">
        <f t="shared" si="69"/>
        <v>2.7615521470306881E-2</v>
      </c>
      <c r="AE265" s="170">
        <v>1.9666905931697176E-2</v>
      </c>
      <c r="AF265" s="55">
        <v>10730841.171641471</v>
      </c>
      <c r="AG265" s="166">
        <v>1538.6845817012834</v>
      </c>
      <c r="AH265" s="171">
        <f t="shared" si="70"/>
        <v>2.7615521470306881E-2</v>
      </c>
      <c r="AI265" s="171">
        <f t="shared" si="70"/>
        <v>1.9666905931697176E-2</v>
      </c>
      <c r="AK265" s="55">
        <v>10903651.890986804</v>
      </c>
      <c r="AL265" s="166">
        <v>1563.4637378882253</v>
      </c>
      <c r="AM265" s="171">
        <f t="shared" si="71"/>
        <v>-1.5848884490542337E-2</v>
      </c>
      <c r="AN265" s="170">
        <f t="shared" si="71"/>
        <v>-1.5848884490542225E-2</v>
      </c>
      <c r="AP265" s="55">
        <v>10</v>
      </c>
      <c r="AQ265" s="55">
        <v>0</v>
      </c>
    </row>
    <row r="266" spans="2:43" ht="15" x14ac:dyDescent="0.25">
      <c r="B266" t="s">
        <v>544</v>
      </c>
      <c r="D266" s="55">
        <v>10890824</v>
      </c>
      <c r="E266" s="166">
        <v>1575.8486663337037</v>
      </c>
      <c r="G266" s="55">
        <v>11053773.258439355</v>
      </c>
      <c r="H266" s="166">
        <v>1587.4483871925229</v>
      </c>
      <c r="J266" s="167">
        <f t="shared" si="63"/>
        <v>-1.4741505423493839E-2</v>
      </c>
      <c r="K266" s="168">
        <f t="shared" si="63"/>
        <v>-7.3071483472504362E-3</v>
      </c>
      <c r="L266" s="55">
        <v>11157366</v>
      </c>
      <c r="M266" s="167">
        <f t="shared" si="64"/>
        <v>2.4473997559780525E-2</v>
      </c>
      <c r="N266" s="169">
        <f t="shared" si="65"/>
        <v>9.0547645222140982E-3</v>
      </c>
      <c r="O266" s="55">
        <v>11157366</v>
      </c>
      <c r="Q266" s="167">
        <f t="shared" si="66"/>
        <v>2.6055777595184848E-2</v>
      </c>
      <c r="R266" s="170">
        <v>1.8371562867452118E-2</v>
      </c>
      <c r="S266" s="55">
        <v>11174592.887972301</v>
      </c>
      <c r="T266" s="167">
        <f t="shared" si="67"/>
        <v>2.6055777595184848E-2</v>
      </c>
      <c r="U266" s="170">
        <v>1.8371562867452118E-2</v>
      </c>
      <c r="V266" s="55">
        <v>11174592.887972301</v>
      </c>
      <c r="X266" s="167">
        <f t="shared" si="68"/>
        <v>2.6055777595184848E-2</v>
      </c>
      <c r="Y266" s="170">
        <v>1.8371562867452118E-2</v>
      </c>
      <c r="Z266" s="55">
        <v>11174592.887972301</v>
      </c>
      <c r="AB266" s="55">
        <v>11042791.360078588</v>
      </c>
      <c r="AC266" s="55">
        <v>11174592.887972301</v>
      </c>
      <c r="AD266" s="167">
        <f t="shared" si="69"/>
        <v>2.6055777595184848E-2</v>
      </c>
      <c r="AE266" s="170">
        <v>1.8371562867452118E-2</v>
      </c>
      <c r="AF266" s="55">
        <v>11174592.887972301</v>
      </c>
      <c r="AG266" s="166">
        <v>1604.7994691768438</v>
      </c>
      <c r="AH266" s="171">
        <f t="shared" si="70"/>
        <v>2.6055777595184848E-2</v>
      </c>
      <c r="AI266" s="171">
        <f t="shared" si="70"/>
        <v>1.8371562867452118E-2</v>
      </c>
      <c r="AK266" s="55">
        <v>11333693.210935093</v>
      </c>
      <c r="AL266" s="166">
        <v>1627.6480969878282</v>
      </c>
      <c r="AM266" s="171">
        <f t="shared" si="71"/>
        <v>-1.4037818035279814E-2</v>
      </c>
      <c r="AN266" s="170">
        <f t="shared" si="71"/>
        <v>-1.4037818035279703E-2</v>
      </c>
      <c r="AP266" s="55">
        <v>10</v>
      </c>
      <c r="AQ266" s="55">
        <v>0</v>
      </c>
    </row>
    <row r="267" spans="2:43" ht="15" x14ac:dyDescent="0.25">
      <c r="B267" t="s">
        <v>545</v>
      </c>
      <c r="D267" s="55">
        <v>8622831</v>
      </c>
      <c r="E267" s="166">
        <v>1584.7827574116529</v>
      </c>
      <c r="G267" s="55">
        <v>8675912.0420841668</v>
      </c>
      <c r="H267" s="166">
        <v>1581.9392690895756</v>
      </c>
      <c r="J267" s="167">
        <f t="shared" si="63"/>
        <v>-6.1182088784080824E-3</v>
      </c>
      <c r="K267" s="168">
        <f t="shared" si="63"/>
        <v>1.797469964642584E-3</v>
      </c>
      <c r="L267" s="55">
        <v>8840293</v>
      </c>
      <c r="M267" s="167">
        <f t="shared" si="64"/>
        <v>2.5219327619896426E-2</v>
      </c>
      <c r="N267" s="169">
        <f t="shared" si="65"/>
        <v>9.0547645222140982E-3</v>
      </c>
      <c r="O267" s="55">
        <v>8840293</v>
      </c>
      <c r="Q267" s="167">
        <f t="shared" si="66"/>
        <v>2.6340123176488817E-2</v>
      </c>
      <c r="R267" s="170">
        <v>1.8230521143765666E-2</v>
      </c>
      <c r="S267" s="55">
        <v>8849957.4306700472</v>
      </c>
      <c r="T267" s="167">
        <f t="shared" si="67"/>
        <v>2.6434184359223734E-2</v>
      </c>
      <c r="U267" s="170">
        <v>1.8323839104305906E-2</v>
      </c>
      <c r="V267" s="55">
        <v>8850768.5043524299</v>
      </c>
      <c r="X267" s="167">
        <f t="shared" si="68"/>
        <v>2.6340123176488817E-2</v>
      </c>
      <c r="Y267" s="170">
        <v>1.8230521143765666E-2</v>
      </c>
      <c r="Z267" s="55">
        <v>8849957.4306700472</v>
      </c>
      <c r="AB267" s="55">
        <v>8666631.8105185777</v>
      </c>
      <c r="AC267" s="55">
        <v>8849957.4306700472</v>
      </c>
      <c r="AD267" s="167">
        <f t="shared" si="69"/>
        <v>2.6340123176488817E-2</v>
      </c>
      <c r="AE267" s="170">
        <v>1.8230521143765666E-2</v>
      </c>
      <c r="AF267" s="55">
        <v>8849957.4306700472</v>
      </c>
      <c r="AG267" s="166">
        <v>1613.6741729789214</v>
      </c>
      <c r="AH267" s="171">
        <f t="shared" si="70"/>
        <v>2.6340123176488817E-2</v>
      </c>
      <c r="AI267" s="171">
        <f t="shared" si="70"/>
        <v>1.8230521143765666E-2</v>
      </c>
      <c r="AK267" s="55">
        <v>8897125.6733464655</v>
      </c>
      <c r="AL267" s="166">
        <v>1622.2746860986749</v>
      </c>
      <c r="AM267" s="171">
        <f t="shared" si="71"/>
        <v>-5.3015147147715824E-3</v>
      </c>
      <c r="AN267" s="170">
        <f t="shared" si="71"/>
        <v>-5.3015147147715824E-3</v>
      </c>
      <c r="AP267" s="55">
        <v>11</v>
      </c>
      <c r="AQ267" s="55">
        <v>0</v>
      </c>
    </row>
    <row r="268" spans="2:43" ht="15" x14ac:dyDescent="0.25">
      <c r="B268" t="s">
        <v>546</v>
      </c>
      <c r="D268" s="55">
        <v>9260966</v>
      </c>
      <c r="E268" s="166">
        <v>1638.4133584043943</v>
      </c>
      <c r="G268" s="55">
        <v>9264111.2632622067</v>
      </c>
      <c r="H268" s="166">
        <v>1629.7162827470343</v>
      </c>
      <c r="J268" s="167">
        <f t="shared" si="63"/>
        <v>-3.3951052322522823E-4</v>
      </c>
      <c r="K268" s="168">
        <f t="shared" si="63"/>
        <v>5.3365581171591625E-3</v>
      </c>
      <c r="L268" s="55">
        <v>9483075</v>
      </c>
      <c r="M268" s="167">
        <f t="shared" si="64"/>
        <v>2.3983351196840585E-2</v>
      </c>
      <c r="N268" s="169">
        <f t="shared" si="65"/>
        <v>9.0547645222140982E-3</v>
      </c>
      <c r="O268" s="55">
        <v>9483075</v>
      </c>
      <c r="Q268" s="167">
        <f t="shared" si="66"/>
        <v>2.4876222076709142E-2</v>
      </c>
      <c r="R268" s="170">
        <v>1.9089833690216773E-2</v>
      </c>
      <c r="S268" s="55">
        <v>9491343.8468608521</v>
      </c>
      <c r="T268" s="167">
        <f t="shared" si="67"/>
        <v>2.4876222076709142E-2</v>
      </c>
      <c r="U268" s="170">
        <v>1.9089833690216773E-2</v>
      </c>
      <c r="V268" s="55">
        <v>9491343.8468608521</v>
      </c>
      <c r="X268" s="167">
        <f t="shared" si="68"/>
        <v>2.4876222076709142E-2</v>
      </c>
      <c r="Y268" s="170">
        <v>1.9089833690216773E-2</v>
      </c>
      <c r="Z268" s="55">
        <v>9491343.8468608521</v>
      </c>
      <c r="AB268" s="55">
        <v>9258054.3599014562</v>
      </c>
      <c r="AC268" s="55">
        <v>9491343.8468608521</v>
      </c>
      <c r="AD268" s="167">
        <f t="shared" si="69"/>
        <v>2.4876222076709142E-2</v>
      </c>
      <c r="AE268" s="170">
        <v>1.9089833690216773E-2</v>
      </c>
      <c r="AF268" s="55">
        <v>9491343.8468608521</v>
      </c>
      <c r="AG268" s="166">
        <v>1669.6903969321638</v>
      </c>
      <c r="AH268" s="171">
        <f t="shared" si="70"/>
        <v>2.4876222076709142E-2</v>
      </c>
      <c r="AI268" s="171">
        <f t="shared" si="70"/>
        <v>1.9089833690216773E-2</v>
      </c>
      <c r="AK268" s="55">
        <v>9497778.9700096697</v>
      </c>
      <c r="AL268" s="166">
        <v>1670.8224456175785</v>
      </c>
      <c r="AM268" s="171">
        <f t="shared" si="71"/>
        <v>-6.7753978789542035E-4</v>
      </c>
      <c r="AN268" s="170">
        <f t="shared" si="71"/>
        <v>-6.7753978789542035E-4</v>
      </c>
      <c r="AP268" s="55">
        <v>14</v>
      </c>
      <c r="AQ268" s="55">
        <v>0</v>
      </c>
    </row>
    <row r="269" spans="2:43" ht="15" x14ac:dyDescent="0.25">
      <c r="B269" t="s">
        <v>547</v>
      </c>
      <c r="D269" s="55">
        <v>7607469</v>
      </c>
      <c r="E269" s="166">
        <v>1621.2688459549381</v>
      </c>
      <c r="G269" s="55">
        <v>7611925.184172756</v>
      </c>
      <c r="H269" s="166">
        <v>1611.6783677653063</v>
      </c>
      <c r="J269" s="167">
        <f t="shared" si="63"/>
        <v>-5.8542143609363606E-4</v>
      </c>
      <c r="K269" s="168">
        <f t="shared" si="63"/>
        <v>5.9506154462627414E-3</v>
      </c>
      <c r="L269" s="55">
        <v>7786189</v>
      </c>
      <c r="M269" s="167">
        <f t="shared" si="64"/>
        <v>2.379175735562522E-2</v>
      </c>
      <c r="N269" s="169">
        <f t="shared" si="65"/>
        <v>9.0547645222140982E-3</v>
      </c>
      <c r="O269" s="55">
        <v>7788464.0565384403</v>
      </c>
      <c r="Q269" s="167">
        <f t="shared" si="66"/>
        <v>2.4716690477529335E-2</v>
      </c>
      <c r="R269" s="170">
        <v>1.8058723396355836E-2</v>
      </c>
      <c r="S269" s="55">
        <v>7795500.4565903991</v>
      </c>
      <c r="T269" s="167">
        <f t="shared" si="67"/>
        <v>2.4835471606701631E-2</v>
      </c>
      <c r="U269" s="170">
        <v>1.8176732760165848E-2</v>
      </c>
      <c r="V269" s="55">
        <v>7796404.0803483622</v>
      </c>
      <c r="X269" s="167">
        <f t="shared" si="68"/>
        <v>2.4417634833866497E-2</v>
      </c>
      <c r="Y269" s="170">
        <v>1.7761610828910479E-2</v>
      </c>
      <c r="Z269" s="55">
        <v>7793225.4000519589</v>
      </c>
      <c r="AB269" s="55">
        <v>7607570.8518841946</v>
      </c>
      <c r="AC269" s="55">
        <v>7793225.4000519589</v>
      </c>
      <c r="AD269" s="167">
        <f t="shared" si="69"/>
        <v>2.4417634833866497E-2</v>
      </c>
      <c r="AE269" s="170">
        <v>1.7761610828910479E-2</v>
      </c>
      <c r="AF269" s="55">
        <v>7793225.4000519589</v>
      </c>
      <c r="AG269" s="166">
        <v>1650.0651922458264</v>
      </c>
      <c r="AH269" s="171">
        <f t="shared" si="70"/>
        <v>2.4417634833866497E-2</v>
      </c>
      <c r="AI269" s="171">
        <f t="shared" si="70"/>
        <v>1.7761610828910479E-2</v>
      </c>
      <c r="AK269" s="55">
        <v>7804340.888416715</v>
      </c>
      <c r="AL269" s="166">
        <v>1652.4186825536231</v>
      </c>
      <c r="AM269" s="171">
        <f t="shared" si="71"/>
        <v>-1.4242699702230466E-3</v>
      </c>
      <c r="AN269" s="170">
        <f t="shared" si="71"/>
        <v>-1.4242699702230466E-3</v>
      </c>
      <c r="AP269" s="55">
        <v>15</v>
      </c>
      <c r="AQ269" s="55">
        <v>0</v>
      </c>
    </row>
    <row r="270" spans="2:43" ht="15" x14ac:dyDescent="0.25">
      <c r="B270" t="s">
        <v>548</v>
      </c>
      <c r="D270" s="55">
        <v>9173915</v>
      </c>
      <c r="E270" s="166">
        <v>1662.4903441480162</v>
      </c>
      <c r="G270" s="55">
        <v>8992901.8083618358</v>
      </c>
      <c r="H270" s="166">
        <v>1616.8112996379732</v>
      </c>
      <c r="J270" s="167">
        <f t="shared" si="63"/>
        <v>2.0128451916360701E-2</v>
      </c>
      <c r="K270" s="168">
        <f t="shared" si="63"/>
        <v>2.8252551500766554E-2</v>
      </c>
      <c r="L270" s="55">
        <v>9383558</v>
      </c>
      <c r="M270" s="167">
        <f t="shared" si="64"/>
        <v>2.4362591613018347E-2</v>
      </c>
      <c r="N270" s="169">
        <f t="shared" si="65"/>
        <v>9.0547645222140982E-3</v>
      </c>
      <c r="O270" s="55">
        <v>9397415.344637543</v>
      </c>
      <c r="Q270" s="167">
        <f t="shared" si="66"/>
        <v>2.497950013631578E-2</v>
      </c>
      <c r="R270" s="170">
        <v>1.688126053659067E-2</v>
      </c>
      <c r="S270" s="55">
        <v>9403074.8109930493</v>
      </c>
      <c r="T270" s="167">
        <f t="shared" si="67"/>
        <v>2.5249979434635472E-2</v>
      </c>
      <c r="U270" s="170">
        <v>1.7149602810546227E-2</v>
      </c>
      <c r="V270" s="55">
        <v>9405556.165085094</v>
      </c>
      <c r="X270" s="167">
        <f t="shared" si="68"/>
        <v>2.3592671409981447E-2</v>
      </c>
      <c r="Y270" s="170">
        <v>1.5505388977017365E-2</v>
      </c>
      <c r="Z270" s="55">
        <v>9390352.1621381007</v>
      </c>
      <c r="AB270" s="55">
        <v>8988013.4530167282</v>
      </c>
      <c r="AC270" s="55">
        <v>9390352.1621381007</v>
      </c>
      <c r="AD270" s="167">
        <f t="shared" si="69"/>
        <v>2.3592671409981447E-2</v>
      </c>
      <c r="AE270" s="170">
        <v>1.5505388977017365E-2</v>
      </c>
      <c r="AF270" s="55">
        <v>9390352.1621381007</v>
      </c>
      <c r="AG270" s="166">
        <v>1688.267903604567</v>
      </c>
      <c r="AH270" s="171">
        <f t="shared" si="70"/>
        <v>2.3592671409981447E-2</v>
      </c>
      <c r="AI270" s="171">
        <f t="shared" si="70"/>
        <v>1.5505388977017587E-2</v>
      </c>
      <c r="AK270" s="55">
        <v>9223587.5903259721</v>
      </c>
      <c r="AL270" s="166">
        <v>1658.2857187847089</v>
      </c>
      <c r="AM270" s="171">
        <f t="shared" si="71"/>
        <v>1.8080228563887468E-2</v>
      </c>
      <c r="AN270" s="170">
        <f t="shared" si="71"/>
        <v>1.8080228563887468E-2</v>
      </c>
      <c r="AP270" s="55">
        <v>13</v>
      </c>
      <c r="AQ270" s="55">
        <v>0</v>
      </c>
    </row>
    <row r="271" spans="2:43" ht="15" x14ac:dyDescent="0.25">
      <c r="B271" t="s">
        <v>549</v>
      </c>
      <c r="D271" s="55">
        <v>11130942</v>
      </c>
      <c r="E271" s="166">
        <v>1701.5208451228941</v>
      </c>
      <c r="G271" s="55">
        <v>11033778.075683143</v>
      </c>
      <c r="H271" s="166">
        <v>1675.7007870950174</v>
      </c>
      <c r="J271" s="167">
        <f t="shared" si="63"/>
        <v>8.8060430117760102E-3</v>
      </c>
      <c r="K271" s="168">
        <f t="shared" si="63"/>
        <v>1.5408513397334067E-2</v>
      </c>
      <c r="L271" s="55">
        <v>11404018</v>
      </c>
      <c r="M271" s="167">
        <f t="shared" si="64"/>
        <v>2.4533053896067303E-2</v>
      </c>
      <c r="N271" s="169">
        <f t="shared" si="65"/>
        <v>9.0547645222140982E-3</v>
      </c>
      <c r="O271" s="55">
        <v>11404018</v>
      </c>
      <c r="Q271" s="167">
        <f t="shared" si="66"/>
        <v>2.5078131894369138E-2</v>
      </c>
      <c r="R271" s="170">
        <v>1.8412786942640036E-2</v>
      </c>
      <c r="S271" s="55">
        <v>11410085.231584573</v>
      </c>
      <c r="T271" s="167">
        <f t="shared" si="67"/>
        <v>2.5081030652194025E-2</v>
      </c>
      <c r="U271" s="170">
        <v>1.8415666851929968E-2</v>
      </c>
      <c r="V271" s="55">
        <v>11410117.497489793</v>
      </c>
      <c r="X271" s="167">
        <f t="shared" si="68"/>
        <v>2.5078131894369138E-2</v>
      </c>
      <c r="Y271" s="170">
        <v>1.8412786942640036E-2</v>
      </c>
      <c r="Z271" s="55">
        <v>11410085.231584573</v>
      </c>
      <c r="AB271" s="55">
        <v>11027100.653491102</v>
      </c>
      <c r="AC271" s="55">
        <v>11410085.231584573</v>
      </c>
      <c r="AD271" s="167">
        <f t="shared" si="69"/>
        <v>2.5078131894369138E-2</v>
      </c>
      <c r="AE271" s="170">
        <v>1.8412786942640036E-2</v>
      </c>
      <c r="AF271" s="55">
        <v>11410085.231584573</v>
      </c>
      <c r="AG271" s="166">
        <v>1732.8505859226027</v>
      </c>
      <c r="AH271" s="171">
        <f t="shared" si="70"/>
        <v>2.5078131894369138E-2</v>
      </c>
      <c r="AI271" s="171">
        <f t="shared" si="70"/>
        <v>1.8412786942640036E-2</v>
      </c>
      <c r="AK271" s="55">
        <v>11315093.042101653</v>
      </c>
      <c r="AL271" s="166">
        <v>1718.4241142650646</v>
      </c>
      <c r="AM271" s="171">
        <f t="shared" si="71"/>
        <v>8.3951752875093266E-3</v>
      </c>
      <c r="AN271" s="170">
        <f t="shared" si="71"/>
        <v>8.3951752875093266E-3</v>
      </c>
      <c r="AP271" s="55">
        <v>15</v>
      </c>
      <c r="AQ271" s="55">
        <v>0</v>
      </c>
    </row>
    <row r="272" spans="2:43" ht="15" x14ac:dyDescent="0.25">
      <c r="B272" t="s">
        <v>550</v>
      </c>
      <c r="D272" s="55">
        <v>9815725</v>
      </c>
      <c r="E272" s="166">
        <v>1755.7781390896998</v>
      </c>
      <c r="G272" s="55">
        <v>9630236.5135207772</v>
      </c>
      <c r="H272" s="166">
        <v>1709.8122005046721</v>
      </c>
      <c r="J272" s="167">
        <f t="shared" si="63"/>
        <v>1.9261052022844671E-2</v>
      </c>
      <c r="K272" s="168">
        <f t="shared" si="63"/>
        <v>2.6883618312853574E-2</v>
      </c>
      <c r="L272" s="55">
        <v>10054084</v>
      </c>
      <c r="M272" s="167">
        <f t="shared" si="64"/>
        <v>2.4671512962626041E-2</v>
      </c>
      <c r="N272" s="169">
        <f t="shared" si="65"/>
        <v>9.0547645222140982E-3</v>
      </c>
      <c r="O272" s="55">
        <v>10057893.786575073</v>
      </c>
      <c r="Q272" s="167">
        <f t="shared" si="66"/>
        <v>2.4688818556611869E-2</v>
      </c>
      <c r="R272" s="170">
        <v>1.7082544284838574E-2</v>
      </c>
      <c r="S272" s="55">
        <v>10058063.653526599</v>
      </c>
      <c r="T272" s="167">
        <f t="shared" si="67"/>
        <v>2.5192631655352349E-2</v>
      </c>
      <c r="U272" s="170">
        <v>1.7582617574437576E-2</v>
      </c>
      <c r="V272" s="55">
        <v>10063008.944355235</v>
      </c>
      <c r="X272" s="167">
        <f t="shared" si="68"/>
        <v>2.4404646761440718E-2</v>
      </c>
      <c r="Y272" s="170">
        <v>1.6800481899446496E-2</v>
      </c>
      <c r="Z272" s="55">
        <v>10055274.301332442</v>
      </c>
      <c r="AB272" s="55">
        <v>9630790.0021672212</v>
      </c>
      <c r="AC272" s="55">
        <v>10055274.301332442</v>
      </c>
      <c r="AD272" s="167">
        <f t="shared" si="69"/>
        <v>2.4404646761440718E-2</v>
      </c>
      <c r="AE272" s="170">
        <v>1.6800481899446496E-2</v>
      </c>
      <c r="AF272" s="55">
        <v>10055274.301332442</v>
      </c>
      <c r="AG272" s="166">
        <v>1785.2760579349201</v>
      </c>
      <c r="AH272" s="171">
        <f t="shared" si="70"/>
        <v>2.4404646761440718E-2</v>
      </c>
      <c r="AI272" s="171">
        <f t="shared" si="70"/>
        <v>1.6800481899446496E-2</v>
      </c>
      <c r="AK272" s="55">
        <v>9877733.3355561234</v>
      </c>
      <c r="AL272" s="166">
        <v>1753.7543285415109</v>
      </c>
      <c r="AM272" s="171">
        <f t="shared" si="71"/>
        <v>1.7973856931047028E-2</v>
      </c>
      <c r="AN272" s="170">
        <f t="shared" si="71"/>
        <v>1.7973856931046805E-2</v>
      </c>
      <c r="AP272" s="55">
        <v>18</v>
      </c>
      <c r="AQ272" s="55">
        <v>0</v>
      </c>
    </row>
    <row r="273" spans="2:43" ht="15" x14ac:dyDescent="0.25">
      <c r="B273" t="s">
        <v>551</v>
      </c>
      <c r="D273" s="55">
        <v>10906933</v>
      </c>
      <c r="E273" s="166">
        <v>1761.8225086894984</v>
      </c>
      <c r="G273" s="55">
        <v>10842961.233405836</v>
      </c>
      <c r="H273" s="166">
        <v>1740.1999754681231</v>
      </c>
      <c r="J273" s="167">
        <f t="shared" si="63"/>
        <v>5.8998427843746093E-3</v>
      </c>
      <c r="K273" s="168">
        <f t="shared" si="63"/>
        <v>1.2425315208706822E-2</v>
      </c>
      <c r="L273" s="55">
        <v>11185432</v>
      </c>
      <c r="M273" s="167">
        <f t="shared" si="64"/>
        <v>2.5534125862880064E-2</v>
      </c>
      <c r="N273" s="169">
        <f t="shared" si="65"/>
        <v>9.0547645222140982E-3</v>
      </c>
      <c r="O273" s="55">
        <v>11185432</v>
      </c>
      <c r="Q273" s="167">
        <f t="shared" si="66"/>
        <v>2.5875914537675238E-2</v>
      </c>
      <c r="R273" s="170">
        <v>1.9263747802470643E-2</v>
      </c>
      <c r="S273" s="55">
        <v>11189159.866176151</v>
      </c>
      <c r="T273" s="167">
        <f t="shared" si="67"/>
        <v>2.5879009198710001E-2</v>
      </c>
      <c r="U273" s="170">
        <v>1.9266822517219007E-2</v>
      </c>
      <c r="V273" s="55">
        <v>11189193.619436715</v>
      </c>
      <c r="X273" s="167">
        <f t="shared" si="68"/>
        <v>2.5875914537675238E-2</v>
      </c>
      <c r="Y273" s="170">
        <v>1.9263747802470643E-2</v>
      </c>
      <c r="Z273" s="55">
        <v>11189159.866176151</v>
      </c>
      <c r="AB273" s="55">
        <v>10839252.072264533</v>
      </c>
      <c r="AC273" s="55">
        <v>11189159.866176151</v>
      </c>
      <c r="AD273" s="167">
        <f t="shared" si="69"/>
        <v>2.5875914537675238E-2</v>
      </c>
      <c r="AE273" s="170">
        <v>1.9263747802470643E-2</v>
      </c>
      <c r="AF273" s="55">
        <v>11189159.866176151</v>
      </c>
      <c r="AG273" s="166">
        <v>1795.761813169609</v>
      </c>
      <c r="AH273" s="171">
        <f t="shared" si="70"/>
        <v>2.5875914537675238E-2</v>
      </c>
      <c r="AI273" s="171">
        <f t="shared" si="70"/>
        <v>1.9263747802470643E-2</v>
      </c>
      <c r="AK273" s="55">
        <v>11123362.660445968</v>
      </c>
      <c r="AL273" s="166">
        <v>1785.2019399640521</v>
      </c>
      <c r="AM273" s="171">
        <f t="shared" si="71"/>
        <v>5.9152261540615925E-3</v>
      </c>
      <c r="AN273" s="170">
        <f t="shared" si="71"/>
        <v>5.9152261540615925E-3</v>
      </c>
      <c r="AP273" s="55">
        <v>17</v>
      </c>
      <c r="AQ273" s="55">
        <v>0</v>
      </c>
    </row>
    <row r="274" spans="2:43" ht="15" x14ac:dyDescent="0.25">
      <c r="B274"/>
      <c r="D274" s="1"/>
      <c r="G274" s="1"/>
      <c r="L274" s="1"/>
      <c r="O274" s="1"/>
      <c r="Q274" s="53"/>
      <c r="S274" s="1"/>
      <c r="U274" s="52"/>
      <c r="V274" s="1"/>
      <c r="X274" s="53"/>
      <c r="Y274" s="52"/>
      <c r="Z274" s="1"/>
      <c r="AB274" s="1"/>
      <c r="AC274" s="1"/>
      <c r="AD274" s="53"/>
      <c r="AE274" s="52"/>
      <c r="AF274" s="1"/>
      <c r="AG274" s="75"/>
      <c r="AK274" s="1"/>
      <c r="AL274" s="75"/>
      <c r="AP274" s="1"/>
      <c r="AQ274" s="1"/>
    </row>
    <row r="275" spans="2:43" ht="15" x14ac:dyDescent="0.25">
      <c r="B275" t="s">
        <v>12</v>
      </c>
      <c r="D275" s="172">
        <f>SUM(D264:D273)</f>
        <v>94829648</v>
      </c>
      <c r="E275" s="173">
        <v>1630.1113270385943</v>
      </c>
      <c r="G275" s="172">
        <f>SUM(G264:G273)</f>
        <v>94829716.878834337</v>
      </c>
      <c r="H275" s="173">
        <v>1618.4696648849847</v>
      </c>
      <c r="J275" s="167">
        <f>D275/G275-1</f>
        <v>-7.2634229653090188E-7</v>
      </c>
      <c r="K275" s="168">
        <f>E275/H275-1</f>
        <v>7.1930060885243563E-3</v>
      </c>
      <c r="L275" s="172">
        <f>SUM(L264:L273)</f>
        <v>97149858</v>
      </c>
      <c r="M275" s="167">
        <f>O275/$D275-1</f>
        <v>2.4677431975188346E-2</v>
      </c>
      <c r="N275" s="169">
        <f>N$222</f>
        <v>9.0547645222140982E-3</v>
      </c>
      <c r="O275" s="172">
        <f>SUM(O264:O273)</f>
        <v>97169800.187751055</v>
      </c>
      <c r="Q275" s="167">
        <f>S275/$D275-1</f>
        <v>2.5674011581985345E-2</v>
      </c>
      <c r="R275" s="170">
        <v>1.8348281204625172E-2</v>
      </c>
      <c r="S275" s="172">
        <f>SUM(S264:S273)</f>
        <v>97264305.481067598</v>
      </c>
      <c r="T275" s="167">
        <f>V275/$D275-1</f>
        <v>2.577345130406683E-2</v>
      </c>
      <c r="U275" s="170">
        <v>1.8447010692670629E-2</v>
      </c>
      <c r="V275" s="172">
        <f>SUM(V264:V273)</f>
        <v>97273735.314909801</v>
      </c>
      <c r="X275" s="167">
        <f>Z275/$D275-1</f>
        <v>2.548644305291603E-2</v>
      </c>
      <c r="Y275" s="170">
        <v>1.816205235702939E-2</v>
      </c>
      <c r="Z275" s="172">
        <f>SUM(Z264:Z273)</f>
        <v>97246518.423480064</v>
      </c>
      <c r="AB275" s="172">
        <f>SUM(AB264:AB273)</f>
        <v>94739854.546611264</v>
      </c>
      <c r="AC275" s="172">
        <f>SUM(AC264:AC273)</f>
        <v>97246518.423480064</v>
      </c>
      <c r="AD275" s="167">
        <f>AC275/$D275-1</f>
        <v>2.548644305291603E-2</v>
      </c>
      <c r="AE275" s="170">
        <v>1.816205235702939E-2</v>
      </c>
      <c r="AF275" s="172">
        <f>SUM(AF264:AF273)</f>
        <v>97246518.423480064</v>
      </c>
      <c r="AG275" s="166">
        <v>1659.7174943080556</v>
      </c>
      <c r="AH275" s="171">
        <f>AF275/D275 - 1</f>
        <v>2.548644305291603E-2</v>
      </c>
      <c r="AI275" s="171">
        <f>AG275/E275 - 1</f>
        <v>1.8162052357029168E-2</v>
      </c>
      <c r="AK275" s="172">
        <f>SUM(AK264:AK273)</f>
        <v>97246569.278791651</v>
      </c>
      <c r="AL275" s="173">
        <v>1659.7183622614971</v>
      </c>
      <c r="AM275" s="171">
        <f>AF275/AK275-1</f>
        <v>-5.2295224362008952E-7</v>
      </c>
      <c r="AN275" s="170">
        <f t="shared" ref="AN275" si="72">AG275/AL275-1</f>
        <v>-5.2295224373111182E-7</v>
      </c>
      <c r="AP275" s="172">
        <f>SUM(AP264:AP273)</f>
        <v>132</v>
      </c>
      <c r="AQ275" s="172">
        <f>SUM(AQ264:AQ273)</f>
        <v>0</v>
      </c>
    </row>
    <row r="276" spans="2:43" ht="15" x14ac:dyDescent="0.25">
      <c r="B276"/>
      <c r="D276" s="1"/>
      <c r="G276" s="1"/>
      <c r="L276" s="1"/>
      <c r="O276" s="1"/>
      <c r="Q276" s="53"/>
      <c r="S276" s="1"/>
      <c r="U276" s="52"/>
      <c r="V276" s="1"/>
      <c r="X276" s="53"/>
      <c r="Y276" s="52"/>
      <c r="Z276" s="1"/>
      <c r="AB276" s="1"/>
      <c r="AC276" s="1"/>
      <c r="AD276" s="53"/>
      <c r="AE276" s="52"/>
      <c r="AF276" s="1"/>
      <c r="AG276" s="75"/>
      <c r="AK276" s="1"/>
      <c r="AL276" s="75"/>
      <c r="AP276" s="1"/>
      <c r="AQ276" s="1"/>
    </row>
    <row r="277" spans="2:43" ht="15" x14ac:dyDescent="0.25">
      <c r="B277" s="174" t="s">
        <v>552</v>
      </c>
      <c r="D277" s="1"/>
      <c r="G277" s="1"/>
      <c r="L277" s="1"/>
      <c r="O277" s="1"/>
      <c r="Q277" s="53"/>
      <c r="S277" s="1"/>
      <c r="U277" s="52"/>
      <c r="V277" s="1"/>
      <c r="X277" s="53"/>
      <c r="Y277" s="52"/>
      <c r="Z277" s="1"/>
      <c r="AB277" s="1"/>
      <c r="AC277" s="1"/>
      <c r="AD277" s="53"/>
      <c r="AE277" s="52"/>
      <c r="AF277" s="1"/>
      <c r="AG277" s="75"/>
      <c r="AK277" s="1"/>
      <c r="AL277" s="75"/>
      <c r="AP277" s="1"/>
      <c r="AQ277" s="1"/>
    </row>
    <row r="278" spans="2:43" ht="15" x14ac:dyDescent="0.25">
      <c r="B278" t="s">
        <v>553</v>
      </c>
      <c r="D278" s="55">
        <v>9768941</v>
      </c>
      <c r="E278" s="166">
        <v>1642.2000859435611</v>
      </c>
      <c r="G278" s="55">
        <v>9666512.4182542246</v>
      </c>
      <c r="H278" s="166">
        <v>1606.1639446609738</v>
      </c>
      <c r="J278" s="167">
        <f t="shared" ref="J278:K287" si="73">D278/G278-1</f>
        <v>1.0596229261791379E-2</v>
      </c>
      <c r="K278" s="168">
        <f t="shared" si="73"/>
        <v>2.2436153795118097E-2</v>
      </c>
      <c r="L278" s="55">
        <v>10046455</v>
      </c>
      <c r="M278" s="167">
        <f t="shared" ref="M278:M287" si="74">O278/$D278-1</f>
        <v>2.9427555000730576E-2</v>
      </c>
      <c r="N278" s="169">
        <f t="shared" ref="N278:N287" si="75">N$222</f>
        <v>9.0547645222140982E-3</v>
      </c>
      <c r="O278" s="55">
        <v>10056417.048576392</v>
      </c>
      <c r="Q278" s="167">
        <f t="shared" ref="Q278:Q287" si="76">S278/$D278-1</f>
        <v>2.9610494171526058E-2</v>
      </c>
      <c r="R278" s="170">
        <v>1.7687489977608495E-2</v>
      </c>
      <c r="S278" s="55">
        <v>10058204.170542482</v>
      </c>
      <c r="T278" s="167">
        <f t="shared" ref="T278:T287" si="77">V278/$D278-1</f>
        <v>2.9673321306362022E-2</v>
      </c>
      <c r="U278" s="170">
        <v>1.7749589567225721E-2</v>
      </c>
      <c r="V278" s="55">
        <v>10058817.925115895</v>
      </c>
      <c r="X278" s="167">
        <f t="shared" ref="X278:X287" si="78">Z278/$D278-1</f>
        <v>2.8649997741928779E-2</v>
      </c>
      <c r="Y278" s="170">
        <v>1.6738116203639741E-2</v>
      </c>
      <c r="Z278" s="55">
        <v>10048821.137591036</v>
      </c>
      <c r="AB278" s="55">
        <v>9672137.26930926</v>
      </c>
      <c r="AC278" s="55">
        <v>10048821.137591036</v>
      </c>
      <c r="AD278" s="167">
        <f t="shared" ref="AD278:AD287" si="79">AC278/$D278-1</f>
        <v>2.8649997741928779E-2</v>
      </c>
      <c r="AE278" s="170">
        <v>1.6738116203639741E-2</v>
      </c>
      <c r="AF278" s="55">
        <v>10048821.137591036</v>
      </c>
      <c r="AG278" s="166">
        <v>1669.6874218117118</v>
      </c>
      <c r="AH278" s="171">
        <f t="shared" ref="AH278:AI287" si="80">AF278/D278 - 1</f>
        <v>2.8649997741928779E-2</v>
      </c>
      <c r="AI278" s="171">
        <f t="shared" si="80"/>
        <v>1.6738116203639963E-2</v>
      </c>
      <c r="AK278" s="55">
        <v>9922863.2877799962</v>
      </c>
      <c r="AL278" s="166">
        <v>1648.75857507155</v>
      </c>
      <c r="AM278" s="171">
        <f t="shared" ref="AM278:AN287" si="81">AF278/AK278-1</f>
        <v>1.2693700009568598E-2</v>
      </c>
      <c r="AN278" s="170">
        <f t="shared" si="81"/>
        <v>1.2693700009568376E-2</v>
      </c>
      <c r="AP278" s="55">
        <v>16</v>
      </c>
      <c r="AQ278" s="55">
        <v>0</v>
      </c>
    </row>
    <row r="279" spans="2:43" ht="15" x14ac:dyDescent="0.25">
      <c r="B279" t="s">
        <v>554</v>
      </c>
      <c r="D279" s="55">
        <v>10348964</v>
      </c>
      <c r="E279" s="166">
        <v>1585.4629820459645</v>
      </c>
      <c r="G279" s="55">
        <v>10439126.501733817</v>
      </c>
      <c r="H279" s="166">
        <v>1582.9840570157373</v>
      </c>
      <c r="J279" s="167">
        <f t="shared" si="73"/>
        <v>-8.6369775975836394E-3</v>
      </c>
      <c r="K279" s="168">
        <f t="shared" si="73"/>
        <v>1.5659823099547499E-3</v>
      </c>
      <c r="L279" s="55">
        <v>10633890</v>
      </c>
      <c r="M279" s="167">
        <f t="shared" si="74"/>
        <v>2.7895012323906343E-2</v>
      </c>
      <c r="N279" s="169">
        <f t="shared" si="75"/>
        <v>9.0547645222140982E-3</v>
      </c>
      <c r="O279" s="55">
        <v>10637648.478319664</v>
      </c>
      <c r="Q279" s="167">
        <f t="shared" si="76"/>
        <v>2.9056017882270746E-2</v>
      </c>
      <c r="R279" s="170">
        <v>1.8573016783482554E-2</v>
      </c>
      <c r="S279" s="55">
        <v>10649663.683046976</v>
      </c>
      <c r="T279" s="167">
        <f t="shared" si="77"/>
        <v>2.9196006493929838E-2</v>
      </c>
      <c r="U279" s="170">
        <v>1.8711579330142003E-2</v>
      </c>
      <c r="V279" s="55">
        <v>10651112.420149446</v>
      </c>
      <c r="X279" s="167">
        <f t="shared" si="78"/>
        <v>2.8692843527846401E-2</v>
      </c>
      <c r="Y279" s="170">
        <v>1.82135420888343E-2</v>
      </c>
      <c r="Z279" s="55">
        <v>10645905.204727314</v>
      </c>
      <c r="AB279" s="55">
        <v>10429503.935507676</v>
      </c>
      <c r="AC279" s="55">
        <v>10645905.204727314</v>
      </c>
      <c r="AD279" s="167">
        <f t="shared" si="79"/>
        <v>2.8692843527846401E-2</v>
      </c>
      <c r="AE279" s="170">
        <v>1.82135420888343E-2</v>
      </c>
      <c r="AF279" s="55">
        <v>10645905.204727314</v>
      </c>
      <c r="AG279" s="166">
        <v>1614.3398787997469</v>
      </c>
      <c r="AH279" s="171">
        <f t="shared" si="80"/>
        <v>2.8692843527846401E-2</v>
      </c>
      <c r="AI279" s="171">
        <f t="shared" si="80"/>
        <v>1.8213542088833856E-2</v>
      </c>
      <c r="AK279" s="55">
        <v>10710650.610998584</v>
      </c>
      <c r="AL279" s="166">
        <v>1624.1578406642195</v>
      </c>
      <c r="AM279" s="171">
        <f t="shared" si="81"/>
        <v>-6.0449554954937756E-3</v>
      </c>
      <c r="AN279" s="170">
        <f t="shared" si="81"/>
        <v>-6.0449554954938867E-3</v>
      </c>
      <c r="AP279" s="55">
        <v>9</v>
      </c>
      <c r="AQ279" s="55">
        <v>0</v>
      </c>
    </row>
    <row r="280" spans="2:43" ht="15" x14ac:dyDescent="0.25">
      <c r="B280" t="s">
        <v>555</v>
      </c>
      <c r="D280" s="55">
        <v>9799731</v>
      </c>
      <c r="E280" s="166">
        <v>1683.0902250334964</v>
      </c>
      <c r="G280" s="55">
        <v>9754145.8862857707</v>
      </c>
      <c r="H280" s="166">
        <v>1663.3859561235554</v>
      </c>
      <c r="J280" s="167">
        <f t="shared" si="73"/>
        <v>4.6734090555609065E-3</v>
      </c>
      <c r="K280" s="168">
        <f t="shared" si="73"/>
        <v>1.184587908621082E-2</v>
      </c>
      <c r="L280" s="55">
        <v>10045726</v>
      </c>
      <c r="M280" s="167">
        <f t="shared" si="74"/>
        <v>2.5102219642559653E-2</v>
      </c>
      <c r="N280" s="169">
        <f t="shared" si="75"/>
        <v>9.0547645222140982E-3</v>
      </c>
      <c r="O280" s="55">
        <v>10045726</v>
      </c>
      <c r="Q280" s="167">
        <f t="shared" si="76"/>
        <v>2.5581825596584284E-2</v>
      </c>
      <c r="R280" s="170">
        <v>1.8311988302080584E-2</v>
      </c>
      <c r="S280" s="55">
        <v>10050426.009335442</v>
      </c>
      <c r="T280" s="167">
        <f t="shared" si="77"/>
        <v>2.5585269901388763E-2</v>
      </c>
      <c r="U280" s="170">
        <v>1.8315408191928562E-2</v>
      </c>
      <c r="V280" s="55">
        <v>10050459.762596006</v>
      </c>
      <c r="X280" s="167">
        <f t="shared" si="78"/>
        <v>2.5581825596584284E-2</v>
      </c>
      <c r="Y280" s="170">
        <v>1.8311988302080584E-2</v>
      </c>
      <c r="Z280" s="55">
        <v>10050426.009335442</v>
      </c>
      <c r="AB280" s="55">
        <v>9748332.1413802523</v>
      </c>
      <c r="AC280" s="55">
        <v>10050426.009335442</v>
      </c>
      <c r="AD280" s="167">
        <f t="shared" si="79"/>
        <v>2.5581825596584284E-2</v>
      </c>
      <c r="AE280" s="170">
        <v>1.8311988302080584E-2</v>
      </c>
      <c r="AF280" s="55">
        <v>10050426.009335442</v>
      </c>
      <c r="AG280" s="166">
        <v>1713.910953545656</v>
      </c>
      <c r="AH280" s="171">
        <f t="shared" si="80"/>
        <v>2.5581825596584284E-2</v>
      </c>
      <c r="AI280" s="171">
        <f t="shared" si="80"/>
        <v>1.8311988302080584E-2</v>
      </c>
      <c r="AK280" s="55">
        <v>10002837.786961608</v>
      </c>
      <c r="AL280" s="166">
        <v>1705.7956780826535</v>
      </c>
      <c r="AM280" s="171">
        <f t="shared" si="81"/>
        <v>4.7574721681344911E-3</v>
      </c>
      <c r="AN280" s="170">
        <f t="shared" si="81"/>
        <v>4.7574721681344911E-3</v>
      </c>
      <c r="AP280" s="55">
        <v>16</v>
      </c>
      <c r="AQ280" s="55">
        <v>0</v>
      </c>
    </row>
    <row r="281" spans="2:43" ht="15" x14ac:dyDescent="0.25">
      <c r="B281" t="s">
        <v>556</v>
      </c>
      <c r="D281" s="55">
        <v>12217289</v>
      </c>
      <c r="E281" s="166">
        <v>1575.291848656929</v>
      </c>
      <c r="G281" s="55">
        <v>12295938.637855705</v>
      </c>
      <c r="H281" s="166">
        <v>1574.2313481491312</v>
      </c>
      <c r="J281" s="167">
        <f t="shared" si="73"/>
        <v>-6.3963915380615965E-3</v>
      </c>
      <c r="K281" s="168">
        <f t="shared" si="73"/>
        <v>6.7366242518596131E-4</v>
      </c>
      <c r="L281" s="55">
        <v>12515425</v>
      </c>
      <c r="M281" s="167">
        <f t="shared" si="74"/>
        <v>2.4402795088173779E-2</v>
      </c>
      <c r="N281" s="169">
        <f t="shared" si="75"/>
        <v>9.0547645222140982E-3</v>
      </c>
      <c r="O281" s="55">
        <v>12515425</v>
      </c>
      <c r="Q281" s="167">
        <f t="shared" si="76"/>
        <v>2.6535206179854942E-2</v>
      </c>
      <c r="R281" s="170">
        <v>1.9282432797895765E-2</v>
      </c>
      <c r="S281" s="55">
        <v>12541477.282573873</v>
      </c>
      <c r="T281" s="167">
        <f t="shared" si="77"/>
        <v>2.6535206179854942E-2</v>
      </c>
      <c r="U281" s="170">
        <v>1.9282432797895765E-2</v>
      </c>
      <c r="V281" s="55">
        <v>12541477.282573873</v>
      </c>
      <c r="X281" s="167">
        <f t="shared" si="78"/>
        <v>2.6535206179854942E-2</v>
      </c>
      <c r="Y281" s="170">
        <v>1.9282432797895765E-2</v>
      </c>
      <c r="Z281" s="55">
        <v>12541477.282573873</v>
      </c>
      <c r="AB281" s="55">
        <v>12275453.413043292</v>
      </c>
      <c r="AC281" s="55">
        <v>12541477.282573873</v>
      </c>
      <c r="AD281" s="167">
        <f t="shared" si="79"/>
        <v>2.6535206179854942E-2</v>
      </c>
      <c r="AE281" s="170">
        <v>1.9282432797895765E-2</v>
      </c>
      <c r="AF281" s="55">
        <v>12541477.282573873</v>
      </c>
      <c r="AG281" s="166">
        <v>1605.6673078657291</v>
      </c>
      <c r="AH281" s="171">
        <f t="shared" si="80"/>
        <v>2.6535206179854942E-2</v>
      </c>
      <c r="AI281" s="171">
        <f t="shared" si="80"/>
        <v>1.9282432797895765E-2</v>
      </c>
      <c r="AK281" s="55">
        <v>12609087.471602401</v>
      </c>
      <c r="AL281" s="166">
        <v>1614.3233431760643</v>
      </c>
      <c r="AM281" s="171">
        <f t="shared" si="81"/>
        <v>-5.362020779124288E-3</v>
      </c>
      <c r="AN281" s="170">
        <f t="shared" si="81"/>
        <v>-5.362020779124177E-3</v>
      </c>
      <c r="AP281" s="55">
        <v>10</v>
      </c>
      <c r="AQ281" s="55">
        <v>0</v>
      </c>
    </row>
    <row r="282" spans="2:43" ht="15" x14ac:dyDescent="0.25">
      <c r="B282" t="s">
        <v>557</v>
      </c>
      <c r="D282" s="55">
        <v>8654745</v>
      </c>
      <c r="E282" s="166">
        <v>1618.2735785140203</v>
      </c>
      <c r="G282" s="55">
        <v>8735603.9993707817</v>
      </c>
      <c r="H282" s="166">
        <v>1621.5345464932659</v>
      </c>
      <c r="J282" s="167">
        <f t="shared" si="73"/>
        <v>-9.2562574238261863E-3</v>
      </c>
      <c r="K282" s="168">
        <f t="shared" si="73"/>
        <v>-2.0110382392393156E-3</v>
      </c>
      <c r="L282" s="55">
        <v>8866708</v>
      </c>
      <c r="M282" s="167">
        <f t="shared" si="74"/>
        <v>2.4506766836167593E-2</v>
      </c>
      <c r="N282" s="169">
        <f t="shared" si="75"/>
        <v>9.0547645222140982E-3</v>
      </c>
      <c r="O282" s="55">
        <v>8866844.8177414872</v>
      </c>
      <c r="Q282" s="167">
        <f t="shared" si="76"/>
        <v>2.648353745994414E-2</v>
      </c>
      <c r="R282" s="170">
        <v>1.9031452814492811E-2</v>
      </c>
      <c r="S282" s="55">
        <v>8883953.2634137645</v>
      </c>
      <c r="T282" s="167">
        <f t="shared" si="77"/>
        <v>2.6531934312325589E-2</v>
      </c>
      <c r="U282" s="170">
        <v>1.9079498314487742E-2</v>
      </c>
      <c r="V282" s="55">
        <v>8884372.1258299276</v>
      </c>
      <c r="X282" s="167">
        <f t="shared" si="78"/>
        <v>2.6531934312325589E-2</v>
      </c>
      <c r="Y282" s="170">
        <v>1.9079498314487742E-2</v>
      </c>
      <c r="Z282" s="55">
        <v>8884372.1258299276</v>
      </c>
      <c r="AB282" s="55">
        <v>8710185.3470799625</v>
      </c>
      <c r="AC282" s="55">
        <v>8884372.1258299276</v>
      </c>
      <c r="AD282" s="167">
        <f t="shared" si="79"/>
        <v>2.6531934312325589E-2</v>
      </c>
      <c r="AE282" s="170">
        <v>1.9079498314487742E-2</v>
      </c>
      <c r="AF282" s="55">
        <v>8884372.1258299276</v>
      </c>
      <c r="AG282" s="166">
        <v>1649.1494265276588</v>
      </c>
      <c r="AH282" s="171">
        <f t="shared" si="80"/>
        <v>2.6531934312325589E-2</v>
      </c>
      <c r="AI282" s="171">
        <f t="shared" si="80"/>
        <v>1.9079498314487742E-2</v>
      </c>
      <c r="AK282" s="55">
        <v>8957121.4809981119</v>
      </c>
      <c r="AL282" s="166">
        <v>1662.6534260964138</v>
      </c>
      <c r="AM282" s="171">
        <f t="shared" si="81"/>
        <v>-8.1219569615659237E-3</v>
      </c>
      <c r="AN282" s="170">
        <f t="shared" si="81"/>
        <v>-8.1219569615658127E-3</v>
      </c>
      <c r="AP282" s="55">
        <v>8</v>
      </c>
      <c r="AQ282" s="55">
        <v>0</v>
      </c>
    </row>
    <row r="283" spans="2:43" ht="15" x14ac:dyDescent="0.25">
      <c r="B283" t="s">
        <v>558</v>
      </c>
      <c r="D283" s="55">
        <v>8492732</v>
      </c>
      <c r="E283" s="166">
        <v>1640.0888672198753</v>
      </c>
      <c r="G283" s="55">
        <v>8399480.9852667954</v>
      </c>
      <c r="H283" s="166">
        <v>1612.6170802447302</v>
      </c>
      <c r="J283" s="167">
        <f t="shared" si="73"/>
        <v>1.110199724206451E-2</v>
      </c>
      <c r="K283" s="168">
        <f t="shared" si="73"/>
        <v>1.7035530202232474E-2</v>
      </c>
      <c r="L283" s="55">
        <v>8678737</v>
      </c>
      <c r="M283" s="167">
        <f t="shared" si="74"/>
        <v>2.2350262150633515E-2</v>
      </c>
      <c r="N283" s="169">
        <f t="shared" si="75"/>
        <v>9.0547645222140982E-3</v>
      </c>
      <c r="O283" s="55">
        <v>8682546.7865750734</v>
      </c>
      <c r="Q283" s="167">
        <f t="shared" si="76"/>
        <v>2.3125937606350178E-2</v>
      </c>
      <c r="R283" s="170">
        <v>1.7156872325039041E-2</v>
      </c>
      <c r="S283" s="55">
        <v>8689134.3903394528</v>
      </c>
      <c r="T283" s="167">
        <f t="shared" si="77"/>
        <v>2.3581333824501227E-2</v>
      </c>
      <c r="U283" s="170">
        <v>1.7609611695528438E-2</v>
      </c>
      <c r="V283" s="55">
        <v>8693001.9483740237</v>
      </c>
      <c r="X283" s="167">
        <f t="shared" si="78"/>
        <v>2.2677343846995157E-2</v>
      </c>
      <c r="Y283" s="170">
        <v>1.6710895726813391E-2</v>
      </c>
      <c r="Z283" s="55">
        <v>8685324.6037643794</v>
      </c>
      <c r="AB283" s="55">
        <v>8391622.7952971924</v>
      </c>
      <c r="AC283" s="55">
        <v>8685324.6037643794</v>
      </c>
      <c r="AD283" s="167">
        <f t="shared" si="79"/>
        <v>2.2677343846995157E-2</v>
      </c>
      <c r="AE283" s="170">
        <v>1.6710895726813391E-2</v>
      </c>
      <c r="AF283" s="55">
        <v>8685324.6037643794</v>
      </c>
      <c r="AG283" s="166">
        <v>1667.4962212626942</v>
      </c>
      <c r="AH283" s="171">
        <f t="shared" si="80"/>
        <v>2.2677343846995157E-2</v>
      </c>
      <c r="AI283" s="171">
        <f t="shared" si="80"/>
        <v>1.6710895726813391E-2</v>
      </c>
      <c r="AK283" s="55">
        <v>8610879.086865453</v>
      </c>
      <c r="AL283" s="166">
        <v>1653.2034200396861</v>
      </c>
      <c r="AM283" s="171">
        <f t="shared" si="81"/>
        <v>8.6455187847755965E-3</v>
      </c>
      <c r="AN283" s="170">
        <f t="shared" si="81"/>
        <v>8.6455187847753745E-3</v>
      </c>
      <c r="AP283" s="55">
        <v>14</v>
      </c>
      <c r="AQ283" s="55">
        <v>0</v>
      </c>
    </row>
    <row r="284" spans="2:43" ht="15" x14ac:dyDescent="0.25">
      <c r="B284" t="s">
        <v>559</v>
      </c>
      <c r="D284" s="55">
        <v>7756425</v>
      </c>
      <c r="E284" s="166">
        <v>1620.2869063553048</v>
      </c>
      <c r="G284" s="55">
        <v>7759152.044331288</v>
      </c>
      <c r="H284" s="166">
        <v>1611.7786026209617</v>
      </c>
      <c r="J284" s="167">
        <f t="shared" si="73"/>
        <v>-3.5146164370891686E-4</v>
      </c>
      <c r="K284" s="168">
        <f t="shared" si="73"/>
        <v>5.2788290652994174E-3</v>
      </c>
      <c r="L284" s="55">
        <v>7938254</v>
      </c>
      <c r="M284" s="167">
        <f t="shared" si="74"/>
        <v>2.3442371969045084E-2</v>
      </c>
      <c r="N284" s="169">
        <f t="shared" si="75"/>
        <v>9.0547645222140982E-3</v>
      </c>
      <c r="O284" s="55">
        <v>7938254</v>
      </c>
      <c r="Q284" s="167">
        <f t="shared" si="76"/>
        <v>2.4315224900298915E-2</v>
      </c>
      <c r="R284" s="170">
        <v>1.8578316564912489E-2</v>
      </c>
      <c r="S284" s="55">
        <v>7945024.2182973018</v>
      </c>
      <c r="T284" s="167">
        <f t="shared" si="77"/>
        <v>2.4458331898598473E-2</v>
      </c>
      <c r="U284" s="170">
        <v>1.8720622060206527E-2</v>
      </c>
      <c r="V284" s="55">
        <v>7946134.216996586</v>
      </c>
      <c r="X284" s="167">
        <f t="shared" si="78"/>
        <v>2.4446784785286946E-2</v>
      </c>
      <c r="Y284" s="170">
        <v>1.8709139619106363E-2</v>
      </c>
      <c r="Z284" s="55">
        <v>7946044.6526782187</v>
      </c>
      <c r="AB284" s="55">
        <v>7756070.3503348986</v>
      </c>
      <c r="AC284" s="55">
        <v>7946044.6526782187</v>
      </c>
      <c r="AD284" s="167">
        <f t="shared" si="79"/>
        <v>2.4446784785286946E-2</v>
      </c>
      <c r="AE284" s="170">
        <v>1.8709139619106363E-2</v>
      </c>
      <c r="AF284" s="55">
        <v>7946044.6526782187</v>
      </c>
      <c r="AG284" s="166">
        <v>1650.6010803093163</v>
      </c>
      <c r="AH284" s="171">
        <f t="shared" si="80"/>
        <v>2.4446784785286946E-2</v>
      </c>
      <c r="AI284" s="171">
        <f t="shared" si="80"/>
        <v>1.8709139619106363E-2</v>
      </c>
      <c r="AK284" s="55">
        <v>7954985.9686068129</v>
      </c>
      <c r="AL284" s="166">
        <v>1652.4584252370407</v>
      </c>
      <c r="AM284" s="171">
        <f t="shared" si="81"/>
        <v>-1.1239889000281833E-3</v>
      </c>
      <c r="AN284" s="170">
        <f t="shared" si="81"/>
        <v>-1.1239889000281833E-3</v>
      </c>
      <c r="AP284" s="55">
        <v>15</v>
      </c>
      <c r="AQ284" s="55">
        <v>0</v>
      </c>
    </row>
    <row r="285" spans="2:43" ht="15" x14ac:dyDescent="0.25">
      <c r="B285" t="s">
        <v>560</v>
      </c>
      <c r="D285" s="55">
        <v>8312569</v>
      </c>
      <c r="E285" s="166">
        <v>1619.1771405476475</v>
      </c>
      <c r="G285" s="55">
        <v>8378316.4220317835</v>
      </c>
      <c r="H285" s="166">
        <v>1624.2084167690634</v>
      </c>
      <c r="J285" s="167">
        <f t="shared" si="73"/>
        <v>-7.8473309815433323E-3</v>
      </c>
      <c r="K285" s="168">
        <f t="shared" si="73"/>
        <v>-3.097678949001148E-3</v>
      </c>
      <c r="L285" s="55">
        <v>8503750</v>
      </c>
      <c r="M285" s="167">
        <f t="shared" si="74"/>
        <v>2.2999027135895078E-2</v>
      </c>
      <c r="N285" s="169">
        <f t="shared" si="75"/>
        <v>9.0547645222140982E-3</v>
      </c>
      <c r="O285" s="55">
        <v>8503750</v>
      </c>
      <c r="Q285" s="167">
        <f t="shared" si="76"/>
        <v>2.3790760922685061E-2</v>
      </c>
      <c r="R285" s="170">
        <v>1.8913001320933986E-2</v>
      </c>
      <c r="S285" s="55">
        <v>8510331.3417323232</v>
      </c>
      <c r="T285" s="167">
        <f t="shared" si="77"/>
        <v>2.3790760922685061E-2</v>
      </c>
      <c r="U285" s="170">
        <v>1.8913001320933986E-2</v>
      </c>
      <c r="V285" s="55">
        <v>8510331.3417323232</v>
      </c>
      <c r="X285" s="167">
        <f t="shared" si="78"/>
        <v>2.3790760922685061E-2</v>
      </c>
      <c r="Y285" s="170">
        <v>1.8913001320933986E-2</v>
      </c>
      <c r="Z285" s="55">
        <v>8510331.3417323232</v>
      </c>
      <c r="AB285" s="55">
        <v>8367181.0152702658</v>
      </c>
      <c r="AC285" s="55">
        <v>8510331.3417323232</v>
      </c>
      <c r="AD285" s="167">
        <f t="shared" si="79"/>
        <v>2.3790760922685061E-2</v>
      </c>
      <c r="AE285" s="170">
        <v>1.8913001320933986E-2</v>
      </c>
      <c r="AF285" s="55">
        <v>8510331.3417323232</v>
      </c>
      <c r="AG285" s="166">
        <v>1649.8006399456513</v>
      </c>
      <c r="AH285" s="171">
        <f t="shared" si="80"/>
        <v>2.3790760922685061E-2</v>
      </c>
      <c r="AI285" s="171">
        <f t="shared" si="80"/>
        <v>1.8913001320933986E-2</v>
      </c>
      <c r="AK285" s="55">
        <v>8588457.7140342183</v>
      </c>
      <c r="AL285" s="166">
        <v>1664.9461065373273</v>
      </c>
      <c r="AM285" s="171">
        <f t="shared" si="81"/>
        <v>-9.0966707764340571E-3</v>
      </c>
      <c r="AN285" s="170">
        <f t="shared" si="81"/>
        <v>-9.0966707764341681E-3</v>
      </c>
      <c r="AP285" s="55">
        <v>15</v>
      </c>
      <c r="AQ285" s="55">
        <v>0</v>
      </c>
    </row>
    <row r="286" spans="2:43" ht="15" x14ac:dyDescent="0.25">
      <c r="B286" t="s">
        <v>561</v>
      </c>
      <c r="D286" s="55">
        <v>9750625</v>
      </c>
      <c r="E286" s="166">
        <v>1641.7077037578949</v>
      </c>
      <c r="G286" s="55">
        <v>9713497.8121404499</v>
      </c>
      <c r="H286" s="166">
        <v>1626.8609201480963</v>
      </c>
      <c r="J286" s="167">
        <f t="shared" si="73"/>
        <v>3.8222264088170199E-3</v>
      </c>
      <c r="K286" s="168">
        <f t="shared" si="73"/>
        <v>9.1260312580667691E-3</v>
      </c>
      <c r="L286" s="55">
        <v>9976065</v>
      </c>
      <c r="M286" s="167">
        <f t="shared" si="74"/>
        <v>2.3120569194282403E-2</v>
      </c>
      <c r="N286" s="169">
        <f t="shared" si="75"/>
        <v>9.0547645222140982E-3</v>
      </c>
      <c r="O286" s="55">
        <v>9976065</v>
      </c>
      <c r="Q286" s="167">
        <f t="shared" si="76"/>
        <v>2.389384965122443E-2</v>
      </c>
      <c r="R286" s="170">
        <v>1.8512427512973995E-2</v>
      </c>
      <c r="S286" s="55">
        <v>9983604.9677554704</v>
      </c>
      <c r="T286" s="167">
        <f t="shared" si="77"/>
        <v>2.397703136341045E-2</v>
      </c>
      <c r="U286" s="170">
        <v>1.8595172035398955E-2</v>
      </c>
      <c r="V286" s="55">
        <v>9984416.0414378531</v>
      </c>
      <c r="X286" s="167">
        <f t="shared" si="78"/>
        <v>2.389384965122443E-2</v>
      </c>
      <c r="Y286" s="170">
        <v>1.8512427512973995E-2</v>
      </c>
      <c r="Z286" s="55">
        <v>9983604.9677554704</v>
      </c>
      <c r="AB286" s="55">
        <v>9707566.6684639156</v>
      </c>
      <c r="AC286" s="55">
        <v>9983604.9677554704</v>
      </c>
      <c r="AD286" s="167">
        <f t="shared" si="79"/>
        <v>2.389384965122443E-2</v>
      </c>
      <c r="AE286" s="170">
        <v>1.8512427512973995E-2</v>
      </c>
      <c r="AF286" s="55">
        <v>9983604.9677554704</v>
      </c>
      <c r="AG286" s="166">
        <v>1672.099698621204</v>
      </c>
      <c r="AH286" s="171">
        <f t="shared" si="80"/>
        <v>2.389384965122443E-2</v>
      </c>
      <c r="AI286" s="171">
        <f t="shared" si="80"/>
        <v>1.8512427512973995E-2</v>
      </c>
      <c r="AK286" s="55">
        <v>9958454.3483035266</v>
      </c>
      <c r="AL286" s="166">
        <v>1667.8873581548537</v>
      </c>
      <c r="AM286" s="171">
        <f t="shared" si="81"/>
        <v>2.5255545260625123E-3</v>
      </c>
      <c r="AN286" s="170">
        <f t="shared" si="81"/>
        <v>2.5255545260625123E-3</v>
      </c>
      <c r="AP286" s="55">
        <v>14</v>
      </c>
      <c r="AQ286" s="55">
        <v>0</v>
      </c>
    </row>
    <row r="287" spans="2:43" ht="15" x14ac:dyDescent="0.25">
      <c r="B287" t="s">
        <v>562</v>
      </c>
      <c r="D287" s="55">
        <v>9727627</v>
      </c>
      <c r="E287" s="166">
        <v>1696.7685981919478</v>
      </c>
      <c r="G287" s="55">
        <v>9687942.1715637408</v>
      </c>
      <c r="H287" s="166">
        <v>1680.3373925798683</v>
      </c>
      <c r="J287" s="167">
        <f t="shared" si="73"/>
        <v>4.0963114491685548E-3</v>
      </c>
      <c r="K287" s="168">
        <f t="shared" si="73"/>
        <v>9.778515722281389E-3</v>
      </c>
      <c r="L287" s="55">
        <v>9944848</v>
      </c>
      <c r="M287" s="167">
        <f t="shared" si="74"/>
        <v>2.2564193357582418E-2</v>
      </c>
      <c r="N287" s="169">
        <f t="shared" si="75"/>
        <v>9.0547645222140982E-3</v>
      </c>
      <c r="O287" s="55">
        <v>9947123.0565384403</v>
      </c>
      <c r="Q287" s="167">
        <f t="shared" si="76"/>
        <v>2.31155197491133E-2</v>
      </c>
      <c r="R287" s="170">
        <v>1.7358265769463754E-2</v>
      </c>
      <c r="S287" s="55">
        <v>9952486.1540305074</v>
      </c>
      <c r="T287" s="167">
        <f t="shared" si="77"/>
        <v>2.3231282419017951E-2</v>
      </c>
      <c r="U287" s="170">
        <v>1.7473377022124703E-2</v>
      </c>
      <c r="V287" s="55">
        <v>9953612.2501038648</v>
      </c>
      <c r="X287" s="167">
        <f t="shared" si="78"/>
        <v>2.2881643949965058E-2</v>
      </c>
      <c r="Y287" s="170">
        <v>1.7125706031258181E-2</v>
      </c>
      <c r="Z287" s="55">
        <v>9950211.0974920671</v>
      </c>
      <c r="AB287" s="55">
        <v>9681801.6109245438</v>
      </c>
      <c r="AC287" s="55">
        <v>9950211.0974920671</v>
      </c>
      <c r="AD287" s="167">
        <f t="shared" si="79"/>
        <v>2.2881643949965058E-2</v>
      </c>
      <c r="AE287" s="170">
        <v>1.7125706031258181E-2</v>
      </c>
      <c r="AF287" s="55">
        <v>9950211.0974920671</v>
      </c>
      <c r="AG287" s="166">
        <v>1725.8269584076536</v>
      </c>
      <c r="AH287" s="171">
        <f t="shared" si="80"/>
        <v>2.2881643949965058E-2</v>
      </c>
      <c r="AI287" s="171">
        <f t="shared" si="80"/>
        <v>1.7125706031258403E-2</v>
      </c>
      <c r="AK287" s="55">
        <v>9931231.5226409454</v>
      </c>
      <c r="AL287" s="166">
        <v>1722.5350220239684</v>
      </c>
      <c r="AM287" s="171">
        <f t="shared" si="81"/>
        <v>1.9110998276350433E-3</v>
      </c>
      <c r="AN287" s="170">
        <f t="shared" si="81"/>
        <v>1.9110998276350433E-3</v>
      </c>
      <c r="AP287" s="55">
        <v>15</v>
      </c>
      <c r="AQ287" s="55">
        <v>0</v>
      </c>
    </row>
    <row r="288" spans="2:43" ht="15" x14ac:dyDescent="0.25">
      <c r="B288"/>
      <c r="D288" s="1"/>
      <c r="G288" s="1"/>
      <c r="L288" s="1"/>
      <c r="O288" s="1"/>
      <c r="Q288" s="53"/>
      <c r="S288" s="1"/>
      <c r="U288" s="52"/>
      <c r="V288" s="1"/>
      <c r="X288" s="53"/>
      <c r="Y288" s="52"/>
      <c r="Z288" s="1"/>
      <c r="AB288" s="1"/>
      <c r="AC288" s="1"/>
      <c r="AD288" s="53"/>
      <c r="AE288" s="52"/>
      <c r="AF288" s="1"/>
      <c r="AG288" s="75"/>
      <c r="AK288" s="1"/>
      <c r="AL288" s="75"/>
      <c r="AP288" s="1"/>
      <c r="AQ288" s="1"/>
    </row>
    <row r="289" spans="2:43" ht="15" x14ac:dyDescent="0.25">
      <c r="B289" t="s">
        <v>12</v>
      </c>
      <c r="D289" s="172">
        <f>SUM(D278:D287)</f>
        <v>94829648</v>
      </c>
      <c r="E289" s="173">
        <v>1630.1113270385943</v>
      </c>
      <c r="G289" s="172">
        <f>SUM(G278:G287)</f>
        <v>94829716.878834367</v>
      </c>
      <c r="H289" s="173">
        <v>1618.4696648849851</v>
      </c>
      <c r="J289" s="167">
        <f>D289/G289-1</f>
        <v>-7.2634229686396878E-7</v>
      </c>
      <c r="K289" s="168">
        <f>E289/H289-1</f>
        <v>7.1930060885239122E-3</v>
      </c>
      <c r="L289" s="172">
        <f>SUM(L278:L287)</f>
        <v>97149858</v>
      </c>
      <c r="M289" s="167">
        <f>O289/$D289-1</f>
        <v>2.4677431975188346E-2</v>
      </c>
      <c r="N289" s="169">
        <f>N$222</f>
        <v>9.0547645222140982E-3</v>
      </c>
      <c r="O289" s="172">
        <f>SUM(O278:O287)</f>
        <v>97169800.187751055</v>
      </c>
      <c r="Q289" s="167">
        <f>S289/$D289-1</f>
        <v>2.5674011581985345E-2</v>
      </c>
      <c r="R289" s="170">
        <v>1.8348281204625172E-2</v>
      </c>
      <c r="S289" s="172">
        <f>SUM(S278:S287)</f>
        <v>97264305.481067583</v>
      </c>
      <c r="T289" s="167">
        <f>V289/$D289-1</f>
        <v>2.5773451304066608E-2</v>
      </c>
      <c r="U289" s="170">
        <v>1.8447010692670407E-2</v>
      </c>
      <c r="V289" s="172">
        <f>SUM(V278:V287)</f>
        <v>97273735.314909786</v>
      </c>
      <c r="X289" s="167">
        <f>Z289/$D289-1</f>
        <v>2.5486443052915808E-2</v>
      </c>
      <c r="Y289" s="170">
        <v>1.8162052357029168E-2</v>
      </c>
      <c r="Z289" s="172">
        <f>SUM(Z278:Z287)</f>
        <v>97246518.423480049</v>
      </c>
      <c r="AB289" s="172">
        <f>SUM(AB278:AB287)</f>
        <v>94739854.546611249</v>
      </c>
      <c r="AC289" s="172">
        <f>SUM(AC278:AC287)</f>
        <v>97246518.423480049</v>
      </c>
      <c r="AD289" s="167">
        <f>AC289/$D289-1</f>
        <v>2.5486443052915808E-2</v>
      </c>
      <c r="AE289" s="170">
        <v>1.8162052357029168E-2</v>
      </c>
      <c r="AF289" s="172">
        <f>SUM(AF278:AF287)</f>
        <v>97246518.423480049</v>
      </c>
      <c r="AG289" s="166">
        <v>1659.7174943080554</v>
      </c>
      <c r="AH289" s="171">
        <f>AF289/D289 - 1</f>
        <v>2.5486443052915808E-2</v>
      </c>
      <c r="AI289" s="171">
        <f>AG289/E289 - 1</f>
        <v>1.8162052357029168E-2</v>
      </c>
      <c r="AK289" s="172">
        <f>SUM(AK278:AK287)</f>
        <v>97246569.278791651</v>
      </c>
      <c r="AL289" s="173">
        <v>1659.7183622614971</v>
      </c>
      <c r="AM289" s="171">
        <f>AF289/AK289-1</f>
        <v>-5.2295224373111182E-7</v>
      </c>
      <c r="AN289" s="170">
        <f t="shared" ref="AN289" si="82">AG289/AL289-1</f>
        <v>-5.2295224384213412E-7</v>
      </c>
      <c r="AP289" s="172">
        <f>SUM(AP278:AP287)</f>
        <v>132</v>
      </c>
      <c r="AQ289" s="172">
        <f>SUM(AQ278:AQ287)</f>
        <v>0</v>
      </c>
    </row>
    <row r="290" spans="2:43" ht="15" x14ac:dyDescent="0.25">
      <c r="B290"/>
      <c r="D290" s="1"/>
      <c r="G290" s="1"/>
      <c r="L290" s="1"/>
      <c r="O290" s="1"/>
      <c r="Q290" s="53"/>
      <c r="S290" s="1"/>
      <c r="U290" s="52"/>
      <c r="V290" s="1"/>
      <c r="X290" s="53"/>
      <c r="Y290" s="52"/>
      <c r="Z290" s="1"/>
      <c r="AB290" s="1"/>
      <c r="AC290" s="1"/>
      <c r="AD290" s="53"/>
      <c r="AE290" s="52"/>
      <c r="AF290" s="1"/>
      <c r="AG290" s="75"/>
      <c r="AK290" s="1"/>
      <c r="AL290" s="75"/>
      <c r="AP290" s="1"/>
      <c r="AQ290" s="1"/>
    </row>
    <row r="291" spans="2:43" ht="15" x14ac:dyDescent="0.25">
      <c r="B291" s="174" t="s">
        <v>563</v>
      </c>
      <c r="D291" s="1"/>
      <c r="G291" s="1"/>
      <c r="L291" s="1"/>
      <c r="O291" s="1"/>
      <c r="Q291" s="53"/>
      <c r="S291" s="1"/>
      <c r="U291" s="52"/>
      <c r="V291" s="1"/>
      <c r="X291" s="53"/>
      <c r="Y291" s="52"/>
      <c r="Z291" s="1"/>
      <c r="AB291" s="1"/>
      <c r="AC291" s="1"/>
      <c r="AD291" s="53"/>
      <c r="AE291" s="52"/>
      <c r="AF291" s="1"/>
      <c r="AG291" s="75"/>
      <c r="AK291" s="1"/>
      <c r="AL291" s="75"/>
      <c r="AP291" s="1"/>
      <c r="AQ291" s="1"/>
    </row>
    <row r="292" spans="2:43" ht="15" x14ac:dyDescent="0.25">
      <c r="B292"/>
      <c r="D292" s="1"/>
      <c r="G292" s="1"/>
      <c r="L292" s="1"/>
      <c r="O292" s="1"/>
      <c r="Q292" s="53"/>
      <c r="S292" s="1"/>
      <c r="U292" s="52"/>
      <c r="V292" s="1"/>
      <c r="X292" s="53"/>
      <c r="Y292" s="52"/>
      <c r="Z292" s="1"/>
      <c r="AB292" s="1"/>
      <c r="AC292" s="1"/>
      <c r="AD292" s="53"/>
      <c r="AE292" s="52"/>
      <c r="AF292" s="1"/>
      <c r="AG292" s="75"/>
      <c r="AK292" s="1"/>
      <c r="AL292" s="75"/>
      <c r="AP292" s="1"/>
      <c r="AQ292" s="1"/>
    </row>
    <row r="293" spans="2:43" ht="15" x14ac:dyDescent="0.25">
      <c r="B293" t="s">
        <v>564</v>
      </c>
      <c r="D293" s="55">
        <v>6605550</v>
      </c>
      <c r="E293" s="166">
        <v>1866.4827072216076</v>
      </c>
      <c r="G293" s="55">
        <v>6392231.262756329</v>
      </c>
      <c r="H293" s="166">
        <v>1801.0237481489478</v>
      </c>
      <c r="J293" s="167">
        <f t="shared" ref="J293:K304" si="83">D293/G293-1</f>
        <v>3.3371561271030803E-2</v>
      </c>
      <c r="K293" s="168">
        <f t="shared" si="83"/>
        <v>3.6345416955182897E-2</v>
      </c>
      <c r="L293" s="55">
        <v>6742627</v>
      </c>
      <c r="M293" s="167">
        <f t="shared" ref="M293:M304" si="84">O293/$D293-1</f>
        <v>2.1328547444962709E-2</v>
      </c>
      <c r="N293" s="169">
        <f t="shared" ref="N293:N304" si="85">N$222</f>
        <v>9.0547645222140982E-3</v>
      </c>
      <c r="O293" s="55">
        <v>6746436.7865750734</v>
      </c>
      <c r="Q293" s="167">
        <f t="shared" ref="Q293:Q304" si="86">S293/$D293-1</f>
        <v>2.1328547444962709E-2</v>
      </c>
      <c r="R293" s="170">
        <v>1.8397783573656401E-2</v>
      </c>
      <c r="S293" s="55">
        <v>6746436.7865750734</v>
      </c>
      <c r="T293" s="167">
        <f t="shared" ref="T293:T304" si="87">V293/$D293-1</f>
        <v>2.2069780387654836E-2</v>
      </c>
      <c r="U293" s="170">
        <v>1.9136889503709842E-2</v>
      </c>
      <c r="V293" s="55">
        <v>6751333.0378396735</v>
      </c>
      <c r="X293" s="167">
        <f t="shared" ref="X293:X304" si="88">Z293/$D293-1</f>
        <v>2.0906273418703547E-2</v>
      </c>
      <c r="Y293" s="170">
        <v>1.7976721288186281E-2</v>
      </c>
      <c r="Z293" s="55">
        <v>6743647.4343809169</v>
      </c>
      <c r="AB293" s="55">
        <v>6388491.6990247583</v>
      </c>
      <c r="AC293" s="55">
        <v>6743647.4343809169</v>
      </c>
      <c r="AD293" s="167">
        <f t="shared" ref="AD293:AD304" si="89">AC293/$D293-1</f>
        <v>2.0906273418703547E-2</v>
      </c>
      <c r="AE293" s="170">
        <v>1.7976721288186281E-2</v>
      </c>
      <c r="AF293" s="55">
        <v>6743647.4343809169</v>
      </c>
      <c r="AG293" s="166">
        <v>1900.0359466385498</v>
      </c>
      <c r="AH293" s="171">
        <f t="shared" ref="AH293:AI304" si="90">AF293/D293 - 1</f>
        <v>2.0906273418703547E-2</v>
      </c>
      <c r="AI293" s="171">
        <f t="shared" si="90"/>
        <v>1.7976721288186281E-2</v>
      </c>
      <c r="AK293" s="55">
        <v>6552299.1784869321</v>
      </c>
      <c r="AL293" s="166">
        <v>1846.1231986690173</v>
      </c>
      <c r="AM293" s="171">
        <f>AF293/AK293-1</f>
        <v>2.9203223278057244E-2</v>
      </c>
      <c r="AN293" s="170">
        <f t="shared" ref="AN293:AN304" si="91">AG293/AL293-1</f>
        <v>2.9203223278057244E-2</v>
      </c>
      <c r="AP293" s="55">
        <v>15</v>
      </c>
      <c r="AQ293" s="55">
        <v>0</v>
      </c>
    </row>
    <row r="294" spans="2:43" ht="15" x14ac:dyDescent="0.25">
      <c r="B294" t="s">
        <v>565</v>
      </c>
      <c r="D294" s="55">
        <v>7577059</v>
      </c>
      <c r="E294" s="166">
        <v>1697.0118186754812</v>
      </c>
      <c r="G294" s="55">
        <v>7395755.3485174086</v>
      </c>
      <c r="H294" s="166">
        <v>1646.5705002158356</v>
      </c>
      <c r="J294" s="167">
        <f t="shared" si="83"/>
        <v>2.4514555030398233E-2</v>
      </c>
      <c r="K294" s="168">
        <f t="shared" si="83"/>
        <v>3.0634168687604602E-2</v>
      </c>
      <c r="L294" s="55">
        <v>7758335</v>
      </c>
      <c r="M294" s="167">
        <f t="shared" si="84"/>
        <v>2.3924322088556993E-2</v>
      </c>
      <c r="N294" s="169">
        <f t="shared" si="85"/>
        <v>9.0547645222140982E-3</v>
      </c>
      <c r="O294" s="55">
        <v>7758335</v>
      </c>
      <c r="Q294" s="167">
        <f t="shared" si="86"/>
        <v>2.400487378981131E-2</v>
      </c>
      <c r="R294" s="170">
        <v>1.7924623007256946E-2</v>
      </c>
      <c r="S294" s="55">
        <v>7758945.3449929543</v>
      </c>
      <c r="T294" s="167">
        <f t="shared" si="87"/>
        <v>2.400487378981131E-2</v>
      </c>
      <c r="U294" s="170">
        <v>1.7924623007256946E-2</v>
      </c>
      <c r="V294" s="55">
        <v>7758945.3449929543</v>
      </c>
      <c r="X294" s="167">
        <f t="shared" si="88"/>
        <v>2.400487378981131E-2</v>
      </c>
      <c r="Y294" s="170">
        <v>1.7924623007256946E-2</v>
      </c>
      <c r="Z294" s="55">
        <v>7758945.3449929543</v>
      </c>
      <c r="AB294" s="55">
        <v>7395208.0633416679</v>
      </c>
      <c r="AC294" s="55">
        <v>7758945.3449929543</v>
      </c>
      <c r="AD294" s="167">
        <f t="shared" si="89"/>
        <v>2.400487378981131E-2</v>
      </c>
      <c r="AE294" s="170">
        <v>1.7924623007256946E-2</v>
      </c>
      <c r="AF294" s="55">
        <v>7758945.3449929543</v>
      </c>
      <c r="AG294" s="166">
        <v>1727.4301157640987</v>
      </c>
      <c r="AH294" s="171">
        <f t="shared" si="90"/>
        <v>2.400487378981131E-2</v>
      </c>
      <c r="AI294" s="171">
        <f t="shared" si="90"/>
        <v>1.7924623007256946E-2</v>
      </c>
      <c r="AK294" s="55">
        <v>7584828.7829145305</v>
      </c>
      <c r="AL294" s="166">
        <v>1688.6652863170559</v>
      </c>
      <c r="AM294" s="171">
        <f t="shared" ref="AM294:AN306" si="92">AF294/AK294-1</f>
        <v>2.2955898816152009E-2</v>
      </c>
      <c r="AN294" s="170">
        <f t="shared" si="91"/>
        <v>2.2955898816152009E-2</v>
      </c>
      <c r="AP294" s="55">
        <v>12</v>
      </c>
      <c r="AQ294" s="55">
        <v>0</v>
      </c>
    </row>
    <row r="295" spans="2:43" ht="15" x14ac:dyDescent="0.25">
      <c r="B295" t="s">
        <v>566</v>
      </c>
      <c r="D295" s="55">
        <v>7379487</v>
      </c>
      <c r="E295" s="166">
        <v>1704.373772480559</v>
      </c>
      <c r="G295" s="55">
        <v>7262335.9392038779</v>
      </c>
      <c r="H295" s="166">
        <v>1669.9423390349543</v>
      </c>
      <c r="J295" s="167">
        <f t="shared" si="83"/>
        <v>1.6131319423508428E-2</v>
      </c>
      <c r="K295" s="168">
        <f t="shared" si="83"/>
        <v>2.0618336717842745E-2</v>
      </c>
      <c r="L295" s="55">
        <v>7542207</v>
      </c>
      <c r="M295" s="167">
        <f t="shared" si="84"/>
        <v>2.2050313253482168E-2</v>
      </c>
      <c r="N295" s="169">
        <f t="shared" si="85"/>
        <v>9.0547645222140982E-3</v>
      </c>
      <c r="O295" s="55">
        <v>7542207</v>
      </c>
      <c r="Q295" s="167">
        <f t="shared" si="86"/>
        <v>2.2280720831615586E-2</v>
      </c>
      <c r="R295" s="170">
        <v>1.7786395079261164E-2</v>
      </c>
      <c r="S295" s="55">
        <v>7543907.289727536</v>
      </c>
      <c r="T295" s="167">
        <f t="shared" si="87"/>
        <v>2.2406221752235167E-2</v>
      </c>
      <c r="U295" s="170">
        <v>1.7911344251219319E-2</v>
      </c>
      <c r="V295" s="55">
        <v>7544833.4221397359</v>
      </c>
      <c r="X295" s="167">
        <f t="shared" si="88"/>
        <v>2.2280720831615586E-2</v>
      </c>
      <c r="Y295" s="170">
        <v>1.7786395079261164E-2</v>
      </c>
      <c r="Z295" s="55">
        <v>7543907.289727536</v>
      </c>
      <c r="AB295" s="55">
        <v>7256105.2098737611</v>
      </c>
      <c r="AC295" s="55">
        <v>7543907.289727536</v>
      </c>
      <c r="AD295" s="167">
        <f t="shared" si="89"/>
        <v>2.2280720831615586E-2</v>
      </c>
      <c r="AE295" s="170">
        <v>1.7786395079261164E-2</v>
      </c>
      <c r="AF295" s="55">
        <v>7543907.289727536</v>
      </c>
      <c r="AG295" s="166">
        <v>1734.6884377606289</v>
      </c>
      <c r="AH295" s="171">
        <f t="shared" si="90"/>
        <v>2.2280720831615586E-2</v>
      </c>
      <c r="AI295" s="171">
        <f t="shared" si="90"/>
        <v>1.7786395079261164E-2</v>
      </c>
      <c r="AK295" s="55">
        <v>7444404.9514582176</v>
      </c>
      <c r="AL295" s="166">
        <v>1711.8083109116458</v>
      </c>
      <c r="AM295" s="171">
        <f t="shared" si="92"/>
        <v>1.3366056644974478E-2</v>
      </c>
      <c r="AN295" s="170">
        <f t="shared" si="91"/>
        <v>1.3366056644974478E-2</v>
      </c>
      <c r="AP295" s="55">
        <v>17</v>
      </c>
      <c r="AQ295" s="55">
        <v>0</v>
      </c>
    </row>
    <row r="296" spans="2:43" ht="15" x14ac:dyDescent="0.25">
      <c r="B296" t="s">
        <v>567</v>
      </c>
      <c r="D296" s="55">
        <v>21673343</v>
      </c>
      <c r="E296" s="166">
        <v>1586.2763805912764</v>
      </c>
      <c r="G296" s="55">
        <v>21873141.454860914</v>
      </c>
      <c r="H296" s="166">
        <v>1591.1793023340933</v>
      </c>
      <c r="J296" s="167">
        <f t="shared" si="83"/>
        <v>-9.1344197299337848E-3</v>
      </c>
      <c r="K296" s="168">
        <f t="shared" si="83"/>
        <v>-3.0813131716990183E-3</v>
      </c>
      <c r="L296" s="55">
        <v>22184954</v>
      </c>
      <c r="M296" s="167">
        <f t="shared" si="84"/>
        <v>2.3605541609340142E-2</v>
      </c>
      <c r="N296" s="169">
        <f t="shared" si="85"/>
        <v>9.0547645222140982E-3</v>
      </c>
      <c r="O296" s="55">
        <v>22184954</v>
      </c>
      <c r="Q296" s="167">
        <f t="shared" si="86"/>
        <v>2.4784016208509785E-2</v>
      </c>
      <c r="R296" s="170">
        <v>1.8561716505189674E-2</v>
      </c>
      <c r="S296" s="55">
        <v>22210495.48420459</v>
      </c>
      <c r="T296" s="167">
        <f t="shared" si="87"/>
        <v>2.4794280998551299E-2</v>
      </c>
      <c r="U296" s="170">
        <v>1.8571918969317647E-2</v>
      </c>
      <c r="V296" s="55">
        <v>22210717.956519984</v>
      </c>
      <c r="X296" s="167">
        <f t="shared" si="88"/>
        <v>2.4784016208509785E-2</v>
      </c>
      <c r="Y296" s="170">
        <v>1.8561716505189674E-2</v>
      </c>
      <c r="Z296" s="55">
        <v>22210495.48420459</v>
      </c>
      <c r="AB296" s="55">
        <v>21842777.413437247</v>
      </c>
      <c r="AC296" s="55">
        <v>22210495.48420459</v>
      </c>
      <c r="AD296" s="167">
        <f t="shared" si="89"/>
        <v>2.4784016208509785E-2</v>
      </c>
      <c r="AE296" s="170">
        <v>1.8561716505189674E-2</v>
      </c>
      <c r="AF296" s="55">
        <v>22210495.48420459</v>
      </c>
      <c r="AG296" s="166">
        <v>1615.7203930666901</v>
      </c>
      <c r="AH296" s="171">
        <f t="shared" si="90"/>
        <v>2.4784016208509785E-2</v>
      </c>
      <c r="AI296" s="171">
        <f t="shared" si="90"/>
        <v>1.8561716505189674E-2</v>
      </c>
      <c r="AK296" s="55">
        <v>22424742.867205694</v>
      </c>
      <c r="AL296" s="166">
        <v>1631.3059916015015</v>
      </c>
      <c r="AM296" s="171">
        <f t="shared" si="92"/>
        <v>-9.5540619693982309E-3</v>
      </c>
      <c r="AN296" s="170">
        <f t="shared" si="91"/>
        <v>-9.5540619693982309E-3</v>
      </c>
      <c r="AP296" s="55">
        <v>31</v>
      </c>
      <c r="AQ296" s="55">
        <v>0</v>
      </c>
    </row>
    <row r="297" spans="2:43" ht="15" x14ac:dyDescent="0.25">
      <c r="B297" t="s">
        <v>568</v>
      </c>
      <c r="D297" s="55">
        <v>12452551</v>
      </c>
      <c r="E297" s="166">
        <v>1662.8397716603704</v>
      </c>
      <c r="G297" s="55">
        <v>12493744.398627372</v>
      </c>
      <c r="H297" s="166">
        <v>1657.3600490367915</v>
      </c>
      <c r="J297" s="167">
        <f t="shared" si="83"/>
        <v>-3.297121928626745E-3</v>
      </c>
      <c r="K297" s="168">
        <f t="shared" si="83"/>
        <v>3.3062958327996217E-3</v>
      </c>
      <c r="L297" s="55">
        <v>12758778</v>
      </c>
      <c r="M297" s="167">
        <f t="shared" si="84"/>
        <v>2.4602494520318485E-2</v>
      </c>
      <c r="N297" s="169">
        <f t="shared" si="85"/>
        <v>9.0547645222140982E-3</v>
      </c>
      <c r="O297" s="55">
        <v>12758914.817741487</v>
      </c>
      <c r="Q297" s="167">
        <f t="shared" si="86"/>
        <v>2.5043213717085733E-2</v>
      </c>
      <c r="R297" s="170">
        <v>1.8296731021020696E-2</v>
      </c>
      <c r="S297" s="55">
        <v>12764402.896015909</v>
      </c>
      <c r="T297" s="167">
        <f t="shared" si="87"/>
        <v>2.5076850392507621E-2</v>
      </c>
      <c r="U297" s="170">
        <v>1.8330146311387185E-2</v>
      </c>
      <c r="V297" s="55">
        <v>12764821.758432072</v>
      </c>
      <c r="X297" s="167">
        <f t="shared" si="88"/>
        <v>2.5076850392507621E-2</v>
      </c>
      <c r="Y297" s="170">
        <v>1.8330146311387185E-2</v>
      </c>
      <c r="Z297" s="55">
        <v>12764821.758432072</v>
      </c>
      <c r="AB297" s="55">
        <v>12487032.366741056</v>
      </c>
      <c r="AC297" s="55">
        <v>12764821.758432072</v>
      </c>
      <c r="AD297" s="167">
        <f t="shared" si="89"/>
        <v>2.5076850392507621E-2</v>
      </c>
      <c r="AE297" s="170">
        <v>1.8330146311387185E-2</v>
      </c>
      <c r="AF297" s="55">
        <v>12764821.758432072</v>
      </c>
      <c r="AG297" s="166">
        <v>1693.3198679672987</v>
      </c>
      <c r="AH297" s="171">
        <f t="shared" si="90"/>
        <v>2.5076850392507621E-2</v>
      </c>
      <c r="AI297" s="171">
        <f t="shared" si="90"/>
        <v>1.8330146311387185E-2</v>
      </c>
      <c r="AK297" s="55">
        <v>12814015.371714372</v>
      </c>
      <c r="AL297" s="166">
        <v>1699.8456561313985</v>
      </c>
      <c r="AM297" s="171">
        <f t="shared" si="92"/>
        <v>-3.839047469139989E-3</v>
      </c>
      <c r="AN297" s="170">
        <f t="shared" si="91"/>
        <v>-3.839047469139989E-3</v>
      </c>
      <c r="AP297" s="55">
        <v>17</v>
      </c>
      <c r="AQ297" s="55">
        <v>0</v>
      </c>
    </row>
    <row r="298" spans="2:43" ht="15" x14ac:dyDescent="0.25">
      <c r="B298" t="s">
        <v>569</v>
      </c>
      <c r="D298" s="55">
        <v>6687818</v>
      </c>
      <c r="E298" s="166">
        <v>1717.5145649952319</v>
      </c>
      <c r="G298" s="55">
        <v>6588012.8959874595</v>
      </c>
      <c r="H298" s="166">
        <v>1684.7053363502009</v>
      </c>
      <c r="J298" s="167">
        <f t="shared" si="83"/>
        <v>1.5149500401453242E-2</v>
      </c>
      <c r="K298" s="168">
        <f t="shared" si="83"/>
        <v>1.9474757951506216E-2</v>
      </c>
      <c r="L298" s="55">
        <v>6835285</v>
      </c>
      <c r="M298" s="167">
        <f t="shared" si="84"/>
        <v>2.2390270868381856E-2</v>
      </c>
      <c r="N298" s="169">
        <f t="shared" si="85"/>
        <v>9.0547645222140982E-3</v>
      </c>
      <c r="O298" s="55">
        <v>6837560.0565384403</v>
      </c>
      <c r="Q298" s="167">
        <f t="shared" si="86"/>
        <v>2.2391431325831102E-2</v>
      </c>
      <c r="R298" s="170">
        <v>1.8053799400213899E-2</v>
      </c>
      <c r="S298" s="55">
        <v>6837567.8174666576</v>
      </c>
      <c r="T298" s="167">
        <f t="shared" si="87"/>
        <v>2.2526546210531073E-2</v>
      </c>
      <c r="U298" s="170">
        <v>1.8188341042005396E-2</v>
      </c>
      <c r="V298" s="55">
        <v>6838471.4412246216</v>
      </c>
      <c r="X298" s="167">
        <f t="shared" si="88"/>
        <v>2.2051252131594756E-2</v>
      </c>
      <c r="Y298" s="170">
        <v>1.7715063461552827E-2</v>
      </c>
      <c r="Z298" s="55">
        <v>6835292.7609282183</v>
      </c>
      <c r="AB298" s="55">
        <v>6584608.164219223</v>
      </c>
      <c r="AC298" s="55">
        <v>6835292.7609282183</v>
      </c>
      <c r="AD298" s="167">
        <f t="shared" si="89"/>
        <v>2.2051252131594756E-2</v>
      </c>
      <c r="AE298" s="170">
        <v>1.7715063461552827E-2</v>
      </c>
      <c r="AF298" s="55">
        <v>6835292.7609282183</v>
      </c>
      <c r="AG298" s="166">
        <v>1747.9404445102632</v>
      </c>
      <c r="AH298" s="171">
        <f t="shared" si="90"/>
        <v>2.2051252131594756E-2</v>
      </c>
      <c r="AI298" s="171">
        <f t="shared" si="90"/>
        <v>1.7715063461552605E-2</v>
      </c>
      <c r="AK298" s="55">
        <v>6753587.4835590031</v>
      </c>
      <c r="AL298" s="166">
        <v>1727.0465393274535</v>
      </c>
      <c r="AM298" s="171">
        <f t="shared" si="92"/>
        <v>1.2098055673095187E-2</v>
      </c>
      <c r="AN298" s="170">
        <f t="shared" si="91"/>
        <v>1.2098055673094965E-2</v>
      </c>
      <c r="AP298" s="55">
        <v>13</v>
      </c>
      <c r="AQ298" s="55">
        <v>0</v>
      </c>
    </row>
    <row r="299" spans="2:43" ht="15" x14ac:dyDescent="0.25">
      <c r="B299" t="s">
        <v>570</v>
      </c>
      <c r="D299" s="55">
        <v>3901697</v>
      </c>
      <c r="E299" s="166">
        <v>1564.0100565544849</v>
      </c>
      <c r="G299" s="55">
        <v>4017503.8896275684</v>
      </c>
      <c r="H299" s="166">
        <v>1594.0726748736413</v>
      </c>
      <c r="J299" s="167">
        <f t="shared" si="83"/>
        <v>-2.8825582453463117E-2</v>
      </c>
      <c r="K299" s="168">
        <f t="shared" si="83"/>
        <v>-1.8859001093873839E-2</v>
      </c>
      <c r="L299" s="55">
        <v>4006064</v>
      </c>
      <c r="M299" s="167">
        <f t="shared" si="84"/>
        <v>2.6749129929874105E-2</v>
      </c>
      <c r="N299" s="169">
        <f t="shared" si="85"/>
        <v>9.0547645222140982E-3</v>
      </c>
      <c r="O299" s="55">
        <v>4006064</v>
      </c>
      <c r="Q299" s="167">
        <f t="shared" si="86"/>
        <v>3.0366270347343294E-2</v>
      </c>
      <c r="R299" s="170">
        <v>1.9899651099913651E-2</v>
      </c>
      <c r="S299" s="55">
        <v>4020176.9859154182</v>
      </c>
      <c r="T299" s="167">
        <f t="shared" si="87"/>
        <v>3.0366270347343294E-2</v>
      </c>
      <c r="U299" s="170">
        <v>1.9899651099913651E-2</v>
      </c>
      <c r="V299" s="55">
        <v>4020176.9859154182</v>
      </c>
      <c r="X299" s="167">
        <f t="shared" si="88"/>
        <v>3.0366270347343294E-2</v>
      </c>
      <c r="Y299" s="170">
        <v>1.9899651099913651E-2</v>
      </c>
      <c r="Z299" s="55">
        <v>4020176.9859154182</v>
      </c>
      <c r="AB299" s="55">
        <v>4006276.5576172485</v>
      </c>
      <c r="AC299" s="55">
        <v>4020176.9859154182</v>
      </c>
      <c r="AD299" s="167">
        <f t="shared" si="89"/>
        <v>3.0366270347343294E-2</v>
      </c>
      <c r="AE299" s="170">
        <v>1.9899651099913651E-2</v>
      </c>
      <c r="AF299" s="55">
        <v>4020176.9859154182</v>
      </c>
      <c r="AG299" s="166">
        <v>1595.1333109966752</v>
      </c>
      <c r="AH299" s="171">
        <f t="shared" si="90"/>
        <v>3.0366270347343294E-2</v>
      </c>
      <c r="AI299" s="171">
        <f t="shared" si="90"/>
        <v>1.9899651099913429E-2</v>
      </c>
      <c r="AK299" s="55">
        <v>4120329.6908402871</v>
      </c>
      <c r="AL299" s="166">
        <v>1634.8720877649077</v>
      </c>
      <c r="AM299" s="171">
        <f t="shared" si="92"/>
        <v>-2.4306963869302423E-2</v>
      </c>
      <c r="AN299" s="170">
        <f t="shared" si="91"/>
        <v>-2.4306963869302423E-2</v>
      </c>
      <c r="AP299" s="55">
        <v>1</v>
      </c>
      <c r="AQ299" s="55">
        <v>0</v>
      </c>
    </row>
    <row r="300" spans="2:43" ht="15" x14ac:dyDescent="0.25">
      <c r="B300" t="s">
        <v>571</v>
      </c>
      <c r="D300" s="55">
        <v>13169164</v>
      </c>
      <c r="E300" s="166">
        <v>1508.3771867634964</v>
      </c>
      <c r="G300" s="55">
        <v>13464833.649689956</v>
      </c>
      <c r="H300" s="166">
        <v>1530.0670538321679</v>
      </c>
      <c r="J300" s="167">
        <f t="shared" si="83"/>
        <v>-2.1958655961320628E-2</v>
      </c>
      <c r="K300" s="168">
        <f t="shared" si="83"/>
        <v>-1.4175762437566131E-2</v>
      </c>
      <c r="L300" s="55">
        <v>13496455</v>
      </c>
      <c r="M300" s="167">
        <f t="shared" si="84"/>
        <v>2.4852830445425411E-2</v>
      </c>
      <c r="N300" s="169">
        <f t="shared" si="85"/>
        <v>9.0547645222140982E-3</v>
      </c>
      <c r="O300" s="55">
        <v>13496455</v>
      </c>
      <c r="Q300" s="167">
        <f t="shared" si="86"/>
        <v>2.7479818253236754E-2</v>
      </c>
      <c r="R300" s="170">
        <v>1.9368061898935141E-2</v>
      </c>
      <c r="S300" s="55">
        <v>13531050.233267069</v>
      </c>
      <c r="T300" s="167">
        <f t="shared" si="87"/>
        <v>2.7479818253236754E-2</v>
      </c>
      <c r="U300" s="170">
        <v>1.9368061898935141E-2</v>
      </c>
      <c r="V300" s="55">
        <v>13531050.233267069</v>
      </c>
      <c r="X300" s="167">
        <f t="shared" si="88"/>
        <v>2.7479818253236754E-2</v>
      </c>
      <c r="Y300" s="170">
        <v>1.9368061898935141E-2</v>
      </c>
      <c r="Z300" s="55">
        <v>13531050.233267069</v>
      </c>
      <c r="AB300" s="55">
        <v>13438591.714997472</v>
      </c>
      <c r="AC300" s="55">
        <v>13531050.233267069</v>
      </c>
      <c r="AD300" s="167">
        <f t="shared" si="89"/>
        <v>2.7479818253236754E-2</v>
      </c>
      <c r="AE300" s="170">
        <v>1.9368061898935141E-2</v>
      </c>
      <c r="AF300" s="55">
        <v>13531050.233267069</v>
      </c>
      <c r="AG300" s="166">
        <v>1537.5915294836736</v>
      </c>
      <c r="AH300" s="171">
        <f t="shared" si="90"/>
        <v>2.7479818253236754E-2</v>
      </c>
      <c r="AI300" s="171">
        <f t="shared" si="90"/>
        <v>1.9368061898935363E-2</v>
      </c>
      <c r="AK300" s="55">
        <v>13806771.530289643</v>
      </c>
      <c r="AL300" s="166">
        <v>1568.9229282658507</v>
      </c>
      <c r="AM300" s="171">
        <f t="shared" si="92"/>
        <v>-1.9970005038302374E-2</v>
      </c>
      <c r="AN300" s="170">
        <f t="shared" si="91"/>
        <v>-1.9970005038302374E-2</v>
      </c>
      <c r="AP300" s="55">
        <v>7</v>
      </c>
      <c r="AQ300" s="55">
        <v>0</v>
      </c>
    </row>
    <row r="301" spans="2:43" ht="15" x14ac:dyDescent="0.25">
      <c r="B301" t="s">
        <v>572</v>
      </c>
      <c r="D301" s="55">
        <v>5496724</v>
      </c>
      <c r="E301" s="166">
        <v>1552.1976354856031</v>
      </c>
      <c r="G301" s="55">
        <v>5656509.7973184781</v>
      </c>
      <c r="H301" s="166">
        <v>1577.0099744600675</v>
      </c>
      <c r="J301" s="167">
        <f t="shared" si="83"/>
        <v>-2.8248125265199042E-2</v>
      </c>
      <c r="K301" s="168">
        <f t="shared" si="83"/>
        <v>-1.5733786961594554E-2</v>
      </c>
      <c r="L301" s="55">
        <v>5665904</v>
      </c>
      <c r="M301" s="167">
        <f t="shared" si="84"/>
        <v>3.0778332694164634E-2</v>
      </c>
      <c r="N301" s="169">
        <f t="shared" si="85"/>
        <v>9.0547645222140982E-3</v>
      </c>
      <c r="O301" s="55">
        <v>5665904</v>
      </c>
      <c r="Q301" s="167">
        <f t="shared" si="86"/>
        <v>3.2473205403583894E-2</v>
      </c>
      <c r="R301" s="170">
        <v>1.9345944901629331E-2</v>
      </c>
      <c r="S301" s="55">
        <v>5675220.2474988094</v>
      </c>
      <c r="T301" s="167">
        <f t="shared" si="87"/>
        <v>3.2473205403583894E-2</v>
      </c>
      <c r="U301" s="170">
        <v>1.9345944901629331E-2</v>
      </c>
      <c r="V301" s="55">
        <v>5675220.2474988094</v>
      </c>
      <c r="X301" s="167">
        <f t="shared" si="88"/>
        <v>3.2473205403583894E-2</v>
      </c>
      <c r="Y301" s="170">
        <v>1.9345944901629331E-2</v>
      </c>
      <c r="Z301" s="55">
        <v>5675220.2474988094</v>
      </c>
      <c r="AB301" s="55">
        <v>5649716.3626468526</v>
      </c>
      <c r="AC301" s="55">
        <v>5675220.2474988094</v>
      </c>
      <c r="AD301" s="167">
        <f t="shared" si="89"/>
        <v>3.2473205403583894E-2</v>
      </c>
      <c r="AE301" s="170">
        <v>1.9345944901629331E-2</v>
      </c>
      <c r="AF301" s="55">
        <v>5675220.2474988094</v>
      </c>
      <c r="AG301" s="166">
        <v>1582.226365418147</v>
      </c>
      <c r="AH301" s="171">
        <f t="shared" si="90"/>
        <v>3.2473205403583894E-2</v>
      </c>
      <c r="AI301" s="171">
        <f t="shared" si="90"/>
        <v>1.9345944901629331E-2</v>
      </c>
      <c r="AK301" s="55">
        <v>5804231.3915962009</v>
      </c>
      <c r="AL301" s="166">
        <v>1618.194103183675</v>
      </c>
      <c r="AM301" s="171">
        <f t="shared" si="92"/>
        <v>-2.2227084930518726E-2</v>
      </c>
      <c r="AN301" s="170">
        <f t="shared" si="91"/>
        <v>-2.2227084930518615E-2</v>
      </c>
      <c r="AP301" s="55">
        <v>2</v>
      </c>
      <c r="AQ301" s="55">
        <v>0</v>
      </c>
    </row>
    <row r="302" spans="2:43" ht="15" x14ac:dyDescent="0.25">
      <c r="B302" t="s">
        <v>573</v>
      </c>
      <c r="D302" s="55">
        <v>3992563</v>
      </c>
      <c r="E302" s="166">
        <v>1655.8580583407197</v>
      </c>
      <c r="G302" s="55">
        <v>3987610.7299612626</v>
      </c>
      <c r="H302" s="166">
        <v>1633.6997260194571</v>
      </c>
      <c r="J302" s="167">
        <f t="shared" si="83"/>
        <v>1.2419141120090238E-3</v>
      </c>
      <c r="K302" s="168">
        <f t="shared" si="83"/>
        <v>1.3563283367410417E-2</v>
      </c>
      <c r="L302" s="55">
        <v>4114533</v>
      </c>
      <c r="M302" s="167">
        <f t="shared" si="84"/>
        <v>3.0549298783763668E-2</v>
      </c>
      <c r="N302" s="169">
        <f t="shared" si="85"/>
        <v>9.0547645222140982E-3</v>
      </c>
      <c r="O302" s="55">
        <v>4114533</v>
      </c>
      <c r="Q302" s="167">
        <f t="shared" si="86"/>
        <v>3.0549298783763668E-2</v>
      </c>
      <c r="R302" s="170">
        <v>1.8021439246445725E-2</v>
      </c>
      <c r="S302" s="55">
        <v>4114533</v>
      </c>
      <c r="T302" s="167">
        <f t="shared" si="87"/>
        <v>3.0549298783763668E-2</v>
      </c>
      <c r="U302" s="170">
        <v>1.8021439246445725E-2</v>
      </c>
      <c r="V302" s="55">
        <v>4114533</v>
      </c>
      <c r="X302" s="167">
        <f t="shared" si="88"/>
        <v>3.0549298783763668E-2</v>
      </c>
      <c r="Y302" s="170">
        <v>1.8021439246445725E-2</v>
      </c>
      <c r="Z302" s="55">
        <v>4114533</v>
      </c>
      <c r="AB302" s="55">
        <v>3991620.165763733</v>
      </c>
      <c r="AC302" s="55">
        <v>4114533</v>
      </c>
      <c r="AD302" s="167">
        <f t="shared" si="89"/>
        <v>3.0549298783763668E-2</v>
      </c>
      <c r="AE302" s="170">
        <v>1.8021439246445725E-2</v>
      </c>
      <c r="AF302" s="55">
        <v>4114533</v>
      </c>
      <c r="AG302" s="166">
        <v>1685.6990037398446</v>
      </c>
      <c r="AH302" s="171">
        <f t="shared" si="90"/>
        <v>3.0549298783763668E-2</v>
      </c>
      <c r="AI302" s="171">
        <f t="shared" si="90"/>
        <v>1.8021439246445725E-2</v>
      </c>
      <c r="AK302" s="55">
        <v>4093969.4007833158</v>
      </c>
      <c r="AL302" s="166">
        <v>1677.2742229171192</v>
      </c>
      <c r="AM302" s="171">
        <f t="shared" si="92"/>
        <v>5.0229000765735776E-3</v>
      </c>
      <c r="AN302" s="170">
        <f t="shared" si="91"/>
        <v>5.0229000765735776E-3</v>
      </c>
      <c r="AP302" s="55">
        <v>7</v>
      </c>
      <c r="AQ302" s="55">
        <v>0</v>
      </c>
    </row>
    <row r="303" spans="2:43" ht="15" x14ac:dyDescent="0.25">
      <c r="B303" t="s">
        <v>574</v>
      </c>
      <c r="D303" s="55">
        <v>2640504</v>
      </c>
      <c r="E303" s="166">
        <v>1522.0792494929058</v>
      </c>
      <c r="G303" s="55">
        <v>2689170.9932373087</v>
      </c>
      <c r="H303" s="166">
        <v>1531.1920310174517</v>
      </c>
      <c r="J303" s="167">
        <f t="shared" si="83"/>
        <v>-1.8097396320165493E-2</v>
      </c>
      <c r="K303" s="168">
        <f t="shared" si="83"/>
        <v>-5.9514295659510719E-3</v>
      </c>
      <c r="L303" s="55">
        <v>2718871</v>
      </c>
      <c r="M303" s="167">
        <f t="shared" si="84"/>
        <v>2.9678803743527826E-2</v>
      </c>
      <c r="N303" s="169">
        <f t="shared" si="85"/>
        <v>9.0547645222140982E-3</v>
      </c>
      <c r="O303" s="55">
        <v>2718871</v>
      </c>
      <c r="Q303" s="167">
        <f t="shared" si="86"/>
        <v>3.0865269852848431E-2</v>
      </c>
      <c r="R303" s="170">
        <v>1.8269451430978245E-2</v>
      </c>
      <c r="S303" s="55">
        <v>2722003.8685075259</v>
      </c>
      <c r="T303" s="167">
        <f t="shared" si="87"/>
        <v>3.0865269852848431E-2</v>
      </c>
      <c r="U303" s="170">
        <v>1.8269451430978245E-2</v>
      </c>
      <c r="V303" s="55">
        <v>2722003.8685075259</v>
      </c>
      <c r="X303" s="167">
        <f t="shared" si="88"/>
        <v>3.0865269852848431E-2</v>
      </c>
      <c r="Y303" s="170">
        <v>1.8269451430978245E-2</v>
      </c>
      <c r="Z303" s="55">
        <v>2722003.8685075259</v>
      </c>
      <c r="AB303" s="55">
        <v>2687507.851495726</v>
      </c>
      <c r="AC303" s="55">
        <v>2722003.8685075259</v>
      </c>
      <c r="AD303" s="167">
        <f t="shared" si="89"/>
        <v>3.0865269852848431E-2</v>
      </c>
      <c r="AE303" s="170">
        <v>1.8269451430978245E-2</v>
      </c>
      <c r="AF303" s="55">
        <v>2722003.8685075259</v>
      </c>
      <c r="AG303" s="166">
        <v>1549.8868024156163</v>
      </c>
      <c r="AH303" s="171">
        <f t="shared" si="90"/>
        <v>3.0865269852848431E-2</v>
      </c>
      <c r="AI303" s="171">
        <f t="shared" si="90"/>
        <v>1.8269451430978245E-2</v>
      </c>
      <c r="AK303" s="55">
        <v>2758240.9607613995</v>
      </c>
      <c r="AL303" s="166">
        <v>1570.51990719992</v>
      </c>
      <c r="AM303" s="171">
        <f t="shared" si="92"/>
        <v>-1.31377543765685E-2</v>
      </c>
      <c r="AN303" s="170">
        <f t="shared" si="91"/>
        <v>-1.31377543765685E-2</v>
      </c>
      <c r="AP303" s="55">
        <v>4</v>
      </c>
      <c r="AQ303" s="55">
        <v>0</v>
      </c>
    </row>
    <row r="304" spans="2:43" ht="15" x14ac:dyDescent="0.25">
      <c r="B304" t="s">
        <v>575</v>
      </c>
      <c r="D304" s="55">
        <v>3253188</v>
      </c>
      <c r="E304" s="166">
        <v>1728.786424112692</v>
      </c>
      <c r="G304" s="55">
        <v>3008866.5190464184</v>
      </c>
      <c r="H304" s="166">
        <v>1581.280637366234</v>
      </c>
      <c r="J304" s="167">
        <f t="shared" si="83"/>
        <v>8.1200505043012905E-2</v>
      </c>
      <c r="K304" s="168">
        <f t="shared" si="83"/>
        <v>9.3282484627233542E-2</v>
      </c>
      <c r="L304" s="55">
        <v>3325845</v>
      </c>
      <c r="M304" s="167">
        <f t="shared" si="84"/>
        <v>2.6551655451838574E-2</v>
      </c>
      <c r="N304" s="169">
        <f t="shared" si="85"/>
        <v>9.0547645222140982E-3</v>
      </c>
      <c r="O304" s="55">
        <v>3339565.5268960558</v>
      </c>
      <c r="Q304" s="167">
        <f t="shared" si="86"/>
        <v>2.6551655451838574E-2</v>
      </c>
      <c r="R304" s="170">
        <v>1.5207125270742861E-2</v>
      </c>
      <c r="S304" s="55">
        <v>3339565.5268960558</v>
      </c>
      <c r="T304" s="167">
        <f t="shared" si="87"/>
        <v>2.7185646378855788E-2</v>
      </c>
      <c r="U304" s="170">
        <v>1.5834109897426396E-2</v>
      </c>
      <c r="V304" s="55">
        <v>3341628.018571937</v>
      </c>
      <c r="X304" s="167">
        <f t="shared" si="88"/>
        <v>2.2512076038933015E-2</v>
      </c>
      <c r="Y304" s="170">
        <v>1.1212187674277008E-2</v>
      </c>
      <c r="Z304" s="55">
        <v>3326424.0156249446</v>
      </c>
      <c r="AB304" s="55">
        <v>3011918.977452511</v>
      </c>
      <c r="AC304" s="55">
        <v>3326424.0156249446</v>
      </c>
      <c r="AD304" s="167">
        <f t="shared" si="89"/>
        <v>2.2512076038933015E-2</v>
      </c>
      <c r="AE304" s="170">
        <v>1.1212187674277008E-2</v>
      </c>
      <c r="AF304" s="55">
        <v>3326424.0156249446</v>
      </c>
      <c r="AG304" s="166">
        <v>1748.1699019485859</v>
      </c>
      <c r="AH304" s="171">
        <f t="shared" si="90"/>
        <v>2.2512076038933015E-2</v>
      </c>
      <c r="AI304" s="171">
        <f t="shared" si="90"/>
        <v>1.1212187674277008E-2</v>
      </c>
      <c r="AK304" s="55">
        <v>3089147.6691820621</v>
      </c>
      <c r="AL304" s="166">
        <v>1623.4716177408695</v>
      </c>
      <c r="AM304" s="171">
        <f t="shared" si="92"/>
        <v>7.6809648437980993E-2</v>
      </c>
      <c r="AN304" s="170">
        <f t="shared" si="91"/>
        <v>7.6809648437980993E-2</v>
      </c>
      <c r="AP304" s="55">
        <v>6</v>
      </c>
      <c r="AQ304" s="55">
        <v>0</v>
      </c>
    </row>
    <row r="305" spans="2:43" ht="15" x14ac:dyDescent="0.25">
      <c r="B305"/>
      <c r="D305" s="1"/>
      <c r="G305" s="1"/>
      <c r="L305" s="1"/>
      <c r="O305" s="1"/>
      <c r="Q305" s="53"/>
      <c r="S305" s="1"/>
      <c r="U305" s="52"/>
      <c r="V305" s="1"/>
      <c r="X305" s="53"/>
      <c r="Y305" s="52"/>
      <c r="Z305" s="1"/>
      <c r="AB305" s="1"/>
      <c r="AC305" s="1"/>
      <c r="AD305" s="53"/>
      <c r="AE305" s="52"/>
      <c r="AF305" s="1"/>
      <c r="AG305" s="75"/>
      <c r="AK305" s="1"/>
      <c r="AL305" s="75"/>
      <c r="AP305" s="1"/>
      <c r="AQ305" s="1"/>
    </row>
    <row r="306" spans="2:43" ht="15" x14ac:dyDescent="0.25">
      <c r="B306" t="s">
        <v>12</v>
      </c>
      <c r="D306" s="172">
        <f>SUM(D293:D304)</f>
        <v>94829648</v>
      </c>
      <c r="E306" s="173">
        <v>1630.1113270385943</v>
      </c>
      <c r="G306" s="172">
        <f>SUM(G293:G304)</f>
        <v>94829716.878834337</v>
      </c>
      <c r="H306" s="173">
        <v>1618.4696648849847</v>
      </c>
      <c r="J306" s="167">
        <f>D306/G306-1</f>
        <v>-7.2634229653090188E-7</v>
      </c>
      <c r="K306" s="168">
        <f>E306/H306-1</f>
        <v>7.1930060885243563E-3</v>
      </c>
      <c r="L306" s="172">
        <f>SUM(L293:L304)</f>
        <v>97149858</v>
      </c>
      <c r="M306" s="167">
        <f>O306/$D306-1</f>
        <v>2.4677431975188346E-2</v>
      </c>
      <c r="N306" s="169">
        <f>N$222</f>
        <v>9.0547645222140982E-3</v>
      </c>
      <c r="O306" s="172">
        <f>SUM(O293:O304)</f>
        <v>97169800.187751055</v>
      </c>
      <c r="Q306" s="167">
        <f>S306/$D306-1</f>
        <v>2.5674011581985567E-2</v>
      </c>
      <c r="R306" s="170">
        <v>1.8348281204625394E-2</v>
      </c>
      <c r="S306" s="172">
        <f>SUM(S293:S304)</f>
        <v>97264305.481067613</v>
      </c>
      <c r="T306" s="167">
        <f>V306/$D306-1</f>
        <v>2.577345130406683E-2</v>
      </c>
      <c r="U306" s="170">
        <v>1.8447010692670629E-2</v>
      </c>
      <c r="V306" s="172">
        <f>SUM(V293:V304)</f>
        <v>97273735.314909801</v>
      </c>
      <c r="X306" s="167">
        <f>Z306/$D306-1</f>
        <v>2.5486443052915808E-2</v>
      </c>
      <c r="Y306" s="170">
        <v>1.8162052357029168E-2</v>
      </c>
      <c r="Z306" s="172">
        <f>SUM(Z293:Z304)</f>
        <v>97246518.423480049</v>
      </c>
      <c r="AB306" s="172">
        <f>SUM(AB293:AB304)</f>
        <v>94739854.546611264</v>
      </c>
      <c r="AC306" s="172">
        <f>SUM(AC293:AC304)</f>
        <v>97246518.423480049</v>
      </c>
      <c r="AD306" s="167">
        <f>AC306/$D306-1</f>
        <v>2.5486443052915808E-2</v>
      </c>
      <c r="AE306" s="170">
        <v>1.8162052357029168E-2</v>
      </c>
      <c r="AF306" s="172">
        <f>SUM(AF293:AF304)</f>
        <v>97246518.423480049</v>
      </c>
      <c r="AG306" s="166">
        <v>1659.7174943080554</v>
      </c>
      <c r="AH306" s="171">
        <f>AF306/D306 - 1</f>
        <v>2.5486443052915808E-2</v>
      </c>
      <c r="AI306" s="171">
        <f>AG306/E306 - 1</f>
        <v>1.8162052357029168E-2</v>
      </c>
      <c r="AK306" s="172">
        <f>SUM(AK293:AK304)</f>
        <v>97246569.278791651</v>
      </c>
      <c r="AL306" s="173">
        <v>1659.7183622614971</v>
      </c>
      <c r="AM306" s="171">
        <f t="shared" si="92"/>
        <v>-5.2295224373111182E-7</v>
      </c>
      <c r="AN306" s="170">
        <f t="shared" si="92"/>
        <v>-5.2295224384213412E-7</v>
      </c>
      <c r="AP306" s="172">
        <f>SUM(AP293:AP304)</f>
        <v>132</v>
      </c>
      <c r="AQ306" s="172">
        <f>SUM(AQ293:AQ304)</f>
        <v>0</v>
      </c>
    </row>
    <row r="307" spans="2:43" ht="15" x14ac:dyDescent="0.25">
      <c r="B307"/>
      <c r="D307" s="1"/>
      <c r="G307" s="1"/>
      <c r="L307" s="1"/>
      <c r="O307" s="1"/>
      <c r="Q307" s="53"/>
      <c r="S307" s="1"/>
      <c r="U307" s="52"/>
      <c r="V307" s="1"/>
      <c r="X307" s="53"/>
      <c r="Y307" s="52"/>
      <c r="Z307" s="1"/>
      <c r="AB307" s="1"/>
      <c r="AC307" s="1"/>
      <c r="AD307" s="53"/>
      <c r="AE307" s="52"/>
      <c r="AF307" s="1"/>
      <c r="AG307" s="75"/>
      <c r="AK307" s="1"/>
      <c r="AL307" s="75"/>
      <c r="AP307" s="1"/>
      <c r="AQ307" s="1"/>
    </row>
    <row r="308" spans="2:43" x14ac:dyDescent="0.2">
      <c r="B308" s="43" t="s">
        <v>576</v>
      </c>
      <c r="D308" s="1"/>
      <c r="G308" s="1"/>
      <c r="L308" s="1"/>
      <c r="O308" s="1"/>
      <c r="Q308" s="53"/>
      <c r="S308" s="1"/>
      <c r="U308" s="52"/>
      <c r="V308" s="1"/>
      <c r="X308" s="53"/>
      <c r="Y308" s="52"/>
      <c r="Z308" s="1"/>
      <c r="AB308" s="1"/>
      <c r="AC308" s="1"/>
      <c r="AD308" s="53"/>
      <c r="AE308" s="52"/>
      <c r="AF308" s="1"/>
      <c r="AG308" s="75"/>
      <c r="AK308" s="1"/>
      <c r="AL308" s="75"/>
      <c r="AP308" s="1"/>
      <c r="AQ308" s="1"/>
    </row>
    <row r="309" spans="2:43" ht="15" x14ac:dyDescent="0.25">
      <c r="B309"/>
      <c r="D309" s="1"/>
      <c r="G309" s="1"/>
      <c r="L309" s="1"/>
      <c r="O309" s="1"/>
      <c r="Q309" s="53"/>
      <c r="S309" s="1"/>
      <c r="U309" s="52"/>
      <c r="V309" s="1"/>
      <c r="X309" s="53"/>
      <c r="Y309" s="52"/>
      <c r="Z309" s="1"/>
      <c r="AB309" s="1"/>
      <c r="AC309" s="1"/>
      <c r="AD309" s="53"/>
      <c r="AE309" s="52"/>
      <c r="AF309" s="1"/>
      <c r="AG309" s="75"/>
      <c r="AK309" s="1"/>
      <c r="AL309" s="75"/>
      <c r="AP309" s="1"/>
      <c r="AQ309" s="1"/>
    </row>
    <row r="310" spans="2:43" ht="15" x14ac:dyDescent="0.25">
      <c r="B310" t="s">
        <v>577</v>
      </c>
      <c r="D310" s="55">
        <v>5951304</v>
      </c>
      <c r="E310" s="166">
        <v>1823.9953708105229</v>
      </c>
      <c r="G310" s="55">
        <v>5745005.945439158</v>
      </c>
      <c r="H310" s="166">
        <v>1756.1764787878958</v>
      </c>
      <c r="J310" s="167">
        <f t="shared" ref="J310:K322" si="93">D310/G310-1</f>
        <v>3.5909110716346282E-2</v>
      </c>
      <c r="K310" s="168">
        <f t="shared" si="93"/>
        <v>3.8617355853345359E-2</v>
      </c>
      <c r="L310" s="55">
        <v>6074370</v>
      </c>
      <c r="M310" s="167">
        <f t="shared" ref="M310:M322" si="94">O310/$D310-1</f>
        <v>2.1318989346716943E-2</v>
      </c>
      <c r="N310" s="169">
        <f t="shared" ref="N310:N322" si="95">N$222</f>
        <v>9.0547645222140982E-3</v>
      </c>
      <c r="O310" s="55">
        <v>6078179.7865750734</v>
      </c>
      <c r="Q310" s="167">
        <f t="shared" ref="Q310:Q322" si="96">S310/$D310-1</f>
        <v>2.1318989346716943E-2</v>
      </c>
      <c r="R310" s="170">
        <v>1.8655850539498919E-2</v>
      </c>
      <c r="S310" s="55">
        <v>6078179.7865750734</v>
      </c>
      <c r="T310" s="167">
        <f t="shared" ref="T310:T322" si="97">V310/$D310-1</f>
        <v>2.2119045845111707E-2</v>
      </c>
      <c r="U310" s="170">
        <v>1.9453820851764725E-2</v>
      </c>
      <c r="V310" s="55">
        <v>6082941.1660141964</v>
      </c>
      <c r="X310" s="167">
        <f t="shared" ref="X310:X322" si="98">Z310/$D310-1</f>
        <v>2.0850293377874252E-2</v>
      </c>
      <c r="Y310" s="170">
        <v>1.8188376718130783E-2</v>
      </c>
      <c r="Z310" s="55">
        <v>6075390.4343809169</v>
      </c>
      <c r="AB310" s="55">
        <v>5741492.1864639614</v>
      </c>
      <c r="AC310" s="55">
        <v>6075390.4343809169</v>
      </c>
      <c r="AD310" s="167">
        <f t="shared" ref="AD310:AD322" si="99">AC310/$D310-1</f>
        <v>2.0850293377874252E-2</v>
      </c>
      <c r="AE310" s="170">
        <v>1.8188376718130783E-2</v>
      </c>
      <c r="AF310" s="55">
        <v>6075390.4343809169</v>
      </c>
      <c r="AG310" s="166">
        <v>1857.1708857469512</v>
      </c>
      <c r="AH310" s="171">
        <f t="shared" ref="AH310:AI322" si="100">AF310/D310 - 1</f>
        <v>2.0850293377874252E-2</v>
      </c>
      <c r="AI310" s="171">
        <f t="shared" si="100"/>
        <v>1.8188376718130783E-2</v>
      </c>
      <c r="AK310" s="55">
        <v>5888709.9348348314</v>
      </c>
      <c r="AL310" s="166">
        <v>1800.104991391963</v>
      </c>
      <c r="AM310" s="171">
        <f t="shared" ref="AM310:AM322" si="101">AF310/AK310-1</f>
        <v>3.1701425543440687E-2</v>
      </c>
      <c r="AN310" s="170">
        <f t="shared" ref="AN310:AN322" si="102">AG310/AL310-1</f>
        <v>3.1701425543440687E-2</v>
      </c>
      <c r="AP310" s="1"/>
      <c r="AQ310" s="1"/>
    </row>
    <row r="311" spans="2:43" ht="15" x14ac:dyDescent="0.25">
      <c r="B311" t="s">
        <v>578</v>
      </c>
      <c r="D311" s="55">
        <v>8017574</v>
      </c>
      <c r="E311" s="166">
        <v>1773.681780679756</v>
      </c>
      <c r="G311" s="55">
        <v>8014829.3879705723</v>
      </c>
      <c r="H311" s="166">
        <v>1764.5840021890781</v>
      </c>
      <c r="J311" s="167">
        <f t="shared" si="93"/>
        <v>3.4244172852226917E-4</v>
      </c>
      <c r="K311" s="168">
        <f t="shared" si="93"/>
        <v>5.1557638964150332E-3</v>
      </c>
      <c r="L311" s="55">
        <v>8212222</v>
      </c>
      <c r="M311" s="167">
        <f t="shared" si="94"/>
        <v>2.4277668032749E-2</v>
      </c>
      <c r="N311" s="169">
        <f t="shared" si="95"/>
        <v>9.0547645222140982E-3</v>
      </c>
      <c r="O311" s="55">
        <v>8212222</v>
      </c>
      <c r="Q311" s="167">
        <f t="shared" si="96"/>
        <v>2.4546815601880656E-2</v>
      </c>
      <c r="R311" s="170">
        <v>1.9640636801826927E-2</v>
      </c>
      <c r="S311" s="55">
        <v>8214379.9105524318</v>
      </c>
      <c r="T311" s="167">
        <f t="shared" si="97"/>
        <v>2.4546815601880656E-2</v>
      </c>
      <c r="U311" s="170">
        <v>1.9640636801826927E-2</v>
      </c>
      <c r="V311" s="55">
        <v>8214379.9105524318</v>
      </c>
      <c r="X311" s="167">
        <f t="shared" si="98"/>
        <v>2.4546815601880656E-2</v>
      </c>
      <c r="Y311" s="170">
        <v>1.9640636801826927E-2</v>
      </c>
      <c r="Z311" s="55">
        <v>8214379.9105524318</v>
      </c>
      <c r="AB311" s="55">
        <v>8008901.4504336612</v>
      </c>
      <c r="AC311" s="55">
        <v>8214379.9105524318</v>
      </c>
      <c r="AD311" s="167">
        <f t="shared" si="99"/>
        <v>2.4546815601880656E-2</v>
      </c>
      <c r="AE311" s="170">
        <v>1.9640636801826927E-2</v>
      </c>
      <c r="AF311" s="55">
        <v>8214379.9105524318</v>
      </c>
      <c r="AG311" s="166">
        <v>1808.5180203361047</v>
      </c>
      <c r="AH311" s="171">
        <f t="shared" si="100"/>
        <v>2.4546815601880656E-2</v>
      </c>
      <c r="AI311" s="171">
        <f t="shared" si="100"/>
        <v>1.9640636801826927E-2</v>
      </c>
      <c r="AK311" s="55">
        <v>8219197.6446609441</v>
      </c>
      <c r="AL311" s="166">
        <v>1809.5787162190936</v>
      </c>
      <c r="AM311" s="171">
        <f t="shared" si="101"/>
        <v>-5.8615625475821886E-4</v>
      </c>
      <c r="AN311" s="170">
        <f t="shared" si="102"/>
        <v>-5.8615625475810784E-4</v>
      </c>
      <c r="AP311" s="1"/>
      <c r="AQ311" s="1"/>
    </row>
    <row r="312" spans="2:43" ht="15" x14ac:dyDescent="0.25">
      <c r="B312" t="s">
        <v>579</v>
      </c>
      <c r="D312" s="55">
        <v>4737376</v>
      </c>
      <c r="E312" s="166">
        <v>1832.1397520592975</v>
      </c>
      <c r="G312" s="55">
        <v>4641799.2906210534</v>
      </c>
      <c r="H312" s="166">
        <v>1790.0508092111979</v>
      </c>
      <c r="J312" s="167">
        <f t="shared" si="93"/>
        <v>2.0590444221072479E-2</v>
      </c>
      <c r="K312" s="168">
        <f t="shared" si="93"/>
        <v>2.3512708483758971E-2</v>
      </c>
      <c r="L312" s="55">
        <v>4841758</v>
      </c>
      <c r="M312" s="167">
        <f t="shared" si="94"/>
        <v>2.2033716555325045E-2</v>
      </c>
      <c r="N312" s="169">
        <f t="shared" si="95"/>
        <v>9.0547645222140982E-3</v>
      </c>
      <c r="O312" s="55">
        <v>4841758</v>
      </c>
      <c r="Q312" s="167">
        <f t="shared" si="96"/>
        <v>2.2152451484636959E-2</v>
      </c>
      <c r="R312" s="170">
        <v>1.9234070935737035E-2</v>
      </c>
      <c r="S312" s="55">
        <v>4842320.4920044839</v>
      </c>
      <c r="T312" s="167">
        <f t="shared" si="97"/>
        <v>2.2180921216715888E-2</v>
      </c>
      <c r="U312" s="170">
        <v>1.9262459382962227E-2</v>
      </c>
      <c r="V312" s="55">
        <v>4842455.363829961</v>
      </c>
      <c r="X312" s="167">
        <f t="shared" si="98"/>
        <v>2.2152451484636959E-2</v>
      </c>
      <c r="Y312" s="170">
        <v>1.9234070935737035E-2</v>
      </c>
      <c r="Z312" s="55">
        <v>4842320.4920044839</v>
      </c>
      <c r="AB312" s="55">
        <v>4639185.1481522191</v>
      </c>
      <c r="AC312" s="55">
        <v>4842320.4920044839</v>
      </c>
      <c r="AD312" s="167">
        <f t="shared" si="99"/>
        <v>2.2152451484636959E-2</v>
      </c>
      <c r="AE312" s="170">
        <v>1.9234070935737035E-2</v>
      </c>
      <c r="AF312" s="55">
        <v>4842320.4920044839</v>
      </c>
      <c r="AG312" s="166">
        <v>1867.3792580145898</v>
      </c>
      <c r="AH312" s="171">
        <f t="shared" si="100"/>
        <v>2.2152451484636959E-2</v>
      </c>
      <c r="AI312" s="171">
        <f t="shared" si="100"/>
        <v>1.9234070935737035E-2</v>
      </c>
      <c r="AK312" s="55">
        <v>4758138.6134894546</v>
      </c>
      <c r="AL312" s="166">
        <v>1834.9155881482036</v>
      </c>
      <c r="AM312" s="171">
        <f t="shared" si="101"/>
        <v>1.7692187082648525E-2</v>
      </c>
      <c r="AN312" s="170">
        <f t="shared" si="102"/>
        <v>1.7692187082648525E-2</v>
      </c>
      <c r="AP312" s="1"/>
      <c r="AQ312" s="1"/>
    </row>
    <row r="313" spans="2:43" ht="15" x14ac:dyDescent="0.25">
      <c r="B313" t="s">
        <v>580</v>
      </c>
      <c r="D313" s="55">
        <v>9574312</v>
      </c>
      <c r="E313" s="166">
        <v>1655.2173808806428</v>
      </c>
      <c r="G313" s="55">
        <v>9300087.7832927201</v>
      </c>
      <c r="H313" s="166">
        <v>1599.8303459774002</v>
      </c>
      <c r="J313" s="167">
        <f t="shared" si="93"/>
        <v>2.9486196592672487E-2</v>
      </c>
      <c r="K313" s="168">
        <f t="shared" si="93"/>
        <v>3.4620567763642862E-2</v>
      </c>
      <c r="L313" s="55">
        <v>9788550</v>
      </c>
      <c r="M313" s="167">
        <f t="shared" si="94"/>
        <v>2.2390623758812955E-2</v>
      </c>
      <c r="N313" s="169">
        <f t="shared" si="95"/>
        <v>9.0547645222140982E-3</v>
      </c>
      <c r="O313" s="55">
        <v>9788686.8177414872</v>
      </c>
      <c r="Q313" s="167">
        <f t="shared" si="96"/>
        <v>2.2477105370432238E-2</v>
      </c>
      <c r="R313" s="170">
        <v>1.7402996913320479E-2</v>
      </c>
      <c r="S313" s="55">
        <v>9789514.8196733929</v>
      </c>
      <c r="T313" s="167">
        <f t="shared" si="97"/>
        <v>2.2556107753201493E-2</v>
      </c>
      <c r="U313" s="170">
        <v>1.7481607241679464E-2</v>
      </c>
      <c r="V313" s="55">
        <v>9790271.2131347694</v>
      </c>
      <c r="X313" s="167">
        <f t="shared" si="98"/>
        <v>2.2520853935985796E-2</v>
      </c>
      <c r="Y313" s="170">
        <v>1.7446528373801007E-2</v>
      </c>
      <c r="Z313" s="55">
        <v>9789933.682089556</v>
      </c>
      <c r="AB313" s="55">
        <v>9293680.3388427477</v>
      </c>
      <c r="AC313" s="55">
        <v>9789933.682089556</v>
      </c>
      <c r="AD313" s="167">
        <f t="shared" si="99"/>
        <v>2.2520853935985796E-2</v>
      </c>
      <c r="AE313" s="170">
        <v>1.7446528373801007E-2</v>
      </c>
      <c r="AF313" s="55">
        <v>9789933.682089556</v>
      </c>
      <c r="AG313" s="166">
        <v>1684.0951778809858</v>
      </c>
      <c r="AH313" s="171">
        <f t="shared" si="100"/>
        <v>2.2520853935985796E-2</v>
      </c>
      <c r="AI313" s="171">
        <f t="shared" si="100"/>
        <v>1.7446528373801229E-2</v>
      </c>
      <c r="AK313" s="55">
        <v>9533985.9883725625</v>
      </c>
      <c r="AL313" s="166">
        <v>1640.0662507425798</v>
      </c>
      <c r="AM313" s="171">
        <f t="shared" si="101"/>
        <v>2.6845822306550637E-2</v>
      </c>
      <c r="AN313" s="170">
        <f t="shared" si="102"/>
        <v>2.6845822306550637E-2</v>
      </c>
      <c r="AP313" s="1"/>
      <c r="AQ313" s="1"/>
    </row>
    <row r="314" spans="2:43" ht="15" x14ac:dyDescent="0.25">
      <c r="B314" t="s">
        <v>581</v>
      </c>
      <c r="D314" s="55">
        <v>7277032</v>
      </c>
      <c r="E314" s="166">
        <v>1631.8965268412901</v>
      </c>
      <c r="G314" s="55">
        <v>7344207.229079783</v>
      </c>
      <c r="H314" s="166">
        <v>1636.5647338371184</v>
      </c>
      <c r="J314" s="167">
        <f t="shared" si="93"/>
        <v>-9.1466957541447291E-3</v>
      </c>
      <c r="K314" s="168">
        <f t="shared" si="93"/>
        <v>-2.8524426191703922E-3</v>
      </c>
      <c r="L314" s="55">
        <v>7455914</v>
      </c>
      <c r="M314" s="167">
        <f t="shared" si="94"/>
        <v>2.4581725076926908E-2</v>
      </c>
      <c r="N314" s="169">
        <f t="shared" si="95"/>
        <v>9.0547645222140982E-3</v>
      </c>
      <c r="O314" s="55">
        <v>7455914</v>
      </c>
      <c r="Q314" s="167">
        <f t="shared" si="96"/>
        <v>2.4918459843644714E-2</v>
      </c>
      <c r="R314" s="170">
        <v>1.8448909593821394E-2</v>
      </c>
      <c r="S314" s="55">
        <v>7458364.4296729174</v>
      </c>
      <c r="T314" s="167">
        <f t="shared" si="97"/>
        <v>2.4918459843644714E-2</v>
      </c>
      <c r="U314" s="170">
        <v>1.8448909593821394E-2</v>
      </c>
      <c r="V314" s="55">
        <v>7458364.4296729174</v>
      </c>
      <c r="X314" s="167">
        <f t="shared" si="98"/>
        <v>2.4918459843644714E-2</v>
      </c>
      <c r="Y314" s="170">
        <v>1.8448909593821394E-2</v>
      </c>
      <c r="Z314" s="55">
        <v>7458364.4296729174</v>
      </c>
      <c r="AB314" s="55">
        <v>7343943.8285227148</v>
      </c>
      <c r="AC314" s="55">
        <v>7458364.4296729174</v>
      </c>
      <c r="AD314" s="167">
        <f t="shared" si="99"/>
        <v>2.4918459843644714E-2</v>
      </c>
      <c r="AE314" s="170">
        <v>1.8448909593821394E-2</v>
      </c>
      <c r="AF314" s="55">
        <v>7458364.4296729174</v>
      </c>
      <c r="AG314" s="166">
        <v>1662.0032383314563</v>
      </c>
      <c r="AH314" s="171">
        <f t="shared" si="100"/>
        <v>2.4918459843644714E-2</v>
      </c>
      <c r="AI314" s="171">
        <f t="shared" si="100"/>
        <v>1.8448909593821394E-2</v>
      </c>
      <c r="AK314" s="55">
        <v>7532250.0805361187</v>
      </c>
      <c r="AL314" s="166">
        <v>1678.4677316072632</v>
      </c>
      <c r="AM314" s="171">
        <f t="shared" si="101"/>
        <v>-9.8092402765711517E-3</v>
      </c>
      <c r="AN314" s="170">
        <f t="shared" si="102"/>
        <v>-9.8092402765711517E-3</v>
      </c>
      <c r="AP314" s="1"/>
      <c r="AQ314" s="1"/>
    </row>
    <row r="315" spans="2:43" ht="15" x14ac:dyDescent="0.25">
      <c r="B315" t="s">
        <v>582</v>
      </c>
      <c r="D315" s="55">
        <v>6062308</v>
      </c>
      <c r="E315" s="166">
        <v>1624.0122332906146</v>
      </c>
      <c r="G315" s="55">
        <v>6068402.0411501601</v>
      </c>
      <c r="H315" s="166">
        <v>1617.8767946778726</v>
      </c>
      <c r="J315" s="167">
        <f t="shared" si="93"/>
        <v>-1.0042250181903078E-3</v>
      </c>
      <c r="K315" s="168">
        <f t="shared" si="93"/>
        <v>3.7922780232246822E-3</v>
      </c>
      <c r="L315" s="55">
        <v>6200387</v>
      </c>
      <c r="M315" s="167">
        <f t="shared" si="94"/>
        <v>2.2776638864274057E-2</v>
      </c>
      <c r="N315" s="169">
        <f t="shared" si="95"/>
        <v>9.0547645222140982E-3</v>
      </c>
      <c r="O315" s="55">
        <v>6200387</v>
      </c>
      <c r="Q315" s="167">
        <f t="shared" si="96"/>
        <v>2.3177990532835313E-2</v>
      </c>
      <c r="R315" s="170">
        <v>1.8288855150000671E-2</v>
      </c>
      <c r="S315" s="55">
        <v>6202820.1174311312</v>
      </c>
      <c r="T315" s="167">
        <f t="shared" si="97"/>
        <v>2.3311780119636527E-2</v>
      </c>
      <c r="U315" s="170">
        <v>1.8422005439036715E-2</v>
      </c>
      <c r="V315" s="55">
        <v>6203631.191113513</v>
      </c>
      <c r="X315" s="167">
        <f t="shared" si="98"/>
        <v>2.3177990532835313E-2</v>
      </c>
      <c r="Y315" s="170">
        <v>1.8288855150000671E-2</v>
      </c>
      <c r="Z315" s="55">
        <v>6202820.1174311312</v>
      </c>
      <c r="AB315" s="55">
        <v>6064620.0348817417</v>
      </c>
      <c r="AC315" s="55">
        <v>6202820.1174311312</v>
      </c>
      <c r="AD315" s="167">
        <f t="shared" si="99"/>
        <v>2.3177990532835313E-2</v>
      </c>
      <c r="AE315" s="170">
        <v>1.8288855150000671E-2</v>
      </c>
      <c r="AF315" s="55">
        <v>6202820.1174311312</v>
      </c>
      <c r="AG315" s="166">
        <v>1653.7135577870956</v>
      </c>
      <c r="AH315" s="171">
        <f t="shared" si="100"/>
        <v>2.3177990532835313E-2</v>
      </c>
      <c r="AI315" s="171">
        <f t="shared" si="100"/>
        <v>1.8288855150000671E-2</v>
      </c>
      <c r="AK315" s="55">
        <v>6221789.3216157109</v>
      </c>
      <c r="AL315" s="166">
        <v>1658.7708751921768</v>
      </c>
      <c r="AM315" s="171">
        <f t="shared" si="101"/>
        <v>-3.0488342185867046E-3</v>
      </c>
      <c r="AN315" s="170">
        <f t="shared" si="102"/>
        <v>-3.0488342185869266E-3</v>
      </c>
      <c r="AP315" s="1"/>
      <c r="AQ315" s="1"/>
    </row>
    <row r="316" spans="2:43" ht="15" x14ac:dyDescent="0.25">
      <c r="B316" t="s">
        <v>583</v>
      </c>
      <c r="D316" s="55">
        <v>7392474</v>
      </c>
      <c r="E316" s="166">
        <v>1516.2316803887359</v>
      </c>
      <c r="G316" s="55">
        <v>7602598.0775680924</v>
      </c>
      <c r="H316" s="166">
        <v>1545.6379627176418</v>
      </c>
      <c r="J316" s="167">
        <f t="shared" si="93"/>
        <v>-2.7638456672867573E-2</v>
      </c>
      <c r="K316" s="168">
        <f t="shared" si="93"/>
        <v>-1.9025336487725641E-2</v>
      </c>
      <c r="L316" s="55">
        <v>7581000</v>
      </c>
      <c r="M316" s="167">
        <f t="shared" si="94"/>
        <v>2.550242314007467E-2</v>
      </c>
      <c r="N316" s="169">
        <f t="shared" si="95"/>
        <v>9.0547645222140982E-3</v>
      </c>
      <c r="O316" s="55">
        <v>7581000</v>
      </c>
      <c r="Q316" s="167">
        <f t="shared" si="96"/>
        <v>2.9194171989801454E-2</v>
      </c>
      <c r="R316" s="170">
        <v>2.015767652573186E-2</v>
      </c>
      <c r="S316" s="55">
        <v>7608291.1573861362</v>
      </c>
      <c r="T316" s="167">
        <f t="shared" si="97"/>
        <v>2.9194171989801454E-2</v>
      </c>
      <c r="U316" s="170">
        <v>2.015767652573186E-2</v>
      </c>
      <c r="V316" s="55">
        <v>7608291.1573861362</v>
      </c>
      <c r="X316" s="167">
        <f t="shared" si="98"/>
        <v>2.9194171989801454E-2</v>
      </c>
      <c r="Y316" s="170">
        <v>2.015767652573186E-2</v>
      </c>
      <c r="Z316" s="55">
        <v>7608291.1573861362</v>
      </c>
      <c r="AB316" s="55">
        <v>7564498.5068511618</v>
      </c>
      <c r="AC316" s="55">
        <v>7608291.1573861362</v>
      </c>
      <c r="AD316" s="167">
        <f t="shared" si="99"/>
        <v>2.9194171989801454E-2</v>
      </c>
      <c r="AE316" s="170">
        <v>2.015767652573186E-2</v>
      </c>
      <c r="AF316" s="55">
        <v>7608291.1573861362</v>
      </c>
      <c r="AG316" s="166">
        <v>1546.795388140079</v>
      </c>
      <c r="AH316" s="171">
        <f t="shared" si="100"/>
        <v>2.9194171989801454E-2</v>
      </c>
      <c r="AI316" s="171">
        <f t="shared" si="100"/>
        <v>2.015767652573186E-2</v>
      </c>
      <c r="AK316" s="55">
        <v>7795926.3511372628</v>
      </c>
      <c r="AL316" s="166">
        <v>1584.9423578528842</v>
      </c>
      <c r="AM316" s="171">
        <f t="shared" si="101"/>
        <v>-2.406836407885693E-2</v>
      </c>
      <c r="AN316" s="170">
        <f t="shared" si="102"/>
        <v>-2.406836407885693E-2</v>
      </c>
      <c r="AP316" s="1"/>
      <c r="AQ316" s="1"/>
    </row>
    <row r="317" spans="2:43" ht="15" x14ac:dyDescent="0.25">
      <c r="B317" t="s">
        <v>584</v>
      </c>
      <c r="D317" s="55">
        <v>6971446</v>
      </c>
      <c r="E317" s="166">
        <v>1548.5973294424016</v>
      </c>
      <c r="G317" s="55">
        <v>7135010.6902384683</v>
      </c>
      <c r="H317" s="166">
        <v>1572.9131067476965</v>
      </c>
      <c r="J317" s="167">
        <f t="shared" si="93"/>
        <v>-2.2924238987089951E-2</v>
      </c>
      <c r="K317" s="168">
        <f t="shared" si="93"/>
        <v>-1.545907221510312E-2</v>
      </c>
      <c r="L317" s="55">
        <v>7136975</v>
      </c>
      <c r="M317" s="167">
        <f t="shared" si="94"/>
        <v>2.3743854574789891E-2</v>
      </c>
      <c r="N317" s="169">
        <f t="shared" si="95"/>
        <v>9.0547645222140982E-3</v>
      </c>
      <c r="O317" s="55">
        <v>7136975</v>
      </c>
      <c r="Q317" s="167">
        <f t="shared" si="96"/>
        <v>2.70089885483904E-2</v>
      </c>
      <c r="R317" s="170">
        <v>1.9221812658107629E-2</v>
      </c>
      <c r="S317" s="55">
        <v>7159737.705179722</v>
      </c>
      <c r="T317" s="167">
        <f t="shared" si="97"/>
        <v>2.70089885483904E-2</v>
      </c>
      <c r="U317" s="170">
        <v>1.9221812658107629E-2</v>
      </c>
      <c r="V317" s="55">
        <v>7159737.705179722</v>
      </c>
      <c r="X317" s="167">
        <f t="shared" si="98"/>
        <v>2.70089885483904E-2</v>
      </c>
      <c r="Y317" s="170">
        <v>1.9221812658107629E-2</v>
      </c>
      <c r="Z317" s="55">
        <v>7159737.705179722</v>
      </c>
      <c r="AB317" s="55">
        <v>7125679.2930624662</v>
      </c>
      <c r="AC317" s="55">
        <v>7159737.705179722</v>
      </c>
      <c r="AD317" s="167">
        <f t="shared" si="99"/>
        <v>2.70089885483904E-2</v>
      </c>
      <c r="AE317" s="170">
        <v>1.9221812658107629E-2</v>
      </c>
      <c r="AF317" s="55">
        <v>7159737.705179722</v>
      </c>
      <c r="AG317" s="166">
        <v>1578.3641771917892</v>
      </c>
      <c r="AH317" s="171">
        <f t="shared" si="100"/>
        <v>2.70089885483904E-2</v>
      </c>
      <c r="AI317" s="171">
        <f t="shared" si="100"/>
        <v>1.9221812658107629E-2</v>
      </c>
      <c r="AK317" s="55">
        <v>7316124.1693848986</v>
      </c>
      <c r="AL317" s="166">
        <v>1612.8395732276751</v>
      </c>
      <c r="AM317" s="171">
        <f t="shared" si="101"/>
        <v>-2.1375589121298999E-2</v>
      </c>
      <c r="AN317" s="170">
        <f t="shared" si="102"/>
        <v>-2.1375589121298999E-2</v>
      </c>
      <c r="AP317" s="1"/>
      <c r="AQ317" s="1"/>
    </row>
    <row r="318" spans="2:43" ht="15" x14ac:dyDescent="0.25">
      <c r="B318" t="s">
        <v>516</v>
      </c>
      <c r="D318" s="55">
        <v>15573028</v>
      </c>
      <c r="E318" s="166">
        <v>1619.2684499530469</v>
      </c>
      <c r="G318" s="55">
        <v>15543144.798347939</v>
      </c>
      <c r="H318" s="166">
        <v>1596.2377737159866</v>
      </c>
      <c r="J318" s="167">
        <f t="shared" si="93"/>
        <v>1.9225968772571544E-3</v>
      </c>
      <c r="K318" s="168">
        <f t="shared" si="93"/>
        <v>1.442809875589246E-2</v>
      </c>
      <c r="L318" s="55">
        <v>16022436</v>
      </c>
      <c r="M318" s="167">
        <f t="shared" si="94"/>
        <v>2.9739144301034859E-2</v>
      </c>
      <c r="N318" s="169">
        <f t="shared" si="95"/>
        <v>9.0547645222140982E-3</v>
      </c>
      <c r="O318" s="55">
        <v>16036156.526896056</v>
      </c>
      <c r="Q318" s="167">
        <f t="shared" si="96"/>
        <v>3.0605044886376609E-2</v>
      </c>
      <c r="R318" s="170">
        <v>1.7900119479870469E-2</v>
      </c>
      <c r="S318" s="55">
        <v>16049641.220956799</v>
      </c>
      <c r="T318" s="167">
        <f t="shared" si="97"/>
        <v>3.0737484876588006E-2</v>
      </c>
      <c r="U318" s="170">
        <v>1.8030926797891089E-2</v>
      </c>
      <c r="V318" s="55">
        <v>16051703.71263268</v>
      </c>
      <c r="X318" s="167">
        <f t="shared" si="98"/>
        <v>2.9761181299210904E-2</v>
      </c>
      <c r="Y318" s="170">
        <v>1.7066658737112883E-2</v>
      </c>
      <c r="Z318" s="55">
        <v>16036499.709685687</v>
      </c>
      <c r="AB318" s="55">
        <v>15541694.07839133</v>
      </c>
      <c r="AC318" s="55">
        <v>16036499.709685687</v>
      </c>
      <c r="AD318" s="167">
        <f t="shared" si="99"/>
        <v>2.9761181299210904E-2</v>
      </c>
      <c r="AE318" s="170">
        <v>1.7066658737112883E-2</v>
      </c>
      <c r="AF318" s="55">
        <v>16036499.709685687</v>
      </c>
      <c r="AG318" s="166">
        <v>1646.9039519921689</v>
      </c>
      <c r="AH318" s="171">
        <f t="shared" si="100"/>
        <v>2.9761181299210904E-2</v>
      </c>
      <c r="AI318" s="171">
        <f t="shared" si="100"/>
        <v>1.7066658737112661E-2</v>
      </c>
      <c r="AK318" s="55">
        <v>15951933.864206351</v>
      </c>
      <c r="AL318" s="166">
        <v>1638.2192746844796</v>
      </c>
      <c r="AM318" s="171">
        <f t="shared" si="101"/>
        <v>5.3012911286629549E-3</v>
      </c>
      <c r="AN318" s="170">
        <f t="shared" si="102"/>
        <v>5.3012911286627329E-3</v>
      </c>
      <c r="AP318" s="1"/>
      <c r="AQ318" s="1"/>
    </row>
    <row r="319" spans="2:43" ht="15" x14ac:dyDescent="0.25">
      <c r="B319" t="s">
        <v>585</v>
      </c>
      <c r="D319" s="55">
        <v>7666152</v>
      </c>
      <c r="E319" s="166">
        <v>1599.2346092945963</v>
      </c>
      <c r="G319" s="55">
        <v>7754728.3435358834</v>
      </c>
      <c r="H319" s="166">
        <v>1604.5530632751966</v>
      </c>
      <c r="J319" s="167">
        <f t="shared" si="93"/>
        <v>-1.1422236809844888E-2</v>
      </c>
      <c r="K319" s="168">
        <f t="shared" si="93"/>
        <v>-3.3146014939164914E-3</v>
      </c>
      <c r="L319" s="55">
        <v>7858731</v>
      </c>
      <c r="M319" s="167">
        <f t="shared" si="94"/>
        <v>2.5120686362597455E-2</v>
      </c>
      <c r="N319" s="169">
        <f t="shared" si="95"/>
        <v>9.0547645222140982E-3</v>
      </c>
      <c r="O319" s="55">
        <v>7858731</v>
      </c>
      <c r="Q319" s="167">
        <f t="shared" si="96"/>
        <v>2.6673685632304212E-2</v>
      </c>
      <c r="R319" s="170">
        <v>1.8322107647873676E-2</v>
      </c>
      <c r="S319" s="55">
        <v>7870636.5284574609</v>
      </c>
      <c r="T319" s="167">
        <f t="shared" si="97"/>
        <v>2.6673685632304212E-2</v>
      </c>
      <c r="U319" s="170">
        <v>1.8322107647873676E-2</v>
      </c>
      <c r="V319" s="55">
        <v>7870636.5284574609</v>
      </c>
      <c r="X319" s="167">
        <f t="shared" si="98"/>
        <v>2.6673685632304212E-2</v>
      </c>
      <c r="Y319" s="170">
        <v>1.8322107647873676E-2</v>
      </c>
      <c r="Z319" s="55">
        <v>7870636.5284574609</v>
      </c>
      <c r="AB319" s="55">
        <v>7751091.5165091371</v>
      </c>
      <c r="AC319" s="55">
        <v>7870636.5284574609</v>
      </c>
      <c r="AD319" s="167">
        <f t="shared" si="99"/>
        <v>2.6673685632304212E-2</v>
      </c>
      <c r="AE319" s="170">
        <v>1.8322107647873676E-2</v>
      </c>
      <c r="AF319" s="55">
        <v>7870636.5284574609</v>
      </c>
      <c r="AG319" s="166">
        <v>1628.5359579602973</v>
      </c>
      <c r="AH319" s="171">
        <f t="shared" si="100"/>
        <v>2.6673685632304212E-2</v>
      </c>
      <c r="AI319" s="171">
        <f t="shared" si="100"/>
        <v>1.8322107647873898E-2</v>
      </c>
      <c r="AK319" s="55">
        <v>7952492.7917270698</v>
      </c>
      <c r="AL319" s="166">
        <v>1645.4730719582358</v>
      </c>
      <c r="AM319" s="171">
        <f t="shared" si="101"/>
        <v>-1.0293157807670483E-2</v>
      </c>
      <c r="AN319" s="170">
        <f t="shared" si="102"/>
        <v>-1.0293157807670483E-2</v>
      </c>
      <c r="AP319" s="1"/>
      <c r="AQ319" s="1"/>
    </row>
    <row r="320" spans="2:43" ht="15" x14ac:dyDescent="0.25">
      <c r="B320" t="s">
        <v>586</v>
      </c>
      <c r="D320" s="55">
        <v>5611378</v>
      </c>
      <c r="E320" s="166">
        <v>1460.857334341488</v>
      </c>
      <c r="G320" s="55">
        <v>5695505.498183962</v>
      </c>
      <c r="H320" s="166">
        <v>1472.1617828392812</v>
      </c>
      <c r="J320" s="167">
        <f t="shared" si="93"/>
        <v>-1.4770857162860529E-2</v>
      </c>
      <c r="K320" s="168">
        <f t="shared" si="93"/>
        <v>-7.6788085586564359E-3</v>
      </c>
      <c r="L320" s="55">
        <v>5749390</v>
      </c>
      <c r="M320" s="167">
        <f t="shared" si="94"/>
        <v>2.4595028173115319E-2</v>
      </c>
      <c r="N320" s="169">
        <f t="shared" si="95"/>
        <v>9.0547645222140982E-3</v>
      </c>
      <c r="O320" s="55">
        <v>5749390</v>
      </c>
      <c r="Q320" s="167">
        <f t="shared" si="96"/>
        <v>2.5728754912732077E-2</v>
      </c>
      <c r="R320" s="170">
        <v>1.8397944841040959E-2</v>
      </c>
      <c r="S320" s="55">
        <v>5755751.7692846972</v>
      </c>
      <c r="T320" s="167">
        <f t="shared" si="97"/>
        <v>2.5728754912732077E-2</v>
      </c>
      <c r="U320" s="170">
        <v>1.8397944841040959E-2</v>
      </c>
      <c r="V320" s="55">
        <v>5755751.7692846972</v>
      </c>
      <c r="X320" s="167">
        <f t="shared" si="98"/>
        <v>2.5728754912732077E-2</v>
      </c>
      <c r="Y320" s="170">
        <v>1.8397944841040959E-2</v>
      </c>
      <c r="Z320" s="55">
        <v>5755751.7692846972</v>
      </c>
      <c r="AB320" s="55">
        <v>5689393.4999534385</v>
      </c>
      <c r="AC320" s="55">
        <v>5755751.7692846972</v>
      </c>
      <c r="AD320" s="167">
        <f t="shared" si="99"/>
        <v>2.5728754912732077E-2</v>
      </c>
      <c r="AE320" s="170">
        <v>1.8397944841040959E-2</v>
      </c>
      <c r="AF320" s="55">
        <v>5755751.7692846972</v>
      </c>
      <c r="AG320" s="166">
        <v>1487.7341069993329</v>
      </c>
      <c r="AH320" s="171">
        <f t="shared" si="100"/>
        <v>2.5728754912732077E-2</v>
      </c>
      <c r="AI320" s="171">
        <f t="shared" si="100"/>
        <v>1.8397944841040959E-2</v>
      </c>
      <c r="AK320" s="55">
        <v>5839906.3637914602</v>
      </c>
      <c r="AL320" s="166">
        <v>1509.486202212426</v>
      </c>
      <c r="AM320" s="171">
        <f t="shared" si="101"/>
        <v>-1.4410264354328906E-2</v>
      </c>
      <c r="AN320" s="170">
        <f t="shared" si="102"/>
        <v>-1.4410264354328906E-2</v>
      </c>
      <c r="AP320" s="1"/>
      <c r="AQ320" s="1"/>
    </row>
    <row r="321" spans="2:43" ht="15" x14ac:dyDescent="0.25">
      <c r="B321" t="s">
        <v>537</v>
      </c>
      <c r="D321" s="55">
        <v>4560180</v>
      </c>
      <c r="E321" s="166">
        <v>1587.0281682363425</v>
      </c>
      <c r="G321" s="55">
        <v>4577669.2257352509</v>
      </c>
      <c r="H321" s="166">
        <v>1583.3351139607184</v>
      </c>
      <c r="J321" s="167">
        <f t="shared" si="93"/>
        <v>-3.8205525285505137E-3</v>
      </c>
      <c r="K321" s="168">
        <f t="shared" si="93"/>
        <v>2.3324527088810498E-3</v>
      </c>
      <c r="L321" s="55">
        <v>4664849</v>
      </c>
      <c r="M321" s="167">
        <f t="shared" si="94"/>
        <v>2.3451718252007758E-2</v>
      </c>
      <c r="N321" s="169">
        <f t="shared" si="95"/>
        <v>9.0547645222140982E-3</v>
      </c>
      <c r="O321" s="55">
        <v>4667124.0565384403</v>
      </c>
      <c r="Q321" s="167">
        <f t="shared" si="96"/>
        <v>2.4173000668777034E-2</v>
      </c>
      <c r="R321" s="170">
        <v>1.7885923142632931E-2</v>
      </c>
      <c r="S321" s="55">
        <v>4670413.2341897432</v>
      </c>
      <c r="T321" s="167">
        <f t="shared" si="97"/>
        <v>2.4371155951674384E-2</v>
      </c>
      <c r="U321" s="170">
        <v>1.8082862012263279E-2</v>
      </c>
      <c r="V321" s="55">
        <v>4671316.8579477062</v>
      </c>
      <c r="X321" s="167">
        <f t="shared" si="98"/>
        <v>2.3674104454495914E-2</v>
      </c>
      <c r="Y321" s="170">
        <v>1.739008949607701E-2</v>
      </c>
      <c r="Z321" s="55">
        <v>4668138.1776513029</v>
      </c>
      <c r="AB321" s="55">
        <v>4570482.618592917</v>
      </c>
      <c r="AC321" s="55">
        <v>4668138.1776513029</v>
      </c>
      <c r="AD321" s="167">
        <f t="shared" si="99"/>
        <v>2.3674104454495914E-2</v>
      </c>
      <c r="AE321" s="170">
        <v>1.739008949607701E-2</v>
      </c>
      <c r="AF321" s="55">
        <v>4668138.1776513029</v>
      </c>
      <c r="AG321" s="166">
        <v>1614.6267301147675</v>
      </c>
      <c r="AH321" s="171">
        <f t="shared" si="100"/>
        <v>2.3674104454495914E-2</v>
      </c>
      <c r="AI321" s="171">
        <f t="shared" si="100"/>
        <v>1.739008949607701E-2</v>
      </c>
      <c r="AK321" s="55">
        <v>4692327.4412362501</v>
      </c>
      <c r="AL321" s="166">
        <v>1622.9933701069233</v>
      </c>
      <c r="AM321" s="171">
        <f t="shared" si="101"/>
        <v>-5.1550672641409445E-3</v>
      </c>
      <c r="AN321" s="170">
        <f t="shared" si="102"/>
        <v>-5.1550672641408335E-3</v>
      </c>
      <c r="AP321" s="1"/>
      <c r="AQ321" s="1"/>
    </row>
    <row r="322" spans="2:43" ht="15" x14ac:dyDescent="0.25">
      <c r="B322" t="s">
        <v>587</v>
      </c>
      <c r="D322" s="55">
        <v>5435084</v>
      </c>
      <c r="E322" s="166">
        <v>1634.3264987956568</v>
      </c>
      <c r="G322" s="55">
        <v>5406728.5676713092</v>
      </c>
      <c r="H322" s="166">
        <v>1614.4540288458102</v>
      </c>
      <c r="J322" s="167">
        <f t="shared" si="93"/>
        <v>5.2444712128212334E-3</v>
      </c>
      <c r="K322" s="168">
        <f t="shared" si="93"/>
        <v>1.2309096198950709E-2</v>
      </c>
      <c r="L322" s="55">
        <v>5563276</v>
      </c>
      <c r="M322" s="167">
        <f t="shared" si="94"/>
        <v>2.3586020013674158E-2</v>
      </c>
      <c r="N322" s="169">
        <f t="shared" si="95"/>
        <v>9.0547645222140982E-3</v>
      </c>
      <c r="O322" s="55">
        <v>5563276</v>
      </c>
      <c r="Q322" s="167">
        <f t="shared" si="96"/>
        <v>2.376601901711406E-2</v>
      </c>
      <c r="S322" s="55">
        <v>5564254.3097036118</v>
      </c>
      <c r="T322" s="167">
        <f t="shared" si="97"/>
        <v>2.376601901711406E-2</v>
      </c>
      <c r="U322" s="52"/>
      <c r="V322" s="55">
        <v>5564254.3097036118</v>
      </c>
      <c r="X322" s="167">
        <f t="shared" si="98"/>
        <v>2.376601901711406E-2</v>
      </c>
      <c r="Y322" s="52"/>
      <c r="Z322" s="55">
        <v>5564254.3097036118</v>
      </c>
      <c r="AB322" s="55">
        <v>5405192.0459537618</v>
      </c>
      <c r="AC322" s="55">
        <v>5564254.3097036118</v>
      </c>
      <c r="AD322" s="167">
        <f t="shared" si="99"/>
        <v>2.376601901711406E-2</v>
      </c>
      <c r="AE322" s="170">
        <v>1.6621439337789257E-2</v>
      </c>
      <c r="AF322" s="55">
        <v>5564254.3097036118</v>
      </c>
      <c r="AG322" s="166">
        <v>1661.4913575535302</v>
      </c>
      <c r="AH322" s="171">
        <f t="shared" si="100"/>
        <v>2.376601901711406E-2</v>
      </c>
      <c r="AI322" s="171">
        <f t="shared" si="100"/>
        <v>1.6621439337789257E-2</v>
      </c>
      <c r="AK322" s="55">
        <v>5543786.7137987316</v>
      </c>
      <c r="AL322" s="166">
        <v>1655.3797149482398</v>
      </c>
      <c r="AM322" s="171">
        <f t="shared" si="101"/>
        <v>3.6919883396551167E-3</v>
      </c>
      <c r="AN322" s="170">
        <f t="shared" si="102"/>
        <v>3.6919883396551167E-3</v>
      </c>
      <c r="AP322" s="1"/>
      <c r="AQ322" s="1"/>
    </row>
    <row r="323" spans="2:43" ht="15" x14ac:dyDescent="0.25">
      <c r="B323"/>
      <c r="D323" s="1"/>
      <c r="E323" s="173"/>
      <c r="G323" s="1"/>
      <c r="H323" s="173"/>
      <c r="L323" s="1"/>
      <c r="O323" s="1"/>
      <c r="Q323" s="53"/>
      <c r="S323" s="1"/>
      <c r="U323" s="52"/>
      <c r="V323" s="1"/>
      <c r="X323" s="53"/>
      <c r="Y323" s="52"/>
      <c r="Z323" s="1"/>
      <c r="AB323" s="1"/>
      <c r="AC323" s="1"/>
      <c r="AD323" s="53"/>
      <c r="AE323" s="52"/>
      <c r="AF323" s="1"/>
      <c r="AG323" s="173"/>
      <c r="AK323" s="1"/>
      <c r="AL323" s="173"/>
      <c r="AP323" s="1"/>
      <c r="AQ323" s="1"/>
    </row>
    <row r="324" spans="2:43" ht="15" x14ac:dyDescent="0.25">
      <c r="B324" t="s">
        <v>12</v>
      </c>
      <c r="D324" s="172">
        <f>SUM(D310:D322)</f>
        <v>94829648</v>
      </c>
      <c r="E324" s="173">
        <v>1630.1113270385943</v>
      </c>
      <c r="G324" s="172">
        <f>SUM(G310:G322)</f>
        <v>94829716.878834352</v>
      </c>
      <c r="H324" s="173">
        <v>1618.4696648849849</v>
      </c>
      <c r="J324" s="167">
        <f>D324/G324-1</f>
        <v>-7.2634229664192418E-7</v>
      </c>
      <c r="K324" s="168">
        <f>E324/H324-1</f>
        <v>7.1930060885241343E-3</v>
      </c>
      <c r="L324" s="172">
        <f>SUM(L310:L322)</f>
        <v>97149858</v>
      </c>
      <c r="M324" s="167">
        <f>O324/$D324-1</f>
        <v>2.4677431975188346E-2</v>
      </c>
      <c r="N324" s="169">
        <f>N$222</f>
        <v>9.0547645222140982E-3</v>
      </c>
      <c r="O324" s="172">
        <f>SUM(O310:O322)</f>
        <v>97169800.187751055</v>
      </c>
      <c r="Q324" s="167">
        <f>S324/$D324-1</f>
        <v>2.5674011581985567E-2</v>
      </c>
      <c r="R324" s="170">
        <v>1.8348281204625394E-2</v>
      </c>
      <c r="S324" s="172">
        <f>SUM(S310:S322)</f>
        <v>97264305.481067613</v>
      </c>
      <c r="T324" s="167">
        <f>V324/$D324-1</f>
        <v>2.5773451304067052E-2</v>
      </c>
      <c r="U324" s="170">
        <v>1.8447010692670851E-2</v>
      </c>
      <c r="V324" s="172">
        <f>SUM(V310:V322)</f>
        <v>97273735.314909816</v>
      </c>
      <c r="X324" s="167">
        <f>Z324/$D324-1</f>
        <v>2.548644305291603E-2</v>
      </c>
      <c r="Y324" s="170">
        <v>1.816205235702939E-2</v>
      </c>
      <c r="Z324" s="172">
        <f>SUM(Z310:Z322)</f>
        <v>97246518.423480064</v>
      </c>
      <c r="AB324" s="172">
        <f>SUM(AB310:AB322)</f>
        <v>94739854.546611249</v>
      </c>
      <c r="AC324" s="172">
        <f>SUM(AC310:AC322)</f>
        <v>97246518.423480064</v>
      </c>
      <c r="AD324" s="167">
        <f>AC324/$D324-1</f>
        <v>2.548644305291603E-2</v>
      </c>
      <c r="AE324" s="170">
        <v>1.816205235702939E-2</v>
      </c>
      <c r="AF324" s="172">
        <f>SUM(AF310:AF322)</f>
        <v>97246518.423480064</v>
      </c>
      <c r="AG324" s="173">
        <v>1659.7174943080556</v>
      </c>
      <c r="AH324" s="171">
        <f>AF324/D324 - 1</f>
        <v>2.548644305291603E-2</v>
      </c>
      <c r="AI324" s="171">
        <f>AG324/E324 - 1</f>
        <v>1.8162052357029168E-2</v>
      </c>
      <c r="AK324" s="172">
        <f>SUM(AK310:AK322)</f>
        <v>97246569.278791666</v>
      </c>
      <c r="AL324" s="173">
        <v>1659.7183622614975</v>
      </c>
      <c r="AM324" s="171">
        <f>AF324/AK324-1</f>
        <v>-5.2295224373111182E-7</v>
      </c>
      <c r="AN324" s="170">
        <f t="shared" ref="AN324" si="103">AG324/AL324-1</f>
        <v>-5.2295224395315643E-7</v>
      </c>
      <c r="AP324" s="1"/>
      <c r="AQ324" s="1"/>
    </row>
    <row r="325" spans="2:43" x14ac:dyDescent="0.2">
      <c r="AO325" s="52"/>
      <c r="AP325" s="1"/>
      <c r="AQ325" s="1"/>
    </row>
  </sheetData>
  <mergeCells count="7">
    <mergeCell ref="W9:Z9"/>
    <mergeCell ref="AK9:AN9"/>
    <mergeCell ref="D9:E9"/>
    <mergeCell ref="G9:H9"/>
    <mergeCell ref="M9:O9"/>
    <mergeCell ref="P9:S9"/>
    <mergeCell ref="T9:V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BM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3.28515625" style="64" customWidth="1"/>
    <col min="5" max="7" width="11.140625" style="64" customWidth="1"/>
    <col min="8" max="8" width="5.7109375" style="64" customWidth="1"/>
    <col min="9" max="9" width="12.85546875" style="64" customWidth="1"/>
    <col min="10" max="11" width="11.140625" style="64" customWidth="1"/>
    <col min="12" max="12" width="11.140625" style="52" customWidth="1"/>
    <col min="13" max="13" width="5.7109375" style="52" customWidth="1"/>
    <col min="14" max="16" width="13.28515625" style="64" customWidth="1"/>
    <col min="17" max="17" width="4.28515625" style="1" customWidth="1"/>
    <col min="18" max="19" width="13.28515625" style="64" customWidth="1"/>
    <col min="20" max="20" width="4.85546875" style="1" customWidth="1"/>
    <col min="21" max="25" width="13.28515625" style="64" customWidth="1"/>
    <col min="26" max="26" width="5.140625" style="1" customWidth="1"/>
    <col min="27" max="29" width="13.28515625" style="64" customWidth="1"/>
    <col min="30" max="30" width="4.140625" style="1" customWidth="1"/>
    <col min="31" max="33" width="13.28515625" style="64" customWidth="1"/>
    <col min="34" max="34" width="3.5703125" style="1" customWidth="1"/>
    <col min="35" max="37" width="13.28515625" style="64" customWidth="1"/>
    <col min="38" max="38" width="4.42578125" style="1" customWidth="1"/>
    <col min="39" max="41" width="13.28515625" style="64" customWidth="1"/>
    <col min="42" max="42" width="5" style="64" customWidth="1"/>
    <col min="43" max="43" width="13.28515625" style="1" bestFit="1" customWidth="1"/>
    <col min="44" max="44" width="4.85546875" style="64" customWidth="1"/>
    <col min="45" max="47" width="13.28515625" style="64" customWidth="1"/>
    <col min="48" max="48" width="5.28515625" style="1" customWidth="1"/>
    <col min="49" max="49" width="13.28515625" style="64" customWidth="1"/>
    <col min="50" max="50" width="3.28515625" style="64" customWidth="1"/>
    <col min="51" max="52" width="13.28515625" style="64" customWidth="1"/>
    <col min="53" max="53" width="11" style="1" customWidth="1"/>
    <col min="54" max="54" width="13.28515625" style="64" customWidth="1"/>
    <col min="55" max="56" width="4.42578125" style="64" customWidth="1"/>
    <col min="57" max="58" width="13.28515625" style="64" customWidth="1"/>
    <col min="59" max="59" width="11.5703125" style="1" customWidth="1"/>
    <col min="60" max="61" width="13.28515625" style="64" customWidth="1"/>
    <col min="62" max="62" width="15.140625" style="178" customWidth="1"/>
    <col min="63" max="63" width="13.28515625" style="178" customWidth="1"/>
    <col min="64" max="65" width="9.140625" style="179"/>
    <col min="66" max="16384" width="9.140625" style="1"/>
  </cols>
  <sheetData>
    <row r="1" spans="1:65" x14ac:dyDescent="0.2">
      <c r="A1" s="321" t="s">
        <v>616</v>
      </c>
      <c r="AR1" s="54"/>
      <c r="AX1" s="54"/>
      <c r="BD1" s="54"/>
      <c r="BI1" s="54"/>
    </row>
    <row r="2" spans="1:65" x14ac:dyDescent="0.2">
      <c r="A2" s="279" t="s">
        <v>949</v>
      </c>
      <c r="AR2" s="54"/>
      <c r="AX2" s="54"/>
      <c r="BD2" s="54"/>
      <c r="BI2" s="54"/>
    </row>
    <row r="3" spans="1:65" x14ac:dyDescent="0.2">
      <c r="A3" s="355" t="s">
        <v>1000</v>
      </c>
      <c r="AR3" s="54"/>
      <c r="AX3" s="54"/>
      <c r="BD3" s="54"/>
      <c r="BI3" s="54"/>
    </row>
    <row r="4" spans="1:65" x14ac:dyDescent="0.2">
      <c r="B4" s="1" t="s">
        <v>64</v>
      </c>
      <c r="D4" s="6"/>
      <c r="E4" s="7"/>
      <c r="F4" s="7"/>
      <c r="G4" s="7"/>
      <c r="H4" s="7"/>
      <c r="I4" s="7" t="s">
        <v>1</v>
      </c>
      <c r="J4" s="8">
        <f>MIN(K12:K163)</f>
        <v>-3.7524396916991276E-2</v>
      </c>
      <c r="K4" s="7" t="s">
        <v>2</v>
      </c>
      <c r="L4" s="9">
        <f>COUNTIF(L12:L163,"&lt;-5%")</f>
        <v>0</v>
      </c>
      <c r="M4" s="10"/>
      <c r="N4" s="6"/>
      <c r="O4" s="6"/>
      <c r="P4" s="6"/>
      <c r="R4" s="6"/>
      <c r="S4" s="6"/>
      <c r="U4" s="8">
        <f>MIN(U12:U220)</f>
        <v>-4.9903896366953693E-2</v>
      </c>
      <c r="V4" s="8">
        <f>MIN(V12:V220)</f>
        <v>-4.9922785841499673E-2</v>
      </c>
      <c r="W4" s="8"/>
      <c r="X4" s="8"/>
      <c r="Y4" s="6"/>
      <c r="AA4" s="6"/>
      <c r="AB4" s="6"/>
      <c r="AC4" s="6"/>
      <c r="AE4" s="6"/>
      <c r="AF4" s="6"/>
      <c r="AG4" s="6"/>
      <c r="AI4" s="6"/>
      <c r="AJ4" s="6"/>
      <c r="AK4" s="6"/>
      <c r="AM4" s="6"/>
      <c r="AN4" s="6"/>
      <c r="AO4" s="6"/>
      <c r="AP4" s="6"/>
      <c r="AQ4" s="6"/>
      <c r="AR4" s="1"/>
      <c r="AS4" s="6"/>
      <c r="AT4" s="6"/>
      <c r="AU4" s="6"/>
      <c r="AV4" s="6"/>
      <c r="AW4" s="6"/>
      <c r="AX4" s="1"/>
      <c r="AY4" s="8">
        <f>MIN(AY12:AY220)</f>
        <v>-4.7621448014229295E-2</v>
      </c>
      <c r="AZ4" s="8">
        <f t="shared" ref="AZ4:BB4" si="0">MIN(AZ12:AZ220)</f>
        <v>-4.9922785841499673E-2</v>
      </c>
      <c r="BA4" s="8">
        <f t="shared" si="0"/>
        <v>-0.24836862841127416</v>
      </c>
      <c r="BB4" s="8">
        <f t="shared" si="0"/>
        <v>-3.7524120593496968E-2</v>
      </c>
      <c r="BC4" s="8"/>
      <c r="BD4" s="1"/>
      <c r="BE4" s="6"/>
      <c r="BF4" s="6"/>
      <c r="BG4" s="6"/>
      <c r="BH4" s="6"/>
      <c r="BI4" s="1"/>
      <c r="BJ4" s="21"/>
      <c r="BK4" s="21"/>
      <c r="BL4" s="21"/>
      <c r="BM4" s="21"/>
    </row>
    <row r="5" spans="1:65" s="11" customFormat="1" x14ac:dyDescent="0.2">
      <c r="B5" s="12">
        <v>3</v>
      </c>
      <c r="D5" s="20"/>
      <c r="E5" s="21"/>
      <c r="F5" s="21"/>
      <c r="G5" s="21"/>
      <c r="H5" s="21"/>
      <c r="I5" s="19"/>
      <c r="J5" s="19"/>
      <c r="K5" s="66" t="s">
        <v>14</v>
      </c>
      <c r="L5" s="9">
        <f>COUNTIF(L12:L163,"&lt;-5%")</f>
        <v>0</v>
      </c>
      <c r="M5" s="22"/>
      <c r="N5" s="20"/>
      <c r="O5" s="20"/>
      <c r="P5" s="20"/>
      <c r="R5" s="20"/>
      <c r="S5" s="20"/>
      <c r="U5" s="162">
        <f>COUNTIF(U12:U220,"&lt;-5%")</f>
        <v>0</v>
      </c>
      <c r="V5" s="162">
        <f>COUNTIF(V12:V220,"&lt;-5%")</f>
        <v>0</v>
      </c>
      <c r="W5" s="162"/>
      <c r="X5" s="162"/>
      <c r="Y5" s="20"/>
      <c r="AA5" s="20"/>
      <c r="AB5" s="20"/>
      <c r="AC5" s="20"/>
      <c r="AE5" s="20"/>
      <c r="AF5" s="20"/>
      <c r="AG5" s="20"/>
      <c r="AI5" s="20"/>
      <c r="AJ5" s="20"/>
      <c r="AK5" s="20"/>
      <c r="AM5" s="20"/>
      <c r="AN5" s="20"/>
      <c r="AO5" s="20"/>
      <c r="AP5" s="20"/>
      <c r="AQ5" s="185">
        <f>I8-(AM9+AN9+AO9)</f>
        <v>52.2787916213274</v>
      </c>
      <c r="AS5" s="20"/>
      <c r="AT5" s="20"/>
      <c r="AU5" s="20"/>
      <c r="AV5" s="20"/>
      <c r="AW5" s="20"/>
      <c r="AY5" s="8">
        <f>MAX(AY12:AY220)</f>
        <v>0.26146863427773748</v>
      </c>
      <c r="AZ5" s="8">
        <f t="shared" ref="AZ5:BB5" si="1">MAX(AZ12:AZ220)</f>
        <v>0.25115818085015529</v>
      </c>
      <c r="BA5" s="8">
        <f t="shared" si="1"/>
        <v>0.23085149576882591</v>
      </c>
      <c r="BB5" s="8">
        <f t="shared" si="1"/>
        <v>0.19433384171713164</v>
      </c>
      <c r="BC5" s="8"/>
      <c r="BE5" s="20"/>
      <c r="BF5" s="20"/>
      <c r="BG5" s="20"/>
      <c r="BH5" s="20"/>
      <c r="BJ5" s="180"/>
      <c r="BK5" s="180"/>
      <c r="BL5" s="180"/>
      <c r="BM5" s="180"/>
    </row>
    <row r="6" spans="1:65" s="11" customFormat="1" x14ac:dyDescent="0.2">
      <c r="B6" s="12"/>
      <c r="D6" s="28"/>
      <c r="E6" s="25"/>
      <c r="F6" s="25"/>
      <c r="G6" s="25"/>
      <c r="H6" s="25"/>
      <c r="I6" s="28"/>
      <c r="J6" s="28"/>
      <c r="K6" s="28"/>
      <c r="L6" s="29"/>
      <c r="M6" s="22"/>
      <c r="N6" s="28"/>
      <c r="O6" s="28"/>
      <c r="P6" s="28"/>
      <c r="R6" s="28"/>
      <c r="S6" s="28"/>
      <c r="U6" s="28"/>
      <c r="V6" s="28"/>
      <c r="W6" s="28"/>
      <c r="X6" s="28"/>
      <c r="Y6" s="28"/>
      <c r="AA6" s="377" t="s">
        <v>501</v>
      </c>
      <c r="AB6" s="378"/>
      <c r="AC6" s="378"/>
      <c r="AE6" s="377" t="s">
        <v>503</v>
      </c>
      <c r="AF6" s="378"/>
      <c r="AG6" s="378"/>
      <c r="AI6" s="377" t="s">
        <v>504</v>
      </c>
      <c r="AJ6" s="378"/>
      <c r="AK6" s="378"/>
      <c r="AM6" s="377" t="s">
        <v>505</v>
      </c>
      <c r="AN6" s="378"/>
      <c r="AO6" s="378"/>
      <c r="AP6" s="378"/>
      <c r="AQ6" s="378"/>
      <c r="AS6" s="377" t="s">
        <v>510</v>
      </c>
      <c r="AT6" s="378"/>
      <c r="AU6" s="378"/>
      <c r="AV6" s="378"/>
      <c r="AW6" s="378"/>
      <c r="AY6" s="377" t="s">
        <v>65</v>
      </c>
      <c r="AZ6" s="378"/>
      <c r="BA6" s="378"/>
      <c r="BB6" s="378"/>
      <c r="BC6" s="378"/>
      <c r="BE6" s="377" t="s">
        <v>588</v>
      </c>
      <c r="BF6" s="378"/>
      <c r="BG6" s="378"/>
      <c r="BH6" s="378"/>
      <c r="BJ6" s="379" t="s">
        <v>592</v>
      </c>
      <c r="BK6" s="380"/>
      <c r="BL6" s="380"/>
      <c r="BM6" s="380"/>
    </row>
    <row r="7" spans="1:65" s="11" customFormat="1" x14ac:dyDescent="0.2">
      <c r="B7" s="12"/>
      <c r="D7" s="28"/>
      <c r="E7" s="25"/>
      <c r="F7" s="25"/>
      <c r="G7" s="25"/>
      <c r="H7" s="25"/>
      <c r="I7" s="25"/>
      <c r="J7" s="28"/>
      <c r="K7" s="28"/>
      <c r="L7" s="29"/>
      <c r="M7" s="22"/>
      <c r="N7" s="28"/>
      <c r="O7" s="28"/>
      <c r="P7" s="28"/>
      <c r="R7" s="28"/>
      <c r="S7" s="28"/>
      <c r="U7" s="28"/>
      <c r="V7" s="28"/>
      <c r="W7" s="28"/>
      <c r="X7" s="28"/>
      <c r="Y7" s="28"/>
      <c r="AA7" s="377"/>
      <c r="AB7" s="378"/>
      <c r="AC7" s="378"/>
      <c r="AE7" s="377"/>
      <c r="AF7" s="378"/>
      <c r="AG7" s="378"/>
      <c r="AI7" s="377"/>
      <c r="AJ7" s="378"/>
      <c r="AK7" s="378"/>
      <c r="AM7" s="377"/>
      <c r="AN7" s="378"/>
      <c r="AO7" s="378"/>
      <c r="AP7" s="378"/>
      <c r="AQ7" s="378"/>
      <c r="AS7" s="377"/>
      <c r="AT7" s="378"/>
      <c r="AU7" s="378"/>
      <c r="AV7" s="378"/>
      <c r="AW7" s="378"/>
      <c r="AY7" s="377"/>
      <c r="AZ7" s="378"/>
      <c r="BA7" s="378"/>
      <c r="BB7" s="378"/>
      <c r="BC7" s="378"/>
      <c r="BE7" s="377"/>
      <c r="BF7" s="378"/>
      <c r="BG7" s="378"/>
      <c r="BH7" s="378"/>
      <c r="BJ7" s="379"/>
      <c r="BK7" s="380"/>
      <c r="BL7" s="380"/>
      <c r="BM7" s="380"/>
    </row>
    <row r="8" spans="1:65" s="30" customFormat="1" x14ac:dyDescent="0.2">
      <c r="B8" s="31"/>
      <c r="D8" s="101">
        <f>D222</f>
        <v>97246518.423480049</v>
      </c>
      <c r="E8" s="34">
        <f t="shared" ref="E8:G8" si="2">+E222</f>
        <v>1659.7174943080554</v>
      </c>
      <c r="F8" s="35">
        <f t="shared" si="2"/>
        <v>0</v>
      </c>
      <c r="G8" s="35">
        <f t="shared" si="2"/>
        <v>0</v>
      </c>
      <c r="H8" s="65"/>
      <c r="I8" s="34">
        <f>+I222</f>
        <v>97246569.278791621</v>
      </c>
      <c r="J8" s="34">
        <f>+J222</f>
        <v>1659.7183622614966</v>
      </c>
      <c r="K8" s="35">
        <f>+K222</f>
        <v>-5.2295224350906722E-7</v>
      </c>
      <c r="L8" s="36">
        <f>+L222</f>
        <v>-5.2295224350906722E-7</v>
      </c>
      <c r="M8" s="37"/>
      <c r="N8" s="101">
        <f t="shared" ref="N8:P8" si="3">N222</f>
        <v>73508656</v>
      </c>
      <c r="O8" s="101">
        <f t="shared" si="3"/>
        <v>7755210</v>
      </c>
      <c r="P8" s="101">
        <f t="shared" si="3"/>
        <v>15885992</v>
      </c>
      <c r="R8" s="101">
        <f t="shared" ref="R8:S8" si="4">R222</f>
        <v>15885992</v>
      </c>
      <c r="S8" s="101">
        <f t="shared" si="4"/>
        <v>96660.423480058176</v>
      </c>
      <c r="U8" s="101"/>
      <c r="V8" s="101"/>
      <c r="W8" s="101"/>
      <c r="X8" s="101"/>
      <c r="Y8" s="101"/>
      <c r="AA8" s="101"/>
      <c r="AB8" s="101"/>
      <c r="AC8" s="101"/>
      <c r="AE8" s="101"/>
      <c r="AF8" s="101"/>
      <c r="AG8" s="101"/>
      <c r="AI8" s="101"/>
      <c r="AJ8" s="101"/>
      <c r="AK8" s="101"/>
      <c r="AM8" s="105">
        <v>6.6329205212367626E-4</v>
      </c>
      <c r="AN8" s="105">
        <v>-6.1556679254944902E-3</v>
      </c>
      <c r="AO8" s="105">
        <v>-4.7290929741206078E-5</v>
      </c>
      <c r="AP8" s="105"/>
      <c r="AQ8" s="105">
        <v>-5.3759008722398249E-7</v>
      </c>
      <c r="AS8" s="101"/>
      <c r="AT8" s="101"/>
      <c r="AU8" s="101"/>
      <c r="AV8" s="101"/>
      <c r="AW8" s="101"/>
      <c r="AY8" s="101"/>
      <c r="AZ8" s="101"/>
      <c r="BA8" s="101"/>
      <c r="BB8" s="101"/>
      <c r="BC8" s="101"/>
      <c r="BE8" s="101"/>
      <c r="BF8" s="101"/>
      <c r="BG8" s="101"/>
      <c r="BH8" s="101"/>
      <c r="BJ8" s="105"/>
      <c r="BK8" s="105"/>
      <c r="BL8" s="105"/>
      <c r="BM8" s="105"/>
    </row>
    <row r="9" spans="1:65" s="38" customFormat="1" x14ac:dyDescent="0.2">
      <c r="D9" s="39"/>
      <c r="E9" s="40"/>
      <c r="F9" s="40"/>
      <c r="G9" s="40"/>
      <c r="H9" s="41"/>
      <c r="I9" s="374" t="s">
        <v>3</v>
      </c>
      <c r="J9" s="374"/>
      <c r="K9" s="374"/>
      <c r="L9" s="374"/>
      <c r="M9" s="42"/>
      <c r="N9" s="39"/>
      <c r="O9" s="39"/>
      <c r="P9" s="39"/>
      <c r="R9" s="39"/>
      <c r="S9" s="39"/>
      <c r="U9" s="39"/>
      <c r="V9" s="39"/>
      <c r="W9" s="39"/>
      <c r="X9" s="39"/>
      <c r="Y9" s="39"/>
      <c r="AA9" s="39"/>
      <c r="AB9" s="39"/>
      <c r="AC9" s="39"/>
      <c r="AE9" s="39"/>
      <c r="AF9" s="39"/>
      <c r="AG9" s="39"/>
      <c r="AI9" s="39"/>
      <c r="AJ9" s="39"/>
      <c r="AK9" s="39"/>
      <c r="AM9" s="39">
        <f>AM222</f>
        <v>73597110</v>
      </c>
      <c r="AN9" s="39">
        <f>AN222</f>
        <v>7763415</v>
      </c>
      <c r="AO9" s="39">
        <f>AO222</f>
        <v>15885992</v>
      </c>
      <c r="AP9" s="39"/>
      <c r="AQ9" s="39">
        <f>AQ222</f>
        <v>97246517</v>
      </c>
      <c r="AS9" s="39">
        <f>AS222</f>
        <v>1256.0903256771121</v>
      </c>
      <c r="AT9" s="39">
        <f>AT222</f>
        <v>132.499095082899</v>
      </c>
      <c r="AU9" s="39">
        <f>AU222</f>
        <v>271.128049253347</v>
      </c>
      <c r="AV9" s="39"/>
      <c r="AW9" s="39">
        <f>AW222</f>
        <v>1659.717470013358</v>
      </c>
      <c r="AY9" s="158">
        <f>AY222</f>
        <v>6.6329205212412035E-4</v>
      </c>
      <c r="AZ9" s="158">
        <f>AZ222</f>
        <v>-6.1556679254947122E-3</v>
      </c>
      <c r="BA9" s="158">
        <f>BA222</f>
        <v>-4.7290929741095056E-5</v>
      </c>
      <c r="BB9" s="158">
        <f>BB222</f>
        <v>-5.3759008677989328E-7</v>
      </c>
      <c r="BC9" s="158"/>
      <c r="BE9" s="158">
        <f>BE222</f>
        <v>2.1454070318438045E-2</v>
      </c>
      <c r="BF9" s="158">
        <f>BF222</f>
        <v>2.4850808549938153E-2</v>
      </c>
      <c r="BG9" s="158">
        <f>BG222</f>
        <v>4.4913408167746027E-2</v>
      </c>
      <c r="BH9" s="158">
        <f>BH222</f>
        <v>2.5486428041997966E-2</v>
      </c>
      <c r="BJ9" s="158">
        <f>BJ222</f>
        <v>1.4158480269833351E-2</v>
      </c>
      <c r="BK9" s="158">
        <f t="shared" ref="BK9:BM9" si="5">BK222</f>
        <v>1.7530957782854184E-2</v>
      </c>
      <c r="BL9" s="158">
        <f t="shared" si="5"/>
        <v>3.7450263143608442E-2</v>
      </c>
      <c r="BM9" s="158">
        <f t="shared" si="5"/>
        <v>1.8162037453324675E-2</v>
      </c>
    </row>
    <row r="10" spans="1:65" ht="63.75" x14ac:dyDescent="0.2">
      <c r="A10" s="44" t="s">
        <v>67</v>
      </c>
      <c r="B10" s="45" t="s">
        <v>68</v>
      </c>
      <c r="C10" s="43"/>
      <c r="D10" s="50" t="s">
        <v>487</v>
      </c>
      <c r="E10" s="50" t="s">
        <v>5</v>
      </c>
      <c r="F10" s="50" t="s">
        <v>10</v>
      </c>
      <c r="G10" s="50" t="s">
        <v>11</v>
      </c>
      <c r="H10" s="48"/>
      <c r="I10" s="48" t="s">
        <v>6</v>
      </c>
      <c r="J10" s="48" t="s">
        <v>7</v>
      </c>
      <c r="K10" s="48" t="s">
        <v>8</v>
      </c>
      <c r="L10" s="49" t="s">
        <v>9</v>
      </c>
      <c r="M10" s="51"/>
      <c r="N10" s="50" t="s">
        <v>489</v>
      </c>
      <c r="O10" s="50" t="s">
        <v>490</v>
      </c>
      <c r="P10" s="50" t="s">
        <v>491</v>
      </c>
      <c r="R10" s="50" t="s">
        <v>492</v>
      </c>
      <c r="S10" s="50" t="s">
        <v>493</v>
      </c>
      <c r="U10" s="50" t="s">
        <v>495</v>
      </c>
      <c r="V10" s="50" t="s">
        <v>496</v>
      </c>
      <c r="W10" s="50" t="s">
        <v>494</v>
      </c>
      <c r="X10" s="50" t="s">
        <v>497</v>
      </c>
      <c r="Y10" s="50" t="s">
        <v>498</v>
      </c>
      <c r="AA10" s="50" t="s">
        <v>499</v>
      </c>
      <c r="AB10" s="50" t="s">
        <v>500</v>
      </c>
      <c r="AC10" s="50" t="s">
        <v>502</v>
      </c>
      <c r="AE10" s="50" t="s">
        <v>499</v>
      </c>
      <c r="AF10" s="50" t="s">
        <v>500</v>
      </c>
      <c r="AG10" s="50" t="s">
        <v>502</v>
      </c>
      <c r="AI10" s="50" t="s">
        <v>499</v>
      </c>
      <c r="AJ10" s="50" t="s">
        <v>500</v>
      </c>
      <c r="AK10" s="50" t="s">
        <v>502</v>
      </c>
      <c r="AM10" s="50" t="s">
        <v>508</v>
      </c>
      <c r="AN10" s="50" t="s">
        <v>507</v>
      </c>
      <c r="AO10" s="50" t="s">
        <v>506</v>
      </c>
      <c r="AP10" s="50"/>
      <c r="AQ10" s="50" t="s">
        <v>509</v>
      </c>
      <c r="AR10" s="1"/>
      <c r="AS10" s="50" t="s">
        <v>508</v>
      </c>
      <c r="AT10" s="50" t="s">
        <v>507</v>
      </c>
      <c r="AU10" s="50" t="s">
        <v>506</v>
      </c>
      <c r="AV10" s="50"/>
      <c r="AW10" s="50" t="s">
        <v>509</v>
      </c>
      <c r="AX10" s="1"/>
      <c r="AY10" s="50" t="s">
        <v>508</v>
      </c>
      <c r="AZ10" s="50" t="s">
        <v>507</v>
      </c>
      <c r="BA10" s="50" t="s">
        <v>506</v>
      </c>
      <c r="BB10" s="50" t="s">
        <v>509</v>
      </c>
      <c r="BC10" s="50"/>
      <c r="BD10" s="1"/>
      <c r="BE10" s="50" t="s">
        <v>67</v>
      </c>
      <c r="BF10" s="50" t="s">
        <v>589</v>
      </c>
      <c r="BG10" s="50" t="s">
        <v>590</v>
      </c>
      <c r="BH10" s="50" t="s">
        <v>591</v>
      </c>
      <c r="BI10" s="1"/>
      <c r="BJ10" s="181" t="s">
        <v>67</v>
      </c>
      <c r="BK10" s="181" t="s">
        <v>589</v>
      </c>
      <c r="BL10" s="181" t="s">
        <v>590</v>
      </c>
      <c r="BM10" s="181" t="s">
        <v>591</v>
      </c>
    </row>
    <row r="11" spans="1:65" x14ac:dyDescent="0.2">
      <c r="D11" s="3"/>
      <c r="E11" s="3"/>
      <c r="F11" s="3"/>
      <c r="G11" s="3"/>
      <c r="H11" s="3"/>
      <c r="I11" s="3"/>
      <c r="J11" s="3"/>
      <c r="K11" s="3"/>
      <c r="L11" s="4"/>
      <c r="N11" s="3"/>
      <c r="O11" s="3"/>
      <c r="P11" s="3"/>
      <c r="R11" s="3"/>
      <c r="S11" s="3"/>
      <c r="U11" s="3"/>
      <c r="V11" s="3"/>
      <c r="W11" s="3"/>
      <c r="X11" s="3"/>
      <c r="Y11" s="3"/>
      <c r="AA11" s="3"/>
      <c r="AB11" s="3"/>
      <c r="AC11" s="3"/>
      <c r="AE11" s="3"/>
      <c r="AF11" s="3"/>
      <c r="AG11" s="3"/>
      <c r="AI11" s="3"/>
      <c r="AJ11" s="3"/>
      <c r="AK11" s="3"/>
      <c r="AM11" s="3"/>
      <c r="AN11" s="3"/>
      <c r="AO11" s="3"/>
      <c r="AP11" s="3"/>
      <c r="AQ11" s="3"/>
      <c r="AR11" s="1"/>
      <c r="AS11" s="3"/>
      <c r="AT11" s="3"/>
      <c r="AU11" s="3"/>
      <c r="AV11" s="3"/>
      <c r="AW11" s="3"/>
      <c r="AX11" s="1"/>
      <c r="AY11" s="3"/>
      <c r="AZ11" s="3"/>
      <c r="BA11" s="3"/>
      <c r="BB11" s="3"/>
      <c r="BC11" s="3"/>
      <c r="BD11" s="1"/>
      <c r="BE11" s="3"/>
      <c r="BF11" s="3"/>
      <c r="BG11" s="3"/>
      <c r="BH11" s="3"/>
      <c r="BI11" s="1"/>
      <c r="BJ11" s="16"/>
      <c r="BK11" s="16"/>
      <c r="BL11" s="16"/>
      <c r="BM11" s="16"/>
    </row>
    <row r="12" spans="1:65" x14ac:dyDescent="0.2">
      <c r="A12" s="156" t="s">
        <v>69</v>
      </c>
      <c r="B12" s="156" t="s">
        <v>70</v>
      </c>
      <c r="D12" s="56">
        <f>VLOOKUP(A12,'2018-19'!$A$12:$AMX220,32,FALSE)</f>
        <v>193261</v>
      </c>
      <c r="E12" s="56">
        <v>1792.2877671610017</v>
      </c>
      <c r="F12" s="16">
        <f>VLOOKUP(A12,'2018-19'!$A$12:$AMX220,34,FALSE)</f>
        <v>2.25341530777452E-2</v>
      </c>
      <c r="G12" s="16">
        <f>VLOOKUP(A12,'2018-19'!$A$12:$AMX220,35,FALSE)</f>
        <v>2.075619079554003E-2</v>
      </c>
      <c r="H12" s="56"/>
      <c r="I12" s="56">
        <v>192019.2598447472</v>
      </c>
      <c r="J12" s="56">
        <v>1780.7719637125449</v>
      </c>
      <c r="K12" s="16">
        <f>D12/I12-1</f>
        <v>6.4667479515168047E-3</v>
      </c>
      <c r="L12" s="58">
        <f>E12/J12-1</f>
        <v>6.4667479515168047E-3</v>
      </c>
      <c r="M12" s="10"/>
      <c r="N12" s="56">
        <v>151009</v>
      </c>
      <c r="O12" s="56">
        <v>14619</v>
      </c>
      <c r="P12" s="56">
        <v>27633</v>
      </c>
      <c r="R12" s="56">
        <f>ROUND(P12,0)</f>
        <v>27633</v>
      </c>
      <c r="S12" s="56">
        <f>D12-SUM(N12:P12)</f>
        <v>0</v>
      </c>
      <c r="U12" s="16">
        <v>8.5507788411165464E-3</v>
      </c>
      <c r="V12" s="16">
        <v>-3.0864167463700021E-3</v>
      </c>
      <c r="W12" s="56">
        <f>IF(AND(U12&lt;0,V12&gt;0),1,IF(AND(U12&gt;0,V12&gt;0),2,IF(AND(U12&gt;0,V12&lt;0),3,IF(AND(U12&lt;0,V12&lt;0),4,5))))</f>
        <v>3</v>
      </c>
      <c r="X12" s="56">
        <f>N12/(1+U12)/100</f>
        <v>1497.2870297469615</v>
      </c>
      <c r="Y12" s="56">
        <f>O12/(1+V12)/100</f>
        <v>146.64260017691728</v>
      </c>
      <c r="AA12" s="56">
        <f>IF(W12=1,MIN(S12,-1*U12*N12),0)</f>
        <v>0</v>
      </c>
      <c r="AB12" s="56">
        <v>0</v>
      </c>
      <c r="AC12" s="56">
        <f>S12-AA12-AB12</f>
        <v>0</v>
      </c>
      <c r="AE12" s="56">
        <v>0</v>
      </c>
      <c r="AF12" s="56">
        <f>IF(W12=3,MIN(S12,-1*V12*O12),0)</f>
        <v>0</v>
      </c>
      <c r="AG12" s="56">
        <f>AC12-AE12-AF12</f>
        <v>0</v>
      </c>
      <c r="AI12" s="56">
        <f>AG12*X12/(X12+Y12)</f>
        <v>0</v>
      </c>
      <c r="AJ12" s="56">
        <f>AG12*Y12/(X12+Y12)</f>
        <v>0</v>
      </c>
      <c r="AK12" s="56">
        <f>S12-SUM(AA12:AB12)-SUM(AE12:AF12)-SUM(AI12:AJ12)</f>
        <v>0</v>
      </c>
      <c r="AM12" s="56">
        <f>ROUND(N12+AA12+AE12+AI12,0)</f>
        <v>151009</v>
      </c>
      <c r="AN12" s="56">
        <f>ROUND(O12+AB12+AF12+AJ12,0)</f>
        <v>14619</v>
      </c>
      <c r="AO12" s="56">
        <f>R12</f>
        <v>27633</v>
      </c>
      <c r="AP12" s="56"/>
      <c r="AQ12" s="56">
        <f>SUM(AM12:AP12)</f>
        <v>193261</v>
      </c>
      <c r="AR12" s="1"/>
      <c r="AS12" s="56">
        <v>1400.445943212628</v>
      </c>
      <c r="AT12" s="56">
        <v>135.57549049278791</v>
      </c>
      <c r="AU12" s="56">
        <v>256.26633345558577</v>
      </c>
      <c r="AV12" s="56"/>
      <c r="AW12" s="56">
        <v>1792.2877671610017</v>
      </c>
      <c r="AX12" s="1"/>
      <c r="AY12" s="16">
        <v>8.5507788411165464E-3</v>
      </c>
      <c r="AZ12" s="16">
        <v>-3.0864167463700021E-3</v>
      </c>
      <c r="BA12" s="16">
        <v>2.4263648785449732E-4</v>
      </c>
      <c r="BB12" s="16">
        <f>SUM(AM12:AO12)/I12-1</f>
        <v>6.4667479515168047E-3</v>
      </c>
      <c r="BC12" s="16"/>
      <c r="BD12" s="1"/>
      <c r="BE12" s="16">
        <f>AM12/'2017-18 disagg'!AM12-1</f>
        <v>1.9869383454787393E-2</v>
      </c>
      <c r="BF12" s="16">
        <f>AN12/'2017-18 disagg'!AN12-1</f>
        <v>1.9313903221308104E-2</v>
      </c>
      <c r="BG12" s="16">
        <f>AO12/'2017-18 disagg'!AO12-1</f>
        <v>3.9108035949309894E-2</v>
      </c>
      <c r="BH12" s="16">
        <f>AQ12/'2017-18 disagg'!AQ12-1</f>
        <v>2.25341530777452E-2</v>
      </c>
      <c r="BI12" s="1"/>
      <c r="BJ12" s="16">
        <f>AS12/'2017-18 disagg'!AS12-1</f>
        <v>1.8096054621612678E-2</v>
      </c>
      <c r="BK12" s="16">
        <f>AT12/'2017-18 disagg'!AT12-1</f>
        <v>1.754154024624266E-2</v>
      </c>
      <c r="BL12" s="16">
        <f>AU12/'2017-18 disagg'!AU12-1</f>
        <v>3.7301255325412619E-2</v>
      </c>
      <c r="BM12" s="16">
        <f>AW12/'2017-18 disagg'!AW12-1</f>
        <v>2.075619079554003E-2</v>
      </c>
    </row>
    <row r="13" spans="1:65" x14ac:dyDescent="0.2">
      <c r="A13" s="156" t="s">
        <v>71</v>
      </c>
      <c r="B13" s="156" t="s">
        <v>72</v>
      </c>
      <c r="D13" s="56">
        <f>VLOOKUP(A13,'2018-19'!$A$12:$AMX221,32,FALSE)</f>
        <v>572510</v>
      </c>
      <c r="E13" s="56">
        <v>1951.2220501288493</v>
      </c>
      <c r="F13" s="16">
        <f>VLOOKUP(A13,'2018-19'!$A$12:$AMX221,34,FALSE)</f>
        <v>2.1766366715805674E-2</v>
      </c>
      <c r="G13" s="16">
        <f>VLOOKUP(A13,'2018-19'!$A$12:$AMX221,35,FALSE)</f>
        <v>1.737089291656746E-2</v>
      </c>
      <c r="H13" s="56"/>
      <c r="I13" s="56">
        <v>551718.13066680788</v>
      </c>
      <c r="J13" s="56">
        <v>1880.3594382856986</v>
      </c>
      <c r="K13" s="16">
        <f t="shared" ref="K13:L76" si="6">D13/I13-1</f>
        <v>3.7685673494294969E-2</v>
      </c>
      <c r="L13" s="58">
        <f t="shared" si="6"/>
        <v>3.7685673494294969E-2</v>
      </c>
      <c r="M13" s="10"/>
      <c r="N13" s="56">
        <v>458180</v>
      </c>
      <c r="O13" s="56">
        <v>44149</v>
      </c>
      <c r="P13" s="56">
        <v>70181</v>
      </c>
      <c r="R13" s="56">
        <f t="shared" ref="R13:R76" si="7">ROUND(P13,0)</f>
        <v>70181</v>
      </c>
      <c r="S13" s="56">
        <f t="shared" ref="S13:S76" si="8">D13-SUM(N13:P13)</f>
        <v>0</v>
      </c>
      <c r="U13" s="16">
        <v>4.6162627264973555E-2</v>
      </c>
      <c r="V13" s="16">
        <v>7.4696350350102136E-2</v>
      </c>
      <c r="W13" s="56">
        <f t="shared" ref="W13:W76" si="9">IF(AND(U13&lt;0,V13&gt;0),1,IF(AND(U13&gt;0,V13&gt;0),2,IF(AND(U13&gt;0,V13&lt;0),3,IF(AND(U13&lt;0,V13&lt;0),4,5))))</f>
        <v>2</v>
      </c>
      <c r="X13" s="56">
        <f t="shared" ref="X13:Y76" si="10">N13/(1+U13)/100</f>
        <v>4379.6250034073482</v>
      </c>
      <c r="Y13" s="56">
        <f t="shared" si="10"/>
        <v>410.80440987463714</v>
      </c>
      <c r="AA13" s="56">
        <f>IF(W13=1,MIN(S13,-1*U13*N13),0)</f>
        <v>0</v>
      </c>
      <c r="AB13" s="56">
        <v>0</v>
      </c>
      <c r="AC13" s="56">
        <f t="shared" ref="AC13:AC76" si="11">S13-AA13-AB13</f>
        <v>0</v>
      </c>
      <c r="AE13" s="56">
        <v>0</v>
      </c>
      <c r="AF13" s="56">
        <f t="shared" ref="AF13:AF76" si="12">IF(W13=3,MIN(S13,-1*V13*O13),0)</f>
        <v>0</v>
      </c>
      <c r="AG13" s="56">
        <f t="shared" ref="AG13:AG76" si="13">AC13-AE13-AF13</f>
        <v>0</v>
      </c>
      <c r="AI13" s="56">
        <f t="shared" ref="AI13:AI76" si="14">AG13*X13/(X13+Y13)</f>
        <v>0</v>
      </c>
      <c r="AJ13" s="56">
        <f t="shared" ref="AJ13:AJ76" si="15">AG13*Y13/(X13+Y13)</f>
        <v>0</v>
      </c>
      <c r="AK13" s="56">
        <f t="shared" ref="AK13:AK76" si="16">S13-SUM(AA13:AB13)-SUM(AE13:AF13)-SUM(AI13:AJ13)</f>
        <v>0</v>
      </c>
      <c r="AM13" s="56">
        <f t="shared" ref="AM13:AM76" si="17">ROUND(N13+AA13+AE13+AI13,0)</f>
        <v>458180</v>
      </c>
      <c r="AN13" s="56">
        <f t="shared" ref="AN13:AN76" si="18">ROUND(O13+AB13+AF13+AJ13,0)</f>
        <v>44149</v>
      </c>
      <c r="AO13" s="56">
        <f t="shared" ref="AO13:AO76" si="19">R13</f>
        <v>70181</v>
      </c>
      <c r="AP13" s="56"/>
      <c r="AQ13" s="56">
        <f t="shared" ref="AQ13:AQ76" si="20">SUM(AM13:AP13)</f>
        <v>572510</v>
      </c>
      <c r="AR13" s="1"/>
      <c r="AS13" s="56">
        <v>1561.5638485407001</v>
      </c>
      <c r="AT13" s="56">
        <v>150.46811809599583</v>
      </c>
      <c r="AU13" s="56">
        <v>239.19008349215346</v>
      </c>
      <c r="AV13" s="56"/>
      <c r="AW13" s="56">
        <v>1951.2220501288493</v>
      </c>
      <c r="AX13" s="1"/>
      <c r="AY13" s="16">
        <v>4.6162627264973555E-2</v>
      </c>
      <c r="AZ13" s="16">
        <v>7.4696350350102136E-2</v>
      </c>
      <c r="BA13" s="16">
        <v>-3.4319681328773943E-2</v>
      </c>
      <c r="BB13" s="16">
        <f t="shared" ref="BB13:BB76" si="21">SUM(AM13:AO13)/I13-1</f>
        <v>3.7685673494294969E-2</v>
      </c>
      <c r="BC13" s="16"/>
      <c r="BD13" s="1"/>
      <c r="BE13" s="16">
        <f>AM13/'2017-18 disagg'!AM13-1</f>
        <v>1.9868493101897755E-2</v>
      </c>
      <c r="BF13" s="16">
        <f>AN13/'2017-18 disagg'!AN13-1</f>
        <v>1.0413329061198295E-2</v>
      </c>
      <c r="BG13" s="16">
        <f>AO13/'2017-18 disagg'!AO13-1</f>
        <v>4.178665795802039E-2</v>
      </c>
      <c r="BH13" s="16">
        <f>AQ13/'2017-18 disagg'!AQ13-1</f>
        <v>2.1766366715805674E-2</v>
      </c>
      <c r="BI13" s="1"/>
      <c r="BJ13" s="16">
        <f>AS13/'2017-18 disagg'!AS13-1</f>
        <v>1.5481183648263119E-2</v>
      </c>
      <c r="BK13" s="16">
        <f>AT13/'2017-18 disagg'!AT13-1</f>
        <v>6.0666941953777531E-3</v>
      </c>
      <c r="BL13" s="16">
        <f>AU13/'2017-18 disagg'!AU13-1</f>
        <v>3.7305060100998544E-2</v>
      </c>
      <c r="BM13" s="16">
        <f>AW13/'2017-18 disagg'!AW13-1</f>
        <v>1.737089291656746E-2</v>
      </c>
    </row>
    <row r="14" spans="1:65" x14ac:dyDescent="0.2">
      <c r="A14" s="156" t="s">
        <v>73</v>
      </c>
      <c r="B14" s="156" t="s">
        <v>74</v>
      </c>
      <c r="D14" s="56">
        <f>VLOOKUP(A14,'2018-19'!$A$12:$AMX222,32,FALSE)</f>
        <v>939791</v>
      </c>
      <c r="E14" s="56">
        <v>1828.4417797942924</v>
      </c>
      <c r="F14" s="16">
        <f>VLOOKUP(A14,'2018-19'!$A$12:$AMX222,34,FALSE)</f>
        <v>2.3417515439073E-2</v>
      </c>
      <c r="G14" s="16">
        <f>VLOOKUP(A14,'2018-19'!$A$12:$AMX222,35,FALSE)</f>
        <v>2.0346237396739797E-2</v>
      </c>
      <c r="H14" s="56"/>
      <c r="I14" s="56">
        <v>919243.4691130491</v>
      </c>
      <c r="J14" s="56">
        <v>1788.4648445551652</v>
      </c>
      <c r="K14" s="16">
        <f t="shared" si="6"/>
        <v>2.2352653652004228E-2</v>
      </c>
      <c r="L14" s="58">
        <f t="shared" si="6"/>
        <v>2.2352653652004228E-2</v>
      </c>
      <c r="M14" s="10"/>
      <c r="N14" s="56">
        <v>728379</v>
      </c>
      <c r="O14" s="56">
        <v>69144</v>
      </c>
      <c r="P14" s="56">
        <v>142268</v>
      </c>
      <c r="R14" s="56">
        <f t="shared" si="7"/>
        <v>142268</v>
      </c>
      <c r="S14" s="56">
        <f t="shared" si="8"/>
        <v>0</v>
      </c>
      <c r="U14" s="16">
        <v>3.5781268566074109E-2</v>
      </c>
      <c r="V14" s="16">
        <v>-4.8525071044060897E-2</v>
      </c>
      <c r="W14" s="56">
        <f t="shared" si="9"/>
        <v>3</v>
      </c>
      <c r="X14" s="56">
        <f t="shared" si="10"/>
        <v>7032.1700353624001</v>
      </c>
      <c r="Y14" s="56">
        <f t="shared" si="10"/>
        <v>726.70333075273197</v>
      </c>
      <c r="AA14" s="56">
        <f t="shared" ref="AA14:AA77" si="22">IF(W14=1,MIN(S14,-1*U14*N14),0)</f>
        <v>0</v>
      </c>
      <c r="AB14" s="56">
        <v>0</v>
      </c>
      <c r="AC14" s="56">
        <f t="shared" si="11"/>
        <v>0</v>
      </c>
      <c r="AE14" s="56">
        <v>0</v>
      </c>
      <c r="AF14" s="56">
        <f t="shared" si="12"/>
        <v>0</v>
      </c>
      <c r="AG14" s="56">
        <f t="shared" si="13"/>
        <v>0</v>
      </c>
      <c r="AI14" s="56">
        <f t="shared" si="14"/>
        <v>0</v>
      </c>
      <c r="AJ14" s="56">
        <f t="shared" si="15"/>
        <v>0</v>
      </c>
      <c r="AK14" s="56">
        <f t="shared" si="16"/>
        <v>0</v>
      </c>
      <c r="AM14" s="56">
        <f t="shared" si="17"/>
        <v>728379</v>
      </c>
      <c r="AN14" s="56">
        <f t="shared" si="18"/>
        <v>69144</v>
      </c>
      <c r="AO14" s="56">
        <f t="shared" si="19"/>
        <v>142268</v>
      </c>
      <c r="AP14" s="56"/>
      <c r="AQ14" s="56">
        <f t="shared" si="20"/>
        <v>939791</v>
      </c>
      <c r="AR14" s="1"/>
      <c r="AS14" s="56">
        <v>1417.1220996208592</v>
      </c>
      <c r="AT14" s="56">
        <v>134.52541939867115</v>
      </c>
      <c r="AU14" s="56">
        <v>276.79426077476205</v>
      </c>
      <c r="AV14" s="56"/>
      <c r="AW14" s="56">
        <v>1828.4417797942924</v>
      </c>
      <c r="AX14" s="1"/>
      <c r="AY14" s="16">
        <v>3.5781268566074109E-2</v>
      </c>
      <c r="AZ14" s="16">
        <v>-4.8525071044060897E-2</v>
      </c>
      <c r="BA14" s="16">
        <v>-7.5904147422806156E-3</v>
      </c>
      <c r="BB14" s="16">
        <f t="shared" si="21"/>
        <v>2.2352653652004228E-2</v>
      </c>
      <c r="BC14" s="16"/>
      <c r="BD14" s="1"/>
      <c r="BE14" s="16">
        <f>AM14/'2017-18 disagg'!AM14-1</f>
        <v>1.986869022065596E-2</v>
      </c>
      <c r="BF14" s="16">
        <f>AN14/'2017-18 disagg'!AN14-1</f>
        <v>2.6530278961355069E-2</v>
      </c>
      <c r="BG14" s="16">
        <f>AO14/'2017-18 disagg'!AO14-1</f>
        <v>4.0419479161334149E-2</v>
      </c>
      <c r="BH14" s="16">
        <f>AQ14/'2017-18 disagg'!AQ14-1</f>
        <v>2.3417515439073E-2</v>
      </c>
      <c r="BI14" s="1"/>
      <c r="BJ14" s="16">
        <f>AS14/'2017-18 disagg'!AS14-1</f>
        <v>1.6808062210010632E-2</v>
      </c>
      <c r="BK14" s="16">
        <f>AT14/'2017-18 disagg'!AT14-1</f>
        <v>2.3449659509369836E-2</v>
      </c>
      <c r="BL14" s="16">
        <f>AU14/'2017-18 disagg'!AU14-1</f>
        <v>3.7297178191340707E-2</v>
      </c>
      <c r="BM14" s="16">
        <f>AW14/'2017-18 disagg'!AW14-1</f>
        <v>2.0346237396739797E-2</v>
      </c>
    </row>
    <row r="15" spans="1:65" x14ac:dyDescent="0.2">
      <c r="A15" s="156" t="s">
        <v>75</v>
      </c>
      <c r="B15" s="156" t="s">
        <v>76</v>
      </c>
      <c r="D15" s="56">
        <f>VLOOKUP(A15,'2018-19'!$A$12:$AMX223,32,FALSE)</f>
        <v>529682</v>
      </c>
      <c r="E15" s="56">
        <v>1771.9367808160894</v>
      </c>
      <c r="F15" s="16">
        <f>VLOOKUP(A15,'2018-19'!$A$12:$AMX223,34,FALSE)</f>
        <v>2.2994499551929781E-2</v>
      </c>
      <c r="G15" s="16">
        <f>VLOOKUP(A15,'2018-19'!$A$12:$AMX223,35,FALSE)</f>
        <v>1.7907841567003091E-2</v>
      </c>
      <c r="H15" s="56"/>
      <c r="I15" s="56">
        <v>533959.50981744635</v>
      </c>
      <c r="J15" s="56">
        <v>1786.2462664618827</v>
      </c>
      <c r="K15" s="16">
        <f t="shared" si="6"/>
        <v>-8.0109254331077739E-3</v>
      </c>
      <c r="L15" s="58">
        <f t="shared" si="6"/>
        <v>-8.0109254331077739E-3</v>
      </c>
      <c r="M15" s="10"/>
      <c r="N15" s="56">
        <v>413063</v>
      </c>
      <c r="O15" s="56">
        <v>40968</v>
      </c>
      <c r="P15" s="56">
        <v>75651</v>
      </c>
      <c r="R15" s="56">
        <f t="shared" si="7"/>
        <v>75651</v>
      </c>
      <c r="S15" s="56">
        <f t="shared" si="8"/>
        <v>0</v>
      </c>
      <c r="U15" s="16">
        <v>-1.0244262126162917E-2</v>
      </c>
      <c r="V15" s="16">
        <v>-5.2323838664700695E-3</v>
      </c>
      <c r="W15" s="56">
        <f t="shared" si="9"/>
        <v>4</v>
      </c>
      <c r="X15" s="56">
        <f t="shared" si="10"/>
        <v>4173.3832317792803</v>
      </c>
      <c r="Y15" s="56">
        <f t="shared" si="10"/>
        <v>411.83487817219788</v>
      </c>
      <c r="AA15" s="56">
        <f t="shared" si="22"/>
        <v>0</v>
      </c>
      <c r="AB15" s="56">
        <v>0</v>
      </c>
      <c r="AC15" s="56">
        <f t="shared" si="11"/>
        <v>0</v>
      </c>
      <c r="AE15" s="56">
        <v>0</v>
      </c>
      <c r="AF15" s="56">
        <f t="shared" si="12"/>
        <v>0</v>
      </c>
      <c r="AG15" s="56">
        <f t="shared" si="13"/>
        <v>0</v>
      </c>
      <c r="AI15" s="56">
        <f t="shared" si="14"/>
        <v>0</v>
      </c>
      <c r="AJ15" s="56">
        <f t="shared" si="15"/>
        <v>0</v>
      </c>
      <c r="AK15" s="56">
        <f t="shared" si="16"/>
        <v>0</v>
      </c>
      <c r="AM15" s="56">
        <f t="shared" si="17"/>
        <v>413063</v>
      </c>
      <c r="AN15" s="56">
        <f t="shared" si="18"/>
        <v>40968</v>
      </c>
      <c r="AO15" s="56">
        <f t="shared" si="19"/>
        <v>75651</v>
      </c>
      <c r="AP15" s="56"/>
      <c r="AQ15" s="56">
        <f t="shared" si="20"/>
        <v>529682</v>
      </c>
      <c r="AR15" s="1"/>
      <c r="AS15" s="56">
        <v>1381.8130925616431</v>
      </c>
      <c r="AT15" s="56">
        <v>137.04959963992272</v>
      </c>
      <c r="AU15" s="56">
        <v>253.07408861452336</v>
      </c>
      <c r="AV15" s="56"/>
      <c r="AW15" s="56">
        <v>1771.9367808160894</v>
      </c>
      <c r="AX15" s="1"/>
      <c r="AY15" s="16">
        <v>-1.0244262126162917E-2</v>
      </c>
      <c r="AZ15" s="16">
        <v>-5.2323838664700695E-3</v>
      </c>
      <c r="BA15" s="16">
        <v>2.8275143732041652E-3</v>
      </c>
      <c r="BB15" s="16">
        <f t="shared" si="21"/>
        <v>-8.0109254331077739E-3</v>
      </c>
      <c r="BC15" s="16"/>
      <c r="BD15" s="1"/>
      <c r="BE15" s="16">
        <f>AM15/'2017-18 disagg'!AM15-1</f>
        <v>1.9868350879965302E-2</v>
      </c>
      <c r="BF15" s="16">
        <f>AN15/'2017-18 disagg'!AN15-1</f>
        <v>1.9307324840764251E-2</v>
      </c>
      <c r="BG15" s="16">
        <f>AO15/'2017-18 disagg'!AO15-1</f>
        <v>4.2484290596406238E-2</v>
      </c>
      <c r="BH15" s="16">
        <f>AQ15/'2017-18 disagg'!AQ15-1</f>
        <v>2.2994499551929781E-2</v>
      </c>
      <c r="BI15" s="1"/>
      <c r="BJ15" s="16">
        <f>AS15/'2017-18 disagg'!AS15-1</f>
        <v>1.479723711263814E-2</v>
      </c>
      <c r="BK15" s="16">
        <f>AT15/'2017-18 disagg'!AT15-1</f>
        <v>1.4239000675515534E-2</v>
      </c>
      <c r="BL15" s="16">
        <f>AU15/'2017-18 disagg'!AU15-1</f>
        <v>3.7300723096047594E-2</v>
      </c>
      <c r="BM15" s="16">
        <f>AW15/'2017-18 disagg'!AW15-1</f>
        <v>1.7907841567003091E-2</v>
      </c>
    </row>
    <row r="16" spans="1:65" x14ac:dyDescent="0.2">
      <c r="A16" s="156" t="s">
        <v>77</v>
      </c>
      <c r="B16" s="156" t="s">
        <v>78</v>
      </c>
      <c r="D16" s="56">
        <f>VLOOKUP(A16,'2018-19'!$A$12:$AMX224,32,FALSE)</f>
        <v>447836</v>
      </c>
      <c r="E16" s="56">
        <v>1761.7136491288522</v>
      </c>
      <c r="F16" s="16">
        <f>VLOOKUP(A16,'2018-19'!$A$12:$AMX224,34,FALSE)</f>
        <v>2.1551684808890803E-2</v>
      </c>
      <c r="G16" s="16">
        <f>VLOOKUP(A16,'2018-19'!$A$12:$AMX224,35,FALSE)</f>
        <v>1.79099598386252E-2</v>
      </c>
      <c r="H16" s="56"/>
      <c r="I16" s="56">
        <v>430117.03482448659</v>
      </c>
      <c r="J16" s="56">
        <v>1692.0101353467071</v>
      </c>
      <c r="K16" s="16">
        <f t="shared" si="6"/>
        <v>4.1195683362654556E-2</v>
      </c>
      <c r="L16" s="58">
        <f t="shared" si="6"/>
        <v>4.1195683362654556E-2</v>
      </c>
      <c r="M16" s="10"/>
      <c r="N16" s="56">
        <v>353565</v>
      </c>
      <c r="O16" s="56">
        <v>34554</v>
      </c>
      <c r="P16" s="56">
        <v>59717</v>
      </c>
      <c r="R16" s="56">
        <f t="shared" si="7"/>
        <v>59717</v>
      </c>
      <c r="S16" s="56">
        <f t="shared" si="8"/>
        <v>0</v>
      </c>
      <c r="U16" s="16">
        <v>5.0276169416082706E-2</v>
      </c>
      <c r="V16" s="16">
        <v>6.2836485255931107E-2</v>
      </c>
      <c r="W16" s="56">
        <f t="shared" si="9"/>
        <v>2</v>
      </c>
      <c r="X16" s="56">
        <f t="shared" si="10"/>
        <v>3366.4002887599549</v>
      </c>
      <c r="Y16" s="56">
        <f t="shared" si="10"/>
        <v>325.1111575425395</v>
      </c>
      <c r="AA16" s="56">
        <f t="shared" si="22"/>
        <v>0</v>
      </c>
      <c r="AB16" s="56">
        <v>0</v>
      </c>
      <c r="AC16" s="56">
        <f t="shared" si="11"/>
        <v>0</v>
      </c>
      <c r="AE16" s="56">
        <v>0</v>
      </c>
      <c r="AF16" s="56">
        <f t="shared" si="12"/>
        <v>0</v>
      </c>
      <c r="AG16" s="56">
        <f t="shared" si="13"/>
        <v>0</v>
      </c>
      <c r="AI16" s="56">
        <f t="shared" si="14"/>
        <v>0</v>
      </c>
      <c r="AJ16" s="56">
        <f t="shared" si="15"/>
        <v>0</v>
      </c>
      <c r="AK16" s="56">
        <f t="shared" si="16"/>
        <v>0</v>
      </c>
      <c r="AM16" s="56">
        <f t="shared" si="17"/>
        <v>353565</v>
      </c>
      <c r="AN16" s="56">
        <f t="shared" si="18"/>
        <v>34554</v>
      </c>
      <c r="AO16" s="56">
        <f t="shared" si="19"/>
        <v>59717</v>
      </c>
      <c r="AP16" s="56"/>
      <c r="AQ16" s="56">
        <f t="shared" si="20"/>
        <v>447836</v>
      </c>
      <c r="AR16" s="1"/>
      <c r="AS16" s="56">
        <v>1390.8669386879185</v>
      </c>
      <c r="AT16" s="56">
        <v>135.92978999454792</v>
      </c>
      <c r="AU16" s="56">
        <v>234.91692044638589</v>
      </c>
      <c r="AV16" s="56"/>
      <c r="AW16" s="56">
        <v>1761.7136491288522</v>
      </c>
      <c r="AX16" s="1"/>
      <c r="AY16" s="16">
        <v>5.0276169416082706E-2</v>
      </c>
      <c r="AZ16" s="16">
        <v>6.2836485255931107E-2</v>
      </c>
      <c r="BA16" s="16">
        <v>-2.0485064521459373E-2</v>
      </c>
      <c r="BB16" s="16">
        <f t="shared" si="21"/>
        <v>4.1195683362654556E-2</v>
      </c>
      <c r="BC16" s="16"/>
      <c r="BD16" s="1"/>
      <c r="BE16" s="16">
        <f>AM16/'2017-18 disagg'!AM16-1</f>
        <v>1.9151334165415257E-2</v>
      </c>
      <c r="BF16" s="16">
        <f>AN16/'2017-18 disagg'!AN16-1</f>
        <v>1.3224642993284963E-2</v>
      </c>
      <c r="BG16" s="16">
        <f>AO16/'2017-18 disagg'!AO16-1</f>
        <v>4.1018757408827877E-2</v>
      </c>
      <c r="BH16" s="16">
        <f>AQ16/'2017-18 disagg'!AQ16-1</f>
        <v>2.1551684808890803E-2</v>
      </c>
      <c r="BI16" s="1"/>
      <c r="BJ16" s="16">
        <f>AS16/'2017-18 disagg'!AS16-1</f>
        <v>1.551816619427715E-2</v>
      </c>
      <c r="BK16" s="16">
        <f>AT16/'2017-18 disagg'!AT16-1</f>
        <v>9.6126030566396903E-3</v>
      </c>
      <c r="BL16" s="16">
        <f>AU16/'2017-18 disagg'!AU16-1</f>
        <v>3.7307634359698971E-2</v>
      </c>
      <c r="BM16" s="16">
        <f>AW16/'2017-18 disagg'!AW16-1</f>
        <v>1.79099598386252E-2</v>
      </c>
    </row>
    <row r="17" spans="1:65" x14ac:dyDescent="0.2">
      <c r="A17" s="156" t="s">
        <v>79</v>
      </c>
      <c r="B17" s="156" t="s">
        <v>80</v>
      </c>
      <c r="D17" s="56">
        <f>VLOOKUP(A17,'2018-19'!$A$12:$AMX225,32,FALSE)</f>
        <v>408800</v>
      </c>
      <c r="E17" s="56">
        <v>1852.5021744958572</v>
      </c>
      <c r="F17" s="16">
        <f>VLOOKUP(A17,'2018-19'!$A$12:$AMX225,34,FALSE)</f>
        <v>2.3235556934998902E-2</v>
      </c>
      <c r="G17" s="16">
        <f>VLOOKUP(A17,'2018-19'!$A$12:$AMX225,35,FALSE)</f>
        <v>1.7164478969899921E-2</v>
      </c>
      <c r="H17" s="56"/>
      <c r="I17" s="56">
        <v>398434.10239275463</v>
      </c>
      <c r="J17" s="56">
        <v>1805.5284762130209</v>
      </c>
      <c r="K17" s="16">
        <f t="shared" si="6"/>
        <v>2.6016592317259057E-2</v>
      </c>
      <c r="L17" s="58">
        <f t="shared" si="6"/>
        <v>2.6016592317259057E-2</v>
      </c>
      <c r="M17" s="10"/>
      <c r="N17" s="56">
        <v>319697</v>
      </c>
      <c r="O17" s="56">
        <v>28975</v>
      </c>
      <c r="P17" s="56">
        <v>60128</v>
      </c>
      <c r="R17" s="56">
        <f t="shared" si="7"/>
        <v>60128</v>
      </c>
      <c r="S17" s="56">
        <f t="shared" si="8"/>
        <v>0</v>
      </c>
      <c r="U17" s="16">
        <v>4.0841672165489395E-2</v>
      </c>
      <c r="V17" s="16">
        <v>-1.283253431731135E-2</v>
      </c>
      <c r="W17" s="56">
        <f t="shared" si="9"/>
        <v>3</v>
      </c>
      <c r="X17" s="56">
        <f t="shared" si="10"/>
        <v>3071.523830659708</v>
      </c>
      <c r="Y17" s="56">
        <f t="shared" si="10"/>
        <v>293.516561346174</v>
      </c>
      <c r="AA17" s="56">
        <f t="shared" si="22"/>
        <v>0</v>
      </c>
      <c r="AB17" s="56">
        <v>0</v>
      </c>
      <c r="AC17" s="56">
        <f t="shared" si="11"/>
        <v>0</v>
      </c>
      <c r="AE17" s="56">
        <v>0</v>
      </c>
      <c r="AF17" s="56">
        <f t="shared" si="12"/>
        <v>0</v>
      </c>
      <c r="AG17" s="56">
        <f t="shared" si="13"/>
        <v>0</v>
      </c>
      <c r="AI17" s="56">
        <f t="shared" si="14"/>
        <v>0</v>
      </c>
      <c r="AJ17" s="56">
        <f t="shared" si="15"/>
        <v>0</v>
      </c>
      <c r="AK17" s="56">
        <f t="shared" si="16"/>
        <v>0</v>
      </c>
      <c r="AM17" s="56">
        <f t="shared" si="17"/>
        <v>319697</v>
      </c>
      <c r="AN17" s="56">
        <f t="shared" si="18"/>
        <v>28975</v>
      </c>
      <c r="AO17" s="56">
        <f t="shared" si="19"/>
        <v>60128</v>
      </c>
      <c r="AP17" s="56"/>
      <c r="AQ17" s="56">
        <f t="shared" si="20"/>
        <v>408800</v>
      </c>
      <c r="AR17" s="1"/>
      <c r="AS17" s="56">
        <v>1448.7264864965803</v>
      </c>
      <c r="AT17" s="56">
        <v>131.30198264681374</v>
      </c>
      <c r="AU17" s="56">
        <v>272.47370535246307</v>
      </c>
      <c r="AV17" s="56"/>
      <c r="AW17" s="56">
        <v>1852.5021744958572</v>
      </c>
      <c r="AX17" s="1"/>
      <c r="AY17" s="16">
        <v>4.0841672165489395E-2</v>
      </c>
      <c r="AZ17" s="16">
        <v>-1.283253431731135E-2</v>
      </c>
      <c r="BA17" s="16">
        <v>-2.9098358685259007E-2</v>
      </c>
      <c r="BB17" s="16">
        <f t="shared" si="21"/>
        <v>2.6016592317259057E-2</v>
      </c>
      <c r="BC17" s="16"/>
      <c r="BD17" s="1"/>
      <c r="BE17" s="16">
        <f>AM17/'2017-18 disagg'!AM17-1</f>
        <v>1.9867993326293742E-2</v>
      </c>
      <c r="BF17" s="16">
        <f>AN17/'2017-18 disagg'!AN17-1</f>
        <v>1.93133047210301E-2</v>
      </c>
      <c r="BG17" s="16">
        <f>AO17/'2017-18 disagg'!AO17-1</f>
        <v>4.3490333553156679E-2</v>
      </c>
      <c r="BH17" s="16">
        <f>AQ17/'2017-18 disagg'!AQ17-1</f>
        <v>2.3235556934998902E-2</v>
      </c>
      <c r="BI17" s="1"/>
      <c r="BJ17" s="16">
        <f>AS17/'2017-18 disagg'!AS17-1</f>
        <v>1.3816895844752208E-2</v>
      </c>
      <c r="BK17" s="16">
        <f>AT17/'2017-18 disagg'!AT17-1</f>
        <v>1.3265498327006187E-2</v>
      </c>
      <c r="BL17" s="16">
        <f>AU17/'2017-18 disagg'!AU17-1</f>
        <v>3.7299079615691344E-2</v>
      </c>
      <c r="BM17" s="16">
        <f>AW17/'2017-18 disagg'!AW17-1</f>
        <v>1.7164478969899921E-2</v>
      </c>
    </row>
    <row r="18" spans="1:65" x14ac:dyDescent="0.2">
      <c r="A18" s="156" t="s">
        <v>81</v>
      </c>
      <c r="B18" s="156" t="s">
        <v>82</v>
      </c>
      <c r="D18" s="56">
        <f>VLOOKUP(A18,'2018-19'!$A$12:$AMX226,32,FALSE)</f>
        <v>598987</v>
      </c>
      <c r="E18" s="56">
        <v>1847.2474920499276</v>
      </c>
      <c r="F18" s="16">
        <f>VLOOKUP(A18,'2018-19'!$A$12:$AMX226,34,FALSE)</f>
        <v>2.2465715075807413E-2</v>
      </c>
      <c r="G18" s="16">
        <f>VLOOKUP(A18,'2018-19'!$A$12:$AMX226,35,FALSE)</f>
        <v>2.0636217125107326E-2</v>
      </c>
      <c r="H18" s="56"/>
      <c r="I18" s="56">
        <v>581043.81722522178</v>
      </c>
      <c r="J18" s="56">
        <v>1791.9115675973057</v>
      </c>
      <c r="K18" s="16">
        <f t="shared" si="6"/>
        <v>3.0880946054061775E-2</v>
      </c>
      <c r="L18" s="58">
        <f t="shared" si="6"/>
        <v>3.0880946054061775E-2</v>
      </c>
      <c r="M18" s="10"/>
      <c r="N18" s="56">
        <v>466429</v>
      </c>
      <c r="O18" s="56">
        <v>44783</v>
      </c>
      <c r="P18" s="56">
        <v>87775</v>
      </c>
      <c r="R18" s="56">
        <f t="shared" si="7"/>
        <v>87775</v>
      </c>
      <c r="S18" s="56">
        <f t="shared" si="8"/>
        <v>0</v>
      </c>
      <c r="U18" s="16">
        <v>3.6705147392677384E-2</v>
      </c>
      <c r="V18" s="16">
        <v>4.5090868269871853E-2</v>
      </c>
      <c r="W18" s="56">
        <f t="shared" si="9"/>
        <v>2</v>
      </c>
      <c r="X18" s="56">
        <f t="shared" si="10"/>
        <v>4499.148105640963</v>
      </c>
      <c r="Y18" s="56">
        <f t="shared" si="10"/>
        <v>428.50819349457532</v>
      </c>
      <c r="AA18" s="56">
        <f t="shared" si="22"/>
        <v>0</v>
      </c>
      <c r="AB18" s="56">
        <v>0</v>
      </c>
      <c r="AC18" s="56">
        <f t="shared" si="11"/>
        <v>0</v>
      </c>
      <c r="AE18" s="56">
        <v>0</v>
      </c>
      <c r="AF18" s="56">
        <f t="shared" si="12"/>
        <v>0</v>
      </c>
      <c r="AG18" s="56">
        <f t="shared" si="13"/>
        <v>0</v>
      </c>
      <c r="AI18" s="56">
        <f t="shared" si="14"/>
        <v>0</v>
      </c>
      <c r="AJ18" s="56">
        <f t="shared" si="15"/>
        <v>0</v>
      </c>
      <c r="AK18" s="56">
        <f t="shared" si="16"/>
        <v>0</v>
      </c>
      <c r="AM18" s="56">
        <f t="shared" si="17"/>
        <v>466429</v>
      </c>
      <c r="AN18" s="56">
        <f t="shared" si="18"/>
        <v>44783</v>
      </c>
      <c r="AO18" s="56">
        <f t="shared" si="19"/>
        <v>87775</v>
      </c>
      <c r="AP18" s="56"/>
      <c r="AQ18" s="56">
        <f t="shared" si="20"/>
        <v>598987</v>
      </c>
      <c r="AR18" s="1"/>
      <c r="AS18" s="56">
        <v>1438.4449086029508</v>
      </c>
      <c r="AT18" s="56">
        <v>138.10864749397217</v>
      </c>
      <c r="AU18" s="56">
        <v>270.69393595300465</v>
      </c>
      <c r="AV18" s="56"/>
      <c r="AW18" s="56">
        <v>1847.2474920499276</v>
      </c>
      <c r="AX18" s="1"/>
      <c r="AY18" s="16">
        <v>3.6705147392677384E-2</v>
      </c>
      <c r="AZ18" s="16">
        <v>4.5090868269871853E-2</v>
      </c>
      <c r="BA18" s="16">
        <v>-5.7000186228499672E-3</v>
      </c>
      <c r="BB18" s="16">
        <f t="shared" si="21"/>
        <v>3.0880946054061775E-2</v>
      </c>
      <c r="BC18" s="16"/>
      <c r="BD18" s="1"/>
      <c r="BE18" s="16">
        <f>AM18/'2017-18 disagg'!AM18-1</f>
        <v>1.9869156998482573E-2</v>
      </c>
      <c r="BF18" s="16">
        <f>AN18/'2017-18 disagg'!AN18-1</f>
        <v>1.7402367267192131E-2</v>
      </c>
      <c r="BG18" s="16">
        <f>AO18/'2017-18 disagg'!AO18-1</f>
        <v>3.9163223507405309E-2</v>
      </c>
      <c r="BH18" s="16">
        <f>AQ18/'2017-18 disagg'!AQ18-1</f>
        <v>2.2465715075807413E-2</v>
      </c>
      <c r="BI18" s="1"/>
      <c r="BJ18" s="16">
        <f>AS18/'2017-18 disagg'!AS18-1</f>
        <v>1.8044305069268907E-2</v>
      </c>
      <c r="BK18" s="16">
        <f>AT18/'2017-18 disagg'!AT18-1</f>
        <v>1.5581929164957264E-2</v>
      </c>
      <c r="BL18" s="16">
        <f>AU18/'2017-18 disagg'!AU18-1</f>
        <v>3.7303848704105524E-2</v>
      </c>
      <c r="BM18" s="16">
        <f>AW18/'2017-18 disagg'!AW18-1</f>
        <v>2.0636217125107326E-2</v>
      </c>
    </row>
    <row r="19" spans="1:65" x14ac:dyDescent="0.2">
      <c r="A19" s="156" t="s">
        <v>83</v>
      </c>
      <c r="B19" s="156" t="s">
        <v>84</v>
      </c>
      <c r="D19" s="56">
        <f>VLOOKUP(A19,'2018-19'!$A$12:$AMX227,32,FALSE)</f>
        <v>568970</v>
      </c>
      <c r="E19" s="56">
        <v>1929.0531977204089</v>
      </c>
      <c r="F19" s="16">
        <f>VLOOKUP(A19,'2018-19'!$A$12:$AMX227,34,FALSE)</f>
        <v>2.294281466139525E-2</v>
      </c>
      <c r="G19" s="16">
        <f>VLOOKUP(A19,'2018-19'!$A$12:$AMX227,35,FALSE)</f>
        <v>2.1262796773857451E-2</v>
      </c>
      <c r="H19" s="56"/>
      <c r="I19" s="56">
        <v>560302.32357622217</v>
      </c>
      <c r="J19" s="56">
        <v>1899.6660438773338</v>
      </c>
      <c r="K19" s="16">
        <f t="shared" si="6"/>
        <v>1.5469642118303151E-2</v>
      </c>
      <c r="L19" s="58">
        <f t="shared" si="6"/>
        <v>1.5469642118303151E-2</v>
      </c>
      <c r="M19" s="10"/>
      <c r="N19" s="56">
        <v>429997</v>
      </c>
      <c r="O19" s="56">
        <v>44784</v>
      </c>
      <c r="P19" s="56">
        <v>94189</v>
      </c>
      <c r="R19" s="56">
        <f t="shared" si="7"/>
        <v>94189</v>
      </c>
      <c r="S19" s="56">
        <f t="shared" si="8"/>
        <v>0</v>
      </c>
      <c r="U19" s="16">
        <v>7.6858501560452819E-3</v>
      </c>
      <c r="V19" s="16">
        <v>2.7388144558978311E-2</v>
      </c>
      <c r="W19" s="56">
        <f t="shared" si="9"/>
        <v>2</v>
      </c>
      <c r="X19" s="56">
        <f t="shared" si="10"/>
        <v>4267.1731466052915</v>
      </c>
      <c r="Y19" s="56">
        <f t="shared" si="10"/>
        <v>435.90146759211632</v>
      </c>
      <c r="AA19" s="56">
        <f t="shared" si="22"/>
        <v>0</v>
      </c>
      <c r="AB19" s="56">
        <v>0</v>
      </c>
      <c r="AC19" s="56">
        <f t="shared" si="11"/>
        <v>0</v>
      </c>
      <c r="AE19" s="56">
        <v>0</v>
      </c>
      <c r="AF19" s="56">
        <f t="shared" si="12"/>
        <v>0</v>
      </c>
      <c r="AG19" s="56">
        <f t="shared" si="13"/>
        <v>0</v>
      </c>
      <c r="AI19" s="56">
        <f t="shared" si="14"/>
        <v>0</v>
      </c>
      <c r="AJ19" s="56">
        <f t="shared" si="15"/>
        <v>0</v>
      </c>
      <c r="AK19" s="56">
        <f t="shared" si="16"/>
        <v>0</v>
      </c>
      <c r="AM19" s="56">
        <f t="shared" si="17"/>
        <v>429997</v>
      </c>
      <c r="AN19" s="56">
        <f t="shared" si="18"/>
        <v>44784</v>
      </c>
      <c r="AO19" s="56">
        <f t="shared" si="19"/>
        <v>94189</v>
      </c>
      <c r="AP19" s="56"/>
      <c r="AQ19" s="56">
        <f t="shared" si="20"/>
        <v>568970</v>
      </c>
      <c r="AR19" s="1"/>
      <c r="AS19" s="56">
        <v>1457.8749105579955</v>
      </c>
      <c r="AT19" s="56">
        <v>151.83703605938939</v>
      </c>
      <c r="AU19" s="56">
        <v>319.34125110302404</v>
      </c>
      <c r="AV19" s="56"/>
      <c r="AW19" s="56">
        <v>1929.0531977204089</v>
      </c>
      <c r="AX19" s="1"/>
      <c r="AY19" s="16">
        <v>7.6858501560452819E-3</v>
      </c>
      <c r="AZ19" s="16">
        <v>2.7388144558978311E-2</v>
      </c>
      <c r="BA19" s="16">
        <v>4.6604192095164976E-2</v>
      </c>
      <c r="BB19" s="16">
        <f t="shared" si="21"/>
        <v>1.5469642118303151E-2</v>
      </c>
      <c r="BC19" s="16"/>
      <c r="BD19" s="1"/>
      <c r="BE19" s="16">
        <f>AM19/'2017-18 disagg'!AM19-1</f>
        <v>1.9868602058725759E-2</v>
      </c>
      <c r="BF19" s="16">
        <f>AN19/'2017-18 disagg'!AN19-1</f>
        <v>1.9300801165331283E-2</v>
      </c>
      <c r="BG19" s="16">
        <f>AO19/'2017-18 disagg'!AO19-1</f>
        <v>3.9005879562728163E-2</v>
      </c>
      <c r="BH19" s="16">
        <f>AQ19/'2017-18 disagg'!AQ19-1</f>
        <v>2.294281466139525E-2</v>
      </c>
      <c r="BI19" s="1"/>
      <c r="BJ19" s="16">
        <f>AS19/'2017-18 disagg'!AS19-1</f>
        <v>1.8193633067459025E-2</v>
      </c>
      <c r="BK19" s="16">
        <f>AT19/'2017-18 disagg'!AT19-1</f>
        <v>1.7626764695065411E-2</v>
      </c>
      <c r="BL19" s="16">
        <f>AU19/'2017-18 disagg'!AU19-1</f>
        <v>3.7299480692816411E-2</v>
      </c>
      <c r="BM19" s="16">
        <f>AW19/'2017-18 disagg'!AW19-1</f>
        <v>2.1262796773857451E-2</v>
      </c>
    </row>
    <row r="20" spans="1:65" x14ac:dyDescent="0.2">
      <c r="A20" s="156" t="s">
        <v>85</v>
      </c>
      <c r="B20" s="156" t="s">
        <v>86</v>
      </c>
      <c r="D20" s="56">
        <f>VLOOKUP(A20,'2018-19'!$A$12:$AMX228,32,FALSE)</f>
        <v>311116.43438091705</v>
      </c>
      <c r="E20" s="56">
        <v>1987.9122800886112</v>
      </c>
      <c r="F20" s="16">
        <f>VLOOKUP(A20,'2018-19'!$A$12:$AMX228,34,FALSE)</f>
        <v>1.9438877467092164E-2</v>
      </c>
      <c r="G20" s="16">
        <f>VLOOKUP(A20,'2018-19'!$A$12:$AMX228,35,FALSE)</f>
        <v>1.6622354120781058E-2</v>
      </c>
      <c r="H20" s="56"/>
      <c r="I20" s="56">
        <v>297658.74496810278</v>
      </c>
      <c r="J20" s="56">
        <v>1901.922910550526</v>
      </c>
      <c r="K20" s="16">
        <f t="shared" si="6"/>
        <v>4.5211805936547833E-2</v>
      </c>
      <c r="L20" s="58">
        <f t="shared" si="6"/>
        <v>4.5211805936548055E-2</v>
      </c>
      <c r="M20" s="10"/>
      <c r="N20" s="56">
        <v>248408</v>
      </c>
      <c r="O20" s="56">
        <v>21761</v>
      </c>
      <c r="P20" s="56">
        <v>39927</v>
      </c>
      <c r="R20" s="56">
        <f t="shared" si="7"/>
        <v>39927</v>
      </c>
      <c r="S20" s="56">
        <f t="shared" si="8"/>
        <v>1020.4343809170532</v>
      </c>
      <c r="U20" s="16">
        <v>6.1199865460243696E-2</v>
      </c>
      <c r="V20" s="16">
        <v>-7.3026051105616885E-3</v>
      </c>
      <c r="W20" s="56">
        <f t="shared" si="9"/>
        <v>3</v>
      </c>
      <c r="X20" s="56">
        <f t="shared" si="10"/>
        <v>2340.8220080414835</v>
      </c>
      <c r="Y20" s="56">
        <f t="shared" si="10"/>
        <v>219.21080998125953</v>
      </c>
      <c r="AA20" s="56">
        <f t="shared" si="22"/>
        <v>0</v>
      </c>
      <c r="AB20" s="56">
        <v>0</v>
      </c>
      <c r="AC20" s="56">
        <f t="shared" si="11"/>
        <v>1020.4343809170532</v>
      </c>
      <c r="AE20" s="56">
        <v>0</v>
      </c>
      <c r="AF20" s="56">
        <f t="shared" si="12"/>
        <v>158.91198981093291</v>
      </c>
      <c r="AG20" s="56">
        <f t="shared" si="13"/>
        <v>861.52239110612027</v>
      </c>
      <c r="AI20" s="56">
        <f t="shared" si="14"/>
        <v>787.7518441655435</v>
      </c>
      <c r="AJ20" s="56">
        <f t="shared" si="15"/>
        <v>73.770546940576892</v>
      </c>
      <c r="AK20" s="56">
        <f t="shared" si="16"/>
        <v>0</v>
      </c>
      <c r="AM20" s="56">
        <f t="shared" si="17"/>
        <v>249196</v>
      </c>
      <c r="AN20" s="56">
        <f t="shared" si="18"/>
        <v>21994</v>
      </c>
      <c r="AO20" s="56">
        <f t="shared" si="19"/>
        <v>39927</v>
      </c>
      <c r="AP20" s="56"/>
      <c r="AQ20" s="56">
        <f t="shared" si="20"/>
        <v>311117</v>
      </c>
      <c r="AR20" s="1"/>
      <c r="AS20" s="56">
        <v>1592.2649330136016</v>
      </c>
      <c r="AT20" s="56">
        <v>140.53305404862499</v>
      </c>
      <c r="AU20" s="56">
        <v>255.11790711100528</v>
      </c>
      <c r="AV20" s="56"/>
      <c r="AW20" s="56">
        <v>1987.9158941732319</v>
      </c>
      <c r="AX20" s="1"/>
      <c r="AY20" s="16">
        <v>6.456620428178983E-2</v>
      </c>
      <c r="AZ20" s="16">
        <v>3.3264327557698259E-3</v>
      </c>
      <c r="BA20" s="16">
        <v>-4.1494273126852166E-2</v>
      </c>
      <c r="BB20" s="16">
        <f t="shared" si="21"/>
        <v>4.5213706163208522E-2</v>
      </c>
      <c r="BC20" s="16"/>
      <c r="BD20" s="1"/>
      <c r="BE20" s="16">
        <f>AM20/'2017-18 disagg'!AM20-1</f>
        <v>1.5261764106742737E-2</v>
      </c>
      <c r="BF20" s="16">
        <f>AN20/'2017-18 disagg'!AN20-1</f>
        <v>3.0212187924492984E-2</v>
      </c>
      <c r="BG20" s="16">
        <f>AO20/'2017-18 disagg'!AO20-1</f>
        <v>4.017194216490827E-2</v>
      </c>
      <c r="BH20" s="16">
        <f>AQ20/'2017-18 disagg'!AQ20-1</f>
        <v>1.9440730837789744E-2</v>
      </c>
      <c r="BI20" s="1"/>
      <c r="BJ20" s="16">
        <f>AS20/'2017-18 disagg'!AS20-1</f>
        <v>1.2456781361402935E-2</v>
      </c>
      <c r="BK20" s="16">
        <f>AT20/'2017-18 disagg'!AT20-1</f>
        <v>2.7365899889890022E-2</v>
      </c>
      <c r="BL20" s="16">
        <f>AU20/'2017-18 disagg'!AU20-1</f>
        <v>3.7298137149187838E-2</v>
      </c>
      <c r="BM20" s="16">
        <f>AW20/'2017-18 disagg'!AW20-1</f>
        <v>1.6624202370953967E-2</v>
      </c>
    </row>
    <row r="21" spans="1:65" x14ac:dyDescent="0.2">
      <c r="A21" s="156" t="s">
        <v>87</v>
      </c>
      <c r="B21" s="156" t="s">
        <v>88</v>
      </c>
      <c r="D21" s="56">
        <f>VLOOKUP(A21,'2018-19'!$A$12:$AMX229,32,FALSE)</f>
        <v>552429</v>
      </c>
      <c r="E21" s="56">
        <v>1938.9274452392119</v>
      </c>
      <c r="F21" s="16">
        <f>VLOOKUP(A21,'2018-19'!$A$12:$AMX229,34,FALSE)</f>
        <v>6.1432713602984634E-3</v>
      </c>
      <c r="G21" s="16">
        <f>VLOOKUP(A21,'2018-19'!$A$12:$AMX229,35,FALSE)</f>
        <v>5.0882766104005661E-3</v>
      </c>
      <c r="H21" s="56"/>
      <c r="I21" s="56">
        <v>504332.62092157296</v>
      </c>
      <c r="J21" s="56">
        <v>1770.1177169088905</v>
      </c>
      <c r="K21" s="16">
        <f t="shared" si="6"/>
        <v>9.5366385363968575E-2</v>
      </c>
      <c r="L21" s="58">
        <f t="shared" si="6"/>
        <v>9.5366385363968575E-2</v>
      </c>
      <c r="M21" s="10"/>
      <c r="N21" s="56">
        <v>448081</v>
      </c>
      <c r="O21" s="56">
        <v>41016</v>
      </c>
      <c r="P21" s="56">
        <v>63332</v>
      </c>
      <c r="R21" s="56">
        <f t="shared" si="7"/>
        <v>63332</v>
      </c>
      <c r="S21" s="56">
        <f t="shared" si="8"/>
        <v>0</v>
      </c>
      <c r="U21" s="16">
        <v>0.13447160043703299</v>
      </c>
      <c r="V21" s="16">
        <v>2.2196572516490098E-2</v>
      </c>
      <c r="W21" s="56">
        <f t="shared" si="9"/>
        <v>2</v>
      </c>
      <c r="X21" s="56">
        <f t="shared" si="10"/>
        <v>3949.6889990669274</v>
      </c>
      <c r="Y21" s="56">
        <f t="shared" si="10"/>
        <v>401.25354655636283</v>
      </c>
      <c r="AA21" s="56">
        <f t="shared" si="22"/>
        <v>0</v>
      </c>
      <c r="AB21" s="56">
        <v>0</v>
      </c>
      <c r="AC21" s="56">
        <f t="shared" si="11"/>
        <v>0</v>
      </c>
      <c r="AE21" s="56">
        <v>0</v>
      </c>
      <c r="AF21" s="56">
        <f t="shared" si="12"/>
        <v>0</v>
      </c>
      <c r="AG21" s="56">
        <f t="shared" si="13"/>
        <v>0</v>
      </c>
      <c r="AI21" s="56">
        <f t="shared" si="14"/>
        <v>0</v>
      </c>
      <c r="AJ21" s="56">
        <f t="shared" si="15"/>
        <v>0</v>
      </c>
      <c r="AK21" s="56">
        <f t="shared" si="16"/>
        <v>0</v>
      </c>
      <c r="AM21" s="56">
        <f t="shared" si="17"/>
        <v>448081</v>
      </c>
      <c r="AN21" s="56">
        <f t="shared" si="18"/>
        <v>41016</v>
      </c>
      <c r="AO21" s="56">
        <f t="shared" si="19"/>
        <v>63332</v>
      </c>
      <c r="AP21" s="56"/>
      <c r="AQ21" s="56">
        <f t="shared" si="20"/>
        <v>552429</v>
      </c>
      <c r="AR21" s="1"/>
      <c r="AS21" s="56">
        <v>1572.6845415252121</v>
      </c>
      <c r="AT21" s="56">
        <v>143.95885823143158</v>
      </c>
      <c r="AU21" s="56">
        <v>222.28404548256839</v>
      </c>
      <c r="AV21" s="56"/>
      <c r="AW21" s="56">
        <v>1938.9274452392119</v>
      </c>
      <c r="AX21" s="1"/>
      <c r="AY21" s="16">
        <v>0.13447160043703299</v>
      </c>
      <c r="AZ21" s="16">
        <v>2.2196572516490098E-2</v>
      </c>
      <c r="BA21" s="16">
        <v>-8.5304819709331015E-2</v>
      </c>
      <c r="BB21" s="16">
        <f t="shared" si="21"/>
        <v>9.5366385363968575E-2</v>
      </c>
      <c r="BC21" s="16"/>
      <c r="BD21" s="1"/>
      <c r="BE21" s="16">
        <f>AM21/'2017-18 disagg'!AM21-1</f>
        <v>5.6941758629469597E-4</v>
      </c>
      <c r="BF21" s="16">
        <f>AN21/'2017-18 disagg'!AN21-1</f>
        <v>1.9309624990680785E-2</v>
      </c>
      <c r="BG21" s="16">
        <f>AO21/'2017-18 disagg'!AO21-1</f>
        <v>3.8382712203439917E-2</v>
      </c>
      <c r="BH21" s="16">
        <f>AQ21/'2017-18 disagg'!AQ21-1</f>
        <v>6.1432713602984634E-3</v>
      </c>
      <c r="BI21" s="1"/>
      <c r="BJ21" s="16">
        <f>AS21/'2017-18 disagg'!AS21-1</f>
        <v>-4.7973268137491143E-4</v>
      </c>
      <c r="BK21" s="16">
        <f>AT21/'2017-18 disagg'!AT21-1</f>
        <v>1.8240824618511287E-2</v>
      </c>
      <c r="BL21" s="16">
        <f>AU21/'2017-18 disagg'!AU21-1</f>
        <v>3.7293912684581931E-2</v>
      </c>
      <c r="BM21" s="16">
        <f>AW21/'2017-18 disagg'!AW21-1</f>
        <v>5.0882766104005661E-3</v>
      </c>
    </row>
    <row r="22" spans="1:65" x14ac:dyDescent="0.2">
      <c r="A22" s="156" t="s">
        <v>89</v>
      </c>
      <c r="B22" s="156" t="s">
        <v>90</v>
      </c>
      <c r="D22" s="56">
        <f>VLOOKUP(A22,'2018-19'!$A$12:$AMX230,32,FALSE)</f>
        <v>299463</v>
      </c>
      <c r="E22" s="56">
        <v>1738.7507340949787</v>
      </c>
      <c r="F22" s="16">
        <f>VLOOKUP(A22,'2018-19'!$A$12:$AMX230,34,FALSE)</f>
        <v>2.2916851691181073E-2</v>
      </c>
      <c r="G22" s="16">
        <f>VLOOKUP(A22,'2018-19'!$A$12:$AMX230,35,FALSE)</f>
        <v>2.1027242142861002E-2</v>
      </c>
      <c r="H22" s="56"/>
      <c r="I22" s="56">
        <v>304078.327045738</v>
      </c>
      <c r="J22" s="56">
        <v>1765.5483795098223</v>
      </c>
      <c r="K22" s="16">
        <f t="shared" si="6"/>
        <v>-1.5178086154899795E-2</v>
      </c>
      <c r="L22" s="58">
        <f t="shared" si="6"/>
        <v>-1.5178086154899684E-2</v>
      </c>
      <c r="M22" s="10"/>
      <c r="N22" s="56">
        <v>226633</v>
      </c>
      <c r="O22" s="56">
        <v>24148</v>
      </c>
      <c r="P22" s="56">
        <v>48682</v>
      </c>
      <c r="R22" s="56">
        <f t="shared" si="7"/>
        <v>48682</v>
      </c>
      <c r="S22" s="56">
        <f t="shared" si="8"/>
        <v>0</v>
      </c>
      <c r="U22" s="16">
        <v>-1.6539803197620828E-2</v>
      </c>
      <c r="V22" s="16">
        <v>1.851252852661478E-2</v>
      </c>
      <c r="W22" s="56">
        <f t="shared" si="9"/>
        <v>1</v>
      </c>
      <c r="X22" s="56">
        <f t="shared" si="10"/>
        <v>2304.4450679028409</v>
      </c>
      <c r="Y22" s="56">
        <f t="shared" si="10"/>
        <v>237.09084889640599</v>
      </c>
      <c r="AA22" s="56">
        <f t="shared" si="22"/>
        <v>0</v>
      </c>
      <c r="AB22" s="56">
        <v>0</v>
      </c>
      <c r="AC22" s="56">
        <f t="shared" si="11"/>
        <v>0</v>
      </c>
      <c r="AE22" s="56">
        <v>0</v>
      </c>
      <c r="AF22" s="56">
        <f t="shared" si="12"/>
        <v>0</v>
      </c>
      <c r="AG22" s="56">
        <f t="shared" si="13"/>
        <v>0</v>
      </c>
      <c r="AI22" s="56">
        <f t="shared" si="14"/>
        <v>0</v>
      </c>
      <c r="AJ22" s="56">
        <f t="shared" si="15"/>
        <v>0</v>
      </c>
      <c r="AK22" s="56">
        <f t="shared" si="16"/>
        <v>0</v>
      </c>
      <c r="AM22" s="56">
        <f t="shared" si="17"/>
        <v>226633</v>
      </c>
      <c r="AN22" s="56">
        <f t="shared" si="18"/>
        <v>24148</v>
      </c>
      <c r="AO22" s="56">
        <f t="shared" si="19"/>
        <v>48682</v>
      </c>
      <c r="AP22" s="56"/>
      <c r="AQ22" s="56">
        <f t="shared" si="20"/>
        <v>299463</v>
      </c>
      <c r="AR22" s="1"/>
      <c r="AS22" s="56">
        <v>1315.8830811156881</v>
      </c>
      <c r="AT22" s="56">
        <v>140.20881620409048</v>
      </c>
      <c r="AU22" s="56">
        <v>282.65883677520014</v>
      </c>
      <c r="AV22" s="56"/>
      <c r="AW22" s="56">
        <v>1738.7507340949787</v>
      </c>
      <c r="AX22" s="1"/>
      <c r="AY22" s="16">
        <v>-1.6539803197620828E-2</v>
      </c>
      <c r="AZ22" s="16">
        <v>1.851252852661478E-2</v>
      </c>
      <c r="BA22" s="16">
        <v>-2.4892177328681098E-2</v>
      </c>
      <c r="BB22" s="16">
        <f t="shared" si="21"/>
        <v>-1.5178086154899795E-2</v>
      </c>
      <c r="BC22" s="16"/>
      <c r="BD22" s="1"/>
      <c r="BE22" s="16">
        <f>AM22/'2017-18 disagg'!AM22-1</f>
        <v>1.9867877489672336E-2</v>
      </c>
      <c r="BF22" s="16">
        <f>AN22/'2017-18 disagg'!AN22-1</f>
        <v>1.9290025748174511E-2</v>
      </c>
      <c r="BG22" s="16">
        <f>AO22/'2017-18 disagg'!AO22-1</f>
        <v>3.9214430568897507E-2</v>
      </c>
      <c r="BH22" s="16">
        <f>AQ22/'2017-18 disagg'!AQ22-1</f>
        <v>2.2916851691181073E-2</v>
      </c>
      <c r="BI22" s="1"/>
      <c r="BJ22" s="16">
        <f>AS22/'2017-18 disagg'!AS22-1</f>
        <v>1.7983900237617867E-2</v>
      </c>
      <c r="BK22" s="16">
        <f>AT22/'2017-18 disagg'!AT22-1</f>
        <v>1.7407115947659646E-2</v>
      </c>
      <c r="BL22" s="16">
        <f>AU22/'2017-18 disagg'!AU22-1</f>
        <v>3.7294714897474046E-2</v>
      </c>
      <c r="BM22" s="16">
        <f>AW22/'2017-18 disagg'!AW22-1</f>
        <v>2.1027242142861002E-2</v>
      </c>
    </row>
    <row r="23" spans="1:65" x14ac:dyDescent="0.2">
      <c r="A23" s="156" t="s">
        <v>91</v>
      </c>
      <c r="B23" s="156" t="s">
        <v>92</v>
      </c>
      <c r="D23" s="56">
        <f>VLOOKUP(A23,'2018-19'!$A$12:$AMX231,32,FALSE)</f>
        <v>344142</v>
      </c>
      <c r="E23" s="56">
        <v>2002.640952228958</v>
      </c>
      <c r="F23" s="16">
        <f>VLOOKUP(A23,'2018-19'!$A$12:$AMX231,34,FALSE)</f>
        <v>2.2719370455011489E-2</v>
      </c>
      <c r="G23" s="16">
        <f>VLOOKUP(A23,'2018-19'!$A$12:$AMX231,35,FALSE)</f>
        <v>2.2540342449292927E-2</v>
      </c>
      <c r="H23" s="56"/>
      <c r="I23" s="56">
        <v>351552.68928190169</v>
      </c>
      <c r="J23" s="56">
        <v>2045.7654468857584</v>
      </c>
      <c r="K23" s="16">
        <f t="shared" si="6"/>
        <v>-2.1079882213500101E-2</v>
      </c>
      <c r="L23" s="58">
        <f t="shared" si="6"/>
        <v>-2.1079882213500212E-2</v>
      </c>
      <c r="M23" s="10"/>
      <c r="N23" s="56">
        <v>260869</v>
      </c>
      <c r="O23" s="56">
        <v>25917</v>
      </c>
      <c r="P23" s="56">
        <v>57356</v>
      </c>
      <c r="R23" s="56">
        <f t="shared" si="7"/>
        <v>57356</v>
      </c>
      <c r="S23" s="56">
        <f t="shared" si="8"/>
        <v>0</v>
      </c>
      <c r="U23" s="16">
        <v>-3.2970160117757996E-2</v>
      </c>
      <c r="V23" s="16">
        <v>-4.819249264243719E-2</v>
      </c>
      <c r="W23" s="56">
        <f t="shared" si="9"/>
        <v>4</v>
      </c>
      <c r="X23" s="56">
        <f t="shared" si="10"/>
        <v>2697.6313371236483</v>
      </c>
      <c r="Y23" s="56">
        <f t="shared" si="10"/>
        <v>272.29245198907466</v>
      </c>
      <c r="AA23" s="56">
        <f t="shared" si="22"/>
        <v>0</v>
      </c>
      <c r="AB23" s="56">
        <v>0</v>
      </c>
      <c r="AC23" s="56">
        <f t="shared" si="11"/>
        <v>0</v>
      </c>
      <c r="AE23" s="56">
        <v>0</v>
      </c>
      <c r="AF23" s="56">
        <f t="shared" si="12"/>
        <v>0</v>
      </c>
      <c r="AG23" s="56">
        <f t="shared" si="13"/>
        <v>0</v>
      </c>
      <c r="AI23" s="56">
        <f t="shared" si="14"/>
        <v>0</v>
      </c>
      <c r="AJ23" s="56">
        <f t="shared" si="15"/>
        <v>0</v>
      </c>
      <c r="AK23" s="56">
        <f t="shared" si="16"/>
        <v>0</v>
      </c>
      <c r="AM23" s="56">
        <f t="shared" si="17"/>
        <v>260869</v>
      </c>
      <c r="AN23" s="56">
        <f t="shared" si="18"/>
        <v>25917</v>
      </c>
      <c r="AO23" s="56">
        <f t="shared" si="19"/>
        <v>57356</v>
      </c>
      <c r="AP23" s="56"/>
      <c r="AQ23" s="56">
        <f t="shared" si="20"/>
        <v>344142</v>
      </c>
      <c r="AR23" s="1"/>
      <c r="AS23" s="56">
        <v>1518.056333045708</v>
      </c>
      <c r="AT23" s="56">
        <v>150.816946373642</v>
      </c>
      <c r="AU23" s="56">
        <v>333.76767280960797</v>
      </c>
      <c r="AV23" s="56"/>
      <c r="AW23" s="56">
        <v>2002.640952228958</v>
      </c>
      <c r="AX23" s="1"/>
      <c r="AY23" s="16">
        <v>-3.2970160117757996E-2</v>
      </c>
      <c r="AZ23" s="16">
        <v>-4.819249264243719E-2</v>
      </c>
      <c r="BA23" s="16">
        <v>5.1240354213151873E-2</v>
      </c>
      <c r="BB23" s="16">
        <f t="shared" si="21"/>
        <v>-2.1079882213500101E-2</v>
      </c>
      <c r="BC23" s="16"/>
      <c r="BD23" s="1"/>
      <c r="BE23" s="16">
        <f>AM23/'2017-18 disagg'!AM23-1</f>
        <v>1.9868093374565632E-2</v>
      </c>
      <c r="BF23" s="16">
        <f>AN23/'2017-18 disagg'!AN23-1</f>
        <v>1.931094155588764E-2</v>
      </c>
      <c r="BG23" s="16">
        <f>AO23/'2017-18 disagg'!AO23-1</f>
        <v>3.7479198321394902E-2</v>
      </c>
      <c r="BH23" s="16">
        <f>AQ23/'2017-18 disagg'!AQ23-1</f>
        <v>2.2719370455011489E-2</v>
      </c>
      <c r="BI23" s="1"/>
      <c r="BJ23" s="16">
        <f>AS23/'2017-18 disagg'!AS23-1</f>
        <v>1.9689564487631817E-2</v>
      </c>
      <c r="BK23" s="16">
        <f>AT23/'2017-18 disagg'!AT23-1</f>
        <v>1.913251019891371E-2</v>
      </c>
      <c r="BL23" s="16">
        <f>AU23/'2017-18 disagg'!AU23-1</f>
        <v>3.7297586593666221E-2</v>
      </c>
      <c r="BM23" s="16">
        <f>AW23/'2017-18 disagg'!AW23-1</f>
        <v>2.2540342449292927E-2</v>
      </c>
    </row>
    <row r="24" spans="1:65" x14ac:dyDescent="0.2">
      <c r="A24" s="156" t="s">
        <v>93</v>
      </c>
      <c r="B24" s="156" t="s">
        <v>94</v>
      </c>
      <c r="D24" s="56">
        <f>VLOOKUP(A24,'2018-19'!$A$12:$AMX232,32,FALSE)</f>
        <v>535613.48805554456</v>
      </c>
      <c r="E24" s="56">
        <v>1744.7444718470358</v>
      </c>
      <c r="F24" s="16">
        <f>VLOOKUP(A24,'2018-19'!$A$12:$AMX232,34,FALSE)</f>
        <v>2.6132554855413215E-2</v>
      </c>
      <c r="G24" s="16">
        <f>VLOOKUP(A24,'2018-19'!$A$12:$AMX232,35,FALSE)</f>
        <v>2.0055664057786471E-2</v>
      </c>
      <c r="H24" s="56"/>
      <c r="I24" s="56">
        <v>549044.04779856012</v>
      </c>
      <c r="J24" s="56">
        <v>1788.4941073360653</v>
      </c>
      <c r="K24" s="16">
        <f t="shared" si="6"/>
        <v>-2.4461716317418558E-2</v>
      </c>
      <c r="L24" s="58">
        <f t="shared" si="6"/>
        <v>-2.4461716317418558E-2</v>
      </c>
      <c r="M24" s="10"/>
      <c r="N24" s="56">
        <v>404420</v>
      </c>
      <c r="O24" s="56">
        <v>41257</v>
      </c>
      <c r="P24" s="56">
        <v>88650</v>
      </c>
      <c r="R24" s="56">
        <f t="shared" si="7"/>
        <v>88650</v>
      </c>
      <c r="S24" s="56">
        <f t="shared" si="8"/>
        <v>1286.4880555445561</v>
      </c>
      <c r="U24" s="16">
        <v>-3.7473723270135206E-2</v>
      </c>
      <c r="V24" s="16">
        <v>-3.6703929750229736E-2</v>
      </c>
      <c r="W24" s="56">
        <f t="shared" si="9"/>
        <v>4</v>
      </c>
      <c r="X24" s="56">
        <f t="shared" si="10"/>
        <v>4201.6515265847793</v>
      </c>
      <c r="Y24" s="56">
        <f t="shared" si="10"/>
        <v>428.28992325591645</v>
      </c>
      <c r="AA24" s="56">
        <f t="shared" si="22"/>
        <v>0</v>
      </c>
      <c r="AB24" s="56">
        <v>0</v>
      </c>
      <c r="AC24" s="56">
        <f t="shared" si="11"/>
        <v>1286.4880555445561</v>
      </c>
      <c r="AE24" s="56">
        <v>0</v>
      </c>
      <c r="AF24" s="56">
        <f t="shared" si="12"/>
        <v>0</v>
      </c>
      <c r="AG24" s="56">
        <f t="shared" si="13"/>
        <v>1286.4880555445561</v>
      </c>
      <c r="AI24" s="56">
        <f t="shared" si="14"/>
        <v>1167.4822589166549</v>
      </c>
      <c r="AJ24" s="56">
        <f t="shared" si="15"/>
        <v>119.00579662790102</v>
      </c>
      <c r="AK24" s="56">
        <f t="shared" si="16"/>
        <v>0</v>
      </c>
      <c r="AM24" s="56">
        <f t="shared" si="17"/>
        <v>405587</v>
      </c>
      <c r="AN24" s="56">
        <f t="shared" si="18"/>
        <v>41376</v>
      </c>
      <c r="AO24" s="56">
        <f t="shared" si="19"/>
        <v>88650</v>
      </c>
      <c r="AP24" s="56"/>
      <c r="AQ24" s="56">
        <f t="shared" si="20"/>
        <v>535613</v>
      </c>
      <c r="AR24" s="1"/>
      <c r="AS24" s="56">
        <v>1321.1871841988395</v>
      </c>
      <c r="AT24" s="56">
        <v>134.78104804495999</v>
      </c>
      <c r="AU24" s="56">
        <v>288.7746497773033</v>
      </c>
      <c r="AV24" s="56"/>
      <c r="AW24" s="56">
        <v>1744.7428820211028</v>
      </c>
      <c r="AX24" s="1"/>
      <c r="AY24" s="16">
        <v>-3.4696244003670218E-2</v>
      </c>
      <c r="AZ24" s="16">
        <v>-3.3925438043132194E-2</v>
      </c>
      <c r="BA24" s="16">
        <v>3.0216154817917618E-2</v>
      </c>
      <c r="BB24" s="16">
        <f t="shared" si="21"/>
        <v>-2.4462605236161061E-2</v>
      </c>
      <c r="BC24" s="16"/>
      <c r="BD24" s="1"/>
      <c r="BE24" s="16">
        <f>AM24/'2017-18 disagg'!AM24-1</f>
        <v>2.2812269097016502E-2</v>
      </c>
      <c r="BF24" s="16">
        <f>AN24/'2017-18 disagg'!AN24-1</f>
        <v>2.2235398754817615E-2</v>
      </c>
      <c r="BG24" s="16">
        <f>AO24/'2017-18 disagg'!AO24-1</f>
        <v>4.3481331512783106E-2</v>
      </c>
      <c r="BH24" s="16">
        <f>AQ24/'2017-18 disagg'!AQ24-1</f>
        <v>2.6131619834742326E-2</v>
      </c>
      <c r="BI24" s="1"/>
      <c r="BJ24" s="16">
        <f>AS24/'2017-18 disagg'!AS24-1</f>
        <v>1.6755041464616705E-2</v>
      </c>
      <c r="BK24" s="16">
        <f>AT24/'2017-18 disagg'!AT24-1</f>
        <v>1.6181587423808264E-2</v>
      </c>
      <c r="BL24" s="16">
        <f>AU24/'2017-18 disagg'!AU24-1</f>
        <v>3.7301698997509458E-2</v>
      </c>
      <c r="BM24" s="16">
        <f>AW24/'2017-18 disagg'!AW24-1</f>
        <v>2.0054734574429967E-2</v>
      </c>
    </row>
    <row r="25" spans="1:65" x14ac:dyDescent="0.2">
      <c r="A25" s="156" t="s">
        <v>95</v>
      </c>
      <c r="B25" s="156" t="s">
        <v>96</v>
      </c>
      <c r="D25" s="56">
        <f>VLOOKUP(A25,'2018-19'!$A$12:$AMX233,32,FALSE)</f>
        <v>349302</v>
      </c>
      <c r="E25" s="56">
        <v>1721.5286423732421</v>
      </c>
      <c r="F25" s="16">
        <f>VLOOKUP(A25,'2018-19'!$A$12:$AMX233,34,FALSE)</f>
        <v>2.415082169088012E-2</v>
      </c>
      <c r="G25" s="16">
        <f>VLOOKUP(A25,'2018-19'!$A$12:$AMX233,35,FALSE)</f>
        <v>1.8616146701480929E-2</v>
      </c>
      <c r="H25" s="56"/>
      <c r="I25" s="56">
        <v>356510.20213219279</v>
      </c>
      <c r="J25" s="56">
        <v>1757.0541373048077</v>
      </c>
      <c r="K25" s="16">
        <f t="shared" si="6"/>
        <v>-2.0218782208987096E-2</v>
      </c>
      <c r="L25" s="58">
        <f t="shared" si="6"/>
        <v>-2.0218782208987096E-2</v>
      </c>
      <c r="M25" s="10"/>
      <c r="N25" s="56">
        <v>256134</v>
      </c>
      <c r="O25" s="56">
        <v>26497</v>
      </c>
      <c r="P25" s="56">
        <v>66671</v>
      </c>
      <c r="R25" s="56">
        <f t="shared" si="7"/>
        <v>66671</v>
      </c>
      <c r="S25" s="56">
        <f t="shared" si="8"/>
        <v>0</v>
      </c>
      <c r="U25" s="16">
        <v>-4.2875607676522764E-2</v>
      </c>
      <c r="V25" s="16">
        <v>-1.8715125738715366E-2</v>
      </c>
      <c r="W25" s="56">
        <f t="shared" si="9"/>
        <v>4</v>
      </c>
      <c r="X25" s="56">
        <f t="shared" si="10"/>
        <v>2676.0784915137233</v>
      </c>
      <c r="Y25" s="56">
        <f t="shared" si="10"/>
        <v>270.02352420796308</v>
      </c>
      <c r="AA25" s="56">
        <f t="shared" si="22"/>
        <v>0</v>
      </c>
      <c r="AB25" s="56">
        <v>0</v>
      </c>
      <c r="AC25" s="56">
        <f t="shared" si="11"/>
        <v>0</v>
      </c>
      <c r="AE25" s="56">
        <v>0</v>
      </c>
      <c r="AF25" s="56">
        <f t="shared" si="12"/>
        <v>0</v>
      </c>
      <c r="AG25" s="56">
        <f t="shared" si="13"/>
        <v>0</v>
      </c>
      <c r="AI25" s="56">
        <f t="shared" si="14"/>
        <v>0</v>
      </c>
      <c r="AJ25" s="56">
        <f t="shared" si="15"/>
        <v>0</v>
      </c>
      <c r="AK25" s="56">
        <f t="shared" si="16"/>
        <v>0</v>
      </c>
      <c r="AM25" s="56">
        <f t="shared" si="17"/>
        <v>256134</v>
      </c>
      <c r="AN25" s="56">
        <f t="shared" si="18"/>
        <v>26497</v>
      </c>
      <c r="AO25" s="56">
        <f t="shared" si="19"/>
        <v>66671</v>
      </c>
      <c r="AP25" s="56"/>
      <c r="AQ25" s="56">
        <f t="shared" si="20"/>
        <v>349302</v>
      </c>
      <c r="AR25" s="1"/>
      <c r="AS25" s="56">
        <v>1262.3518253134193</v>
      </c>
      <c r="AT25" s="56">
        <v>130.58998928424054</v>
      </c>
      <c r="AU25" s="56">
        <v>328.58682777558221</v>
      </c>
      <c r="AV25" s="56"/>
      <c r="AW25" s="56">
        <v>1721.5286423732421</v>
      </c>
      <c r="AX25" s="1"/>
      <c r="AY25" s="16">
        <v>-4.2875607676522764E-2</v>
      </c>
      <c r="AZ25" s="16">
        <v>-1.8715125738715366E-2</v>
      </c>
      <c r="BA25" s="16">
        <v>7.7075919173044127E-2</v>
      </c>
      <c r="BB25" s="16">
        <f t="shared" si="21"/>
        <v>-2.0218782208987096E-2</v>
      </c>
      <c r="BC25" s="16"/>
      <c r="BD25" s="1"/>
      <c r="BE25" s="16">
        <f>AM25/'2017-18 disagg'!AM25-1</f>
        <v>1.9869079094065656E-2</v>
      </c>
      <c r="BF25" s="16">
        <f>AN25/'2017-18 disagg'!AN25-1</f>
        <v>1.9311406039623114E-2</v>
      </c>
      <c r="BG25" s="16">
        <f>AO25/'2017-18 disagg'!AO25-1</f>
        <v>4.2940274692613301E-2</v>
      </c>
      <c r="BH25" s="16">
        <f>AQ25/'2017-18 disagg'!AQ25-1</f>
        <v>2.415082169088012E-2</v>
      </c>
      <c r="BI25" s="1"/>
      <c r="BJ25" s="16">
        <f>AS25/'2017-18 disagg'!AS25-1</f>
        <v>1.4357543327093047E-2</v>
      </c>
      <c r="BK25" s="16">
        <f>AT25/'2017-18 disagg'!AT25-1</f>
        <v>1.3802884027110496E-2</v>
      </c>
      <c r="BL25" s="16">
        <f>AU25/'2017-18 disagg'!AU25-1</f>
        <v>3.7304058491323566E-2</v>
      </c>
      <c r="BM25" s="16">
        <f>AW25/'2017-18 disagg'!AW25-1</f>
        <v>1.8616146701480929E-2</v>
      </c>
    </row>
    <row r="26" spans="1:65" x14ac:dyDescent="0.2">
      <c r="A26" s="156" t="s">
        <v>97</v>
      </c>
      <c r="B26" s="156" t="s">
        <v>98</v>
      </c>
      <c r="D26" s="56">
        <f>VLOOKUP(A26,'2018-19'!$A$12:$AMX234,32,FALSE)</f>
        <v>403839</v>
      </c>
      <c r="E26" s="56">
        <v>1762.1485864511201</v>
      </c>
      <c r="F26" s="16">
        <f>VLOOKUP(A26,'2018-19'!$A$12:$AMX234,34,FALSE)</f>
        <v>2.7543548066989887E-2</v>
      </c>
      <c r="G26" s="16">
        <f>VLOOKUP(A26,'2018-19'!$A$12:$AMX234,35,FALSE)</f>
        <v>2.1340474542485E-2</v>
      </c>
      <c r="H26" s="56"/>
      <c r="I26" s="56">
        <v>409947.50389474654</v>
      </c>
      <c r="J26" s="56">
        <v>1788.8029994807155</v>
      </c>
      <c r="K26" s="16">
        <f t="shared" si="6"/>
        <v>-1.4900697861828904E-2</v>
      </c>
      <c r="L26" s="58">
        <f t="shared" si="6"/>
        <v>-1.4900697861828904E-2</v>
      </c>
      <c r="M26" s="10"/>
      <c r="N26" s="56">
        <v>264709</v>
      </c>
      <c r="O26" s="56">
        <v>32534</v>
      </c>
      <c r="P26" s="56">
        <v>106596</v>
      </c>
      <c r="R26" s="56">
        <f t="shared" si="7"/>
        <v>106596</v>
      </c>
      <c r="S26" s="56">
        <f t="shared" si="8"/>
        <v>0</v>
      </c>
      <c r="U26" s="16">
        <v>-4.4293121269487146E-2</v>
      </c>
      <c r="V26" s="16">
        <v>-4.9176005271254875E-2</v>
      </c>
      <c r="W26" s="56">
        <f t="shared" si="9"/>
        <v>4</v>
      </c>
      <c r="X26" s="56">
        <f t="shared" si="10"/>
        <v>2769.7718399978348</v>
      </c>
      <c r="Y26" s="56">
        <f t="shared" si="10"/>
        <v>342.16637548447051</v>
      </c>
      <c r="AA26" s="56">
        <f t="shared" si="22"/>
        <v>0</v>
      </c>
      <c r="AB26" s="56">
        <v>0</v>
      </c>
      <c r="AC26" s="56">
        <f t="shared" si="11"/>
        <v>0</v>
      </c>
      <c r="AE26" s="56">
        <v>0</v>
      </c>
      <c r="AF26" s="56">
        <f t="shared" si="12"/>
        <v>0</v>
      </c>
      <c r="AG26" s="56">
        <f t="shared" si="13"/>
        <v>0</v>
      </c>
      <c r="AI26" s="56">
        <f t="shared" si="14"/>
        <v>0</v>
      </c>
      <c r="AJ26" s="56">
        <f t="shared" si="15"/>
        <v>0</v>
      </c>
      <c r="AK26" s="56">
        <f t="shared" si="16"/>
        <v>0</v>
      </c>
      <c r="AM26" s="56">
        <f t="shared" si="17"/>
        <v>264709</v>
      </c>
      <c r="AN26" s="56">
        <f t="shared" si="18"/>
        <v>32534</v>
      </c>
      <c r="AO26" s="56">
        <f t="shared" si="19"/>
        <v>106596</v>
      </c>
      <c r="AP26" s="56"/>
      <c r="AQ26" s="56">
        <f t="shared" si="20"/>
        <v>403839</v>
      </c>
      <c r="AR26" s="1"/>
      <c r="AS26" s="56">
        <v>1155.0558271263785</v>
      </c>
      <c r="AT26" s="56">
        <v>141.96187617243689</v>
      </c>
      <c r="AU26" s="56">
        <v>465.13088315230476</v>
      </c>
      <c r="AV26" s="56"/>
      <c r="AW26" s="56">
        <v>1762.1485864511201</v>
      </c>
      <c r="AX26" s="1"/>
      <c r="AY26" s="16">
        <v>-4.4293121269487146E-2</v>
      </c>
      <c r="AZ26" s="16">
        <v>-4.9176005271254875E-2</v>
      </c>
      <c r="BA26" s="16">
        <v>7.941291369739667E-2</v>
      </c>
      <c r="BB26" s="16">
        <f t="shared" si="21"/>
        <v>-1.4900697861828904E-2</v>
      </c>
      <c r="BC26" s="16"/>
      <c r="BD26" s="1"/>
      <c r="BE26" s="16">
        <f>AM26/'2017-18 disagg'!AM26-1</f>
        <v>1.9868850943163707E-2</v>
      </c>
      <c r="BF26" s="16">
        <f>AN26/'2017-18 disagg'!AN26-1</f>
        <v>3.8794342092659306E-2</v>
      </c>
      <c r="BG26" s="16">
        <f>AO26/'2017-18 disagg'!AO26-1</f>
        <v>4.3595743222736738E-2</v>
      </c>
      <c r="BH26" s="16">
        <f>AQ26/'2017-18 disagg'!AQ26-1</f>
        <v>2.7543548066989887E-2</v>
      </c>
      <c r="BI26" s="1"/>
      <c r="BJ26" s="16">
        <f>AS26/'2017-18 disagg'!AS26-1</f>
        <v>1.3712108020049518E-2</v>
      </c>
      <c r="BK26" s="16">
        <f>AT26/'2017-18 disagg'!AT26-1</f>
        <v>3.2523349789741918E-2</v>
      </c>
      <c r="BL26" s="16">
        <f>AU26/'2017-18 disagg'!AU26-1</f>
        <v>3.7295765827862315E-2</v>
      </c>
      <c r="BM26" s="16">
        <f>AW26/'2017-18 disagg'!AW26-1</f>
        <v>2.1340474542485E-2</v>
      </c>
    </row>
    <row r="27" spans="1:65" x14ac:dyDescent="0.2">
      <c r="A27" s="156" t="s">
        <v>99</v>
      </c>
      <c r="B27" s="156" t="s">
        <v>100</v>
      </c>
      <c r="D27" s="56">
        <f>VLOOKUP(A27,'2018-19'!$A$12:$AMX235,32,FALSE)</f>
        <v>313906</v>
      </c>
      <c r="E27" s="56">
        <v>1719.6828737299327</v>
      </c>
      <c r="F27" s="16">
        <f>VLOOKUP(A27,'2018-19'!$A$12:$AMX235,34,FALSE)</f>
        <v>2.4497389033942607E-2</v>
      </c>
      <c r="G27" s="16">
        <f>VLOOKUP(A27,'2018-19'!$A$12:$AMX235,35,FALSE)</f>
        <v>1.7905701436302879E-2</v>
      </c>
      <c r="H27" s="56"/>
      <c r="I27" s="56">
        <v>307106.27820598957</v>
      </c>
      <c r="J27" s="56">
        <v>1682.431705815691</v>
      </c>
      <c r="K27" s="16">
        <f t="shared" si="6"/>
        <v>2.2141265993427695E-2</v>
      </c>
      <c r="L27" s="58">
        <f t="shared" si="6"/>
        <v>2.2141265993427917E-2</v>
      </c>
      <c r="M27" s="10"/>
      <c r="N27" s="56">
        <v>241786</v>
      </c>
      <c r="O27" s="56">
        <v>21893</v>
      </c>
      <c r="P27" s="56">
        <v>50227</v>
      </c>
      <c r="R27" s="56">
        <f t="shared" si="7"/>
        <v>50227</v>
      </c>
      <c r="S27" s="56">
        <f t="shared" si="8"/>
        <v>0</v>
      </c>
      <c r="U27" s="16">
        <v>2.967960021122229E-2</v>
      </c>
      <c r="V27" s="16">
        <v>-4.8644830376993742E-2</v>
      </c>
      <c r="W27" s="56">
        <f t="shared" si="9"/>
        <v>3</v>
      </c>
      <c r="X27" s="56">
        <f t="shared" si="10"/>
        <v>2348.1673323468917</v>
      </c>
      <c r="Y27" s="56">
        <f t="shared" si="10"/>
        <v>230.12436048122328</v>
      </c>
      <c r="AA27" s="56">
        <f t="shared" si="22"/>
        <v>0</v>
      </c>
      <c r="AB27" s="56">
        <v>0</v>
      </c>
      <c r="AC27" s="56">
        <f t="shared" si="11"/>
        <v>0</v>
      </c>
      <c r="AE27" s="56">
        <v>0</v>
      </c>
      <c r="AF27" s="56">
        <f t="shared" si="12"/>
        <v>0</v>
      </c>
      <c r="AG27" s="56">
        <f t="shared" si="13"/>
        <v>0</v>
      </c>
      <c r="AI27" s="56">
        <f t="shared" si="14"/>
        <v>0</v>
      </c>
      <c r="AJ27" s="56">
        <f t="shared" si="15"/>
        <v>0</v>
      </c>
      <c r="AK27" s="56">
        <f t="shared" si="16"/>
        <v>0</v>
      </c>
      <c r="AM27" s="56">
        <f t="shared" si="17"/>
        <v>241786</v>
      </c>
      <c r="AN27" s="56">
        <f t="shared" si="18"/>
        <v>21893</v>
      </c>
      <c r="AO27" s="56">
        <f t="shared" si="19"/>
        <v>50227</v>
      </c>
      <c r="AP27" s="56"/>
      <c r="AQ27" s="56">
        <f t="shared" si="20"/>
        <v>313906</v>
      </c>
      <c r="AR27" s="1"/>
      <c r="AS27" s="56">
        <v>1324.5852048309544</v>
      </c>
      <c r="AT27" s="56">
        <v>119.93723329458315</v>
      </c>
      <c r="AU27" s="56">
        <v>275.16043560439539</v>
      </c>
      <c r="AV27" s="56"/>
      <c r="AW27" s="56">
        <v>1719.6828737299327</v>
      </c>
      <c r="AX27" s="1"/>
      <c r="AY27" s="16">
        <v>2.967960021122229E-2</v>
      </c>
      <c r="AZ27" s="16">
        <v>-4.8644830376993742E-2</v>
      </c>
      <c r="BA27" s="16">
        <v>1.9276517993432218E-2</v>
      </c>
      <c r="BB27" s="16">
        <f t="shared" si="21"/>
        <v>2.2141265993427695E-2</v>
      </c>
      <c r="BC27" s="16"/>
      <c r="BD27" s="1"/>
      <c r="BE27" s="16">
        <f>AM27/'2017-18 disagg'!AM27-1</f>
        <v>1.9867046854173287E-2</v>
      </c>
      <c r="BF27" s="16">
        <f>AN27/'2017-18 disagg'!AN27-1</f>
        <v>3.1958519915154415E-2</v>
      </c>
      <c r="BG27" s="16">
        <f>AO27/'2017-18 disagg'!AO27-1</f>
        <v>4.4025026502317655E-2</v>
      </c>
      <c r="BH27" s="16">
        <f>AQ27/'2017-18 disagg'!AQ27-1</f>
        <v>2.4497389033942607E-2</v>
      </c>
      <c r="BI27" s="1"/>
      <c r="BJ27" s="16">
        <f>AS27/'2017-18 disagg'!AS27-1</f>
        <v>1.3305151200804E-2</v>
      </c>
      <c r="BK27" s="16">
        <f>AT27/'2017-18 disagg'!AT27-1</f>
        <v>2.5318826881463474E-2</v>
      </c>
      <c r="BL27" s="16">
        <f>AU27/'2017-18 disagg'!AU27-1</f>
        <v>3.7307696724337536E-2</v>
      </c>
      <c r="BM27" s="16">
        <f>AW27/'2017-18 disagg'!AW27-1</f>
        <v>1.7905701436302879E-2</v>
      </c>
    </row>
    <row r="28" spans="1:65" x14ac:dyDescent="0.2">
      <c r="A28" s="156" t="s">
        <v>101</v>
      </c>
      <c r="B28" s="156" t="s">
        <v>102</v>
      </c>
      <c r="D28" s="56">
        <f>VLOOKUP(A28,'2018-19'!$A$12:$AMX236,32,FALSE)</f>
        <v>952008</v>
      </c>
      <c r="E28" s="56">
        <v>1824.9711729243113</v>
      </c>
      <c r="F28" s="16">
        <f>VLOOKUP(A28,'2018-19'!$A$12:$AMX236,34,FALSE)</f>
        <v>2.1747366500491028E-2</v>
      </c>
      <c r="G28" s="16">
        <f>VLOOKUP(A28,'2018-19'!$A$12:$AMX236,35,FALSE)</f>
        <v>2.1668407635932585E-2</v>
      </c>
      <c r="H28" s="56"/>
      <c r="I28" s="56">
        <v>919880.92148442077</v>
      </c>
      <c r="J28" s="56">
        <v>1763.3845138193374</v>
      </c>
      <c r="K28" s="16">
        <f t="shared" si="6"/>
        <v>3.4925258003759341E-2</v>
      </c>
      <c r="L28" s="58">
        <f t="shared" si="6"/>
        <v>3.4925258003759341E-2</v>
      </c>
      <c r="M28" s="10"/>
      <c r="N28" s="56">
        <v>748199</v>
      </c>
      <c r="O28" s="56">
        <v>74144</v>
      </c>
      <c r="P28" s="56">
        <v>129665</v>
      </c>
      <c r="R28" s="56">
        <f t="shared" si="7"/>
        <v>129665</v>
      </c>
      <c r="S28" s="56">
        <f t="shared" si="8"/>
        <v>0</v>
      </c>
      <c r="U28" s="16">
        <v>3.269386241786898E-2</v>
      </c>
      <c r="V28" s="16">
        <v>6.0041720281722721E-2</v>
      </c>
      <c r="W28" s="56">
        <f t="shared" si="9"/>
        <v>2</v>
      </c>
      <c r="X28" s="56">
        <f t="shared" si="10"/>
        <v>7245.1190738001014</v>
      </c>
      <c r="Y28" s="56">
        <f t="shared" si="10"/>
        <v>699.44416886059048</v>
      </c>
      <c r="AA28" s="56">
        <f t="shared" si="22"/>
        <v>0</v>
      </c>
      <c r="AB28" s="56">
        <v>0</v>
      </c>
      <c r="AC28" s="56">
        <f t="shared" si="11"/>
        <v>0</v>
      </c>
      <c r="AE28" s="56">
        <v>0</v>
      </c>
      <c r="AF28" s="56">
        <f t="shared" si="12"/>
        <v>0</v>
      </c>
      <c r="AG28" s="56">
        <f t="shared" si="13"/>
        <v>0</v>
      </c>
      <c r="AI28" s="56">
        <f t="shared" si="14"/>
        <v>0</v>
      </c>
      <c r="AJ28" s="56">
        <f t="shared" si="15"/>
        <v>0</v>
      </c>
      <c r="AK28" s="56">
        <f t="shared" si="16"/>
        <v>0</v>
      </c>
      <c r="AM28" s="56">
        <f t="shared" si="17"/>
        <v>748199</v>
      </c>
      <c r="AN28" s="56">
        <f t="shared" si="18"/>
        <v>74144</v>
      </c>
      <c r="AO28" s="56">
        <f t="shared" si="19"/>
        <v>129665</v>
      </c>
      <c r="AP28" s="56"/>
      <c r="AQ28" s="56">
        <f t="shared" si="20"/>
        <v>952008</v>
      </c>
      <c r="AR28" s="1"/>
      <c r="AS28" s="56">
        <v>1434.275349168071</v>
      </c>
      <c r="AT28" s="56">
        <v>142.13185461183113</v>
      </c>
      <c r="AU28" s="56">
        <v>248.56396914440933</v>
      </c>
      <c r="AV28" s="56"/>
      <c r="AW28" s="56">
        <v>1824.9711729243113</v>
      </c>
      <c r="AX28" s="1"/>
      <c r="AY28" s="16">
        <v>3.269386241786898E-2</v>
      </c>
      <c r="AZ28" s="16">
        <v>6.0041720281722721E-2</v>
      </c>
      <c r="BA28" s="16">
        <v>3.3808382691205452E-2</v>
      </c>
      <c r="BB28" s="16">
        <f t="shared" si="21"/>
        <v>3.4925258003759341E-2</v>
      </c>
      <c r="BC28" s="16"/>
      <c r="BD28" s="1"/>
      <c r="BE28" s="16">
        <f>AM28/'2017-18 disagg'!AM28-1</f>
        <v>1.986851557271252E-2</v>
      </c>
      <c r="BF28" s="16">
        <f>AN28/'2017-18 disagg'!AN28-1</f>
        <v>1.3879582655307754E-2</v>
      </c>
      <c r="BG28" s="16">
        <f>AO28/'2017-18 disagg'!AO28-1</f>
        <v>3.7378093173217719E-2</v>
      </c>
      <c r="BH28" s="16">
        <f>AQ28/'2017-18 disagg'!AQ28-1</f>
        <v>2.1747366500491028E-2</v>
      </c>
      <c r="BI28" s="1"/>
      <c r="BJ28" s="16">
        <f>AS28/'2017-18 disagg'!AS28-1</f>
        <v>1.9789701902495294E-2</v>
      </c>
      <c r="BK28" s="16">
        <f>AT28/'2017-18 disagg'!AT28-1</f>
        <v>1.3801231799440261E-2</v>
      </c>
      <c r="BL28" s="16">
        <f>AU28/'2017-18 disagg'!AU28-1</f>
        <v>3.7297926393208947E-2</v>
      </c>
      <c r="BM28" s="16">
        <f>AW28/'2017-18 disagg'!AW28-1</f>
        <v>2.1668407635932585E-2</v>
      </c>
    </row>
    <row r="29" spans="1:65" x14ac:dyDescent="0.2">
      <c r="A29" s="156" t="s">
        <v>103</v>
      </c>
      <c r="B29" s="156" t="s">
        <v>104</v>
      </c>
      <c r="D29" s="56">
        <f>VLOOKUP(A29,'2018-19'!$A$12:$AMX237,32,FALSE)</f>
        <v>707722</v>
      </c>
      <c r="E29" s="56">
        <v>1878.883724413284</v>
      </c>
      <c r="F29" s="16">
        <f>VLOOKUP(A29,'2018-19'!$A$12:$AMX237,34,FALSE)</f>
        <v>2.2815726910764722E-2</v>
      </c>
      <c r="G29" s="16">
        <f>VLOOKUP(A29,'2018-19'!$A$12:$AMX237,35,FALSE)</f>
        <v>2.0516672402523195E-2</v>
      </c>
      <c r="H29" s="56"/>
      <c r="I29" s="56">
        <v>686352.54954621952</v>
      </c>
      <c r="J29" s="56">
        <v>1822.1514020363275</v>
      </c>
      <c r="K29" s="16">
        <f t="shared" si="6"/>
        <v>3.1134801594179029E-2</v>
      </c>
      <c r="L29" s="58">
        <f t="shared" si="6"/>
        <v>3.1134801594179251E-2</v>
      </c>
      <c r="M29" s="10"/>
      <c r="N29" s="56">
        <v>548421</v>
      </c>
      <c r="O29" s="56">
        <v>50548</v>
      </c>
      <c r="P29" s="56">
        <v>108753</v>
      </c>
      <c r="R29" s="56">
        <f t="shared" si="7"/>
        <v>108753</v>
      </c>
      <c r="S29" s="56">
        <f t="shared" si="8"/>
        <v>0</v>
      </c>
      <c r="U29" s="16">
        <v>4.6049560996738625E-2</v>
      </c>
      <c r="V29" s="16">
        <v>-1.317987225283912E-2</v>
      </c>
      <c r="W29" s="56">
        <f t="shared" si="9"/>
        <v>3</v>
      </c>
      <c r="X29" s="56">
        <f t="shared" si="10"/>
        <v>5242.7821821122088</v>
      </c>
      <c r="Y29" s="56">
        <f t="shared" si="10"/>
        <v>512.23114100233681</v>
      </c>
      <c r="AA29" s="56">
        <f t="shared" si="22"/>
        <v>0</v>
      </c>
      <c r="AB29" s="56">
        <v>0</v>
      </c>
      <c r="AC29" s="56">
        <f t="shared" si="11"/>
        <v>0</v>
      </c>
      <c r="AE29" s="56">
        <v>0</v>
      </c>
      <c r="AF29" s="56">
        <f t="shared" si="12"/>
        <v>0</v>
      </c>
      <c r="AG29" s="56">
        <f t="shared" si="13"/>
        <v>0</v>
      </c>
      <c r="AI29" s="56">
        <f t="shared" si="14"/>
        <v>0</v>
      </c>
      <c r="AJ29" s="56">
        <f t="shared" si="15"/>
        <v>0</v>
      </c>
      <c r="AK29" s="56">
        <f t="shared" si="16"/>
        <v>0</v>
      </c>
      <c r="AM29" s="56">
        <f t="shared" si="17"/>
        <v>548421</v>
      </c>
      <c r="AN29" s="56">
        <f t="shared" si="18"/>
        <v>50548</v>
      </c>
      <c r="AO29" s="56">
        <f t="shared" si="19"/>
        <v>108753</v>
      </c>
      <c r="AP29" s="56"/>
      <c r="AQ29" s="56">
        <f t="shared" si="20"/>
        <v>707722</v>
      </c>
      <c r="AR29" s="1"/>
      <c r="AS29" s="56">
        <v>1455.9661717827869</v>
      </c>
      <c r="AT29" s="56">
        <v>134.19649876878589</v>
      </c>
      <c r="AU29" s="56">
        <v>288.72105386171103</v>
      </c>
      <c r="AV29" s="56"/>
      <c r="AW29" s="56">
        <v>1878.883724413284</v>
      </c>
      <c r="AX29" s="1"/>
      <c r="AY29" s="16">
        <v>4.6049560996738625E-2</v>
      </c>
      <c r="AZ29" s="16">
        <v>-1.317987225283912E-2</v>
      </c>
      <c r="BA29" s="16">
        <v>-1.8928229090360849E-2</v>
      </c>
      <c r="BB29" s="16">
        <f t="shared" si="21"/>
        <v>3.1134801594179029E-2</v>
      </c>
      <c r="BC29" s="16"/>
      <c r="BD29" s="1"/>
      <c r="BE29" s="16">
        <f>AM29/'2017-18 disagg'!AM29-1</f>
        <v>1.9868448702618613E-2</v>
      </c>
      <c r="BF29" s="16">
        <f>AN29/'2017-18 disagg'!AN29-1</f>
        <v>1.9297856465890995E-2</v>
      </c>
      <c r="BG29" s="16">
        <f>AO29/'2017-18 disagg'!AO29-1</f>
        <v>3.9634058906191649E-2</v>
      </c>
      <c r="BH29" s="16">
        <f>AQ29/'2017-18 disagg'!AQ29-1</f>
        <v>2.2815726910764722E-2</v>
      </c>
      <c r="BI29" s="1"/>
      <c r="BJ29" s="16">
        <f>AS29/'2017-18 disagg'!AS29-1</f>
        <v>1.757601899791994E-2</v>
      </c>
      <c r="BK29" s="16">
        <f>AT29/'2017-18 disagg'!AT29-1</f>
        <v>1.7006709321305324E-2</v>
      </c>
      <c r="BL29" s="16">
        <f>AU29/'2017-18 disagg'!AU29-1</f>
        <v>3.729720065581188E-2</v>
      </c>
      <c r="BM29" s="16">
        <f>AW29/'2017-18 disagg'!AW29-1</f>
        <v>2.0516672402523195E-2</v>
      </c>
    </row>
    <row r="30" spans="1:65" x14ac:dyDescent="0.2">
      <c r="A30" s="156" t="s">
        <v>105</v>
      </c>
      <c r="B30" s="156" t="s">
        <v>106</v>
      </c>
      <c r="D30" s="56">
        <f>VLOOKUP(A30,'2018-19'!$A$12:$AMX238,32,FALSE)</f>
        <v>345062</v>
      </c>
      <c r="E30" s="56">
        <v>1650.3938461054104</v>
      </c>
      <c r="F30" s="16">
        <f>VLOOKUP(A30,'2018-19'!$A$12:$AMX238,34,FALSE)</f>
        <v>2.3913733705634765E-2</v>
      </c>
      <c r="G30" s="16">
        <f>VLOOKUP(A30,'2018-19'!$A$12:$AMX238,35,FALSE)</f>
        <v>1.8920946951171524E-2</v>
      </c>
      <c r="H30" s="56"/>
      <c r="I30" s="56">
        <v>343682.84516620444</v>
      </c>
      <c r="J30" s="56">
        <v>1643.7974992155102</v>
      </c>
      <c r="K30" s="16">
        <f t="shared" si="6"/>
        <v>4.0128707417113052E-3</v>
      </c>
      <c r="L30" s="58">
        <f t="shared" si="6"/>
        <v>4.0128707417113052E-3</v>
      </c>
      <c r="M30" s="10"/>
      <c r="N30" s="56">
        <v>254709</v>
      </c>
      <c r="O30" s="56">
        <v>26536</v>
      </c>
      <c r="P30" s="56">
        <v>63817</v>
      </c>
      <c r="R30" s="56">
        <f t="shared" si="7"/>
        <v>63817</v>
      </c>
      <c r="S30" s="56">
        <f t="shared" si="8"/>
        <v>0</v>
      </c>
      <c r="U30" s="16">
        <v>-3.1844678302661467E-2</v>
      </c>
      <c r="V30" s="16">
        <v>7.4708861489005685E-3</v>
      </c>
      <c r="W30" s="56">
        <f t="shared" si="9"/>
        <v>1</v>
      </c>
      <c r="X30" s="56">
        <f t="shared" si="10"/>
        <v>2630.8691827820812</v>
      </c>
      <c r="Y30" s="56">
        <f t="shared" si="10"/>
        <v>263.39222666210202</v>
      </c>
      <c r="AA30" s="56">
        <f t="shared" si="22"/>
        <v>0</v>
      </c>
      <c r="AB30" s="56">
        <v>0</v>
      </c>
      <c r="AC30" s="56">
        <f t="shared" si="11"/>
        <v>0</v>
      </c>
      <c r="AE30" s="56">
        <v>0</v>
      </c>
      <c r="AF30" s="56">
        <f t="shared" si="12"/>
        <v>0</v>
      </c>
      <c r="AG30" s="56">
        <f t="shared" si="13"/>
        <v>0</v>
      </c>
      <c r="AI30" s="56">
        <f t="shared" si="14"/>
        <v>0</v>
      </c>
      <c r="AJ30" s="56">
        <f t="shared" si="15"/>
        <v>0</v>
      </c>
      <c r="AK30" s="56">
        <f t="shared" si="16"/>
        <v>0</v>
      </c>
      <c r="AM30" s="56">
        <f t="shared" si="17"/>
        <v>254709</v>
      </c>
      <c r="AN30" s="56">
        <f t="shared" si="18"/>
        <v>26536</v>
      </c>
      <c r="AO30" s="56">
        <f t="shared" si="19"/>
        <v>63817</v>
      </c>
      <c r="AP30" s="56"/>
      <c r="AQ30" s="56">
        <f t="shared" si="20"/>
        <v>345062</v>
      </c>
      <c r="AR30" s="1"/>
      <c r="AS30" s="56">
        <v>1218.2453186605971</v>
      </c>
      <c r="AT30" s="56">
        <v>126.91878879810923</v>
      </c>
      <c r="AU30" s="56">
        <v>305.22973864670399</v>
      </c>
      <c r="AV30" s="56"/>
      <c r="AW30" s="56">
        <v>1650.3938461054104</v>
      </c>
      <c r="AX30" s="1"/>
      <c r="AY30" s="16">
        <v>-3.1844678302661467E-2</v>
      </c>
      <c r="AZ30" s="16">
        <v>7.4708861489005685E-3</v>
      </c>
      <c r="BA30" s="16">
        <v>0.17620487486917868</v>
      </c>
      <c r="BB30" s="16">
        <f t="shared" si="21"/>
        <v>4.0128707417113052E-3</v>
      </c>
      <c r="BC30" s="16"/>
      <c r="BD30" s="1"/>
      <c r="BE30" s="16">
        <f>AM30/'2017-18 disagg'!AM30-1</f>
        <v>1.9868106523801998E-2</v>
      </c>
      <c r="BF30" s="16">
        <f>AN30/'2017-18 disagg'!AN30-1</f>
        <v>1.9282476761158573E-2</v>
      </c>
      <c r="BG30" s="16">
        <f>AO30/'2017-18 disagg'!AO30-1</f>
        <v>4.2386723726764997E-2</v>
      </c>
      <c r="BH30" s="16">
        <f>AQ30/'2017-18 disagg'!AQ30-1</f>
        <v>2.3913733705634765E-2</v>
      </c>
      <c r="BI30" s="1"/>
      <c r="BJ30" s="16">
        <f>AS30/'2017-18 disagg'!AS30-1</f>
        <v>1.4895046972073001E-2</v>
      </c>
      <c r="BK30" s="16">
        <f>AT30/'2017-18 disagg'!AT30-1</f>
        <v>1.4312272845041774E-2</v>
      </c>
      <c r="BL30" s="16">
        <f>AU30/'2017-18 disagg'!AU30-1</f>
        <v>3.7303859364338887E-2</v>
      </c>
      <c r="BM30" s="16">
        <f>AW30/'2017-18 disagg'!AW30-1</f>
        <v>1.8920946951171524E-2</v>
      </c>
    </row>
    <row r="31" spans="1:65" x14ac:dyDescent="0.2">
      <c r="A31" s="156" t="s">
        <v>107</v>
      </c>
      <c r="B31" s="156" t="s">
        <v>108</v>
      </c>
      <c r="D31" s="56">
        <f>VLOOKUP(A31,'2018-19'!$A$12:$AMX239,32,FALSE)</f>
        <v>287265</v>
      </c>
      <c r="E31" s="56">
        <v>1883.5740951540952</v>
      </c>
      <c r="F31" s="16">
        <f>VLOOKUP(A31,'2018-19'!$A$12:$AMX239,34,FALSE)</f>
        <v>2.2841374399145353E-2</v>
      </c>
      <c r="G31" s="16">
        <f>VLOOKUP(A31,'2018-19'!$A$12:$AMX239,35,FALSE)</f>
        <v>1.9076581877208731E-2</v>
      </c>
      <c r="H31" s="56"/>
      <c r="I31" s="56">
        <v>278368.78200396337</v>
      </c>
      <c r="J31" s="56">
        <v>1825.2422908543081</v>
      </c>
      <c r="K31" s="16">
        <f t="shared" si="6"/>
        <v>3.1958389629732187E-2</v>
      </c>
      <c r="L31" s="58">
        <f t="shared" si="6"/>
        <v>3.1958389629732187E-2</v>
      </c>
      <c r="M31" s="10"/>
      <c r="N31" s="56">
        <v>222538</v>
      </c>
      <c r="O31" s="56">
        <v>21708</v>
      </c>
      <c r="P31" s="56">
        <v>43019</v>
      </c>
      <c r="R31" s="56">
        <f t="shared" si="7"/>
        <v>43019</v>
      </c>
      <c r="S31" s="56">
        <f t="shared" si="8"/>
        <v>0</v>
      </c>
      <c r="U31" s="16">
        <v>1.9587002060315495E-2</v>
      </c>
      <c r="V31" s="16">
        <v>4.3396868245741294E-2</v>
      </c>
      <c r="W31" s="56">
        <f t="shared" si="9"/>
        <v>2</v>
      </c>
      <c r="X31" s="56">
        <f t="shared" si="10"/>
        <v>2182.6288443292196</v>
      </c>
      <c r="Y31" s="56">
        <f t="shared" si="10"/>
        <v>208.05122825888455</v>
      </c>
      <c r="AA31" s="56">
        <f t="shared" si="22"/>
        <v>0</v>
      </c>
      <c r="AB31" s="56">
        <v>0</v>
      </c>
      <c r="AC31" s="56">
        <f t="shared" si="11"/>
        <v>0</v>
      </c>
      <c r="AE31" s="56">
        <v>0</v>
      </c>
      <c r="AF31" s="56">
        <f t="shared" si="12"/>
        <v>0</v>
      </c>
      <c r="AG31" s="56">
        <f t="shared" si="13"/>
        <v>0</v>
      </c>
      <c r="AI31" s="56">
        <f t="shared" si="14"/>
        <v>0</v>
      </c>
      <c r="AJ31" s="56">
        <f t="shared" si="15"/>
        <v>0</v>
      </c>
      <c r="AK31" s="56">
        <f t="shared" si="16"/>
        <v>0</v>
      </c>
      <c r="AM31" s="56">
        <f t="shared" si="17"/>
        <v>222538</v>
      </c>
      <c r="AN31" s="56">
        <f t="shared" si="18"/>
        <v>21708</v>
      </c>
      <c r="AO31" s="56">
        <f t="shared" si="19"/>
        <v>43019</v>
      </c>
      <c r="AP31" s="56"/>
      <c r="AQ31" s="56">
        <f t="shared" si="20"/>
        <v>287265</v>
      </c>
      <c r="AR31" s="1"/>
      <c r="AS31" s="56">
        <v>1459.1642281078516</v>
      </c>
      <c r="AT31" s="56">
        <v>142.33765497921812</v>
      </c>
      <c r="AU31" s="56">
        <v>282.0722120670253</v>
      </c>
      <c r="AV31" s="56"/>
      <c r="AW31" s="56">
        <v>1883.5740951540952</v>
      </c>
      <c r="AX31" s="1"/>
      <c r="AY31" s="16">
        <v>1.9587002060315495E-2</v>
      </c>
      <c r="AZ31" s="16">
        <v>4.3396868245741294E-2</v>
      </c>
      <c r="BA31" s="16">
        <v>9.4609464545114097E-2</v>
      </c>
      <c r="BB31" s="16">
        <f t="shared" si="21"/>
        <v>3.1958389629732187E-2</v>
      </c>
      <c r="BC31" s="16"/>
      <c r="BD31" s="1"/>
      <c r="BE31" s="16">
        <f>AM31/'2017-18 disagg'!AM31-1</f>
        <v>1.9866821262769063E-2</v>
      </c>
      <c r="BF31" s="16">
        <f>AN31/'2017-18 disagg'!AN31-1</f>
        <v>1.7816954238559557E-2</v>
      </c>
      <c r="BG31" s="16">
        <f>AO31/'2017-18 disagg'!AO31-1</f>
        <v>4.1143299692635305E-2</v>
      </c>
      <c r="BH31" s="16">
        <f>AQ31/'2017-18 disagg'!AQ31-1</f>
        <v>2.2841374399145353E-2</v>
      </c>
      <c r="BI31" s="1"/>
      <c r="BJ31" s="16">
        <f>AS31/'2017-18 disagg'!AS31-1</f>
        <v>1.611297723752414E-2</v>
      </c>
      <c r="BK31" s="16">
        <f>AT31/'2017-18 disagg'!AT31-1</f>
        <v>1.4070655199504012E-2</v>
      </c>
      <c r="BL31" s="16">
        <f>AU31/'2017-18 disagg'!AU31-1</f>
        <v>3.7311142911482742E-2</v>
      </c>
      <c r="BM31" s="16">
        <f>AW31/'2017-18 disagg'!AW31-1</f>
        <v>1.9076581877208731E-2</v>
      </c>
    </row>
    <row r="32" spans="1:65" x14ac:dyDescent="0.2">
      <c r="A32" s="156" t="s">
        <v>109</v>
      </c>
      <c r="B32" s="156" t="s">
        <v>110</v>
      </c>
      <c r="D32" s="56">
        <f>VLOOKUP(A32,'2018-19'!$A$12:$AMX240,32,FALSE)</f>
        <v>362834</v>
      </c>
      <c r="E32" s="56">
        <v>1709.243675635169</v>
      </c>
      <c r="F32" s="16">
        <f>VLOOKUP(A32,'2018-19'!$A$12:$AMX240,34,FALSE)</f>
        <v>2.4052247736458199E-2</v>
      </c>
      <c r="G32" s="16">
        <f>VLOOKUP(A32,'2018-19'!$A$12:$AMX240,35,FALSE)</f>
        <v>2.1811470119803555E-2</v>
      </c>
      <c r="H32" s="56"/>
      <c r="I32" s="56">
        <v>363763.74135141174</v>
      </c>
      <c r="J32" s="56">
        <v>1713.623514693463</v>
      </c>
      <c r="K32" s="16">
        <f t="shared" si="6"/>
        <v>-2.555893415758459E-3</v>
      </c>
      <c r="L32" s="58">
        <f t="shared" si="6"/>
        <v>-2.55589341575857E-3</v>
      </c>
      <c r="M32" s="10"/>
      <c r="N32" s="56">
        <v>274954</v>
      </c>
      <c r="O32" s="56">
        <v>27697</v>
      </c>
      <c r="P32" s="56">
        <v>60183</v>
      </c>
      <c r="R32" s="56">
        <f t="shared" si="7"/>
        <v>60183</v>
      </c>
      <c r="S32" s="56">
        <f t="shared" si="8"/>
        <v>0</v>
      </c>
      <c r="U32" s="16">
        <v>-9.233124823637695E-5</v>
      </c>
      <c r="V32" s="16">
        <v>-4.8985891679568572E-2</v>
      </c>
      <c r="W32" s="56">
        <f t="shared" si="9"/>
        <v>4</v>
      </c>
      <c r="X32" s="56">
        <f t="shared" si="10"/>
        <v>2749.7938919024323</v>
      </c>
      <c r="Y32" s="56">
        <f t="shared" si="10"/>
        <v>291.23647859352121</v>
      </c>
      <c r="AA32" s="56">
        <f t="shared" si="22"/>
        <v>0</v>
      </c>
      <c r="AB32" s="56">
        <v>0</v>
      </c>
      <c r="AC32" s="56">
        <f t="shared" si="11"/>
        <v>0</v>
      </c>
      <c r="AE32" s="56">
        <v>0</v>
      </c>
      <c r="AF32" s="56">
        <f t="shared" si="12"/>
        <v>0</v>
      </c>
      <c r="AG32" s="56">
        <f t="shared" si="13"/>
        <v>0</v>
      </c>
      <c r="AI32" s="56">
        <f t="shared" si="14"/>
        <v>0</v>
      </c>
      <c r="AJ32" s="56">
        <f t="shared" si="15"/>
        <v>0</v>
      </c>
      <c r="AK32" s="56">
        <f t="shared" si="16"/>
        <v>0</v>
      </c>
      <c r="AM32" s="56">
        <f t="shared" si="17"/>
        <v>274954</v>
      </c>
      <c r="AN32" s="56">
        <f t="shared" si="18"/>
        <v>27697</v>
      </c>
      <c r="AO32" s="56">
        <f t="shared" si="19"/>
        <v>60183</v>
      </c>
      <c r="AP32" s="56"/>
      <c r="AQ32" s="56">
        <f t="shared" si="20"/>
        <v>362834</v>
      </c>
      <c r="AR32" s="1"/>
      <c r="AS32" s="56">
        <v>1295.2572955968631</v>
      </c>
      <c r="AT32" s="56">
        <v>130.47542976696582</v>
      </c>
      <c r="AU32" s="56">
        <v>283.51095027133999</v>
      </c>
      <c r="AV32" s="56"/>
      <c r="AW32" s="56">
        <v>1709.243675635169</v>
      </c>
      <c r="AX32" s="1"/>
      <c r="AY32" s="16">
        <v>-9.233124823637695E-5</v>
      </c>
      <c r="AZ32" s="16">
        <v>-4.8985891679568572E-2</v>
      </c>
      <c r="BA32" s="16">
        <v>8.7544339996614706E-3</v>
      </c>
      <c r="BB32" s="16">
        <f t="shared" si="21"/>
        <v>-2.555893415758459E-3</v>
      </c>
      <c r="BC32" s="16"/>
      <c r="BD32" s="1"/>
      <c r="BE32" s="16">
        <f>AM32/'2017-18 disagg'!AM32-1</f>
        <v>1.9870399151325824E-2</v>
      </c>
      <c r="BF32" s="16">
        <f>AN32/'2017-18 disagg'!AN32-1</f>
        <v>3.258397643813149E-2</v>
      </c>
      <c r="BG32" s="16">
        <f>AO32/'2017-18 disagg'!AO32-1</f>
        <v>3.9573688938022489E-2</v>
      </c>
      <c r="BH32" s="16">
        <f>AQ32/'2017-18 disagg'!AQ32-1</f>
        <v>2.4052247736458199E-2</v>
      </c>
      <c r="BI32" s="1"/>
      <c r="BJ32" s="16">
        <f>AS32/'2017-18 disagg'!AS32-1</f>
        <v>1.7638772037222639E-2</v>
      </c>
      <c r="BK32" s="16">
        <f>AT32/'2017-18 disagg'!AT32-1</f>
        <v>3.0324530138557071E-2</v>
      </c>
      <c r="BL32" s="16">
        <f>AU32/'2017-18 disagg'!AU32-1</f>
        <v>3.7298948114803387E-2</v>
      </c>
      <c r="BM32" s="16">
        <f>AW32/'2017-18 disagg'!AW32-1</f>
        <v>2.1811470119803555E-2</v>
      </c>
    </row>
    <row r="33" spans="1:65" x14ac:dyDescent="0.2">
      <c r="A33" s="156" t="s">
        <v>111</v>
      </c>
      <c r="B33" s="156" t="s">
        <v>112</v>
      </c>
      <c r="D33" s="56">
        <f>VLOOKUP(A33,'2018-19'!$A$12:$AMX241,32,FALSE)</f>
        <v>253506</v>
      </c>
      <c r="E33" s="56">
        <v>1937.9619308998053</v>
      </c>
      <c r="F33" s="16">
        <f>VLOOKUP(A33,'2018-19'!$A$12:$AMX241,34,FALSE)</f>
        <v>2.2589207199503081E-2</v>
      </c>
      <c r="G33" s="16">
        <f>VLOOKUP(A33,'2018-19'!$A$12:$AMX241,35,FALSE)</f>
        <v>2.0383966154708499E-2</v>
      </c>
      <c r="H33" s="56"/>
      <c r="I33" s="56">
        <v>245323.12790299201</v>
      </c>
      <c r="J33" s="56">
        <v>1875.4068252635532</v>
      </c>
      <c r="K33" s="16">
        <f t="shared" si="6"/>
        <v>3.3355485750384384E-2</v>
      </c>
      <c r="L33" s="58">
        <f t="shared" si="6"/>
        <v>3.3355485750384384E-2</v>
      </c>
      <c r="M33" s="10"/>
      <c r="N33" s="56">
        <v>199026</v>
      </c>
      <c r="O33" s="56">
        <v>18289</v>
      </c>
      <c r="P33" s="56">
        <v>36191</v>
      </c>
      <c r="R33" s="56">
        <f t="shared" si="7"/>
        <v>36191</v>
      </c>
      <c r="S33" s="56">
        <f t="shared" si="8"/>
        <v>0</v>
      </c>
      <c r="U33" s="16">
        <v>3.7745727218303049E-2</v>
      </c>
      <c r="V33" s="16">
        <v>-1.7108052914368566E-2</v>
      </c>
      <c r="W33" s="56">
        <f t="shared" si="9"/>
        <v>3</v>
      </c>
      <c r="X33" s="56">
        <f t="shared" si="10"/>
        <v>1917.8686529839342</v>
      </c>
      <c r="Y33" s="56">
        <f t="shared" si="10"/>
        <v>186.07335276505859</v>
      </c>
      <c r="AA33" s="56">
        <f t="shared" si="22"/>
        <v>0</v>
      </c>
      <c r="AB33" s="56">
        <v>0</v>
      </c>
      <c r="AC33" s="56">
        <f t="shared" si="11"/>
        <v>0</v>
      </c>
      <c r="AE33" s="56">
        <v>0</v>
      </c>
      <c r="AF33" s="56">
        <f t="shared" si="12"/>
        <v>0</v>
      </c>
      <c r="AG33" s="56">
        <f t="shared" si="13"/>
        <v>0</v>
      </c>
      <c r="AI33" s="56">
        <f t="shared" si="14"/>
        <v>0</v>
      </c>
      <c r="AJ33" s="56">
        <f t="shared" si="15"/>
        <v>0</v>
      </c>
      <c r="AK33" s="56">
        <f t="shared" si="16"/>
        <v>0</v>
      </c>
      <c r="AM33" s="56">
        <f t="shared" si="17"/>
        <v>199026</v>
      </c>
      <c r="AN33" s="56">
        <f t="shared" si="18"/>
        <v>18289</v>
      </c>
      <c r="AO33" s="56">
        <f t="shared" si="19"/>
        <v>36191</v>
      </c>
      <c r="AP33" s="56"/>
      <c r="AQ33" s="56">
        <f t="shared" si="20"/>
        <v>253506</v>
      </c>
      <c r="AR33" s="1"/>
      <c r="AS33" s="56">
        <v>1521.4819817253424</v>
      </c>
      <c r="AT33" s="56">
        <v>139.81280819478252</v>
      </c>
      <c r="AU33" s="56">
        <v>276.66714097968037</v>
      </c>
      <c r="AV33" s="56"/>
      <c r="AW33" s="56">
        <v>1937.9619308998053</v>
      </c>
      <c r="AX33" s="1"/>
      <c r="AY33" s="16">
        <v>3.7745727218303049E-2</v>
      </c>
      <c r="AZ33" s="16">
        <v>-1.7108052914368566E-2</v>
      </c>
      <c r="BA33" s="16">
        <v>3.613259176419592E-2</v>
      </c>
      <c r="BB33" s="16">
        <f t="shared" si="21"/>
        <v>3.3355485750384384E-2</v>
      </c>
      <c r="BC33" s="16"/>
      <c r="BD33" s="1"/>
      <c r="BE33" s="16">
        <f>AM33/'2017-18 disagg'!AM33-1</f>
        <v>1.9866870955013827E-2</v>
      </c>
      <c r="BF33" s="16">
        <f>AN33/'2017-18 disagg'!AN33-1</f>
        <v>1.9283285961098962E-2</v>
      </c>
      <c r="BG33" s="16">
        <f>AO33/'2017-18 disagg'!AO33-1</f>
        <v>3.9553053369334235E-2</v>
      </c>
      <c r="BH33" s="16">
        <f>AQ33/'2017-18 disagg'!AQ33-1</f>
        <v>2.2589207199503081E-2</v>
      </c>
      <c r="BI33" s="1"/>
      <c r="BJ33" s="16">
        <f>AS33/'2017-18 disagg'!AS33-1</f>
        <v>1.76675007013265E-2</v>
      </c>
      <c r="BK33" s="16">
        <f>AT33/'2017-18 disagg'!AT33-1</f>
        <v>1.7085174224099164E-2</v>
      </c>
      <c r="BL33" s="16">
        <f>AU33/'2017-18 disagg'!AU33-1</f>
        <v>3.7311229335409646E-2</v>
      </c>
      <c r="BM33" s="16">
        <f>AW33/'2017-18 disagg'!AW33-1</f>
        <v>2.0383966154708499E-2</v>
      </c>
    </row>
    <row r="34" spans="1:65" x14ac:dyDescent="0.2">
      <c r="A34" s="156" t="s">
        <v>113</v>
      </c>
      <c r="B34" s="156" t="s">
        <v>114</v>
      </c>
      <c r="D34" s="56">
        <f>VLOOKUP(A34,'2018-19'!$A$12:$AMX242,32,FALSE)</f>
        <v>425633</v>
      </c>
      <c r="E34" s="56">
        <v>1859.1207384013637</v>
      </c>
      <c r="F34" s="16">
        <f>VLOOKUP(A34,'2018-19'!$A$12:$AMX242,34,FALSE)</f>
        <v>2.3776422255789464E-2</v>
      </c>
      <c r="G34" s="16">
        <f>VLOOKUP(A34,'2018-19'!$A$12:$AMX242,35,FALSE)</f>
        <v>2.1134450551572259E-2</v>
      </c>
      <c r="H34" s="56"/>
      <c r="I34" s="56">
        <v>433685.49210243503</v>
      </c>
      <c r="J34" s="56">
        <v>1894.293187585168</v>
      </c>
      <c r="K34" s="16">
        <f t="shared" si="6"/>
        <v>-1.8567584687691263E-2</v>
      </c>
      <c r="L34" s="58">
        <f t="shared" si="6"/>
        <v>-1.8567584687691263E-2</v>
      </c>
      <c r="M34" s="10"/>
      <c r="N34" s="56">
        <v>318102</v>
      </c>
      <c r="O34" s="56">
        <v>30964</v>
      </c>
      <c r="P34" s="56">
        <v>76567</v>
      </c>
      <c r="R34" s="56">
        <f t="shared" si="7"/>
        <v>76567</v>
      </c>
      <c r="S34" s="56">
        <f t="shared" si="8"/>
        <v>0</v>
      </c>
      <c r="U34" s="16">
        <v>-2.9924092826268289E-2</v>
      </c>
      <c r="V34" s="16">
        <v>-4.8446040533121071E-2</v>
      </c>
      <c r="W34" s="56">
        <f t="shared" si="9"/>
        <v>4</v>
      </c>
      <c r="X34" s="56">
        <f t="shared" si="10"/>
        <v>3279.1454529241373</v>
      </c>
      <c r="Y34" s="56">
        <f t="shared" si="10"/>
        <v>325.40456263087805</v>
      </c>
      <c r="AA34" s="56">
        <f t="shared" si="22"/>
        <v>0</v>
      </c>
      <c r="AB34" s="56">
        <v>0</v>
      </c>
      <c r="AC34" s="56">
        <f t="shared" si="11"/>
        <v>0</v>
      </c>
      <c r="AE34" s="56">
        <v>0</v>
      </c>
      <c r="AF34" s="56">
        <f t="shared" si="12"/>
        <v>0</v>
      </c>
      <c r="AG34" s="56">
        <f t="shared" si="13"/>
        <v>0</v>
      </c>
      <c r="AI34" s="56">
        <f t="shared" si="14"/>
        <v>0</v>
      </c>
      <c r="AJ34" s="56">
        <f t="shared" si="15"/>
        <v>0</v>
      </c>
      <c r="AK34" s="56">
        <f t="shared" si="16"/>
        <v>0</v>
      </c>
      <c r="AM34" s="56">
        <f t="shared" si="17"/>
        <v>318102</v>
      </c>
      <c r="AN34" s="56">
        <f t="shared" si="18"/>
        <v>30964</v>
      </c>
      <c r="AO34" s="56">
        <f t="shared" si="19"/>
        <v>76567</v>
      </c>
      <c r="AP34" s="56"/>
      <c r="AQ34" s="56">
        <f t="shared" si="20"/>
        <v>425633</v>
      </c>
      <c r="AR34" s="1"/>
      <c r="AS34" s="56">
        <v>1389.4364984081371</v>
      </c>
      <c r="AT34" s="56">
        <v>135.24753612586389</v>
      </c>
      <c r="AU34" s="56">
        <v>334.43670386736278</v>
      </c>
      <c r="AV34" s="56"/>
      <c r="AW34" s="56">
        <v>1859.1207384013637</v>
      </c>
      <c r="AX34" s="1"/>
      <c r="AY34" s="16">
        <v>-2.9924092826268289E-2</v>
      </c>
      <c r="AZ34" s="16">
        <v>-4.8446040533121071E-2</v>
      </c>
      <c r="BA34" s="16">
        <v>4.556175205364954E-2</v>
      </c>
      <c r="BB34" s="16">
        <f t="shared" si="21"/>
        <v>-1.8567584687691263E-2</v>
      </c>
      <c r="BC34" s="16"/>
      <c r="BD34" s="1"/>
      <c r="BE34" s="16">
        <f>AM34/'2017-18 disagg'!AM34-1</f>
        <v>1.9868229108221946E-2</v>
      </c>
      <c r="BF34" s="16">
        <f>AN34/'2017-18 disagg'!AN34-1</f>
        <v>2.4619457313037829E-2</v>
      </c>
      <c r="BG34" s="16">
        <f>AO34/'2017-18 disagg'!AO34-1</f>
        <v>3.9987503905029698E-2</v>
      </c>
      <c r="BH34" s="16">
        <f>AQ34/'2017-18 disagg'!AQ34-1</f>
        <v>2.3776422255789464E-2</v>
      </c>
      <c r="BI34" s="1"/>
      <c r="BJ34" s="16">
        <f>AS34/'2017-18 disagg'!AS34-1</f>
        <v>1.7236342941711946E-2</v>
      </c>
      <c r="BK34" s="16">
        <f>AT34/'2017-18 disagg'!AT34-1</f>
        <v>2.1975310060801556E-2</v>
      </c>
      <c r="BL34" s="16">
        <f>AU34/'2017-18 disagg'!AU34-1</f>
        <v>3.7303697657565582E-2</v>
      </c>
      <c r="BM34" s="16">
        <f>AW34/'2017-18 disagg'!AW34-1</f>
        <v>2.1134450551572259E-2</v>
      </c>
    </row>
    <row r="35" spans="1:65" x14ac:dyDescent="0.2">
      <c r="A35" s="156" t="s">
        <v>115</v>
      </c>
      <c r="B35" s="156" t="s">
        <v>116</v>
      </c>
      <c r="D35" s="56">
        <f>VLOOKUP(A35,'2018-19'!$A$12:$AMX243,32,FALSE)</f>
        <v>353484</v>
      </c>
      <c r="E35" s="56">
        <v>2171.990588109737</v>
      </c>
      <c r="F35" s="16">
        <f>VLOOKUP(A35,'2018-19'!$A$12:$AMX243,34,FALSE)</f>
        <v>1.9634991649287281E-2</v>
      </c>
      <c r="G35" s="16">
        <f>VLOOKUP(A35,'2018-19'!$A$12:$AMX243,35,FALSE)</f>
        <v>1.8813822751159837E-2</v>
      </c>
      <c r="H35" s="56"/>
      <c r="I35" s="56">
        <v>331611.92926286435</v>
      </c>
      <c r="J35" s="56">
        <v>2037.5971451716437</v>
      </c>
      <c r="K35" s="16">
        <f t="shared" si="6"/>
        <v>6.5956827264190387E-2</v>
      </c>
      <c r="L35" s="58">
        <f t="shared" si="6"/>
        <v>6.5956827264190387E-2</v>
      </c>
      <c r="M35" s="10"/>
      <c r="N35" s="56">
        <v>271239</v>
      </c>
      <c r="O35" s="56">
        <v>30745</v>
      </c>
      <c r="P35" s="56">
        <v>51500</v>
      </c>
      <c r="R35" s="56">
        <f t="shared" si="7"/>
        <v>51500</v>
      </c>
      <c r="S35" s="56">
        <f t="shared" si="8"/>
        <v>0</v>
      </c>
      <c r="U35" s="16">
        <v>5.315925357048723E-2</v>
      </c>
      <c r="V35" s="16">
        <v>0.25115818085015529</v>
      </c>
      <c r="W35" s="56">
        <f t="shared" si="9"/>
        <v>2</v>
      </c>
      <c r="X35" s="56">
        <f t="shared" si="10"/>
        <v>2575.4794356164875</v>
      </c>
      <c r="Y35" s="56">
        <f t="shared" si="10"/>
        <v>245.73231802799654</v>
      </c>
      <c r="AA35" s="56">
        <f t="shared" si="22"/>
        <v>0</v>
      </c>
      <c r="AB35" s="56">
        <v>0</v>
      </c>
      <c r="AC35" s="56">
        <f t="shared" si="11"/>
        <v>0</v>
      </c>
      <c r="AE35" s="56">
        <v>0</v>
      </c>
      <c r="AF35" s="56">
        <f t="shared" si="12"/>
        <v>0</v>
      </c>
      <c r="AG35" s="56">
        <f t="shared" si="13"/>
        <v>0</v>
      </c>
      <c r="AI35" s="56">
        <f t="shared" si="14"/>
        <v>0</v>
      </c>
      <c r="AJ35" s="56">
        <f t="shared" si="15"/>
        <v>0</v>
      </c>
      <c r="AK35" s="56">
        <f t="shared" si="16"/>
        <v>0</v>
      </c>
      <c r="AM35" s="56">
        <f t="shared" si="17"/>
        <v>271239</v>
      </c>
      <c r="AN35" s="56">
        <f t="shared" si="18"/>
        <v>30745</v>
      </c>
      <c r="AO35" s="56">
        <f t="shared" si="19"/>
        <v>51500</v>
      </c>
      <c r="AP35" s="56"/>
      <c r="AQ35" s="56">
        <f t="shared" si="20"/>
        <v>353484</v>
      </c>
      <c r="AR35" s="1"/>
      <c r="AS35" s="56">
        <v>1666.6342893265239</v>
      </c>
      <c r="AT35" s="56">
        <v>188.9133613726049</v>
      </c>
      <c r="AU35" s="56">
        <v>316.44293741060829</v>
      </c>
      <c r="AV35" s="56"/>
      <c r="AW35" s="56">
        <v>2171.990588109737</v>
      </c>
      <c r="AX35" s="1"/>
      <c r="AY35" s="16">
        <v>5.315925357048723E-2</v>
      </c>
      <c r="AZ35" s="16">
        <v>0.25115818085015529</v>
      </c>
      <c r="BA35" s="16">
        <v>4.0598413709927783E-2</v>
      </c>
      <c r="BB35" s="16">
        <f t="shared" si="21"/>
        <v>6.5956827264190387E-2</v>
      </c>
      <c r="BC35" s="16"/>
      <c r="BD35" s="1"/>
      <c r="BE35" s="16">
        <f>AM35/'2017-18 disagg'!AM35-1</f>
        <v>1.72937575948513E-2</v>
      </c>
      <c r="BF35" s="16">
        <f>AN35/'2017-18 disagg'!AN35-1</f>
        <v>9.9865313228868491E-3</v>
      </c>
      <c r="BG35" s="16">
        <f>AO35/'2017-18 disagg'!AO35-1</f>
        <v>3.8139009837123039E-2</v>
      </c>
      <c r="BH35" s="16">
        <f>AQ35/'2017-18 disagg'!AQ35-1</f>
        <v>1.9634991649287281E-2</v>
      </c>
      <c r="BI35" s="1"/>
      <c r="BJ35" s="16">
        <f>AS35/'2017-18 disagg'!AS35-1</f>
        <v>1.647447422301962E-2</v>
      </c>
      <c r="BK35" s="16">
        <f>AT35/'2017-18 disagg'!AT35-1</f>
        <v>9.1731328677118196E-3</v>
      </c>
      <c r="BL35" s="16">
        <f>AU35/'2017-18 disagg'!AU35-1</f>
        <v>3.7302938621645909E-2</v>
      </c>
      <c r="BM35" s="16">
        <f>AW35/'2017-18 disagg'!AW35-1</f>
        <v>1.8813822751159837E-2</v>
      </c>
    </row>
    <row r="36" spans="1:65" x14ac:dyDescent="0.2">
      <c r="A36" s="156" t="s">
        <v>117</v>
      </c>
      <c r="B36" s="156" t="s">
        <v>118</v>
      </c>
      <c r="D36" s="56">
        <f>VLOOKUP(A36,'2018-19'!$A$12:$AMX244,32,FALSE)</f>
        <v>279101</v>
      </c>
      <c r="E36" s="56">
        <v>1754.9371245887498</v>
      </c>
      <c r="F36" s="16">
        <f>VLOOKUP(A36,'2018-19'!$A$12:$AMX244,34,FALSE)</f>
        <v>2.2670145173937506E-2</v>
      </c>
      <c r="G36" s="16">
        <f>VLOOKUP(A36,'2018-19'!$A$12:$AMX244,35,FALSE)</f>
        <v>2.0193950889214829E-2</v>
      </c>
      <c r="H36" s="56"/>
      <c r="I36" s="56">
        <v>270693.7408588166</v>
      </c>
      <c r="J36" s="56">
        <v>1702.0737841388739</v>
      </c>
      <c r="K36" s="16">
        <f t="shared" si="6"/>
        <v>3.1058195562668311E-2</v>
      </c>
      <c r="L36" s="58">
        <f t="shared" si="6"/>
        <v>3.1058195562668311E-2</v>
      </c>
      <c r="M36" s="10"/>
      <c r="N36" s="56">
        <v>217909</v>
      </c>
      <c r="O36" s="56">
        <v>20708</v>
      </c>
      <c r="P36" s="56">
        <v>40484</v>
      </c>
      <c r="R36" s="56">
        <f t="shared" si="7"/>
        <v>40484</v>
      </c>
      <c r="S36" s="56">
        <f t="shared" si="8"/>
        <v>0</v>
      </c>
      <c r="U36" s="16">
        <v>4.0121966090851169E-2</v>
      </c>
      <c r="V36" s="16">
        <v>-2.8620223686470214E-2</v>
      </c>
      <c r="W36" s="56">
        <f t="shared" si="9"/>
        <v>3</v>
      </c>
      <c r="X36" s="56">
        <f t="shared" si="10"/>
        <v>2095.0331509580519</v>
      </c>
      <c r="Y36" s="56">
        <f t="shared" si="10"/>
        <v>213.18129638840793</v>
      </c>
      <c r="AA36" s="56">
        <f t="shared" si="22"/>
        <v>0</v>
      </c>
      <c r="AB36" s="56">
        <v>0</v>
      </c>
      <c r="AC36" s="56">
        <f t="shared" si="11"/>
        <v>0</v>
      </c>
      <c r="AE36" s="56">
        <v>0</v>
      </c>
      <c r="AF36" s="56">
        <f t="shared" si="12"/>
        <v>0</v>
      </c>
      <c r="AG36" s="56">
        <f t="shared" si="13"/>
        <v>0</v>
      </c>
      <c r="AI36" s="56">
        <f t="shared" si="14"/>
        <v>0</v>
      </c>
      <c r="AJ36" s="56">
        <f t="shared" si="15"/>
        <v>0</v>
      </c>
      <c r="AK36" s="56">
        <f t="shared" si="16"/>
        <v>0</v>
      </c>
      <c r="AM36" s="56">
        <f t="shared" si="17"/>
        <v>217909</v>
      </c>
      <c r="AN36" s="56">
        <f t="shared" si="18"/>
        <v>20708</v>
      </c>
      <c r="AO36" s="56">
        <f t="shared" si="19"/>
        <v>40484</v>
      </c>
      <c r="AP36" s="56"/>
      <c r="AQ36" s="56">
        <f t="shared" si="20"/>
        <v>279101</v>
      </c>
      <c r="AR36" s="1"/>
      <c r="AS36" s="56">
        <v>1370.1727829065819</v>
      </c>
      <c r="AT36" s="56">
        <v>130.20819694656714</v>
      </c>
      <c r="AU36" s="56">
        <v>254.55614473560092</v>
      </c>
      <c r="AV36" s="56"/>
      <c r="AW36" s="56">
        <v>1754.9371245887498</v>
      </c>
      <c r="AX36" s="1"/>
      <c r="AY36" s="16">
        <v>4.0121966090851169E-2</v>
      </c>
      <c r="AZ36" s="16">
        <v>-2.8620223686470214E-2</v>
      </c>
      <c r="BA36" s="16">
        <v>1.5341576364812148E-2</v>
      </c>
      <c r="BB36" s="16">
        <f t="shared" si="21"/>
        <v>3.1058195562668311E-2</v>
      </c>
      <c r="BC36" s="16"/>
      <c r="BD36" s="1"/>
      <c r="BE36" s="16">
        <f>AM36/'2017-18 disagg'!AM36-1</f>
        <v>1.9867642653886408E-2</v>
      </c>
      <c r="BF36" s="16">
        <f>AN36/'2017-18 disagg'!AN36-1</f>
        <v>1.9295136837960136E-2</v>
      </c>
      <c r="BG36" s="16">
        <f>AO36/'2017-18 disagg'!AO36-1</f>
        <v>3.981096214105917E-2</v>
      </c>
      <c r="BH36" s="16">
        <f>AQ36/'2017-18 disagg'!AQ36-1</f>
        <v>2.2670145173937506E-2</v>
      </c>
      <c r="BI36" s="1"/>
      <c r="BJ36" s="16">
        <f>AS36/'2017-18 disagg'!AS36-1</f>
        <v>1.7398234076907215E-2</v>
      </c>
      <c r="BK36" s="16">
        <f>AT36/'2017-18 disagg'!AT36-1</f>
        <v>1.6827114471027249E-2</v>
      </c>
      <c r="BL36" s="16">
        <f>AU36/'2017-18 disagg'!AU36-1</f>
        <v>3.7293264744888699E-2</v>
      </c>
      <c r="BM36" s="16">
        <f>AW36/'2017-18 disagg'!AW36-1</f>
        <v>2.0193950889214829E-2</v>
      </c>
    </row>
    <row r="37" spans="1:65" x14ac:dyDescent="0.2">
      <c r="A37" s="156" t="s">
        <v>119</v>
      </c>
      <c r="B37" s="156" t="s">
        <v>120</v>
      </c>
      <c r="D37" s="56">
        <f>VLOOKUP(A37,'2018-19'!$A$12:$AMX245,32,FALSE)</f>
        <v>1034481</v>
      </c>
      <c r="E37" s="56">
        <v>2030.0310739407075</v>
      </c>
      <c r="F37" s="16">
        <f>VLOOKUP(A37,'2018-19'!$A$12:$AMX245,34,FALSE)</f>
        <v>2.0896945246549503E-2</v>
      </c>
      <c r="G37" s="16">
        <f>VLOOKUP(A37,'2018-19'!$A$12:$AMX245,35,FALSE)</f>
        <v>1.8853520083619735E-2</v>
      </c>
      <c r="H37" s="56"/>
      <c r="I37" s="56">
        <v>991332.8834411503</v>
      </c>
      <c r="J37" s="56">
        <v>1945.3586465143164</v>
      </c>
      <c r="K37" s="16">
        <f t="shared" si="6"/>
        <v>4.3525355891627759E-2</v>
      </c>
      <c r="L37" s="58">
        <f t="shared" si="6"/>
        <v>4.3525355891627759E-2</v>
      </c>
      <c r="M37" s="10"/>
      <c r="N37" s="56">
        <v>794340</v>
      </c>
      <c r="O37" s="56">
        <v>75041</v>
      </c>
      <c r="P37" s="56">
        <v>165100</v>
      </c>
      <c r="R37" s="56">
        <f t="shared" si="7"/>
        <v>165100</v>
      </c>
      <c r="S37" s="56">
        <f t="shared" si="8"/>
        <v>0</v>
      </c>
      <c r="U37" s="16">
        <v>5.5321174447605426E-2</v>
      </c>
      <c r="V37" s="16">
        <v>-4.9152277282799473E-2</v>
      </c>
      <c r="W37" s="56">
        <f t="shared" si="9"/>
        <v>3</v>
      </c>
      <c r="X37" s="56">
        <f t="shared" si="10"/>
        <v>7526.9976499409031</v>
      </c>
      <c r="Y37" s="56">
        <f t="shared" si="10"/>
        <v>789.20102774772658</v>
      </c>
      <c r="AA37" s="56">
        <f t="shared" si="22"/>
        <v>0</v>
      </c>
      <c r="AB37" s="56">
        <v>0</v>
      </c>
      <c r="AC37" s="56">
        <f t="shared" si="11"/>
        <v>0</v>
      </c>
      <c r="AE37" s="56">
        <v>0</v>
      </c>
      <c r="AF37" s="56">
        <f t="shared" si="12"/>
        <v>0</v>
      </c>
      <c r="AG37" s="56">
        <f t="shared" si="13"/>
        <v>0</v>
      </c>
      <c r="AI37" s="56">
        <f t="shared" si="14"/>
        <v>0</v>
      </c>
      <c r="AJ37" s="56">
        <f t="shared" si="15"/>
        <v>0</v>
      </c>
      <c r="AK37" s="56">
        <f t="shared" si="16"/>
        <v>0</v>
      </c>
      <c r="AM37" s="56">
        <f t="shared" si="17"/>
        <v>794340</v>
      </c>
      <c r="AN37" s="56">
        <f t="shared" si="18"/>
        <v>75041</v>
      </c>
      <c r="AO37" s="56">
        <f t="shared" si="19"/>
        <v>165100</v>
      </c>
      <c r="AP37" s="56"/>
      <c r="AQ37" s="56">
        <f t="shared" si="20"/>
        <v>1034481</v>
      </c>
      <c r="AR37" s="1"/>
      <c r="AS37" s="56">
        <v>1558.7863704350893</v>
      </c>
      <c r="AT37" s="56">
        <v>147.25796009746398</v>
      </c>
      <c r="AU37" s="56">
        <v>323.98674340815427</v>
      </c>
      <c r="AV37" s="56"/>
      <c r="AW37" s="56">
        <v>2030.0310739407075</v>
      </c>
      <c r="AX37" s="1"/>
      <c r="AY37" s="16">
        <v>5.5321174447605426E-2</v>
      </c>
      <c r="AZ37" s="16">
        <v>-4.9152277282799473E-2</v>
      </c>
      <c r="BA37" s="16">
        <v>3.3729150407917574E-2</v>
      </c>
      <c r="BB37" s="16">
        <f t="shared" si="21"/>
        <v>4.3525355891627759E-2</v>
      </c>
      <c r="BC37" s="16"/>
      <c r="BD37" s="1"/>
      <c r="BE37" s="16">
        <f>AM37/'2017-18 disagg'!AM37-1</f>
        <v>1.5891773264067321E-2</v>
      </c>
      <c r="BF37" s="16">
        <f>AN37/'2017-18 disagg'!AN37-1</f>
        <v>3.4377713757977491E-2</v>
      </c>
      <c r="BG37" s="16">
        <f>AO37/'2017-18 disagg'!AO37-1</f>
        <v>3.9378010009758047E-2</v>
      </c>
      <c r="BH37" s="16">
        <f>AQ37/'2017-18 disagg'!AQ37-1</f>
        <v>2.0896945246549503E-2</v>
      </c>
      <c r="BI37" s="1"/>
      <c r="BJ37" s="16">
        <f>AS37/'2017-18 disagg'!AS37-1</f>
        <v>1.3858366442774939E-2</v>
      </c>
      <c r="BK37" s="16">
        <f>AT37/'2017-18 disagg'!AT37-1</f>
        <v>3.230730551735328E-2</v>
      </c>
      <c r="BL37" s="16">
        <f>AU37/'2017-18 disagg'!AU37-1</f>
        <v>3.7297593186748745E-2</v>
      </c>
      <c r="BM37" s="16">
        <f>AW37/'2017-18 disagg'!AW37-1</f>
        <v>1.8853520083619735E-2</v>
      </c>
    </row>
    <row r="38" spans="1:65" x14ac:dyDescent="0.2">
      <c r="A38" s="156" t="s">
        <v>121</v>
      </c>
      <c r="B38" s="156" t="s">
        <v>122</v>
      </c>
      <c r="D38" s="56">
        <f>VLOOKUP(A38,'2018-19'!$A$12:$AMX246,32,FALSE)</f>
        <v>418168.42249688791</v>
      </c>
      <c r="E38" s="56">
        <v>2009.4230056423835</v>
      </c>
      <c r="F38" s="16">
        <f>VLOOKUP(A38,'2018-19'!$A$12:$AMX246,34,FALSE)</f>
        <v>2.9641795722768371E-2</v>
      </c>
      <c r="G38" s="16">
        <f>VLOOKUP(A38,'2018-19'!$A$12:$AMX246,35,FALSE)</f>
        <v>2.2249074497635357E-2</v>
      </c>
      <c r="H38" s="56"/>
      <c r="I38" s="56">
        <v>431655.81394745054</v>
      </c>
      <c r="J38" s="56">
        <v>2074.2339124656182</v>
      </c>
      <c r="K38" s="16">
        <f t="shared" si="6"/>
        <v>-3.1245707841212056E-2</v>
      </c>
      <c r="L38" s="58">
        <f t="shared" si="6"/>
        <v>-3.1245707841211945E-2</v>
      </c>
      <c r="M38" s="10"/>
      <c r="N38" s="56">
        <v>292756</v>
      </c>
      <c r="O38" s="56">
        <v>33582</v>
      </c>
      <c r="P38" s="56">
        <v>90959</v>
      </c>
      <c r="R38" s="56">
        <f t="shared" si="7"/>
        <v>90959</v>
      </c>
      <c r="S38" s="56">
        <f t="shared" si="8"/>
        <v>871.42249688791344</v>
      </c>
      <c r="U38" s="16">
        <v>-4.9903896366953693E-2</v>
      </c>
      <c r="V38" s="16">
        <v>-4.9112151334230303E-2</v>
      </c>
      <c r="W38" s="56">
        <f t="shared" si="9"/>
        <v>4</v>
      </c>
      <c r="X38" s="56">
        <f t="shared" si="10"/>
        <v>3081.3303925838491</v>
      </c>
      <c r="Y38" s="56">
        <f t="shared" si="10"/>
        <v>353.16467706596842</v>
      </c>
      <c r="AA38" s="56">
        <f t="shared" si="22"/>
        <v>0</v>
      </c>
      <c r="AB38" s="56">
        <v>0</v>
      </c>
      <c r="AC38" s="56">
        <f t="shared" si="11"/>
        <v>871.42249688791344</v>
      </c>
      <c r="AE38" s="56">
        <v>0</v>
      </c>
      <c r="AF38" s="56">
        <f t="shared" si="12"/>
        <v>0</v>
      </c>
      <c r="AG38" s="56">
        <f t="shared" si="13"/>
        <v>871.42249688791344</v>
      </c>
      <c r="AI38" s="56">
        <f t="shared" si="14"/>
        <v>781.81525085601879</v>
      </c>
      <c r="AJ38" s="56">
        <f t="shared" si="15"/>
        <v>89.607246031894491</v>
      </c>
      <c r="AK38" s="56">
        <f t="shared" si="16"/>
        <v>0</v>
      </c>
      <c r="AM38" s="56">
        <f t="shared" si="17"/>
        <v>293538</v>
      </c>
      <c r="AN38" s="56">
        <f t="shared" si="18"/>
        <v>33672</v>
      </c>
      <c r="AO38" s="56">
        <f t="shared" si="19"/>
        <v>90959</v>
      </c>
      <c r="AP38" s="56"/>
      <c r="AQ38" s="56">
        <f t="shared" si="20"/>
        <v>418169</v>
      </c>
      <c r="AR38" s="1"/>
      <c r="AS38" s="56">
        <v>1410.5369475492705</v>
      </c>
      <c r="AT38" s="56">
        <v>161.80392350523283</v>
      </c>
      <c r="AU38" s="56">
        <v>437.08490966121622</v>
      </c>
      <c r="AV38" s="56"/>
      <c r="AW38" s="56">
        <v>2009.4257807157196</v>
      </c>
      <c r="AX38" s="1"/>
      <c r="AY38" s="16">
        <v>-4.7366031547646625E-2</v>
      </c>
      <c r="AZ38" s="16">
        <v>-4.6563765104109422E-2</v>
      </c>
      <c r="BA38" s="16">
        <v>3.120743982715779E-2</v>
      </c>
      <c r="BB38" s="16">
        <f t="shared" si="21"/>
        <v>-3.1244369962528551E-2</v>
      </c>
      <c r="BC38" s="16"/>
      <c r="BD38" s="1"/>
      <c r="BE38" s="16">
        <f>AM38/'2017-18 disagg'!AM38-1</f>
        <v>2.3657908869623379E-2</v>
      </c>
      <c r="BF38" s="16">
        <f>AN38/'2017-18 disagg'!AN38-1</f>
        <v>4.1928396819011615E-2</v>
      </c>
      <c r="BG38" s="16">
        <f>AO38/'2017-18 disagg'!AO38-1</f>
        <v>4.4797206492148911E-2</v>
      </c>
      <c r="BH38" s="16">
        <f>AQ38/'2017-18 disagg'!AQ38-1</f>
        <v>2.9643217688917423E-2</v>
      </c>
      <c r="BI38" s="1"/>
      <c r="BJ38" s="16">
        <f>AS38/'2017-18 disagg'!AS38-1</f>
        <v>1.6308151331019038E-2</v>
      </c>
      <c r="BK38" s="16">
        <f>AT38/'2017-18 disagg'!AT38-1</f>
        <v>3.4447459073253528E-2</v>
      </c>
      <c r="BL38" s="16">
        <f>AU38/'2017-18 disagg'!AU38-1</f>
        <v>3.7295670990695973E-2</v>
      </c>
      <c r="BM38" s="16">
        <f>AW38/'2017-18 disagg'!AW38-1</f>
        <v>2.2250486254214996E-2</v>
      </c>
    </row>
    <row r="39" spans="1:65" x14ac:dyDescent="0.2">
      <c r="A39" s="156" t="s">
        <v>123</v>
      </c>
      <c r="B39" s="156" t="s">
        <v>124</v>
      </c>
      <c r="D39" s="56">
        <f>VLOOKUP(A39,'2018-19'!$A$12:$AMX247,32,FALSE)</f>
        <v>447109</v>
      </c>
      <c r="E39" s="56">
        <v>1781.4106204927411</v>
      </c>
      <c r="F39" s="16">
        <f>VLOOKUP(A39,'2018-19'!$A$12:$AMX247,34,FALSE)</f>
        <v>2.2702111696677019E-2</v>
      </c>
      <c r="G39" s="16">
        <f>VLOOKUP(A39,'2018-19'!$A$12:$AMX247,35,FALSE)</f>
        <v>1.8360080859776806E-2</v>
      </c>
      <c r="H39" s="56"/>
      <c r="I39" s="56">
        <v>441854.27273494867</v>
      </c>
      <c r="J39" s="56">
        <v>1760.4742784424691</v>
      </c>
      <c r="K39" s="16">
        <f t="shared" si="6"/>
        <v>1.1892444159306459E-2</v>
      </c>
      <c r="L39" s="58">
        <f t="shared" si="6"/>
        <v>1.1892444159306237E-2</v>
      </c>
      <c r="M39" s="10"/>
      <c r="N39" s="56">
        <v>334873</v>
      </c>
      <c r="O39" s="56">
        <v>37607</v>
      </c>
      <c r="P39" s="56">
        <v>74629</v>
      </c>
      <c r="R39" s="56">
        <f t="shared" si="7"/>
        <v>74629</v>
      </c>
      <c r="S39" s="56">
        <f t="shared" si="8"/>
        <v>0</v>
      </c>
      <c r="U39" s="16">
        <v>4.3355613021844874E-4</v>
      </c>
      <c r="V39" s="16">
        <v>7.1907353545880293E-2</v>
      </c>
      <c r="W39" s="56">
        <f t="shared" si="9"/>
        <v>2</v>
      </c>
      <c r="X39" s="56">
        <f t="shared" si="10"/>
        <v>3347.2787667711159</v>
      </c>
      <c r="Y39" s="56">
        <f t="shared" si="10"/>
        <v>350.84188829935408</v>
      </c>
      <c r="AA39" s="56">
        <f t="shared" si="22"/>
        <v>0</v>
      </c>
      <c r="AB39" s="56">
        <v>0</v>
      </c>
      <c r="AC39" s="56">
        <f t="shared" si="11"/>
        <v>0</v>
      </c>
      <c r="AE39" s="56">
        <v>0</v>
      </c>
      <c r="AF39" s="56">
        <f t="shared" si="12"/>
        <v>0</v>
      </c>
      <c r="AG39" s="56">
        <f t="shared" si="13"/>
        <v>0</v>
      </c>
      <c r="AI39" s="56">
        <f t="shared" si="14"/>
        <v>0</v>
      </c>
      <c r="AJ39" s="56">
        <f t="shared" si="15"/>
        <v>0</v>
      </c>
      <c r="AK39" s="56">
        <f t="shared" si="16"/>
        <v>0</v>
      </c>
      <c r="AM39" s="56">
        <f t="shared" si="17"/>
        <v>334873</v>
      </c>
      <c r="AN39" s="56">
        <f t="shared" si="18"/>
        <v>37607</v>
      </c>
      <c r="AO39" s="56">
        <f t="shared" si="19"/>
        <v>74629</v>
      </c>
      <c r="AP39" s="56"/>
      <c r="AQ39" s="56">
        <f t="shared" si="20"/>
        <v>447109</v>
      </c>
      <c r="AR39" s="1"/>
      <c r="AS39" s="56">
        <v>1334.2301736629452</v>
      </c>
      <c r="AT39" s="56">
        <v>149.83708492754678</v>
      </c>
      <c r="AU39" s="56">
        <v>297.34336190224928</v>
      </c>
      <c r="AV39" s="56"/>
      <c r="AW39" s="56">
        <v>1781.4106204927411</v>
      </c>
      <c r="AX39" s="1"/>
      <c r="AY39" s="16">
        <v>4.3355613021844874E-4</v>
      </c>
      <c r="AZ39" s="16">
        <v>7.1907353545880293E-2</v>
      </c>
      <c r="BA39" s="16">
        <v>3.590662851174331E-2</v>
      </c>
      <c r="BB39" s="16">
        <f t="shared" si="21"/>
        <v>1.1892444159306459E-2</v>
      </c>
      <c r="BC39" s="16"/>
      <c r="BD39" s="1"/>
      <c r="BE39" s="16">
        <f>AM39/'2017-18 disagg'!AM39-1</f>
        <v>1.9869102692561924E-2</v>
      </c>
      <c r="BF39" s="16">
        <f>AN39/'2017-18 disagg'!AN39-1</f>
        <v>1.1076757628713629E-2</v>
      </c>
      <c r="BG39" s="16">
        <f>AO39/'2017-18 disagg'!AO39-1</f>
        <v>4.1722501395868195E-2</v>
      </c>
      <c r="BH39" s="16">
        <f>AQ39/'2017-18 disagg'!AQ39-1</f>
        <v>2.2702111696677019E-2</v>
      </c>
      <c r="BI39" s="1"/>
      <c r="BJ39" s="16">
        <f>AS39/'2017-18 disagg'!AS39-1</f>
        <v>1.553909980819701E-2</v>
      </c>
      <c r="BK39" s="16">
        <f>AT39/'2017-18 disagg'!AT39-1</f>
        <v>6.7840839264823316E-3</v>
      </c>
      <c r="BL39" s="16">
        <f>AU39/'2017-18 disagg'!AU39-1</f>
        <v>3.7299716722969167E-2</v>
      </c>
      <c r="BM39" s="16">
        <f>AW39/'2017-18 disagg'!AW39-1</f>
        <v>1.8360080859776806E-2</v>
      </c>
    </row>
    <row r="40" spans="1:65" x14ac:dyDescent="0.2">
      <c r="A40" s="156" t="s">
        <v>125</v>
      </c>
      <c r="B40" s="156" t="s">
        <v>126</v>
      </c>
      <c r="D40" s="56">
        <f>VLOOKUP(A40,'2018-19'!$A$12:$AMX248,32,FALSE)</f>
        <v>519474</v>
      </c>
      <c r="E40" s="56">
        <v>1937.5307727113895</v>
      </c>
      <c r="F40" s="16">
        <f>VLOOKUP(A40,'2018-19'!$A$12:$AMX248,34,FALSE)</f>
        <v>2.7755739991492723E-2</v>
      </c>
      <c r="G40" s="16">
        <f>VLOOKUP(A40,'2018-19'!$A$12:$AMX248,35,FALSE)</f>
        <v>1.7807727132667539E-2</v>
      </c>
      <c r="H40" s="56"/>
      <c r="I40" s="56">
        <v>526352.48474368057</v>
      </c>
      <c r="J40" s="56">
        <v>1963.186100717232</v>
      </c>
      <c r="K40" s="16">
        <f t="shared" si="6"/>
        <v>-1.3068209884161908E-2</v>
      </c>
      <c r="L40" s="58">
        <f t="shared" si="6"/>
        <v>-1.3068209884162019E-2</v>
      </c>
      <c r="M40" s="10"/>
      <c r="N40" s="56">
        <v>381855</v>
      </c>
      <c r="O40" s="56">
        <v>38765</v>
      </c>
      <c r="P40" s="56">
        <v>98854</v>
      </c>
      <c r="R40" s="56">
        <f t="shared" si="7"/>
        <v>98854</v>
      </c>
      <c r="S40" s="56">
        <f t="shared" si="8"/>
        <v>0</v>
      </c>
      <c r="U40" s="16">
        <v>-2.8589798941360711E-2</v>
      </c>
      <c r="V40" s="16">
        <v>-4.8706903539422419E-2</v>
      </c>
      <c r="W40" s="56">
        <f t="shared" si="9"/>
        <v>4</v>
      </c>
      <c r="X40" s="56">
        <f t="shared" si="10"/>
        <v>3930.9346307446208</v>
      </c>
      <c r="Y40" s="56">
        <f t="shared" si="10"/>
        <v>407.49796402634206</v>
      </c>
      <c r="AA40" s="56">
        <f t="shared" si="22"/>
        <v>0</v>
      </c>
      <c r="AB40" s="56">
        <v>0</v>
      </c>
      <c r="AC40" s="56">
        <f t="shared" si="11"/>
        <v>0</v>
      </c>
      <c r="AE40" s="56">
        <v>0</v>
      </c>
      <c r="AF40" s="56">
        <f t="shared" si="12"/>
        <v>0</v>
      </c>
      <c r="AG40" s="56">
        <f t="shared" si="13"/>
        <v>0</v>
      </c>
      <c r="AI40" s="56">
        <f t="shared" si="14"/>
        <v>0</v>
      </c>
      <c r="AJ40" s="56">
        <f t="shared" si="15"/>
        <v>0</v>
      </c>
      <c r="AK40" s="56">
        <f t="shared" si="16"/>
        <v>0</v>
      </c>
      <c r="AM40" s="56">
        <f t="shared" si="17"/>
        <v>381855</v>
      </c>
      <c r="AN40" s="56">
        <f t="shared" si="18"/>
        <v>38765</v>
      </c>
      <c r="AO40" s="56">
        <f t="shared" si="19"/>
        <v>98854</v>
      </c>
      <c r="AP40" s="56"/>
      <c r="AQ40" s="56">
        <f t="shared" si="20"/>
        <v>519474</v>
      </c>
      <c r="AR40" s="1"/>
      <c r="AS40" s="56">
        <v>1424.2403146523361</v>
      </c>
      <c r="AT40" s="56">
        <v>144.58544682535992</v>
      </c>
      <c r="AU40" s="56">
        <v>368.70501123369354</v>
      </c>
      <c r="AV40" s="56"/>
      <c r="AW40" s="56">
        <v>1937.5307727113895</v>
      </c>
      <c r="AX40" s="1"/>
      <c r="AY40" s="16">
        <v>-2.8589798941360711E-2</v>
      </c>
      <c r="AZ40" s="16">
        <v>-4.8706903539422419E-2</v>
      </c>
      <c r="BA40" s="16">
        <v>6.8585319087170804E-2</v>
      </c>
      <c r="BB40" s="16">
        <f t="shared" si="21"/>
        <v>-1.3068209884161908E-2</v>
      </c>
      <c r="BC40" s="16"/>
      <c r="BD40" s="1"/>
      <c r="BE40" s="16">
        <f>AM40/'2017-18 disagg'!AM40-1</f>
        <v>2.1912558507976243E-2</v>
      </c>
      <c r="BF40" s="16">
        <f>AN40/'2017-18 disagg'!AN40-1</f>
        <v>3.6469613111948851E-2</v>
      </c>
      <c r="BG40" s="16">
        <f>AO40/'2017-18 disagg'!AO40-1</f>
        <v>4.7437405300020163E-2</v>
      </c>
      <c r="BH40" s="16">
        <f>AQ40/'2017-18 disagg'!AQ40-1</f>
        <v>2.7755739991492723E-2</v>
      </c>
      <c r="BI40" s="1"/>
      <c r="BJ40" s="16">
        <f>AS40/'2017-18 disagg'!AS40-1</f>
        <v>1.2021103878186334E-2</v>
      </c>
      <c r="BK40" s="16">
        <f>AT40/'2017-18 disagg'!AT40-1</f>
        <v>2.6437255580086028E-2</v>
      </c>
      <c r="BL40" s="16">
        <f>AU40/'2017-18 disagg'!AU40-1</f>
        <v>3.729888661188796E-2</v>
      </c>
      <c r="BM40" s="16">
        <f>AW40/'2017-18 disagg'!AW40-1</f>
        <v>1.7807727132667539E-2</v>
      </c>
    </row>
    <row r="41" spans="1:65" x14ac:dyDescent="0.2">
      <c r="A41" s="156" t="s">
        <v>127</v>
      </c>
      <c r="B41" s="156" t="s">
        <v>128</v>
      </c>
      <c r="D41" s="56">
        <f>VLOOKUP(A41,'2018-19'!$A$12:$AMX249,32,FALSE)</f>
        <v>295788</v>
      </c>
      <c r="E41" s="56">
        <v>1625.2740456619358</v>
      </c>
      <c r="F41" s="16">
        <f>VLOOKUP(A41,'2018-19'!$A$12:$AMX249,34,FALSE)</f>
        <v>2.2843745461335718E-2</v>
      </c>
      <c r="G41" s="16">
        <f>VLOOKUP(A41,'2018-19'!$A$12:$AMX249,35,FALSE)</f>
        <v>1.9374366595825698E-2</v>
      </c>
      <c r="H41" s="56"/>
      <c r="I41" s="56">
        <v>300623.80943699594</v>
      </c>
      <c r="J41" s="56">
        <v>1651.845494022642</v>
      </c>
      <c r="K41" s="16">
        <f t="shared" si="6"/>
        <v>-1.6085916302013392E-2</v>
      </c>
      <c r="L41" s="58">
        <f t="shared" si="6"/>
        <v>-1.6085916302013392E-2</v>
      </c>
      <c r="M41" s="10"/>
      <c r="N41" s="56">
        <v>228825</v>
      </c>
      <c r="O41" s="56">
        <v>23638</v>
      </c>
      <c r="P41" s="56">
        <v>43325</v>
      </c>
      <c r="R41" s="56">
        <f t="shared" si="7"/>
        <v>43325</v>
      </c>
      <c r="S41" s="56">
        <f t="shared" si="8"/>
        <v>0</v>
      </c>
      <c r="U41" s="16">
        <v>-3.6668485296973086E-2</v>
      </c>
      <c r="V41" s="16">
        <v>1.9295127573577764E-2</v>
      </c>
      <c r="W41" s="56">
        <f t="shared" si="9"/>
        <v>1</v>
      </c>
      <c r="X41" s="56">
        <f t="shared" si="10"/>
        <v>2375.3505050703288</v>
      </c>
      <c r="Y41" s="56">
        <f t="shared" si="10"/>
        <v>231.90535656017539</v>
      </c>
      <c r="AA41" s="56">
        <f t="shared" si="22"/>
        <v>0</v>
      </c>
      <c r="AB41" s="56">
        <v>0</v>
      </c>
      <c r="AC41" s="56">
        <f t="shared" si="11"/>
        <v>0</v>
      </c>
      <c r="AE41" s="56">
        <v>0</v>
      </c>
      <c r="AF41" s="56">
        <f t="shared" si="12"/>
        <v>0</v>
      </c>
      <c r="AG41" s="56">
        <f t="shared" si="13"/>
        <v>0</v>
      </c>
      <c r="AI41" s="56">
        <f t="shared" si="14"/>
        <v>0</v>
      </c>
      <c r="AJ41" s="56">
        <f t="shared" si="15"/>
        <v>0</v>
      </c>
      <c r="AK41" s="56">
        <f t="shared" si="16"/>
        <v>0</v>
      </c>
      <c r="AM41" s="56">
        <f t="shared" si="17"/>
        <v>228825</v>
      </c>
      <c r="AN41" s="56">
        <f t="shared" si="18"/>
        <v>23638</v>
      </c>
      <c r="AO41" s="56">
        <f t="shared" si="19"/>
        <v>43325</v>
      </c>
      <c r="AP41" s="56"/>
      <c r="AQ41" s="56">
        <f t="shared" si="20"/>
        <v>295788</v>
      </c>
      <c r="AR41" s="1"/>
      <c r="AS41" s="56">
        <v>1257.33070137596</v>
      </c>
      <c r="AT41" s="56">
        <v>129.88433571124196</v>
      </c>
      <c r="AU41" s="56">
        <v>238.05900857473384</v>
      </c>
      <c r="AV41" s="56"/>
      <c r="AW41" s="56">
        <v>1625.2740456619358</v>
      </c>
      <c r="AX41" s="1"/>
      <c r="AY41" s="16">
        <v>-3.6668485296973086E-2</v>
      </c>
      <c r="AZ41" s="16">
        <v>1.9295127573577764E-2</v>
      </c>
      <c r="BA41" s="16">
        <v>8.5887953018005003E-2</v>
      </c>
      <c r="BB41" s="16">
        <f t="shared" si="21"/>
        <v>-1.6085916302013392E-2</v>
      </c>
      <c r="BC41" s="16"/>
      <c r="BD41" s="1"/>
      <c r="BE41" s="16">
        <f>AM41/'2017-18 disagg'!AM41-1</f>
        <v>1.9869232106325851E-2</v>
      </c>
      <c r="BF41" s="16">
        <f>AN41/'2017-18 disagg'!AN41-1</f>
        <v>1.9318671841310975E-2</v>
      </c>
      <c r="BG41" s="16">
        <f>AO41/'2017-18 disagg'!AO41-1</f>
        <v>4.0840840840840942E-2</v>
      </c>
      <c r="BH41" s="16">
        <f>AQ41/'2017-18 disagg'!AQ41-1</f>
        <v>2.2843745461335718E-2</v>
      </c>
      <c r="BI41" s="1"/>
      <c r="BJ41" s="16">
        <f>AS41/'2017-18 disagg'!AS41-1</f>
        <v>1.6409942478604833E-2</v>
      </c>
      <c r="BK41" s="16">
        <f>AT41/'2017-18 disagg'!AT41-1</f>
        <v>1.5861249656350385E-2</v>
      </c>
      <c r="BL41" s="16">
        <f>AU41/'2017-18 disagg'!AU41-1</f>
        <v>3.7310417712580701E-2</v>
      </c>
      <c r="BM41" s="16">
        <f>AW41/'2017-18 disagg'!AW41-1</f>
        <v>1.9374366595825698E-2</v>
      </c>
    </row>
    <row r="42" spans="1:65" x14ac:dyDescent="0.2">
      <c r="A42" s="156" t="s">
        <v>129</v>
      </c>
      <c r="B42" s="156" t="s">
        <v>130</v>
      </c>
      <c r="D42" s="56">
        <f>VLOOKUP(A42,'2018-19'!$A$12:$AMX250,32,FALSE)</f>
        <v>322006</v>
      </c>
      <c r="E42" s="56">
        <v>1829.1403472191801</v>
      </c>
      <c r="F42" s="16">
        <f>VLOOKUP(A42,'2018-19'!$A$12:$AMX250,34,FALSE)</f>
        <v>2.5588269017619458E-2</v>
      </c>
      <c r="G42" s="16">
        <f>VLOOKUP(A42,'2018-19'!$A$12:$AMX250,35,FALSE)</f>
        <v>1.7648186426131085E-2</v>
      </c>
      <c r="H42" s="56"/>
      <c r="I42" s="56">
        <v>311091.53921304364</v>
      </c>
      <c r="J42" s="56">
        <v>1767.1412521912505</v>
      </c>
      <c r="K42" s="16">
        <f t="shared" si="6"/>
        <v>3.5084402534913961E-2</v>
      </c>
      <c r="L42" s="58">
        <f t="shared" si="6"/>
        <v>3.5084402534913961E-2</v>
      </c>
      <c r="M42" s="10"/>
      <c r="N42" s="56">
        <v>243422</v>
      </c>
      <c r="O42" s="56">
        <v>24794</v>
      </c>
      <c r="P42" s="56">
        <v>53790</v>
      </c>
      <c r="R42" s="56">
        <f t="shared" si="7"/>
        <v>53790</v>
      </c>
      <c r="S42" s="56">
        <f t="shared" si="8"/>
        <v>0</v>
      </c>
      <c r="U42" s="16">
        <v>2.7057686074905662E-2</v>
      </c>
      <c r="V42" s="16">
        <v>-4.9086253588864759E-2</v>
      </c>
      <c r="W42" s="56">
        <f t="shared" si="9"/>
        <v>3</v>
      </c>
      <c r="X42" s="56">
        <f t="shared" si="10"/>
        <v>2370.0908264489312</v>
      </c>
      <c r="Y42" s="56">
        <f t="shared" si="10"/>
        <v>260.73868522329798</v>
      </c>
      <c r="AA42" s="56">
        <f t="shared" si="22"/>
        <v>0</v>
      </c>
      <c r="AB42" s="56">
        <v>0</v>
      </c>
      <c r="AC42" s="56">
        <f t="shared" si="11"/>
        <v>0</v>
      </c>
      <c r="AE42" s="56">
        <v>0</v>
      </c>
      <c r="AF42" s="56">
        <f t="shared" si="12"/>
        <v>0</v>
      </c>
      <c r="AG42" s="56">
        <f t="shared" si="13"/>
        <v>0</v>
      </c>
      <c r="AI42" s="56">
        <f t="shared" si="14"/>
        <v>0</v>
      </c>
      <c r="AJ42" s="56">
        <f t="shared" si="15"/>
        <v>0</v>
      </c>
      <c r="AK42" s="56">
        <f t="shared" si="16"/>
        <v>0</v>
      </c>
      <c r="AM42" s="56">
        <f t="shared" si="17"/>
        <v>243422</v>
      </c>
      <c r="AN42" s="56">
        <f t="shared" si="18"/>
        <v>24794</v>
      </c>
      <c r="AO42" s="56">
        <f t="shared" si="19"/>
        <v>53790</v>
      </c>
      <c r="AP42" s="56"/>
      <c r="AQ42" s="56">
        <f t="shared" si="20"/>
        <v>322006</v>
      </c>
      <c r="AR42" s="1"/>
      <c r="AS42" s="56">
        <v>1382.7475314149028</v>
      </c>
      <c r="AT42" s="56">
        <v>140.8411823660191</v>
      </c>
      <c r="AU42" s="56">
        <v>305.55163343825797</v>
      </c>
      <c r="AV42" s="56"/>
      <c r="AW42" s="56">
        <v>1829.1403472191801</v>
      </c>
      <c r="AX42" s="1"/>
      <c r="AY42" s="16">
        <v>2.7057686074905662E-2</v>
      </c>
      <c r="AZ42" s="16">
        <v>-4.9086253588864759E-2</v>
      </c>
      <c r="BA42" s="16">
        <v>0.12042453630715699</v>
      </c>
      <c r="BB42" s="16">
        <f t="shared" si="21"/>
        <v>3.5084402534913961E-2</v>
      </c>
      <c r="BC42" s="16"/>
      <c r="BD42" s="1"/>
      <c r="BE42" s="16">
        <f>AM42/'2017-18 disagg'!AM42-1</f>
        <v>1.991460977336823E-2</v>
      </c>
      <c r="BF42" s="16">
        <f>AN42/'2017-18 disagg'!AN42-1</f>
        <v>3.9624302905782116E-2</v>
      </c>
      <c r="BG42" s="16">
        <f>AO42/'2017-18 disagg'!AO42-1</f>
        <v>4.5399774555914041E-2</v>
      </c>
      <c r="BH42" s="16">
        <f>AQ42/'2017-18 disagg'!AQ42-1</f>
        <v>2.5588269017619458E-2</v>
      </c>
      <c r="BI42" s="1"/>
      <c r="BJ42" s="16">
        <f>AS42/'2017-18 disagg'!AS42-1</f>
        <v>1.201845253121947E-2</v>
      </c>
      <c r="BK42" s="16">
        <f>AT42/'2017-18 disagg'!AT42-1</f>
        <v>3.15755536381086E-2</v>
      </c>
      <c r="BL42" s="16">
        <f>AU42/'2017-18 disagg'!AU42-1</f>
        <v>3.7306311709417228E-2</v>
      </c>
      <c r="BM42" s="16">
        <f>AW42/'2017-18 disagg'!AW42-1</f>
        <v>1.7648186426131085E-2</v>
      </c>
    </row>
    <row r="43" spans="1:65" x14ac:dyDescent="0.2">
      <c r="A43" s="156" t="s">
        <v>131</v>
      </c>
      <c r="B43" s="156" t="s">
        <v>132</v>
      </c>
      <c r="D43" s="56">
        <f>VLOOKUP(A43,'2018-19'!$A$12:$AMX251,32,FALSE)</f>
        <v>321240</v>
      </c>
      <c r="E43" s="56">
        <v>2072.4909721116164</v>
      </c>
      <c r="F43" s="16">
        <f>VLOOKUP(A43,'2018-19'!$A$12:$AMX251,34,FALSE)</f>
        <v>1.9411467903009294E-2</v>
      </c>
      <c r="G43" s="16">
        <f>VLOOKUP(A43,'2018-19'!$A$12:$AMX251,35,FALSE)</f>
        <v>1.8845719700507413E-2</v>
      </c>
      <c r="H43" s="56"/>
      <c r="I43" s="56">
        <v>303775.76556553569</v>
      </c>
      <c r="J43" s="56">
        <v>1959.8198595469664</v>
      </c>
      <c r="K43" s="16">
        <f t="shared" si="6"/>
        <v>5.7490545376295499E-2</v>
      </c>
      <c r="L43" s="58">
        <f t="shared" si="6"/>
        <v>5.7490545376295499E-2</v>
      </c>
      <c r="M43" s="10"/>
      <c r="N43" s="56">
        <v>244376</v>
      </c>
      <c r="O43" s="56">
        <v>21423</v>
      </c>
      <c r="P43" s="56">
        <v>55441</v>
      </c>
      <c r="R43" s="56">
        <f t="shared" si="7"/>
        <v>55441</v>
      </c>
      <c r="S43" s="56">
        <f t="shared" si="8"/>
        <v>0</v>
      </c>
      <c r="U43" s="16">
        <v>5.7100739622661267E-2</v>
      </c>
      <c r="V43" s="16">
        <v>-4.8660452518438535E-2</v>
      </c>
      <c r="W43" s="56">
        <f t="shared" si="9"/>
        <v>3</v>
      </c>
      <c r="X43" s="56">
        <f t="shared" si="10"/>
        <v>2311.756967337205</v>
      </c>
      <c r="Y43" s="56">
        <f t="shared" si="10"/>
        <v>225.18773719343579</v>
      </c>
      <c r="AA43" s="56">
        <f t="shared" si="22"/>
        <v>0</v>
      </c>
      <c r="AB43" s="56">
        <v>0</v>
      </c>
      <c r="AC43" s="56">
        <f t="shared" si="11"/>
        <v>0</v>
      </c>
      <c r="AE43" s="56">
        <v>0</v>
      </c>
      <c r="AF43" s="56">
        <f t="shared" si="12"/>
        <v>0</v>
      </c>
      <c r="AG43" s="56">
        <f t="shared" si="13"/>
        <v>0</v>
      </c>
      <c r="AI43" s="56">
        <f t="shared" si="14"/>
        <v>0</v>
      </c>
      <c r="AJ43" s="56">
        <f t="shared" si="15"/>
        <v>0</v>
      </c>
      <c r="AK43" s="56">
        <f t="shared" si="16"/>
        <v>0</v>
      </c>
      <c r="AM43" s="56">
        <f t="shared" si="17"/>
        <v>244376</v>
      </c>
      <c r="AN43" s="56">
        <f t="shared" si="18"/>
        <v>21423</v>
      </c>
      <c r="AO43" s="56">
        <f t="shared" si="19"/>
        <v>55441</v>
      </c>
      <c r="AP43" s="56"/>
      <c r="AQ43" s="56">
        <f t="shared" si="20"/>
        <v>321240</v>
      </c>
      <c r="AR43" s="1"/>
      <c r="AS43" s="56">
        <v>1576.6002172853578</v>
      </c>
      <c r="AT43" s="56">
        <v>138.21122554958023</v>
      </c>
      <c r="AU43" s="56">
        <v>357.67952927667824</v>
      </c>
      <c r="AV43" s="56"/>
      <c r="AW43" s="56">
        <v>2072.4909721116164</v>
      </c>
      <c r="AX43" s="1"/>
      <c r="AY43" s="16">
        <v>5.7100739622661267E-2</v>
      </c>
      <c r="AZ43" s="16">
        <v>-4.8660452518438535E-2</v>
      </c>
      <c r="BA43" s="16">
        <v>0.10702009353974851</v>
      </c>
      <c r="BB43" s="16">
        <f t="shared" si="21"/>
        <v>5.7490545376295499E-2</v>
      </c>
      <c r="BC43" s="16"/>
      <c r="BD43" s="1"/>
      <c r="BE43" s="16">
        <f>AM43/'2017-18 disagg'!AM43-1</f>
        <v>1.4736719719965041E-2</v>
      </c>
      <c r="BF43" s="16">
        <f>AN43/'2017-18 disagg'!AN43-1</f>
        <v>2.6104032953347955E-2</v>
      </c>
      <c r="BG43" s="16">
        <f>AO43/'2017-18 disagg'!AO43-1</f>
        <v>3.7871129581788843E-2</v>
      </c>
      <c r="BH43" s="16">
        <f>AQ43/'2017-18 disagg'!AQ43-1</f>
        <v>1.9411467903009294E-2</v>
      </c>
      <c r="BI43" s="1"/>
      <c r="BJ43" s="16">
        <f>AS43/'2017-18 disagg'!AS43-1</f>
        <v>1.4173565887317663E-2</v>
      </c>
      <c r="BK43" s="16">
        <f>AT43/'2017-18 disagg'!AT43-1</f>
        <v>2.553457054243613E-2</v>
      </c>
      <c r="BL43" s="16">
        <f>AU43/'2017-18 disagg'!AU43-1</f>
        <v>3.7295136722696132E-2</v>
      </c>
      <c r="BM43" s="16">
        <f>AW43/'2017-18 disagg'!AW43-1</f>
        <v>1.8845719700507413E-2</v>
      </c>
    </row>
    <row r="44" spans="1:65" x14ac:dyDescent="0.2">
      <c r="A44" s="156" t="s">
        <v>133</v>
      </c>
      <c r="B44" s="156" t="s">
        <v>134</v>
      </c>
      <c r="D44" s="56">
        <f>VLOOKUP(A44,'2018-19'!$A$12:$AMX252,32,FALSE)</f>
        <v>235044</v>
      </c>
      <c r="E44" s="56">
        <v>1887.4145655498114</v>
      </c>
      <c r="F44" s="16">
        <f>VLOOKUP(A44,'2018-19'!$A$12:$AMX252,34,FALSE)</f>
        <v>2.2557306870733873E-2</v>
      </c>
      <c r="G44" s="16">
        <f>VLOOKUP(A44,'2018-19'!$A$12:$AMX252,35,FALSE)</f>
        <v>2.0561266106272624E-2</v>
      </c>
      <c r="H44" s="56"/>
      <c r="I44" s="56">
        <v>229330.49343275314</v>
      </c>
      <c r="J44" s="56">
        <v>1841.5348344552665</v>
      </c>
      <c r="K44" s="16">
        <f t="shared" si="6"/>
        <v>2.4913854593533236E-2</v>
      </c>
      <c r="L44" s="58">
        <f t="shared" si="6"/>
        <v>2.4913854593533236E-2</v>
      </c>
      <c r="M44" s="10"/>
      <c r="N44" s="56">
        <v>184957</v>
      </c>
      <c r="O44" s="56">
        <v>16556</v>
      </c>
      <c r="P44" s="56">
        <v>33531</v>
      </c>
      <c r="R44" s="56">
        <f t="shared" si="7"/>
        <v>33531</v>
      </c>
      <c r="S44" s="56">
        <f t="shared" si="8"/>
        <v>0</v>
      </c>
      <c r="U44" s="16">
        <v>2.9181425727159649E-2</v>
      </c>
      <c r="V44" s="16">
        <v>-1.8218241696351112E-2</v>
      </c>
      <c r="W44" s="56">
        <f t="shared" si="9"/>
        <v>3</v>
      </c>
      <c r="X44" s="56">
        <f t="shared" si="10"/>
        <v>1797.1272642169979</v>
      </c>
      <c r="Y44" s="56">
        <f t="shared" si="10"/>
        <v>168.63218184666559</v>
      </c>
      <c r="AA44" s="56">
        <f t="shared" si="22"/>
        <v>0</v>
      </c>
      <c r="AB44" s="56">
        <v>0</v>
      </c>
      <c r="AC44" s="56">
        <f t="shared" si="11"/>
        <v>0</v>
      </c>
      <c r="AE44" s="56">
        <v>0</v>
      </c>
      <c r="AF44" s="56">
        <f t="shared" si="12"/>
        <v>0</v>
      </c>
      <c r="AG44" s="56">
        <f t="shared" si="13"/>
        <v>0</v>
      </c>
      <c r="AI44" s="56">
        <f t="shared" si="14"/>
        <v>0</v>
      </c>
      <c r="AJ44" s="56">
        <f t="shared" si="15"/>
        <v>0</v>
      </c>
      <c r="AK44" s="56">
        <f t="shared" si="16"/>
        <v>0</v>
      </c>
      <c r="AM44" s="56">
        <f t="shared" si="17"/>
        <v>184957</v>
      </c>
      <c r="AN44" s="56">
        <f t="shared" si="18"/>
        <v>16556</v>
      </c>
      <c r="AO44" s="56">
        <f t="shared" si="19"/>
        <v>33531</v>
      </c>
      <c r="AP44" s="56"/>
      <c r="AQ44" s="56">
        <f t="shared" si="20"/>
        <v>235044</v>
      </c>
      <c r="AR44" s="1"/>
      <c r="AS44" s="56">
        <v>1485.2135591650774</v>
      </c>
      <c r="AT44" s="56">
        <v>132.94547211263711</v>
      </c>
      <c r="AU44" s="56">
        <v>269.25553427209684</v>
      </c>
      <c r="AV44" s="56"/>
      <c r="AW44" s="56">
        <v>1887.4145655498114</v>
      </c>
      <c r="AX44" s="1"/>
      <c r="AY44" s="16">
        <v>2.9181425727159649E-2</v>
      </c>
      <c r="AZ44" s="16">
        <v>-1.8218241696351112E-2</v>
      </c>
      <c r="BA44" s="16">
        <v>2.3705140245672496E-2</v>
      </c>
      <c r="BB44" s="16">
        <f t="shared" si="21"/>
        <v>2.4913854593533236E-2</v>
      </c>
      <c r="BC44" s="16"/>
      <c r="BD44" s="1"/>
      <c r="BE44" s="16">
        <f>AM44/'2017-18 disagg'!AM44-1</f>
        <v>1.9867221015251957E-2</v>
      </c>
      <c r="BF44" s="16">
        <f>AN44/'2017-18 disagg'!AN44-1</f>
        <v>1.9269839315397386E-2</v>
      </c>
      <c r="BG44" s="16">
        <f>AO44/'2017-18 disagg'!AO44-1</f>
        <v>3.9334201227450238E-2</v>
      </c>
      <c r="BH44" s="16">
        <f>AQ44/'2017-18 disagg'!AQ44-1</f>
        <v>2.2557306870733873E-2</v>
      </c>
      <c r="BI44" s="1"/>
      <c r="BJ44" s="16">
        <f>AS44/'2017-18 disagg'!AS44-1</f>
        <v>1.7876431321798059E-2</v>
      </c>
      <c r="BK44" s="16">
        <f>AT44/'2017-18 disagg'!AT44-1</f>
        <v>1.7280215716221736E-2</v>
      </c>
      <c r="BL44" s="16">
        <f>AU44/'2017-18 disagg'!AU44-1</f>
        <v>3.7305411819160472E-2</v>
      </c>
      <c r="BM44" s="16">
        <f>AW44/'2017-18 disagg'!AW44-1</f>
        <v>2.0561266106272624E-2</v>
      </c>
    </row>
    <row r="45" spans="1:65" x14ac:dyDescent="0.2">
      <c r="A45" s="156" t="s">
        <v>135</v>
      </c>
      <c r="B45" s="156" t="s">
        <v>136</v>
      </c>
      <c r="D45" s="56">
        <f>VLOOKUP(A45,'2018-19'!$A$12:$AMX253,32,FALSE)</f>
        <v>380870</v>
      </c>
      <c r="E45" s="56">
        <v>1925.1614426402878</v>
      </c>
      <c r="F45" s="16">
        <f>VLOOKUP(A45,'2018-19'!$A$12:$AMX253,34,FALSE)</f>
        <v>2.2953126846509964E-2</v>
      </c>
      <c r="G45" s="16">
        <f>VLOOKUP(A45,'2018-19'!$A$12:$AMX253,35,FALSE)</f>
        <v>1.8764570204755193E-2</v>
      </c>
      <c r="H45" s="56"/>
      <c r="I45" s="56">
        <v>376575.76644568489</v>
      </c>
      <c r="J45" s="56">
        <v>1903.4556299890955</v>
      </c>
      <c r="K45" s="16">
        <f t="shared" si="6"/>
        <v>1.1403372008895518E-2</v>
      </c>
      <c r="L45" s="58">
        <f t="shared" si="6"/>
        <v>1.1403372008895518E-2</v>
      </c>
      <c r="M45" s="10"/>
      <c r="N45" s="56">
        <v>296457</v>
      </c>
      <c r="O45" s="56">
        <v>28559</v>
      </c>
      <c r="P45" s="56">
        <v>55854</v>
      </c>
      <c r="R45" s="56">
        <f t="shared" si="7"/>
        <v>55854</v>
      </c>
      <c r="S45" s="56">
        <f t="shared" si="8"/>
        <v>0</v>
      </c>
      <c r="U45" s="16">
        <v>1.9323430793662943E-3</v>
      </c>
      <c r="V45" s="16">
        <v>1.9260146369331155E-2</v>
      </c>
      <c r="W45" s="56">
        <f t="shared" si="9"/>
        <v>2</v>
      </c>
      <c r="X45" s="56">
        <f t="shared" si="10"/>
        <v>2958.8524818837659</v>
      </c>
      <c r="Y45" s="56">
        <f t="shared" si="10"/>
        <v>280.19343345983805</v>
      </c>
      <c r="AA45" s="56">
        <f t="shared" si="22"/>
        <v>0</v>
      </c>
      <c r="AB45" s="56">
        <v>0</v>
      </c>
      <c r="AC45" s="56">
        <f t="shared" si="11"/>
        <v>0</v>
      </c>
      <c r="AE45" s="56">
        <v>0</v>
      </c>
      <c r="AF45" s="56">
        <f t="shared" si="12"/>
        <v>0</v>
      </c>
      <c r="AG45" s="56">
        <f t="shared" si="13"/>
        <v>0</v>
      </c>
      <c r="AI45" s="56">
        <f t="shared" si="14"/>
        <v>0</v>
      </c>
      <c r="AJ45" s="56">
        <f t="shared" si="15"/>
        <v>0</v>
      </c>
      <c r="AK45" s="56">
        <f t="shared" si="16"/>
        <v>0</v>
      </c>
      <c r="AM45" s="56">
        <f t="shared" si="17"/>
        <v>296457</v>
      </c>
      <c r="AN45" s="56">
        <f t="shared" si="18"/>
        <v>28559</v>
      </c>
      <c r="AO45" s="56">
        <f t="shared" si="19"/>
        <v>55854</v>
      </c>
      <c r="AP45" s="56"/>
      <c r="AQ45" s="56">
        <f t="shared" si="20"/>
        <v>380870</v>
      </c>
      <c r="AR45" s="1"/>
      <c r="AS45" s="56">
        <v>1498.4839598834556</v>
      </c>
      <c r="AT45" s="56">
        <v>144.35551668643888</v>
      </c>
      <c r="AU45" s="56">
        <v>282.3219660703931</v>
      </c>
      <c r="AV45" s="56"/>
      <c r="AW45" s="56">
        <v>1925.1614426402878</v>
      </c>
      <c r="AX45" s="1"/>
      <c r="AY45" s="16">
        <v>1.9323430793662943E-3</v>
      </c>
      <c r="AZ45" s="16">
        <v>1.9260146369331155E-2</v>
      </c>
      <c r="BA45" s="16">
        <v>6.0428215129699536E-2</v>
      </c>
      <c r="BB45" s="16">
        <f t="shared" si="21"/>
        <v>1.1403372008895518E-2</v>
      </c>
      <c r="BC45" s="16"/>
      <c r="BD45" s="1"/>
      <c r="BE45" s="16">
        <f>AM45/'2017-18 disagg'!AM45-1</f>
        <v>1.987057977645601E-2</v>
      </c>
      <c r="BF45" s="16">
        <f>AN45/'2017-18 disagg'!AN45-1</f>
        <v>1.9309015632807514E-2</v>
      </c>
      <c r="BG45" s="16">
        <f>AO45/'2017-18 disagg'!AO45-1</f>
        <v>4.1566433566433636E-2</v>
      </c>
      <c r="BH45" s="16">
        <f>AQ45/'2017-18 disagg'!AQ45-1</f>
        <v>2.2953126846509964E-2</v>
      </c>
      <c r="BI45" s="1"/>
      <c r="BJ45" s="16">
        <f>AS45/'2017-18 disagg'!AS45-1</f>
        <v>1.5694644849875594E-2</v>
      </c>
      <c r="BK45" s="16">
        <f>AT45/'2017-18 disagg'!AT45-1</f>
        <v>1.5135380071820581E-2</v>
      </c>
      <c r="BL45" s="16">
        <f>AU45/'2017-18 disagg'!AU45-1</f>
        <v>3.7301663374477156E-2</v>
      </c>
      <c r="BM45" s="16">
        <f>AW45/'2017-18 disagg'!AW45-1</f>
        <v>1.8764570204755193E-2</v>
      </c>
    </row>
    <row r="46" spans="1:65" x14ac:dyDescent="0.2">
      <c r="A46" s="156" t="s">
        <v>137</v>
      </c>
      <c r="B46" s="156" t="s">
        <v>138</v>
      </c>
      <c r="D46" s="56">
        <f>VLOOKUP(A46,'2018-19'!$A$12:$AMX254,32,FALSE)</f>
        <v>537376</v>
      </c>
      <c r="E46" s="56">
        <v>1730.4712893623048</v>
      </c>
      <c r="F46" s="16">
        <f>VLOOKUP(A46,'2018-19'!$A$12:$AMX254,34,FALSE)</f>
        <v>2.4619420970743544E-2</v>
      </c>
      <c r="G46" s="16">
        <f>VLOOKUP(A46,'2018-19'!$A$12:$AMX254,35,FALSE)</f>
        <v>1.9624690606168116E-2</v>
      </c>
      <c r="H46" s="56"/>
      <c r="I46" s="56">
        <v>547023.98727760569</v>
      </c>
      <c r="J46" s="56">
        <v>1761.5399730847439</v>
      </c>
      <c r="K46" s="16">
        <f t="shared" si="6"/>
        <v>-1.7637228900365343E-2</v>
      </c>
      <c r="L46" s="58">
        <f t="shared" si="6"/>
        <v>-1.7637228900365343E-2</v>
      </c>
      <c r="M46" s="10"/>
      <c r="N46" s="56">
        <v>406815</v>
      </c>
      <c r="O46" s="56">
        <v>39157</v>
      </c>
      <c r="P46" s="56">
        <v>91404</v>
      </c>
      <c r="R46" s="56">
        <f t="shared" si="7"/>
        <v>91404</v>
      </c>
      <c r="S46" s="56">
        <f t="shared" si="8"/>
        <v>0</v>
      </c>
      <c r="U46" s="16">
        <v>-4.379894602948553E-2</v>
      </c>
      <c r="V46" s="16">
        <v>-4.8855241432493979E-2</v>
      </c>
      <c r="W46" s="56">
        <f t="shared" si="9"/>
        <v>4</v>
      </c>
      <c r="X46" s="56">
        <f t="shared" si="10"/>
        <v>4254.4922776517315</v>
      </c>
      <c r="Y46" s="56">
        <f t="shared" si="10"/>
        <v>411.68286580239715</v>
      </c>
      <c r="AA46" s="56">
        <f t="shared" si="22"/>
        <v>0</v>
      </c>
      <c r="AB46" s="56">
        <v>0</v>
      </c>
      <c r="AC46" s="56">
        <f t="shared" si="11"/>
        <v>0</v>
      </c>
      <c r="AE46" s="56">
        <v>0</v>
      </c>
      <c r="AF46" s="56">
        <f t="shared" si="12"/>
        <v>0</v>
      </c>
      <c r="AG46" s="56">
        <f t="shared" si="13"/>
        <v>0</v>
      </c>
      <c r="AI46" s="56">
        <f t="shared" si="14"/>
        <v>0</v>
      </c>
      <c r="AJ46" s="56">
        <f t="shared" si="15"/>
        <v>0</v>
      </c>
      <c r="AK46" s="56">
        <f t="shared" si="16"/>
        <v>0</v>
      </c>
      <c r="AM46" s="56">
        <f t="shared" si="17"/>
        <v>406815</v>
      </c>
      <c r="AN46" s="56">
        <f t="shared" si="18"/>
        <v>39157</v>
      </c>
      <c r="AO46" s="56">
        <f t="shared" si="19"/>
        <v>91404</v>
      </c>
      <c r="AP46" s="56"/>
      <c r="AQ46" s="56">
        <f t="shared" si="20"/>
        <v>537376</v>
      </c>
      <c r="AR46" s="1"/>
      <c r="AS46" s="56">
        <v>1310.0355758015357</v>
      </c>
      <c r="AT46" s="56">
        <v>126.09432553288531</v>
      </c>
      <c r="AU46" s="56">
        <v>294.34138802788385</v>
      </c>
      <c r="AV46" s="56"/>
      <c r="AW46" s="56">
        <v>1730.4712893623048</v>
      </c>
      <c r="AX46" s="1"/>
      <c r="AY46" s="16">
        <v>-4.379894602948553E-2</v>
      </c>
      <c r="AZ46" s="16">
        <v>-4.8855241432493979E-2</v>
      </c>
      <c r="BA46" s="16">
        <v>0.13677415097017653</v>
      </c>
      <c r="BB46" s="16">
        <f t="shared" si="21"/>
        <v>-1.7637228900365343E-2</v>
      </c>
      <c r="BC46" s="16"/>
      <c r="BD46" s="1"/>
      <c r="BE46" s="16">
        <f>AM46/'2017-18 disagg'!AM46-1</f>
        <v>1.9870189451200782E-2</v>
      </c>
      <c r="BF46" s="16">
        <f>AN46/'2017-18 disagg'!AN46-1</f>
        <v>3.3520732705149436E-2</v>
      </c>
      <c r="BG46" s="16">
        <f>AO46/'2017-18 disagg'!AO46-1</f>
        <v>4.2377520299242688E-2</v>
      </c>
      <c r="BH46" s="16">
        <f>AQ46/'2017-18 disagg'!AQ46-1</f>
        <v>2.4619420970743544E-2</v>
      </c>
      <c r="BI46" s="1"/>
      <c r="BJ46" s="16">
        <f>AS46/'2017-18 disagg'!AS46-1</f>
        <v>1.489861024928496E-2</v>
      </c>
      <c r="BK46" s="16">
        <f>AT46/'2017-18 disagg'!AT46-1</f>
        <v>2.8482610959253085E-2</v>
      </c>
      <c r="BL46" s="16">
        <f>AU46/'2017-18 disagg'!AU46-1</f>
        <v>3.7296224214637297E-2</v>
      </c>
      <c r="BM46" s="16">
        <f>AW46/'2017-18 disagg'!AW46-1</f>
        <v>1.9624690606168116E-2</v>
      </c>
    </row>
    <row r="47" spans="1:65" x14ac:dyDescent="0.2">
      <c r="A47" s="156" t="s">
        <v>139</v>
      </c>
      <c r="B47" s="156" t="s">
        <v>140</v>
      </c>
      <c r="D47" s="56">
        <f>VLOOKUP(A47,'2018-19'!$A$12:$AMX255,32,FALSE)</f>
        <v>455865</v>
      </c>
      <c r="E47" s="56">
        <v>1837.7560476125191</v>
      </c>
      <c r="F47" s="16">
        <f>VLOOKUP(A47,'2018-19'!$A$12:$AMX255,34,FALSE)</f>
        <v>2.4254611634124901E-2</v>
      </c>
      <c r="G47" s="16">
        <f>VLOOKUP(A47,'2018-19'!$A$12:$AMX255,35,FALSE)</f>
        <v>1.8399222354542832E-2</v>
      </c>
      <c r="H47" s="56"/>
      <c r="I47" s="56">
        <v>455116.58917476336</v>
      </c>
      <c r="J47" s="56">
        <v>1834.738933949094</v>
      </c>
      <c r="K47" s="16">
        <f t="shared" si="6"/>
        <v>1.644437585968328E-3</v>
      </c>
      <c r="L47" s="58">
        <f t="shared" si="6"/>
        <v>1.644437585968106E-3</v>
      </c>
      <c r="M47" s="10"/>
      <c r="N47" s="56">
        <v>350455</v>
      </c>
      <c r="O47" s="56">
        <v>33041</v>
      </c>
      <c r="P47" s="56">
        <v>72369</v>
      </c>
      <c r="R47" s="56">
        <f t="shared" si="7"/>
        <v>72369</v>
      </c>
      <c r="S47" s="56">
        <f t="shared" si="8"/>
        <v>0</v>
      </c>
      <c r="U47" s="16">
        <v>-7.123971641323612E-3</v>
      </c>
      <c r="V47" s="16">
        <v>-4.8560163127587264E-2</v>
      </c>
      <c r="W47" s="56">
        <f t="shared" si="9"/>
        <v>4</v>
      </c>
      <c r="X47" s="56">
        <f t="shared" si="10"/>
        <v>3529.6954502903773</v>
      </c>
      <c r="Y47" s="56">
        <f t="shared" si="10"/>
        <v>347.27366586428491</v>
      </c>
      <c r="AA47" s="56">
        <f t="shared" si="22"/>
        <v>0</v>
      </c>
      <c r="AB47" s="56">
        <v>0</v>
      </c>
      <c r="AC47" s="56">
        <f t="shared" si="11"/>
        <v>0</v>
      </c>
      <c r="AE47" s="56">
        <v>0</v>
      </c>
      <c r="AF47" s="56">
        <f t="shared" si="12"/>
        <v>0</v>
      </c>
      <c r="AG47" s="56">
        <f t="shared" si="13"/>
        <v>0</v>
      </c>
      <c r="AI47" s="56">
        <f t="shared" si="14"/>
        <v>0</v>
      </c>
      <c r="AJ47" s="56">
        <f t="shared" si="15"/>
        <v>0</v>
      </c>
      <c r="AK47" s="56">
        <f t="shared" si="16"/>
        <v>0</v>
      </c>
      <c r="AM47" s="56">
        <f t="shared" si="17"/>
        <v>350455</v>
      </c>
      <c r="AN47" s="56">
        <f t="shared" si="18"/>
        <v>33041</v>
      </c>
      <c r="AO47" s="56">
        <f t="shared" si="19"/>
        <v>72369</v>
      </c>
      <c r="AP47" s="56"/>
      <c r="AQ47" s="56">
        <f t="shared" si="20"/>
        <v>455865</v>
      </c>
      <c r="AR47" s="1"/>
      <c r="AS47" s="56">
        <v>1412.810361984459</v>
      </c>
      <c r="AT47" s="56">
        <v>133.20017454545808</v>
      </c>
      <c r="AU47" s="56">
        <v>291.74551108260209</v>
      </c>
      <c r="AV47" s="56"/>
      <c r="AW47" s="56">
        <v>1837.7560476125191</v>
      </c>
      <c r="AX47" s="1"/>
      <c r="AY47" s="16">
        <v>-7.123971641323612E-3</v>
      </c>
      <c r="AZ47" s="16">
        <v>-4.8560163127587264E-2</v>
      </c>
      <c r="BA47" s="16">
        <v>7.3410651309476327E-2</v>
      </c>
      <c r="BB47" s="16">
        <f t="shared" si="21"/>
        <v>1.644437585968328E-3</v>
      </c>
      <c r="BC47" s="16"/>
      <c r="BD47" s="1"/>
      <c r="BE47" s="16">
        <f>AM47/'2017-18 disagg'!AM47-1</f>
        <v>1.9870382711486556E-2</v>
      </c>
      <c r="BF47" s="16">
        <f>AN47/'2017-18 disagg'!AN47-1</f>
        <v>3.011691348402179E-2</v>
      </c>
      <c r="BG47" s="16">
        <f>AO47/'2017-18 disagg'!AO47-1</f>
        <v>4.3262022834736458E-2</v>
      </c>
      <c r="BH47" s="16">
        <f>AQ47/'2017-18 disagg'!AQ47-1</f>
        <v>2.4254611634124901E-2</v>
      </c>
      <c r="BI47" s="1"/>
      <c r="BJ47" s="16">
        <f>AS47/'2017-18 disagg'!AS47-1</f>
        <v>1.4040056894388586E-2</v>
      </c>
      <c r="BK47" s="16">
        <f>AT47/'2017-18 disagg'!AT47-1</f>
        <v>2.4228010994915783E-2</v>
      </c>
      <c r="BL47" s="16">
        <f>AU47/'2017-18 disagg'!AU47-1</f>
        <v>3.7297973276242846E-2</v>
      </c>
      <c r="BM47" s="16">
        <f>AW47/'2017-18 disagg'!AW47-1</f>
        <v>1.8399222354542832E-2</v>
      </c>
    </row>
    <row r="48" spans="1:65" x14ac:dyDescent="0.2">
      <c r="A48" s="156" t="s">
        <v>141</v>
      </c>
      <c r="B48" s="156" t="s">
        <v>142</v>
      </c>
      <c r="D48" s="56">
        <f>VLOOKUP(A48,'2018-19'!$A$12:$AMX256,32,FALSE)</f>
        <v>408889</v>
      </c>
      <c r="E48" s="56">
        <v>1675.7192507334958</v>
      </c>
      <c r="F48" s="16">
        <f>VLOOKUP(A48,'2018-19'!$A$12:$AMX256,34,FALSE)</f>
        <v>2.4153028458644643E-2</v>
      </c>
      <c r="G48" s="16">
        <f>VLOOKUP(A48,'2018-19'!$A$12:$AMX256,35,FALSE)</f>
        <v>1.6942294407617187E-2</v>
      </c>
      <c r="H48" s="56"/>
      <c r="I48" s="56">
        <v>403270.75091672596</v>
      </c>
      <c r="J48" s="56">
        <v>1652.6944001157042</v>
      </c>
      <c r="K48" s="16">
        <f t="shared" si="6"/>
        <v>1.3931704867021777E-2</v>
      </c>
      <c r="L48" s="58">
        <f t="shared" si="6"/>
        <v>1.3931704867021777E-2</v>
      </c>
      <c r="M48" s="10"/>
      <c r="N48" s="56">
        <v>305338</v>
      </c>
      <c r="O48" s="56">
        <v>30774</v>
      </c>
      <c r="P48" s="56">
        <v>72777</v>
      </c>
      <c r="R48" s="56">
        <f t="shared" si="7"/>
        <v>72777</v>
      </c>
      <c r="S48" s="56">
        <f t="shared" si="8"/>
        <v>0</v>
      </c>
      <c r="U48" s="16">
        <v>-2.9045927480781941E-3</v>
      </c>
      <c r="V48" s="16">
        <v>-1.2310023752419186E-2</v>
      </c>
      <c r="W48" s="56">
        <f t="shared" si="9"/>
        <v>4</v>
      </c>
      <c r="X48" s="56">
        <f t="shared" si="10"/>
        <v>3062.2746607723029</v>
      </c>
      <c r="Y48" s="56">
        <f t="shared" si="10"/>
        <v>311.57550182817681</v>
      </c>
      <c r="AA48" s="56">
        <f t="shared" si="22"/>
        <v>0</v>
      </c>
      <c r="AB48" s="56">
        <v>0</v>
      </c>
      <c r="AC48" s="56">
        <f t="shared" si="11"/>
        <v>0</v>
      </c>
      <c r="AE48" s="56">
        <v>0</v>
      </c>
      <c r="AF48" s="56">
        <f t="shared" si="12"/>
        <v>0</v>
      </c>
      <c r="AG48" s="56">
        <f t="shared" si="13"/>
        <v>0</v>
      </c>
      <c r="AI48" s="56">
        <f t="shared" si="14"/>
        <v>0</v>
      </c>
      <c r="AJ48" s="56">
        <f t="shared" si="15"/>
        <v>0</v>
      </c>
      <c r="AK48" s="56">
        <f t="shared" si="16"/>
        <v>0</v>
      </c>
      <c r="AM48" s="56">
        <f t="shared" si="17"/>
        <v>305338</v>
      </c>
      <c r="AN48" s="56">
        <f t="shared" si="18"/>
        <v>30774</v>
      </c>
      <c r="AO48" s="56">
        <f t="shared" si="19"/>
        <v>72777</v>
      </c>
      <c r="AP48" s="56"/>
      <c r="AQ48" s="56">
        <f t="shared" si="20"/>
        <v>408889</v>
      </c>
      <c r="AR48" s="1"/>
      <c r="AS48" s="56">
        <v>1251.343921163113</v>
      </c>
      <c r="AT48" s="56">
        <v>126.11878583692052</v>
      </c>
      <c r="AU48" s="56">
        <v>298.25654373346219</v>
      </c>
      <c r="AV48" s="56"/>
      <c r="AW48" s="56">
        <v>1675.7192507334958</v>
      </c>
      <c r="AX48" s="1"/>
      <c r="AY48" s="16">
        <v>-2.9045927480781941E-3</v>
      </c>
      <c r="AZ48" s="16">
        <v>-1.2310023752419186E-2</v>
      </c>
      <c r="BA48" s="16">
        <v>0.10459419446761098</v>
      </c>
      <c r="BB48" s="16">
        <f t="shared" si="21"/>
        <v>1.3931704867021777E-2</v>
      </c>
      <c r="BC48" s="16"/>
      <c r="BD48" s="1"/>
      <c r="BE48" s="16">
        <f>AM48/'2017-18 disagg'!AM48-1</f>
        <v>1.9870469522928369E-2</v>
      </c>
      <c r="BF48" s="16">
        <f>AN48/'2017-18 disagg'!AN48-1</f>
        <v>1.9310390513729292E-2</v>
      </c>
      <c r="BG48" s="16">
        <f>AO48/'2017-18 disagg'!AO48-1</f>
        <v>4.4655929721815424E-2</v>
      </c>
      <c r="BH48" s="16">
        <f>AQ48/'2017-18 disagg'!AQ48-1</f>
        <v>2.4153028458644643E-2</v>
      </c>
      <c r="BI48" s="1"/>
      <c r="BJ48" s="16">
        <f>AS48/'2017-18 disagg'!AS48-1</f>
        <v>1.2689887600230598E-2</v>
      </c>
      <c r="BK48" s="16">
        <f>AT48/'2017-18 disagg'!AT48-1</f>
        <v>1.2133751928277592E-2</v>
      </c>
      <c r="BL48" s="16">
        <f>AU48/'2017-18 disagg'!AU48-1</f>
        <v>3.7300841297784215E-2</v>
      </c>
      <c r="BM48" s="16">
        <f>AW48/'2017-18 disagg'!AW48-1</f>
        <v>1.6942294407617187E-2</v>
      </c>
    </row>
    <row r="49" spans="1:65" x14ac:dyDescent="0.2">
      <c r="A49" s="156" t="s">
        <v>143</v>
      </c>
      <c r="B49" s="156" t="s">
        <v>144</v>
      </c>
      <c r="D49" s="56">
        <f>VLOOKUP(A49,'2018-19'!$A$12:$AMX257,32,FALSE)</f>
        <v>171591</v>
      </c>
      <c r="E49" s="56">
        <v>1644.7323473994338</v>
      </c>
      <c r="F49" s="16">
        <f>VLOOKUP(A49,'2018-19'!$A$12:$AMX257,34,FALSE)</f>
        <v>2.2671601494752336E-2</v>
      </c>
      <c r="G49" s="16">
        <f>VLOOKUP(A49,'2018-19'!$A$12:$AMX257,35,FALSE)</f>
        <v>2.070418120082862E-2</v>
      </c>
      <c r="H49" s="56"/>
      <c r="I49" s="56">
        <v>173984.15494438779</v>
      </c>
      <c r="J49" s="56">
        <v>1667.671192381825</v>
      </c>
      <c r="K49" s="16">
        <f t="shared" si="6"/>
        <v>-1.3755016628685168E-2</v>
      </c>
      <c r="L49" s="58">
        <f t="shared" si="6"/>
        <v>-1.3755016628685168E-2</v>
      </c>
      <c r="M49" s="10"/>
      <c r="N49" s="56">
        <v>133054</v>
      </c>
      <c r="O49" s="56">
        <v>12981</v>
      </c>
      <c r="P49" s="56">
        <v>25556</v>
      </c>
      <c r="R49" s="56">
        <f t="shared" si="7"/>
        <v>25556</v>
      </c>
      <c r="S49" s="56">
        <f t="shared" si="8"/>
        <v>0</v>
      </c>
      <c r="U49" s="16">
        <v>-2.8755180034872874E-2</v>
      </c>
      <c r="V49" s="16">
        <v>-1.8938286060468768E-2</v>
      </c>
      <c r="W49" s="56">
        <f t="shared" si="9"/>
        <v>4</v>
      </c>
      <c r="X49" s="56">
        <f t="shared" si="10"/>
        <v>1369.9326602820629</v>
      </c>
      <c r="Y49" s="56">
        <f t="shared" si="10"/>
        <v>132.31583513613802</v>
      </c>
      <c r="AA49" s="56">
        <f t="shared" si="22"/>
        <v>0</v>
      </c>
      <c r="AB49" s="56">
        <v>0</v>
      </c>
      <c r="AC49" s="56">
        <f t="shared" si="11"/>
        <v>0</v>
      </c>
      <c r="AE49" s="56">
        <v>0</v>
      </c>
      <c r="AF49" s="56">
        <f t="shared" si="12"/>
        <v>0</v>
      </c>
      <c r="AG49" s="56">
        <f t="shared" si="13"/>
        <v>0</v>
      </c>
      <c r="AI49" s="56">
        <f t="shared" si="14"/>
        <v>0</v>
      </c>
      <c r="AJ49" s="56">
        <f t="shared" si="15"/>
        <v>0</v>
      </c>
      <c r="AK49" s="56">
        <f t="shared" si="16"/>
        <v>0</v>
      </c>
      <c r="AM49" s="56">
        <f t="shared" si="17"/>
        <v>133054</v>
      </c>
      <c r="AN49" s="56">
        <f t="shared" si="18"/>
        <v>12981</v>
      </c>
      <c r="AO49" s="56">
        <f t="shared" si="19"/>
        <v>25556</v>
      </c>
      <c r="AP49" s="56"/>
      <c r="AQ49" s="56">
        <f t="shared" si="20"/>
        <v>171591</v>
      </c>
      <c r="AR49" s="1"/>
      <c r="AS49" s="56">
        <v>1275.3478780989929</v>
      </c>
      <c r="AT49" s="56">
        <v>124.42535215478696</v>
      </c>
      <c r="AU49" s="56">
        <v>244.95911714565409</v>
      </c>
      <c r="AV49" s="56"/>
      <c r="AW49" s="56">
        <v>1644.7323473994338</v>
      </c>
      <c r="AX49" s="1"/>
      <c r="AY49" s="16">
        <v>-2.8755180034872874E-2</v>
      </c>
      <c r="AZ49" s="16">
        <v>-1.8938286060468768E-2</v>
      </c>
      <c r="BA49" s="16">
        <v>7.5620670174899818E-2</v>
      </c>
      <c r="BB49" s="16">
        <f t="shared" si="21"/>
        <v>-1.3755016628685168E-2</v>
      </c>
      <c r="BC49" s="16"/>
      <c r="BD49" s="1"/>
      <c r="BE49" s="16">
        <f>AM49/'2017-18 disagg'!AM49-1</f>
        <v>1.9867854241081728E-2</v>
      </c>
      <c r="BF49" s="16">
        <f>AN49/'2017-18 disagg'!AN49-1</f>
        <v>1.9316843345111856E-2</v>
      </c>
      <c r="BG49" s="16">
        <f>AO49/'2017-18 disagg'!AO49-1</f>
        <v>3.9284261895079275E-2</v>
      </c>
      <c r="BH49" s="16">
        <f>AQ49/'2017-18 disagg'!AQ49-1</f>
        <v>2.2671601494752336E-2</v>
      </c>
      <c r="BI49" s="1"/>
      <c r="BJ49" s="16">
        <f>AS49/'2017-18 disagg'!AS49-1</f>
        <v>1.7905827808919472E-2</v>
      </c>
      <c r="BK49" s="16">
        <f>AT49/'2017-18 disagg'!AT49-1</f>
        <v>1.7355876950226001E-2</v>
      </c>
      <c r="BL49" s="16">
        <f>AU49/'2017-18 disagg'!AU49-1</f>
        <v>3.7284882089265503E-2</v>
      </c>
      <c r="BM49" s="16">
        <f>AW49/'2017-18 disagg'!AW49-1</f>
        <v>2.070418120082862E-2</v>
      </c>
    </row>
    <row r="50" spans="1:65" x14ac:dyDescent="0.2">
      <c r="A50" s="156" t="s">
        <v>145</v>
      </c>
      <c r="B50" s="156" t="s">
        <v>146</v>
      </c>
      <c r="D50" s="56">
        <f>VLOOKUP(A50,'2018-19'!$A$12:$AMX258,32,FALSE)</f>
        <v>362082.49200448458</v>
      </c>
      <c r="E50" s="56">
        <v>1650.805695148317</v>
      </c>
      <c r="F50" s="16">
        <f>VLOOKUP(A50,'2018-19'!$A$12:$AMX258,34,FALSE)</f>
        <v>2.518925439990416E-2</v>
      </c>
      <c r="G50" s="16">
        <f>VLOOKUP(A50,'2018-19'!$A$12:$AMX258,35,FALSE)</f>
        <v>1.7640374245869728E-2</v>
      </c>
      <c r="H50" s="56"/>
      <c r="I50" s="56">
        <v>368767.47216715495</v>
      </c>
      <c r="J50" s="56">
        <v>1681.2838418916097</v>
      </c>
      <c r="K50" s="16">
        <f t="shared" si="6"/>
        <v>-1.8127900824290166E-2</v>
      </c>
      <c r="L50" s="58">
        <f t="shared" si="6"/>
        <v>-1.8127900824290166E-2</v>
      </c>
      <c r="M50" s="10"/>
      <c r="N50" s="56">
        <v>279294</v>
      </c>
      <c r="O50" s="56">
        <v>27070</v>
      </c>
      <c r="P50" s="56">
        <v>55156</v>
      </c>
      <c r="R50" s="56">
        <f t="shared" si="7"/>
        <v>55156</v>
      </c>
      <c r="S50" s="56">
        <f t="shared" si="8"/>
        <v>562.4920044845785</v>
      </c>
      <c r="U50" s="16">
        <v>-1.9007792236318766E-2</v>
      </c>
      <c r="V50" s="16">
        <v>-3.5384178764872098E-2</v>
      </c>
      <c r="W50" s="56">
        <f t="shared" si="9"/>
        <v>4</v>
      </c>
      <c r="X50" s="56">
        <f t="shared" si="10"/>
        <v>2847.0562537565156</v>
      </c>
      <c r="Y50" s="56">
        <f t="shared" si="10"/>
        <v>280.62985702783334</v>
      </c>
      <c r="AA50" s="56">
        <f t="shared" si="22"/>
        <v>0</v>
      </c>
      <c r="AB50" s="56">
        <v>0</v>
      </c>
      <c r="AC50" s="56">
        <f t="shared" si="11"/>
        <v>562.4920044845785</v>
      </c>
      <c r="AE50" s="56">
        <v>0</v>
      </c>
      <c r="AF50" s="56">
        <f t="shared" si="12"/>
        <v>0</v>
      </c>
      <c r="AG50" s="56">
        <f t="shared" si="13"/>
        <v>562.4920044845785</v>
      </c>
      <c r="AI50" s="56">
        <f t="shared" si="14"/>
        <v>512.02272936981285</v>
      </c>
      <c r="AJ50" s="56">
        <f t="shared" si="15"/>
        <v>50.469275114765637</v>
      </c>
      <c r="AK50" s="56">
        <f t="shared" si="16"/>
        <v>0</v>
      </c>
      <c r="AM50" s="56">
        <f t="shared" si="17"/>
        <v>279806</v>
      </c>
      <c r="AN50" s="56">
        <f t="shared" si="18"/>
        <v>27120</v>
      </c>
      <c r="AO50" s="56">
        <f t="shared" si="19"/>
        <v>55156</v>
      </c>
      <c r="AP50" s="56"/>
      <c r="AQ50" s="56">
        <f t="shared" si="20"/>
        <v>362082</v>
      </c>
      <c r="AR50" s="1"/>
      <c r="AS50" s="56">
        <v>1275.6908951315686</v>
      </c>
      <c r="AT50" s="56">
        <v>123.64544390030285</v>
      </c>
      <c r="AU50" s="56">
        <v>251.46711297068967</v>
      </c>
      <c r="AV50" s="56"/>
      <c r="AW50" s="56">
        <v>1650.803452002561</v>
      </c>
      <c r="AX50" s="1"/>
      <c r="AY50" s="16">
        <v>-1.7209443505679989E-2</v>
      </c>
      <c r="AZ50" s="16">
        <v>-3.3602472408693407E-2</v>
      </c>
      <c r="BA50" s="16">
        <v>-1.5051396980818588E-2</v>
      </c>
      <c r="BB50" s="16">
        <f t="shared" si="21"/>
        <v>-1.8129235010523215E-2</v>
      </c>
      <c r="BC50" s="16"/>
      <c r="BD50" s="1"/>
      <c r="BE50" s="16">
        <f>AM50/'2017-18 disagg'!AM50-1</f>
        <v>2.1737939697574982E-2</v>
      </c>
      <c r="BF50" s="16">
        <f>AN50/'2017-18 disagg'!AN50-1</f>
        <v>2.139198553781263E-2</v>
      </c>
      <c r="BG50" s="16">
        <f>AO50/'2017-18 disagg'!AO50-1</f>
        <v>4.4997252799302778E-2</v>
      </c>
      <c r="BH50" s="16">
        <f>AQ50/'2017-18 disagg'!AQ50-1</f>
        <v>2.5187861353507701E-2</v>
      </c>
      <c r="BI50" s="1"/>
      <c r="BJ50" s="16">
        <f>AS50/'2017-18 disagg'!AS50-1</f>
        <v>1.4214472959599878E-2</v>
      </c>
      <c r="BK50" s="16">
        <f>AT50/'2017-18 disagg'!AT50-1</f>
        <v>1.3871066199236726E-2</v>
      </c>
      <c r="BL50" s="16">
        <f>AU50/'2017-18 disagg'!AU50-1</f>
        <v>3.7302518398974804E-2</v>
      </c>
      <c r="BM50" s="16">
        <f>AW50/'2017-18 disagg'!AW50-1</f>
        <v>1.7638991457033182E-2</v>
      </c>
    </row>
    <row r="51" spans="1:65" x14ac:dyDescent="0.2">
      <c r="A51" s="156" t="s">
        <v>147</v>
      </c>
      <c r="B51" s="156" t="s">
        <v>148</v>
      </c>
      <c r="D51" s="56">
        <f>VLOOKUP(A51,'2018-19'!$A$12:$AMX259,32,FALSE)</f>
        <v>441916</v>
      </c>
      <c r="E51" s="56">
        <v>1690.0697369874208</v>
      </c>
      <c r="F51" s="16">
        <f>VLOOKUP(A51,'2018-19'!$A$12:$AMX259,34,FALSE)</f>
        <v>2.2780872676607888E-2</v>
      </c>
      <c r="G51" s="16">
        <f>VLOOKUP(A51,'2018-19'!$A$12:$AMX259,35,FALSE)</f>
        <v>1.9979154982099345E-2</v>
      </c>
      <c r="H51" s="56"/>
      <c r="I51" s="56">
        <v>443768.26862334093</v>
      </c>
      <c r="J51" s="56">
        <v>1697.1535790412947</v>
      </c>
      <c r="K51" s="16">
        <f t="shared" si="6"/>
        <v>-4.1739546387286053E-3</v>
      </c>
      <c r="L51" s="58">
        <f t="shared" si="6"/>
        <v>-4.1739546387283832E-3</v>
      </c>
      <c r="M51" s="10"/>
      <c r="N51" s="56">
        <v>340881</v>
      </c>
      <c r="O51" s="56">
        <v>35457</v>
      </c>
      <c r="P51" s="56">
        <v>65578</v>
      </c>
      <c r="R51" s="56">
        <f t="shared" si="7"/>
        <v>65578</v>
      </c>
      <c r="S51" s="56">
        <f t="shared" si="8"/>
        <v>0</v>
      </c>
      <c r="U51" s="16">
        <v>-2.0485174107638948E-2</v>
      </c>
      <c r="V51" s="16">
        <v>2.8876596767708484E-2</v>
      </c>
      <c r="W51" s="56">
        <f t="shared" si="9"/>
        <v>1</v>
      </c>
      <c r="X51" s="56">
        <f t="shared" si="10"/>
        <v>3480.1004639153816</v>
      </c>
      <c r="Y51" s="56">
        <f t="shared" si="10"/>
        <v>344.61858799578857</v>
      </c>
      <c r="AA51" s="56">
        <f t="shared" si="22"/>
        <v>0</v>
      </c>
      <c r="AB51" s="56">
        <v>0</v>
      </c>
      <c r="AC51" s="56">
        <f t="shared" si="11"/>
        <v>0</v>
      </c>
      <c r="AE51" s="56">
        <v>0</v>
      </c>
      <c r="AF51" s="56">
        <f t="shared" si="12"/>
        <v>0</v>
      </c>
      <c r="AG51" s="56">
        <f t="shared" si="13"/>
        <v>0</v>
      </c>
      <c r="AI51" s="56">
        <f t="shared" si="14"/>
        <v>0</v>
      </c>
      <c r="AJ51" s="56">
        <f t="shared" si="15"/>
        <v>0</v>
      </c>
      <c r="AK51" s="56">
        <f t="shared" si="16"/>
        <v>0</v>
      </c>
      <c r="AM51" s="56">
        <f t="shared" si="17"/>
        <v>340881</v>
      </c>
      <c r="AN51" s="56">
        <f t="shared" si="18"/>
        <v>35457</v>
      </c>
      <c r="AO51" s="56">
        <f t="shared" si="19"/>
        <v>65578</v>
      </c>
      <c r="AP51" s="56"/>
      <c r="AQ51" s="56">
        <f t="shared" si="20"/>
        <v>441916</v>
      </c>
      <c r="AR51" s="1"/>
      <c r="AS51" s="56">
        <v>1303.6700685515098</v>
      </c>
      <c r="AT51" s="56">
        <v>135.60224717901812</v>
      </c>
      <c r="AU51" s="56">
        <v>250.79742125689287</v>
      </c>
      <c r="AV51" s="56"/>
      <c r="AW51" s="56">
        <v>1690.0697369874208</v>
      </c>
      <c r="AX51" s="1"/>
      <c r="AY51" s="16">
        <v>-2.0485174107638948E-2</v>
      </c>
      <c r="AZ51" s="16">
        <v>2.8876596767708484E-2</v>
      </c>
      <c r="BA51" s="16">
        <v>6.9851396200858451E-2</v>
      </c>
      <c r="BB51" s="16">
        <f t="shared" si="21"/>
        <v>-4.1739546387286053E-3</v>
      </c>
      <c r="BC51" s="16"/>
      <c r="BD51" s="1"/>
      <c r="BE51" s="16">
        <f>AM51/'2017-18 disagg'!AM51-1</f>
        <v>1.9868956438487295E-2</v>
      </c>
      <c r="BF51" s="16">
        <f>AN51/'2017-18 disagg'!AN51-1</f>
        <v>1.9289369286494606E-2</v>
      </c>
      <c r="BG51" s="16">
        <f>AO51/'2017-18 disagg'!AO51-1</f>
        <v>4.0144653988294365E-2</v>
      </c>
      <c r="BH51" s="16">
        <f>AQ51/'2017-18 disagg'!AQ51-1</f>
        <v>2.2780872676607888E-2</v>
      </c>
      <c r="BI51" s="1"/>
      <c r="BJ51" s="16">
        <f>AS51/'2017-18 disagg'!AS51-1</f>
        <v>1.7075215396130883E-2</v>
      </c>
      <c r="BK51" s="16">
        <f>AT51/'2017-18 disagg'!AT51-1</f>
        <v>1.649721591518527E-2</v>
      </c>
      <c r="BL51" s="16">
        <f>AU51/'2017-18 disagg'!AU51-1</f>
        <v>3.7295371449111547E-2</v>
      </c>
      <c r="BM51" s="16">
        <f>AW51/'2017-18 disagg'!AW51-1</f>
        <v>1.9979154982099345E-2</v>
      </c>
    </row>
    <row r="52" spans="1:65" x14ac:dyDescent="0.2">
      <c r="A52" s="156" t="s">
        <v>149</v>
      </c>
      <c r="B52" s="156" t="s">
        <v>150</v>
      </c>
      <c r="D52" s="56">
        <f>VLOOKUP(A52,'2018-19'!$A$12:$AMX260,32,FALSE)</f>
        <v>194626</v>
      </c>
      <c r="E52" s="56">
        <v>1735.6750726555617</v>
      </c>
      <c r="F52" s="16">
        <f>VLOOKUP(A52,'2018-19'!$A$12:$AMX260,34,FALSE)</f>
        <v>2.3081977554077815E-2</v>
      </c>
      <c r="G52" s="16">
        <f>VLOOKUP(A52,'2018-19'!$A$12:$AMX260,35,FALSE)</f>
        <v>2.2423484435620367E-2</v>
      </c>
      <c r="H52" s="56"/>
      <c r="I52" s="56">
        <v>191653.97351372626</v>
      </c>
      <c r="J52" s="56">
        <v>1709.1705342717003</v>
      </c>
      <c r="K52" s="16">
        <f t="shared" si="6"/>
        <v>1.5507252115807946E-2</v>
      </c>
      <c r="L52" s="58">
        <f t="shared" si="6"/>
        <v>1.5507252115807946E-2</v>
      </c>
      <c r="M52" s="10"/>
      <c r="N52" s="56">
        <v>152500</v>
      </c>
      <c r="O52" s="56">
        <v>14026</v>
      </c>
      <c r="P52" s="56">
        <v>28100</v>
      </c>
      <c r="R52" s="56">
        <f t="shared" si="7"/>
        <v>28100</v>
      </c>
      <c r="S52" s="56">
        <f t="shared" si="8"/>
        <v>0</v>
      </c>
      <c r="U52" s="16">
        <v>2.6077760536896477E-2</v>
      </c>
      <c r="V52" s="16">
        <v>-4.8808960519491684E-2</v>
      </c>
      <c r="W52" s="56">
        <f t="shared" si="9"/>
        <v>3</v>
      </c>
      <c r="X52" s="56">
        <f t="shared" si="10"/>
        <v>1486.2421335416545</v>
      </c>
      <c r="Y52" s="56">
        <f t="shared" si="10"/>
        <v>147.45723432866106</v>
      </c>
      <c r="AA52" s="56">
        <f t="shared" si="22"/>
        <v>0</v>
      </c>
      <c r="AB52" s="56">
        <v>0</v>
      </c>
      <c r="AC52" s="56">
        <f t="shared" si="11"/>
        <v>0</v>
      </c>
      <c r="AE52" s="56">
        <v>0</v>
      </c>
      <c r="AF52" s="56">
        <f t="shared" si="12"/>
        <v>0</v>
      </c>
      <c r="AG52" s="56">
        <f t="shared" si="13"/>
        <v>0</v>
      </c>
      <c r="AI52" s="56">
        <f t="shared" si="14"/>
        <v>0</v>
      </c>
      <c r="AJ52" s="56">
        <f t="shared" si="15"/>
        <v>0</v>
      </c>
      <c r="AK52" s="56">
        <f t="shared" si="16"/>
        <v>0</v>
      </c>
      <c r="AM52" s="56">
        <f t="shared" si="17"/>
        <v>152500</v>
      </c>
      <c r="AN52" s="56">
        <f t="shared" si="18"/>
        <v>14026</v>
      </c>
      <c r="AO52" s="56">
        <f t="shared" si="19"/>
        <v>28100</v>
      </c>
      <c r="AP52" s="56"/>
      <c r="AQ52" s="56">
        <f t="shared" si="20"/>
        <v>194626</v>
      </c>
      <c r="AR52" s="1"/>
      <c r="AS52" s="56">
        <v>1359.9953170695239</v>
      </c>
      <c r="AT52" s="56">
        <v>125.08389716207962</v>
      </c>
      <c r="AU52" s="56">
        <v>250.59585842395816</v>
      </c>
      <c r="AV52" s="56"/>
      <c r="AW52" s="56">
        <v>1735.6750726555617</v>
      </c>
      <c r="AX52" s="1"/>
      <c r="AY52" s="16">
        <v>2.6077760536896477E-2</v>
      </c>
      <c r="AZ52" s="16">
        <v>-4.8808960519491684E-2</v>
      </c>
      <c r="BA52" s="16">
        <v>-6.5067348226499622E-3</v>
      </c>
      <c r="BB52" s="16">
        <f t="shared" si="21"/>
        <v>1.5507252115807946E-2</v>
      </c>
      <c r="BC52" s="16"/>
      <c r="BD52" s="1"/>
      <c r="BE52" s="16">
        <f>AM52/'2017-18 disagg'!AM52-1</f>
        <v>1.9869055500939536E-2</v>
      </c>
      <c r="BF52" s="16">
        <f>AN52/'2017-18 disagg'!AN52-1</f>
        <v>2.8751650286049646E-2</v>
      </c>
      <c r="BG52" s="16">
        <f>AO52/'2017-18 disagg'!AO52-1</f>
        <v>3.7972813238770664E-2</v>
      </c>
      <c r="BH52" s="16">
        <f>AQ52/'2017-18 disagg'!AQ52-1</f>
        <v>2.3081977554077815E-2</v>
      </c>
      <c r="BI52" s="1"/>
      <c r="BJ52" s="16">
        <f>AS52/'2017-18 disagg'!AS52-1</f>
        <v>1.9212630337062997E-2</v>
      </c>
      <c r="BK52" s="16">
        <f>AT52/'2017-18 disagg'!AT52-1</f>
        <v>2.8089507958086068E-2</v>
      </c>
      <c r="BL52" s="16">
        <f>AU52/'2017-18 disagg'!AU52-1</f>
        <v>3.7304735831818592E-2</v>
      </c>
      <c r="BM52" s="16">
        <f>AW52/'2017-18 disagg'!AW52-1</f>
        <v>2.2423484435620367E-2</v>
      </c>
    </row>
    <row r="53" spans="1:65" x14ac:dyDescent="0.2">
      <c r="A53" s="156" t="s">
        <v>151</v>
      </c>
      <c r="B53" s="156" t="s">
        <v>152</v>
      </c>
      <c r="D53" s="56">
        <f>VLOOKUP(A53,'2018-19'!$A$12:$AMX261,32,FALSE)</f>
        <v>602046</v>
      </c>
      <c r="E53" s="56">
        <v>1830.1495564003537</v>
      </c>
      <c r="F53" s="16">
        <f>VLOOKUP(A53,'2018-19'!$A$12:$AMX261,34,FALSE)</f>
        <v>2.3250833664759663E-2</v>
      </c>
      <c r="G53" s="16">
        <f>VLOOKUP(A53,'2018-19'!$A$12:$AMX261,35,FALSE)</f>
        <v>1.7523416875150355E-2</v>
      </c>
      <c r="H53" s="56"/>
      <c r="I53" s="56">
        <v>600074.87891702494</v>
      </c>
      <c r="J53" s="56">
        <v>1824.1575784192391</v>
      </c>
      <c r="K53" s="16">
        <f t="shared" si="6"/>
        <v>3.2847918688621025E-3</v>
      </c>
      <c r="L53" s="58">
        <f t="shared" si="6"/>
        <v>3.2847918688621025E-3</v>
      </c>
      <c r="M53" s="10"/>
      <c r="N53" s="56">
        <v>461351</v>
      </c>
      <c r="O53" s="56">
        <v>46889</v>
      </c>
      <c r="P53" s="56">
        <v>93806</v>
      </c>
      <c r="R53" s="56">
        <f t="shared" si="7"/>
        <v>93806</v>
      </c>
      <c r="S53" s="56">
        <f t="shared" si="8"/>
        <v>0</v>
      </c>
      <c r="U53" s="16">
        <v>-3.8478125700152077E-3</v>
      </c>
      <c r="V53" s="16">
        <v>4.4059966725753741E-2</v>
      </c>
      <c r="W53" s="56">
        <f t="shared" si="9"/>
        <v>1</v>
      </c>
      <c r="X53" s="56">
        <f t="shared" si="10"/>
        <v>4631.3304916817879</v>
      </c>
      <c r="Y53" s="56">
        <f t="shared" si="10"/>
        <v>449.1025563124237</v>
      </c>
      <c r="AA53" s="56">
        <f t="shared" si="22"/>
        <v>0</v>
      </c>
      <c r="AB53" s="56">
        <v>0</v>
      </c>
      <c r="AC53" s="56">
        <f t="shared" si="11"/>
        <v>0</v>
      </c>
      <c r="AE53" s="56">
        <v>0</v>
      </c>
      <c r="AF53" s="56">
        <f t="shared" si="12"/>
        <v>0</v>
      </c>
      <c r="AG53" s="56">
        <f t="shared" si="13"/>
        <v>0</v>
      </c>
      <c r="AI53" s="56">
        <f t="shared" si="14"/>
        <v>0</v>
      </c>
      <c r="AJ53" s="56">
        <f t="shared" si="15"/>
        <v>0</v>
      </c>
      <c r="AK53" s="56">
        <f t="shared" si="16"/>
        <v>0</v>
      </c>
      <c r="AM53" s="56">
        <f t="shared" si="17"/>
        <v>461351</v>
      </c>
      <c r="AN53" s="56">
        <f t="shared" si="18"/>
        <v>46889</v>
      </c>
      <c r="AO53" s="56">
        <f t="shared" si="19"/>
        <v>93806</v>
      </c>
      <c r="AP53" s="56"/>
      <c r="AQ53" s="56">
        <f t="shared" si="20"/>
        <v>602046</v>
      </c>
      <c r="AR53" s="1"/>
      <c r="AS53" s="56">
        <v>1402.4531813098329</v>
      </c>
      <c r="AT53" s="56">
        <v>142.53708611975861</v>
      </c>
      <c r="AU53" s="56">
        <v>285.15928897076236</v>
      </c>
      <c r="AV53" s="56"/>
      <c r="AW53" s="56">
        <v>1830.1495564003537</v>
      </c>
      <c r="AX53" s="1"/>
      <c r="AY53" s="16">
        <v>-3.8478125700152077E-3</v>
      </c>
      <c r="AZ53" s="16">
        <v>4.4059966725753741E-2</v>
      </c>
      <c r="BA53" s="16">
        <v>1.9280620802255566E-2</v>
      </c>
      <c r="BB53" s="16">
        <f t="shared" si="21"/>
        <v>3.2847918688621025E-3</v>
      </c>
      <c r="BC53" s="16"/>
      <c r="BD53" s="1"/>
      <c r="BE53" s="16">
        <f>AM53/'2017-18 disagg'!AM53-1</f>
        <v>1.9868999011855459E-2</v>
      </c>
      <c r="BF53" s="16">
        <f>AN53/'2017-18 disagg'!AN53-1</f>
        <v>1.7644760829933048E-2</v>
      </c>
      <c r="BG53" s="16">
        <f>AO53/'2017-18 disagg'!AO53-1</f>
        <v>4.3134987267450242E-2</v>
      </c>
      <c r="BH53" s="16">
        <f>AQ53/'2017-18 disagg'!AQ53-1</f>
        <v>2.3250833664759663E-2</v>
      </c>
      <c r="BI53" s="1"/>
      <c r="BJ53" s="16">
        <f>AS53/'2017-18 disagg'!AS53-1</f>
        <v>1.4160511282388377E-2</v>
      </c>
      <c r="BK53" s="16">
        <f>AT53/'2017-18 disagg'!AT53-1</f>
        <v>1.1948722774278053E-2</v>
      </c>
      <c r="BL53" s="16">
        <f>AU53/'2017-18 disagg'!AU53-1</f>
        <v>3.7296273392664725E-2</v>
      </c>
      <c r="BM53" s="16">
        <f>AW53/'2017-18 disagg'!AW53-1</f>
        <v>1.7523416875150355E-2</v>
      </c>
    </row>
    <row r="54" spans="1:65" x14ac:dyDescent="0.2">
      <c r="A54" s="156" t="s">
        <v>153</v>
      </c>
      <c r="B54" s="156" t="s">
        <v>154</v>
      </c>
      <c r="D54" s="56">
        <f>VLOOKUP(A54,'2018-19'!$A$12:$AMX262,32,FALSE)</f>
        <v>647256</v>
      </c>
      <c r="E54" s="56">
        <v>1924.1887381194226</v>
      </c>
      <c r="F54" s="16">
        <f>VLOOKUP(A54,'2018-19'!$A$12:$AMX262,34,FALSE)</f>
        <v>2.2602101271822495E-2</v>
      </c>
      <c r="G54" s="16">
        <f>VLOOKUP(A54,'2018-19'!$A$12:$AMX262,35,FALSE)</f>
        <v>2.0588086509811809E-2</v>
      </c>
      <c r="H54" s="56"/>
      <c r="I54" s="56">
        <v>649362.09710039094</v>
      </c>
      <c r="J54" s="56">
        <v>1930.449828510177</v>
      </c>
      <c r="K54" s="16">
        <f t="shared" si="6"/>
        <v>-3.243332356162032E-3</v>
      </c>
      <c r="L54" s="58">
        <f t="shared" si="6"/>
        <v>-3.2433323561619209E-3</v>
      </c>
      <c r="M54" s="10"/>
      <c r="N54" s="56">
        <v>506117</v>
      </c>
      <c r="O54" s="56">
        <v>47394</v>
      </c>
      <c r="P54" s="56">
        <v>93745</v>
      </c>
      <c r="R54" s="56">
        <f t="shared" si="7"/>
        <v>93745</v>
      </c>
      <c r="S54" s="56">
        <f t="shared" si="8"/>
        <v>0</v>
      </c>
      <c r="U54" s="16">
        <v>-1.5019558542271549E-2</v>
      </c>
      <c r="V54" s="16">
        <v>-1.2547499722449396E-2</v>
      </c>
      <c r="W54" s="56">
        <f t="shared" si="9"/>
        <v>4</v>
      </c>
      <c r="X54" s="56">
        <f t="shared" si="10"/>
        <v>5138.3456838083885</v>
      </c>
      <c r="Y54" s="56">
        <f t="shared" si="10"/>
        <v>479.96232716691304</v>
      </c>
      <c r="AA54" s="56">
        <f t="shared" si="22"/>
        <v>0</v>
      </c>
      <c r="AB54" s="56">
        <v>0</v>
      </c>
      <c r="AC54" s="56">
        <f t="shared" si="11"/>
        <v>0</v>
      </c>
      <c r="AE54" s="56">
        <v>0</v>
      </c>
      <c r="AF54" s="56">
        <f t="shared" si="12"/>
        <v>0</v>
      </c>
      <c r="AG54" s="56">
        <f t="shared" si="13"/>
        <v>0</v>
      </c>
      <c r="AI54" s="56">
        <f t="shared" si="14"/>
        <v>0</v>
      </c>
      <c r="AJ54" s="56">
        <f t="shared" si="15"/>
        <v>0</v>
      </c>
      <c r="AK54" s="56">
        <f t="shared" si="16"/>
        <v>0</v>
      </c>
      <c r="AM54" s="56">
        <f t="shared" si="17"/>
        <v>506117</v>
      </c>
      <c r="AN54" s="56">
        <f t="shared" si="18"/>
        <v>47394</v>
      </c>
      <c r="AO54" s="56">
        <f t="shared" si="19"/>
        <v>93745</v>
      </c>
      <c r="AP54" s="56"/>
      <c r="AQ54" s="56">
        <f t="shared" si="20"/>
        <v>647256</v>
      </c>
      <c r="AR54" s="1"/>
      <c r="AS54" s="56">
        <v>1504.6050273319795</v>
      </c>
      <c r="AT54" s="56">
        <v>140.89479441586005</v>
      </c>
      <c r="AU54" s="56">
        <v>278.68891637158293</v>
      </c>
      <c r="AV54" s="56"/>
      <c r="AW54" s="56">
        <v>1924.1887381194226</v>
      </c>
      <c r="AX54" s="1"/>
      <c r="AY54" s="16">
        <v>-1.5019558542271549E-2</v>
      </c>
      <c r="AZ54" s="16">
        <v>-1.2547499722449396E-2</v>
      </c>
      <c r="BA54" s="16">
        <v>7.0988369656221906E-2</v>
      </c>
      <c r="BB54" s="16">
        <f t="shared" si="21"/>
        <v>-3.243332356162032E-3</v>
      </c>
      <c r="BC54" s="16"/>
      <c r="BD54" s="1"/>
      <c r="BE54" s="16">
        <f>AM54/'2017-18 disagg'!AM54-1</f>
        <v>1.9868737367936262E-2</v>
      </c>
      <c r="BF54" s="16">
        <f>AN54/'2017-18 disagg'!AN54-1</f>
        <v>1.9291567197883719E-2</v>
      </c>
      <c r="BG54" s="16">
        <f>AO54/'2017-18 disagg'!AO54-1</f>
        <v>3.9347642910993796E-2</v>
      </c>
      <c r="BH54" s="16">
        <f>AQ54/'2017-18 disagg'!AQ54-1</f>
        <v>2.2602101271822495E-2</v>
      </c>
      <c r="BI54" s="1"/>
      <c r="BJ54" s="16">
        <f>AS54/'2017-18 disagg'!AS54-1</f>
        <v>1.7860105965930018E-2</v>
      </c>
      <c r="BK54" s="16">
        <f>AT54/'2017-18 disagg'!AT54-1</f>
        <v>1.7284072532484096E-2</v>
      </c>
      <c r="BL54" s="16">
        <f>AU54/'2017-18 disagg'!AU54-1</f>
        <v>3.730064780597675E-2</v>
      </c>
      <c r="BM54" s="16">
        <f>AW54/'2017-18 disagg'!AW54-1</f>
        <v>2.0588086509811809E-2</v>
      </c>
    </row>
    <row r="55" spans="1:65" x14ac:dyDescent="0.2">
      <c r="A55" s="156" t="s">
        <v>155</v>
      </c>
      <c r="B55" s="156" t="s">
        <v>156</v>
      </c>
      <c r="D55" s="56">
        <f>VLOOKUP(A55,'2018-19'!$A$12:$AMX263,32,FALSE)</f>
        <v>265263</v>
      </c>
      <c r="E55" s="56">
        <v>1649.2431763533707</v>
      </c>
      <c r="F55" s="16">
        <f>VLOOKUP(A55,'2018-19'!$A$12:$AMX263,34,FALSE)</f>
        <v>2.4304067282184372E-2</v>
      </c>
      <c r="G55" s="16">
        <f>VLOOKUP(A55,'2018-19'!$A$12:$AMX263,35,FALSE)</f>
        <v>1.8597334254277564E-2</v>
      </c>
      <c r="H55" s="56"/>
      <c r="I55" s="56">
        <v>269622.6777029215</v>
      </c>
      <c r="J55" s="56">
        <v>1676.3489872001276</v>
      </c>
      <c r="K55" s="16">
        <f t="shared" si="6"/>
        <v>-1.6169551241253965E-2</v>
      </c>
      <c r="L55" s="58">
        <f t="shared" si="6"/>
        <v>-1.6169551241254077E-2</v>
      </c>
      <c r="M55" s="10"/>
      <c r="N55" s="56">
        <v>209723</v>
      </c>
      <c r="O55" s="56">
        <v>20078</v>
      </c>
      <c r="P55" s="56">
        <v>35462</v>
      </c>
      <c r="R55" s="56">
        <f t="shared" si="7"/>
        <v>35462</v>
      </c>
      <c r="S55" s="56">
        <f t="shared" si="8"/>
        <v>0</v>
      </c>
      <c r="U55" s="16">
        <v>-1.2751360283031588E-2</v>
      </c>
      <c r="V55" s="16">
        <v>-4.9182188946500283E-2</v>
      </c>
      <c r="W55" s="56">
        <f t="shared" si="9"/>
        <v>4</v>
      </c>
      <c r="X55" s="56">
        <f t="shared" si="10"/>
        <v>2124.3179434526737</v>
      </c>
      <c r="Y55" s="56">
        <f t="shared" si="10"/>
        <v>211.16558573670082</v>
      </c>
      <c r="AA55" s="56">
        <f t="shared" si="22"/>
        <v>0</v>
      </c>
      <c r="AB55" s="56">
        <v>0</v>
      </c>
      <c r="AC55" s="56">
        <f t="shared" si="11"/>
        <v>0</v>
      </c>
      <c r="AE55" s="56">
        <v>0</v>
      </c>
      <c r="AF55" s="56">
        <f t="shared" si="12"/>
        <v>0</v>
      </c>
      <c r="AG55" s="56">
        <f t="shared" si="13"/>
        <v>0</v>
      </c>
      <c r="AI55" s="56">
        <f t="shared" si="14"/>
        <v>0</v>
      </c>
      <c r="AJ55" s="56">
        <f t="shared" si="15"/>
        <v>0</v>
      </c>
      <c r="AK55" s="56">
        <f t="shared" si="16"/>
        <v>0</v>
      </c>
      <c r="AM55" s="56">
        <f t="shared" si="17"/>
        <v>209723</v>
      </c>
      <c r="AN55" s="56">
        <f t="shared" si="18"/>
        <v>20078</v>
      </c>
      <c r="AO55" s="56">
        <f t="shared" si="19"/>
        <v>35462</v>
      </c>
      <c r="AP55" s="56"/>
      <c r="AQ55" s="56">
        <f t="shared" si="20"/>
        <v>265263</v>
      </c>
      <c r="AR55" s="1"/>
      <c r="AS55" s="56">
        <v>1303.9294084525848</v>
      </c>
      <c r="AT55" s="56">
        <v>124.83273013885457</v>
      </c>
      <c r="AU55" s="56">
        <v>220.4810377619315</v>
      </c>
      <c r="AV55" s="56"/>
      <c r="AW55" s="56">
        <v>1649.2431763533707</v>
      </c>
      <c r="AX55" s="1"/>
      <c r="AY55" s="16">
        <v>-1.2751360283031588E-2</v>
      </c>
      <c r="AZ55" s="16">
        <v>-4.9182188946500283E-2</v>
      </c>
      <c r="BA55" s="16">
        <v>-1.6973977687751551E-2</v>
      </c>
      <c r="BB55" s="16">
        <f t="shared" si="21"/>
        <v>-1.6169551241253965E-2</v>
      </c>
      <c r="BC55" s="16"/>
      <c r="BD55" s="1"/>
      <c r="BE55" s="16">
        <f>AM55/'2017-18 disagg'!AM55-1</f>
        <v>1.9869965035475223E-2</v>
      </c>
      <c r="BF55" s="16">
        <f>AN55/'2017-18 disagg'!AN55-1</f>
        <v>3.8374017376913594E-2</v>
      </c>
      <c r="BG55" s="16">
        <f>AO55/'2017-18 disagg'!AO55-1</f>
        <v>4.3122720320037722E-2</v>
      </c>
      <c r="BH55" s="16">
        <f>AQ55/'2017-18 disagg'!AQ55-1</f>
        <v>2.4304067282184372E-2</v>
      </c>
      <c r="BI55" s="1"/>
      <c r="BJ55" s="16">
        <f>AS55/'2017-18 disagg'!AS55-1</f>
        <v>1.4187935841663002E-2</v>
      </c>
      <c r="BK55" s="16">
        <f>AT55/'2017-18 disagg'!AT55-1</f>
        <v>3.2588896054484451E-2</v>
      </c>
      <c r="BL55" s="16">
        <f>AU55/'2017-18 disagg'!AU55-1</f>
        <v>3.7311142420122678E-2</v>
      </c>
      <c r="BM55" s="16">
        <f>AW55/'2017-18 disagg'!AW55-1</f>
        <v>1.8597334254277564E-2</v>
      </c>
    </row>
    <row r="56" spans="1:65" x14ac:dyDescent="0.2">
      <c r="A56" s="156" t="s">
        <v>157</v>
      </c>
      <c r="B56" s="156" t="s">
        <v>158</v>
      </c>
      <c r="D56" s="56">
        <f>VLOOKUP(A56,'2018-19'!$A$12:$AMX264,32,FALSE)</f>
        <v>483514</v>
      </c>
      <c r="E56" s="56">
        <v>1856.5020561116205</v>
      </c>
      <c r="F56" s="16">
        <f>VLOOKUP(A56,'2018-19'!$A$12:$AMX264,34,FALSE)</f>
        <v>2.1079884780754066E-2</v>
      </c>
      <c r="G56" s="16">
        <f>VLOOKUP(A56,'2018-19'!$A$12:$AMX264,35,FALSE)</f>
        <v>1.4738831998693414E-2</v>
      </c>
      <c r="H56" s="56"/>
      <c r="I56" s="56">
        <v>461645.6449578164</v>
      </c>
      <c r="J56" s="56">
        <v>1772.5362431266963</v>
      </c>
      <c r="K56" s="16">
        <f t="shared" si="6"/>
        <v>4.7370435053452953E-2</v>
      </c>
      <c r="L56" s="58">
        <f t="shared" si="6"/>
        <v>4.7370435053452731E-2</v>
      </c>
      <c r="M56" s="10"/>
      <c r="N56" s="56">
        <v>379236</v>
      </c>
      <c r="O56" s="56">
        <v>35917</v>
      </c>
      <c r="P56" s="56">
        <v>68361</v>
      </c>
      <c r="R56" s="56">
        <f t="shared" si="7"/>
        <v>68361</v>
      </c>
      <c r="S56" s="56">
        <f t="shared" si="8"/>
        <v>0</v>
      </c>
      <c r="U56" s="16">
        <v>5.3208047010817605E-2</v>
      </c>
      <c r="V56" s="16">
        <v>-3.2087022333370241E-3</v>
      </c>
      <c r="W56" s="56">
        <f t="shared" si="9"/>
        <v>3</v>
      </c>
      <c r="X56" s="56">
        <f t="shared" si="10"/>
        <v>3600.7700575051231</v>
      </c>
      <c r="Y56" s="56">
        <f t="shared" si="10"/>
        <v>360.32617941662392</v>
      </c>
      <c r="AA56" s="56">
        <f t="shared" si="22"/>
        <v>0</v>
      </c>
      <c r="AB56" s="56">
        <v>0</v>
      </c>
      <c r="AC56" s="56">
        <f t="shared" si="11"/>
        <v>0</v>
      </c>
      <c r="AE56" s="56">
        <v>0</v>
      </c>
      <c r="AF56" s="56">
        <f t="shared" si="12"/>
        <v>0</v>
      </c>
      <c r="AG56" s="56">
        <f t="shared" si="13"/>
        <v>0</v>
      </c>
      <c r="AI56" s="56">
        <f t="shared" si="14"/>
        <v>0</v>
      </c>
      <c r="AJ56" s="56">
        <f t="shared" si="15"/>
        <v>0</v>
      </c>
      <c r="AK56" s="56">
        <f t="shared" si="16"/>
        <v>0</v>
      </c>
      <c r="AM56" s="56">
        <f t="shared" si="17"/>
        <v>379236</v>
      </c>
      <c r="AN56" s="56">
        <f t="shared" si="18"/>
        <v>35917</v>
      </c>
      <c r="AO56" s="56">
        <f t="shared" si="19"/>
        <v>68361</v>
      </c>
      <c r="AP56" s="56"/>
      <c r="AQ56" s="56">
        <f t="shared" si="20"/>
        <v>483514</v>
      </c>
      <c r="AR56" s="1"/>
      <c r="AS56" s="56">
        <v>1456.1158803086291</v>
      </c>
      <c r="AT56" s="56">
        <v>137.90703960870022</v>
      </c>
      <c r="AU56" s="56">
        <v>262.47913619429113</v>
      </c>
      <c r="AV56" s="56"/>
      <c r="AW56" s="56">
        <v>1856.5020561116205</v>
      </c>
      <c r="AX56" s="1"/>
      <c r="AY56" s="16">
        <v>5.3208047010817605E-2</v>
      </c>
      <c r="AZ56" s="16">
        <v>-3.2087022333370241E-3</v>
      </c>
      <c r="BA56" s="16">
        <v>4.3105740626328215E-2</v>
      </c>
      <c r="BB56" s="16">
        <f t="shared" si="21"/>
        <v>4.7370435053452953E-2</v>
      </c>
      <c r="BC56" s="16"/>
      <c r="BD56" s="1"/>
      <c r="BE56" s="16">
        <f>AM56/'2017-18 disagg'!AM56-1</f>
        <v>1.7261219792865434E-2</v>
      </c>
      <c r="BF56" s="16">
        <f>AN56/'2017-18 disagg'!AN56-1</f>
        <v>1.9297897096801631E-2</v>
      </c>
      <c r="BG56" s="16">
        <f>AO56/'2017-18 disagg'!AO56-1</f>
        <v>4.377500229028608E-2</v>
      </c>
      <c r="BH56" s="16">
        <f>AQ56/'2017-18 disagg'!AQ56-1</f>
        <v>2.1079884780754066E-2</v>
      </c>
      <c r="BI56" s="1"/>
      <c r="BJ56" s="16">
        <f>AS56/'2017-18 disagg'!AS56-1</f>
        <v>1.0943881469003491E-2</v>
      </c>
      <c r="BK56" s="16">
        <f>AT56/'2017-18 disagg'!AT56-1</f>
        <v>1.2967910714275055E-2</v>
      </c>
      <c r="BL56" s="16">
        <f>AU56/'2017-18 disagg'!AU56-1</f>
        <v>3.72930095679056E-2</v>
      </c>
      <c r="BM56" s="16">
        <f>AW56/'2017-18 disagg'!AW56-1</f>
        <v>1.4738831998693414E-2</v>
      </c>
    </row>
    <row r="57" spans="1:65" x14ac:dyDescent="0.2">
      <c r="A57" s="156" t="s">
        <v>159</v>
      </c>
      <c r="B57" s="156" t="s">
        <v>160</v>
      </c>
      <c r="D57" s="56">
        <f>VLOOKUP(A57,'2018-19'!$A$12:$AMX265,32,FALSE)</f>
        <v>204970</v>
      </c>
      <c r="E57" s="56">
        <v>1773.1050873386848</v>
      </c>
      <c r="F57" s="16">
        <f>VLOOKUP(A57,'2018-19'!$A$12:$AMX265,34,FALSE)</f>
        <v>2.2049584139457901E-2</v>
      </c>
      <c r="G57" s="16">
        <f>VLOOKUP(A57,'2018-19'!$A$12:$AMX265,35,FALSE)</f>
        <v>1.7970993062405904E-2</v>
      </c>
      <c r="H57" s="56"/>
      <c r="I57" s="56">
        <v>200906.38378501512</v>
      </c>
      <c r="J57" s="56">
        <v>1737.9525353370177</v>
      </c>
      <c r="K57" s="16">
        <f t="shared" si="6"/>
        <v>2.022641659477209E-2</v>
      </c>
      <c r="L57" s="58">
        <f t="shared" si="6"/>
        <v>2.0226416594772312E-2</v>
      </c>
      <c r="M57" s="10"/>
      <c r="N57" s="56">
        <v>159280</v>
      </c>
      <c r="O57" s="56">
        <v>16716</v>
      </c>
      <c r="P57" s="56">
        <v>28974</v>
      </c>
      <c r="R57" s="56">
        <f t="shared" si="7"/>
        <v>28974</v>
      </c>
      <c r="S57" s="56">
        <f t="shared" si="8"/>
        <v>0</v>
      </c>
      <c r="U57" s="16">
        <v>2.1425413754943445E-2</v>
      </c>
      <c r="V57" s="16">
        <v>8.6067398480146773E-2</v>
      </c>
      <c r="W57" s="56">
        <f t="shared" si="9"/>
        <v>2</v>
      </c>
      <c r="X57" s="56">
        <f t="shared" si="10"/>
        <v>1559.3894361259142</v>
      </c>
      <c r="Y57" s="56">
        <f t="shared" si="10"/>
        <v>153.9130998996244</v>
      </c>
      <c r="AA57" s="56">
        <f t="shared" si="22"/>
        <v>0</v>
      </c>
      <c r="AB57" s="56">
        <v>0</v>
      </c>
      <c r="AC57" s="56">
        <f t="shared" si="11"/>
        <v>0</v>
      </c>
      <c r="AE57" s="56">
        <v>0</v>
      </c>
      <c r="AF57" s="56">
        <f t="shared" si="12"/>
        <v>0</v>
      </c>
      <c r="AG57" s="56">
        <f t="shared" si="13"/>
        <v>0</v>
      </c>
      <c r="AI57" s="56">
        <f t="shared" si="14"/>
        <v>0</v>
      </c>
      <c r="AJ57" s="56">
        <f t="shared" si="15"/>
        <v>0</v>
      </c>
      <c r="AK57" s="56">
        <f t="shared" si="16"/>
        <v>0</v>
      </c>
      <c r="AM57" s="56">
        <f t="shared" si="17"/>
        <v>159280</v>
      </c>
      <c r="AN57" s="56">
        <f t="shared" si="18"/>
        <v>16716</v>
      </c>
      <c r="AO57" s="56">
        <f t="shared" si="19"/>
        <v>28974</v>
      </c>
      <c r="AP57" s="56"/>
      <c r="AQ57" s="56">
        <f t="shared" si="20"/>
        <v>204970</v>
      </c>
      <c r="AR57" s="1"/>
      <c r="AS57" s="56">
        <v>1377.8610445982617</v>
      </c>
      <c r="AT57" s="56">
        <v>144.60274498684419</v>
      </c>
      <c r="AU57" s="56">
        <v>250.64129775357884</v>
      </c>
      <c r="AV57" s="56"/>
      <c r="AW57" s="56">
        <v>1773.1050873386848</v>
      </c>
      <c r="AX57" s="1"/>
      <c r="AY57" s="16">
        <v>2.1425413754943445E-2</v>
      </c>
      <c r="AZ57" s="16">
        <v>8.6067398480146773E-2</v>
      </c>
      <c r="BA57" s="16">
        <v>-2.0358653371708835E-2</v>
      </c>
      <c r="BB57" s="16">
        <f t="shared" si="21"/>
        <v>2.022641659477209E-2</v>
      </c>
      <c r="BC57" s="16"/>
      <c r="BD57" s="1"/>
      <c r="BE57" s="16">
        <f>AM57/'2017-18 disagg'!AM57-1</f>
        <v>1.9868482555049694E-2</v>
      </c>
      <c r="BF57" s="16">
        <f>AN57/'2017-18 disagg'!AN57-1</f>
        <v>1.0030211480362539E-2</v>
      </c>
      <c r="BG57" s="16">
        <f>AO57/'2017-18 disagg'!AO57-1</f>
        <v>4.1443513892383432E-2</v>
      </c>
      <c r="BH57" s="16">
        <f>AQ57/'2017-18 disagg'!AQ57-1</f>
        <v>2.2049584139457901E-2</v>
      </c>
      <c r="BI57" s="1"/>
      <c r="BJ57" s="16">
        <f>AS57/'2017-18 disagg'!AS57-1</f>
        <v>1.5798595381994573E-2</v>
      </c>
      <c r="BK57" s="16">
        <f>AT57/'2017-18 disagg'!AT57-1</f>
        <v>5.9995849119214295E-3</v>
      </c>
      <c r="BL57" s="16">
        <f>AU57/'2017-18 disagg'!AU57-1</f>
        <v>3.72875293991346E-2</v>
      </c>
      <c r="BM57" s="16">
        <f>AW57/'2017-18 disagg'!AW57-1</f>
        <v>1.7970993062405904E-2</v>
      </c>
    </row>
    <row r="58" spans="1:65" x14ac:dyDescent="0.2">
      <c r="A58" s="156" t="s">
        <v>161</v>
      </c>
      <c r="B58" s="156" t="s">
        <v>162</v>
      </c>
      <c r="D58" s="56">
        <f>VLOOKUP(A58,'2018-19'!$A$12:$AMX266,32,FALSE)</f>
        <v>184816.00193190551</v>
      </c>
      <c r="E58" s="56">
        <v>1480.2396224378674</v>
      </c>
      <c r="F58" s="16">
        <f>VLOOKUP(A58,'2018-19'!$A$12:$AMX266,34,FALSE)</f>
        <v>2.7937694637196753E-2</v>
      </c>
      <c r="G58" s="16">
        <f>VLOOKUP(A58,'2018-19'!$A$12:$AMX266,35,FALSE)</f>
        <v>2.2577941108608224E-2</v>
      </c>
      <c r="H58" s="56"/>
      <c r="I58" s="56">
        <v>190769.1678073027</v>
      </c>
      <c r="J58" s="56">
        <v>1527.9200825473483</v>
      </c>
      <c r="K58" s="16">
        <f t="shared" si="6"/>
        <v>-3.120612174295645E-2</v>
      </c>
      <c r="L58" s="58">
        <f t="shared" si="6"/>
        <v>-3.1206121742956672E-2</v>
      </c>
      <c r="M58" s="10"/>
      <c r="N58" s="56">
        <v>136794</v>
      </c>
      <c r="O58" s="56">
        <v>18326</v>
      </c>
      <c r="P58" s="56">
        <v>28868</v>
      </c>
      <c r="R58" s="56">
        <f t="shared" si="7"/>
        <v>28868</v>
      </c>
      <c r="S58" s="56">
        <f t="shared" si="8"/>
        <v>828.00193190551363</v>
      </c>
      <c r="U58" s="16">
        <v>-4.0872425617423547E-2</v>
      </c>
      <c r="V58" s="16">
        <v>3.6130325861398971E-2</v>
      </c>
      <c r="W58" s="56">
        <f t="shared" si="9"/>
        <v>1</v>
      </c>
      <c r="X58" s="56">
        <f t="shared" si="10"/>
        <v>1426.2336278681073</v>
      </c>
      <c r="Y58" s="56">
        <f t="shared" si="10"/>
        <v>176.86964219259258</v>
      </c>
      <c r="AA58" s="56">
        <f t="shared" si="22"/>
        <v>828.00193190551363</v>
      </c>
      <c r="AB58" s="56">
        <v>0</v>
      </c>
      <c r="AC58" s="56">
        <f t="shared" si="11"/>
        <v>0</v>
      </c>
      <c r="AE58" s="56">
        <v>0</v>
      </c>
      <c r="AF58" s="56">
        <f t="shared" si="12"/>
        <v>0</v>
      </c>
      <c r="AG58" s="56">
        <f t="shared" si="13"/>
        <v>0</v>
      </c>
      <c r="AI58" s="56">
        <f t="shared" si="14"/>
        <v>0</v>
      </c>
      <c r="AJ58" s="56">
        <f t="shared" si="15"/>
        <v>0</v>
      </c>
      <c r="AK58" s="56">
        <f t="shared" si="16"/>
        <v>0</v>
      </c>
      <c r="AM58" s="56">
        <f t="shared" si="17"/>
        <v>137622</v>
      </c>
      <c r="AN58" s="56">
        <f t="shared" si="18"/>
        <v>18326</v>
      </c>
      <c r="AO58" s="56">
        <f t="shared" si="19"/>
        <v>28868</v>
      </c>
      <c r="AP58" s="56"/>
      <c r="AQ58" s="56">
        <f t="shared" si="20"/>
        <v>184816</v>
      </c>
      <c r="AR58" s="1"/>
      <c r="AS58" s="56">
        <v>1102.2505366943356</v>
      </c>
      <c r="AT58" s="56">
        <v>146.77771966299278</v>
      </c>
      <c r="AU58" s="56">
        <v>231.21135060740346</v>
      </c>
      <c r="AV58" s="56"/>
      <c r="AW58" s="56">
        <v>1480.2396069647318</v>
      </c>
      <c r="AX58" s="1"/>
      <c r="AY58" s="16">
        <v>-3.5066925145262662E-2</v>
      </c>
      <c r="AZ58" s="16">
        <v>3.6130325861398971E-2</v>
      </c>
      <c r="BA58" s="16">
        <v>-5.2229197152122486E-2</v>
      </c>
      <c r="BB58" s="16">
        <f t="shared" si="21"/>
        <v>-3.1206131869883857E-2</v>
      </c>
      <c r="BC58" s="16"/>
      <c r="BD58" s="1"/>
      <c r="BE58" s="16">
        <f>AM58/'2017-18 disagg'!AM58-1</f>
        <v>2.604209380521727E-2</v>
      </c>
      <c r="BF58" s="16">
        <f>AN58/'2017-18 disagg'!AN58-1</f>
        <v>1.9300294788364258E-2</v>
      </c>
      <c r="BG58" s="16">
        <f>AO58/'2017-18 disagg'!AO58-1</f>
        <v>4.2730720606826811E-2</v>
      </c>
      <c r="BH58" s="16">
        <f>AQ58/'2017-18 disagg'!AQ58-1</f>
        <v>2.7937683892031329E-2</v>
      </c>
      <c r="BI58" s="1"/>
      <c r="BJ58" s="16">
        <f>AS58/'2017-18 disagg'!AS58-1</f>
        <v>2.0692224098674883E-2</v>
      </c>
      <c r="BK58" s="16">
        <f>AT58/'2017-18 disagg'!AT58-1</f>
        <v>1.3985577388482051E-2</v>
      </c>
      <c r="BL58" s="16">
        <f>AU58/'2017-18 disagg'!AU58-1</f>
        <v>3.7293834997614406E-2</v>
      </c>
      <c r="BM58" s="16">
        <f>AW58/'2017-18 disagg'!AW58-1</f>
        <v>2.2577930419469094E-2</v>
      </c>
    </row>
    <row r="59" spans="1:65" x14ac:dyDescent="0.2">
      <c r="A59" s="156" t="s">
        <v>163</v>
      </c>
      <c r="B59" s="156" t="s">
        <v>164</v>
      </c>
      <c r="D59" s="56">
        <f>VLOOKUP(A59,'2018-19'!$A$12:$AMX267,32,FALSE)</f>
        <v>576728</v>
      </c>
      <c r="E59" s="56">
        <v>1666.845601222414</v>
      </c>
      <c r="F59" s="16">
        <f>VLOOKUP(A59,'2018-19'!$A$12:$AMX267,34,FALSE)</f>
        <v>2.2409663757541054E-2</v>
      </c>
      <c r="G59" s="16">
        <f>VLOOKUP(A59,'2018-19'!$A$12:$AMX267,35,FALSE)</f>
        <v>1.605720367375163E-2</v>
      </c>
      <c r="H59" s="56"/>
      <c r="I59" s="56">
        <v>584211.59884785442</v>
      </c>
      <c r="J59" s="56">
        <v>1688.4745213040801</v>
      </c>
      <c r="K59" s="16">
        <f t="shared" si="6"/>
        <v>-1.2809740276661929E-2</v>
      </c>
      <c r="L59" s="58">
        <f t="shared" si="6"/>
        <v>-1.2809740276661818E-2</v>
      </c>
      <c r="M59" s="10"/>
      <c r="N59" s="56">
        <v>449587</v>
      </c>
      <c r="O59" s="56">
        <v>50630</v>
      </c>
      <c r="P59" s="56">
        <v>76511</v>
      </c>
      <c r="R59" s="56">
        <f t="shared" si="7"/>
        <v>76511</v>
      </c>
      <c r="S59" s="56">
        <f t="shared" si="8"/>
        <v>0</v>
      </c>
      <c r="U59" s="16">
        <v>-1.6218668263713987E-2</v>
      </c>
      <c r="V59" s="16">
        <v>6.1901983976035968E-2</v>
      </c>
      <c r="W59" s="56">
        <f t="shared" si="9"/>
        <v>1</v>
      </c>
      <c r="X59" s="56">
        <f t="shared" si="10"/>
        <v>4569.9891377946678</v>
      </c>
      <c r="Y59" s="56">
        <f t="shared" si="10"/>
        <v>476.7860006290615</v>
      </c>
      <c r="AA59" s="56">
        <f t="shared" si="22"/>
        <v>0</v>
      </c>
      <c r="AB59" s="56">
        <v>0</v>
      </c>
      <c r="AC59" s="56">
        <f t="shared" si="11"/>
        <v>0</v>
      </c>
      <c r="AE59" s="56">
        <v>0</v>
      </c>
      <c r="AF59" s="56">
        <f t="shared" si="12"/>
        <v>0</v>
      </c>
      <c r="AG59" s="56">
        <f t="shared" si="13"/>
        <v>0</v>
      </c>
      <c r="AI59" s="56">
        <f t="shared" si="14"/>
        <v>0</v>
      </c>
      <c r="AJ59" s="56">
        <f t="shared" si="15"/>
        <v>0</v>
      </c>
      <c r="AK59" s="56">
        <f t="shared" si="16"/>
        <v>0</v>
      </c>
      <c r="AM59" s="56">
        <f t="shared" si="17"/>
        <v>449587</v>
      </c>
      <c r="AN59" s="56">
        <f t="shared" si="18"/>
        <v>50630</v>
      </c>
      <c r="AO59" s="56">
        <f t="shared" si="19"/>
        <v>76511</v>
      </c>
      <c r="AP59" s="56"/>
      <c r="AQ59" s="56">
        <f t="shared" si="20"/>
        <v>576728</v>
      </c>
      <c r="AR59" s="1"/>
      <c r="AS59" s="56">
        <v>1299.3856953655475</v>
      </c>
      <c r="AT59" s="56">
        <v>146.32962642682654</v>
      </c>
      <c r="AU59" s="56">
        <v>221.13027943004002</v>
      </c>
      <c r="AV59" s="56"/>
      <c r="AW59" s="56">
        <v>1666.845601222414</v>
      </c>
      <c r="AX59" s="1"/>
      <c r="AY59" s="16">
        <v>-1.6218668263713987E-2</v>
      </c>
      <c r="AZ59" s="16">
        <v>6.1901983976035968E-2</v>
      </c>
      <c r="BA59" s="16">
        <v>-3.8009930022744776E-2</v>
      </c>
      <c r="BB59" s="16">
        <f t="shared" si="21"/>
        <v>-1.2809740276661929E-2</v>
      </c>
      <c r="BC59" s="16"/>
      <c r="BD59" s="1"/>
      <c r="BE59" s="16">
        <f>AM59/'2017-18 disagg'!AM59-1</f>
        <v>1.9869427531826522E-2</v>
      </c>
      <c r="BF59" s="16">
        <f>AN59/'2017-18 disagg'!AN59-1</f>
        <v>1.3451299091236546E-2</v>
      </c>
      <c r="BG59" s="16">
        <f>AO59/'2017-18 disagg'!AO59-1</f>
        <v>4.3792035579323541E-2</v>
      </c>
      <c r="BH59" s="16">
        <f>AQ59/'2017-18 disagg'!AQ59-1</f>
        <v>2.2409663757541054E-2</v>
      </c>
      <c r="BI59" s="1"/>
      <c r="BJ59" s="16">
        <f>AS59/'2017-18 disagg'!AS59-1</f>
        <v>1.3532750504281044E-2</v>
      </c>
      <c r="BK59" s="16">
        <f>AT59/'2017-18 disagg'!AT59-1</f>
        <v>7.1544993322427697E-3</v>
      </c>
      <c r="BL59" s="16">
        <f>AU59/'2017-18 disagg'!AU59-1</f>
        <v>3.7306722033453976E-2</v>
      </c>
      <c r="BM59" s="16">
        <f>AW59/'2017-18 disagg'!AW59-1</f>
        <v>1.605720367375163E-2</v>
      </c>
    </row>
    <row r="60" spans="1:65" x14ac:dyDescent="0.2">
      <c r="A60" s="156" t="s">
        <v>165</v>
      </c>
      <c r="B60" s="156" t="s">
        <v>166</v>
      </c>
      <c r="D60" s="56">
        <f>VLOOKUP(A60,'2018-19'!$A$12:$AMX268,32,FALSE)</f>
        <v>359663.68015765032</v>
      </c>
      <c r="E60" s="56">
        <v>1618.5811656272606</v>
      </c>
      <c r="F60" s="16">
        <f>VLOOKUP(A60,'2018-19'!$A$12:$AMX268,34,FALSE)</f>
        <v>1.9732353921844803E-2</v>
      </c>
      <c r="G60" s="16">
        <f>VLOOKUP(A60,'2018-19'!$A$12:$AMX268,35,FALSE)</f>
        <v>1.319976216587726E-2</v>
      </c>
      <c r="H60" s="56"/>
      <c r="I60" s="56">
        <v>345758.94009605609</v>
      </c>
      <c r="J60" s="56">
        <v>1556.0061778865629</v>
      </c>
      <c r="K60" s="16">
        <f t="shared" si="6"/>
        <v>4.0215128082389695E-2</v>
      </c>
      <c r="L60" s="58">
        <f t="shared" si="6"/>
        <v>4.0215128082389695E-2</v>
      </c>
      <c r="M60" s="10"/>
      <c r="N60" s="56">
        <v>285001</v>
      </c>
      <c r="O60" s="56">
        <v>29138</v>
      </c>
      <c r="P60" s="56">
        <v>44969</v>
      </c>
      <c r="R60" s="56">
        <f t="shared" si="7"/>
        <v>44969</v>
      </c>
      <c r="S60" s="56">
        <f t="shared" si="8"/>
        <v>555.68015765032033</v>
      </c>
      <c r="U60" s="16">
        <v>5.8106270951442385E-2</v>
      </c>
      <c r="V60" s="16">
        <v>-9.7377816824640862E-3</v>
      </c>
      <c r="W60" s="56">
        <f t="shared" si="9"/>
        <v>3</v>
      </c>
      <c r="X60" s="56">
        <f t="shared" si="10"/>
        <v>2693.5007175009832</v>
      </c>
      <c r="Y60" s="56">
        <f t="shared" si="10"/>
        <v>294.24529645799993</v>
      </c>
      <c r="AA60" s="56">
        <f t="shared" si="22"/>
        <v>0</v>
      </c>
      <c r="AB60" s="56">
        <v>0</v>
      </c>
      <c r="AC60" s="56">
        <f t="shared" si="11"/>
        <v>555.68015765032033</v>
      </c>
      <c r="AE60" s="56">
        <v>0</v>
      </c>
      <c r="AF60" s="56">
        <f t="shared" si="12"/>
        <v>283.73948266363857</v>
      </c>
      <c r="AG60" s="56">
        <f t="shared" si="13"/>
        <v>271.94067498668176</v>
      </c>
      <c r="AI60" s="56">
        <f t="shared" si="14"/>
        <v>245.15885880933675</v>
      </c>
      <c r="AJ60" s="56">
        <f t="shared" si="15"/>
        <v>26.781816177345018</v>
      </c>
      <c r="AK60" s="56">
        <f t="shared" si="16"/>
        <v>0</v>
      </c>
      <c r="AM60" s="56">
        <f t="shared" si="17"/>
        <v>285246</v>
      </c>
      <c r="AN60" s="56">
        <f t="shared" si="18"/>
        <v>29449</v>
      </c>
      <c r="AO60" s="56">
        <f t="shared" si="19"/>
        <v>44969</v>
      </c>
      <c r="AP60" s="56"/>
      <c r="AQ60" s="56">
        <f t="shared" si="20"/>
        <v>359664</v>
      </c>
      <c r="AR60" s="1"/>
      <c r="AS60" s="56">
        <v>1283.6820303015884</v>
      </c>
      <c r="AT60" s="56">
        <v>132.52824618172201</v>
      </c>
      <c r="AU60" s="56">
        <v>202.37232851865451</v>
      </c>
      <c r="AV60" s="56"/>
      <c r="AW60" s="56">
        <v>1618.5826050019648</v>
      </c>
      <c r="AX60" s="1"/>
      <c r="AY60" s="16">
        <v>5.9015867887534323E-2</v>
      </c>
      <c r="AZ60" s="16">
        <v>8.3163110828166076E-4</v>
      </c>
      <c r="BA60" s="16">
        <v>-4.2893839860536187E-2</v>
      </c>
      <c r="BB60" s="16">
        <f t="shared" si="21"/>
        <v>4.0216053126727269E-2</v>
      </c>
      <c r="BC60" s="16"/>
      <c r="BD60" s="1"/>
      <c r="BE60" s="16">
        <f>AM60/'2017-18 disagg'!AM60-1</f>
        <v>1.4951395511023202E-2</v>
      </c>
      <c r="BF60" s="16">
        <f>AN60/'2017-18 disagg'!AN60-1</f>
        <v>3.0189603302315904E-2</v>
      </c>
      <c r="BG60" s="16">
        <f>AO60/'2017-18 disagg'!AO60-1</f>
        <v>4.3994056739564469E-2</v>
      </c>
      <c r="BH60" s="16">
        <f>AQ60/'2017-18 disagg'!AQ60-1</f>
        <v>1.9733260751224835E-2</v>
      </c>
      <c r="BI60" s="1"/>
      <c r="BJ60" s="16">
        <f>AS60/'2017-18 disagg'!AS60-1</f>
        <v>8.4494314480776378E-3</v>
      </c>
      <c r="BK60" s="16">
        <f>AT60/'2017-18 disagg'!AT60-1</f>
        <v>2.3590020496363717E-2</v>
      </c>
      <c r="BL60" s="16">
        <f>AU60/'2017-18 disagg'!AU60-1</f>
        <v>3.730604008293259E-2</v>
      </c>
      <c r="BM60" s="16">
        <f>AW60/'2017-18 disagg'!AW60-1</f>
        <v>1.3200663185942707E-2</v>
      </c>
    </row>
    <row r="61" spans="1:65" x14ac:dyDescent="0.2">
      <c r="A61" s="156" t="s">
        <v>167</v>
      </c>
      <c r="B61" s="156" t="s">
        <v>168</v>
      </c>
      <c r="D61" s="56">
        <f>VLOOKUP(A61,'2018-19'!$A$12:$AMX269,32,FALSE)</f>
        <v>582113</v>
      </c>
      <c r="E61" s="56">
        <v>1841.1938457682979</v>
      </c>
      <c r="F61" s="16">
        <f>VLOOKUP(A61,'2018-19'!$A$12:$AMX269,34,FALSE)</f>
        <v>1.9587339954109995E-2</v>
      </c>
      <c r="G61" s="16">
        <f>VLOOKUP(A61,'2018-19'!$A$12:$AMX269,35,FALSE)</f>
        <v>1.7161952871988406E-2</v>
      </c>
      <c r="H61" s="56"/>
      <c r="I61" s="56">
        <v>553979.61469599453</v>
      </c>
      <c r="J61" s="56">
        <v>1752.2093773191082</v>
      </c>
      <c r="K61" s="16">
        <f t="shared" si="6"/>
        <v>5.0784152625262369E-2</v>
      </c>
      <c r="L61" s="58">
        <f t="shared" si="6"/>
        <v>5.0784152625262591E-2</v>
      </c>
      <c r="M61" s="10"/>
      <c r="N61" s="56">
        <v>452107</v>
      </c>
      <c r="O61" s="56">
        <v>43355</v>
      </c>
      <c r="P61" s="56">
        <v>86651</v>
      </c>
      <c r="R61" s="56">
        <f t="shared" si="7"/>
        <v>86651</v>
      </c>
      <c r="S61" s="56">
        <f t="shared" si="8"/>
        <v>0</v>
      </c>
      <c r="U61" s="16">
        <v>5.5412325158060494E-2</v>
      </c>
      <c r="V61" s="16">
        <v>-1.3034260557540644E-3</v>
      </c>
      <c r="W61" s="56">
        <f t="shared" si="9"/>
        <v>3</v>
      </c>
      <c r="X61" s="56">
        <f t="shared" si="10"/>
        <v>4283.7002110269232</v>
      </c>
      <c r="Y61" s="56">
        <f t="shared" si="10"/>
        <v>434.115837894327</v>
      </c>
      <c r="AA61" s="56">
        <f t="shared" si="22"/>
        <v>0</v>
      </c>
      <c r="AB61" s="56">
        <v>0</v>
      </c>
      <c r="AC61" s="56">
        <f t="shared" si="11"/>
        <v>0</v>
      </c>
      <c r="AE61" s="56">
        <v>0</v>
      </c>
      <c r="AF61" s="56">
        <f t="shared" si="12"/>
        <v>0</v>
      </c>
      <c r="AG61" s="56">
        <f t="shared" si="13"/>
        <v>0</v>
      </c>
      <c r="AI61" s="56">
        <f t="shared" si="14"/>
        <v>0</v>
      </c>
      <c r="AJ61" s="56">
        <f t="shared" si="15"/>
        <v>0</v>
      </c>
      <c r="AK61" s="56">
        <f t="shared" si="16"/>
        <v>0</v>
      </c>
      <c r="AM61" s="56">
        <f t="shared" si="17"/>
        <v>452107</v>
      </c>
      <c r="AN61" s="56">
        <f t="shared" si="18"/>
        <v>43355</v>
      </c>
      <c r="AO61" s="56">
        <f t="shared" si="19"/>
        <v>86651</v>
      </c>
      <c r="AP61" s="56"/>
      <c r="AQ61" s="56">
        <f t="shared" si="20"/>
        <v>582113</v>
      </c>
      <c r="AR61" s="1"/>
      <c r="AS61" s="56">
        <v>1429.9914724954913</v>
      </c>
      <c r="AT61" s="56">
        <v>137.12966242513835</v>
      </c>
      <c r="AU61" s="56">
        <v>274.07271084766842</v>
      </c>
      <c r="AV61" s="56"/>
      <c r="AW61" s="56">
        <v>1841.1938457682979</v>
      </c>
      <c r="AX61" s="1"/>
      <c r="AY61" s="16">
        <v>5.5412325158060494E-2</v>
      </c>
      <c r="AZ61" s="16">
        <v>-1.3034260557540644E-3</v>
      </c>
      <c r="BA61" s="16">
        <v>5.4173941762772682E-2</v>
      </c>
      <c r="BB61" s="16">
        <f t="shared" si="21"/>
        <v>5.0784152625262369E-2</v>
      </c>
      <c r="BC61" s="16"/>
      <c r="BD61" s="1"/>
      <c r="BE61" s="16">
        <f>AM61/'2017-18 disagg'!AM61-1</f>
        <v>1.5833820159079748E-2</v>
      </c>
      <c r="BF61" s="16">
        <f>AN61/'2017-18 disagg'!AN61-1</f>
        <v>1.9302205294587926E-2</v>
      </c>
      <c r="BG61" s="16">
        <f>AO61/'2017-18 disagg'!AO61-1</f>
        <v>3.9778727080733489E-2</v>
      </c>
      <c r="BH61" s="16">
        <f>AQ61/'2017-18 disagg'!AQ61-1</f>
        <v>1.9587339954109995E-2</v>
      </c>
      <c r="BI61" s="1"/>
      <c r="BJ61" s="16">
        <f>AS61/'2017-18 disagg'!AS61-1</f>
        <v>1.3417361923037996E-2</v>
      </c>
      <c r="BK61" s="16">
        <f>AT61/'2017-18 disagg'!AT61-1</f>
        <v>1.6877496488757915E-2</v>
      </c>
      <c r="BL61" s="16">
        <f>AU61/'2017-18 disagg'!AU61-1</f>
        <v>3.7305308871127263E-2</v>
      </c>
      <c r="BM61" s="16">
        <f>AW61/'2017-18 disagg'!AW61-1</f>
        <v>1.7161952871988406E-2</v>
      </c>
    </row>
    <row r="62" spans="1:65" x14ac:dyDescent="0.2">
      <c r="A62" s="156" t="s">
        <v>169</v>
      </c>
      <c r="B62" s="156" t="s">
        <v>170</v>
      </c>
      <c r="D62" s="56">
        <f>VLOOKUP(A62,'2018-19'!$A$12:$AMX270,32,FALSE)</f>
        <v>504302</v>
      </c>
      <c r="E62" s="56">
        <v>1649.6683162373702</v>
      </c>
      <c r="F62" s="16">
        <f>VLOOKUP(A62,'2018-19'!$A$12:$AMX270,34,FALSE)</f>
        <v>2.4073656657467746E-2</v>
      </c>
      <c r="G62" s="16">
        <f>VLOOKUP(A62,'2018-19'!$A$12:$AMX270,35,FALSE)</f>
        <v>1.9253827664087675E-2</v>
      </c>
      <c r="H62" s="56"/>
      <c r="I62" s="56">
        <v>503608.37478408136</v>
      </c>
      <c r="J62" s="56">
        <v>1647.3993354638569</v>
      </c>
      <c r="K62" s="16">
        <f t="shared" si="6"/>
        <v>1.3773107252554873E-3</v>
      </c>
      <c r="L62" s="58">
        <f t="shared" si="6"/>
        <v>1.3773107252554873E-3</v>
      </c>
      <c r="M62" s="10"/>
      <c r="N62" s="56">
        <v>391673</v>
      </c>
      <c r="O62" s="56">
        <v>38094</v>
      </c>
      <c r="P62" s="56">
        <v>74535</v>
      </c>
      <c r="R62" s="56">
        <f t="shared" si="7"/>
        <v>74535</v>
      </c>
      <c r="S62" s="56">
        <f t="shared" si="8"/>
        <v>0</v>
      </c>
      <c r="U62" s="16">
        <v>4.5593527967415781E-3</v>
      </c>
      <c r="V62" s="16">
        <v>-4.8824290703104456E-2</v>
      </c>
      <c r="W62" s="56">
        <f t="shared" si="9"/>
        <v>3</v>
      </c>
      <c r="X62" s="56">
        <f t="shared" si="10"/>
        <v>3898.9532963837678</v>
      </c>
      <c r="Y62" s="56">
        <f t="shared" si="10"/>
        <v>400.49382703600475</v>
      </c>
      <c r="AA62" s="56">
        <f t="shared" si="22"/>
        <v>0</v>
      </c>
      <c r="AB62" s="56">
        <v>0</v>
      </c>
      <c r="AC62" s="56">
        <f t="shared" si="11"/>
        <v>0</v>
      </c>
      <c r="AE62" s="56">
        <v>0</v>
      </c>
      <c r="AF62" s="56">
        <f t="shared" si="12"/>
        <v>0</v>
      </c>
      <c r="AG62" s="56">
        <f t="shared" si="13"/>
        <v>0</v>
      </c>
      <c r="AI62" s="56">
        <f t="shared" si="14"/>
        <v>0</v>
      </c>
      <c r="AJ62" s="56">
        <f t="shared" si="15"/>
        <v>0</v>
      </c>
      <c r="AK62" s="56">
        <f t="shared" si="16"/>
        <v>0</v>
      </c>
      <c r="AM62" s="56">
        <f t="shared" si="17"/>
        <v>391673</v>
      </c>
      <c r="AN62" s="56">
        <f t="shared" si="18"/>
        <v>38094</v>
      </c>
      <c r="AO62" s="56">
        <f t="shared" si="19"/>
        <v>74535</v>
      </c>
      <c r="AP62" s="56"/>
      <c r="AQ62" s="56">
        <f t="shared" si="20"/>
        <v>504302</v>
      </c>
      <c r="AR62" s="1"/>
      <c r="AS62" s="56">
        <v>1281.237311027201</v>
      </c>
      <c r="AT62" s="56">
        <v>124.6127614777383</v>
      </c>
      <c r="AU62" s="56">
        <v>243.81824373243094</v>
      </c>
      <c r="AV62" s="56"/>
      <c r="AW62" s="56">
        <v>1649.6683162373702</v>
      </c>
      <c r="AX62" s="1"/>
      <c r="AY62" s="16">
        <v>4.5593527967415781E-3</v>
      </c>
      <c r="AZ62" s="16">
        <v>-4.8824290703104456E-2</v>
      </c>
      <c r="BA62" s="16">
        <v>1.1828594031428885E-2</v>
      </c>
      <c r="BB62" s="16">
        <f t="shared" si="21"/>
        <v>1.3773107252554873E-3</v>
      </c>
      <c r="BC62" s="16"/>
      <c r="BD62" s="1"/>
      <c r="BE62" s="16">
        <f>AM62/'2017-18 disagg'!AM62-1</f>
        <v>1.9870222527744286E-2</v>
      </c>
      <c r="BF62" s="16">
        <f>AN62/'2017-18 disagg'!AN62-1</f>
        <v>3.2693558880936946E-2</v>
      </c>
      <c r="BG62" s="16">
        <f>AO62/'2017-18 disagg'!AO62-1</f>
        <v>4.2199756701204016E-2</v>
      </c>
      <c r="BH62" s="16">
        <f>AQ62/'2017-18 disagg'!AQ62-1</f>
        <v>2.4073656657467746E-2</v>
      </c>
      <c r="BI62" s="1"/>
      <c r="BJ62" s="16">
        <f>AS62/'2017-18 disagg'!AS62-1</f>
        <v>1.5070177105163785E-2</v>
      </c>
      <c r="BK62" s="16">
        <f>AT62/'2017-18 disagg'!AT62-1</f>
        <v>2.7833160096129683E-2</v>
      </c>
      <c r="BL62" s="16">
        <f>AU62/'2017-18 disagg'!AU62-1</f>
        <v>3.7294616751956999E-2</v>
      </c>
      <c r="BM62" s="16">
        <f>AW62/'2017-18 disagg'!AW62-1</f>
        <v>1.9253827664087675E-2</v>
      </c>
    </row>
    <row r="63" spans="1:65" x14ac:dyDescent="0.2">
      <c r="A63" s="156" t="s">
        <v>171</v>
      </c>
      <c r="B63" s="156" t="s">
        <v>172</v>
      </c>
      <c r="D63" s="56">
        <f>VLOOKUP(A63,'2018-19'!$A$12:$AMX271,32,FALSE)</f>
        <v>384226</v>
      </c>
      <c r="E63" s="56">
        <v>1540.0052410008748</v>
      </c>
      <c r="F63" s="16">
        <f>VLOOKUP(A63,'2018-19'!$A$12:$AMX271,34,FALSE)</f>
        <v>2.2867882737543699E-2</v>
      </c>
      <c r="G63" s="16">
        <f>VLOOKUP(A63,'2018-19'!$A$12:$AMX271,35,FALSE)</f>
        <v>1.6244382637805144E-2</v>
      </c>
      <c r="H63" s="56"/>
      <c r="I63" s="56">
        <v>373399.14786628122</v>
      </c>
      <c r="J63" s="56">
        <v>1496.6104446324134</v>
      </c>
      <c r="K63" s="16">
        <f t="shared" si="6"/>
        <v>2.8995385221382453E-2</v>
      </c>
      <c r="L63" s="58">
        <f t="shared" si="6"/>
        <v>2.8995385221382453E-2</v>
      </c>
      <c r="M63" s="10"/>
      <c r="N63" s="56">
        <v>301955</v>
      </c>
      <c r="O63" s="56">
        <v>32870</v>
      </c>
      <c r="P63" s="56">
        <v>49401</v>
      </c>
      <c r="R63" s="56">
        <f t="shared" si="7"/>
        <v>49401</v>
      </c>
      <c r="S63" s="56">
        <f t="shared" si="8"/>
        <v>0</v>
      </c>
      <c r="U63" s="16">
        <v>3.7657447835156121E-2</v>
      </c>
      <c r="V63" s="16">
        <v>2.6540893226687512E-3</v>
      </c>
      <c r="W63" s="56">
        <f t="shared" si="9"/>
        <v>2</v>
      </c>
      <c r="X63" s="56">
        <f t="shared" si="10"/>
        <v>2909.9680306825981</v>
      </c>
      <c r="Y63" s="56">
        <f t="shared" si="10"/>
        <v>327.82991013585701</v>
      </c>
      <c r="AA63" s="56">
        <f t="shared" si="22"/>
        <v>0</v>
      </c>
      <c r="AB63" s="56">
        <v>0</v>
      </c>
      <c r="AC63" s="56">
        <f t="shared" si="11"/>
        <v>0</v>
      </c>
      <c r="AE63" s="56">
        <v>0</v>
      </c>
      <c r="AF63" s="56">
        <f t="shared" si="12"/>
        <v>0</v>
      </c>
      <c r="AG63" s="56">
        <f t="shared" si="13"/>
        <v>0</v>
      </c>
      <c r="AI63" s="56">
        <f t="shared" si="14"/>
        <v>0</v>
      </c>
      <c r="AJ63" s="56">
        <f t="shared" si="15"/>
        <v>0</v>
      </c>
      <c r="AK63" s="56">
        <f t="shared" si="16"/>
        <v>0</v>
      </c>
      <c r="AM63" s="56">
        <f t="shared" si="17"/>
        <v>301955</v>
      </c>
      <c r="AN63" s="56">
        <f t="shared" si="18"/>
        <v>32870</v>
      </c>
      <c r="AO63" s="56">
        <f t="shared" si="19"/>
        <v>49401</v>
      </c>
      <c r="AP63" s="56"/>
      <c r="AQ63" s="56">
        <f t="shared" si="20"/>
        <v>384226</v>
      </c>
      <c r="AR63" s="1"/>
      <c r="AS63" s="56">
        <v>1210.2571990089664</v>
      </c>
      <c r="AT63" s="56">
        <v>131.74530685507685</v>
      </c>
      <c r="AU63" s="56">
        <v>198.00273513683149</v>
      </c>
      <c r="AV63" s="56"/>
      <c r="AW63" s="56">
        <v>1540.0052410008748</v>
      </c>
      <c r="AX63" s="1"/>
      <c r="AY63" s="16">
        <v>3.7657447835156121E-2</v>
      </c>
      <c r="AZ63" s="16">
        <v>2.6540893226687512E-3</v>
      </c>
      <c r="BA63" s="16">
        <v>-4.4005769479454893E-3</v>
      </c>
      <c r="BB63" s="16">
        <f t="shared" si="21"/>
        <v>2.8995385221382453E-2</v>
      </c>
      <c r="BC63" s="16"/>
      <c r="BD63" s="1"/>
      <c r="BE63" s="16">
        <f>AM63/'2017-18 disagg'!AM63-1</f>
        <v>1.9870166716204229E-2</v>
      </c>
      <c r="BF63" s="16">
        <f>AN63/'2017-18 disagg'!AN63-1</f>
        <v>1.9288017861572859E-2</v>
      </c>
      <c r="BG63" s="16">
        <f>AO63/'2017-18 disagg'!AO63-1</f>
        <v>4.4065432411869221E-2</v>
      </c>
      <c r="BH63" s="16">
        <f>AQ63/'2017-18 disagg'!AQ63-1</f>
        <v>2.2867882737543699E-2</v>
      </c>
      <c r="BI63" s="1"/>
      <c r="BJ63" s="16">
        <f>AS63/'2017-18 disagg'!AS63-1</f>
        <v>1.3266078089541722E-2</v>
      </c>
      <c r="BK63" s="16">
        <f>AT63/'2017-18 disagg'!AT63-1</f>
        <v>1.2687698893789845E-2</v>
      </c>
      <c r="BL63" s="16">
        <f>AU63/'2017-18 disagg'!AU63-1</f>
        <v>3.7304669255237677E-2</v>
      </c>
      <c r="BM63" s="16">
        <f>AW63/'2017-18 disagg'!AW63-1</f>
        <v>1.6244382637805144E-2</v>
      </c>
    </row>
    <row r="64" spans="1:65" x14ac:dyDescent="0.2">
      <c r="A64" s="156" t="s">
        <v>173</v>
      </c>
      <c r="B64" s="156" t="s">
        <v>174</v>
      </c>
      <c r="D64" s="56">
        <f>VLOOKUP(A64,'2018-19'!$A$12:$AMX272,32,FALSE)</f>
        <v>248219</v>
      </c>
      <c r="E64" s="56">
        <v>1720.8344319649277</v>
      </c>
      <c r="F64" s="16">
        <f>VLOOKUP(A64,'2018-19'!$A$12:$AMX272,34,FALSE)</f>
        <v>1.8819212425195131E-2</v>
      </c>
      <c r="G64" s="16">
        <f>VLOOKUP(A64,'2018-19'!$A$12:$AMX272,35,FALSE)</f>
        <v>1.7194768413606676E-2</v>
      </c>
      <c r="H64" s="56"/>
      <c r="I64" s="56">
        <v>233294.72053997143</v>
      </c>
      <c r="J64" s="56">
        <v>1617.3684846881918</v>
      </c>
      <c r="K64" s="16">
        <f t="shared" si="6"/>
        <v>6.3971783954157369E-2</v>
      </c>
      <c r="L64" s="58">
        <f t="shared" si="6"/>
        <v>6.3971783954157369E-2</v>
      </c>
      <c r="M64" s="10"/>
      <c r="N64" s="56">
        <v>190066</v>
      </c>
      <c r="O64" s="56">
        <v>20631</v>
      </c>
      <c r="P64" s="56">
        <v>37522</v>
      </c>
      <c r="R64" s="56">
        <f t="shared" si="7"/>
        <v>37522</v>
      </c>
      <c r="S64" s="56">
        <f t="shared" si="8"/>
        <v>0</v>
      </c>
      <c r="U64" s="16">
        <v>5.5312922150893895E-2</v>
      </c>
      <c r="V64" s="16">
        <v>0.1114609053122273</v>
      </c>
      <c r="W64" s="56">
        <f t="shared" si="9"/>
        <v>2</v>
      </c>
      <c r="X64" s="56">
        <f t="shared" si="10"/>
        <v>1801.0392558504409</v>
      </c>
      <c r="Y64" s="56">
        <f t="shared" si="10"/>
        <v>185.62056390282498</v>
      </c>
      <c r="AA64" s="56">
        <f t="shared" si="22"/>
        <v>0</v>
      </c>
      <c r="AB64" s="56">
        <v>0</v>
      </c>
      <c r="AC64" s="56">
        <f t="shared" si="11"/>
        <v>0</v>
      </c>
      <c r="AE64" s="56">
        <v>0</v>
      </c>
      <c r="AF64" s="56">
        <f t="shared" si="12"/>
        <v>0</v>
      </c>
      <c r="AG64" s="56">
        <f t="shared" si="13"/>
        <v>0</v>
      </c>
      <c r="AI64" s="56">
        <f t="shared" si="14"/>
        <v>0</v>
      </c>
      <c r="AJ64" s="56">
        <f t="shared" si="15"/>
        <v>0</v>
      </c>
      <c r="AK64" s="56">
        <f t="shared" si="16"/>
        <v>0</v>
      </c>
      <c r="AM64" s="56">
        <f t="shared" si="17"/>
        <v>190066</v>
      </c>
      <c r="AN64" s="56">
        <f t="shared" si="18"/>
        <v>20631</v>
      </c>
      <c r="AO64" s="56">
        <f t="shared" si="19"/>
        <v>37522</v>
      </c>
      <c r="AP64" s="56"/>
      <c r="AQ64" s="56">
        <f t="shared" si="20"/>
        <v>248219</v>
      </c>
      <c r="AR64" s="1"/>
      <c r="AS64" s="56">
        <v>1317.6755894828596</v>
      </c>
      <c r="AT64" s="56">
        <v>143.02907982816956</v>
      </c>
      <c r="AU64" s="56">
        <v>260.12976265389841</v>
      </c>
      <c r="AV64" s="56"/>
      <c r="AW64" s="56">
        <v>1720.8344319649277</v>
      </c>
      <c r="AX64" s="1"/>
      <c r="AY64" s="16">
        <v>5.5312922150893895E-2</v>
      </c>
      <c r="AZ64" s="16">
        <v>0.1114609053122273</v>
      </c>
      <c r="BA64" s="16">
        <v>8.355087581241194E-2</v>
      </c>
      <c r="BB64" s="16">
        <f t="shared" si="21"/>
        <v>6.3971783954157369E-2</v>
      </c>
      <c r="BC64" s="16"/>
      <c r="BD64" s="1"/>
      <c r="BE64" s="16">
        <f>AM64/'2017-18 disagg'!AM64-1</f>
        <v>1.5895922861479894E-2</v>
      </c>
      <c r="BF64" s="16">
        <f>AN64/'2017-18 disagg'!AN64-1</f>
        <v>9.9867822000294648E-3</v>
      </c>
      <c r="BG64" s="16">
        <f>AO64/'2017-18 disagg'!AO64-1</f>
        <v>3.895888135123915E-2</v>
      </c>
      <c r="BH64" s="16">
        <f>AQ64/'2017-18 disagg'!AQ64-1</f>
        <v>1.8819212425195131E-2</v>
      </c>
      <c r="BI64" s="1"/>
      <c r="BJ64" s="16">
        <f>AS64/'2017-18 disagg'!AS64-1</f>
        <v>1.4276139853696579E-2</v>
      </c>
      <c r="BK64" s="16">
        <f>AT64/'2017-18 disagg'!AT64-1</f>
        <v>8.3764209503400799E-3</v>
      </c>
      <c r="BL64" s="16">
        <f>AU64/'2017-18 disagg'!AU64-1</f>
        <v>3.7302325887311083E-2</v>
      </c>
      <c r="BM64" s="16">
        <f>AW64/'2017-18 disagg'!AW64-1</f>
        <v>1.7194768413606676E-2</v>
      </c>
    </row>
    <row r="65" spans="1:65" x14ac:dyDescent="0.2">
      <c r="A65" s="156" t="s">
        <v>175</v>
      </c>
      <c r="B65" s="156" t="s">
        <v>176</v>
      </c>
      <c r="D65" s="56">
        <f>VLOOKUP(A65,'2018-19'!$A$12:$AMX273,32,FALSE)</f>
        <v>254312</v>
      </c>
      <c r="E65" s="56">
        <v>1556.8012907701113</v>
      </c>
      <c r="F65" s="16">
        <f>VLOOKUP(A65,'2018-19'!$A$12:$AMX273,34,FALSE)</f>
        <v>2.2717493153384227E-2</v>
      </c>
      <c r="G65" s="16">
        <f>VLOOKUP(A65,'2018-19'!$A$12:$AMX273,35,FALSE)</f>
        <v>1.9500195901706041E-2</v>
      </c>
      <c r="H65" s="56"/>
      <c r="I65" s="56">
        <v>248929.36236794863</v>
      </c>
      <c r="J65" s="56">
        <v>1523.8508314393468</v>
      </c>
      <c r="K65" s="16">
        <f t="shared" si="6"/>
        <v>2.1623152772533016E-2</v>
      </c>
      <c r="L65" s="58">
        <f t="shared" si="6"/>
        <v>2.1623152772533016E-2</v>
      </c>
      <c r="M65" s="10"/>
      <c r="N65" s="56">
        <v>197504</v>
      </c>
      <c r="O65" s="56">
        <v>20609</v>
      </c>
      <c r="P65" s="56">
        <v>36199</v>
      </c>
      <c r="R65" s="56">
        <f t="shared" si="7"/>
        <v>36199</v>
      </c>
      <c r="S65" s="56">
        <f t="shared" si="8"/>
        <v>0</v>
      </c>
      <c r="U65" s="16">
        <v>2.9073346533043054E-2</v>
      </c>
      <c r="V65" s="16">
        <v>3.7093512827248043E-2</v>
      </c>
      <c r="W65" s="56">
        <f t="shared" si="9"/>
        <v>2</v>
      </c>
      <c r="X65" s="56">
        <f t="shared" si="10"/>
        <v>1919.2412345086254</v>
      </c>
      <c r="Y65" s="56">
        <f t="shared" si="10"/>
        <v>198.71882086907729</v>
      </c>
      <c r="AA65" s="56">
        <f t="shared" si="22"/>
        <v>0</v>
      </c>
      <c r="AB65" s="56">
        <v>0</v>
      </c>
      <c r="AC65" s="56">
        <f t="shared" si="11"/>
        <v>0</v>
      </c>
      <c r="AE65" s="56">
        <v>0</v>
      </c>
      <c r="AF65" s="56">
        <f t="shared" si="12"/>
        <v>0</v>
      </c>
      <c r="AG65" s="56">
        <f t="shared" si="13"/>
        <v>0</v>
      </c>
      <c r="AI65" s="56">
        <f t="shared" si="14"/>
        <v>0</v>
      </c>
      <c r="AJ65" s="56">
        <f t="shared" si="15"/>
        <v>0</v>
      </c>
      <c r="AK65" s="56">
        <f t="shared" si="16"/>
        <v>0</v>
      </c>
      <c r="AM65" s="56">
        <f t="shared" si="17"/>
        <v>197504</v>
      </c>
      <c r="AN65" s="56">
        <f t="shared" si="18"/>
        <v>20609</v>
      </c>
      <c r="AO65" s="56">
        <f t="shared" si="19"/>
        <v>36199</v>
      </c>
      <c r="AP65" s="56"/>
      <c r="AQ65" s="56">
        <f t="shared" si="20"/>
        <v>254312</v>
      </c>
      <c r="AR65" s="1"/>
      <c r="AS65" s="56">
        <v>1209.0443318925575</v>
      </c>
      <c r="AT65" s="56">
        <v>126.16045566658758</v>
      </c>
      <c r="AU65" s="56">
        <v>221.59650321096629</v>
      </c>
      <c r="AV65" s="56"/>
      <c r="AW65" s="56">
        <v>1556.8012907701113</v>
      </c>
      <c r="AX65" s="1"/>
      <c r="AY65" s="16">
        <v>2.9073346533043054E-2</v>
      </c>
      <c r="AZ65" s="16">
        <v>3.7093512827248043E-2</v>
      </c>
      <c r="BA65" s="16">
        <v>-2.5162196740022069E-2</v>
      </c>
      <c r="BB65" s="16">
        <f t="shared" si="21"/>
        <v>2.1623152772533016E-2</v>
      </c>
      <c r="BC65" s="16"/>
      <c r="BD65" s="1"/>
      <c r="BE65" s="16">
        <f>AM65/'2017-18 disagg'!AM65-1</f>
        <v>1.9870285454620662E-2</v>
      </c>
      <c r="BF65" s="16">
        <f>AN65/'2017-18 disagg'!AN65-1</f>
        <v>1.9288787773876104E-2</v>
      </c>
      <c r="BG65" s="16">
        <f>AO65/'2017-18 disagg'!AO65-1</f>
        <v>4.0559963205703209E-2</v>
      </c>
      <c r="BH65" s="16">
        <f>AQ65/'2017-18 disagg'!AQ65-1</f>
        <v>2.2717493153384227E-2</v>
      </c>
      <c r="BI65" s="1"/>
      <c r="BJ65" s="16">
        <f>AS65/'2017-18 disagg'!AS65-1</f>
        <v>1.6661945039571746E-2</v>
      </c>
      <c r="BK65" s="16">
        <f>AT65/'2017-18 disagg'!AT65-1</f>
        <v>1.6082276652745087E-2</v>
      </c>
      <c r="BL65" s="16">
        <f>AU65/'2017-18 disagg'!AU65-1</f>
        <v>3.72865365436581E-2</v>
      </c>
      <c r="BM65" s="16">
        <f>AW65/'2017-18 disagg'!AW65-1</f>
        <v>1.9500195901706041E-2</v>
      </c>
    </row>
    <row r="66" spans="1:65" x14ac:dyDescent="0.2">
      <c r="A66" s="156" t="s">
        <v>177</v>
      </c>
      <c r="B66" s="156" t="s">
        <v>178</v>
      </c>
      <c r="D66" s="56">
        <f>VLOOKUP(A66,'2018-19'!$A$12:$AMX274,32,FALSE)</f>
        <v>519955</v>
      </c>
      <c r="E66" s="56">
        <v>1770.4925811533092</v>
      </c>
      <c r="F66" s="16">
        <f>VLOOKUP(A66,'2018-19'!$A$12:$AMX274,34,FALSE)</f>
        <v>2.2875039098847694E-2</v>
      </c>
      <c r="G66" s="16">
        <f>VLOOKUP(A66,'2018-19'!$A$12:$AMX274,35,FALSE)</f>
        <v>2.0260064791694621E-2</v>
      </c>
      <c r="H66" s="56"/>
      <c r="I66" s="56">
        <v>510990.59367291146</v>
      </c>
      <c r="J66" s="56">
        <v>1739.9679878778259</v>
      </c>
      <c r="K66" s="16">
        <f t="shared" si="6"/>
        <v>1.7543192454197554E-2</v>
      </c>
      <c r="L66" s="58">
        <f t="shared" si="6"/>
        <v>1.7543192454197332E-2</v>
      </c>
      <c r="M66" s="10"/>
      <c r="N66" s="56">
        <v>397355</v>
      </c>
      <c r="O66" s="56">
        <v>42256</v>
      </c>
      <c r="P66" s="56">
        <v>80344</v>
      </c>
      <c r="R66" s="56">
        <f t="shared" si="7"/>
        <v>80344</v>
      </c>
      <c r="S66" s="56">
        <f t="shared" si="8"/>
        <v>0</v>
      </c>
      <c r="U66" s="16">
        <v>2.6318836743770557E-2</v>
      </c>
      <c r="V66" s="16">
        <v>-1.7119186491912908E-3</v>
      </c>
      <c r="W66" s="56">
        <f t="shared" si="9"/>
        <v>3</v>
      </c>
      <c r="X66" s="56">
        <f t="shared" si="10"/>
        <v>3871.6526071050093</v>
      </c>
      <c r="Y66" s="56">
        <f t="shared" si="10"/>
        <v>423.28462885004438</v>
      </c>
      <c r="AA66" s="56">
        <f t="shared" si="22"/>
        <v>0</v>
      </c>
      <c r="AB66" s="56">
        <v>0</v>
      </c>
      <c r="AC66" s="56">
        <f t="shared" si="11"/>
        <v>0</v>
      </c>
      <c r="AE66" s="56">
        <v>0</v>
      </c>
      <c r="AF66" s="56">
        <f t="shared" si="12"/>
        <v>0</v>
      </c>
      <c r="AG66" s="56">
        <f t="shared" si="13"/>
        <v>0</v>
      </c>
      <c r="AI66" s="56">
        <f t="shared" si="14"/>
        <v>0</v>
      </c>
      <c r="AJ66" s="56">
        <f t="shared" si="15"/>
        <v>0</v>
      </c>
      <c r="AK66" s="56">
        <f t="shared" si="16"/>
        <v>0</v>
      </c>
      <c r="AM66" s="56">
        <f t="shared" si="17"/>
        <v>397355</v>
      </c>
      <c r="AN66" s="56">
        <f t="shared" si="18"/>
        <v>42256</v>
      </c>
      <c r="AO66" s="56">
        <f t="shared" si="19"/>
        <v>80344</v>
      </c>
      <c r="AP66" s="56"/>
      <c r="AQ66" s="56">
        <f t="shared" si="20"/>
        <v>519955</v>
      </c>
      <c r="AR66" s="1"/>
      <c r="AS66" s="56">
        <v>1353.0287805371104</v>
      </c>
      <c r="AT66" s="56">
        <v>143.88540260063704</v>
      </c>
      <c r="AU66" s="56">
        <v>273.5783980155619</v>
      </c>
      <c r="AV66" s="56"/>
      <c r="AW66" s="56">
        <v>1770.4925811533092</v>
      </c>
      <c r="AX66" s="1"/>
      <c r="AY66" s="16">
        <v>2.6318836743770557E-2</v>
      </c>
      <c r="AZ66" s="16">
        <v>-1.7119186491912908E-3</v>
      </c>
      <c r="BA66" s="16">
        <v>-1.4146188391173653E-2</v>
      </c>
      <c r="BB66" s="16">
        <f t="shared" si="21"/>
        <v>1.7543192454197554E-2</v>
      </c>
      <c r="BC66" s="16"/>
      <c r="BD66" s="1"/>
      <c r="BE66" s="16">
        <f>AM66/'2017-18 disagg'!AM66-1</f>
        <v>1.9868382552988395E-2</v>
      </c>
      <c r="BF66" s="16">
        <f>AN66/'2017-18 disagg'!AN66-1</f>
        <v>1.9297568506368101E-2</v>
      </c>
      <c r="BG66" s="16">
        <f>AO66/'2017-18 disagg'!AO66-1</f>
        <v>3.9957544300192938E-2</v>
      </c>
      <c r="BH66" s="16">
        <f>AQ66/'2017-18 disagg'!AQ66-1</f>
        <v>2.2875039098847694E-2</v>
      </c>
      <c r="BI66" s="1"/>
      <c r="BJ66" s="16">
        <f>AS66/'2017-18 disagg'!AS66-1</f>
        <v>1.7261094746450878E-2</v>
      </c>
      <c r="BK66" s="16">
        <f>AT66/'2017-18 disagg'!AT66-1</f>
        <v>1.6691739982743092E-2</v>
      </c>
      <c r="BL66" s="16">
        <f>AU66/'2017-18 disagg'!AU66-1</f>
        <v>3.7298898664191338E-2</v>
      </c>
      <c r="BM66" s="16">
        <f>AW66/'2017-18 disagg'!AW66-1</f>
        <v>2.0260064791694621E-2</v>
      </c>
    </row>
    <row r="67" spans="1:65" x14ac:dyDescent="0.2">
      <c r="A67" s="156" t="s">
        <v>179</v>
      </c>
      <c r="B67" s="156" t="s">
        <v>180</v>
      </c>
      <c r="D67" s="56">
        <f>VLOOKUP(A67,'2018-19'!$A$12:$AMX275,32,FALSE)</f>
        <v>349085</v>
      </c>
      <c r="E67" s="56">
        <v>1611.3423766506539</v>
      </c>
      <c r="F67" s="16">
        <f>VLOOKUP(A67,'2018-19'!$A$12:$AMX275,34,FALSE)</f>
        <v>2.4638161853409724E-2</v>
      </c>
      <c r="G67" s="16">
        <f>VLOOKUP(A67,'2018-19'!$A$12:$AMX275,35,FALSE)</f>
        <v>1.6982962674652269E-2</v>
      </c>
      <c r="H67" s="56"/>
      <c r="I67" s="56">
        <v>338536.97761839553</v>
      </c>
      <c r="J67" s="56">
        <v>1562.653732184868</v>
      </c>
      <c r="K67" s="16">
        <f t="shared" si="6"/>
        <v>3.1157666898929959E-2</v>
      </c>
      <c r="L67" s="58">
        <f t="shared" si="6"/>
        <v>3.1157666898929959E-2</v>
      </c>
      <c r="M67" s="10"/>
      <c r="N67" s="56">
        <v>260981</v>
      </c>
      <c r="O67" s="56">
        <v>27203</v>
      </c>
      <c r="P67" s="56">
        <v>60901</v>
      </c>
      <c r="R67" s="56">
        <f t="shared" si="7"/>
        <v>60901</v>
      </c>
      <c r="S67" s="56">
        <f t="shared" si="8"/>
        <v>0</v>
      </c>
      <c r="U67" s="16">
        <v>1.8223617483659416E-2</v>
      </c>
      <c r="V67" s="16">
        <v>-4.8207304545246465E-2</v>
      </c>
      <c r="W67" s="56">
        <f t="shared" si="9"/>
        <v>3</v>
      </c>
      <c r="X67" s="56">
        <f t="shared" si="10"/>
        <v>2563.1010273063935</v>
      </c>
      <c r="Y67" s="56">
        <f t="shared" si="10"/>
        <v>285.80803498394971</v>
      </c>
      <c r="AA67" s="56">
        <f t="shared" si="22"/>
        <v>0</v>
      </c>
      <c r="AB67" s="56">
        <v>0</v>
      </c>
      <c r="AC67" s="56">
        <f t="shared" si="11"/>
        <v>0</v>
      </c>
      <c r="AE67" s="56">
        <v>0</v>
      </c>
      <c r="AF67" s="56">
        <f t="shared" si="12"/>
        <v>0</v>
      </c>
      <c r="AG67" s="56">
        <f t="shared" si="13"/>
        <v>0</v>
      </c>
      <c r="AI67" s="56">
        <f t="shared" si="14"/>
        <v>0</v>
      </c>
      <c r="AJ67" s="56">
        <f t="shared" si="15"/>
        <v>0</v>
      </c>
      <c r="AK67" s="56">
        <f t="shared" si="16"/>
        <v>0</v>
      </c>
      <c r="AM67" s="56">
        <f t="shared" si="17"/>
        <v>260981</v>
      </c>
      <c r="AN67" s="56">
        <f t="shared" si="18"/>
        <v>27203</v>
      </c>
      <c r="AO67" s="56">
        <f t="shared" si="19"/>
        <v>60901</v>
      </c>
      <c r="AP67" s="56"/>
      <c r="AQ67" s="56">
        <f t="shared" si="20"/>
        <v>349085</v>
      </c>
      <c r="AR67" s="1"/>
      <c r="AS67" s="56">
        <v>1204.6628895560232</v>
      </c>
      <c r="AT67" s="56">
        <v>125.56639979382598</v>
      </c>
      <c r="AU67" s="56">
        <v>281.11308730080492</v>
      </c>
      <c r="AV67" s="56"/>
      <c r="AW67" s="56">
        <v>1611.3423766506539</v>
      </c>
      <c r="AX67" s="1"/>
      <c r="AY67" s="16">
        <v>1.8223617483659416E-2</v>
      </c>
      <c r="AZ67" s="16">
        <v>-4.8207304545246465E-2</v>
      </c>
      <c r="BA67" s="16">
        <v>0.13523690407789335</v>
      </c>
      <c r="BB67" s="16">
        <f t="shared" si="21"/>
        <v>3.1157666898929959E-2</v>
      </c>
      <c r="BC67" s="16"/>
      <c r="BD67" s="1"/>
      <c r="BE67" s="16">
        <f>AM67/'2017-18 disagg'!AM67-1</f>
        <v>1.9867368511549577E-2</v>
      </c>
      <c r="BF67" s="16">
        <f>AN67/'2017-18 disagg'!AN67-1</f>
        <v>2.567679662167266E-2</v>
      </c>
      <c r="BG67" s="16">
        <f>AO67/'2017-18 disagg'!AO67-1</f>
        <v>4.5116007688083437E-2</v>
      </c>
      <c r="BH67" s="16">
        <f>AQ67/'2017-18 disagg'!AQ67-1</f>
        <v>2.4638161853409724E-2</v>
      </c>
      <c r="BI67" s="1"/>
      <c r="BJ67" s="16">
        <f>AS67/'2017-18 disagg'!AS67-1</f>
        <v>1.2247812523366486E-2</v>
      </c>
      <c r="BK67" s="16">
        <f>AT67/'2017-18 disagg'!AT67-1</f>
        <v>1.8013837673348743E-2</v>
      </c>
      <c r="BL67" s="16">
        <f>AU67/'2017-18 disagg'!AU67-1</f>
        <v>3.730781597552002E-2</v>
      </c>
      <c r="BM67" s="16">
        <f>AW67/'2017-18 disagg'!AW67-1</f>
        <v>1.6982962674652269E-2</v>
      </c>
    </row>
    <row r="68" spans="1:65" x14ac:dyDescent="0.2">
      <c r="A68" s="156" t="s">
        <v>181</v>
      </c>
      <c r="B68" s="156" t="s">
        <v>182</v>
      </c>
      <c r="D68" s="56">
        <f>VLOOKUP(A68,'2018-19'!$A$12:$AMX276,32,FALSE)</f>
        <v>511921</v>
      </c>
      <c r="E68" s="56">
        <v>1836.8286841835757</v>
      </c>
      <c r="F68" s="16">
        <f>VLOOKUP(A68,'2018-19'!$A$12:$AMX276,34,FALSE)</f>
        <v>2.5111087526357601E-2</v>
      </c>
      <c r="G68" s="16">
        <f>VLOOKUP(A68,'2018-19'!$A$12:$AMX276,35,FALSE)</f>
        <v>1.8064274893609511E-2</v>
      </c>
      <c r="H68" s="56"/>
      <c r="I68" s="56">
        <v>507308.1748797223</v>
      </c>
      <c r="J68" s="56">
        <v>1820.2773618192878</v>
      </c>
      <c r="K68" s="16">
        <f t="shared" si="6"/>
        <v>9.092747463356643E-3</v>
      </c>
      <c r="L68" s="58">
        <f t="shared" si="6"/>
        <v>9.092747463356643E-3</v>
      </c>
      <c r="M68" s="10"/>
      <c r="N68" s="56">
        <v>379264</v>
      </c>
      <c r="O68" s="56">
        <v>39232</v>
      </c>
      <c r="P68" s="56">
        <v>93425</v>
      </c>
      <c r="R68" s="56">
        <f t="shared" si="7"/>
        <v>93425</v>
      </c>
      <c r="S68" s="56">
        <f t="shared" si="8"/>
        <v>0</v>
      </c>
      <c r="U68" s="16">
        <v>-1.6013419408590801E-2</v>
      </c>
      <c r="V68" s="16">
        <v>-4.8552049650245066E-2</v>
      </c>
      <c r="W68" s="56">
        <f t="shared" si="9"/>
        <v>4</v>
      </c>
      <c r="X68" s="56">
        <f t="shared" si="10"/>
        <v>3854.3615073698415</v>
      </c>
      <c r="Y68" s="56">
        <f t="shared" si="10"/>
        <v>412.33994971115555</v>
      </c>
      <c r="AA68" s="56">
        <f t="shared" si="22"/>
        <v>0</v>
      </c>
      <c r="AB68" s="56">
        <v>0</v>
      </c>
      <c r="AC68" s="56">
        <f t="shared" si="11"/>
        <v>0</v>
      </c>
      <c r="AE68" s="56">
        <v>0</v>
      </c>
      <c r="AF68" s="56">
        <f t="shared" si="12"/>
        <v>0</v>
      </c>
      <c r="AG68" s="56">
        <f t="shared" si="13"/>
        <v>0</v>
      </c>
      <c r="AI68" s="56">
        <f t="shared" si="14"/>
        <v>0</v>
      </c>
      <c r="AJ68" s="56">
        <f t="shared" si="15"/>
        <v>0</v>
      </c>
      <c r="AK68" s="56">
        <f t="shared" si="16"/>
        <v>0</v>
      </c>
      <c r="AM68" s="56">
        <f t="shared" si="17"/>
        <v>379264</v>
      </c>
      <c r="AN68" s="56">
        <f t="shared" si="18"/>
        <v>39232</v>
      </c>
      <c r="AO68" s="56">
        <f t="shared" si="19"/>
        <v>93425</v>
      </c>
      <c r="AP68" s="56"/>
      <c r="AQ68" s="56">
        <f t="shared" si="20"/>
        <v>511921</v>
      </c>
      <c r="AR68" s="1"/>
      <c r="AS68" s="56">
        <v>1360.8408212950819</v>
      </c>
      <c r="AT68" s="56">
        <v>140.76871809886688</v>
      </c>
      <c r="AU68" s="56">
        <v>335.2191447896268</v>
      </c>
      <c r="AV68" s="56"/>
      <c r="AW68" s="56">
        <v>1836.8286841835757</v>
      </c>
      <c r="AX68" s="1"/>
      <c r="AY68" s="16">
        <v>-1.6013419408590801E-2</v>
      </c>
      <c r="AZ68" s="16">
        <v>-4.8552049650245066E-2</v>
      </c>
      <c r="BA68" s="16">
        <v>0.15857246214639931</v>
      </c>
      <c r="BB68" s="16">
        <f t="shared" si="21"/>
        <v>9.092747463356643E-3</v>
      </c>
      <c r="BC68" s="16"/>
      <c r="BD68" s="1"/>
      <c r="BE68" s="16">
        <f>AM68/'2017-18 disagg'!AM68-1</f>
        <v>1.9869579831932827E-2</v>
      </c>
      <c r="BF68" s="16">
        <f>AN68/'2017-18 disagg'!AN68-1</f>
        <v>3.0793483972674673E-2</v>
      </c>
      <c r="BG68" s="16">
        <f>AO68/'2017-18 disagg'!AO68-1</f>
        <v>4.4484940634572867E-2</v>
      </c>
      <c r="BH68" s="16">
        <f>AQ68/'2017-18 disagg'!AQ68-1</f>
        <v>2.5111087526357601E-2</v>
      </c>
      <c r="BI68" s="1"/>
      <c r="BJ68" s="16">
        <f>AS68/'2017-18 disagg'!AS68-1</f>
        <v>1.2858798340672717E-2</v>
      </c>
      <c r="BK68" s="16">
        <f>AT68/'2017-18 disagg'!AT68-1</f>
        <v>2.3707609443562871E-2</v>
      </c>
      <c r="BL68" s="16">
        <f>AU68/'2017-18 disagg'!AU68-1</f>
        <v>3.7304948374280444E-2</v>
      </c>
      <c r="BM68" s="16">
        <f>AW68/'2017-18 disagg'!AW68-1</f>
        <v>1.8064274893609511E-2</v>
      </c>
    </row>
    <row r="69" spans="1:65" x14ac:dyDescent="0.2">
      <c r="A69" s="156" t="s">
        <v>183</v>
      </c>
      <c r="B69" s="156" t="s">
        <v>184</v>
      </c>
      <c r="D69" s="56">
        <f>VLOOKUP(A69,'2018-19'!$A$12:$AMX277,32,FALSE)</f>
        <v>561627</v>
      </c>
      <c r="E69" s="56">
        <v>1504.3387939315517</v>
      </c>
      <c r="F69" s="16">
        <f>VLOOKUP(A69,'2018-19'!$A$12:$AMX277,34,FALSE)</f>
        <v>2.4304168695661765E-2</v>
      </c>
      <c r="G69" s="16">
        <f>VLOOKUP(A69,'2018-19'!$A$12:$AMX277,35,FALSE)</f>
        <v>1.8877784214125892E-2</v>
      </c>
      <c r="H69" s="56"/>
      <c r="I69" s="56">
        <v>546491.06998618413</v>
      </c>
      <c r="J69" s="56">
        <v>1463.7966428205543</v>
      </c>
      <c r="K69" s="16">
        <f t="shared" si="6"/>
        <v>2.7696573366145838E-2</v>
      </c>
      <c r="L69" s="58">
        <f t="shared" si="6"/>
        <v>2.7696573366145838E-2</v>
      </c>
      <c r="M69" s="10"/>
      <c r="N69" s="56">
        <v>425750</v>
      </c>
      <c r="O69" s="56">
        <v>46049</v>
      </c>
      <c r="P69" s="56">
        <v>89828</v>
      </c>
      <c r="R69" s="56">
        <f t="shared" si="7"/>
        <v>89828</v>
      </c>
      <c r="S69" s="56">
        <f t="shared" si="8"/>
        <v>0</v>
      </c>
      <c r="U69" s="16">
        <v>1.0133900322177425E-2</v>
      </c>
      <c r="V69" s="16">
        <v>-4.859680615373152E-2</v>
      </c>
      <c r="W69" s="56">
        <f t="shared" si="9"/>
        <v>3</v>
      </c>
      <c r="X69" s="56">
        <f t="shared" si="10"/>
        <v>4214.7877609513853</v>
      </c>
      <c r="Y69" s="56">
        <f t="shared" si="10"/>
        <v>484.01140859992512</v>
      </c>
      <c r="AA69" s="56">
        <f t="shared" si="22"/>
        <v>0</v>
      </c>
      <c r="AB69" s="56">
        <v>0</v>
      </c>
      <c r="AC69" s="56">
        <f t="shared" si="11"/>
        <v>0</v>
      </c>
      <c r="AE69" s="56">
        <v>0</v>
      </c>
      <c r="AF69" s="56">
        <f t="shared" si="12"/>
        <v>0</v>
      </c>
      <c r="AG69" s="56">
        <f t="shared" si="13"/>
        <v>0</v>
      </c>
      <c r="AI69" s="56">
        <f t="shared" si="14"/>
        <v>0</v>
      </c>
      <c r="AJ69" s="56">
        <f t="shared" si="15"/>
        <v>0</v>
      </c>
      <c r="AK69" s="56">
        <f t="shared" si="16"/>
        <v>0</v>
      </c>
      <c r="AM69" s="56">
        <f t="shared" si="17"/>
        <v>425750</v>
      </c>
      <c r="AN69" s="56">
        <f t="shared" si="18"/>
        <v>46049</v>
      </c>
      <c r="AO69" s="56">
        <f t="shared" si="19"/>
        <v>89828</v>
      </c>
      <c r="AP69" s="56"/>
      <c r="AQ69" s="56">
        <f t="shared" si="20"/>
        <v>561627</v>
      </c>
      <c r="AR69" s="1"/>
      <c r="AS69" s="56">
        <v>1140.3871991844376</v>
      </c>
      <c r="AT69" s="56">
        <v>123.34395803932864</v>
      </c>
      <c r="AU69" s="56">
        <v>240.60763670778547</v>
      </c>
      <c r="AV69" s="56"/>
      <c r="AW69" s="56">
        <v>1504.3387939315517</v>
      </c>
      <c r="AX69" s="1"/>
      <c r="AY69" s="16">
        <v>1.0133900322177425E-2</v>
      </c>
      <c r="AZ69" s="16">
        <v>-4.859680615373152E-2</v>
      </c>
      <c r="BA69" s="16">
        <v>0.17251857524699665</v>
      </c>
      <c r="BB69" s="16">
        <f t="shared" si="21"/>
        <v>2.7696573366145838E-2</v>
      </c>
      <c r="BC69" s="16"/>
      <c r="BD69" s="1"/>
      <c r="BE69" s="16">
        <f>AM69/'2017-18 disagg'!AM69-1</f>
        <v>1.9867962132536165E-2</v>
      </c>
      <c r="BF69" s="16">
        <f>AN69/'2017-18 disagg'!AN69-1</f>
        <v>3.0040710419183103E-2</v>
      </c>
      <c r="BG69" s="16">
        <f>AO69/'2017-18 disagg'!AO69-1</f>
        <v>4.2826129859877549E-2</v>
      </c>
      <c r="BH69" s="16">
        <f>AQ69/'2017-18 disagg'!AQ69-1</f>
        <v>2.4304168695661765E-2</v>
      </c>
      <c r="BI69" s="1"/>
      <c r="BJ69" s="16">
        <f>AS69/'2017-18 disagg'!AS69-1</f>
        <v>1.4465079031924732E-2</v>
      </c>
      <c r="BK69" s="16">
        <f>AT69/'2017-18 disagg'!AT69-1</f>
        <v>2.4583935862181994E-2</v>
      </c>
      <c r="BL69" s="16">
        <f>AU69/'2017-18 disagg'!AU69-1</f>
        <v>3.7301622881430463E-2</v>
      </c>
      <c r="BM69" s="16">
        <f>AW69/'2017-18 disagg'!AW69-1</f>
        <v>1.8877784214125892E-2</v>
      </c>
    </row>
    <row r="70" spans="1:65" x14ac:dyDescent="0.2">
      <c r="A70" s="156" t="s">
        <v>185</v>
      </c>
      <c r="B70" s="156" t="s">
        <v>186</v>
      </c>
      <c r="D70" s="56">
        <f>VLOOKUP(A70,'2018-19'!$A$12:$AMX278,32,FALSE)</f>
        <v>301130</v>
      </c>
      <c r="E70" s="56">
        <v>1775.5817908502829</v>
      </c>
      <c r="F70" s="16">
        <f>VLOOKUP(A70,'2018-19'!$A$12:$AMX278,34,FALSE)</f>
        <v>2.1617733869818689E-2</v>
      </c>
      <c r="G70" s="16">
        <f>VLOOKUP(A70,'2018-19'!$A$12:$AMX278,35,FALSE)</f>
        <v>2.0250739284220165E-2</v>
      </c>
      <c r="H70" s="56"/>
      <c r="I70" s="56">
        <v>292484.49570407072</v>
      </c>
      <c r="J70" s="56">
        <v>1724.6044720824091</v>
      </c>
      <c r="K70" s="16">
        <f t="shared" si="6"/>
        <v>2.9558846444553533E-2</v>
      </c>
      <c r="L70" s="58">
        <f t="shared" si="6"/>
        <v>2.9558846444553311E-2</v>
      </c>
      <c r="M70" s="10"/>
      <c r="N70" s="56">
        <v>230131</v>
      </c>
      <c r="O70" s="56">
        <v>27603</v>
      </c>
      <c r="P70" s="56">
        <v>43396</v>
      </c>
      <c r="R70" s="56">
        <f t="shared" si="7"/>
        <v>43396</v>
      </c>
      <c r="S70" s="56">
        <f t="shared" si="8"/>
        <v>0</v>
      </c>
      <c r="U70" s="16">
        <v>2.7849743710577135E-2</v>
      </c>
      <c r="V70" s="16">
        <v>0.17613292926284529</v>
      </c>
      <c r="W70" s="56">
        <f t="shared" si="9"/>
        <v>2</v>
      </c>
      <c r="X70" s="56">
        <f t="shared" si="10"/>
        <v>2238.9556587251577</v>
      </c>
      <c r="Y70" s="56">
        <f t="shared" si="10"/>
        <v>234.69285922723458</v>
      </c>
      <c r="AA70" s="56">
        <f t="shared" si="22"/>
        <v>0</v>
      </c>
      <c r="AB70" s="56">
        <v>0</v>
      </c>
      <c r="AC70" s="56">
        <f t="shared" si="11"/>
        <v>0</v>
      </c>
      <c r="AE70" s="56">
        <v>0</v>
      </c>
      <c r="AF70" s="56">
        <f t="shared" si="12"/>
        <v>0</v>
      </c>
      <c r="AG70" s="56">
        <f t="shared" si="13"/>
        <v>0</v>
      </c>
      <c r="AI70" s="56">
        <f t="shared" si="14"/>
        <v>0</v>
      </c>
      <c r="AJ70" s="56">
        <f t="shared" si="15"/>
        <v>0</v>
      </c>
      <c r="AK70" s="56">
        <f t="shared" si="16"/>
        <v>0</v>
      </c>
      <c r="AM70" s="56">
        <f t="shared" si="17"/>
        <v>230131</v>
      </c>
      <c r="AN70" s="56">
        <f t="shared" si="18"/>
        <v>27603</v>
      </c>
      <c r="AO70" s="56">
        <f t="shared" si="19"/>
        <v>43396</v>
      </c>
      <c r="AP70" s="56"/>
      <c r="AQ70" s="56">
        <f t="shared" si="20"/>
        <v>301130</v>
      </c>
      <c r="AR70" s="1"/>
      <c r="AS70" s="56">
        <v>1356.9435563051388</v>
      </c>
      <c r="AT70" s="56">
        <v>162.75822459681984</v>
      </c>
      <c r="AU70" s="56">
        <v>255.88000994832424</v>
      </c>
      <c r="AV70" s="56"/>
      <c r="AW70" s="56">
        <v>1775.5817908502829</v>
      </c>
      <c r="AX70" s="1"/>
      <c r="AY70" s="16">
        <v>2.7849743710577135E-2</v>
      </c>
      <c r="AZ70" s="16">
        <v>0.17613292926284529</v>
      </c>
      <c r="BA70" s="16">
        <v>-3.820162925740811E-2</v>
      </c>
      <c r="BB70" s="16">
        <f t="shared" si="21"/>
        <v>2.9558846444553533E-2</v>
      </c>
      <c r="BC70" s="16"/>
      <c r="BD70" s="1"/>
      <c r="BE70" s="16">
        <f>AM70/'2017-18 disagg'!AM70-1</f>
        <v>1.9867226831170592E-2</v>
      </c>
      <c r="BF70" s="16">
        <f>AN70/'2017-18 disagg'!AN70-1</f>
        <v>9.9890230515915501E-3</v>
      </c>
      <c r="BG70" s="16">
        <f>AO70/'2017-18 disagg'!AO70-1</f>
        <v>3.8678793681187207E-2</v>
      </c>
      <c r="BH70" s="16">
        <f>AQ70/'2017-18 disagg'!AQ70-1</f>
        <v>2.1617733869818689E-2</v>
      </c>
      <c r="BI70" s="1"/>
      <c r="BJ70" s="16">
        <f>AS70/'2017-18 disagg'!AS70-1</f>
        <v>1.850257454403148E-2</v>
      </c>
      <c r="BK70" s="16">
        <f>AT70/'2017-18 disagg'!AT70-1</f>
        <v>8.6375884785097057E-3</v>
      </c>
      <c r="BL70" s="16">
        <f>AU70/'2017-18 disagg'!AU70-1</f>
        <v>3.728897022759492E-2</v>
      </c>
      <c r="BM70" s="16">
        <f>AW70/'2017-18 disagg'!AW70-1</f>
        <v>2.0250739284220165E-2</v>
      </c>
    </row>
    <row r="71" spans="1:65" x14ac:dyDescent="0.2">
      <c r="A71" s="156" t="s">
        <v>187</v>
      </c>
      <c r="B71" s="156" t="s">
        <v>188</v>
      </c>
      <c r="D71" s="56">
        <f>VLOOKUP(A71,'2018-19'!$A$12:$AMX279,32,FALSE)</f>
        <v>320178</v>
      </c>
      <c r="E71" s="56">
        <v>1651.1556467840289</v>
      </c>
      <c r="F71" s="16">
        <f>VLOOKUP(A71,'2018-19'!$A$12:$AMX279,34,FALSE)</f>
        <v>2.2906762766446764E-2</v>
      </c>
      <c r="G71" s="16">
        <f>VLOOKUP(A71,'2018-19'!$A$12:$AMX279,35,FALSE)</f>
        <v>1.62286620007841E-2</v>
      </c>
      <c r="H71" s="56"/>
      <c r="I71" s="56">
        <v>307043.80777118809</v>
      </c>
      <c r="J71" s="56">
        <v>1583.4227117774085</v>
      </c>
      <c r="K71" s="16">
        <f t="shared" si="6"/>
        <v>4.2776281092109292E-2</v>
      </c>
      <c r="L71" s="58">
        <f t="shared" si="6"/>
        <v>4.2776281092109292E-2</v>
      </c>
      <c r="M71" s="10"/>
      <c r="N71" s="56">
        <v>246146</v>
      </c>
      <c r="O71" s="56">
        <v>25281</v>
      </c>
      <c r="P71" s="56">
        <v>48751</v>
      </c>
      <c r="R71" s="56">
        <f t="shared" si="7"/>
        <v>48751</v>
      </c>
      <c r="S71" s="56">
        <f t="shared" si="8"/>
        <v>0</v>
      </c>
      <c r="U71" s="16">
        <v>5.0245430766677535E-2</v>
      </c>
      <c r="V71" s="16">
        <v>-1.8524152135889205E-3</v>
      </c>
      <c r="W71" s="56">
        <f t="shared" si="9"/>
        <v>3</v>
      </c>
      <c r="X71" s="56">
        <f t="shared" si="10"/>
        <v>2343.6997942501289</v>
      </c>
      <c r="Y71" s="56">
        <f t="shared" si="10"/>
        <v>253.2791782029885</v>
      </c>
      <c r="AA71" s="56">
        <f t="shared" si="22"/>
        <v>0</v>
      </c>
      <c r="AB71" s="56">
        <v>0</v>
      </c>
      <c r="AC71" s="56">
        <f t="shared" si="11"/>
        <v>0</v>
      </c>
      <c r="AE71" s="56">
        <v>0</v>
      </c>
      <c r="AF71" s="56">
        <f t="shared" si="12"/>
        <v>0</v>
      </c>
      <c r="AG71" s="56">
        <f t="shared" si="13"/>
        <v>0</v>
      </c>
      <c r="AI71" s="56">
        <f t="shared" si="14"/>
        <v>0</v>
      </c>
      <c r="AJ71" s="56">
        <f t="shared" si="15"/>
        <v>0</v>
      </c>
      <c r="AK71" s="56">
        <f t="shared" si="16"/>
        <v>0</v>
      </c>
      <c r="AM71" s="56">
        <f t="shared" si="17"/>
        <v>246146</v>
      </c>
      <c r="AN71" s="56">
        <f t="shared" si="18"/>
        <v>25281</v>
      </c>
      <c r="AO71" s="56">
        <f t="shared" si="19"/>
        <v>48751</v>
      </c>
      <c r="AP71" s="56"/>
      <c r="AQ71" s="56">
        <f t="shared" si="20"/>
        <v>320178</v>
      </c>
      <c r="AR71" s="1"/>
      <c r="AS71" s="56">
        <v>1269.3731544119257</v>
      </c>
      <c r="AT71" s="56">
        <v>130.37393545573721</v>
      </c>
      <c r="AU71" s="56">
        <v>251.40855691636585</v>
      </c>
      <c r="AV71" s="56"/>
      <c r="AW71" s="56">
        <v>1651.1556467840289</v>
      </c>
      <c r="AX71" s="1"/>
      <c r="AY71" s="16">
        <v>5.0245430766677535E-2</v>
      </c>
      <c r="AZ71" s="16">
        <v>-1.8524152135889205E-3</v>
      </c>
      <c r="BA71" s="16">
        <v>2.9677103228497481E-2</v>
      </c>
      <c r="BB71" s="16">
        <f t="shared" si="21"/>
        <v>4.2776281092109292E-2</v>
      </c>
      <c r="BC71" s="16"/>
      <c r="BD71" s="1"/>
      <c r="BE71" s="16">
        <f>AM71/'2017-18 disagg'!AM71-1</f>
        <v>1.9174792455955103E-2</v>
      </c>
      <c r="BF71" s="16">
        <f>AN71/'2017-18 disagg'!AN71-1</f>
        <v>1.9312958632368371E-2</v>
      </c>
      <c r="BG71" s="16">
        <f>AO71/'2017-18 disagg'!AO71-1</f>
        <v>4.4119851791565745E-2</v>
      </c>
      <c r="BH71" s="16">
        <f>AQ71/'2017-18 disagg'!AQ71-1</f>
        <v>2.2906762766446764E-2</v>
      </c>
      <c r="BI71" s="1"/>
      <c r="BJ71" s="16">
        <f>AS71/'2017-18 disagg'!AS71-1</f>
        <v>1.2521056055349922E-2</v>
      </c>
      <c r="BK71" s="16">
        <f>AT71/'2017-18 disagg'!AT71-1</f>
        <v>1.2658320206591078E-2</v>
      </c>
      <c r="BL71" s="16">
        <f>AU71/'2017-18 disagg'!AU71-1</f>
        <v>3.730326025507491E-2</v>
      </c>
      <c r="BM71" s="16">
        <f>AW71/'2017-18 disagg'!AW71-1</f>
        <v>1.62286620007841E-2</v>
      </c>
    </row>
    <row r="72" spans="1:65" x14ac:dyDescent="0.2">
      <c r="A72" s="156" t="s">
        <v>189</v>
      </c>
      <c r="B72" s="156" t="s">
        <v>190</v>
      </c>
      <c r="D72" s="56">
        <f>VLOOKUP(A72,'2018-19'!$A$12:$AMX280,32,FALSE)</f>
        <v>287293</v>
      </c>
      <c r="E72" s="56">
        <v>1649.476517420401</v>
      </c>
      <c r="F72" s="16">
        <f>VLOOKUP(A72,'2018-19'!$A$12:$AMX280,34,FALSE)</f>
        <v>2.3575225526942134E-2</v>
      </c>
      <c r="G72" s="16">
        <f>VLOOKUP(A72,'2018-19'!$A$12:$AMX280,35,FALSE)</f>
        <v>1.8522032684462841E-2</v>
      </c>
      <c r="H72" s="56"/>
      <c r="I72" s="56">
        <v>288939.90742262302</v>
      </c>
      <c r="J72" s="56">
        <v>1658.9321432796528</v>
      </c>
      <c r="K72" s="16">
        <f t="shared" si="6"/>
        <v>-5.699826781677908E-3</v>
      </c>
      <c r="L72" s="58">
        <f t="shared" si="6"/>
        <v>-5.699826781677908E-3</v>
      </c>
      <c r="M72" s="10"/>
      <c r="N72" s="56">
        <v>225819</v>
      </c>
      <c r="O72" s="56">
        <v>22543</v>
      </c>
      <c r="P72" s="56">
        <v>38931</v>
      </c>
      <c r="R72" s="56">
        <f t="shared" si="7"/>
        <v>38931</v>
      </c>
      <c r="S72" s="56">
        <f t="shared" si="8"/>
        <v>0</v>
      </c>
      <c r="U72" s="16">
        <v>1.1434530977336932E-2</v>
      </c>
      <c r="V72" s="16">
        <v>-4.856526528494165E-2</v>
      </c>
      <c r="W72" s="56">
        <f t="shared" si="9"/>
        <v>3</v>
      </c>
      <c r="X72" s="56">
        <f t="shared" si="10"/>
        <v>2232.6605735103176</v>
      </c>
      <c r="Y72" s="56">
        <f t="shared" si="10"/>
        <v>236.93690357806116</v>
      </c>
      <c r="AA72" s="56">
        <f t="shared" si="22"/>
        <v>0</v>
      </c>
      <c r="AB72" s="56">
        <v>0</v>
      </c>
      <c r="AC72" s="56">
        <f t="shared" si="11"/>
        <v>0</v>
      </c>
      <c r="AE72" s="56">
        <v>0</v>
      </c>
      <c r="AF72" s="56">
        <f t="shared" si="12"/>
        <v>0</v>
      </c>
      <c r="AG72" s="56">
        <f t="shared" si="13"/>
        <v>0</v>
      </c>
      <c r="AI72" s="56">
        <f t="shared" si="14"/>
        <v>0</v>
      </c>
      <c r="AJ72" s="56">
        <f t="shared" si="15"/>
        <v>0</v>
      </c>
      <c r="AK72" s="56">
        <f t="shared" si="16"/>
        <v>0</v>
      </c>
      <c r="AM72" s="56">
        <f t="shared" si="17"/>
        <v>225819</v>
      </c>
      <c r="AN72" s="56">
        <f t="shared" si="18"/>
        <v>22543</v>
      </c>
      <c r="AO72" s="56">
        <f t="shared" si="19"/>
        <v>38931</v>
      </c>
      <c r="AP72" s="56"/>
      <c r="AQ72" s="56">
        <f t="shared" si="20"/>
        <v>287293</v>
      </c>
      <c r="AR72" s="1"/>
      <c r="AS72" s="56">
        <v>1296.5270218465382</v>
      </c>
      <c r="AT72" s="56">
        <v>129.42936003386126</v>
      </c>
      <c r="AU72" s="56">
        <v>223.52013554000143</v>
      </c>
      <c r="AV72" s="56"/>
      <c r="AW72" s="56">
        <v>1649.476517420401</v>
      </c>
      <c r="AX72" s="1"/>
      <c r="AY72" s="16">
        <v>1.1434530977336932E-2</v>
      </c>
      <c r="AZ72" s="16">
        <v>-4.856526528494165E-2</v>
      </c>
      <c r="BA72" s="16">
        <v>-7.2633351911329913E-2</v>
      </c>
      <c r="BB72" s="16">
        <f t="shared" si="21"/>
        <v>-5.699826781677908E-3</v>
      </c>
      <c r="BC72" s="16"/>
      <c r="BD72" s="1"/>
      <c r="BE72" s="16">
        <f>AM72/'2017-18 disagg'!AM72-1</f>
        <v>1.98672206666064E-2</v>
      </c>
      <c r="BF72" s="16">
        <f>AN72/'2017-18 disagg'!AN72-1</f>
        <v>2.8890917389319926E-2</v>
      </c>
      <c r="BG72" s="16">
        <f>AO72/'2017-18 disagg'!AO72-1</f>
        <v>4.2440957532265733E-2</v>
      </c>
      <c r="BH72" s="16">
        <f>AQ72/'2017-18 disagg'!AQ72-1</f>
        <v>2.3575225526942134E-2</v>
      </c>
      <c r="BI72" s="1"/>
      <c r="BJ72" s="16">
        <f>AS72/'2017-18 disagg'!AS72-1</f>
        <v>1.4832333526681118E-2</v>
      </c>
      <c r="BK72" s="16">
        <f>AT72/'2017-18 disagg'!AT72-1</f>
        <v>2.3811482004620244E-2</v>
      </c>
      <c r="BL72" s="16">
        <f>AU72/'2017-18 disagg'!AU72-1</f>
        <v>3.7294628221103299E-2</v>
      </c>
      <c r="BM72" s="16">
        <f>AW72/'2017-18 disagg'!AW72-1</f>
        <v>1.8522032684462841E-2</v>
      </c>
    </row>
    <row r="73" spans="1:65" x14ac:dyDescent="0.2">
      <c r="A73" s="156" t="s">
        <v>191</v>
      </c>
      <c r="B73" s="156" t="s">
        <v>192</v>
      </c>
      <c r="D73" s="56">
        <f>VLOOKUP(A73,'2018-19'!$A$12:$AMX281,32,FALSE)</f>
        <v>467204</v>
      </c>
      <c r="E73" s="56">
        <v>1782.6299254633209</v>
      </c>
      <c r="F73" s="16">
        <f>VLOOKUP(A73,'2018-19'!$A$12:$AMX281,34,FALSE)</f>
        <v>1.9661934329270325E-2</v>
      </c>
      <c r="G73" s="16">
        <f>VLOOKUP(A73,'2018-19'!$A$12:$AMX281,35,FALSE)</f>
        <v>1.595180418046116E-2</v>
      </c>
      <c r="H73" s="56"/>
      <c r="I73" s="56">
        <v>446874.33480988682</v>
      </c>
      <c r="J73" s="56">
        <v>1705.0615194938821</v>
      </c>
      <c r="K73" s="16">
        <f t="shared" si="6"/>
        <v>4.549302478684969E-2</v>
      </c>
      <c r="L73" s="58">
        <f t="shared" si="6"/>
        <v>4.549302478684969E-2</v>
      </c>
      <c r="M73" s="10"/>
      <c r="N73" s="56">
        <v>364303</v>
      </c>
      <c r="O73" s="56">
        <v>37139</v>
      </c>
      <c r="P73" s="56">
        <v>65762</v>
      </c>
      <c r="R73" s="56">
        <f t="shared" si="7"/>
        <v>65762</v>
      </c>
      <c r="S73" s="56">
        <f t="shared" si="8"/>
        <v>0</v>
      </c>
      <c r="U73" s="16">
        <v>5.5235035002274557E-2</v>
      </c>
      <c r="V73" s="16">
        <v>3.7961073313342197E-2</v>
      </c>
      <c r="W73" s="56">
        <f t="shared" si="9"/>
        <v>2</v>
      </c>
      <c r="X73" s="56">
        <f t="shared" si="10"/>
        <v>3452.3398855802279</v>
      </c>
      <c r="Y73" s="56">
        <f t="shared" si="10"/>
        <v>357.80725265010386</v>
      </c>
      <c r="AA73" s="56">
        <f t="shared" si="22"/>
        <v>0</v>
      </c>
      <c r="AB73" s="56">
        <v>0</v>
      </c>
      <c r="AC73" s="56">
        <f t="shared" si="11"/>
        <v>0</v>
      </c>
      <c r="AE73" s="56">
        <v>0</v>
      </c>
      <c r="AF73" s="56">
        <f t="shared" si="12"/>
        <v>0</v>
      </c>
      <c r="AG73" s="56">
        <f t="shared" si="13"/>
        <v>0</v>
      </c>
      <c r="AI73" s="56">
        <f t="shared" si="14"/>
        <v>0</v>
      </c>
      <c r="AJ73" s="56">
        <f t="shared" si="15"/>
        <v>0</v>
      </c>
      <c r="AK73" s="56">
        <f t="shared" si="16"/>
        <v>0</v>
      </c>
      <c r="AM73" s="56">
        <f t="shared" si="17"/>
        <v>364303</v>
      </c>
      <c r="AN73" s="56">
        <f t="shared" si="18"/>
        <v>37139</v>
      </c>
      <c r="AO73" s="56">
        <f t="shared" si="19"/>
        <v>65762</v>
      </c>
      <c r="AP73" s="56"/>
      <c r="AQ73" s="56">
        <f t="shared" si="20"/>
        <v>467204</v>
      </c>
      <c r="AR73" s="1"/>
      <c r="AS73" s="56">
        <v>1390.0082827545659</v>
      </c>
      <c r="AT73" s="56">
        <v>141.70489294137525</v>
      </c>
      <c r="AU73" s="56">
        <v>250.9167497673798</v>
      </c>
      <c r="AV73" s="56"/>
      <c r="AW73" s="56">
        <v>1782.6299254633209</v>
      </c>
      <c r="AX73" s="1"/>
      <c r="AY73" s="16">
        <v>5.5235035002274557E-2</v>
      </c>
      <c r="AZ73" s="16">
        <v>3.7961073313342197E-2</v>
      </c>
      <c r="BA73" s="16">
        <v>-1.4822585582925374E-3</v>
      </c>
      <c r="BB73" s="16">
        <f t="shared" si="21"/>
        <v>4.549302478684969E-2</v>
      </c>
      <c r="BC73" s="16"/>
      <c r="BD73" s="1"/>
      <c r="BE73" s="16">
        <f>AM73/'2017-18 disagg'!AM73-1</f>
        <v>1.5948843227807208E-2</v>
      </c>
      <c r="BF73" s="16">
        <f>AN73/'2017-18 disagg'!AN73-1</f>
        <v>1.9070354516518506E-2</v>
      </c>
      <c r="BG73" s="16">
        <f>AO73/'2017-18 disagg'!AO73-1</f>
        <v>4.1081577405923886E-2</v>
      </c>
      <c r="BH73" s="16">
        <f>AQ73/'2017-18 disagg'!AQ73-1</f>
        <v>1.9661934329270325E-2</v>
      </c>
      <c r="BI73" s="1"/>
      <c r="BJ73" s="16">
        <f>AS73/'2017-18 disagg'!AS73-1</f>
        <v>1.225222348943622E-2</v>
      </c>
      <c r="BK73" s="16">
        <f>AT73/'2017-18 disagg'!AT73-1</f>
        <v>1.5362376883190088E-2</v>
      </c>
      <c r="BL73" s="16">
        <f>AU73/'2017-18 disagg'!AU73-1</f>
        <v>3.7293509990968143E-2</v>
      </c>
      <c r="BM73" s="16">
        <f>AW73/'2017-18 disagg'!AW73-1</f>
        <v>1.595180418046116E-2</v>
      </c>
    </row>
    <row r="74" spans="1:65" x14ac:dyDescent="0.2">
      <c r="A74" s="156" t="s">
        <v>193</v>
      </c>
      <c r="B74" s="156" t="s">
        <v>194</v>
      </c>
      <c r="D74" s="56">
        <f>VLOOKUP(A74,'2018-19'!$A$12:$AMX282,32,FALSE)</f>
        <v>206416</v>
      </c>
      <c r="E74" s="56">
        <v>1729.6651733306649</v>
      </c>
      <c r="F74" s="16">
        <f>VLOOKUP(A74,'2018-19'!$A$12:$AMX282,34,FALSE)</f>
        <v>2.2109323548781701E-2</v>
      </c>
      <c r="G74" s="16">
        <f>VLOOKUP(A74,'2018-19'!$A$12:$AMX282,35,FALSE)</f>
        <v>2.0734128913855399E-2</v>
      </c>
      <c r="H74" s="56"/>
      <c r="I74" s="56">
        <v>202600.56395011017</v>
      </c>
      <c r="J74" s="56">
        <v>1697.6936844123409</v>
      </c>
      <c r="K74" s="16">
        <f t="shared" si="6"/>
        <v>1.8832307154038164E-2</v>
      </c>
      <c r="L74" s="58">
        <f t="shared" si="6"/>
        <v>1.8832307154038164E-2</v>
      </c>
      <c r="M74" s="10"/>
      <c r="N74" s="56">
        <v>164482</v>
      </c>
      <c r="O74" s="56">
        <v>16472</v>
      </c>
      <c r="P74" s="56">
        <v>25462</v>
      </c>
      <c r="R74" s="56">
        <f t="shared" si="7"/>
        <v>25462</v>
      </c>
      <c r="S74" s="56">
        <f t="shared" si="8"/>
        <v>0</v>
      </c>
      <c r="U74" s="16">
        <v>2.242062079795204E-2</v>
      </c>
      <c r="V74" s="16">
        <v>-3.0083906748810119E-3</v>
      </c>
      <c r="W74" s="56">
        <f t="shared" si="9"/>
        <v>3</v>
      </c>
      <c r="X74" s="56">
        <f t="shared" si="10"/>
        <v>1608.750808171586</v>
      </c>
      <c r="Y74" s="56">
        <f t="shared" si="10"/>
        <v>165.21703739462947</v>
      </c>
      <c r="AA74" s="56">
        <f t="shared" si="22"/>
        <v>0</v>
      </c>
      <c r="AB74" s="56">
        <v>0</v>
      </c>
      <c r="AC74" s="56">
        <f t="shared" si="11"/>
        <v>0</v>
      </c>
      <c r="AE74" s="56">
        <v>0</v>
      </c>
      <c r="AF74" s="56">
        <f t="shared" si="12"/>
        <v>0</v>
      </c>
      <c r="AG74" s="56">
        <f t="shared" si="13"/>
        <v>0</v>
      </c>
      <c r="AI74" s="56">
        <f t="shared" si="14"/>
        <v>0</v>
      </c>
      <c r="AJ74" s="56">
        <f t="shared" si="15"/>
        <v>0</v>
      </c>
      <c r="AK74" s="56">
        <f t="shared" si="16"/>
        <v>0</v>
      </c>
      <c r="AM74" s="56">
        <f t="shared" si="17"/>
        <v>164482</v>
      </c>
      <c r="AN74" s="56">
        <f t="shared" si="18"/>
        <v>16472</v>
      </c>
      <c r="AO74" s="56">
        <f t="shared" si="19"/>
        <v>25462</v>
      </c>
      <c r="AP74" s="56"/>
      <c r="AQ74" s="56">
        <f t="shared" si="20"/>
        <v>206416</v>
      </c>
      <c r="AR74" s="1"/>
      <c r="AS74" s="56">
        <v>1378.278752808767</v>
      </c>
      <c r="AT74" s="56">
        <v>138.02730764622274</v>
      </c>
      <c r="AU74" s="56">
        <v>213.35911287567529</v>
      </c>
      <c r="AV74" s="56"/>
      <c r="AW74" s="56">
        <v>1729.6651733306649</v>
      </c>
      <c r="AX74" s="1"/>
      <c r="AY74" s="16">
        <v>2.242062079795204E-2</v>
      </c>
      <c r="AZ74" s="16">
        <v>-3.0083906748810119E-3</v>
      </c>
      <c r="BA74" s="16">
        <v>1.0245312914383353E-2</v>
      </c>
      <c r="BB74" s="16">
        <f t="shared" si="21"/>
        <v>1.8832307154038164E-2</v>
      </c>
      <c r="BC74" s="16"/>
      <c r="BD74" s="1"/>
      <c r="BE74" s="16">
        <f>AM74/'2017-18 disagg'!AM74-1</f>
        <v>1.9866317786678911E-2</v>
      </c>
      <c r="BF74" s="16">
        <f>AN74/'2017-18 disagg'!AN74-1</f>
        <v>1.9306930693069324E-2</v>
      </c>
      <c r="BG74" s="16">
        <f>AO74/'2017-18 disagg'!AO74-1</f>
        <v>3.8714151674621666E-2</v>
      </c>
      <c r="BH74" s="16">
        <f>AQ74/'2017-18 disagg'!AQ74-1</f>
        <v>2.2109323548781701E-2</v>
      </c>
      <c r="BI74" s="1"/>
      <c r="BJ74" s="16">
        <f>AS74/'2017-18 disagg'!AS74-1</f>
        <v>1.8494140998688513E-2</v>
      </c>
      <c r="BK74" s="16">
        <f>AT74/'2017-18 disagg'!AT74-1</f>
        <v>1.7935506531155498E-2</v>
      </c>
      <c r="BL74" s="16">
        <f>AU74/'2017-18 disagg'!AU74-1</f>
        <v>3.7316616111942924E-2</v>
      </c>
      <c r="BM74" s="16">
        <f>AW74/'2017-18 disagg'!AW74-1</f>
        <v>2.0734128913855399E-2</v>
      </c>
    </row>
    <row r="75" spans="1:65" x14ac:dyDescent="0.2">
      <c r="A75" s="156" t="s">
        <v>195</v>
      </c>
      <c r="B75" s="156" t="s">
        <v>196</v>
      </c>
      <c r="D75" s="56">
        <f>VLOOKUP(A75,'2018-19'!$A$12:$AMX283,32,FALSE)</f>
        <v>1034819</v>
      </c>
      <c r="E75" s="56">
        <v>1739.4849528646193</v>
      </c>
      <c r="F75" s="16">
        <f>VLOOKUP(A75,'2018-19'!$A$12:$AMX283,34,FALSE)</f>
        <v>2.2154505674690572E-2</v>
      </c>
      <c r="G75" s="16">
        <f>VLOOKUP(A75,'2018-19'!$A$12:$AMX283,35,FALSE)</f>
        <v>1.6597859865467246E-2</v>
      </c>
      <c r="H75" s="56"/>
      <c r="I75" s="56">
        <v>976093.44713711226</v>
      </c>
      <c r="J75" s="56">
        <v>1640.7698968464665</v>
      </c>
      <c r="K75" s="16">
        <f t="shared" si="6"/>
        <v>6.0163863444765653E-2</v>
      </c>
      <c r="L75" s="58">
        <f t="shared" si="6"/>
        <v>6.0163863444765431E-2</v>
      </c>
      <c r="M75" s="10"/>
      <c r="N75" s="56">
        <v>761852</v>
      </c>
      <c r="O75" s="56">
        <v>77591</v>
      </c>
      <c r="P75" s="56">
        <v>195376</v>
      </c>
      <c r="R75" s="56">
        <f t="shared" si="7"/>
        <v>195376</v>
      </c>
      <c r="S75" s="56">
        <f t="shared" si="8"/>
        <v>0</v>
      </c>
      <c r="U75" s="16">
        <v>5.3242284968333831E-2</v>
      </c>
      <c r="V75" s="16">
        <v>-2.0026924135155277E-2</v>
      </c>
      <c r="W75" s="56">
        <f t="shared" si="9"/>
        <v>3</v>
      </c>
      <c r="X75" s="56">
        <f t="shared" si="10"/>
        <v>7233.3973946261131</v>
      </c>
      <c r="Y75" s="56">
        <f t="shared" si="10"/>
        <v>791.76665064521774</v>
      </c>
      <c r="AA75" s="56">
        <f t="shared" si="22"/>
        <v>0</v>
      </c>
      <c r="AB75" s="56">
        <v>0</v>
      </c>
      <c r="AC75" s="56">
        <f t="shared" si="11"/>
        <v>0</v>
      </c>
      <c r="AE75" s="56">
        <v>0</v>
      </c>
      <c r="AF75" s="56">
        <f t="shared" si="12"/>
        <v>0</v>
      </c>
      <c r="AG75" s="56">
        <f t="shared" si="13"/>
        <v>0</v>
      </c>
      <c r="AI75" s="56">
        <f t="shared" si="14"/>
        <v>0</v>
      </c>
      <c r="AJ75" s="56">
        <f t="shared" si="15"/>
        <v>0</v>
      </c>
      <c r="AK75" s="56">
        <f t="shared" si="16"/>
        <v>0</v>
      </c>
      <c r="AM75" s="56">
        <f t="shared" si="17"/>
        <v>761852</v>
      </c>
      <c r="AN75" s="56">
        <f t="shared" si="18"/>
        <v>77591</v>
      </c>
      <c r="AO75" s="56">
        <f t="shared" si="19"/>
        <v>195376</v>
      </c>
      <c r="AP75" s="56"/>
      <c r="AQ75" s="56">
        <f t="shared" si="20"/>
        <v>1034819</v>
      </c>
      <c r="AR75" s="1"/>
      <c r="AS75" s="56">
        <v>1280.6395034395541</v>
      </c>
      <c r="AT75" s="56">
        <v>130.4270379435618</v>
      </c>
      <c r="AU75" s="56">
        <v>328.41841148150343</v>
      </c>
      <c r="AV75" s="56"/>
      <c r="AW75" s="56">
        <v>1739.4849528646193</v>
      </c>
      <c r="AX75" s="1"/>
      <c r="AY75" s="16">
        <v>5.3242284968333831E-2</v>
      </c>
      <c r="AZ75" s="16">
        <v>-2.0026924135155277E-2</v>
      </c>
      <c r="BA75" s="16">
        <v>0.12558663900618572</v>
      </c>
      <c r="BB75" s="16">
        <f t="shared" si="21"/>
        <v>6.0163863444765653E-2</v>
      </c>
      <c r="BC75" s="16"/>
      <c r="BD75" s="1"/>
      <c r="BE75" s="16">
        <f>AM75/'2017-18 disagg'!AM75-1</f>
        <v>1.7239008146169077E-2</v>
      </c>
      <c r="BF75" s="16">
        <f>AN75/'2017-18 disagg'!AN75-1</f>
        <v>1.9297969049683505E-2</v>
      </c>
      <c r="BG75" s="16">
        <f>AO75/'2017-18 disagg'!AO75-1</f>
        <v>4.2967644813614703E-2</v>
      </c>
      <c r="BH75" s="16">
        <f>AQ75/'2017-18 disagg'!AQ75-1</f>
        <v>2.2154505674690572E-2</v>
      </c>
      <c r="BI75" s="1"/>
      <c r="BJ75" s="16">
        <f>AS75/'2017-18 disagg'!AS75-1</f>
        <v>1.1709084010225412E-2</v>
      </c>
      <c r="BK75" s="16">
        <f>AT75/'2017-18 disagg'!AT75-1</f>
        <v>1.3756851971369333E-2</v>
      </c>
      <c r="BL75" s="16">
        <f>AU75/'2017-18 disagg'!AU75-1</f>
        <v>3.7297854424261034E-2</v>
      </c>
      <c r="BM75" s="16">
        <f>AW75/'2017-18 disagg'!AW75-1</f>
        <v>1.6597859865467246E-2</v>
      </c>
    </row>
    <row r="76" spans="1:65" x14ac:dyDescent="0.2">
      <c r="A76" s="156" t="s">
        <v>197</v>
      </c>
      <c r="B76" s="156" t="s">
        <v>198</v>
      </c>
      <c r="D76" s="56">
        <f>VLOOKUP(A76,'2018-19'!$A$12:$AMX284,32,FALSE)</f>
        <v>529621</v>
      </c>
      <c r="E76" s="56">
        <v>1475.6088473996647</v>
      </c>
      <c r="F76" s="16">
        <f>VLOOKUP(A76,'2018-19'!$A$12:$AMX284,34,FALSE)</f>
        <v>2.406733517152837E-2</v>
      </c>
      <c r="G76" s="16">
        <f>VLOOKUP(A76,'2018-19'!$A$12:$AMX284,35,FALSE)</f>
        <v>1.7745453524335764E-2</v>
      </c>
      <c r="H76" s="56"/>
      <c r="I76" s="56">
        <v>520269.03227291268</v>
      </c>
      <c r="J76" s="56">
        <v>1449.552768961147</v>
      </c>
      <c r="K76" s="16">
        <f t="shared" si="6"/>
        <v>1.7975253468827779E-2</v>
      </c>
      <c r="L76" s="58">
        <f t="shared" si="6"/>
        <v>1.7975253468827779E-2</v>
      </c>
      <c r="M76" s="10"/>
      <c r="N76" s="56">
        <v>409907</v>
      </c>
      <c r="O76" s="56">
        <v>42065</v>
      </c>
      <c r="P76" s="56">
        <v>77649</v>
      </c>
      <c r="R76" s="56">
        <f t="shared" si="7"/>
        <v>77649</v>
      </c>
      <c r="S76" s="56">
        <f t="shared" si="8"/>
        <v>0</v>
      </c>
      <c r="U76" s="16">
        <v>2.0564317409355937E-2</v>
      </c>
      <c r="V76" s="16">
        <v>-4.8502115074147811E-2</v>
      </c>
      <c r="W76" s="56">
        <f t="shared" si="9"/>
        <v>3</v>
      </c>
      <c r="X76" s="56">
        <f t="shared" si="10"/>
        <v>4016.4739547285508</v>
      </c>
      <c r="Y76" s="56">
        <f t="shared" si="10"/>
        <v>442.09241729715473</v>
      </c>
      <c r="AA76" s="56">
        <f t="shared" si="22"/>
        <v>0</v>
      </c>
      <c r="AB76" s="56">
        <v>0</v>
      </c>
      <c r="AC76" s="56">
        <f t="shared" si="11"/>
        <v>0</v>
      </c>
      <c r="AE76" s="56">
        <v>0</v>
      </c>
      <c r="AF76" s="56">
        <f t="shared" si="12"/>
        <v>0</v>
      </c>
      <c r="AG76" s="56">
        <f t="shared" si="13"/>
        <v>0</v>
      </c>
      <c r="AI76" s="56">
        <f t="shared" si="14"/>
        <v>0</v>
      </c>
      <c r="AJ76" s="56">
        <f t="shared" si="15"/>
        <v>0</v>
      </c>
      <c r="AK76" s="56">
        <f t="shared" si="16"/>
        <v>0</v>
      </c>
      <c r="AM76" s="56">
        <f t="shared" si="17"/>
        <v>409907</v>
      </c>
      <c r="AN76" s="56">
        <f t="shared" si="18"/>
        <v>42065</v>
      </c>
      <c r="AO76" s="56">
        <f t="shared" si="19"/>
        <v>77649</v>
      </c>
      <c r="AP76" s="56"/>
      <c r="AQ76" s="56">
        <f t="shared" si="20"/>
        <v>529621</v>
      </c>
      <c r="AR76" s="1"/>
      <c r="AS76" s="56">
        <v>1142.0664886986249</v>
      </c>
      <c r="AT76" s="56">
        <v>117.1998205619998</v>
      </c>
      <c r="AU76" s="56">
        <v>216.3425381390401</v>
      </c>
      <c r="AV76" s="56"/>
      <c r="AW76" s="56">
        <v>1475.6088473996647</v>
      </c>
      <c r="AX76" s="1"/>
      <c r="AY76" s="16">
        <v>2.0564317409355937E-2</v>
      </c>
      <c r="AZ76" s="16">
        <v>-4.8502115074147811E-2</v>
      </c>
      <c r="BA76" s="16">
        <v>4.3495508061504262E-2</v>
      </c>
      <c r="BB76" s="16">
        <f t="shared" si="21"/>
        <v>1.7975253468827779E-2</v>
      </c>
      <c r="BC76" s="16"/>
      <c r="BD76" s="1"/>
      <c r="BE76" s="16">
        <f>AM76/'2017-18 disagg'!AM76-1</f>
        <v>1.9869576359533347E-2</v>
      </c>
      <c r="BF76" s="16">
        <f>AN76/'2017-18 disagg'!AN76-1</f>
        <v>2.9541338293602282E-2</v>
      </c>
      <c r="BG76" s="16">
        <f>AO76/'2017-18 disagg'!AO76-1</f>
        <v>4.3739498622219264E-2</v>
      </c>
      <c r="BH76" s="16">
        <f>AQ76/'2017-18 disagg'!AQ76-1</f>
        <v>2.406733517152837E-2</v>
      </c>
      <c r="BI76" s="1"/>
      <c r="BJ76" s="16">
        <f>AS76/'2017-18 disagg'!AS76-1</f>
        <v>1.3573608764553713E-2</v>
      </c>
      <c r="BK76" s="16">
        <f>AT76/'2017-18 disagg'!AT76-1</f>
        <v>2.3185663946764468E-2</v>
      </c>
      <c r="BL76" s="16">
        <f>AU76/'2017-18 disagg'!AU76-1</f>
        <v>3.7296174678404181E-2</v>
      </c>
      <c r="BM76" s="16">
        <f>AW76/'2017-18 disagg'!AW76-1</f>
        <v>1.7745453524335764E-2</v>
      </c>
    </row>
    <row r="77" spans="1:65" x14ac:dyDescent="0.2">
      <c r="A77" s="156" t="s">
        <v>199</v>
      </c>
      <c r="B77" s="156" t="s">
        <v>200</v>
      </c>
      <c r="D77" s="56">
        <f>VLOOKUP(A77,'2018-19'!$A$12:$AMX285,32,FALSE)</f>
        <v>652558</v>
      </c>
      <c r="E77" s="56">
        <v>1768.4898005761886</v>
      </c>
      <c r="F77" s="16">
        <f>VLOOKUP(A77,'2018-19'!$A$12:$AMX285,34,FALSE)</f>
        <v>2.199001749366114E-2</v>
      </c>
      <c r="G77" s="16">
        <f>VLOOKUP(A77,'2018-19'!$A$12:$AMX285,35,FALSE)</f>
        <v>1.6674444191545401E-2</v>
      </c>
      <c r="H77" s="56"/>
      <c r="I77" s="56">
        <v>630227.94969620218</v>
      </c>
      <c r="J77" s="56">
        <v>1707.9733925195567</v>
      </c>
      <c r="K77" s="16">
        <f t="shared" ref="K77:L140" si="23">D77/I77-1</f>
        <v>3.543170421838937E-2</v>
      </c>
      <c r="L77" s="58">
        <f t="shared" si="23"/>
        <v>3.543170421838937E-2</v>
      </c>
      <c r="M77" s="10"/>
      <c r="N77" s="56">
        <v>508510</v>
      </c>
      <c r="O77" s="56">
        <v>56883</v>
      </c>
      <c r="P77" s="56">
        <v>87165</v>
      </c>
      <c r="R77" s="56">
        <f t="shared" ref="R77:R140" si="24">ROUND(P77,0)</f>
        <v>87165</v>
      </c>
      <c r="S77" s="56">
        <f t="shared" ref="S77:S140" si="25">D77-SUM(N77:P77)</f>
        <v>0</v>
      </c>
      <c r="U77" s="16">
        <v>2.6649852408134223E-2</v>
      </c>
      <c r="V77" s="16">
        <v>0.13948534334780693</v>
      </c>
      <c r="W77" s="56">
        <f t="shared" ref="W77:W140" si="26">IF(AND(U77&lt;0,V77&gt;0),1,IF(AND(U77&gt;0,V77&gt;0),2,IF(AND(U77&gt;0,V77&lt;0),3,IF(AND(U77&lt;0,V77&lt;0),4,5))))</f>
        <v>2</v>
      </c>
      <c r="X77" s="56">
        <f t="shared" ref="X77:Y140" si="27">N77/(1+U77)/100</f>
        <v>4953.1006000461293</v>
      </c>
      <c r="Y77" s="56">
        <f t="shared" si="27"/>
        <v>499.19904922057003</v>
      </c>
      <c r="AA77" s="56">
        <f t="shared" si="22"/>
        <v>0</v>
      </c>
      <c r="AB77" s="56">
        <v>0</v>
      </c>
      <c r="AC77" s="56">
        <f t="shared" ref="AC77:AC140" si="28">S77-AA77-AB77</f>
        <v>0</v>
      </c>
      <c r="AE77" s="56">
        <v>0</v>
      </c>
      <c r="AF77" s="56">
        <f t="shared" ref="AF77:AF140" si="29">IF(W77=3,MIN(S77,-1*V77*O77),0)</f>
        <v>0</v>
      </c>
      <c r="AG77" s="56">
        <f t="shared" ref="AG77:AG140" si="30">AC77-AE77-AF77</f>
        <v>0</v>
      </c>
      <c r="AI77" s="56">
        <f t="shared" ref="AI77:AI140" si="31">AG77*X77/(X77+Y77)</f>
        <v>0</v>
      </c>
      <c r="AJ77" s="56">
        <f t="shared" ref="AJ77:AJ140" si="32">AG77*Y77/(X77+Y77)</f>
        <v>0</v>
      </c>
      <c r="AK77" s="56">
        <f t="shared" ref="AK77:AK140" si="33">S77-SUM(AA77:AB77)-SUM(AE77:AF77)-SUM(AI77:AJ77)</f>
        <v>0</v>
      </c>
      <c r="AM77" s="56">
        <f t="shared" ref="AM77:AM140" si="34">ROUND(N77+AA77+AE77+AI77,0)</f>
        <v>508510</v>
      </c>
      <c r="AN77" s="56">
        <f t="shared" ref="AN77:AN140" si="35">ROUND(O77+AB77+AF77+AJ77,0)</f>
        <v>56883</v>
      </c>
      <c r="AO77" s="56">
        <f t="shared" ref="AO77:AO140" si="36">R77</f>
        <v>87165</v>
      </c>
      <c r="AP77" s="56"/>
      <c r="AQ77" s="56">
        <f t="shared" ref="AQ77:AQ140" si="37">SUM(AM77:AP77)</f>
        <v>652558</v>
      </c>
      <c r="AR77" s="1"/>
      <c r="AS77" s="56">
        <v>1378.1070012029547</v>
      </c>
      <c r="AT77" s="56">
        <v>154.15795274316665</v>
      </c>
      <c r="AU77" s="56">
        <v>236.22484663006733</v>
      </c>
      <c r="AV77" s="56"/>
      <c r="AW77" s="56">
        <v>1768.4898005761886</v>
      </c>
      <c r="AX77" s="1"/>
      <c r="AY77" s="16">
        <v>2.6649852408134223E-2</v>
      </c>
      <c r="AZ77" s="16">
        <v>0.13948534334780693</v>
      </c>
      <c r="BA77" s="16">
        <v>2.5494901277289816E-2</v>
      </c>
      <c r="BB77" s="16">
        <f t="shared" ref="BB77:BB140" si="38">SUM(AM77:AO77)/I77-1</f>
        <v>3.543170421838937E-2</v>
      </c>
      <c r="BC77" s="16"/>
      <c r="BD77" s="1"/>
      <c r="BE77" s="16">
        <f>AM77/'2017-18 disagg'!AM77-1</f>
        <v>1.9869515426100604E-2</v>
      </c>
      <c r="BF77" s="16">
        <f>AN77/'2017-18 disagg'!AN77-1</f>
        <v>9.9964488636363757E-3</v>
      </c>
      <c r="BG77" s="16">
        <f>AO77/'2017-18 disagg'!AO77-1</f>
        <v>4.2718376917003642E-2</v>
      </c>
      <c r="BH77" s="16">
        <f>AQ77/'2017-18 disagg'!AQ77-1</f>
        <v>2.199001749366114E-2</v>
      </c>
      <c r="BI77" s="1"/>
      <c r="BJ77" s="16">
        <f>AS77/'2017-18 disagg'!AS77-1</f>
        <v>1.4564971276896932E-2</v>
      </c>
      <c r="BK77" s="16">
        <f>AT77/'2017-18 disagg'!AT77-1</f>
        <v>4.7432564968679092E-3</v>
      </c>
      <c r="BL77" s="16">
        <f>AU77/'2017-18 disagg'!AU77-1</f>
        <v>3.7294991295725E-2</v>
      </c>
      <c r="BM77" s="16">
        <f>AW77/'2017-18 disagg'!AW77-1</f>
        <v>1.6674444191545401E-2</v>
      </c>
    </row>
    <row r="78" spans="1:65" x14ac:dyDescent="0.2">
      <c r="A78" s="156" t="s">
        <v>201</v>
      </c>
      <c r="B78" s="156" t="s">
        <v>202</v>
      </c>
      <c r="D78" s="56">
        <f>VLOOKUP(A78,'2018-19'!$A$12:$AMX286,32,FALSE)</f>
        <v>1290612</v>
      </c>
      <c r="E78" s="56">
        <v>1759.7022165192629</v>
      </c>
      <c r="F78" s="16">
        <f>VLOOKUP(A78,'2018-19'!$A$12:$AMX286,34,FALSE)</f>
        <v>2.6071318687346912E-2</v>
      </c>
      <c r="G78" s="16">
        <f>VLOOKUP(A78,'2018-19'!$A$12:$AMX286,35,FALSE)</f>
        <v>1.8637091770731251E-2</v>
      </c>
      <c r="H78" s="56"/>
      <c r="I78" s="56">
        <v>1290996.740829393</v>
      </c>
      <c r="J78" s="56">
        <v>1760.226796555919</v>
      </c>
      <c r="K78" s="16">
        <f t="shared" si="23"/>
        <v>-2.9801843585275378E-4</v>
      </c>
      <c r="L78" s="58">
        <f t="shared" si="23"/>
        <v>-2.9801843585297583E-4</v>
      </c>
      <c r="M78" s="10"/>
      <c r="N78" s="56">
        <v>932469</v>
      </c>
      <c r="O78" s="56">
        <v>98968</v>
      </c>
      <c r="P78" s="56">
        <v>259175</v>
      </c>
      <c r="R78" s="56">
        <f t="shared" si="24"/>
        <v>259175</v>
      </c>
      <c r="S78" s="56">
        <f t="shared" si="25"/>
        <v>0</v>
      </c>
      <c r="U78" s="16">
        <v>-1.1002184838156182E-2</v>
      </c>
      <c r="V78" s="16">
        <v>-4.8906601452299081E-2</v>
      </c>
      <c r="W78" s="56">
        <f t="shared" si="26"/>
        <v>4</v>
      </c>
      <c r="X78" s="56">
        <f t="shared" si="27"/>
        <v>9428.423255388152</v>
      </c>
      <c r="Y78" s="56">
        <f t="shared" si="27"/>
        <v>1040.570780441984</v>
      </c>
      <c r="AA78" s="56">
        <f t="shared" ref="AA78:AA141" si="39">IF(W78=1,MIN(S78,-1*U78*N78),0)</f>
        <v>0</v>
      </c>
      <c r="AB78" s="56">
        <v>0</v>
      </c>
      <c r="AC78" s="56">
        <f t="shared" si="28"/>
        <v>0</v>
      </c>
      <c r="AE78" s="56">
        <v>0</v>
      </c>
      <c r="AF78" s="56">
        <f t="shared" si="29"/>
        <v>0</v>
      </c>
      <c r="AG78" s="56">
        <f t="shared" si="30"/>
        <v>0</v>
      </c>
      <c r="AI78" s="56">
        <f t="shared" si="31"/>
        <v>0</v>
      </c>
      <c r="AJ78" s="56">
        <f t="shared" si="32"/>
        <v>0</v>
      </c>
      <c r="AK78" s="56">
        <f t="shared" si="33"/>
        <v>0</v>
      </c>
      <c r="AM78" s="56">
        <f t="shared" si="34"/>
        <v>932469</v>
      </c>
      <c r="AN78" s="56">
        <f t="shared" si="35"/>
        <v>98968</v>
      </c>
      <c r="AO78" s="56">
        <f t="shared" si="36"/>
        <v>259175</v>
      </c>
      <c r="AP78" s="56"/>
      <c r="AQ78" s="56">
        <f t="shared" si="37"/>
        <v>1290612</v>
      </c>
      <c r="AR78" s="1"/>
      <c r="AS78" s="56">
        <v>1271.3873465731767</v>
      </c>
      <c r="AT78" s="56">
        <v>134.93924507480051</v>
      </c>
      <c r="AU78" s="56">
        <v>353.37562487128588</v>
      </c>
      <c r="AV78" s="56"/>
      <c r="AW78" s="56">
        <v>1759.7022165192629</v>
      </c>
      <c r="AX78" s="1"/>
      <c r="AY78" s="16">
        <v>-1.1002184838156182E-2</v>
      </c>
      <c r="AZ78" s="16">
        <v>-4.8906601452299081E-2</v>
      </c>
      <c r="BA78" s="16">
        <v>6.1769058703011526E-2</v>
      </c>
      <c r="BB78" s="16">
        <f t="shared" si="38"/>
        <v>-2.9801843585275378E-4</v>
      </c>
      <c r="BC78" s="16"/>
      <c r="BD78" s="1"/>
      <c r="BE78" s="16">
        <f>AM78/'2017-18 disagg'!AM78-1</f>
        <v>1.9868686857639206E-2</v>
      </c>
      <c r="BF78" s="16">
        <f>AN78/'2017-18 disagg'!AN78-1</f>
        <v>3.662892396644013E-2</v>
      </c>
      <c r="BG78" s="16">
        <f>AO78/'2017-18 disagg'!AO78-1</f>
        <v>4.4870890362635807E-2</v>
      </c>
      <c r="BH78" s="16">
        <f>AQ78/'2017-18 disagg'!AQ78-1</f>
        <v>2.6071318687346912E-2</v>
      </c>
      <c r="BI78" s="1"/>
      <c r="BJ78" s="16">
        <f>AS78/'2017-18 disagg'!AS78-1</f>
        <v>1.2479400065225743E-2</v>
      </c>
      <c r="BK78" s="16">
        <f>AT78/'2017-18 disagg'!AT78-1</f>
        <v>2.9118203699010303E-2</v>
      </c>
      <c r="BL78" s="16">
        <f>AU78/'2017-18 disagg'!AU78-1</f>
        <v>3.7300454315890574E-2</v>
      </c>
      <c r="BM78" s="16">
        <f>AW78/'2017-18 disagg'!AW78-1</f>
        <v>1.8637091770731251E-2</v>
      </c>
    </row>
    <row r="79" spans="1:65" x14ac:dyDescent="0.2">
      <c r="A79" s="156" t="s">
        <v>203</v>
      </c>
      <c r="B79" s="156" t="s">
        <v>204</v>
      </c>
      <c r="D79" s="56">
        <f>VLOOKUP(A79,'2018-19'!$A$12:$AMX287,32,FALSE)</f>
        <v>495432.83165781351</v>
      </c>
      <c r="E79" s="56">
        <v>1654.1448516018795</v>
      </c>
      <c r="F79" s="16">
        <f>VLOOKUP(A79,'2018-19'!$A$12:$AMX287,34,FALSE)</f>
        <v>2.5375708149092846E-2</v>
      </c>
      <c r="G79" s="16">
        <f>VLOOKUP(A79,'2018-19'!$A$12:$AMX287,35,FALSE)</f>
        <v>1.8344955395243501E-2</v>
      </c>
      <c r="H79" s="56"/>
      <c r="I79" s="56">
        <v>505974.75300099154</v>
      </c>
      <c r="J79" s="56">
        <v>1689.3420848119988</v>
      </c>
      <c r="K79" s="16">
        <f t="shared" si="23"/>
        <v>-2.083487620805724E-2</v>
      </c>
      <c r="L79" s="58">
        <f t="shared" si="23"/>
        <v>-2.083487620805724E-2</v>
      </c>
      <c r="M79" s="10"/>
      <c r="N79" s="56">
        <v>355299</v>
      </c>
      <c r="O79" s="56">
        <v>40948</v>
      </c>
      <c r="P79" s="56">
        <v>98829</v>
      </c>
      <c r="R79" s="56">
        <f t="shared" si="24"/>
        <v>98829</v>
      </c>
      <c r="S79" s="56">
        <f t="shared" si="25"/>
        <v>356.83165781351272</v>
      </c>
      <c r="U79" s="16">
        <v>-3.7037512421374097E-2</v>
      </c>
      <c r="V79" s="16">
        <v>-1.8868740474394019E-2</v>
      </c>
      <c r="W79" s="56">
        <f t="shared" si="26"/>
        <v>4</v>
      </c>
      <c r="X79" s="56">
        <f t="shared" si="27"/>
        <v>3689.6452829995605</v>
      </c>
      <c r="Y79" s="56">
        <f t="shared" si="27"/>
        <v>417.35496247259584</v>
      </c>
      <c r="AA79" s="56">
        <f t="shared" si="39"/>
        <v>0</v>
      </c>
      <c r="AB79" s="56">
        <v>0</v>
      </c>
      <c r="AC79" s="56">
        <f t="shared" si="28"/>
        <v>356.83165781351272</v>
      </c>
      <c r="AE79" s="56">
        <v>0</v>
      </c>
      <c r="AF79" s="56">
        <f t="shared" si="29"/>
        <v>0</v>
      </c>
      <c r="AG79" s="56">
        <f t="shared" si="30"/>
        <v>356.83165781351272</v>
      </c>
      <c r="AI79" s="56">
        <f t="shared" si="31"/>
        <v>320.57028594727569</v>
      </c>
      <c r="AJ79" s="56">
        <f t="shared" si="32"/>
        <v>36.261371866237063</v>
      </c>
      <c r="AK79" s="56">
        <f t="shared" si="33"/>
        <v>0</v>
      </c>
      <c r="AM79" s="56">
        <f t="shared" si="34"/>
        <v>355620</v>
      </c>
      <c r="AN79" s="56">
        <f t="shared" si="35"/>
        <v>40984</v>
      </c>
      <c r="AO79" s="56">
        <f t="shared" si="36"/>
        <v>98829</v>
      </c>
      <c r="AP79" s="56"/>
      <c r="AQ79" s="56">
        <f t="shared" si="37"/>
        <v>495433</v>
      </c>
      <c r="AR79" s="1"/>
      <c r="AS79" s="56">
        <v>1187.339543401419</v>
      </c>
      <c r="AT79" s="56">
        <v>136.83685913830425</v>
      </c>
      <c r="AU79" s="56">
        <v>329.96901112091234</v>
      </c>
      <c r="AV79" s="56"/>
      <c r="AW79" s="56">
        <v>1654.1454136606355</v>
      </c>
      <c r="AX79" s="1"/>
      <c r="AY79" s="16">
        <v>-3.6167510089499477E-2</v>
      </c>
      <c r="AZ79" s="16">
        <v>-1.8006165370776706E-2</v>
      </c>
      <c r="BA79" s="16">
        <v>3.7305501720202416E-2</v>
      </c>
      <c r="BB79" s="16">
        <f t="shared" si="38"/>
        <v>-2.0834543499388514E-2</v>
      </c>
      <c r="BC79" s="16"/>
      <c r="BD79" s="1"/>
      <c r="BE79" s="16">
        <f>AM79/'2017-18 disagg'!AM79-1</f>
        <v>2.0790695137738791E-2</v>
      </c>
      <c r="BF79" s="16">
        <f>AN79/'2017-18 disagg'!AN79-1</f>
        <v>2.0187688248326063E-2</v>
      </c>
      <c r="BG79" s="16">
        <f>AO79/'2017-18 disagg'!AO79-1</f>
        <v>4.4461118978672998E-2</v>
      </c>
      <c r="BH79" s="16">
        <f>AQ79/'2017-18 disagg'!AQ79-1</f>
        <v>2.5376056559568871E-2</v>
      </c>
      <c r="BI79" s="1"/>
      <c r="BJ79" s="16">
        <f>AS79/'2017-18 disagg'!AS79-1</f>
        <v>1.3791380707032452E-2</v>
      </c>
      <c r="BK79" s="16">
        <f>AT79/'2017-18 disagg'!AT79-1</f>
        <v>1.3192508489735078E-2</v>
      </c>
      <c r="BL79" s="16">
        <f>AU79/'2017-18 disagg'!AU79-1</f>
        <v>3.7299502187688516E-2</v>
      </c>
      <c r="BM79" s="16">
        <f>AW79/'2017-18 disagg'!AW79-1</f>
        <v>1.8345301416753168E-2</v>
      </c>
    </row>
    <row r="80" spans="1:65" x14ac:dyDescent="0.2">
      <c r="A80" s="156" t="s">
        <v>205</v>
      </c>
      <c r="B80" s="156" t="s">
        <v>206</v>
      </c>
      <c r="D80" s="56">
        <f>VLOOKUP(A80,'2018-19'!$A$12:$AMX288,32,FALSE)</f>
        <v>219626</v>
      </c>
      <c r="E80" s="56">
        <v>1650.9916336882436</v>
      </c>
      <c r="F80" s="16">
        <f>VLOOKUP(A80,'2018-19'!$A$12:$AMX288,34,FALSE)</f>
        <v>2.2386496413226098E-2</v>
      </c>
      <c r="G80" s="16">
        <f>VLOOKUP(A80,'2018-19'!$A$12:$AMX288,35,FALSE)</f>
        <v>1.9248041134674265E-2</v>
      </c>
      <c r="H80" s="56"/>
      <c r="I80" s="56">
        <v>220999.97323597668</v>
      </c>
      <c r="J80" s="56">
        <v>1661.3201845770684</v>
      </c>
      <c r="K80" s="16">
        <f t="shared" si="23"/>
        <v>-6.2170742188715211E-3</v>
      </c>
      <c r="L80" s="58">
        <f t="shared" si="23"/>
        <v>-6.2170742188714101E-3</v>
      </c>
      <c r="M80" s="10"/>
      <c r="N80" s="56">
        <v>170850</v>
      </c>
      <c r="O80" s="56">
        <v>17906</v>
      </c>
      <c r="P80" s="56">
        <v>30870</v>
      </c>
      <c r="R80" s="56">
        <f t="shared" si="24"/>
        <v>30870</v>
      </c>
      <c r="S80" s="56">
        <f t="shared" si="25"/>
        <v>0</v>
      </c>
      <c r="U80" s="16">
        <v>-8.750232220041565E-3</v>
      </c>
      <c r="V80" s="16">
        <v>5.1511488820685347E-2</v>
      </c>
      <c r="W80" s="56">
        <f t="shared" si="26"/>
        <v>1</v>
      </c>
      <c r="X80" s="56">
        <f t="shared" si="27"/>
        <v>1723.5817404794184</v>
      </c>
      <c r="Y80" s="56">
        <f t="shared" si="27"/>
        <v>170.28820122623992</v>
      </c>
      <c r="AA80" s="56">
        <f t="shared" si="39"/>
        <v>0</v>
      </c>
      <c r="AB80" s="56">
        <v>0</v>
      </c>
      <c r="AC80" s="56">
        <f t="shared" si="28"/>
        <v>0</v>
      </c>
      <c r="AE80" s="56">
        <v>0</v>
      </c>
      <c r="AF80" s="56">
        <f t="shared" si="29"/>
        <v>0</v>
      </c>
      <c r="AG80" s="56">
        <f t="shared" si="30"/>
        <v>0</v>
      </c>
      <c r="AI80" s="56">
        <f t="shared" si="31"/>
        <v>0</v>
      </c>
      <c r="AJ80" s="56">
        <f t="shared" si="32"/>
        <v>0</v>
      </c>
      <c r="AK80" s="56">
        <f t="shared" si="33"/>
        <v>0</v>
      </c>
      <c r="AM80" s="56">
        <f t="shared" si="34"/>
        <v>170850</v>
      </c>
      <c r="AN80" s="56">
        <f t="shared" si="35"/>
        <v>17906</v>
      </c>
      <c r="AO80" s="56">
        <f t="shared" si="36"/>
        <v>30870</v>
      </c>
      <c r="AP80" s="56"/>
      <c r="AQ80" s="56">
        <f t="shared" si="37"/>
        <v>219626</v>
      </c>
      <c r="AR80" s="1"/>
      <c r="AS80" s="56">
        <v>1284.3284520759676</v>
      </c>
      <c r="AT80" s="56">
        <v>134.60453768142975</v>
      </c>
      <c r="AU80" s="56">
        <v>232.05864393084644</v>
      </c>
      <c r="AV80" s="56"/>
      <c r="AW80" s="56">
        <v>1650.9916336882436</v>
      </c>
      <c r="AX80" s="1"/>
      <c r="AY80" s="16">
        <v>-8.750232220041565E-3</v>
      </c>
      <c r="AZ80" s="16">
        <v>5.1511488820685347E-2</v>
      </c>
      <c r="BA80" s="16">
        <v>-2.350234262558859E-2</v>
      </c>
      <c r="BB80" s="16">
        <f t="shared" si="38"/>
        <v>-6.2170742188715211E-3</v>
      </c>
      <c r="BC80" s="16"/>
      <c r="BD80" s="1"/>
      <c r="BE80" s="16">
        <f>AM80/'2017-18 disagg'!AM80-1</f>
        <v>1.9866047444514701E-2</v>
      </c>
      <c r="BF80" s="16">
        <f>AN80/'2017-18 disagg'!AN80-1</f>
        <v>1.5885623510722757E-2</v>
      </c>
      <c r="BG80" s="16">
        <f>AO80/'2017-18 disagg'!AO80-1</f>
        <v>4.0479962250160151E-2</v>
      </c>
      <c r="BH80" s="16">
        <f>AQ80/'2017-18 disagg'!AQ80-1</f>
        <v>2.2386496413226098E-2</v>
      </c>
      <c r="BI80" s="1"/>
      <c r="BJ80" s="16">
        <f>AS80/'2017-18 disagg'!AS80-1</f>
        <v>1.6735329275556765E-2</v>
      </c>
      <c r="BK80" s="16">
        <f>AT80/'2017-18 disagg'!AT80-1</f>
        <v>1.2767124187132772E-2</v>
      </c>
      <c r="BL80" s="16">
        <f>AU80/'2017-18 disagg'!AU80-1</f>
        <v>3.7285964832150631E-2</v>
      </c>
      <c r="BM80" s="16">
        <f>AW80/'2017-18 disagg'!AW80-1</f>
        <v>1.9248041134674265E-2</v>
      </c>
    </row>
    <row r="81" spans="1:65" x14ac:dyDescent="0.2">
      <c r="A81" s="156" t="s">
        <v>207</v>
      </c>
      <c r="B81" s="156" t="s">
        <v>208</v>
      </c>
      <c r="D81" s="56">
        <f>VLOOKUP(A81,'2018-19'!$A$12:$AMX289,32,FALSE)</f>
        <v>813924</v>
      </c>
      <c r="E81" s="56">
        <v>1614.3673205434523</v>
      </c>
      <c r="F81" s="16">
        <f>VLOOKUP(A81,'2018-19'!$A$12:$AMX289,34,FALSE)</f>
        <v>2.9233465603447639E-2</v>
      </c>
      <c r="G81" s="16">
        <f>VLOOKUP(A81,'2018-19'!$A$12:$AMX289,35,FALSE)</f>
        <v>1.7720908428331628E-2</v>
      </c>
      <c r="H81" s="56"/>
      <c r="I81" s="56">
        <v>824290.77688092599</v>
      </c>
      <c r="J81" s="56">
        <v>1634.9291737581657</v>
      </c>
      <c r="K81" s="16">
        <f t="shared" si="23"/>
        <v>-1.2576601815385224E-2</v>
      </c>
      <c r="L81" s="58">
        <f t="shared" si="23"/>
        <v>-1.2576601815385335E-2</v>
      </c>
      <c r="M81" s="10"/>
      <c r="N81" s="56">
        <v>605898</v>
      </c>
      <c r="O81" s="56">
        <v>66700</v>
      </c>
      <c r="P81" s="56">
        <v>141326</v>
      </c>
      <c r="R81" s="56">
        <f t="shared" si="24"/>
        <v>141326</v>
      </c>
      <c r="S81" s="56">
        <f t="shared" si="25"/>
        <v>0</v>
      </c>
      <c r="U81" s="16">
        <v>-2.4947579020269783E-2</v>
      </c>
      <c r="V81" s="16">
        <v>-4.8915981353740201E-2</v>
      </c>
      <c r="W81" s="56">
        <f t="shared" si="26"/>
        <v>4</v>
      </c>
      <c r="X81" s="56">
        <f t="shared" si="27"/>
        <v>6214.0043649263007</v>
      </c>
      <c r="Y81" s="56">
        <f t="shared" si="27"/>
        <v>701.30502345038326</v>
      </c>
      <c r="AA81" s="56">
        <f t="shared" si="39"/>
        <v>0</v>
      </c>
      <c r="AB81" s="56">
        <v>0</v>
      </c>
      <c r="AC81" s="56">
        <f t="shared" si="28"/>
        <v>0</v>
      </c>
      <c r="AE81" s="56">
        <v>0</v>
      </c>
      <c r="AF81" s="56">
        <f t="shared" si="29"/>
        <v>0</v>
      </c>
      <c r="AG81" s="56">
        <f t="shared" si="30"/>
        <v>0</v>
      </c>
      <c r="AI81" s="56">
        <f t="shared" si="31"/>
        <v>0</v>
      </c>
      <c r="AJ81" s="56">
        <f t="shared" si="32"/>
        <v>0</v>
      </c>
      <c r="AK81" s="56">
        <f t="shared" si="33"/>
        <v>0</v>
      </c>
      <c r="AM81" s="56">
        <f t="shared" si="34"/>
        <v>605898</v>
      </c>
      <c r="AN81" s="56">
        <f t="shared" si="35"/>
        <v>66700</v>
      </c>
      <c r="AO81" s="56">
        <f t="shared" si="36"/>
        <v>141326</v>
      </c>
      <c r="AP81" s="56"/>
      <c r="AQ81" s="56">
        <f t="shared" si="37"/>
        <v>813924</v>
      </c>
      <c r="AR81" s="1"/>
      <c r="AS81" s="56">
        <v>1201.7607673230384</v>
      </c>
      <c r="AT81" s="56">
        <v>132.29527607030664</v>
      </c>
      <c r="AU81" s="56">
        <v>280.31127715010729</v>
      </c>
      <c r="AV81" s="56"/>
      <c r="AW81" s="56">
        <v>1614.3673205434523</v>
      </c>
      <c r="AX81" s="1"/>
      <c r="AY81" s="16">
        <v>-2.4947579020269783E-2</v>
      </c>
      <c r="AZ81" s="16">
        <v>-4.8915981353740201E-2</v>
      </c>
      <c r="BA81" s="16">
        <v>6.4523745155151691E-2</v>
      </c>
      <c r="BB81" s="16">
        <f t="shared" si="38"/>
        <v>-1.2576601815385224E-2</v>
      </c>
      <c r="BC81" s="16"/>
      <c r="BD81" s="1"/>
      <c r="BE81" s="16">
        <f>AM81/'2017-18 disagg'!AM81-1</f>
        <v>2.3467707198418841E-2</v>
      </c>
      <c r="BF81" s="16">
        <f>AN81/'2017-18 disagg'!AN81-1</f>
        <v>4.0870148718028743E-2</v>
      </c>
      <c r="BG81" s="16">
        <f>AO81/'2017-18 disagg'!AO81-1</f>
        <v>4.9035035629453771E-2</v>
      </c>
      <c r="BH81" s="16">
        <f>AQ81/'2017-18 disagg'!AQ81-1</f>
        <v>2.9233465603447639E-2</v>
      </c>
      <c r="BI81" s="1"/>
      <c r="BJ81" s="16">
        <f>AS81/'2017-18 disagg'!AS81-1</f>
        <v>1.2019643285049897E-2</v>
      </c>
      <c r="BK81" s="16">
        <f>AT81/'2017-18 disagg'!AT81-1</f>
        <v>2.9227428674950762E-2</v>
      </c>
      <c r="BL81" s="16">
        <f>AU81/'2017-18 disagg'!AU81-1</f>
        <v>3.7300986718302953E-2</v>
      </c>
      <c r="BM81" s="16">
        <f>AW81/'2017-18 disagg'!AW81-1</f>
        <v>1.7720908428331628E-2</v>
      </c>
    </row>
    <row r="82" spans="1:65" x14ac:dyDescent="0.2">
      <c r="A82" s="156" t="s">
        <v>209</v>
      </c>
      <c r="B82" s="156" t="s">
        <v>210</v>
      </c>
      <c r="D82" s="56">
        <f>VLOOKUP(A82,'2018-19'!$A$12:$AMX290,32,FALSE)</f>
        <v>548839</v>
      </c>
      <c r="E82" s="56">
        <v>1724.7524751067238</v>
      </c>
      <c r="F82" s="16">
        <f>VLOOKUP(A82,'2018-19'!$A$12:$AMX290,34,FALSE)</f>
        <v>2.2989534114314036E-2</v>
      </c>
      <c r="G82" s="16">
        <f>VLOOKUP(A82,'2018-19'!$A$12:$AMX290,35,FALSE)</f>
        <v>1.9984740508787846E-2</v>
      </c>
      <c r="H82" s="56"/>
      <c r="I82" s="56">
        <v>559562.06849369092</v>
      </c>
      <c r="J82" s="56">
        <v>1758.4502242193641</v>
      </c>
      <c r="K82" s="16">
        <f t="shared" si="23"/>
        <v>-1.9163322707982711E-2</v>
      </c>
      <c r="L82" s="58">
        <f t="shared" si="23"/>
        <v>-1.9163322707982822E-2</v>
      </c>
      <c r="M82" s="10"/>
      <c r="N82" s="56">
        <v>421279</v>
      </c>
      <c r="O82" s="56">
        <v>41380</v>
      </c>
      <c r="P82" s="56">
        <v>86180</v>
      </c>
      <c r="R82" s="56">
        <f t="shared" si="24"/>
        <v>86180</v>
      </c>
      <c r="S82" s="56">
        <f t="shared" si="25"/>
        <v>0</v>
      </c>
      <c r="U82" s="16">
        <v>-2.595620616734251E-2</v>
      </c>
      <c r="V82" s="16">
        <v>-3.4321267747514206E-2</v>
      </c>
      <c r="W82" s="56">
        <f t="shared" si="26"/>
        <v>4</v>
      </c>
      <c r="X82" s="56">
        <f t="shared" si="27"/>
        <v>4325.0519398348169</v>
      </c>
      <c r="Y82" s="56">
        <f t="shared" si="27"/>
        <v>428.50690004821195</v>
      </c>
      <c r="AA82" s="56">
        <f t="shared" si="39"/>
        <v>0</v>
      </c>
      <c r="AB82" s="56">
        <v>0</v>
      </c>
      <c r="AC82" s="56">
        <f t="shared" si="28"/>
        <v>0</v>
      </c>
      <c r="AE82" s="56">
        <v>0</v>
      </c>
      <c r="AF82" s="56">
        <f t="shared" si="29"/>
        <v>0</v>
      </c>
      <c r="AG82" s="56">
        <f t="shared" si="30"/>
        <v>0</v>
      </c>
      <c r="AI82" s="56">
        <f t="shared" si="31"/>
        <v>0</v>
      </c>
      <c r="AJ82" s="56">
        <f t="shared" si="32"/>
        <v>0</v>
      </c>
      <c r="AK82" s="56">
        <f t="shared" si="33"/>
        <v>0</v>
      </c>
      <c r="AM82" s="56">
        <f t="shared" si="34"/>
        <v>421279</v>
      </c>
      <c r="AN82" s="56">
        <f t="shared" si="35"/>
        <v>41380</v>
      </c>
      <c r="AO82" s="56">
        <f t="shared" si="36"/>
        <v>86180</v>
      </c>
      <c r="AP82" s="56"/>
      <c r="AQ82" s="56">
        <f t="shared" si="37"/>
        <v>548839</v>
      </c>
      <c r="AR82" s="1"/>
      <c r="AS82" s="56">
        <v>1323.8891513913652</v>
      </c>
      <c r="AT82" s="56">
        <v>130.03860407135102</v>
      </c>
      <c r="AU82" s="56">
        <v>270.82471964400753</v>
      </c>
      <c r="AV82" s="56"/>
      <c r="AW82" s="56">
        <v>1724.7524751067238</v>
      </c>
      <c r="AX82" s="1"/>
      <c r="AY82" s="16">
        <v>-2.595620616734251E-2</v>
      </c>
      <c r="AZ82" s="16">
        <v>-3.4321267747514206E-2</v>
      </c>
      <c r="BA82" s="16">
        <v>2.344026755523676E-2</v>
      </c>
      <c r="BB82" s="16">
        <f t="shared" si="38"/>
        <v>-1.9163322707982711E-2</v>
      </c>
      <c r="BC82" s="16"/>
      <c r="BD82" s="1"/>
      <c r="BE82" s="16">
        <f>AM82/'2017-18 disagg'!AM82-1</f>
        <v>1.9868206995390603E-2</v>
      </c>
      <c r="BF82" s="16">
        <f>AN82/'2017-18 disagg'!AN82-1</f>
        <v>1.9312247512070169E-2</v>
      </c>
      <c r="BG82" s="16">
        <f>AO82/'2017-18 disagg'!AO82-1</f>
        <v>4.0356362495020282E-2</v>
      </c>
      <c r="BH82" s="16">
        <f>AQ82/'2017-18 disagg'!AQ82-1</f>
        <v>2.2989534114314036E-2</v>
      </c>
      <c r="BI82" s="1"/>
      <c r="BJ82" s="16">
        <f>AS82/'2017-18 disagg'!AS82-1</f>
        <v>1.6872581561634625E-2</v>
      </c>
      <c r="BK82" s="16">
        <f>AT82/'2017-18 disagg'!AT82-1</f>
        <v>1.6318255079869504E-2</v>
      </c>
      <c r="BL82" s="16">
        <f>AU82/'2017-18 disagg'!AU82-1</f>
        <v>3.7300557874106133E-2</v>
      </c>
      <c r="BM82" s="16">
        <f>AW82/'2017-18 disagg'!AW82-1</f>
        <v>1.9984740508787846E-2</v>
      </c>
    </row>
    <row r="83" spans="1:65" x14ac:dyDescent="0.2">
      <c r="A83" s="156" t="s">
        <v>211</v>
      </c>
      <c r="B83" s="156" t="s">
        <v>212</v>
      </c>
      <c r="D83" s="56">
        <f>VLOOKUP(A83,'2018-19'!$A$12:$AMX291,32,FALSE)</f>
        <v>211316.95899807478</v>
      </c>
      <c r="E83" s="56">
        <v>1499.2036106792232</v>
      </c>
      <c r="F83" s="16">
        <f>VLOOKUP(A83,'2018-19'!$A$12:$AMX291,34,FALSE)</f>
        <v>2.6288751059108995E-2</v>
      </c>
      <c r="G83" s="16">
        <f>VLOOKUP(A83,'2018-19'!$A$12:$AMX291,35,FALSE)</f>
        <v>1.9630510598655615E-2</v>
      </c>
      <c r="H83" s="56"/>
      <c r="I83" s="56">
        <v>216309.10881615663</v>
      </c>
      <c r="J83" s="56">
        <v>1534.6207824377291</v>
      </c>
      <c r="K83" s="16">
        <f t="shared" si="23"/>
        <v>-2.3078777613219859E-2</v>
      </c>
      <c r="L83" s="58">
        <f t="shared" si="23"/>
        <v>-2.307877761321997E-2</v>
      </c>
      <c r="M83" s="10"/>
      <c r="N83" s="56">
        <v>162687</v>
      </c>
      <c r="O83" s="56">
        <v>18311</v>
      </c>
      <c r="P83" s="56">
        <v>29675</v>
      </c>
      <c r="R83" s="56">
        <f t="shared" si="24"/>
        <v>29675</v>
      </c>
      <c r="S83" s="56">
        <f t="shared" si="25"/>
        <v>643.95899807478418</v>
      </c>
      <c r="U83" s="16">
        <v>-2.9697163067974541E-2</v>
      </c>
      <c r="V83" s="16">
        <v>1.4951261006969974E-2</v>
      </c>
      <c r="W83" s="56">
        <f t="shared" si="26"/>
        <v>1</v>
      </c>
      <c r="X83" s="56">
        <f t="shared" si="27"/>
        <v>1676.662108032124</v>
      </c>
      <c r="Y83" s="56">
        <f t="shared" si="27"/>
        <v>180.41260406763763</v>
      </c>
      <c r="AA83" s="56">
        <f t="shared" si="39"/>
        <v>643.95899807478418</v>
      </c>
      <c r="AB83" s="56">
        <v>0</v>
      </c>
      <c r="AC83" s="56">
        <f t="shared" si="28"/>
        <v>0</v>
      </c>
      <c r="AE83" s="56">
        <v>0</v>
      </c>
      <c r="AF83" s="56">
        <f t="shared" si="29"/>
        <v>0</v>
      </c>
      <c r="AG83" s="56">
        <f t="shared" si="30"/>
        <v>0</v>
      </c>
      <c r="AI83" s="56">
        <f t="shared" si="31"/>
        <v>0</v>
      </c>
      <c r="AJ83" s="56">
        <f t="shared" si="32"/>
        <v>0</v>
      </c>
      <c r="AK83" s="56">
        <f t="shared" si="33"/>
        <v>0</v>
      </c>
      <c r="AM83" s="56">
        <f t="shared" si="34"/>
        <v>163331</v>
      </c>
      <c r="AN83" s="56">
        <f t="shared" si="35"/>
        <v>18311</v>
      </c>
      <c r="AO83" s="56">
        <f t="shared" si="36"/>
        <v>29675</v>
      </c>
      <c r="AP83" s="56"/>
      <c r="AQ83" s="56">
        <f t="shared" si="37"/>
        <v>211317</v>
      </c>
      <c r="AR83" s="1"/>
      <c r="AS83" s="56">
        <v>1158.7637172938832</v>
      </c>
      <c r="AT83" s="56">
        <v>129.90872784326487</v>
      </c>
      <c r="AU83" s="56">
        <v>210.53145643323057</v>
      </c>
      <c r="AV83" s="56"/>
      <c r="AW83" s="56">
        <v>1499.2039015703785</v>
      </c>
      <c r="AX83" s="1"/>
      <c r="AY83" s="16">
        <v>-2.5856198350546422E-2</v>
      </c>
      <c r="AZ83" s="16">
        <v>1.4951261006969974E-2</v>
      </c>
      <c r="BA83" s="16">
        <v>-3.0280654195882772E-2</v>
      </c>
      <c r="BB83" s="16">
        <f t="shared" si="38"/>
        <v>-2.3078588060752803E-2</v>
      </c>
      <c r="BC83" s="16"/>
      <c r="BD83" s="1"/>
      <c r="BE83" s="16">
        <f>AM83/'2017-18 disagg'!AM83-1</f>
        <v>2.3903258566431385E-2</v>
      </c>
      <c r="BF83" s="16">
        <f>AN83/'2017-18 disagg'!AN83-1</f>
        <v>1.9316410598975819E-2</v>
      </c>
      <c r="BG83" s="16">
        <f>AO83/'2017-18 disagg'!AO83-1</f>
        <v>4.4085567518119761E-2</v>
      </c>
      <c r="BH83" s="16">
        <f>AQ83/'2017-18 disagg'!AQ83-1</f>
        <v>2.6288950190380023E-2</v>
      </c>
      <c r="BI83" s="1"/>
      <c r="BJ83" s="16">
        <f>AS83/'2017-18 disagg'!AS83-1</f>
        <v>1.726049443524369E-2</v>
      </c>
      <c r="BK83" s="16">
        <f>AT83/'2017-18 disagg'!AT83-1</f>
        <v>1.2703404502932836E-2</v>
      </c>
      <c r="BL83" s="16">
        <f>AU83/'2017-18 disagg'!AU83-1</f>
        <v>3.731186687816801E-2</v>
      </c>
      <c r="BM83" s="16">
        <f>AW83/'2017-18 disagg'!AW83-1</f>
        <v>1.9630708438025168E-2</v>
      </c>
    </row>
    <row r="84" spans="1:65" x14ac:dyDescent="0.2">
      <c r="A84" s="156" t="s">
        <v>213</v>
      </c>
      <c r="B84" s="156" t="s">
        <v>214</v>
      </c>
      <c r="D84" s="56">
        <f>VLOOKUP(A84,'2018-19'!$A$12:$AMX292,32,FALSE)</f>
        <v>307557</v>
      </c>
      <c r="E84" s="56">
        <v>1641.0100401848824</v>
      </c>
      <c r="F84" s="16">
        <f>VLOOKUP(A84,'2018-19'!$A$12:$AMX292,34,FALSE)</f>
        <v>2.3327543870156342E-2</v>
      </c>
      <c r="G84" s="16">
        <f>VLOOKUP(A84,'2018-19'!$A$12:$AMX292,35,FALSE)</f>
        <v>1.7708134786923013E-2</v>
      </c>
      <c r="H84" s="56"/>
      <c r="I84" s="56">
        <v>307104.42122368951</v>
      </c>
      <c r="J84" s="56">
        <v>1638.5952477532351</v>
      </c>
      <c r="K84" s="16">
        <f t="shared" si="23"/>
        <v>1.4736967136688151E-3</v>
      </c>
      <c r="L84" s="58">
        <f t="shared" si="23"/>
        <v>1.4736967136688151E-3</v>
      </c>
      <c r="M84" s="10"/>
      <c r="N84" s="56">
        <v>234280</v>
      </c>
      <c r="O84" s="56">
        <v>25786</v>
      </c>
      <c r="P84" s="56">
        <v>47491</v>
      </c>
      <c r="R84" s="56">
        <f t="shared" si="24"/>
        <v>47491</v>
      </c>
      <c r="S84" s="56">
        <f t="shared" si="25"/>
        <v>0</v>
      </c>
      <c r="U84" s="16">
        <v>2.4971169066323462E-3</v>
      </c>
      <c r="V84" s="16">
        <v>3.1603513529611993E-2</v>
      </c>
      <c r="W84" s="56">
        <f t="shared" si="26"/>
        <v>2</v>
      </c>
      <c r="X84" s="56">
        <f t="shared" si="27"/>
        <v>2336.9643268691784</v>
      </c>
      <c r="Y84" s="56">
        <f t="shared" si="27"/>
        <v>249.96037394031052</v>
      </c>
      <c r="AA84" s="56">
        <f t="shared" si="39"/>
        <v>0</v>
      </c>
      <c r="AB84" s="56">
        <v>0</v>
      </c>
      <c r="AC84" s="56">
        <f t="shared" si="28"/>
        <v>0</v>
      </c>
      <c r="AE84" s="56">
        <v>0</v>
      </c>
      <c r="AF84" s="56">
        <f t="shared" si="29"/>
        <v>0</v>
      </c>
      <c r="AG84" s="56">
        <f t="shared" si="30"/>
        <v>0</v>
      </c>
      <c r="AI84" s="56">
        <f t="shared" si="31"/>
        <v>0</v>
      </c>
      <c r="AJ84" s="56">
        <f t="shared" si="32"/>
        <v>0</v>
      </c>
      <c r="AK84" s="56">
        <f t="shared" si="33"/>
        <v>0</v>
      </c>
      <c r="AM84" s="56">
        <f t="shared" si="34"/>
        <v>234280</v>
      </c>
      <c r="AN84" s="56">
        <f t="shared" si="35"/>
        <v>25786</v>
      </c>
      <c r="AO84" s="56">
        <f t="shared" si="36"/>
        <v>47491</v>
      </c>
      <c r="AP84" s="56"/>
      <c r="AQ84" s="56">
        <f t="shared" si="37"/>
        <v>307557</v>
      </c>
      <c r="AR84" s="1"/>
      <c r="AS84" s="56">
        <v>1250.0311558979774</v>
      </c>
      <c r="AT84" s="56">
        <v>137.58452870917384</v>
      </c>
      <c r="AU84" s="56">
        <v>253.39435557773112</v>
      </c>
      <c r="AV84" s="56"/>
      <c r="AW84" s="56">
        <v>1641.0100401848824</v>
      </c>
      <c r="AX84" s="1"/>
      <c r="AY84" s="16">
        <v>2.4971169066323462E-3</v>
      </c>
      <c r="AZ84" s="16">
        <v>3.1603513529611993E-2</v>
      </c>
      <c r="BA84" s="16">
        <v>-1.9023218874719694E-2</v>
      </c>
      <c r="BB84" s="16">
        <f t="shared" si="38"/>
        <v>1.4736967136688151E-3</v>
      </c>
      <c r="BC84" s="16"/>
      <c r="BD84" s="1"/>
      <c r="BE84" s="16">
        <f>AM84/'2017-18 disagg'!AM84-1</f>
        <v>1.986801093524182E-2</v>
      </c>
      <c r="BF84" s="16">
        <f>AN84/'2017-18 disagg'!AN84-1</f>
        <v>1.929006245553011E-2</v>
      </c>
      <c r="BG84" s="16">
        <f>AO84/'2017-18 disagg'!AO84-1</f>
        <v>4.3024685935166396E-2</v>
      </c>
      <c r="BH84" s="16">
        <f>AQ84/'2017-18 disagg'!AQ84-1</f>
        <v>2.3327543870156342E-2</v>
      </c>
      <c r="BI84" s="1"/>
      <c r="BJ84" s="16">
        <f>AS84/'2017-18 disagg'!AS84-1</f>
        <v>1.4267599220851412E-2</v>
      </c>
      <c r="BK84" s="16">
        <f>AT84/'2017-18 disagg'!AT84-1</f>
        <v>1.3692824435579842E-2</v>
      </c>
      <c r="BL84" s="16">
        <f>AU84/'2017-18 disagg'!AU84-1</f>
        <v>3.7297113732805753E-2</v>
      </c>
      <c r="BM84" s="16">
        <f>AW84/'2017-18 disagg'!AW84-1</f>
        <v>1.7708134786923013E-2</v>
      </c>
    </row>
    <row r="85" spans="1:65" x14ac:dyDescent="0.2">
      <c r="A85" s="156" t="s">
        <v>215</v>
      </c>
      <c r="B85" s="156" t="s">
        <v>216</v>
      </c>
      <c r="D85" s="56">
        <f>VLOOKUP(A85,'2018-19'!$A$12:$AMX293,32,FALSE)</f>
        <v>377292</v>
      </c>
      <c r="E85" s="56">
        <v>1733.315606699455</v>
      </c>
      <c r="F85" s="16">
        <f>VLOOKUP(A85,'2018-19'!$A$12:$AMX293,34,FALSE)</f>
        <v>2.3050996363794152E-2</v>
      </c>
      <c r="G85" s="16">
        <f>VLOOKUP(A85,'2018-19'!$A$12:$AMX293,35,FALSE)</f>
        <v>2.0976436209558358E-2</v>
      </c>
      <c r="H85" s="56"/>
      <c r="I85" s="56">
        <v>368990.26919527957</v>
      </c>
      <c r="J85" s="56">
        <v>1695.1766597659405</v>
      </c>
      <c r="K85" s="16">
        <f t="shared" si="23"/>
        <v>2.2498508762373248E-2</v>
      </c>
      <c r="L85" s="58">
        <f t="shared" si="23"/>
        <v>2.2498508762373248E-2</v>
      </c>
      <c r="M85" s="10"/>
      <c r="N85" s="56">
        <v>286487</v>
      </c>
      <c r="O85" s="56">
        <v>27536</v>
      </c>
      <c r="P85" s="56">
        <v>63269</v>
      </c>
      <c r="R85" s="56">
        <f t="shared" si="24"/>
        <v>63269</v>
      </c>
      <c r="S85" s="56">
        <f t="shared" si="25"/>
        <v>0</v>
      </c>
      <c r="U85" s="16">
        <v>1.5974434725467335E-2</v>
      </c>
      <c r="V85" s="16">
        <v>-1.4501029134033949E-2</v>
      </c>
      <c r="W85" s="56">
        <f t="shared" si="26"/>
        <v>3</v>
      </c>
      <c r="X85" s="56">
        <f t="shared" si="27"/>
        <v>2819.8248913361035</v>
      </c>
      <c r="Y85" s="56">
        <f t="shared" si="27"/>
        <v>279.41175804378457</v>
      </c>
      <c r="AA85" s="56">
        <f t="shared" si="39"/>
        <v>0</v>
      </c>
      <c r="AB85" s="56">
        <v>0</v>
      </c>
      <c r="AC85" s="56">
        <f t="shared" si="28"/>
        <v>0</v>
      </c>
      <c r="AE85" s="56">
        <v>0</v>
      </c>
      <c r="AF85" s="56">
        <f t="shared" si="29"/>
        <v>0</v>
      </c>
      <c r="AG85" s="56">
        <f t="shared" si="30"/>
        <v>0</v>
      </c>
      <c r="AI85" s="56">
        <f t="shared" si="31"/>
        <v>0</v>
      </c>
      <c r="AJ85" s="56">
        <f t="shared" si="32"/>
        <v>0</v>
      </c>
      <c r="AK85" s="56">
        <f t="shared" si="33"/>
        <v>0</v>
      </c>
      <c r="AM85" s="56">
        <f t="shared" si="34"/>
        <v>286487</v>
      </c>
      <c r="AN85" s="56">
        <f t="shared" si="35"/>
        <v>27536</v>
      </c>
      <c r="AO85" s="56">
        <f t="shared" si="36"/>
        <v>63269</v>
      </c>
      <c r="AP85" s="56"/>
      <c r="AQ85" s="56">
        <f t="shared" si="37"/>
        <v>377292</v>
      </c>
      <c r="AR85" s="1"/>
      <c r="AS85" s="56">
        <v>1316.1487341807056</v>
      </c>
      <c r="AT85" s="56">
        <v>126.50302297975094</v>
      </c>
      <c r="AU85" s="56">
        <v>290.66384953899848</v>
      </c>
      <c r="AV85" s="56"/>
      <c r="AW85" s="56">
        <v>1733.315606699455</v>
      </c>
      <c r="AX85" s="1"/>
      <c r="AY85" s="16">
        <v>1.5974434725467335E-2</v>
      </c>
      <c r="AZ85" s="16">
        <v>-1.4501029134033949E-2</v>
      </c>
      <c r="BA85" s="16">
        <v>7.1146729959350008E-2</v>
      </c>
      <c r="BB85" s="16">
        <f t="shared" si="38"/>
        <v>2.2498508762373248E-2</v>
      </c>
      <c r="BC85" s="16"/>
      <c r="BD85" s="1"/>
      <c r="BE85" s="16">
        <f>AM85/'2017-18 disagg'!AM85-1</f>
        <v>1.986785615116804E-2</v>
      </c>
      <c r="BF85" s="16">
        <f>AN85/'2017-18 disagg'!AN85-1</f>
        <v>1.9285582084027419E-2</v>
      </c>
      <c r="BG85" s="16">
        <f>AO85/'2017-18 disagg'!AO85-1</f>
        <v>3.9411861343847443E-2</v>
      </c>
      <c r="BH85" s="16">
        <f>AQ85/'2017-18 disagg'!AQ85-1</f>
        <v>2.3050996363794152E-2</v>
      </c>
      <c r="BI85" s="1"/>
      <c r="BJ85" s="16">
        <f>AS85/'2017-18 disagg'!AS85-1</f>
        <v>1.7799750822619309E-2</v>
      </c>
      <c r="BK85" s="16">
        <f>AT85/'2017-18 disagg'!AT85-1</f>
        <v>1.7218657500703172E-2</v>
      </c>
      <c r="BL85" s="16">
        <f>AU85/'2017-18 disagg'!AU85-1</f>
        <v>3.7304124350238999E-2</v>
      </c>
      <c r="BM85" s="16">
        <f>AW85/'2017-18 disagg'!AW85-1</f>
        <v>2.0976436209558358E-2</v>
      </c>
    </row>
    <row r="86" spans="1:65" x14ac:dyDescent="0.2">
      <c r="A86" s="156" t="s">
        <v>217</v>
      </c>
      <c r="B86" s="156" t="s">
        <v>218</v>
      </c>
      <c r="D86" s="56">
        <f>VLOOKUP(A86,'2018-19'!$A$12:$AMX294,32,FALSE)</f>
        <v>270982</v>
      </c>
      <c r="E86" s="56">
        <v>1535.2155565902249</v>
      </c>
      <c r="F86" s="16">
        <f>VLOOKUP(A86,'2018-19'!$A$12:$AMX294,34,FALSE)</f>
        <v>2.3210678346895275E-2</v>
      </c>
      <c r="G86" s="16">
        <f>VLOOKUP(A86,'2018-19'!$A$12:$AMX294,35,FALSE)</f>
        <v>1.8863428988003195E-2</v>
      </c>
      <c r="H86" s="56"/>
      <c r="I86" s="56">
        <v>273963.69245511742</v>
      </c>
      <c r="J86" s="56">
        <v>1552.1079724778629</v>
      </c>
      <c r="K86" s="16">
        <f t="shared" si="23"/>
        <v>-1.0883531421251758E-2</v>
      </c>
      <c r="L86" s="58">
        <f t="shared" si="23"/>
        <v>-1.0883531421251647E-2</v>
      </c>
      <c r="M86" s="10"/>
      <c r="N86" s="56">
        <v>205484</v>
      </c>
      <c r="O86" s="56">
        <v>22700</v>
      </c>
      <c r="P86" s="56">
        <v>42798</v>
      </c>
      <c r="R86" s="56">
        <f t="shared" si="24"/>
        <v>42798</v>
      </c>
      <c r="S86" s="56">
        <f t="shared" si="25"/>
        <v>0</v>
      </c>
      <c r="U86" s="16">
        <v>-1.2822104504111365E-2</v>
      </c>
      <c r="V86" s="16">
        <v>1.6599229625228196E-2</v>
      </c>
      <c r="W86" s="56">
        <f t="shared" si="26"/>
        <v>1</v>
      </c>
      <c r="X86" s="56">
        <f t="shared" si="27"/>
        <v>2081.5295899304888</v>
      </c>
      <c r="Y86" s="56">
        <f t="shared" si="27"/>
        <v>223.29349992099063</v>
      </c>
      <c r="AA86" s="56">
        <f t="shared" si="39"/>
        <v>0</v>
      </c>
      <c r="AB86" s="56">
        <v>0</v>
      </c>
      <c r="AC86" s="56">
        <f t="shared" si="28"/>
        <v>0</v>
      </c>
      <c r="AE86" s="56">
        <v>0</v>
      </c>
      <c r="AF86" s="56">
        <f t="shared" si="29"/>
        <v>0</v>
      </c>
      <c r="AG86" s="56">
        <f t="shared" si="30"/>
        <v>0</v>
      </c>
      <c r="AI86" s="56">
        <f t="shared" si="31"/>
        <v>0</v>
      </c>
      <c r="AJ86" s="56">
        <f t="shared" si="32"/>
        <v>0</v>
      </c>
      <c r="AK86" s="56">
        <f t="shared" si="33"/>
        <v>0</v>
      </c>
      <c r="AM86" s="56">
        <f t="shared" si="34"/>
        <v>205484</v>
      </c>
      <c r="AN86" s="56">
        <f t="shared" si="35"/>
        <v>22700</v>
      </c>
      <c r="AO86" s="56">
        <f t="shared" si="36"/>
        <v>42798</v>
      </c>
      <c r="AP86" s="56"/>
      <c r="AQ86" s="56">
        <f t="shared" si="37"/>
        <v>270982</v>
      </c>
      <c r="AR86" s="1"/>
      <c r="AS86" s="56">
        <v>1164.1446052888596</v>
      </c>
      <c r="AT86" s="56">
        <v>128.60408859111715</v>
      </c>
      <c r="AU86" s="56">
        <v>242.46686271024805</v>
      </c>
      <c r="AV86" s="56"/>
      <c r="AW86" s="56">
        <v>1535.2155565902249</v>
      </c>
      <c r="AX86" s="1"/>
      <c r="AY86" s="16">
        <v>-1.2822104504111365E-2</v>
      </c>
      <c r="AZ86" s="16">
        <v>1.6599229625228196E-2</v>
      </c>
      <c r="BA86" s="16">
        <v>-1.5716691039545427E-2</v>
      </c>
      <c r="BB86" s="16">
        <f t="shared" si="38"/>
        <v>-1.0883531421251758E-2</v>
      </c>
      <c r="BC86" s="16"/>
      <c r="BD86" s="1"/>
      <c r="BE86" s="16">
        <f>AM86/'2017-18 disagg'!AM86-1</f>
        <v>1.9867878360738667E-2</v>
      </c>
      <c r="BF86" s="16">
        <f>AN86/'2017-18 disagg'!AN86-1</f>
        <v>1.930848675348007E-2</v>
      </c>
      <c r="BG86" s="16">
        <f>AO86/'2017-18 disagg'!AO86-1</f>
        <v>4.1719404147600114E-2</v>
      </c>
      <c r="BH86" s="16">
        <f>AQ86/'2017-18 disagg'!AQ86-1</f>
        <v>2.3210678346895275E-2</v>
      </c>
      <c r="BI86" s="1"/>
      <c r="BJ86" s="16">
        <f>AS86/'2017-18 disagg'!AS86-1</f>
        <v>1.5534831341017075E-2</v>
      </c>
      <c r="BK86" s="16">
        <f>AT86/'2017-18 disagg'!AT86-1</f>
        <v>1.4977816384879716E-2</v>
      </c>
      <c r="BL86" s="16">
        <f>AU86/'2017-18 disagg'!AU86-1</f>
        <v>3.7293517956554112E-2</v>
      </c>
      <c r="BM86" s="16">
        <f>AW86/'2017-18 disagg'!AW86-1</f>
        <v>1.8863428988003195E-2</v>
      </c>
    </row>
    <row r="87" spans="1:65" x14ac:dyDescent="0.2">
      <c r="A87" s="156" t="s">
        <v>219</v>
      </c>
      <c r="B87" s="156" t="s">
        <v>220</v>
      </c>
      <c r="D87" s="56">
        <f>VLOOKUP(A87,'2018-19'!$A$12:$AMX295,32,FALSE)</f>
        <v>957057.61008954374</v>
      </c>
      <c r="E87" s="56">
        <v>1658.5077176156251</v>
      </c>
      <c r="F87" s="16">
        <f>VLOOKUP(A87,'2018-19'!$A$12:$AMX295,34,FALSE)</f>
        <v>2.6851692797282167E-2</v>
      </c>
      <c r="G87" s="16">
        <f>VLOOKUP(A87,'2018-19'!$A$12:$AMX295,35,FALSE)</f>
        <v>1.8464364449363835E-2</v>
      </c>
      <c r="H87" s="56"/>
      <c r="I87" s="56">
        <v>977513.76435889327</v>
      </c>
      <c r="J87" s="56">
        <v>1693.9566700828416</v>
      </c>
      <c r="K87" s="16">
        <f t="shared" si="23"/>
        <v>-2.0926717367264702E-2</v>
      </c>
      <c r="L87" s="58">
        <f t="shared" si="23"/>
        <v>-2.0926717367264702E-2</v>
      </c>
      <c r="M87" s="10"/>
      <c r="N87" s="56">
        <v>694861</v>
      </c>
      <c r="O87" s="56">
        <v>80606</v>
      </c>
      <c r="P87" s="56">
        <v>179919</v>
      </c>
      <c r="R87" s="56">
        <f t="shared" si="24"/>
        <v>179919</v>
      </c>
      <c r="S87" s="56">
        <f t="shared" si="25"/>
        <v>1671.6100895437412</v>
      </c>
      <c r="U87" s="16">
        <v>-3.6188965946387097E-2</v>
      </c>
      <c r="V87" s="16">
        <v>-2.436900176145429E-2</v>
      </c>
      <c r="W87" s="56">
        <f t="shared" si="26"/>
        <v>4</v>
      </c>
      <c r="X87" s="56">
        <f t="shared" si="27"/>
        <v>7209.5148888007816</v>
      </c>
      <c r="Y87" s="56">
        <f t="shared" si="27"/>
        <v>826.19351112797983</v>
      </c>
      <c r="AA87" s="56">
        <f t="shared" si="39"/>
        <v>0</v>
      </c>
      <c r="AB87" s="56">
        <v>0</v>
      </c>
      <c r="AC87" s="56">
        <f t="shared" si="28"/>
        <v>1671.6100895437412</v>
      </c>
      <c r="AE87" s="56">
        <v>0</v>
      </c>
      <c r="AF87" s="56">
        <f t="shared" si="29"/>
        <v>0</v>
      </c>
      <c r="AG87" s="56">
        <f t="shared" si="30"/>
        <v>1671.6100895437412</v>
      </c>
      <c r="AI87" s="56">
        <f t="shared" si="31"/>
        <v>1499.743050524587</v>
      </c>
      <c r="AJ87" s="56">
        <f t="shared" si="32"/>
        <v>171.86703901915402</v>
      </c>
      <c r="AK87" s="56">
        <f t="shared" si="33"/>
        <v>0</v>
      </c>
      <c r="AM87" s="56">
        <f t="shared" si="34"/>
        <v>696361</v>
      </c>
      <c r="AN87" s="56">
        <f t="shared" si="35"/>
        <v>80778</v>
      </c>
      <c r="AO87" s="56">
        <f t="shared" si="36"/>
        <v>179919</v>
      </c>
      <c r="AP87" s="56"/>
      <c r="AQ87" s="56">
        <f t="shared" si="37"/>
        <v>957058</v>
      </c>
      <c r="AR87" s="1"/>
      <c r="AS87" s="56">
        <v>1206.7404099513699</v>
      </c>
      <c r="AT87" s="56">
        <v>139.9821024368851</v>
      </c>
      <c r="AU87" s="56">
        <v>311.78588091240107</v>
      </c>
      <c r="AV87" s="56"/>
      <c r="AW87" s="56">
        <v>1658.5083933006561</v>
      </c>
      <c r="AX87" s="1"/>
      <c r="AY87" s="16">
        <v>-3.4108382130227488E-2</v>
      </c>
      <c r="AZ87" s="16">
        <v>-2.2287165028493594E-2</v>
      </c>
      <c r="BA87" s="16">
        <v>3.4356531924275346E-2</v>
      </c>
      <c r="BB87" s="16">
        <f t="shared" si="38"/>
        <v>-2.0926318487504147E-2</v>
      </c>
      <c r="BC87" s="16"/>
      <c r="BD87" s="1"/>
      <c r="BE87" s="16">
        <f>AM87/'2017-18 disagg'!AM87-1</f>
        <v>2.2556534508076265E-2</v>
      </c>
      <c r="BF87" s="16">
        <f>AN87/'2017-18 disagg'!AN87-1</f>
        <v>2.2532216005468397E-2</v>
      </c>
      <c r="BG87" s="16">
        <f>AO87/'2017-18 disagg'!AO87-1</f>
        <v>4.5840042317462304E-2</v>
      </c>
      <c r="BH87" s="16">
        <f>AQ87/'2017-18 disagg'!AQ87-1</f>
        <v>2.6852111142225965E-2</v>
      </c>
      <c r="BI87" s="1"/>
      <c r="BJ87" s="16">
        <f>AS87/'2017-18 disagg'!AS87-1</f>
        <v>1.4204289028629136E-2</v>
      </c>
      <c r="BK87" s="16">
        <f>AT87/'2017-18 disagg'!AT87-1</f>
        <v>1.4180169159638822E-2</v>
      </c>
      <c r="BL87" s="16">
        <f>AU87/'2017-18 disagg'!AU87-1</f>
        <v>3.7297617061852417E-2</v>
      </c>
      <c r="BM87" s="16">
        <f>AW87/'2017-18 disagg'!AW87-1</f>
        <v>1.846477937726454E-2</v>
      </c>
    </row>
    <row r="88" spans="1:65" x14ac:dyDescent="0.2">
      <c r="A88" s="156" t="s">
        <v>221</v>
      </c>
      <c r="B88" s="156" t="s">
        <v>222</v>
      </c>
      <c r="D88" s="56">
        <f>VLOOKUP(A88,'2018-19'!$A$12:$AMX296,32,FALSE)</f>
        <v>517316</v>
      </c>
      <c r="E88" s="56">
        <v>1681.2534673372118</v>
      </c>
      <c r="F88" s="16">
        <f>VLOOKUP(A88,'2018-19'!$A$12:$AMX296,34,FALSE)</f>
        <v>2.244850363073625E-2</v>
      </c>
      <c r="G88" s="16">
        <f>VLOOKUP(A88,'2018-19'!$A$12:$AMX296,35,FALSE)</f>
        <v>1.798113549489333E-2</v>
      </c>
      <c r="H88" s="56"/>
      <c r="I88" s="56">
        <v>525066.18950456358</v>
      </c>
      <c r="J88" s="56">
        <v>1706.4412306715526</v>
      </c>
      <c r="K88" s="16">
        <f t="shared" si="23"/>
        <v>-1.4760404801300253E-2</v>
      </c>
      <c r="L88" s="58">
        <f t="shared" si="23"/>
        <v>-1.4760404801300142E-2</v>
      </c>
      <c r="M88" s="10"/>
      <c r="N88" s="56">
        <v>392038</v>
      </c>
      <c r="O88" s="56">
        <v>43348</v>
      </c>
      <c r="P88" s="56">
        <v>81930</v>
      </c>
      <c r="R88" s="56">
        <f t="shared" si="24"/>
        <v>81930</v>
      </c>
      <c r="S88" s="56">
        <f t="shared" si="25"/>
        <v>0</v>
      </c>
      <c r="U88" s="16">
        <v>-1.9218600091196025E-2</v>
      </c>
      <c r="V88" s="16">
        <v>8.3669459496241938E-2</v>
      </c>
      <c r="W88" s="56">
        <f t="shared" si="26"/>
        <v>1</v>
      </c>
      <c r="X88" s="56">
        <f t="shared" si="27"/>
        <v>3997.2005998120771</v>
      </c>
      <c r="Y88" s="56">
        <f t="shared" si="27"/>
        <v>400.01127299601939</v>
      </c>
      <c r="AA88" s="56">
        <f t="shared" si="39"/>
        <v>0</v>
      </c>
      <c r="AB88" s="56">
        <v>0</v>
      </c>
      <c r="AC88" s="56">
        <f t="shared" si="28"/>
        <v>0</v>
      </c>
      <c r="AE88" s="56">
        <v>0</v>
      </c>
      <c r="AF88" s="56">
        <f t="shared" si="29"/>
        <v>0</v>
      </c>
      <c r="AG88" s="56">
        <f t="shared" si="30"/>
        <v>0</v>
      </c>
      <c r="AI88" s="56">
        <f t="shared" si="31"/>
        <v>0</v>
      </c>
      <c r="AJ88" s="56">
        <f t="shared" si="32"/>
        <v>0</v>
      </c>
      <c r="AK88" s="56">
        <f t="shared" si="33"/>
        <v>0</v>
      </c>
      <c r="AM88" s="56">
        <f t="shared" si="34"/>
        <v>392038</v>
      </c>
      <c r="AN88" s="56">
        <f t="shared" si="35"/>
        <v>43348</v>
      </c>
      <c r="AO88" s="56">
        <f t="shared" si="36"/>
        <v>81930</v>
      </c>
      <c r="AP88" s="56"/>
      <c r="AQ88" s="56">
        <f t="shared" si="37"/>
        <v>517316</v>
      </c>
      <c r="AR88" s="1"/>
      <c r="AS88" s="56">
        <v>1274.1056662232481</v>
      </c>
      <c r="AT88" s="56">
        <v>140.87902810300369</v>
      </c>
      <c r="AU88" s="56">
        <v>266.26877301095993</v>
      </c>
      <c r="AV88" s="56"/>
      <c r="AW88" s="56">
        <v>1681.2534673372118</v>
      </c>
      <c r="AX88" s="1"/>
      <c r="AY88" s="16">
        <v>-1.9218600091196025E-2</v>
      </c>
      <c r="AZ88" s="16">
        <v>8.3669459496241938E-2</v>
      </c>
      <c r="BA88" s="16">
        <v>-4.0014085591100312E-2</v>
      </c>
      <c r="BB88" s="16">
        <f t="shared" si="38"/>
        <v>-1.4760404801300253E-2</v>
      </c>
      <c r="BC88" s="16"/>
      <c r="BD88" s="1"/>
      <c r="BE88" s="16">
        <f>AM88/'2017-18 disagg'!AM88-1</f>
        <v>1.98699271592091E-2</v>
      </c>
      <c r="BF88" s="16">
        <f>AN88/'2017-18 disagg'!AN88-1</f>
        <v>9.9955730562222289E-3</v>
      </c>
      <c r="BG88" s="16">
        <f>AO88/'2017-18 disagg'!AO88-1</f>
        <v>4.1849464006409098E-2</v>
      </c>
      <c r="BH88" s="16">
        <f>AQ88/'2017-18 disagg'!AQ88-1</f>
        <v>2.244850363073625E-2</v>
      </c>
      <c r="BI88" s="1"/>
      <c r="BJ88" s="16">
        <f>AS88/'2017-18 disagg'!AS88-1</f>
        <v>1.5413825556912064E-2</v>
      </c>
      <c r="BK88" s="16">
        <f>AT88/'2017-18 disagg'!AT88-1</f>
        <v>5.5826153137135126E-3</v>
      </c>
      <c r="BL88" s="16">
        <f>AU88/'2017-18 disagg'!AU88-1</f>
        <v>3.729732756010451E-2</v>
      </c>
      <c r="BM88" s="16">
        <f>AW88/'2017-18 disagg'!AW88-1</f>
        <v>1.798113549489333E-2</v>
      </c>
    </row>
    <row r="89" spans="1:65" x14ac:dyDescent="0.2">
      <c r="A89" s="156" t="s">
        <v>223</v>
      </c>
      <c r="B89" s="156" t="s">
        <v>224</v>
      </c>
      <c r="D89" s="56">
        <f>VLOOKUP(A89,'2018-19'!$A$12:$AMX297,32,FALSE)</f>
        <v>400793.34760288004</v>
      </c>
      <c r="E89" s="56">
        <v>1622.0878599505227</v>
      </c>
      <c r="F89" s="16">
        <f>VLOOKUP(A89,'2018-19'!$A$12:$AMX297,34,FALSE)</f>
        <v>2.5143933320749046E-2</v>
      </c>
      <c r="G89" s="16">
        <f>VLOOKUP(A89,'2018-19'!$A$12:$AMX297,35,FALSE)</f>
        <v>1.9540612346337527E-2</v>
      </c>
      <c r="H89" s="56"/>
      <c r="I89" s="56">
        <v>410275.38356104563</v>
      </c>
      <c r="J89" s="56">
        <v>1660.463485462637</v>
      </c>
      <c r="K89" s="16">
        <f t="shared" si="23"/>
        <v>-2.3111393805460234E-2</v>
      </c>
      <c r="L89" s="58">
        <f t="shared" si="23"/>
        <v>-2.3111393805460345E-2</v>
      </c>
      <c r="M89" s="10"/>
      <c r="N89" s="56">
        <v>303314</v>
      </c>
      <c r="O89" s="56">
        <v>31508</v>
      </c>
      <c r="P89" s="56">
        <v>65697</v>
      </c>
      <c r="R89" s="56">
        <f t="shared" si="24"/>
        <v>65697</v>
      </c>
      <c r="S89" s="56">
        <f t="shared" si="25"/>
        <v>274.34760288003599</v>
      </c>
      <c r="U89" s="16">
        <v>-3.3508066594377439E-2</v>
      </c>
      <c r="V89" s="16">
        <v>-4.8636581065606865E-2</v>
      </c>
      <c r="W89" s="56">
        <f t="shared" si="26"/>
        <v>4</v>
      </c>
      <c r="X89" s="56">
        <f t="shared" si="27"/>
        <v>3138.298308721668</v>
      </c>
      <c r="Y89" s="56">
        <f t="shared" si="27"/>
        <v>331.18784444425671</v>
      </c>
      <c r="AA89" s="56">
        <f t="shared" si="39"/>
        <v>0</v>
      </c>
      <c r="AB89" s="56">
        <v>0</v>
      </c>
      <c r="AC89" s="56">
        <f t="shared" si="28"/>
        <v>274.34760288003599</v>
      </c>
      <c r="AE89" s="56">
        <v>0</v>
      </c>
      <c r="AF89" s="56">
        <f t="shared" si="29"/>
        <v>0</v>
      </c>
      <c r="AG89" s="56">
        <f t="shared" si="30"/>
        <v>274.34760288003599</v>
      </c>
      <c r="AI89" s="56">
        <f t="shared" si="31"/>
        <v>248.15911639670551</v>
      </c>
      <c r="AJ89" s="56">
        <f t="shared" si="32"/>
        <v>26.188486483330475</v>
      </c>
      <c r="AK89" s="56">
        <f t="shared" si="33"/>
        <v>0</v>
      </c>
      <c r="AM89" s="56">
        <f t="shared" si="34"/>
        <v>303562</v>
      </c>
      <c r="AN89" s="56">
        <f t="shared" si="35"/>
        <v>31534</v>
      </c>
      <c r="AO89" s="56">
        <f t="shared" si="36"/>
        <v>65697</v>
      </c>
      <c r="AP89" s="56"/>
      <c r="AQ89" s="56">
        <f t="shared" si="37"/>
        <v>400793</v>
      </c>
      <c r="AR89" s="1"/>
      <c r="AS89" s="56">
        <v>1228.5738720149411</v>
      </c>
      <c r="AT89" s="56">
        <v>127.62417061463277</v>
      </c>
      <c r="AU89" s="56">
        <v>265.88841050515413</v>
      </c>
      <c r="AV89" s="56"/>
      <c r="AW89" s="56">
        <v>1622.0864531347281</v>
      </c>
      <c r="AX89" s="1"/>
      <c r="AY89" s="16">
        <v>-3.2717829416124555E-2</v>
      </c>
      <c r="AZ89" s="16">
        <v>-4.7851528098351137E-2</v>
      </c>
      <c r="BA89" s="16">
        <v>3.7428591751236251E-2</v>
      </c>
      <c r="BB89" s="16">
        <f t="shared" si="38"/>
        <v>-2.3112241048297566E-2</v>
      </c>
      <c r="BC89" s="16"/>
      <c r="BD89" s="1"/>
      <c r="BE89" s="16">
        <f>AM89/'2017-18 disagg'!AM89-1</f>
        <v>2.0702409172677072E-2</v>
      </c>
      <c r="BF89" s="16">
        <f>AN89/'2017-18 disagg'!AN89-1</f>
        <v>3.1534183840366437E-2</v>
      </c>
      <c r="BG89" s="16">
        <f>AO89/'2017-18 disagg'!AO89-1</f>
        <v>4.3008192036578352E-2</v>
      </c>
      <c r="BH89" s="16">
        <f>AQ89/'2017-18 disagg'!AQ89-1</f>
        <v>2.5143044226691558E-2</v>
      </c>
      <c r="BI89" s="1"/>
      <c r="BJ89" s="16">
        <f>AS89/'2017-18 disagg'!AS89-1</f>
        <v>1.5123365067696293E-2</v>
      </c>
      <c r="BK89" s="16">
        <f>AT89/'2017-18 disagg'!AT89-1</f>
        <v>2.5895934478238125E-2</v>
      </c>
      <c r="BL89" s="16">
        <f>AU89/'2017-18 disagg'!AU89-1</f>
        <v>3.7307227041360358E-2</v>
      </c>
      <c r="BM89" s="16">
        <f>AW89/'2017-18 disagg'!AW89-1</f>
        <v>1.953972811196758E-2</v>
      </c>
    </row>
    <row r="90" spans="1:65" x14ac:dyDescent="0.2">
      <c r="A90" s="156" t="s">
        <v>225</v>
      </c>
      <c r="B90" s="156" t="s">
        <v>226</v>
      </c>
      <c r="D90" s="56">
        <f>VLOOKUP(A90,'2018-19'!$A$12:$AMX298,32,FALSE)</f>
        <v>340312.099546707</v>
      </c>
      <c r="E90" s="56">
        <v>1551.5239844088264</v>
      </c>
      <c r="F90" s="16">
        <f>VLOOKUP(A90,'2018-19'!$A$12:$AMX298,34,FALSE)</f>
        <v>2.5249523385001638E-2</v>
      </c>
      <c r="G90" s="16">
        <f>VLOOKUP(A90,'2018-19'!$A$12:$AMX298,35,FALSE)</f>
        <v>2.0987508267920285E-2</v>
      </c>
      <c r="H90" s="56"/>
      <c r="I90" s="56">
        <v>349746.57397906628</v>
      </c>
      <c r="J90" s="56">
        <v>1594.5368933873633</v>
      </c>
      <c r="K90" s="16">
        <f t="shared" si="23"/>
        <v>-2.6975173266240438E-2</v>
      </c>
      <c r="L90" s="58">
        <f t="shared" si="23"/>
        <v>-2.6975173266240438E-2</v>
      </c>
      <c r="M90" s="10"/>
      <c r="N90" s="56">
        <v>257612</v>
      </c>
      <c r="O90" s="56">
        <v>26716</v>
      </c>
      <c r="P90" s="56">
        <v>55340</v>
      </c>
      <c r="R90" s="56">
        <f t="shared" si="24"/>
        <v>55340</v>
      </c>
      <c r="S90" s="56">
        <f t="shared" si="25"/>
        <v>644.09954670700245</v>
      </c>
      <c r="U90" s="16">
        <v>-3.1219053647654649E-2</v>
      </c>
      <c r="V90" s="16">
        <v>-2.3387724111435859E-2</v>
      </c>
      <c r="W90" s="56">
        <f t="shared" si="26"/>
        <v>4</v>
      </c>
      <c r="X90" s="56">
        <f t="shared" si="27"/>
        <v>2659.1357000771009</v>
      </c>
      <c r="Y90" s="56">
        <f t="shared" si="27"/>
        <v>273.55789661452519</v>
      </c>
      <c r="AA90" s="56">
        <f t="shared" si="39"/>
        <v>0</v>
      </c>
      <c r="AB90" s="56">
        <v>0</v>
      </c>
      <c r="AC90" s="56">
        <f t="shared" si="28"/>
        <v>644.09954670700245</v>
      </c>
      <c r="AE90" s="56">
        <v>0</v>
      </c>
      <c r="AF90" s="56">
        <f t="shared" si="29"/>
        <v>0</v>
      </c>
      <c r="AG90" s="56">
        <f t="shared" si="30"/>
        <v>644.09954670700245</v>
      </c>
      <c r="AI90" s="56">
        <f t="shared" si="31"/>
        <v>584.0187672466775</v>
      </c>
      <c r="AJ90" s="56">
        <f t="shared" si="32"/>
        <v>60.080779460324933</v>
      </c>
      <c r="AK90" s="56">
        <f t="shared" si="33"/>
        <v>0</v>
      </c>
      <c r="AM90" s="56">
        <f t="shared" si="34"/>
        <v>258196</v>
      </c>
      <c r="AN90" s="56">
        <f t="shared" si="35"/>
        <v>26776</v>
      </c>
      <c r="AO90" s="56">
        <f t="shared" si="36"/>
        <v>55340</v>
      </c>
      <c r="AP90" s="56"/>
      <c r="AQ90" s="56">
        <f t="shared" si="37"/>
        <v>340312</v>
      </c>
      <c r="AR90" s="1"/>
      <c r="AS90" s="56">
        <v>1177.1467638441707</v>
      </c>
      <c r="AT90" s="56">
        <v>122.07501955371698</v>
      </c>
      <c r="AU90" s="56">
        <v>252.30174716547273</v>
      </c>
      <c r="AV90" s="56"/>
      <c r="AW90" s="56">
        <v>1551.5235305633603</v>
      </c>
      <c r="AX90" s="1"/>
      <c r="AY90" s="16">
        <v>-2.9022851325287036E-2</v>
      </c>
      <c r="AZ90" s="16">
        <v>-2.1194404132647282E-2</v>
      </c>
      <c r="BA90" s="16">
        <v>-2.01358074012562E-2</v>
      </c>
      <c r="BB90" s="16">
        <f t="shared" si="38"/>
        <v>-2.6975457891493138E-2</v>
      </c>
      <c r="BC90" s="16"/>
      <c r="BD90" s="1"/>
      <c r="BE90" s="16">
        <f>AM90/'2017-18 disagg'!AM90-1</f>
        <v>2.2181929032079273E-2</v>
      </c>
      <c r="BF90" s="16">
        <f>AN90/'2017-18 disagg'!AN90-1</f>
        <v>2.1594811140785986E-2</v>
      </c>
      <c r="BG90" s="16">
        <f>AO90/'2017-18 disagg'!AO90-1</f>
        <v>4.1635295889173252E-2</v>
      </c>
      <c r="BH90" s="16">
        <f>AQ90/'2017-18 disagg'!AQ90-1</f>
        <v>2.5249223483193806E-2</v>
      </c>
      <c r="BI90" s="1"/>
      <c r="BJ90" s="16">
        <f>AS90/'2017-18 disagg'!AS90-1</f>
        <v>1.7932666062847824E-2</v>
      </c>
      <c r="BK90" s="16">
        <f>AT90/'2017-18 disagg'!AT90-1</f>
        <v>1.7347988850892504E-2</v>
      </c>
      <c r="BL90" s="16">
        <f>AU90/'2017-18 disagg'!AU90-1</f>
        <v>3.7305164271157265E-2</v>
      </c>
      <c r="BM90" s="16">
        <f>AW90/'2017-18 disagg'!AW90-1</f>
        <v>2.0987209612819635E-2</v>
      </c>
    </row>
    <row r="91" spans="1:65" x14ac:dyDescent="0.2">
      <c r="A91" s="156" t="s">
        <v>227</v>
      </c>
      <c r="B91" s="156" t="s">
        <v>228</v>
      </c>
      <c r="D91" s="56">
        <f>VLOOKUP(A91,'2018-19'!$A$12:$AMX299,32,FALSE)</f>
        <v>440280</v>
      </c>
      <c r="E91" s="56">
        <v>1561.3718885825699</v>
      </c>
      <c r="F91" s="16">
        <f>VLOOKUP(A91,'2018-19'!$A$12:$AMX299,34,FALSE)</f>
        <v>2.3466648070016305E-2</v>
      </c>
      <c r="G91" s="16">
        <f>VLOOKUP(A91,'2018-19'!$A$12:$AMX299,35,FALSE)</f>
        <v>1.7596976363616568E-2</v>
      </c>
      <c r="H91" s="56"/>
      <c r="I91" s="56">
        <v>441496.71183359891</v>
      </c>
      <c r="J91" s="56">
        <v>1565.686732894115</v>
      </c>
      <c r="K91" s="16">
        <f t="shared" si="23"/>
        <v>-2.7558797177575922E-3</v>
      </c>
      <c r="L91" s="58">
        <f t="shared" si="23"/>
        <v>-2.7558797177577032E-3</v>
      </c>
      <c r="M91" s="10"/>
      <c r="N91" s="56">
        <v>332902</v>
      </c>
      <c r="O91" s="56">
        <v>36533</v>
      </c>
      <c r="P91" s="56">
        <v>70845</v>
      </c>
      <c r="R91" s="56">
        <f t="shared" si="24"/>
        <v>70845</v>
      </c>
      <c r="S91" s="56">
        <f t="shared" si="25"/>
        <v>0</v>
      </c>
      <c r="U91" s="16">
        <v>-2.6273151618131485E-2</v>
      </c>
      <c r="V91" s="16">
        <v>3.9650017997393538E-2</v>
      </c>
      <c r="W91" s="56">
        <f t="shared" si="26"/>
        <v>1</v>
      </c>
      <c r="X91" s="56">
        <f t="shared" si="27"/>
        <v>3418.8438015570164</v>
      </c>
      <c r="Y91" s="56">
        <f t="shared" si="27"/>
        <v>351.39709871184351</v>
      </c>
      <c r="AA91" s="56">
        <f t="shared" si="39"/>
        <v>0</v>
      </c>
      <c r="AB91" s="56">
        <v>0</v>
      </c>
      <c r="AC91" s="56">
        <f t="shared" si="28"/>
        <v>0</v>
      </c>
      <c r="AE91" s="56">
        <v>0</v>
      </c>
      <c r="AF91" s="56">
        <f t="shared" si="29"/>
        <v>0</v>
      </c>
      <c r="AG91" s="56">
        <f t="shared" si="30"/>
        <v>0</v>
      </c>
      <c r="AI91" s="56">
        <f t="shared" si="31"/>
        <v>0</v>
      </c>
      <c r="AJ91" s="56">
        <f t="shared" si="32"/>
        <v>0</v>
      </c>
      <c r="AK91" s="56">
        <f t="shared" si="33"/>
        <v>0</v>
      </c>
      <c r="AM91" s="56">
        <f t="shared" si="34"/>
        <v>332902</v>
      </c>
      <c r="AN91" s="56">
        <f t="shared" si="35"/>
        <v>36533</v>
      </c>
      <c r="AO91" s="56">
        <f t="shared" si="36"/>
        <v>70845</v>
      </c>
      <c r="AP91" s="56"/>
      <c r="AQ91" s="56">
        <f t="shared" si="37"/>
        <v>440280</v>
      </c>
      <c r="AR91" s="1"/>
      <c r="AS91" s="56">
        <v>1180.5755983758397</v>
      </c>
      <c r="AT91" s="56">
        <v>129.55755247930188</v>
      </c>
      <c r="AU91" s="56">
        <v>251.23873772742837</v>
      </c>
      <c r="AV91" s="56"/>
      <c r="AW91" s="56">
        <v>1561.3718885825699</v>
      </c>
      <c r="AX91" s="1"/>
      <c r="AY91" s="16">
        <v>-2.6273151618131485E-2</v>
      </c>
      <c r="AZ91" s="16">
        <v>3.9650017997393538E-2</v>
      </c>
      <c r="BA91" s="16">
        <v>9.8838514934158628E-2</v>
      </c>
      <c r="BB91" s="16">
        <f t="shared" si="38"/>
        <v>-2.7558797177575922E-3</v>
      </c>
      <c r="BC91" s="16"/>
      <c r="BD91" s="1"/>
      <c r="BE91" s="16">
        <f>AM91/'2017-18 disagg'!AM91-1</f>
        <v>1.9870349492671968E-2</v>
      </c>
      <c r="BF91" s="16">
        <f>AN91/'2017-18 disagg'!AN91-1</f>
        <v>1.8682207288849284E-2</v>
      </c>
      <c r="BG91" s="16">
        <f>AO91/'2017-18 disagg'!AO91-1</f>
        <v>4.3280417047094621E-2</v>
      </c>
      <c r="BH91" s="16">
        <f>AQ91/'2017-18 disagg'!AQ91-1</f>
        <v>2.3466648070016305E-2</v>
      </c>
      <c r="BI91" s="1"/>
      <c r="BJ91" s="16">
        <f>AS91/'2017-18 disagg'!AS91-1</f>
        <v>1.4021302876544794E-2</v>
      </c>
      <c r="BK91" s="16">
        <f>AT91/'2017-18 disagg'!AT91-1</f>
        <v>1.283997477329879E-2</v>
      </c>
      <c r="BL91" s="16">
        <f>AU91/'2017-18 disagg'!AU91-1</f>
        <v>3.7297111623972201E-2</v>
      </c>
      <c r="BM91" s="16">
        <f>AW91/'2017-18 disagg'!AW91-1</f>
        <v>1.7596976363616568E-2</v>
      </c>
    </row>
    <row r="92" spans="1:65" x14ac:dyDescent="0.2">
      <c r="A92" s="156" t="s">
        <v>229</v>
      </c>
      <c r="B92" s="156" t="s">
        <v>230</v>
      </c>
      <c r="D92" s="56">
        <f>VLOOKUP(A92,'2018-19'!$A$12:$AMX300,32,FALSE)</f>
        <v>469101.64032268047</v>
      </c>
      <c r="E92" s="56">
        <v>1538.3637829115719</v>
      </c>
      <c r="F92" s="16">
        <f>VLOOKUP(A92,'2018-19'!$A$12:$AMX300,34,FALSE)</f>
        <v>2.2564883537178115E-2</v>
      </c>
      <c r="G92" s="16">
        <f>VLOOKUP(A92,'2018-19'!$A$12:$AMX300,35,FALSE)</f>
        <v>1.8120177081049293E-2</v>
      </c>
      <c r="H92" s="56"/>
      <c r="I92" s="56">
        <v>478518.81996793242</v>
      </c>
      <c r="J92" s="56">
        <v>1569.2463185033519</v>
      </c>
      <c r="K92" s="16">
        <f t="shared" si="23"/>
        <v>-1.9679852186133551E-2</v>
      </c>
      <c r="L92" s="58">
        <f t="shared" si="23"/>
        <v>-1.967985218613344E-2</v>
      </c>
      <c r="M92" s="10"/>
      <c r="N92" s="56">
        <v>350410</v>
      </c>
      <c r="O92" s="56">
        <v>45720</v>
      </c>
      <c r="P92" s="56">
        <v>72824</v>
      </c>
      <c r="R92" s="56">
        <f t="shared" si="24"/>
        <v>72824</v>
      </c>
      <c r="S92" s="56">
        <f t="shared" si="25"/>
        <v>147.64032268046867</v>
      </c>
      <c r="U92" s="16">
        <v>-2.9975917416564246E-2</v>
      </c>
      <c r="V92" s="16">
        <v>0.16746092053958228</v>
      </c>
      <c r="W92" s="56">
        <f t="shared" si="26"/>
        <v>1</v>
      </c>
      <c r="X92" s="56">
        <f t="shared" si="27"/>
        <v>3612.3845406679357</v>
      </c>
      <c r="Y92" s="56">
        <f t="shared" si="27"/>
        <v>391.61910429403434</v>
      </c>
      <c r="AA92" s="56">
        <f t="shared" si="39"/>
        <v>147.64032268046867</v>
      </c>
      <c r="AB92" s="56">
        <v>0</v>
      </c>
      <c r="AC92" s="56">
        <f t="shared" si="28"/>
        <v>0</v>
      </c>
      <c r="AE92" s="56">
        <v>0</v>
      </c>
      <c r="AF92" s="56">
        <f t="shared" si="29"/>
        <v>0</v>
      </c>
      <c r="AG92" s="56">
        <f t="shared" si="30"/>
        <v>0</v>
      </c>
      <c r="AI92" s="56">
        <f t="shared" si="31"/>
        <v>0</v>
      </c>
      <c r="AJ92" s="56">
        <f t="shared" si="32"/>
        <v>0</v>
      </c>
      <c r="AK92" s="56">
        <f t="shared" si="33"/>
        <v>0</v>
      </c>
      <c r="AM92" s="56">
        <f t="shared" si="34"/>
        <v>350558</v>
      </c>
      <c r="AN92" s="56">
        <f t="shared" si="35"/>
        <v>45720</v>
      </c>
      <c r="AO92" s="56">
        <f t="shared" si="36"/>
        <v>72824</v>
      </c>
      <c r="AP92" s="56"/>
      <c r="AQ92" s="56">
        <f t="shared" si="37"/>
        <v>469102</v>
      </c>
      <c r="AR92" s="1"/>
      <c r="AS92" s="56">
        <v>1149.6138249249286</v>
      </c>
      <c r="AT92" s="56">
        <v>149.93337500661156</v>
      </c>
      <c r="AU92" s="56">
        <v>238.81776249959492</v>
      </c>
      <c r="AV92" s="56"/>
      <c r="AW92" s="56">
        <v>1538.3649624311352</v>
      </c>
      <c r="AX92" s="1"/>
      <c r="AY92" s="16">
        <v>-2.9566215740749247E-2</v>
      </c>
      <c r="AZ92" s="16">
        <v>0.16746092053958228</v>
      </c>
      <c r="BA92" s="16">
        <v>-6.7774707522873179E-2</v>
      </c>
      <c r="BB92" s="16">
        <f t="shared" si="38"/>
        <v>-1.9679100538957828E-2</v>
      </c>
      <c r="BC92" s="16"/>
      <c r="BD92" s="1"/>
      <c r="BE92" s="16">
        <f>AM92/'2017-18 disagg'!AM92-1</f>
        <v>2.0300771574845111E-2</v>
      </c>
      <c r="BF92" s="16">
        <f>AN92/'2017-18 disagg'!AN92-1</f>
        <v>1.0007290078865472E-2</v>
      </c>
      <c r="BG92" s="16">
        <f>AO92/'2017-18 disagg'!AO92-1</f>
        <v>4.1831187410586557E-2</v>
      </c>
      <c r="BH92" s="16">
        <f>AQ92/'2017-18 disagg'!AQ92-1</f>
        <v>2.2565667574931947E-2</v>
      </c>
      <c r="BI92" s="1"/>
      <c r="BJ92" s="16">
        <f>AS92/'2017-18 disagg'!AS92-1</f>
        <v>1.5865906365192028E-2</v>
      </c>
      <c r="BK92" s="16">
        <f>AT92/'2017-18 disagg'!AT92-1</f>
        <v>5.6171667769364664E-3</v>
      </c>
      <c r="BL92" s="16">
        <f>AU92/'2017-18 disagg'!AU92-1</f>
        <v>3.7302737549427256E-2</v>
      </c>
      <c r="BM92" s="16">
        <f>AW92/'2017-18 disagg'!AW92-1</f>
        <v>1.8120957710884511E-2</v>
      </c>
    </row>
    <row r="93" spans="1:65" x14ac:dyDescent="0.2">
      <c r="A93" s="156" t="s">
        <v>231</v>
      </c>
      <c r="B93" s="156" t="s">
        <v>232</v>
      </c>
      <c r="D93" s="56">
        <f>VLOOKUP(A93,'2018-19'!$A$12:$AMX301,32,FALSE)</f>
        <v>234559</v>
      </c>
      <c r="E93" s="56">
        <v>1582.5971877916961</v>
      </c>
      <c r="F93" s="16">
        <f>VLOOKUP(A93,'2018-19'!$A$12:$AMX301,34,FALSE)</f>
        <v>2.3100107736529596E-2</v>
      </c>
      <c r="G93" s="16">
        <f>VLOOKUP(A93,'2018-19'!$A$12:$AMX301,35,FALSE)</f>
        <v>1.9335311173866776E-2</v>
      </c>
      <c r="H93" s="56"/>
      <c r="I93" s="56">
        <v>235826.74318422424</v>
      </c>
      <c r="J93" s="56">
        <v>1591.1508003079302</v>
      </c>
      <c r="K93" s="16">
        <f t="shared" si="23"/>
        <v>-5.3757396939239088E-3</v>
      </c>
      <c r="L93" s="58">
        <f t="shared" si="23"/>
        <v>-5.3757396939239088E-3</v>
      </c>
      <c r="M93" s="10"/>
      <c r="N93" s="56">
        <v>175056</v>
      </c>
      <c r="O93" s="56">
        <v>19134</v>
      </c>
      <c r="P93" s="56">
        <v>40369</v>
      </c>
      <c r="R93" s="56">
        <f t="shared" si="24"/>
        <v>40369</v>
      </c>
      <c r="S93" s="56">
        <f t="shared" si="25"/>
        <v>0</v>
      </c>
      <c r="U93" s="16">
        <v>-2.5221530875058185E-2</v>
      </c>
      <c r="V93" s="16">
        <v>5.3351279055334988E-2</v>
      </c>
      <c r="W93" s="56">
        <f t="shared" si="26"/>
        <v>1</v>
      </c>
      <c r="X93" s="56">
        <f t="shared" si="27"/>
        <v>1795.8541919493532</v>
      </c>
      <c r="Y93" s="56">
        <f t="shared" si="27"/>
        <v>181.64880396936272</v>
      </c>
      <c r="AA93" s="56">
        <f t="shared" si="39"/>
        <v>0</v>
      </c>
      <c r="AB93" s="56">
        <v>0</v>
      </c>
      <c r="AC93" s="56">
        <f t="shared" si="28"/>
        <v>0</v>
      </c>
      <c r="AE93" s="56">
        <v>0</v>
      </c>
      <c r="AF93" s="56">
        <f t="shared" si="29"/>
        <v>0</v>
      </c>
      <c r="AG93" s="56">
        <f t="shared" si="30"/>
        <v>0</v>
      </c>
      <c r="AI93" s="56">
        <f t="shared" si="31"/>
        <v>0</v>
      </c>
      <c r="AJ93" s="56">
        <f t="shared" si="32"/>
        <v>0</v>
      </c>
      <c r="AK93" s="56">
        <f t="shared" si="33"/>
        <v>0</v>
      </c>
      <c r="AM93" s="56">
        <f t="shared" si="34"/>
        <v>175056</v>
      </c>
      <c r="AN93" s="56">
        <f t="shared" si="35"/>
        <v>19134</v>
      </c>
      <c r="AO93" s="56">
        <f t="shared" si="36"/>
        <v>40369</v>
      </c>
      <c r="AP93" s="56"/>
      <c r="AQ93" s="56">
        <f t="shared" si="37"/>
        <v>234559</v>
      </c>
      <c r="AR93" s="1"/>
      <c r="AS93" s="56">
        <v>1181.1234414627584</v>
      </c>
      <c r="AT93" s="56">
        <v>129.09935065892296</v>
      </c>
      <c r="AU93" s="56">
        <v>272.37439567001468</v>
      </c>
      <c r="AV93" s="56"/>
      <c r="AW93" s="56">
        <v>1582.5971877916961</v>
      </c>
      <c r="AX93" s="1"/>
      <c r="AY93" s="16">
        <v>-2.5221530875058185E-2</v>
      </c>
      <c r="AZ93" s="16">
        <v>5.3351279055334988E-2</v>
      </c>
      <c r="BA93" s="16">
        <v>6.0209310307220987E-2</v>
      </c>
      <c r="BB93" s="16">
        <f t="shared" si="38"/>
        <v>-5.3757396939239088E-3</v>
      </c>
      <c r="BC93" s="16"/>
      <c r="BD93" s="1"/>
      <c r="BE93" s="16">
        <f>AM93/'2017-18 disagg'!AM93-1</f>
        <v>1.986646936135994E-2</v>
      </c>
      <c r="BF93" s="16">
        <f>AN93/'2017-18 disagg'!AN93-1</f>
        <v>1.5443400732367385E-2</v>
      </c>
      <c r="BG93" s="16">
        <f>AO93/'2017-18 disagg'!AO93-1</f>
        <v>4.1135812657966619E-2</v>
      </c>
      <c r="BH93" s="16">
        <f>AQ93/'2017-18 disagg'!AQ93-1</f>
        <v>2.3100107736529596E-2</v>
      </c>
      <c r="BI93" s="1"/>
      <c r="BJ93" s="16">
        <f>AS93/'2017-18 disagg'!AS93-1</f>
        <v>1.6113571918389802E-2</v>
      </c>
      <c r="BK93" s="16">
        <f>AT93/'2017-18 disagg'!AT93-1</f>
        <v>1.1706779266151601E-2</v>
      </c>
      <c r="BL93" s="16">
        <f>AU93/'2017-18 disagg'!AU93-1</f>
        <v>3.7304648435501742E-2</v>
      </c>
      <c r="BM93" s="16">
        <f>AW93/'2017-18 disagg'!AW93-1</f>
        <v>1.9335311173866776E-2</v>
      </c>
    </row>
    <row r="94" spans="1:65" x14ac:dyDescent="0.2">
      <c r="A94" s="156" t="s">
        <v>233</v>
      </c>
      <c r="B94" s="156" t="s">
        <v>234</v>
      </c>
      <c r="D94" s="56">
        <f>VLOOKUP(A94,'2018-19'!$A$12:$AMX302,32,FALSE)</f>
        <v>521505</v>
      </c>
      <c r="E94" s="56">
        <v>1812.7101625604885</v>
      </c>
      <c r="F94" s="16">
        <f>VLOOKUP(A94,'2018-19'!$A$12:$AMX302,34,FALSE)</f>
        <v>2.3273108287353628E-2</v>
      </c>
      <c r="G94" s="16">
        <f>VLOOKUP(A94,'2018-19'!$A$12:$AMX302,35,FALSE)</f>
        <v>1.9999945140114939E-2</v>
      </c>
      <c r="H94" s="56"/>
      <c r="I94" s="56">
        <v>515630.59873434145</v>
      </c>
      <c r="J94" s="56">
        <v>1792.2912080476506</v>
      </c>
      <c r="K94" s="16">
        <f t="shared" si="23"/>
        <v>1.1392654509018163E-2</v>
      </c>
      <c r="L94" s="58">
        <f t="shared" si="23"/>
        <v>1.1392654509018385E-2</v>
      </c>
      <c r="M94" s="10"/>
      <c r="N94" s="56">
        <v>394408</v>
      </c>
      <c r="O94" s="56">
        <v>39038</v>
      </c>
      <c r="P94" s="56">
        <v>88059</v>
      </c>
      <c r="R94" s="56">
        <f t="shared" si="24"/>
        <v>88059</v>
      </c>
      <c r="S94" s="56">
        <f t="shared" si="25"/>
        <v>0</v>
      </c>
      <c r="U94" s="16">
        <v>-2.7736430558122915E-4</v>
      </c>
      <c r="V94" s="16">
        <v>-3.1350764453206503E-2</v>
      </c>
      <c r="W94" s="56">
        <f t="shared" si="26"/>
        <v>4</v>
      </c>
      <c r="X94" s="56">
        <f t="shared" si="27"/>
        <v>3945.1742505163916</v>
      </c>
      <c r="Y94" s="56">
        <f t="shared" si="27"/>
        <v>403.01482278013066</v>
      </c>
      <c r="AA94" s="56">
        <f t="shared" si="39"/>
        <v>0</v>
      </c>
      <c r="AB94" s="56">
        <v>0</v>
      </c>
      <c r="AC94" s="56">
        <f t="shared" si="28"/>
        <v>0</v>
      </c>
      <c r="AE94" s="56">
        <v>0</v>
      </c>
      <c r="AF94" s="56">
        <f t="shared" si="29"/>
        <v>0</v>
      </c>
      <c r="AG94" s="56">
        <f t="shared" si="30"/>
        <v>0</v>
      </c>
      <c r="AI94" s="56">
        <f t="shared" si="31"/>
        <v>0</v>
      </c>
      <c r="AJ94" s="56">
        <f t="shared" si="32"/>
        <v>0</v>
      </c>
      <c r="AK94" s="56">
        <f t="shared" si="33"/>
        <v>0</v>
      </c>
      <c r="AM94" s="56">
        <f t="shared" si="34"/>
        <v>394408</v>
      </c>
      <c r="AN94" s="56">
        <f t="shared" si="35"/>
        <v>39038</v>
      </c>
      <c r="AO94" s="56">
        <f t="shared" si="36"/>
        <v>88059</v>
      </c>
      <c r="AP94" s="56"/>
      <c r="AQ94" s="56">
        <f t="shared" si="37"/>
        <v>521505</v>
      </c>
      <c r="AR94" s="1"/>
      <c r="AS94" s="56">
        <v>1370.9310357430074</v>
      </c>
      <c r="AT94" s="56">
        <v>135.69300260982416</v>
      </c>
      <c r="AU94" s="56">
        <v>306.08612420765678</v>
      </c>
      <c r="AV94" s="56"/>
      <c r="AW94" s="56">
        <v>1812.7101625604885</v>
      </c>
      <c r="AX94" s="1"/>
      <c r="AY94" s="16">
        <v>-2.7736430558122915E-4</v>
      </c>
      <c r="AZ94" s="16">
        <v>-3.1350764453206503E-2</v>
      </c>
      <c r="BA94" s="16">
        <v>8.9681436798763059E-2</v>
      </c>
      <c r="BB94" s="16">
        <f t="shared" si="38"/>
        <v>1.1392654509018163E-2</v>
      </c>
      <c r="BC94" s="16"/>
      <c r="BD94" s="1"/>
      <c r="BE94" s="16">
        <f>AM94/'2017-18 disagg'!AM94-1</f>
        <v>1.9869467630661664E-2</v>
      </c>
      <c r="BF94" s="16">
        <f>AN94/'2017-18 disagg'!AN94-1</f>
        <v>1.9295542964568257E-2</v>
      </c>
      <c r="BG94" s="16">
        <f>AO94/'2017-18 disagg'!AO94-1</f>
        <v>4.0628212854965096E-2</v>
      </c>
      <c r="BH94" s="16">
        <f>AQ94/'2017-18 disagg'!AQ94-1</f>
        <v>2.3273108287353628E-2</v>
      </c>
      <c r="BI94" s="1"/>
      <c r="BJ94" s="16">
        <f>AS94/'2017-18 disagg'!AS94-1</f>
        <v>1.6607191773506003E-2</v>
      </c>
      <c r="BK94" s="16">
        <f>AT94/'2017-18 disagg'!AT94-1</f>
        <v>1.6035102931154066E-2</v>
      </c>
      <c r="BL94" s="16">
        <f>AU94/'2017-18 disagg'!AU94-1</f>
        <v>3.7299535604768952E-2</v>
      </c>
      <c r="BM94" s="16">
        <f>AW94/'2017-18 disagg'!AW94-1</f>
        <v>1.9999945140114939E-2</v>
      </c>
    </row>
    <row r="95" spans="1:65" x14ac:dyDescent="0.2">
      <c r="A95" s="156" t="s">
        <v>235</v>
      </c>
      <c r="B95" s="156" t="s">
        <v>236</v>
      </c>
      <c r="D95" s="56">
        <f>VLOOKUP(A95,'2018-19'!$A$12:$AMX303,32,FALSE)</f>
        <v>283511.12415783148</v>
      </c>
      <c r="E95" s="56">
        <v>1565.9424859938913</v>
      </c>
      <c r="F95" s="16">
        <f>VLOOKUP(A95,'2018-19'!$A$12:$AMX303,34,FALSE)</f>
        <v>2.3409803259735407E-2</v>
      </c>
      <c r="G95" s="16">
        <f>VLOOKUP(A95,'2018-19'!$A$12:$AMX303,35,FALSE)</f>
        <v>1.9328285863287942E-2</v>
      </c>
      <c r="H95" s="56"/>
      <c r="I95" s="56">
        <v>290093.15391822881</v>
      </c>
      <c r="J95" s="56">
        <v>1602.2976028398332</v>
      </c>
      <c r="K95" s="16">
        <f t="shared" si="23"/>
        <v>-2.2689366058782134E-2</v>
      </c>
      <c r="L95" s="58">
        <f t="shared" si="23"/>
        <v>-2.2689366058782023E-2</v>
      </c>
      <c r="M95" s="10"/>
      <c r="N95" s="56">
        <v>213778</v>
      </c>
      <c r="O95" s="56">
        <v>23435</v>
      </c>
      <c r="P95" s="56">
        <v>46263</v>
      </c>
      <c r="R95" s="56">
        <f t="shared" si="24"/>
        <v>46263</v>
      </c>
      <c r="S95" s="56">
        <f t="shared" si="25"/>
        <v>35.124157831480261</v>
      </c>
      <c r="U95" s="16">
        <v>-2.9980554314107066E-2</v>
      </c>
      <c r="V95" s="16">
        <v>6.1603013127824457E-3</v>
      </c>
      <c r="W95" s="56">
        <f t="shared" si="26"/>
        <v>1</v>
      </c>
      <c r="X95" s="56">
        <f t="shared" si="27"/>
        <v>2203.8527263630194</v>
      </c>
      <c r="Y95" s="56">
        <f t="shared" si="27"/>
        <v>232.91517235795632</v>
      </c>
      <c r="AA95" s="56">
        <f t="shared" si="39"/>
        <v>35.124157831480261</v>
      </c>
      <c r="AB95" s="56">
        <v>0</v>
      </c>
      <c r="AC95" s="56">
        <f t="shared" si="28"/>
        <v>0</v>
      </c>
      <c r="AE95" s="56">
        <v>0</v>
      </c>
      <c r="AF95" s="56">
        <f t="shared" si="29"/>
        <v>0</v>
      </c>
      <c r="AG95" s="56">
        <f t="shared" si="30"/>
        <v>0</v>
      </c>
      <c r="AI95" s="56">
        <f t="shared" si="31"/>
        <v>0</v>
      </c>
      <c r="AJ95" s="56">
        <f t="shared" si="32"/>
        <v>0</v>
      </c>
      <c r="AK95" s="56">
        <f t="shared" si="33"/>
        <v>0</v>
      </c>
      <c r="AM95" s="56">
        <f t="shared" si="34"/>
        <v>213813</v>
      </c>
      <c r="AN95" s="56">
        <f t="shared" si="35"/>
        <v>23435</v>
      </c>
      <c r="AO95" s="56">
        <f t="shared" si="36"/>
        <v>46263</v>
      </c>
      <c r="AP95" s="56"/>
      <c r="AQ95" s="56">
        <f t="shared" si="37"/>
        <v>283511</v>
      </c>
      <c r="AR95" s="1"/>
      <c r="AS95" s="56">
        <v>1180.9725694270014</v>
      </c>
      <c r="AT95" s="56">
        <v>129.4406428258421</v>
      </c>
      <c r="AU95" s="56">
        <v>255.5285879689325</v>
      </c>
      <c r="AV95" s="56"/>
      <c r="AW95" s="56">
        <v>1565.941800221776</v>
      </c>
      <c r="AX95" s="1"/>
      <c r="AY95" s="16">
        <v>-2.9821741524208134E-2</v>
      </c>
      <c r="AZ95" s="16">
        <v>6.1603013127824457E-3</v>
      </c>
      <c r="BA95" s="16">
        <v>-3.3040943486837282E-3</v>
      </c>
      <c r="BB95" s="16">
        <f t="shared" si="38"/>
        <v>-2.2689794051755419E-2</v>
      </c>
      <c r="BC95" s="16"/>
      <c r="BD95" s="1"/>
      <c r="BE95" s="16">
        <f>AM95/'2017-18 disagg'!AM95-1</f>
        <v>2.0036925190708654E-2</v>
      </c>
      <c r="BF95" s="16">
        <f>AN95/'2017-18 disagg'!AN95-1</f>
        <v>1.9311904658344536E-2</v>
      </c>
      <c r="BG95" s="16">
        <f>AO95/'2017-18 disagg'!AO95-1</f>
        <v>4.1443428931610571E-2</v>
      </c>
      <c r="BH95" s="16">
        <f>AQ95/'2017-18 disagg'!AQ95-1</f>
        <v>2.340935507858477E-2</v>
      </c>
      <c r="BI95" s="1"/>
      <c r="BJ95" s="16">
        <f>AS95/'2017-18 disagg'!AS95-1</f>
        <v>1.5968859356353393E-2</v>
      </c>
      <c r="BK95" s="16">
        <f>AT95/'2017-18 disagg'!AT95-1</f>
        <v>1.5246730318585477E-2</v>
      </c>
      <c r="BL95" s="16">
        <f>AU95/'2017-18 disagg'!AU95-1</f>
        <v>3.7289990632444869E-2</v>
      </c>
      <c r="BM95" s="16">
        <f>AW95/'2017-18 disagg'!AW95-1</f>
        <v>1.9327839469553076E-2</v>
      </c>
    </row>
    <row r="96" spans="1:65" x14ac:dyDescent="0.2">
      <c r="A96" s="156" t="s">
        <v>237</v>
      </c>
      <c r="B96" s="156" t="s">
        <v>238</v>
      </c>
      <c r="D96" s="56">
        <f>VLOOKUP(A96,'2018-19'!$A$12:$AMX304,32,FALSE)</f>
        <v>502935</v>
      </c>
      <c r="E96" s="56">
        <v>1780.2579332829262</v>
      </c>
      <c r="F96" s="16">
        <f>VLOOKUP(A96,'2018-19'!$A$12:$AMX304,34,FALSE)</f>
        <v>2.0361169326778894E-2</v>
      </c>
      <c r="G96" s="16">
        <f>VLOOKUP(A96,'2018-19'!$A$12:$AMX304,35,FALSE)</f>
        <v>1.5152129468272379E-2</v>
      </c>
      <c r="H96" s="56"/>
      <c r="I96" s="56">
        <v>483082.79221418698</v>
      </c>
      <c r="J96" s="56">
        <v>1709.9863268052009</v>
      </c>
      <c r="K96" s="16">
        <f t="shared" si="23"/>
        <v>4.1094835307259325E-2</v>
      </c>
      <c r="L96" s="58">
        <f t="shared" si="23"/>
        <v>4.1094835307259547E-2</v>
      </c>
      <c r="M96" s="10"/>
      <c r="N96" s="56">
        <v>384010</v>
      </c>
      <c r="O96" s="56">
        <v>38937</v>
      </c>
      <c r="P96" s="56">
        <v>79988</v>
      </c>
      <c r="R96" s="56">
        <f t="shared" si="24"/>
        <v>79988</v>
      </c>
      <c r="S96" s="56">
        <f t="shared" si="25"/>
        <v>0</v>
      </c>
      <c r="U96" s="16">
        <v>5.5232190806310255E-2</v>
      </c>
      <c r="V96" s="16">
        <v>-1.5471085070810298E-2</v>
      </c>
      <c r="W96" s="56">
        <f t="shared" si="26"/>
        <v>3</v>
      </c>
      <c r="X96" s="56">
        <f t="shared" si="27"/>
        <v>3639.1042970985873</v>
      </c>
      <c r="Y96" s="56">
        <f t="shared" si="27"/>
        <v>395.48863836874176</v>
      </c>
      <c r="AA96" s="56">
        <f t="shared" si="39"/>
        <v>0</v>
      </c>
      <c r="AB96" s="56">
        <v>0</v>
      </c>
      <c r="AC96" s="56">
        <f t="shared" si="28"/>
        <v>0</v>
      </c>
      <c r="AE96" s="56">
        <v>0</v>
      </c>
      <c r="AF96" s="56">
        <f t="shared" si="29"/>
        <v>0</v>
      </c>
      <c r="AG96" s="56">
        <f t="shared" si="30"/>
        <v>0</v>
      </c>
      <c r="AI96" s="56">
        <f t="shared" si="31"/>
        <v>0</v>
      </c>
      <c r="AJ96" s="56">
        <f t="shared" si="32"/>
        <v>0</v>
      </c>
      <c r="AK96" s="56">
        <f t="shared" si="33"/>
        <v>0</v>
      </c>
      <c r="AM96" s="56">
        <f t="shared" si="34"/>
        <v>384010</v>
      </c>
      <c r="AN96" s="56">
        <f t="shared" si="35"/>
        <v>38937</v>
      </c>
      <c r="AO96" s="56">
        <f t="shared" si="36"/>
        <v>79988</v>
      </c>
      <c r="AP96" s="56"/>
      <c r="AQ96" s="56">
        <f t="shared" si="37"/>
        <v>502935</v>
      </c>
      <c r="AR96" s="1"/>
      <c r="AS96" s="56">
        <v>1359.2946383925885</v>
      </c>
      <c r="AT96" s="56">
        <v>137.82676319651105</v>
      </c>
      <c r="AU96" s="56">
        <v>283.13653169382661</v>
      </c>
      <c r="AV96" s="56"/>
      <c r="AW96" s="56">
        <v>1780.2579332829262</v>
      </c>
      <c r="AX96" s="1"/>
      <c r="AY96" s="16">
        <v>5.5232190806310255E-2</v>
      </c>
      <c r="AZ96" s="16">
        <v>-1.5471085070810298E-2</v>
      </c>
      <c r="BA96" s="16">
        <v>4.577811056360126E-3</v>
      </c>
      <c r="BB96" s="16">
        <f t="shared" si="38"/>
        <v>4.1094835307259325E-2</v>
      </c>
      <c r="BC96" s="16"/>
      <c r="BD96" s="1"/>
      <c r="BE96" s="16">
        <f>AM96/'2017-18 disagg'!AM96-1</f>
        <v>1.5950537196314007E-2</v>
      </c>
      <c r="BF96" s="16">
        <f>AN96/'2017-18 disagg'!AN96-1</f>
        <v>1.9293193717277557E-2</v>
      </c>
      <c r="BG96" s="16">
        <f>AO96/'2017-18 disagg'!AO96-1</f>
        <v>4.2623634609869843E-2</v>
      </c>
      <c r="BH96" s="16">
        <f>AQ96/'2017-18 disagg'!AQ96-1</f>
        <v>2.0361169326778894E-2</v>
      </c>
      <c r="BI96" s="1"/>
      <c r="BJ96" s="16">
        <f>AS96/'2017-18 disagg'!AS96-1</f>
        <v>1.0764014030190117E-2</v>
      </c>
      <c r="BK96" s="16">
        <f>AT96/'2017-18 disagg'!AT96-1</f>
        <v>1.4089605974830333E-2</v>
      </c>
      <c r="BL96" s="16">
        <f>AU96/'2017-18 disagg'!AU96-1</f>
        <v>3.7300942769600054E-2</v>
      </c>
      <c r="BM96" s="16">
        <f>AW96/'2017-18 disagg'!AW96-1</f>
        <v>1.5152129468272379E-2</v>
      </c>
    </row>
    <row r="97" spans="1:65" x14ac:dyDescent="0.2">
      <c r="A97" s="156" t="s">
        <v>239</v>
      </c>
      <c r="B97" s="156" t="s">
        <v>240</v>
      </c>
      <c r="D97" s="56">
        <f>VLOOKUP(A97,'2018-19'!$A$12:$AMX305,32,FALSE)</f>
        <v>308576</v>
      </c>
      <c r="E97" s="56">
        <v>1631.5662924454882</v>
      </c>
      <c r="F97" s="16">
        <f>VLOOKUP(A97,'2018-19'!$A$12:$AMX305,34,FALSE)</f>
        <v>2.4060320052036621E-2</v>
      </c>
      <c r="G97" s="16">
        <f>VLOOKUP(A97,'2018-19'!$A$12:$AMX305,35,FALSE)</f>
        <v>1.8882830784602067E-2</v>
      </c>
      <c r="H97" s="56"/>
      <c r="I97" s="56">
        <v>315224.65110339271</v>
      </c>
      <c r="J97" s="56">
        <v>1666.7204036872117</v>
      </c>
      <c r="K97" s="16">
        <f t="shared" si="23"/>
        <v>-2.1091786699168891E-2</v>
      </c>
      <c r="L97" s="58">
        <f t="shared" si="23"/>
        <v>-2.1091786699169002E-2</v>
      </c>
      <c r="M97" s="10"/>
      <c r="N97" s="56">
        <v>238381</v>
      </c>
      <c r="O97" s="56">
        <v>23655</v>
      </c>
      <c r="P97" s="56">
        <v>46540</v>
      </c>
      <c r="R97" s="56">
        <f t="shared" si="24"/>
        <v>46540</v>
      </c>
      <c r="S97" s="56">
        <f t="shared" si="25"/>
        <v>0</v>
      </c>
      <c r="U97" s="16">
        <v>-2.1339839714214492E-2</v>
      </c>
      <c r="V97" s="16">
        <v>-4.8646966514513057E-2</v>
      </c>
      <c r="W97" s="56">
        <f t="shared" si="26"/>
        <v>4</v>
      </c>
      <c r="X97" s="56">
        <f t="shared" si="27"/>
        <v>2435.7893544004964</v>
      </c>
      <c r="Y97" s="56">
        <f t="shared" si="27"/>
        <v>248.64586717440537</v>
      </c>
      <c r="AA97" s="56">
        <f t="shared" si="39"/>
        <v>0</v>
      </c>
      <c r="AB97" s="56">
        <v>0</v>
      </c>
      <c r="AC97" s="56">
        <f t="shared" si="28"/>
        <v>0</v>
      </c>
      <c r="AE97" s="56">
        <v>0</v>
      </c>
      <c r="AF97" s="56">
        <f t="shared" si="29"/>
        <v>0</v>
      </c>
      <c r="AG97" s="56">
        <f t="shared" si="30"/>
        <v>0</v>
      </c>
      <c r="AI97" s="56">
        <f t="shared" si="31"/>
        <v>0</v>
      </c>
      <c r="AJ97" s="56">
        <f t="shared" si="32"/>
        <v>0</v>
      </c>
      <c r="AK97" s="56">
        <f t="shared" si="33"/>
        <v>0</v>
      </c>
      <c r="AM97" s="56">
        <f t="shared" si="34"/>
        <v>238381</v>
      </c>
      <c r="AN97" s="56">
        <f t="shared" si="35"/>
        <v>23655</v>
      </c>
      <c r="AO97" s="56">
        <f t="shared" si="36"/>
        <v>46540</v>
      </c>
      <c r="AP97" s="56"/>
      <c r="AQ97" s="56">
        <f t="shared" si="37"/>
        <v>308576</v>
      </c>
      <c r="AR97" s="1"/>
      <c r="AS97" s="56">
        <v>1260.4168968404799</v>
      </c>
      <c r="AT97" s="56">
        <v>125.0735658242962</v>
      </c>
      <c r="AU97" s="56">
        <v>246.0758297807121</v>
      </c>
      <c r="AV97" s="56"/>
      <c r="AW97" s="56">
        <v>1631.5662924454882</v>
      </c>
      <c r="AX97" s="1"/>
      <c r="AY97" s="16">
        <v>-2.1339839714214492E-2</v>
      </c>
      <c r="AZ97" s="16">
        <v>-4.8646966514513057E-2</v>
      </c>
      <c r="BA97" s="16">
        <v>-5.1544063030493081E-3</v>
      </c>
      <c r="BB97" s="16">
        <f t="shared" si="38"/>
        <v>-2.1091786699168891E-2</v>
      </c>
      <c r="BC97" s="16"/>
      <c r="BD97" s="1"/>
      <c r="BE97" s="16">
        <f>AM97/'2017-18 disagg'!AM97-1</f>
        <v>1.9868484664387731E-2</v>
      </c>
      <c r="BF97" s="16">
        <f>AN97/'2017-18 disagg'!AN97-1</f>
        <v>3.0763867706653958E-2</v>
      </c>
      <c r="BG97" s="16">
        <f>AO97/'2017-18 disagg'!AO97-1</f>
        <v>4.2562724014336917E-2</v>
      </c>
      <c r="BH97" s="16">
        <f>AQ97/'2017-18 disagg'!AQ97-1</f>
        <v>2.4060320052036621E-2</v>
      </c>
      <c r="BI97" s="1"/>
      <c r="BJ97" s="16">
        <f>AS97/'2017-18 disagg'!AS97-1</f>
        <v>1.4712188662921344E-2</v>
      </c>
      <c r="BK97" s="16">
        <f>AT97/'2017-18 disagg'!AT97-1</f>
        <v>2.5552486347751646E-2</v>
      </c>
      <c r="BL97" s="16">
        <f>AU97/'2017-18 disagg'!AU97-1</f>
        <v>3.7291689478073042E-2</v>
      </c>
      <c r="BM97" s="16">
        <f>AW97/'2017-18 disagg'!AW97-1</f>
        <v>1.8882830784602067E-2</v>
      </c>
    </row>
    <row r="98" spans="1:65" x14ac:dyDescent="0.2">
      <c r="A98" s="156" t="s">
        <v>241</v>
      </c>
      <c r="B98" s="156" t="s">
        <v>242</v>
      </c>
      <c r="D98" s="56">
        <f>VLOOKUP(A98,'2018-19'!$A$12:$AMX306,32,FALSE)</f>
        <v>467943</v>
      </c>
      <c r="E98" s="56">
        <v>1727.9228485615477</v>
      </c>
      <c r="F98" s="16">
        <f>VLOOKUP(A98,'2018-19'!$A$12:$AMX306,34,FALSE)</f>
        <v>2.4158194810737443E-2</v>
      </c>
      <c r="G98" s="16">
        <f>VLOOKUP(A98,'2018-19'!$A$12:$AMX306,35,FALSE)</f>
        <v>2.0465591375748549E-2</v>
      </c>
      <c r="H98" s="56"/>
      <c r="I98" s="56">
        <v>476222.99341628316</v>
      </c>
      <c r="J98" s="56">
        <v>1758.4974907934754</v>
      </c>
      <c r="K98" s="16">
        <f t="shared" si="23"/>
        <v>-1.7386798896216527E-2</v>
      </c>
      <c r="L98" s="58">
        <f t="shared" si="23"/>
        <v>-1.7386798896216638E-2</v>
      </c>
      <c r="M98" s="10"/>
      <c r="N98" s="56">
        <v>351056</v>
      </c>
      <c r="O98" s="56">
        <v>36745</v>
      </c>
      <c r="P98" s="56">
        <v>80142</v>
      </c>
      <c r="R98" s="56">
        <f t="shared" si="24"/>
        <v>80142</v>
      </c>
      <c r="S98" s="56">
        <f t="shared" si="25"/>
        <v>0</v>
      </c>
      <c r="U98" s="16">
        <v>-1.8037726959555189E-2</v>
      </c>
      <c r="V98" s="16">
        <v>-4.8653674811038328E-2</v>
      </c>
      <c r="W98" s="56">
        <f t="shared" si="26"/>
        <v>4</v>
      </c>
      <c r="X98" s="56">
        <f t="shared" si="27"/>
        <v>3575.0456981715506</v>
      </c>
      <c r="Y98" s="56">
        <f t="shared" si="27"/>
        <v>386.2420974055006</v>
      </c>
      <c r="AA98" s="56">
        <f t="shared" si="39"/>
        <v>0</v>
      </c>
      <c r="AB98" s="56">
        <v>0</v>
      </c>
      <c r="AC98" s="56">
        <f t="shared" si="28"/>
        <v>0</v>
      </c>
      <c r="AE98" s="56">
        <v>0</v>
      </c>
      <c r="AF98" s="56">
        <f t="shared" si="29"/>
        <v>0</v>
      </c>
      <c r="AG98" s="56">
        <f t="shared" si="30"/>
        <v>0</v>
      </c>
      <c r="AI98" s="56">
        <f t="shared" si="31"/>
        <v>0</v>
      </c>
      <c r="AJ98" s="56">
        <f t="shared" si="32"/>
        <v>0</v>
      </c>
      <c r="AK98" s="56">
        <f t="shared" si="33"/>
        <v>0</v>
      </c>
      <c r="AM98" s="56">
        <f t="shared" si="34"/>
        <v>351056</v>
      </c>
      <c r="AN98" s="56">
        <f t="shared" si="35"/>
        <v>36745</v>
      </c>
      <c r="AO98" s="56">
        <f t="shared" si="36"/>
        <v>80142</v>
      </c>
      <c r="AP98" s="56"/>
      <c r="AQ98" s="56">
        <f t="shared" si="37"/>
        <v>467943</v>
      </c>
      <c r="AR98" s="1"/>
      <c r="AS98" s="56">
        <v>1296.3067799382034</v>
      </c>
      <c r="AT98" s="56">
        <v>135.68431426561369</v>
      </c>
      <c r="AU98" s="56">
        <v>295.93175435773065</v>
      </c>
      <c r="AV98" s="56"/>
      <c r="AW98" s="56">
        <v>1727.9228485615477</v>
      </c>
      <c r="AX98" s="1"/>
      <c r="AY98" s="16">
        <v>-1.8037726959555189E-2</v>
      </c>
      <c r="AZ98" s="16">
        <v>-4.8653674811038328E-2</v>
      </c>
      <c r="BA98" s="16">
        <v>5.96624139496571E-4</v>
      </c>
      <c r="BB98" s="16">
        <f t="shared" si="38"/>
        <v>-1.7386798896216527E-2</v>
      </c>
      <c r="BC98" s="16"/>
      <c r="BD98" s="1"/>
      <c r="BE98" s="16">
        <f>AM98/'2017-18 disagg'!AM98-1</f>
        <v>1.9868280764750113E-2</v>
      </c>
      <c r="BF98" s="16">
        <f>AN98/'2017-18 disagg'!AN98-1</f>
        <v>2.9098750910211191E-2</v>
      </c>
      <c r="BG98" s="16">
        <f>AO98/'2017-18 disagg'!AO98-1</f>
        <v>4.1048556805487024E-2</v>
      </c>
      <c r="BH98" s="16">
        <f>AQ98/'2017-18 disagg'!AQ98-1</f>
        <v>2.4158194810737443E-2</v>
      </c>
      <c r="BI98" s="1"/>
      <c r="BJ98" s="16">
        <f>AS98/'2017-18 disagg'!AS98-1</f>
        <v>1.6191144619309261E-2</v>
      </c>
      <c r="BK98" s="16">
        <f>AT98/'2017-18 disagg'!AT98-1</f>
        <v>2.5388334295074921E-2</v>
      </c>
      <c r="BL98" s="16">
        <f>AU98/'2017-18 disagg'!AU98-1</f>
        <v>3.7295055152785306E-2</v>
      </c>
      <c r="BM98" s="16">
        <f>AW98/'2017-18 disagg'!AW98-1</f>
        <v>2.0465591375748549E-2</v>
      </c>
    </row>
    <row r="99" spans="1:65" x14ac:dyDescent="0.2">
      <c r="A99" s="156" t="s">
        <v>243</v>
      </c>
      <c r="B99" s="156" t="s">
        <v>244</v>
      </c>
      <c r="D99" s="56">
        <f>VLOOKUP(A99,'2018-19'!$A$12:$AMX307,32,FALSE)</f>
        <v>184331</v>
      </c>
      <c r="E99" s="56">
        <v>1605.5329130151645</v>
      </c>
      <c r="F99" s="16">
        <f>VLOOKUP(A99,'2018-19'!$A$12:$AMX307,34,FALSE)</f>
        <v>2.2413888734816201E-2</v>
      </c>
      <c r="G99" s="16">
        <f>VLOOKUP(A99,'2018-19'!$A$12:$AMX307,35,FALSE)</f>
        <v>2.0415194850063711E-2</v>
      </c>
      <c r="H99" s="56"/>
      <c r="I99" s="56">
        <v>188022.51119697743</v>
      </c>
      <c r="J99" s="56">
        <v>1637.6861738639163</v>
      </c>
      <c r="K99" s="16">
        <f t="shared" si="23"/>
        <v>-1.9633346951260067E-2</v>
      </c>
      <c r="L99" s="58">
        <f t="shared" si="23"/>
        <v>-1.9633346951260067E-2</v>
      </c>
      <c r="M99" s="10"/>
      <c r="N99" s="56">
        <v>141666</v>
      </c>
      <c r="O99" s="56">
        <v>15860</v>
      </c>
      <c r="P99" s="56">
        <v>26805</v>
      </c>
      <c r="R99" s="56">
        <f t="shared" si="24"/>
        <v>26805</v>
      </c>
      <c r="S99" s="56">
        <f t="shared" si="25"/>
        <v>0</v>
      </c>
      <c r="U99" s="16">
        <v>-1.7564334824900163E-2</v>
      </c>
      <c r="V99" s="16">
        <v>4.6364193836697876E-2</v>
      </c>
      <c r="W99" s="56">
        <f t="shared" si="26"/>
        <v>1</v>
      </c>
      <c r="X99" s="56">
        <f t="shared" si="27"/>
        <v>1441.9875521798247</v>
      </c>
      <c r="Y99" s="56">
        <f t="shared" si="27"/>
        <v>151.57246485897252</v>
      </c>
      <c r="AA99" s="56">
        <f t="shared" si="39"/>
        <v>0</v>
      </c>
      <c r="AB99" s="56">
        <v>0</v>
      </c>
      <c r="AC99" s="56">
        <f t="shared" si="28"/>
        <v>0</v>
      </c>
      <c r="AE99" s="56">
        <v>0</v>
      </c>
      <c r="AF99" s="56">
        <f t="shared" si="29"/>
        <v>0</v>
      </c>
      <c r="AG99" s="56">
        <f t="shared" si="30"/>
        <v>0</v>
      </c>
      <c r="AI99" s="56">
        <f t="shared" si="31"/>
        <v>0</v>
      </c>
      <c r="AJ99" s="56">
        <f t="shared" si="32"/>
        <v>0</v>
      </c>
      <c r="AK99" s="56">
        <f t="shared" si="33"/>
        <v>0</v>
      </c>
      <c r="AM99" s="56">
        <f t="shared" si="34"/>
        <v>141666</v>
      </c>
      <c r="AN99" s="56">
        <f t="shared" si="35"/>
        <v>15860</v>
      </c>
      <c r="AO99" s="56">
        <f t="shared" si="36"/>
        <v>26805</v>
      </c>
      <c r="AP99" s="56"/>
      <c r="AQ99" s="56">
        <f t="shared" si="37"/>
        <v>184331</v>
      </c>
      <c r="AR99" s="1"/>
      <c r="AS99" s="56">
        <v>1233.9184708768807</v>
      </c>
      <c r="AT99" s="56">
        <v>138.14145206406144</v>
      </c>
      <c r="AU99" s="56">
        <v>233.47299007422239</v>
      </c>
      <c r="AV99" s="56"/>
      <c r="AW99" s="56">
        <v>1605.5329130151645</v>
      </c>
      <c r="AX99" s="1"/>
      <c r="AY99" s="16">
        <v>-1.7564334824900163E-2</v>
      </c>
      <c r="AZ99" s="16">
        <v>4.6364193836697876E-2</v>
      </c>
      <c r="BA99" s="16">
        <v>-6.4936733701252747E-2</v>
      </c>
      <c r="BB99" s="16">
        <f t="shared" si="38"/>
        <v>-1.9633346951260067E-2</v>
      </c>
      <c r="BC99" s="16"/>
      <c r="BD99" s="1"/>
      <c r="BE99" s="16">
        <f>AM99/'2017-18 disagg'!AM99-1</f>
        <v>1.9869552071184904E-2</v>
      </c>
      <c r="BF99" s="16">
        <f>AN99/'2017-18 disagg'!AN99-1</f>
        <v>1.7123068043352729E-2</v>
      </c>
      <c r="BG99" s="16">
        <f>AO99/'2017-18 disagg'!AO99-1</f>
        <v>3.931604047923698E-2</v>
      </c>
      <c r="BH99" s="16">
        <f>AQ99/'2017-18 disagg'!AQ99-1</f>
        <v>2.2413888734816201E-2</v>
      </c>
      <c r="BI99" s="1"/>
      <c r="BJ99" s="16">
        <f>AS99/'2017-18 disagg'!AS99-1</f>
        <v>1.7875832052873797E-2</v>
      </c>
      <c r="BK99" s="16">
        <f>AT99/'2017-18 disagg'!AT99-1</f>
        <v>1.5134717064812619E-2</v>
      </c>
      <c r="BL99" s="16">
        <f>AU99/'2017-18 disagg'!AU99-1</f>
        <v>3.7284304958701942E-2</v>
      </c>
      <c r="BM99" s="16">
        <f>AW99/'2017-18 disagg'!AW99-1</f>
        <v>2.0415194850063711E-2</v>
      </c>
    </row>
    <row r="100" spans="1:65" x14ac:dyDescent="0.2">
      <c r="A100" s="156" t="s">
        <v>245</v>
      </c>
      <c r="B100" s="156" t="s">
        <v>246</v>
      </c>
      <c r="D100" s="56">
        <f>VLOOKUP(A100,'2018-19'!$A$12:$AMX308,32,FALSE)</f>
        <v>123999.7494092593</v>
      </c>
      <c r="E100" s="56">
        <v>1589.3683048684777</v>
      </c>
      <c r="F100" s="16">
        <f>VLOOKUP(A100,'2018-19'!$A$12:$AMX308,34,FALSE)</f>
        <v>3.9368242284429478E-2</v>
      </c>
      <c r="G100" s="16">
        <f>VLOOKUP(A100,'2018-19'!$A$12:$AMX308,35,FALSE)</f>
        <v>2.4506602519521525E-2</v>
      </c>
      <c r="H100" s="56"/>
      <c r="I100" s="56">
        <v>128515.6196464199</v>
      </c>
      <c r="J100" s="56">
        <v>1647.2505268732427</v>
      </c>
      <c r="K100" s="16">
        <f t="shared" si="23"/>
        <v>-3.5138687807637292E-2</v>
      </c>
      <c r="L100" s="58">
        <f t="shared" si="23"/>
        <v>-3.5138687807637403E-2</v>
      </c>
      <c r="M100" s="10"/>
      <c r="N100" s="56">
        <v>98746</v>
      </c>
      <c r="O100" s="56">
        <v>10309</v>
      </c>
      <c r="P100" s="56">
        <v>13919</v>
      </c>
      <c r="R100" s="56">
        <f t="shared" si="24"/>
        <v>13919</v>
      </c>
      <c r="S100" s="56">
        <f t="shared" si="25"/>
        <v>1025.749409259297</v>
      </c>
      <c r="U100" s="16">
        <v>-3.9709055937017124E-2</v>
      </c>
      <c r="V100" s="16">
        <v>-4.8711821056522497E-2</v>
      </c>
      <c r="W100" s="56">
        <f t="shared" si="26"/>
        <v>4</v>
      </c>
      <c r="X100" s="56">
        <f t="shared" si="27"/>
        <v>1028.2925254111688</v>
      </c>
      <c r="Y100" s="56">
        <f t="shared" si="27"/>
        <v>108.36884372356454</v>
      </c>
      <c r="AA100" s="56">
        <f t="shared" si="39"/>
        <v>0</v>
      </c>
      <c r="AB100" s="56">
        <v>0</v>
      </c>
      <c r="AC100" s="56">
        <f t="shared" si="28"/>
        <v>1025.749409259297</v>
      </c>
      <c r="AE100" s="56">
        <v>0</v>
      </c>
      <c r="AF100" s="56">
        <f t="shared" si="29"/>
        <v>0</v>
      </c>
      <c r="AG100" s="56">
        <f t="shared" si="30"/>
        <v>1025.749409259297</v>
      </c>
      <c r="AI100" s="56">
        <f t="shared" si="31"/>
        <v>927.95486776258201</v>
      </c>
      <c r="AJ100" s="56">
        <f t="shared" si="32"/>
        <v>97.794541496714857</v>
      </c>
      <c r="AK100" s="56">
        <f t="shared" si="33"/>
        <v>0</v>
      </c>
      <c r="AM100" s="56">
        <f t="shared" si="34"/>
        <v>99674</v>
      </c>
      <c r="AN100" s="56">
        <f t="shared" si="35"/>
        <v>10407</v>
      </c>
      <c r="AO100" s="56">
        <f t="shared" si="36"/>
        <v>13919</v>
      </c>
      <c r="AP100" s="56"/>
      <c r="AQ100" s="56">
        <f t="shared" si="37"/>
        <v>124000</v>
      </c>
      <c r="AR100" s="1"/>
      <c r="AS100" s="56">
        <v>1277.5727142528503</v>
      </c>
      <c r="AT100" s="56">
        <v>133.39184980265077</v>
      </c>
      <c r="AU100" s="56">
        <v>178.40695276286115</v>
      </c>
      <c r="AV100" s="56"/>
      <c r="AW100" s="56">
        <v>1589.3715168183621</v>
      </c>
      <c r="AX100" s="1"/>
      <c r="AY100" s="16">
        <v>-3.068438662291384E-2</v>
      </c>
      <c r="AZ100" s="16">
        <v>-3.9668631461366788E-2</v>
      </c>
      <c r="BA100" s="16">
        <v>-6.2660952551708338E-2</v>
      </c>
      <c r="BB100" s="16">
        <f t="shared" si="38"/>
        <v>-3.5136737922157324E-2</v>
      </c>
      <c r="BC100" s="16"/>
      <c r="BD100" s="1"/>
      <c r="BE100" s="16">
        <f>AM100/'2017-18 disagg'!AM100-1</f>
        <v>3.6349269063611134E-2</v>
      </c>
      <c r="BF100" s="16">
        <f>AN100/'2017-18 disagg'!AN100-1</f>
        <v>5.1424530208122876E-2</v>
      </c>
      <c r="BG100" s="16">
        <f>AO100/'2017-18 disagg'!AO100-1</f>
        <v>5.2317229908520391E-2</v>
      </c>
      <c r="BH100" s="16">
        <f>AQ100/'2017-18 disagg'!AQ100-1</f>
        <v>3.9370342740752573E-2</v>
      </c>
      <c r="BI100" s="1"/>
      <c r="BJ100" s="16">
        <f>AS100/'2017-18 disagg'!AS100-1</f>
        <v>2.1530796763940874E-2</v>
      </c>
      <c r="BK100" s="16">
        <f>AT100/'2017-18 disagg'!AT100-1</f>
        <v>3.6390500908173751E-2</v>
      </c>
      <c r="BL100" s="16">
        <f>AU100/'2017-18 disagg'!AU100-1</f>
        <v>3.7270436141825458E-2</v>
      </c>
      <c r="BM100" s="16">
        <f>AW100/'2017-18 disagg'!AW100-1</f>
        <v>2.4508672941998988E-2</v>
      </c>
    </row>
    <row r="101" spans="1:65" x14ac:dyDescent="0.2">
      <c r="A101" s="156" t="s">
        <v>247</v>
      </c>
      <c r="B101" s="156" t="s">
        <v>248</v>
      </c>
      <c r="D101" s="56">
        <f>VLOOKUP(A101,'2018-19'!$A$12:$AMX309,32,FALSE)</f>
        <v>489039</v>
      </c>
      <c r="E101" s="56">
        <v>1484.6566348142496</v>
      </c>
      <c r="F101" s="16">
        <f>VLOOKUP(A101,'2018-19'!$A$12:$AMX309,34,FALSE)</f>
        <v>2.2805274660922192E-2</v>
      </c>
      <c r="G101" s="16">
        <f>VLOOKUP(A101,'2018-19'!$A$12:$AMX309,35,FALSE)</f>
        <v>1.7223555764235066E-2</v>
      </c>
      <c r="H101" s="56"/>
      <c r="I101" s="56">
        <v>496999.60469968227</v>
      </c>
      <c r="J101" s="56">
        <v>1508.8239600879328</v>
      </c>
      <c r="K101" s="16">
        <f t="shared" si="23"/>
        <v>-1.6017326018785361E-2</v>
      </c>
      <c r="L101" s="58">
        <f t="shared" si="23"/>
        <v>-1.6017326018785361E-2</v>
      </c>
      <c r="M101" s="10"/>
      <c r="N101" s="56">
        <v>372050</v>
      </c>
      <c r="O101" s="56">
        <v>42297</v>
      </c>
      <c r="P101" s="56">
        <v>74692</v>
      </c>
      <c r="R101" s="56">
        <f t="shared" si="24"/>
        <v>74692</v>
      </c>
      <c r="S101" s="56">
        <f t="shared" si="25"/>
        <v>0</v>
      </c>
      <c r="U101" s="16">
        <v>-1.8256763982818947E-2</v>
      </c>
      <c r="V101" s="16">
        <v>6.0311821413145505E-2</v>
      </c>
      <c r="W101" s="56">
        <f t="shared" si="26"/>
        <v>1</v>
      </c>
      <c r="X101" s="56">
        <f t="shared" si="27"/>
        <v>3789.6874289591633</v>
      </c>
      <c r="Y101" s="56">
        <f t="shared" si="27"/>
        <v>398.91095379497017</v>
      </c>
      <c r="AA101" s="56">
        <f t="shared" si="39"/>
        <v>0</v>
      </c>
      <c r="AB101" s="56">
        <v>0</v>
      </c>
      <c r="AC101" s="56">
        <f t="shared" si="28"/>
        <v>0</v>
      </c>
      <c r="AE101" s="56">
        <v>0</v>
      </c>
      <c r="AF101" s="56">
        <f t="shared" si="29"/>
        <v>0</v>
      </c>
      <c r="AG101" s="56">
        <f t="shared" si="30"/>
        <v>0</v>
      </c>
      <c r="AI101" s="56">
        <f t="shared" si="31"/>
        <v>0</v>
      </c>
      <c r="AJ101" s="56">
        <f t="shared" si="32"/>
        <v>0</v>
      </c>
      <c r="AK101" s="56">
        <f t="shared" si="33"/>
        <v>0</v>
      </c>
      <c r="AM101" s="56">
        <f t="shared" si="34"/>
        <v>372050</v>
      </c>
      <c r="AN101" s="56">
        <f t="shared" si="35"/>
        <v>42297</v>
      </c>
      <c r="AO101" s="56">
        <f t="shared" si="36"/>
        <v>74692</v>
      </c>
      <c r="AP101" s="56"/>
      <c r="AQ101" s="56">
        <f t="shared" si="37"/>
        <v>489039</v>
      </c>
      <c r="AR101" s="1"/>
      <c r="AS101" s="56">
        <v>1129.4937642655118</v>
      </c>
      <c r="AT101" s="56">
        <v>128.40800362085298</v>
      </c>
      <c r="AU101" s="56">
        <v>226.75486692788496</v>
      </c>
      <c r="AV101" s="56"/>
      <c r="AW101" s="56">
        <v>1484.6566348142496</v>
      </c>
      <c r="AX101" s="1"/>
      <c r="AY101" s="16">
        <v>-1.8256763982818947E-2</v>
      </c>
      <c r="AZ101" s="16">
        <v>6.0311821413145505E-2</v>
      </c>
      <c r="BA101" s="16">
        <v>-4.4123070518906404E-2</v>
      </c>
      <c r="BB101" s="16">
        <f t="shared" si="38"/>
        <v>-1.6017326018785361E-2</v>
      </c>
      <c r="BC101" s="16"/>
      <c r="BD101" s="1"/>
      <c r="BE101" s="16">
        <f>AM101/'2017-18 disagg'!AM101-1</f>
        <v>1.986831212548168E-2</v>
      </c>
      <c r="BF101" s="16">
        <f>AN101/'2017-18 disagg'!AN101-1</f>
        <v>1.3830297219558974E-2</v>
      </c>
      <c r="BG101" s="16">
        <f>AO101/'2017-18 disagg'!AO101-1</f>
        <v>4.29949869437114E-2</v>
      </c>
      <c r="BH101" s="16">
        <f>AQ101/'2017-18 disagg'!AQ101-1</f>
        <v>2.2805274660922192E-2</v>
      </c>
      <c r="BI101" s="1"/>
      <c r="BJ101" s="16">
        <f>AS101/'2017-18 disagg'!AS101-1</f>
        <v>1.4302621010122474E-2</v>
      </c>
      <c r="BK101" s="16">
        <f>AT101/'2017-18 disagg'!AT101-1</f>
        <v>8.2975571484831256E-3</v>
      </c>
      <c r="BL101" s="16">
        <f>AU101/'2017-18 disagg'!AU101-1</f>
        <v>3.7303087447295713E-2</v>
      </c>
      <c r="BM101" s="16">
        <f>AW101/'2017-18 disagg'!AW101-1</f>
        <v>1.7223555764235066E-2</v>
      </c>
    </row>
    <row r="102" spans="1:65" x14ac:dyDescent="0.2">
      <c r="A102" s="156" t="s">
        <v>249</v>
      </c>
      <c r="B102" s="156" t="s">
        <v>250</v>
      </c>
      <c r="D102" s="56">
        <f>VLOOKUP(A102,'2018-19'!$A$12:$AMX310,32,FALSE)</f>
        <v>165472</v>
      </c>
      <c r="E102" s="56">
        <v>1671.8191277773801</v>
      </c>
      <c r="F102" s="16">
        <f>VLOOKUP(A102,'2018-19'!$A$12:$AMX310,34,FALSE)</f>
        <v>2.2840082335560785E-2</v>
      </c>
      <c r="G102" s="16">
        <f>VLOOKUP(A102,'2018-19'!$A$12:$AMX310,35,FALSE)</f>
        <v>1.7049338174826234E-2</v>
      </c>
      <c r="H102" s="56"/>
      <c r="I102" s="56">
        <v>165017.51074107157</v>
      </c>
      <c r="J102" s="56">
        <v>1667.2272703244823</v>
      </c>
      <c r="K102" s="16">
        <f t="shared" si="23"/>
        <v>2.7541880669958996E-3</v>
      </c>
      <c r="L102" s="58">
        <f t="shared" si="23"/>
        <v>2.7541880669958996E-3</v>
      </c>
      <c r="M102" s="10"/>
      <c r="N102" s="56">
        <v>130766</v>
      </c>
      <c r="O102" s="56">
        <v>12927</v>
      </c>
      <c r="P102" s="56">
        <v>21779</v>
      </c>
      <c r="R102" s="56">
        <f t="shared" si="24"/>
        <v>21779</v>
      </c>
      <c r="S102" s="56">
        <f t="shared" si="25"/>
        <v>0</v>
      </c>
      <c r="U102" s="16">
        <v>1.4577423711245263E-2</v>
      </c>
      <c r="V102" s="16">
        <v>2.6686065626140509E-2</v>
      </c>
      <c r="W102" s="56">
        <f t="shared" si="26"/>
        <v>2</v>
      </c>
      <c r="X102" s="56">
        <f t="shared" si="27"/>
        <v>1288.8715729714165</v>
      </c>
      <c r="Y102" s="56">
        <f t="shared" si="27"/>
        <v>125.90995858228843</v>
      </c>
      <c r="AA102" s="56">
        <f t="shared" si="39"/>
        <v>0</v>
      </c>
      <c r="AB102" s="56">
        <v>0</v>
      </c>
      <c r="AC102" s="56">
        <f t="shared" si="28"/>
        <v>0</v>
      </c>
      <c r="AE102" s="56">
        <v>0</v>
      </c>
      <c r="AF102" s="56">
        <f t="shared" si="29"/>
        <v>0</v>
      </c>
      <c r="AG102" s="56">
        <f t="shared" si="30"/>
        <v>0</v>
      </c>
      <c r="AI102" s="56">
        <f t="shared" si="31"/>
        <v>0</v>
      </c>
      <c r="AJ102" s="56">
        <f t="shared" si="32"/>
        <v>0</v>
      </c>
      <c r="AK102" s="56">
        <f t="shared" si="33"/>
        <v>0</v>
      </c>
      <c r="AM102" s="56">
        <f t="shared" si="34"/>
        <v>130766</v>
      </c>
      <c r="AN102" s="56">
        <f t="shared" si="35"/>
        <v>12927</v>
      </c>
      <c r="AO102" s="56">
        <f t="shared" si="36"/>
        <v>21779</v>
      </c>
      <c r="AP102" s="56"/>
      <c r="AQ102" s="56">
        <f t="shared" si="37"/>
        <v>165472</v>
      </c>
      <c r="AR102" s="1"/>
      <c r="AS102" s="56">
        <v>1321.1727667698276</v>
      </c>
      <c r="AT102" s="56">
        <v>130.60581768987015</v>
      </c>
      <c r="AU102" s="56">
        <v>220.04054331768253</v>
      </c>
      <c r="AV102" s="56"/>
      <c r="AW102" s="56">
        <v>1671.8191277773801</v>
      </c>
      <c r="AX102" s="1"/>
      <c r="AY102" s="16">
        <v>1.4577423711245263E-2</v>
      </c>
      <c r="AZ102" s="16">
        <v>2.6686065626140509E-2</v>
      </c>
      <c r="BA102" s="16">
        <v>-7.4783586565267846E-2</v>
      </c>
      <c r="BB102" s="16">
        <f t="shared" si="38"/>
        <v>2.7541880669958996E-3</v>
      </c>
      <c r="BC102" s="16"/>
      <c r="BD102" s="1"/>
      <c r="BE102" s="16">
        <f>AM102/'2017-18 disagg'!AM102-1</f>
        <v>1.9872404810556965E-2</v>
      </c>
      <c r="BF102" s="16">
        <f>AN102/'2017-18 disagg'!AN102-1</f>
        <v>1.9318719444882504E-2</v>
      </c>
      <c r="BG102" s="16">
        <f>AO102/'2017-18 disagg'!AO102-1</f>
        <v>4.3205441394836397E-2</v>
      </c>
      <c r="BH102" s="16">
        <f>AQ102/'2017-18 disagg'!AQ102-1</f>
        <v>2.2840082335560785E-2</v>
      </c>
      <c r="BI102" s="1"/>
      <c r="BJ102" s="16">
        <f>AS102/'2017-18 disagg'!AS102-1</f>
        <v>1.4098461967638976E-2</v>
      </c>
      <c r="BK102" s="16">
        <f>AT102/'2017-18 disagg'!AT102-1</f>
        <v>1.3547911256495127E-2</v>
      </c>
      <c r="BL102" s="16">
        <f>AU102/'2017-18 disagg'!AU102-1</f>
        <v>3.7299400047287934E-2</v>
      </c>
      <c r="BM102" s="16">
        <f>AW102/'2017-18 disagg'!AW102-1</f>
        <v>1.7049338174826234E-2</v>
      </c>
    </row>
    <row r="103" spans="1:65" x14ac:dyDescent="0.2">
      <c r="A103" s="156" t="s">
        <v>251</v>
      </c>
      <c r="B103" s="156" t="s">
        <v>252</v>
      </c>
      <c r="D103" s="56">
        <f>VLOOKUP(A103,'2018-19'!$A$12:$AMX311,32,FALSE)</f>
        <v>184974</v>
      </c>
      <c r="E103" s="56">
        <v>1782.3179942849283</v>
      </c>
      <c r="F103" s="16">
        <f>VLOOKUP(A103,'2018-19'!$A$12:$AMX311,34,FALSE)</f>
        <v>2.2396391815257433E-2</v>
      </c>
      <c r="G103" s="16">
        <f>VLOOKUP(A103,'2018-19'!$A$12:$AMX311,35,FALSE)</f>
        <v>1.8107195755829641E-2</v>
      </c>
      <c r="H103" s="56"/>
      <c r="I103" s="56">
        <v>183170.03268276615</v>
      </c>
      <c r="J103" s="56">
        <v>1764.9358572786041</v>
      </c>
      <c r="K103" s="16">
        <f t="shared" si="23"/>
        <v>9.848594176745884E-3</v>
      </c>
      <c r="L103" s="58">
        <f t="shared" si="23"/>
        <v>9.848594176745884E-3</v>
      </c>
      <c r="M103" s="10"/>
      <c r="N103" s="56">
        <v>149192</v>
      </c>
      <c r="O103" s="56">
        <v>13603</v>
      </c>
      <c r="P103" s="56">
        <v>22179</v>
      </c>
      <c r="R103" s="56">
        <f t="shared" si="24"/>
        <v>22179</v>
      </c>
      <c r="S103" s="56">
        <f t="shared" si="25"/>
        <v>0</v>
      </c>
      <c r="U103" s="16">
        <v>2.3476995126528788E-2</v>
      </c>
      <c r="V103" s="16">
        <v>-1.9893083581185689E-2</v>
      </c>
      <c r="W103" s="56">
        <f t="shared" si="26"/>
        <v>3</v>
      </c>
      <c r="X103" s="56">
        <f t="shared" si="27"/>
        <v>1457.6976396187188</v>
      </c>
      <c r="Y103" s="56">
        <f t="shared" si="27"/>
        <v>138.79098057693162</v>
      </c>
      <c r="AA103" s="56">
        <f t="shared" si="39"/>
        <v>0</v>
      </c>
      <c r="AB103" s="56">
        <v>0</v>
      </c>
      <c r="AC103" s="56">
        <f t="shared" si="28"/>
        <v>0</v>
      </c>
      <c r="AE103" s="56">
        <v>0</v>
      </c>
      <c r="AF103" s="56">
        <f t="shared" si="29"/>
        <v>0</v>
      </c>
      <c r="AG103" s="56">
        <f t="shared" si="30"/>
        <v>0</v>
      </c>
      <c r="AI103" s="56">
        <f t="shared" si="31"/>
        <v>0</v>
      </c>
      <c r="AJ103" s="56">
        <f t="shared" si="32"/>
        <v>0</v>
      </c>
      <c r="AK103" s="56">
        <f t="shared" si="33"/>
        <v>0</v>
      </c>
      <c r="AM103" s="56">
        <f t="shared" si="34"/>
        <v>149192</v>
      </c>
      <c r="AN103" s="56">
        <f t="shared" si="35"/>
        <v>13603</v>
      </c>
      <c r="AO103" s="56">
        <f t="shared" si="36"/>
        <v>22179</v>
      </c>
      <c r="AP103" s="56"/>
      <c r="AQ103" s="56">
        <f t="shared" si="37"/>
        <v>184974</v>
      </c>
      <c r="AR103" s="1"/>
      <c r="AS103" s="56">
        <v>1437.5403364978699</v>
      </c>
      <c r="AT103" s="56">
        <v>131.07178131119983</v>
      </c>
      <c r="AU103" s="56">
        <v>213.70587647585836</v>
      </c>
      <c r="AV103" s="56"/>
      <c r="AW103" s="56">
        <v>1782.3179942849283</v>
      </c>
      <c r="AX103" s="1"/>
      <c r="AY103" s="16">
        <v>2.3476995126528788E-2</v>
      </c>
      <c r="AZ103" s="16">
        <v>-1.9893083581185689E-2</v>
      </c>
      <c r="BA103" s="16">
        <v>-5.7062239053471853E-2</v>
      </c>
      <c r="BB103" s="16">
        <f t="shared" si="38"/>
        <v>9.848594176745884E-3</v>
      </c>
      <c r="BC103" s="16"/>
      <c r="BD103" s="1"/>
      <c r="BE103" s="16">
        <f>AM103/'2017-18 disagg'!AM103-1</f>
        <v>1.9872167344567204E-2</v>
      </c>
      <c r="BF103" s="16">
        <f>AN103/'2017-18 disagg'!AN103-1</f>
        <v>1.9333083551892116E-2</v>
      </c>
      <c r="BG103" s="16">
        <f>AO103/'2017-18 disagg'!AO103-1</f>
        <v>4.1658839000563663E-2</v>
      </c>
      <c r="BH103" s="16">
        <f>AQ103/'2017-18 disagg'!AQ103-1</f>
        <v>2.2396391815257433E-2</v>
      </c>
      <c r="BI103" s="1"/>
      <c r="BJ103" s="16">
        <f>AS103/'2017-18 disagg'!AS103-1</f>
        <v>1.5593561007226864E-2</v>
      </c>
      <c r="BK103" s="16">
        <f>AT103/'2017-18 disagg'!AT103-1</f>
        <v>1.5056738799293035E-2</v>
      </c>
      <c r="BL103" s="16">
        <f>AU103/'2017-18 disagg'!AU103-1</f>
        <v>3.7288832393266524E-2</v>
      </c>
      <c r="BM103" s="16">
        <f>AW103/'2017-18 disagg'!AW103-1</f>
        <v>1.8107195755829641E-2</v>
      </c>
    </row>
    <row r="104" spans="1:65" x14ac:dyDescent="0.2">
      <c r="A104" s="156" t="s">
        <v>253</v>
      </c>
      <c r="B104" s="156" t="s">
        <v>254</v>
      </c>
      <c r="D104" s="56">
        <f>VLOOKUP(A104,'2018-19'!$A$12:$AMX312,32,FALSE)</f>
        <v>596548.20547465561</v>
      </c>
      <c r="E104" s="56">
        <v>1518.2989424304392</v>
      </c>
      <c r="F104" s="16">
        <f>VLOOKUP(A104,'2018-19'!$A$12:$AMX312,34,FALSE)</f>
        <v>2.4398470781082482E-2</v>
      </c>
      <c r="G104" s="16">
        <f>VLOOKUP(A104,'2018-19'!$A$12:$AMX312,35,FALSE)</f>
        <v>1.8577646309664742E-2</v>
      </c>
      <c r="H104" s="56"/>
      <c r="I104" s="56">
        <v>609425.49781988526</v>
      </c>
      <c r="J104" s="56">
        <v>1551.0734595100323</v>
      </c>
      <c r="K104" s="16">
        <f t="shared" si="23"/>
        <v>-2.1130215902183225E-2</v>
      </c>
      <c r="L104" s="58">
        <f t="shared" si="23"/>
        <v>-2.1130215902183114E-2</v>
      </c>
      <c r="M104" s="10"/>
      <c r="N104" s="56">
        <v>445217</v>
      </c>
      <c r="O104" s="56">
        <v>51615</v>
      </c>
      <c r="P104" s="56">
        <v>99713</v>
      </c>
      <c r="R104" s="56">
        <f t="shared" si="24"/>
        <v>99713</v>
      </c>
      <c r="S104" s="56">
        <f t="shared" si="25"/>
        <v>3.2054746556095779</v>
      </c>
      <c r="U104" s="16">
        <v>-1.1439072674675588E-2</v>
      </c>
      <c r="V104" s="16">
        <v>-4.8433975659933903E-2</v>
      </c>
      <c r="W104" s="56">
        <f t="shared" si="26"/>
        <v>4</v>
      </c>
      <c r="X104" s="56">
        <f t="shared" si="27"/>
        <v>4503.6880145019531</v>
      </c>
      <c r="Y104" s="56">
        <f t="shared" si="27"/>
        <v>542.42163633150142</v>
      </c>
      <c r="AA104" s="56">
        <f t="shared" si="39"/>
        <v>0</v>
      </c>
      <c r="AB104" s="56">
        <v>0</v>
      </c>
      <c r="AC104" s="56">
        <f t="shared" si="28"/>
        <v>3.2054746556095779</v>
      </c>
      <c r="AE104" s="56">
        <v>0</v>
      </c>
      <c r="AF104" s="56">
        <f t="shared" si="29"/>
        <v>0</v>
      </c>
      <c r="AG104" s="56">
        <f t="shared" si="30"/>
        <v>3.2054746556095779</v>
      </c>
      <c r="AI104" s="56">
        <f t="shared" si="31"/>
        <v>2.860908459425608</v>
      </c>
      <c r="AJ104" s="56">
        <f t="shared" si="32"/>
        <v>0.34456619618396972</v>
      </c>
      <c r="AK104" s="56">
        <f t="shared" si="33"/>
        <v>0</v>
      </c>
      <c r="AM104" s="56">
        <f t="shared" si="34"/>
        <v>445220</v>
      </c>
      <c r="AN104" s="56">
        <f t="shared" si="35"/>
        <v>51615</v>
      </c>
      <c r="AO104" s="56">
        <f t="shared" si="36"/>
        <v>99713</v>
      </c>
      <c r="AP104" s="56"/>
      <c r="AQ104" s="56">
        <f t="shared" si="37"/>
        <v>596548</v>
      </c>
      <c r="AR104" s="1"/>
      <c r="AS104" s="56">
        <v>1133.1474119698764</v>
      </c>
      <c r="AT104" s="56">
        <v>131.3674221032864</v>
      </c>
      <c r="AU104" s="56">
        <v>253.78358539542765</v>
      </c>
      <c r="AV104" s="56"/>
      <c r="AW104" s="56">
        <v>1518.2984194685905</v>
      </c>
      <c r="AX104" s="1"/>
      <c r="AY104" s="16">
        <v>-1.1432411467259929E-2</v>
      </c>
      <c r="AZ104" s="16">
        <v>-4.8433975659933903E-2</v>
      </c>
      <c r="BA104" s="16">
        <v>-4.8671998084109935E-2</v>
      </c>
      <c r="BB104" s="16">
        <f t="shared" si="38"/>
        <v>-2.1130553063421709E-2</v>
      </c>
      <c r="BC104" s="16"/>
      <c r="BD104" s="1"/>
      <c r="BE104" s="16">
        <f>AM104/'2017-18 disagg'!AM104-1</f>
        <v>1.9876621547018303E-2</v>
      </c>
      <c r="BF104" s="16">
        <f>AN104/'2017-18 disagg'!AN104-1</f>
        <v>2.785964632786353E-2</v>
      </c>
      <c r="BG104" s="16">
        <f>AO104/'2017-18 disagg'!AO104-1</f>
        <v>4.3230349127964862E-2</v>
      </c>
      <c r="BH104" s="16">
        <f>AQ104/'2017-18 disagg'!AQ104-1</f>
        <v>2.4398117937974417E-2</v>
      </c>
      <c r="BI104" s="1"/>
      <c r="BJ104" s="16">
        <f>AS104/'2017-18 disagg'!AS104-1</f>
        <v>1.4081491072056362E-2</v>
      </c>
      <c r="BK104" s="16">
        <f>AT104/'2017-18 disagg'!AT104-1</f>
        <v>2.2019154807052965E-2</v>
      </c>
      <c r="BL104" s="16">
        <f>AU104/'2017-18 disagg'!AU104-1</f>
        <v>3.7302518387550165E-2</v>
      </c>
      <c r="BM104" s="16">
        <f>AW104/'2017-18 disagg'!AW104-1</f>
        <v>1.8577295471477351E-2</v>
      </c>
    </row>
    <row r="105" spans="1:65" x14ac:dyDescent="0.2">
      <c r="A105" s="156" t="s">
        <v>255</v>
      </c>
      <c r="B105" s="156" t="s">
        <v>256</v>
      </c>
      <c r="D105" s="56">
        <f>VLOOKUP(A105,'2018-19'!$A$12:$AMX313,32,FALSE)</f>
        <v>448710.59783414996</v>
      </c>
      <c r="E105" s="56">
        <v>1789.2482347488806</v>
      </c>
      <c r="F105" s="16">
        <f>VLOOKUP(A105,'2018-19'!$A$12:$AMX313,34,FALSE)</f>
        <v>2.4961220134518625E-2</v>
      </c>
      <c r="G105" s="16">
        <f>VLOOKUP(A105,'2018-19'!$A$12:$AMX313,35,FALSE)</f>
        <v>1.8124937978093669E-2</v>
      </c>
      <c r="H105" s="56"/>
      <c r="I105" s="56">
        <v>457635.5908845095</v>
      </c>
      <c r="J105" s="56">
        <v>1824.8369374396163</v>
      </c>
      <c r="K105" s="16">
        <f t="shared" si="23"/>
        <v>-1.9502401535486991E-2</v>
      </c>
      <c r="L105" s="58">
        <f t="shared" si="23"/>
        <v>-1.9502401535486991E-2</v>
      </c>
      <c r="M105" s="10"/>
      <c r="N105" s="56">
        <v>348352</v>
      </c>
      <c r="O105" s="56">
        <v>37295</v>
      </c>
      <c r="P105" s="56">
        <v>62060</v>
      </c>
      <c r="R105" s="56">
        <f t="shared" si="24"/>
        <v>62060</v>
      </c>
      <c r="S105" s="56">
        <f t="shared" si="25"/>
        <v>1003.5978341499576</v>
      </c>
      <c r="U105" s="16">
        <v>-6.0372681812820295E-3</v>
      </c>
      <c r="V105" s="16">
        <v>6.0651753737568592E-2</v>
      </c>
      <c r="W105" s="56">
        <f t="shared" si="26"/>
        <v>1</v>
      </c>
      <c r="X105" s="56">
        <f t="shared" si="27"/>
        <v>3504.6786851112392</v>
      </c>
      <c r="Y105" s="56">
        <f t="shared" si="27"/>
        <v>351.6234227547198</v>
      </c>
      <c r="AA105" s="56">
        <f t="shared" si="39"/>
        <v>1003.5978341499576</v>
      </c>
      <c r="AB105" s="56">
        <v>0</v>
      </c>
      <c r="AC105" s="56">
        <f t="shared" si="28"/>
        <v>0</v>
      </c>
      <c r="AE105" s="56">
        <v>0</v>
      </c>
      <c r="AF105" s="56">
        <f t="shared" si="29"/>
        <v>0</v>
      </c>
      <c r="AG105" s="56">
        <f t="shared" si="30"/>
        <v>0</v>
      </c>
      <c r="AI105" s="56">
        <f t="shared" si="31"/>
        <v>0</v>
      </c>
      <c r="AJ105" s="56">
        <f t="shared" si="32"/>
        <v>0</v>
      </c>
      <c r="AK105" s="56">
        <f t="shared" si="33"/>
        <v>0</v>
      </c>
      <c r="AM105" s="56">
        <f t="shared" si="34"/>
        <v>349356</v>
      </c>
      <c r="AN105" s="56">
        <f t="shared" si="35"/>
        <v>37295</v>
      </c>
      <c r="AO105" s="56">
        <f t="shared" si="36"/>
        <v>62060</v>
      </c>
      <c r="AP105" s="56"/>
      <c r="AQ105" s="56">
        <f t="shared" si="37"/>
        <v>448711</v>
      </c>
      <c r="AR105" s="1"/>
      <c r="AS105" s="56">
        <v>1393.0685152436947</v>
      </c>
      <c r="AT105" s="56">
        <v>148.71503645568873</v>
      </c>
      <c r="AU105" s="56">
        <v>247.46628669902248</v>
      </c>
      <c r="AV105" s="56"/>
      <c r="AW105" s="56">
        <v>1789.2498383984059</v>
      </c>
      <c r="AX105" s="1"/>
      <c r="AY105" s="16">
        <v>-3.172526245693863E-3</v>
      </c>
      <c r="AZ105" s="16">
        <v>6.0651753737568592E-2</v>
      </c>
      <c r="BA105" s="16">
        <v>-0.13811995831963864</v>
      </c>
      <c r="BB105" s="16">
        <f t="shared" si="38"/>
        <v>-1.9501522744898914E-2</v>
      </c>
      <c r="BC105" s="16"/>
      <c r="BD105" s="1"/>
      <c r="BE105" s="16">
        <f>AM105/'2017-18 disagg'!AM105-1</f>
        <v>2.2809714110052282E-2</v>
      </c>
      <c r="BF105" s="16">
        <f>AN105/'2017-18 disagg'!AN105-1</f>
        <v>1.3754111283263981E-2</v>
      </c>
      <c r="BG105" s="16">
        <f>AO105/'2017-18 disagg'!AO105-1</f>
        <v>4.4271315351091189E-2</v>
      </c>
      <c r="BH105" s="16">
        <f>AQ105/'2017-18 disagg'!AQ105-1</f>
        <v>2.4962138776517095E-2</v>
      </c>
      <c r="BI105" s="1"/>
      <c r="BJ105" s="16">
        <f>AS105/'2017-18 disagg'!AS105-1</f>
        <v>1.5987782059714739E-2</v>
      </c>
      <c r="BK105" s="16">
        <f>AT105/'2017-18 disagg'!AT105-1</f>
        <v>6.9925782556450322E-3</v>
      </c>
      <c r="BL105" s="16">
        <f>AU105/'2017-18 disagg'!AU105-1</f>
        <v>3.7306238800522751E-2</v>
      </c>
      <c r="BM105" s="16">
        <f>AW105/'2017-18 disagg'!AW105-1</f>
        <v>1.8125850492937579E-2</v>
      </c>
    </row>
    <row r="106" spans="1:65" x14ac:dyDescent="0.2">
      <c r="A106" s="156" t="s">
        <v>257</v>
      </c>
      <c r="B106" s="156" t="s">
        <v>258</v>
      </c>
      <c r="D106" s="56">
        <f>VLOOKUP(A106,'2018-19'!$A$12:$AMX314,32,FALSE)</f>
        <v>381838</v>
      </c>
      <c r="E106" s="56">
        <v>1603.6403331116824</v>
      </c>
      <c r="F106" s="16">
        <f>VLOOKUP(A106,'2018-19'!$A$12:$AMX314,34,FALSE)</f>
        <v>2.344193925358895E-2</v>
      </c>
      <c r="G106" s="16">
        <f>VLOOKUP(A106,'2018-19'!$A$12:$AMX314,35,FALSE)</f>
        <v>1.7767611663984217E-2</v>
      </c>
      <c r="H106" s="56"/>
      <c r="I106" s="56">
        <v>384991.89154074388</v>
      </c>
      <c r="J106" s="56">
        <v>1616.8860228570629</v>
      </c>
      <c r="K106" s="16">
        <f t="shared" si="23"/>
        <v>-8.1920986130953333E-3</v>
      </c>
      <c r="L106" s="58">
        <f t="shared" si="23"/>
        <v>-8.1920986130953333E-3</v>
      </c>
      <c r="M106" s="10"/>
      <c r="N106" s="56">
        <v>290330</v>
      </c>
      <c r="O106" s="56">
        <v>30801</v>
      </c>
      <c r="P106" s="56">
        <v>60707</v>
      </c>
      <c r="R106" s="56">
        <f t="shared" si="24"/>
        <v>60707</v>
      </c>
      <c r="S106" s="56">
        <f t="shared" si="25"/>
        <v>0</v>
      </c>
      <c r="U106" s="16">
        <v>1.124754119691973E-2</v>
      </c>
      <c r="V106" s="16">
        <v>-6.9719696183373481E-3</v>
      </c>
      <c r="W106" s="56">
        <f t="shared" si="26"/>
        <v>3</v>
      </c>
      <c r="X106" s="56">
        <f t="shared" si="27"/>
        <v>2871.0082168047929</v>
      </c>
      <c r="Y106" s="56">
        <f t="shared" si="27"/>
        <v>310.17251333944591</v>
      </c>
      <c r="AA106" s="56">
        <f t="shared" si="39"/>
        <v>0</v>
      </c>
      <c r="AB106" s="56">
        <v>0</v>
      </c>
      <c r="AC106" s="56">
        <f t="shared" si="28"/>
        <v>0</v>
      </c>
      <c r="AE106" s="56">
        <v>0</v>
      </c>
      <c r="AF106" s="56">
        <f t="shared" si="29"/>
        <v>0</v>
      </c>
      <c r="AG106" s="56">
        <f t="shared" si="30"/>
        <v>0</v>
      </c>
      <c r="AI106" s="56">
        <f t="shared" si="31"/>
        <v>0</v>
      </c>
      <c r="AJ106" s="56">
        <f t="shared" si="32"/>
        <v>0</v>
      </c>
      <c r="AK106" s="56">
        <f t="shared" si="33"/>
        <v>0</v>
      </c>
      <c r="AM106" s="56">
        <f t="shared" si="34"/>
        <v>290330</v>
      </c>
      <c r="AN106" s="56">
        <f t="shared" si="35"/>
        <v>30801</v>
      </c>
      <c r="AO106" s="56">
        <f t="shared" si="36"/>
        <v>60707</v>
      </c>
      <c r="AP106" s="56"/>
      <c r="AQ106" s="56">
        <f t="shared" si="37"/>
        <v>381838</v>
      </c>
      <c r="AR106" s="1"/>
      <c r="AS106" s="56">
        <v>1219.3257295301009</v>
      </c>
      <c r="AT106" s="56">
        <v>129.35780592862136</v>
      </c>
      <c r="AU106" s="56">
        <v>254.95679765295989</v>
      </c>
      <c r="AV106" s="56"/>
      <c r="AW106" s="56">
        <v>1603.6403331116824</v>
      </c>
      <c r="AX106" s="1"/>
      <c r="AY106" s="16">
        <v>1.124754119691973E-2</v>
      </c>
      <c r="AZ106" s="16">
        <v>-6.9719696183373481E-3</v>
      </c>
      <c r="BA106" s="16">
        <v>-9.2215737970650746E-2</v>
      </c>
      <c r="BB106" s="16">
        <f t="shared" si="38"/>
        <v>-8.1920986130953333E-3</v>
      </c>
      <c r="BC106" s="16"/>
      <c r="BD106" s="1"/>
      <c r="BE106" s="16">
        <f>AM106/'2017-18 disagg'!AM106-1</f>
        <v>1.9868340628227399E-2</v>
      </c>
      <c r="BF106" s="16">
        <f>AN106/'2017-18 disagg'!AN106-1</f>
        <v>1.9293136541134404E-2</v>
      </c>
      <c r="BG106" s="16">
        <f>AO106/'2017-18 disagg'!AO106-1</f>
        <v>4.3075601374570338E-2</v>
      </c>
      <c r="BH106" s="16">
        <f>AQ106/'2017-18 disagg'!AQ106-1</f>
        <v>2.344193925358895E-2</v>
      </c>
      <c r="BI106" s="1"/>
      <c r="BJ106" s="16">
        <f>AS106/'2017-18 disagg'!AS106-1</f>
        <v>1.42138263455589E-2</v>
      </c>
      <c r="BK106" s="16">
        <f>AT106/'2017-18 disagg'!AT106-1</f>
        <v>1.3641811395334269E-2</v>
      </c>
      <c r="BL106" s="16">
        <f>AU106/'2017-18 disagg'!AU106-1</f>
        <v>3.7292417750846685E-2</v>
      </c>
      <c r="BM106" s="16">
        <f>AW106/'2017-18 disagg'!AW106-1</f>
        <v>1.7767611663984217E-2</v>
      </c>
    </row>
    <row r="107" spans="1:65" x14ac:dyDescent="0.2">
      <c r="A107" s="156" t="s">
        <v>259</v>
      </c>
      <c r="B107" s="156" t="s">
        <v>260</v>
      </c>
      <c r="D107" s="56">
        <f>VLOOKUP(A107,'2018-19'!$A$12:$AMX315,32,FALSE)</f>
        <v>339228</v>
      </c>
      <c r="E107" s="56">
        <v>1765.6206081264852</v>
      </c>
      <c r="F107" s="16">
        <f>VLOOKUP(A107,'2018-19'!$A$12:$AMX315,34,FALSE)</f>
        <v>2.3043726080937965E-2</v>
      </c>
      <c r="G107" s="16">
        <f>VLOOKUP(A107,'2018-19'!$A$12:$AMX315,35,FALSE)</f>
        <v>1.8196656461192395E-2</v>
      </c>
      <c r="H107" s="56"/>
      <c r="I107" s="56">
        <v>346006.43270153936</v>
      </c>
      <c r="J107" s="56">
        <v>1800.9011288047204</v>
      </c>
      <c r="K107" s="16">
        <f t="shared" si="23"/>
        <v>-1.9590481739356402E-2</v>
      </c>
      <c r="L107" s="58">
        <f t="shared" si="23"/>
        <v>-1.9590481739356402E-2</v>
      </c>
      <c r="M107" s="10"/>
      <c r="N107" s="56">
        <v>262719</v>
      </c>
      <c r="O107" s="56">
        <v>26734</v>
      </c>
      <c r="P107" s="56">
        <v>49775</v>
      </c>
      <c r="R107" s="56">
        <f t="shared" si="24"/>
        <v>49775</v>
      </c>
      <c r="S107" s="56">
        <f t="shared" si="25"/>
        <v>0</v>
      </c>
      <c r="U107" s="16">
        <v>-1.1882170054736796E-2</v>
      </c>
      <c r="V107" s="16">
        <v>2.4259469114737087E-2</v>
      </c>
      <c r="W107" s="56">
        <f t="shared" si="26"/>
        <v>1</v>
      </c>
      <c r="X107" s="56">
        <f t="shared" si="27"/>
        <v>2658.7821010633252</v>
      </c>
      <c r="Y107" s="56">
        <f t="shared" si="27"/>
        <v>261.00808248427597</v>
      </c>
      <c r="AA107" s="56">
        <f t="shared" si="39"/>
        <v>0</v>
      </c>
      <c r="AB107" s="56">
        <v>0</v>
      </c>
      <c r="AC107" s="56">
        <f t="shared" si="28"/>
        <v>0</v>
      </c>
      <c r="AE107" s="56">
        <v>0</v>
      </c>
      <c r="AF107" s="56">
        <f t="shared" si="29"/>
        <v>0</v>
      </c>
      <c r="AG107" s="56">
        <f t="shared" si="30"/>
        <v>0</v>
      </c>
      <c r="AI107" s="56">
        <f t="shared" si="31"/>
        <v>0</v>
      </c>
      <c r="AJ107" s="56">
        <f t="shared" si="32"/>
        <v>0</v>
      </c>
      <c r="AK107" s="56">
        <f t="shared" si="33"/>
        <v>0</v>
      </c>
      <c r="AM107" s="56">
        <f t="shared" si="34"/>
        <v>262719</v>
      </c>
      <c r="AN107" s="56">
        <f t="shared" si="35"/>
        <v>26734</v>
      </c>
      <c r="AO107" s="56">
        <f t="shared" si="36"/>
        <v>49775</v>
      </c>
      <c r="AP107" s="56"/>
      <c r="AQ107" s="56">
        <f t="shared" si="37"/>
        <v>339228</v>
      </c>
      <c r="AR107" s="1"/>
      <c r="AS107" s="56">
        <v>1367.4050507221752</v>
      </c>
      <c r="AT107" s="56">
        <v>139.14565229772737</v>
      </c>
      <c r="AU107" s="56">
        <v>259.06990510658261</v>
      </c>
      <c r="AV107" s="56"/>
      <c r="AW107" s="56">
        <v>1765.6206081264852</v>
      </c>
      <c r="AX107" s="1"/>
      <c r="AY107" s="16">
        <v>-1.1882170054736796E-2</v>
      </c>
      <c r="AZ107" s="16">
        <v>2.4259469114737087E-2</v>
      </c>
      <c r="BA107" s="16">
        <v>-7.8708455664467381E-2</v>
      </c>
      <c r="BB107" s="16">
        <f t="shared" si="38"/>
        <v>-1.9590481739356402E-2</v>
      </c>
      <c r="BC107" s="16"/>
      <c r="BD107" s="1"/>
      <c r="BE107" s="16">
        <f>AM107/'2017-18 disagg'!AM107-1</f>
        <v>1.9867935295282191E-2</v>
      </c>
      <c r="BF107" s="16">
        <f>AN107/'2017-18 disagg'!AN107-1</f>
        <v>1.9292359310660423E-2</v>
      </c>
      <c r="BG107" s="16">
        <f>AO107/'2017-18 disagg'!AO107-1</f>
        <v>4.2233761882825904E-2</v>
      </c>
      <c r="BH107" s="16">
        <f>AQ107/'2017-18 disagg'!AQ107-1</f>
        <v>2.3043726080937965E-2</v>
      </c>
      <c r="BI107" s="1"/>
      <c r="BJ107" s="16">
        <f>AS107/'2017-18 disagg'!AS107-1</f>
        <v>1.5035912225985326E-2</v>
      </c>
      <c r="BK107" s="16">
        <f>AT107/'2017-18 disagg'!AT107-1</f>
        <v>1.4463063257617037E-2</v>
      </c>
      <c r="BL107" s="16">
        <f>AU107/'2017-18 disagg'!AU107-1</f>
        <v>3.7295771965965008E-2</v>
      </c>
      <c r="BM107" s="16">
        <f>AW107/'2017-18 disagg'!AW107-1</f>
        <v>1.8196656461192395E-2</v>
      </c>
    </row>
    <row r="108" spans="1:65" x14ac:dyDescent="0.2">
      <c r="A108" s="156" t="s">
        <v>261</v>
      </c>
      <c r="B108" s="156" t="s">
        <v>262</v>
      </c>
      <c r="D108" s="56">
        <f>VLOOKUP(A108,'2018-19'!$A$12:$AMX316,32,FALSE)</f>
        <v>429100.31131919491</v>
      </c>
      <c r="E108" s="56">
        <v>1458.3070247480453</v>
      </c>
      <c r="F108" s="16">
        <f>VLOOKUP(A108,'2018-19'!$A$12:$AMX316,34,FALSE)</f>
        <v>3.3854584203780513E-2</v>
      </c>
      <c r="G108" s="16">
        <f>VLOOKUP(A108,'2018-19'!$A$12:$AMX316,35,FALSE)</f>
        <v>2.0517693700836004E-2</v>
      </c>
      <c r="H108" s="56"/>
      <c r="I108" s="56">
        <v>440670.78690878605</v>
      </c>
      <c r="J108" s="56">
        <v>1497.6295453495859</v>
      </c>
      <c r="K108" s="16">
        <f t="shared" si="23"/>
        <v>-2.6256506973733384E-2</v>
      </c>
      <c r="L108" s="58">
        <f t="shared" si="23"/>
        <v>-2.6256506973733496E-2</v>
      </c>
      <c r="M108" s="10"/>
      <c r="N108" s="56">
        <v>310579</v>
      </c>
      <c r="O108" s="56">
        <v>34052</v>
      </c>
      <c r="P108" s="56">
        <v>83540</v>
      </c>
      <c r="R108" s="56">
        <f t="shared" si="24"/>
        <v>83540</v>
      </c>
      <c r="S108" s="56">
        <f t="shared" si="25"/>
        <v>929.31131919490872</v>
      </c>
      <c r="U108" s="16">
        <v>-4.3670051237591268E-2</v>
      </c>
      <c r="V108" s="16">
        <v>-4.9010148213278315E-2</v>
      </c>
      <c r="W108" s="56">
        <f t="shared" si="26"/>
        <v>4</v>
      </c>
      <c r="X108" s="56">
        <f t="shared" si="27"/>
        <v>3247.613445567838</v>
      </c>
      <c r="Y108" s="56">
        <f t="shared" si="27"/>
        <v>358.06901552128062</v>
      </c>
      <c r="AA108" s="56">
        <f t="shared" si="39"/>
        <v>0</v>
      </c>
      <c r="AB108" s="56">
        <v>0</v>
      </c>
      <c r="AC108" s="56">
        <f t="shared" si="28"/>
        <v>929.31131919490872</v>
      </c>
      <c r="AE108" s="56">
        <v>0</v>
      </c>
      <c r="AF108" s="56">
        <f t="shared" si="29"/>
        <v>0</v>
      </c>
      <c r="AG108" s="56">
        <f t="shared" si="30"/>
        <v>929.31131919490872</v>
      </c>
      <c r="AI108" s="56">
        <f t="shared" si="31"/>
        <v>837.02432699083306</v>
      </c>
      <c r="AJ108" s="56">
        <f t="shared" si="32"/>
        <v>92.286992204075588</v>
      </c>
      <c r="AK108" s="56">
        <f t="shared" si="33"/>
        <v>0</v>
      </c>
      <c r="AM108" s="56">
        <f t="shared" si="34"/>
        <v>311416</v>
      </c>
      <c r="AN108" s="56">
        <f t="shared" si="35"/>
        <v>34144</v>
      </c>
      <c r="AO108" s="56">
        <f t="shared" si="36"/>
        <v>83540</v>
      </c>
      <c r="AP108" s="56"/>
      <c r="AQ108" s="56">
        <f t="shared" si="37"/>
        <v>429100</v>
      </c>
      <c r="AR108" s="1"/>
      <c r="AS108" s="56">
        <v>1058.3542552620429</v>
      </c>
      <c r="AT108" s="56">
        <v>116.03914921412898</v>
      </c>
      <c r="AU108" s="56">
        <v>283.91256224661242</v>
      </c>
      <c r="AV108" s="56"/>
      <c r="AW108" s="56">
        <v>1458.3059667227842</v>
      </c>
      <c r="AX108" s="1"/>
      <c r="AY108" s="16">
        <v>-4.1092774064588222E-2</v>
      </c>
      <c r="AZ108" s="16">
        <v>-4.6440811129865311E-2</v>
      </c>
      <c r="BA108" s="16">
        <v>4.2913235532863414E-2</v>
      </c>
      <c r="BB108" s="16">
        <f t="shared" si="38"/>
        <v>-2.6257213440338822E-2</v>
      </c>
      <c r="BC108" s="16"/>
      <c r="BD108" s="1"/>
      <c r="BE108" s="16">
        <f>AM108/'2017-18 disagg'!AM108-1</f>
        <v>2.8009678771733437E-2</v>
      </c>
      <c r="BF108" s="16">
        <f>AN108/'2017-18 disagg'!AN108-1</f>
        <v>4.6687716501639942E-2</v>
      </c>
      <c r="BG108" s="16">
        <f>AO108/'2017-18 disagg'!AO108-1</f>
        <v>5.0857265054027101E-2</v>
      </c>
      <c r="BH108" s="16">
        <f>AQ108/'2017-18 disagg'!AQ108-1</f>
        <v>3.3853834125609161E-2</v>
      </c>
      <c r="BI108" s="1"/>
      <c r="BJ108" s="16">
        <f>AS108/'2017-18 disagg'!AS108-1</f>
        <v>1.4748188489418057E-2</v>
      </c>
      <c r="BK108" s="16">
        <f>AT108/'2017-18 disagg'!AT108-1</f>
        <v>3.3185276526959795E-2</v>
      </c>
      <c r="BL108" s="16">
        <f>AU108/'2017-18 disagg'!AU108-1</f>
        <v>3.7301037232062129E-2</v>
      </c>
      <c r="BM108" s="16">
        <f>AW108/'2017-18 disagg'!AW108-1</f>
        <v>2.0516953298793661E-2</v>
      </c>
    </row>
    <row r="109" spans="1:65" x14ac:dyDescent="0.2">
      <c r="A109" s="156" t="s">
        <v>263</v>
      </c>
      <c r="B109" s="156" t="s">
        <v>264</v>
      </c>
      <c r="D109" s="56">
        <f>VLOOKUP(A109,'2018-19'!$A$12:$AMX317,32,FALSE)</f>
        <v>1045421.4381865631</v>
      </c>
      <c r="E109" s="56">
        <v>1546.0045060388893</v>
      </c>
      <c r="F109" s="16">
        <f>VLOOKUP(A109,'2018-19'!$A$12:$AMX317,34,FALSE)</f>
        <v>2.8079788317228127E-2</v>
      </c>
      <c r="G109" s="16">
        <f>VLOOKUP(A109,'2018-19'!$A$12:$AMX317,35,FALSE)</f>
        <v>2.002805841285249E-2</v>
      </c>
      <c r="H109" s="56"/>
      <c r="I109" s="56">
        <v>1071613.5134729519</v>
      </c>
      <c r="J109" s="56">
        <v>1584.7382309618333</v>
      </c>
      <c r="K109" s="16">
        <f t="shared" si="23"/>
        <v>-2.4441717986089961E-2</v>
      </c>
      <c r="L109" s="58">
        <f t="shared" si="23"/>
        <v>-2.444171798608985E-2</v>
      </c>
      <c r="M109" s="10"/>
      <c r="N109" s="56">
        <v>792658</v>
      </c>
      <c r="O109" s="56">
        <v>84339</v>
      </c>
      <c r="P109" s="56">
        <v>164219</v>
      </c>
      <c r="R109" s="56">
        <f t="shared" si="24"/>
        <v>164219</v>
      </c>
      <c r="S109" s="56">
        <f t="shared" si="25"/>
        <v>4205.4381865630858</v>
      </c>
      <c r="U109" s="16">
        <v>-2.8702461693730696E-2</v>
      </c>
      <c r="V109" s="16">
        <v>-2.6320999354561225E-2</v>
      </c>
      <c r="W109" s="56">
        <f t="shared" si="26"/>
        <v>4</v>
      </c>
      <c r="X109" s="56">
        <f t="shared" si="27"/>
        <v>8160.8154941092762</v>
      </c>
      <c r="Y109" s="56">
        <f t="shared" si="27"/>
        <v>866.18895903159876</v>
      </c>
      <c r="AA109" s="56">
        <f t="shared" si="39"/>
        <v>0</v>
      </c>
      <c r="AB109" s="56">
        <v>0</v>
      </c>
      <c r="AC109" s="56">
        <f t="shared" si="28"/>
        <v>4205.4381865630858</v>
      </c>
      <c r="AE109" s="56">
        <v>0</v>
      </c>
      <c r="AF109" s="56">
        <f t="shared" si="29"/>
        <v>0</v>
      </c>
      <c r="AG109" s="56">
        <f t="shared" si="30"/>
        <v>4205.4381865630858</v>
      </c>
      <c r="AI109" s="56">
        <f t="shared" si="31"/>
        <v>3801.9040857436976</v>
      </c>
      <c r="AJ109" s="56">
        <f t="shared" si="32"/>
        <v>403.53410081938796</v>
      </c>
      <c r="AK109" s="56">
        <f t="shared" si="33"/>
        <v>0</v>
      </c>
      <c r="AM109" s="56">
        <f t="shared" si="34"/>
        <v>796460</v>
      </c>
      <c r="AN109" s="56">
        <f t="shared" si="35"/>
        <v>84743</v>
      </c>
      <c r="AO109" s="56">
        <f t="shared" si="36"/>
        <v>164219</v>
      </c>
      <c r="AP109" s="56"/>
      <c r="AQ109" s="56">
        <f t="shared" si="37"/>
        <v>1045422</v>
      </c>
      <c r="AR109" s="1"/>
      <c r="AS109" s="56">
        <v>1177.8319287345566</v>
      </c>
      <c r="AT109" s="56">
        <v>125.32080849854674</v>
      </c>
      <c r="AU109" s="56">
        <v>242.85259963445768</v>
      </c>
      <c r="AV109" s="56"/>
      <c r="AW109" s="56">
        <v>1546.005336867561</v>
      </c>
      <c r="AX109" s="1"/>
      <c r="AY109" s="16">
        <v>-2.4043613564221578E-2</v>
      </c>
      <c r="AZ109" s="16">
        <v>-2.1656890030751885E-2</v>
      </c>
      <c r="BA109" s="16">
        <v>-2.778984604346757E-2</v>
      </c>
      <c r="BB109" s="16">
        <f t="shared" si="38"/>
        <v>-2.4441193717377518E-2</v>
      </c>
      <c r="BC109" s="16"/>
      <c r="BD109" s="1"/>
      <c r="BE109" s="16">
        <f>AM109/'2017-18 disagg'!AM109-1</f>
        <v>2.4901268676594812E-2</v>
      </c>
      <c r="BF109" s="16">
        <f>AN109/'2017-18 disagg'!AN109-1</f>
        <v>2.4889641410171137E-2</v>
      </c>
      <c r="BG109" s="16">
        <f>AO109/'2017-18 disagg'!AO109-1</f>
        <v>4.5488113882628634E-2</v>
      </c>
      <c r="BH109" s="16">
        <f>AQ109/'2017-18 disagg'!AQ109-1</f>
        <v>2.8080340811196702E-2</v>
      </c>
      <c r="BI109" s="1"/>
      <c r="BJ109" s="16">
        <f>AS109/'2017-18 disagg'!AS109-1</f>
        <v>1.687443234753605E-2</v>
      </c>
      <c r="BK109" s="16">
        <f>AT109/'2017-18 disagg'!AT109-1</f>
        <v>1.6862896143702732E-2</v>
      </c>
      <c r="BL109" s="16">
        <f>AU109/'2017-18 disagg'!AU109-1</f>
        <v>3.7300045206561272E-2</v>
      </c>
      <c r="BM109" s="16">
        <f>AW109/'2017-18 disagg'!AW109-1</f>
        <v>2.0028606579790997E-2</v>
      </c>
    </row>
    <row r="110" spans="1:65" x14ac:dyDescent="0.2">
      <c r="A110" s="156" t="s">
        <v>265</v>
      </c>
      <c r="B110" s="156" t="s">
        <v>266</v>
      </c>
      <c r="D110" s="56">
        <f>VLOOKUP(A110,'2018-19'!$A$12:$AMX318,32,FALSE)</f>
        <v>217720.79601464557</v>
      </c>
      <c r="E110" s="56">
        <v>1631.4765084483868</v>
      </c>
      <c r="F110" s="16">
        <f>VLOOKUP(A110,'2018-19'!$A$12:$AMX318,34,FALSE)</f>
        <v>2.4341891509386482E-2</v>
      </c>
      <c r="G110" s="16">
        <f>VLOOKUP(A110,'2018-19'!$A$12:$AMX318,35,FALSE)</f>
        <v>1.8369485733017221E-2</v>
      </c>
      <c r="H110" s="56"/>
      <c r="I110" s="56">
        <v>222124.28965823434</v>
      </c>
      <c r="J110" s="56">
        <v>1664.473799318725</v>
      </c>
      <c r="K110" s="16">
        <f t="shared" si="23"/>
        <v>-1.982445796614174E-2</v>
      </c>
      <c r="L110" s="58">
        <f t="shared" si="23"/>
        <v>-1.982445796614174E-2</v>
      </c>
      <c r="M110" s="10"/>
      <c r="N110" s="56">
        <v>170956</v>
      </c>
      <c r="O110" s="56">
        <v>17493</v>
      </c>
      <c r="P110" s="56">
        <v>28964</v>
      </c>
      <c r="R110" s="56">
        <f t="shared" si="24"/>
        <v>28964</v>
      </c>
      <c r="S110" s="56">
        <f t="shared" si="25"/>
        <v>307.79601464557345</v>
      </c>
      <c r="U110" s="16">
        <v>-1.199979750283231E-2</v>
      </c>
      <c r="V110" s="16">
        <v>2.0234328620405639E-2</v>
      </c>
      <c r="W110" s="56">
        <f t="shared" si="26"/>
        <v>1</v>
      </c>
      <c r="X110" s="56">
        <f t="shared" si="27"/>
        <v>1730.323531998366</v>
      </c>
      <c r="Y110" s="56">
        <f t="shared" si="27"/>
        <v>171.46060967831389</v>
      </c>
      <c r="AA110" s="56">
        <f t="shared" si="39"/>
        <v>307.79601464557345</v>
      </c>
      <c r="AB110" s="56">
        <v>0</v>
      </c>
      <c r="AC110" s="56">
        <f t="shared" si="28"/>
        <v>0</v>
      </c>
      <c r="AE110" s="56">
        <v>0</v>
      </c>
      <c r="AF110" s="56">
        <f t="shared" si="29"/>
        <v>0</v>
      </c>
      <c r="AG110" s="56">
        <f t="shared" si="30"/>
        <v>0</v>
      </c>
      <c r="AI110" s="56">
        <f t="shared" si="31"/>
        <v>0</v>
      </c>
      <c r="AJ110" s="56">
        <f t="shared" si="32"/>
        <v>0</v>
      </c>
      <c r="AK110" s="56">
        <f t="shared" si="33"/>
        <v>0</v>
      </c>
      <c r="AM110" s="56">
        <f t="shared" si="34"/>
        <v>171264</v>
      </c>
      <c r="AN110" s="56">
        <f t="shared" si="35"/>
        <v>17493</v>
      </c>
      <c r="AO110" s="56">
        <f t="shared" si="36"/>
        <v>28964</v>
      </c>
      <c r="AP110" s="56"/>
      <c r="AQ110" s="56">
        <f t="shared" si="37"/>
        <v>217721</v>
      </c>
      <c r="AR110" s="1"/>
      <c r="AS110" s="56">
        <v>1283.3555537988618</v>
      </c>
      <c r="AT110" s="56">
        <v>131.08264844102374</v>
      </c>
      <c r="AU110" s="56">
        <v>217.03983475937872</v>
      </c>
      <c r="AV110" s="56"/>
      <c r="AW110" s="56">
        <v>1631.4780369992643</v>
      </c>
      <c r="AX110" s="1"/>
      <c r="AY110" s="16">
        <v>-1.0219783567263274E-2</v>
      </c>
      <c r="AZ110" s="16">
        <v>2.0234328620405639E-2</v>
      </c>
      <c r="BA110" s="16">
        <v>-9.3341486022097908E-2</v>
      </c>
      <c r="BB110" s="16">
        <f t="shared" si="38"/>
        <v>-1.9823539627338072E-2</v>
      </c>
      <c r="BC110" s="16"/>
      <c r="BD110" s="1"/>
      <c r="BE110" s="16">
        <f>AM110/'2017-18 disagg'!AM110-1</f>
        <v>2.1709172259507747E-2</v>
      </c>
      <c r="BF110" s="16">
        <f>AN110/'2017-18 disagg'!AN110-1</f>
        <v>1.9286796410674656E-2</v>
      </c>
      <c r="BG110" s="16">
        <f>AO110/'2017-18 disagg'!AO110-1</f>
        <v>4.3371757925072085E-2</v>
      </c>
      <c r="BH110" s="16">
        <f>AQ110/'2017-18 disagg'!AQ110-1</f>
        <v>2.4342851228198903E-2</v>
      </c>
      <c r="BI110" s="1"/>
      <c r="BJ110" s="16">
        <f>AS110/'2017-18 disagg'!AS110-1</f>
        <v>1.5752116502293134E-2</v>
      </c>
      <c r="BK110" s="16">
        <f>AT110/'2017-18 disagg'!AT110-1</f>
        <v>1.3343864269443895E-2</v>
      </c>
      <c r="BL110" s="16">
        <f>AU110/'2017-18 disagg'!AU110-1</f>
        <v>3.7288398877098228E-2</v>
      </c>
      <c r="BM110" s="16">
        <f>AW110/'2017-18 disagg'!AW110-1</f>
        <v>1.8370439856207454E-2</v>
      </c>
    </row>
    <row r="111" spans="1:65" x14ac:dyDescent="0.2">
      <c r="A111" s="156" t="s">
        <v>267</v>
      </c>
      <c r="B111" s="156" t="s">
        <v>268</v>
      </c>
      <c r="D111" s="56">
        <f>VLOOKUP(A111,'2018-19'!$A$12:$AMX319,32,FALSE)</f>
        <v>516078</v>
      </c>
      <c r="E111" s="56">
        <v>1753.2441088116243</v>
      </c>
      <c r="F111" s="16">
        <f>VLOOKUP(A111,'2018-19'!$A$12:$AMX319,34,FALSE)</f>
        <v>1.8132246437568833E-2</v>
      </c>
      <c r="G111" s="16">
        <f>VLOOKUP(A111,'2018-19'!$A$12:$AMX319,35,FALSE)</f>
        <v>1.4423724341119382E-2</v>
      </c>
      <c r="H111" s="56"/>
      <c r="I111" s="56">
        <v>487750.11295462144</v>
      </c>
      <c r="J111" s="56">
        <v>1657.0072975594665</v>
      </c>
      <c r="K111" s="16">
        <f t="shared" si="23"/>
        <v>5.8078688846995963E-2</v>
      </c>
      <c r="L111" s="58">
        <f t="shared" si="23"/>
        <v>5.8078688846995963E-2</v>
      </c>
      <c r="M111" s="10"/>
      <c r="N111" s="56">
        <v>400845</v>
      </c>
      <c r="O111" s="56">
        <v>39509</v>
      </c>
      <c r="P111" s="56">
        <v>75724</v>
      </c>
      <c r="R111" s="56">
        <f t="shared" si="24"/>
        <v>75724</v>
      </c>
      <c r="S111" s="56">
        <f t="shared" si="25"/>
        <v>0</v>
      </c>
      <c r="U111" s="16">
        <v>5.8094318822768498E-2</v>
      </c>
      <c r="V111" s="16">
        <v>4.9678855252940579E-2</v>
      </c>
      <c r="W111" s="56">
        <f t="shared" si="26"/>
        <v>2</v>
      </c>
      <c r="X111" s="56">
        <f t="shared" si="27"/>
        <v>3788.3673777398085</v>
      </c>
      <c r="Y111" s="56">
        <f t="shared" si="27"/>
        <v>376.39131056402516</v>
      </c>
      <c r="AA111" s="56">
        <f t="shared" si="39"/>
        <v>0</v>
      </c>
      <c r="AB111" s="56">
        <v>0</v>
      </c>
      <c r="AC111" s="56">
        <f t="shared" si="28"/>
        <v>0</v>
      </c>
      <c r="AE111" s="56">
        <v>0</v>
      </c>
      <c r="AF111" s="56">
        <f t="shared" si="29"/>
        <v>0</v>
      </c>
      <c r="AG111" s="56">
        <f t="shared" si="30"/>
        <v>0</v>
      </c>
      <c r="AI111" s="56">
        <f t="shared" si="31"/>
        <v>0</v>
      </c>
      <c r="AJ111" s="56">
        <f t="shared" si="32"/>
        <v>0</v>
      </c>
      <c r="AK111" s="56">
        <f t="shared" si="33"/>
        <v>0</v>
      </c>
      <c r="AM111" s="56">
        <f t="shared" si="34"/>
        <v>400845</v>
      </c>
      <c r="AN111" s="56">
        <f t="shared" si="35"/>
        <v>39509</v>
      </c>
      <c r="AO111" s="56">
        <f t="shared" si="36"/>
        <v>75724</v>
      </c>
      <c r="AP111" s="56"/>
      <c r="AQ111" s="56">
        <f t="shared" si="37"/>
        <v>516078</v>
      </c>
      <c r="AR111" s="1"/>
      <c r="AS111" s="56">
        <v>1361.7692185998928</v>
      </c>
      <c r="AT111" s="56">
        <v>134.22180657776241</v>
      </c>
      <c r="AU111" s="56">
        <v>257.25308363396897</v>
      </c>
      <c r="AV111" s="56"/>
      <c r="AW111" s="56">
        <v>1753.2441088116243</v>
      </c>
      <c r="AX111" s="1"/>
      <c r="AY111" s="16">
        <v>5.8094318822768498E-2</v>
      </c>
      <c r="AZ111" s="16">
        <v>4.9678855252940579E-2</v>
      </c>
      <c r="BA111" s="16">
        <v>6.243147058852716E-2</v>
      </c>
      <c r="BB111" s="16">
        <f t="shared" si="38"/>
        <v>5.8078688846995963E-2</v>
      </c>
      <c r="BC111" s="16"/>
      <c r="BD111" s="1"/>
      <c r="BE111" s="16">
        <f>AM111/'2017-18 disagg'!AM111-1</f>
        <v>1.4086324273863582E-2</v>
      </c>
      <c r="BF111" s="16">
        <f>AN111/'2017-18 disagg'!AN111-1</f>
        <v>1.6308681672025704E-2</v>
      </c>
      <c r="BG111" s="16">
        <f>AO111/'2017-18 disagg'!AO111-1</f>
        <v>4.1094383721729466E-2</v>
      </c>
      <c r="BH111" s="16">
        <f>AQ111/'2017-18 disagg'!AQ111-1</f>
        <v>1.8132246437568833E-2</v>
      </c>
      <c r="BI111" s="1"/>
      <c r="BJ111" s="16">
        <f>AS111/'2017-18 disagg'!AS111-1</f>
        <v>1.0392539351093744E-2</v>
      </c>
      <c r="BK111" s="16">
        <f>AT111/'2017-18 disagg'!AT111-1</f>
        <v>1.2606801866154038E-2</v>
      </c>
      <c r="BL111" s="16">
        <f>AU111/'2017-18 disagg'!AU111-1</f>
        <v>3.7302222595283707E-2</v>
      </c>
      <c r="BM111" s="16">
        <f>AW111/'2017-18 disagg'!AW111-1</f>
        <v>1.4423724341119382E-2</v>
      </c>
    </row>
    <row r="112" spans="1:65" x14ac:dyDescent="0.2">
      <c r="A112" s="156" t="s">
        <v>269</v>
      </c>
      <c r="B112" s="156" t="s">
        <v>270</v>
      </c>
      <c r="D112" s="56">
        <f>VLOOKUP(A112,'2018-19'!$A$12:$AMX320,32,FALSE)</f>
        <v>601723</v>
      </c>
      <c r="E112" s="56">
        <v>1667.0485823640815</v>
      </c>
      <c r="F112" s="16">
        <f>VLOOKUP(A112,'2018-19'!$A$12:$AMX320,34,FALSE)</f>
        <v>2.4842583587816769E-2</v>
      </c>
      <c r="G112" s="16">
        <f>VLOOKUP(A112,'2018-19'!$A$12:$AMX320,35,FALSE)</f>
        <v>1.993861331893676E-2</v>
      </c>
      <c r="H112" s="56"/>
      <c r="I112" s="56">
        <v>603563.0126434986</v>
      </c>
      <c r="J112" s="56">
        <v>1672.1462609784546</v>
      </c>
      <c r="K112" s="16">
        <f t="shared" si="23"/>
        <v>-3.048584165950885E-3</v>
      </c>
      <c r="L112" s="58">
        <f t="shared" si="23"/>
        <v>-3.048584165950996E-3</v>
      </c>
      <c r="M112" s="10"/>
      <c r="N112" s="56">
        <v>437157</v>
      </c>
      <c r="O112" s="56">
        <v>48557</v>
      </c>
      <c r="P112" s="56">
        <v>116009</v>
      </c>
      <c r="R112" s="56">
        <f t="shared" si="24"/>
        <v>116009</v>
      </c>
      <c r="S112" s="56">
        <f t="shared" si="25"/>
        <v>0</v>
      </c>
      <c r="U112" s="16">
        <v>1.8531438083155827E-3</v>
      </c>
      <c r="V112" s="16">
        <v>-4.8561355673254369E-2</v>
      </c>
      <c r="W112" s="56">
        <f t="shared" si="26"/>
        <v>3</v>
      </c>
      <c r="X112" s="56">
        <f t="shared" si="27"/>
        <v>4363.4838369448807</v>
      </c>
      <c r="Y112" s="56">
        <f t="shared" si="27"/>
        <v>510.35345568036888</v>
      </c>
      <c r="AA112" s="56">
        <f t="shared" si="39"/>
        <v>0</v>
      </c>
      <c r="AB112" s="56">
        <v>0</v>
      </c>
      <c r="AC112" s="56">
        <f t="shared" si="28"/>
        <v>0</v>
      </c>
      <c r="AE112" s="56">
        <v>0</v>
      </c>
      <c r="AF112" s="56">
        <f t="shared" si="29"/>
        <v>0</v>
      </c>
      <c r="AG112" s="56">
        <f t="shared" si="30"/>
        <v>0</v>
      </c>
      <c r="AI112" s="56">
        <f t="shared" si="31"/>
        <v>0</v>
      </c>
      <c r="AJ112" s="56">
        <f t="shared" si="32"/>
        <v>0</v>
      </c>
      <c r="AK112" s="56">
        <f t="shared" si="33"/>
        <v>0</v>
      </c>
      <c r="AM112" s="56">
        <f t="shared" si="34"/>
        <v>437157</v>
      </c>
      <c r="AN112" s="56">
        <f t="shared" si="35"/>
        <v>48557</v>
      </c>
      <c r="AO112" s="56">
        <f t="shared" si="36"/>
        <v>116009</v>
      </c>
      <c r="AP112" s="56"/>
      <c r="AQ112" s="56">
        <f t="shared" si="37"/>
        <v>601723</v>
      </c>
      <c r="AR112" s="1"/>
      <c r="AS112" s="56">
        <v>1211.1253136751209</v>
      </c>
      <c r="AT112" s="56">
        <v>134.52515196170449</v>
      </c>
      <c r="AU112" s="56">
        <v>321.39811672725614</v>
      </c>
      <c r="AV112" s="56"/>
      <c r="AW112" s="56">
        <v>1667.0485823640815</v>
      </c>
      <c r="AX112" s="1"/>
      <c r="AY112" s="16">
        <v>1.8531438083155827E-3</v>
      </c>
      <c r="AZ112" s="16">
        <v>-4.8561355673254369E-2</v>
      </c>
      <c r="BA112" s="16">
        <v>-1.4656948813781545E-3</v>
      </c>
      <c r="BB112" s="16">
        <f t="shared" si="38"/>
        <v>-3.048584165950885E-3</v>
      </c>
      <c r="BC112" s="16"/>
      <c r="BD112" s="1"/>
      <c r="BE112" s="16">
        <f>AM112/'2017-18 disagg'!AM112-1</f>
        <v>1.9869820828667395E-2</v>
      </c>
      <c r="BF112" s="16">
        <f>AN112/'2017-18 disagg'!AN112-1</f>
        <v>2.8858989299713977E-2</v>
      </c>
      <c r="BG112" s="16">
        <f>AO112/'2017-18 disagg'!AO112-1</f>
        <v>4.2290345186968725E-2</v>
      </c>
      <c r="BH112" s="16">
        <f>AQ112/'2017-18 disagg'!AQ112-1</f>
        <v>2.4842583587816769E-2</v>
      </c>
      <c r="BI112" s="1"/>
      <c r="BJ112" s="16">
        <f>AS112/'2017-18 disagg'!AS112-1</f>
        <v>1.4989645707564669E-2</v>
      </c>
      <c r="BK112" s="16">
        <f>AT112/'2017-18 disagg'!AT112-1</f>
        <v>2.3935800143451313E-2</v>
      </c>
      <c r="BL112" s="16">
        <f>AU112/'2017-18 disagg'!AU112-1</f>
        <v>3.7302885701782751E-2</v>
      </c>
      <c r="BM112" s="16">
        <f>AW112/'2017-18 disagg'!AW112-1</f>
        <v>1.993861331893676E-2</v>
      </c>
    </row>
    <row r="113" spans="1:65" x14ac:dyDescent="0.2">
      <c r="A113" s="156" t="s">
        <v>271</v>
      </c>
      <c r="B113" s="156" t="s">
        <v>272</v>
      </c>
      <c r="D113" s="56">
        <f>VLOOKUP(A113,'2018-19'!$A$12:$AMX321,32,FALSE)</f>
        <v>247016.51856807133</v>
      </c>
      <c r="E113" s="56">
        <v>1616.0581193468336</v>
      </c>
      <c r="F113" s="16">
        <f>VLOOKUP(A113,'2018-19'!$A$12:$AMX321,34,FALSE)</f>
        <v>2.5245579984856104E-2</v>
      </c>
      <c r="G113" s="16">
        <f>VLOOKUP(A113,'2018-19'!$A$12:$AMX321,35,FALSE)</f>
        <v>1.9160504992487004E-2</v>
      </c>
      <c r="H113" s="56"/>
      <c r="I113" s="56">
        <v>252602.91784563247</v>
      </c>
      <c r="J113" s="56">
        <v>1652.6060634387914</v>
      </c>
      <c r="K113" s="16">
        <f t="shared" si="23"/>
        <v>-2.211533946324018E-2</v>
      </c>
      <c r="L113" s="58">
        <f t="shared" si="23"/>
        <v>-2.2115339463240069E-2</v>
      </c>
      <c r="M113" s="10"/>
      <c r="N113" s="56">
        <v>190040</v>
      </c>
      <c r="O113" s="56">
        <v>19551</v>
      </c>
      <c r="P113" s="56">
        <v>36955</v>
      </c>
      <c r="R113" s="56">
        <f t="shared" si="24"/>
        <v>36955</v>
      </c>
      <c r="S113" s="56">
        <f t="shared" si="25"/>
        <v>470.51856807133299</v>
      </c>
      <c r="U113" s="16">
        <v>-2.0082733361096783E-2</v>
      </c>
      <c r="V113" s="16">
        <v>6.5484395934412021E-3</v>
      </c>
      <c r="W113" s="56">
        <f t="shared" si="26"/>
        <v>1</v>
      </c>
      <c r="X113" s="56">
        <f t="shared" si="27"/>
        <v>1939.3473966616939</v>
      </c>
      <c r="Y113" s="56">
        <f t="shared" si="27"/>
        <v>194.23804390275461</v>
      </c>
      <c r="AA113" s="56">
        <f t="shared" si="39"/>
        <v>470.51856807133299</v>
      </c>
      <c r="AB113" s="56">
        <v>0</v>
      </c>
      <c r="AC113" s="56">
        <f t="shared" si="28"/>
        <v>0</v>
      </c>
      <c r="AE113" s="56">
        <v>0</v>
      </c>
      <c r="AF113" s="56">
        <f t="shared" si="29"/>
        <v>0</v>
      </c>
      <c r="AG113" s="56">
        <f t="shared" si="30"/>
        <v>0</v>
      </c>
      <c r="AI113" s="56">
        <f t="shared" si="31"/>
        <v>0</v>
      </c>
      <c r="AJ113" s="56">
        <f t="shared" si="32"/>
        <v>0</v>
      </c>
      <c r="AK113" s="56">
        <f t="shared" si="33"/>
        <v>0</v>
      </c>
      <c r="AM113" s="56">
        <f t="shared" si="34"/>
        <v>190511</v>
      </c>
      <c r="AN113" s="56">
        <f t="shared" si="35"/>
        <v>19551</v>
      </c>
      <c r="AO113" s="56">
        <f t="shared" si="36"/>
        <v>36955</v>
      </c>
      <c r="AP113" s="56"/>
      <c r="AQ113" s="56">
        <f t="shared" si="37"/>
        <v>247017</v>
      </c>
      <c r="AR113" s="1"/>
      <c r="AS113" s="56">
        <v>1246.3816191711153</v>
      </c>
      <c r="AT113" s="56">
        <v>127.90866163326251</v>
      </c>
      <c r="AU113" s="56">
        <v>241.77098821836304</v>
      </c>
      <c r="AV113" s="56"/>
      <c r="AW113" s="56">
        <v>1616.0612690227408</v>
      </c>
      <c r="AX113" s="1"/>
      <c r="AY113" s="16">
        <v>-1.7654081326856974E-2</v>
      </c>
      <c r="AZ113" s="16">
        <v>6.5484395934412021E-3</v>
      </c>
      <c r="BA113" s="16">
        <v>-5.833635673448756E-2</v>
      </c>
      <c r="BB113" s="16">
        <f t="shared" si="38"/>
        <v>-2.2113433578966335E-2</v>
      </c>
      <c r="BC113" s="16"/>
      <c r="BD113" s="1"/>
      <c r="BE113" s="16">
        <f>AM113/'2017-18 disagg'!AM113-1</f>
        <v>2.2394787965954288E-2</v>
      </c>
      <c r="BF113" s="16">
        <f>AN113/'2017-18 disagg'!AN113-1</f>
        <v>1.9289922318961539E-2</v>
      </c>
      <c r="BG113" s="16">
        <f>AO113/'2017-18 disagg'!AO113-1</f>
        <v>4.3484399265847795E-2</v>
      </c>
      <c r="BH113" s="16">
        <f>AQ113/'2017-18 disagg'!AQ113-1</f>
        <v>2.5247578174935947E-2</v>
      </c>
      <c r="BI113" s="1"/>
      <c r="BJ113" s="16">
        <f>AS113/'2017-18 disagg'!AS113-1</f>
        <v>1.63266330984424E-2</v>
      </c>
      <c r="BK113" s="16">
        <f>AT113/'2017-18 disagg'!AT113-1</f>
        <v>1.3240195563378965E-2</v>
      </c>
      <c r="BL113" s="16">
        <f>AU113/'2017-18 disagg'!AU113-1</f>
        <v>3.7291072567483763E-2</v>
      </c>
      <c r="BM113" s="16">
        <f>AW113/'2017-18 disagg'!AW113-1</f>
        <v>1.9162491322836095E-2</v>
      </c>
    </row>
    <row r="114" spans="1:65" x14ac:dyDescent="0.2">
      <c r="A114" s="156" t="s">
        <v>273</v>
      </c>
      <c r="B114" s="156" t="s">
        <v>274</v>
      </c>
      <c r="D114" s="56">
        <f>VLOOKUP(A114,'2018-19'!$A$12:$AMX322,32,FALSE)</f>
        <v>157587</v>
      </c>
      <c r="E114" s="56">
        <v>1631.4445799858977</v>
      </c>
      <c r="F114" s="16">
        <f>VLOOKUP(A114,'2018-19'!$A$12:$AMX322,34,FALSE)</f>
        <v>2.3305497473993242E-2</v>
      </c>
      <c r="G114" s="16">
        <f>VLOOKUP(A114,'2018-19'!$A$12:$AMX322,35,FALSE)</f>
        <v>1.656044244717636E-2</v>
      </c>
      <c r="H114" s="56"/>
      <c r="I114" s="56">
        <v>157623.96969216646</v>
      </c>
      <c r="J114" s="56">
        <v>1631.8273146271354</v>
      </c>
      <c r="K114" s="16">
        <f t="shared" si="23"/>
        <v>-2.3454359282193415E-4</v>
      </c>
      <c r="L114" s="58">
        <f t="shared" si="23"/>
        <v>-2.3454359282193415E-4</v>
      </c>
      <c r="M114" s="10"/>
      <c r="N114" s="56">
        <v>121909</v>
      </c>
      <c r="O114" s="56">
        <v>12653</v>
      </c>
      <c r="P114" s="56">
        <v>23025</v>
      </c>
      <c r="R114" s="56">
        <f t="shared" si="24"/>
        <v>23025</v>
      </c>
      <c r="S114" s="56">
        <f t="shared" si="25"/>
        <v>0</v>
      </c>
      <c r="U114" s="16">
        <v>7.8781698438932235E-3</v>
      </c>
      <c r="V114" s="16">
        <v>2.9755105894274214E-2</v>
      </c>
      <c r="W114" s="56">
        <f t="shared" si="26"/>
        <v>2</v>
      </c>
      <c r="X114" s="56">
        <f t="shared" si="27"/>
        <v>1209.5608739981151</v>
      </c>
      <c r="Y114" s="56">
        <f t="shared" si="27"/>
        <v>122.87387484242389</v>
      </c>
      <c r="AA114" s="56">
        <f t="shared" si="39"/>
        <v>0</v>
      </c>
      <c r="AB114" s="56">
        <v>0</v>
      </c>
      <c r="AC114" s="56">
        <f t="shared" si="28"/>
        <v>0</v>
      </c>
      <c r="AE114" s="56">
        <v>0</v>
      </c>
      <c r="AF114" s="56">
        <f t="shared" si="29"/>
        <v>0</v>
      </c>
      <c r="AG114" s="56">
        <f t="shared" si="30"/>
        <v>0</v>
      </c>
      <c r="AI114" s="56">
        <f t="shared" si="31"/>
        <v>0</v>
      </c>
      <c r="AJ114" s="56">
        <f t="shared" si="32"/>
        <v>0</v>
      </c>
      <c r="AK114" s="56">
        <f t="shared" si="33"/>
        <v>0</v>
      </c>
      <c r="AM114" s="56">
        <f t="shared" si="34"/>
        <v>121909</v>
      </c>
      <c r="AN114" s="56">
        <f t="shared" si="35"/>
        <v>12653</v>
      </c>
      <c r="AO114" s="56">
        <f t="shared" si="36"/>
        <v>23025</v>
      </c>
      <c r="AP114" s="56"/>
      <c r="AQ114" s="56">
        <f t="shared" si="37"/>
        <v>157587</v>
      </c>
      <c r="AR114" s="1"/>
      <c r="AS114" s="56">
        <v>1262.0823881506774</v>
      </c>
      <c r="AT114" s="56">
        <v>130.99220285024504</v>
      </c>
      <c r="AU114" s="56">
        <v>238.36998898497527</v>
      </c>
      <c r="AV114" s="56"/>
      <c r="AW114" s="56">
        <v>1631.4445799858977</v>
      </c>
      <c r="AX114" s="1"/>
      <c r="AY114" s="16">
        <v>7.8781698438932235E-3</v>
      </c>
      <c r="AZ114" s="16">
        <v>2.9755105894274214E-2</v>
      </c>
      <c r="BA114" s="16">
        <v>-5.5597510172826992E-2</v>
      </c>
      <c r="BB114" s="16">
        <f t="shared" si="38"/>
        <v>-2.3454359282193415E-4</v>
      </c>
      <c r="BC114" s="16"/>
      <c r="BD114" s="1"/>
      <c r="BE114" s="16">
        <f>AM114/'2017-18 disagg'!AM114-1</f>
        <v>1.986882393293965E-2</v>
      </c>
      <c r="BF114" s="16">
        <f>AN114/'2017-18 disagg'!AN114-1</f>
        <v>1.9334568597438206E-2</v>
      </c>
      <c r="BG114" s="16">
        <f>AO114/'2017-18 disagg'!AO114-1</f>
        <v>4.4170332411228586E-2</v>
      </c>
      <c r="BH114" s="16">
        <f>AQ114/'2017-18 disagg'!AQ114-1</f>
        <v>2.3305497473993242E-2</v>
      </c>
      <c r="BI114" s="1"/>
      <c r="BJ114" s="16">
        <f>AS114/'2017-18 disagg'!AS114-1</f>
        <v>1.3146421527652663E-2</v>
      </c>
      <c r="BK114" s="16">
        <f>AT114/'2017-18 disagg'!AT114-1</f>
        <v>1.2615687703220191E-2</v>
      </c>
      <c r="BL114" s="16">
        <f>AU114/'2017-18 disagg'!AU114-1</f>
        <v>3.7287748112728503E-2</v>
      </c>
      <c r="BM114" s="16">
        <f>AW114/'2017-18 disagg'!AW114-1</f>
        <v>1.656044244717636E-2</v>
      </c>
    </row>
    <row r="115" spans="1:65" x14ac:dyDescent="0.2">
      <c r="A115" s="156" t="s">
        <v>275</v>
      </c>
      <c r="B115" s="156" t="s">
        <v>276</v>
      </c>
      <c r="D115" s="56">
        <f>VLOOKUP(A115,'2018-19'!$A$12:$AMX323,32,FALSE)</f>
        <v>185674.62014580049</v>
      </c>
      <c r="E115" s="56">
        <v>1465.0875775294578</v>
      </c>
      <c r="F115" s="16">
        <f>VLOOKUP(A115,'2018-19'!$A$12:$AMX323,34,FALSE)</f>
        <v>2.473961403263103E-2</v>
      </c>
      <c r="G115" s="16">
        <f>VLOOKUP(A115,'2018-19'!$A$12:$AMX323,35,FALSE)</f>
        <v>1.7681749841803152E-2</v>
      </c>
      <c r="H115" s="56"/>
      <c r="I115" s="56">
        <v>189119.0759691899</v>
      </c>
      <c r="J115" s="56">
        <v>1492.2664640904434</v>
      </c>
      <c r="K115" s="16">
        <f t="shared" si="23"/>
        <v>-1.821315912071475E-2</v>
      </c>
      <c r="L115" s="58">
        <f t="shared" si="23"/>
        <v>-1.821315912071475E-2</v>
      </c>
      <c r="M115" s="10"/>
      <c r="N115" s="56">
        <v>142629</v>
      </c>
      <c r="O115" s="56">
        <v>15976</v>
      </c>
      <c r="P115" s="56">
        <v>26738</v>
      </c>
      <c r="R115" s="56">
        <f t="shared" si="24"/>
        <v>26738</v>
      </c>
      <c r="S115" s="56">
        <f t="shared" si="25"/>
        <v>331.62014580049436</v>
      </c>
      <c r="U115" s="16">
        <v>-2.1720755297182204E-2</v>
      </c>
      <c r="V115" s="16">
        <v>5.6116649578199951E-2</v>
      </c>
      <c r="W115" s="56">
        <f t="shared" si="26"/>
        <v>1</v>
      </c>
      <c r="X115" s="56">
        <f t="shared" si="27"/>
        <v>1457.9579478181397</v>
      </c>
      <c r="Y115" s="56">
        <f t="shared" si="27"/>
        <v>151.27116882761595</v>
      </c>
      <c r="AA115" s="56">
        <f t="shared" si="39"/>
        <v>331.62014580049436</v>
      </c>
      <c r="AB115" s="56">
        <v>0</v>
      </c>
      <c r="AC115" s="56">
        <f t="shared" si="28"/>
        <v>0</v>
      </c>
      <c r="AE115" s="56">
        <v>0</v>
      </c>
      <c r="AF115" s="56">
        <f t="shared" si="29"/>
        <v>0</v>
      </c>
      <c r="AG115" s="56">
        <f t="shared" si="30"/>
        <v>0</v>
      </c>
      <c r="AI115" s="56">
        <f t="shared" si="31"/>
        <v>0</v>
      </c>
      <c r="AJ115" s="56">
        <f t="shared" si="32"/>
        <v>0</v>
      </c>
      <c r="AK115" s="56">
        <f t="shared" si="33"/>
        <v>0</v>
      </c>
      <c r="AM115" s="56">
        <f t="shared" si="34"/>
        <v>142961</v>
      </c>
      <c r="AN115" s="56">
        <f t="shared" si="35"/>
        <v>15976</v>
      </c>
      <c r="AO115" s="56">
        <f t="shared" si="36"/>
        <v>26738</v>
      </c>
      <c r="AP115" s="56"/>
      <c r="AQ115" s="56">
        <f t="shared" si="37"/>
        <v>185675</v>
      </c>
      <c r="AR115" s="1"/>
      <c r="AS115" s="56">
        <v>1128.0506996956206</v>
      </c>
      <c r="AT115" s="56">
        <v>126.06051985042937</v>
      </c>
      <c r="AU115" s="56">
        <v>210.97935526795069</v>
      </c>
      <c r="AV115" s="56"/>
      <c r="AW115" s="56">
        <v>1465.0905748140005</v>
      </c>
      <c r="AX115" s="1"/>
      <c r="AY115" s="16">
        <v>-1.944359771182913E-2</v>
      </c>
      <c r="AZ115" s="16">
        <v>5.6116649578199951E-2</v>
      </c>
      <c r="BA115" s="16">
        <v>-5.1714988211205126E-2</v>
      </c>
      <c r="BB115" s="16">
        <f t="shared" si="38"/>
        <v>-1.8211150575582313E-2</v>
      </c>
      <c r="BC115" s="16"/>
      <c r="BD115" s="1"/>
      <c r="BE115" s="16">
        <f>AM115/'2017-18 disagg'!AM115-1</f>
        <v>2.22452627815517E-2</v>
      </c>
      <c r="BF115" s="16">
        <f>AN115/'2017-18 disagg'!AN115-1</f>
        <v>1.4800228673061078E-2</v>
      </c>
      <c r="BG115" s="16">
        <f>AO115/'2017-18 disagg'!AO115-1</f>
        <v>4.4493925543966473E-2</v>
      </c>
      <c r="BH115" s="16">
        <f>AQ115/'2017-18 disagg'!AQ115-1</f>
        <v>2.4741710450792542E-2</v>
      </c>
      <c r="BI115" s="1"/>
      <c r="BJ115" s="16">
        <f>AS115/'2017-18 disagg'!AS115-1</f>
        <v>1.520457836218303E-2</v>
      </c>
      <c r="BK115" s="16">
        <f>AT115/'2017-18 disagg'!AT115-1</f>
        <v>7.8108217088761478E-3</v>
      </c>
      <c r="BL115" s="16">
        <f>AU115/'2017-18 disagg'!AU115-1</f>
        <v>3.7300004109014129E-2</v>
      </c>
      <c r="BM115" s="16">
        <f>AW115/'2017-18 disagg'!AW115-1</f>
        <v>1.7683831820945572E-2</v>
      </c>
    </row>
    <row r="116" spans="1:65" x14ac:dyDescent="0.2">
      <c r="A116" s="156" t="s">
        <v>277</v>
      </c>
      <c r="B116" s="156" t="s">
        <v>278</v>
      </c>
      <c r="D116" s="56">
        <f>VLOOKUP(A116,'2018-19'!$A$12:$AMX324,32,FALSE)</f>
        <v>261617.09355103751</v>
      </c>
      <c r="E116" s="56">
        <v>1561.7680067422132</v>
      </c>
      <c r="F116" s="16">
        <f>VLOOKUP(A116,'2018-19'!$A$12:$AMX324,34,FALSE)</f>
        <v>2.6778862732393716E-2</v>
      </c>
      <c r="G116" s="16">
        <f>VLOOKUP(A116,'2018-19'!$A$12:$AMX324,35,FALSE)</f>
        <v>1.7684824109290398E-2</v>
      </c>
      <c r="H116" s="56"/>
      <c r="I116" s="56">
        <v>266409.1794089129</v>
      </c>
      <c r="J116" s="56">
        <v>1590.3751832718749</v>
      </c>
      <c r="K116" s="16">
        <f t="shared" si="23"/>
        <v>-1.7987690471130469E-2</v>
      </c>
      <c r="L116" s="58">
        <f t="shared" si="23"/>
        <v>-1.7987690471130358E-2</v>
      </c>
      <c r="M116" s="10"/>
      <c r="N116" s="56">
        <v>208483</v>
      </c>
      <c r="O116" s="56">
        <v>23304</v>
      </c>
      <c r="P116" s="56">
        <v>28821</v>
      </c>
      <c r="R116" s="56">
        <f t="shared" si="24"/>
        <v>28821</v>
      </c>
      <c r="S116" s="56">
        <f t="shared" si="25"/>
        <v>1009.093551037513</v>
      </c>
      <c r="U116" s="16">
        <v>1.8243113314608816E-3</v>
      </c>
      <c r="V116" s="16">
        <v>9.4099397408144325E-2</v>
      </c>
      <c r="W116" s="56">
        <f t="shared" si="26"/>
        <v>2</v>
      </c>
      <c r="X116" s="56">
        <f t="shared" si="27"/>
        <v>2081.033546919205</v>
      </c>
      <c r="Y116" s="56">
        <f t="shared" si="27"/>
        <v>212.99710113364264</v>
      </c>
      <c r="AA116" s="56">
        <f t="shared" si="39"/>
        <v>0</v>
      </c>
      <c r="AB116" s="56">
        <v>0</v>
      </c>
      <c r="AC116" s="56">
        <f t="shared" si="28"/>
        <v>1009.093551037513</v>
      </c>
      <c r="AE116" s="56">
        <v>0</v>
      </c>
      <c r="AF116" s="56">
        <f t="shared" si="29"/>
        <v>0</v>
      </c>
      <c r="AG116" s="56">
        <f t="shared" si="30"/>
        <v>1009.093551037513</v>
      </c>
      <c r="AI116" s="56">
        <f t="shared" si="31"/>
        <v>915.40081797569542</v>
      </c>
      <c r="AJ116" s="56">
        <f t="shared" si="32"/>
        <v>93.692733061817535</v>
      </c>
      <c r="AK116" s="56">
        <f t="shared" si="33"/>
        <v>0</v>
      </c>
      <c r="AM116" s="56">
        <f t="shared" si="34"/>
        <v>209398</v>
      </c>
      <c r="AN116" s="56">
        <f t="shared" si="35"/>
        <v>23398</v>
      </c>
      <c r="AO116" s="56">
        <f t="shared" si="36"/>
        <v>28821</v>
      </c>
      <c r="AP116" s="56"/>
      <c r="AQ116" s="56">
        <f t="shared" si="37"/>
        <v>261617</v>
      </c>
      <c r="AR116" s="1"/>
      <c r="AS116" s="56">
        <v>1250.0371922831073</v>
      </c>
      <c r="AT116" s="56">
        <v>139.67836476489816</v>
      </c>
      <c r="AU116" s="56">
        <v>172.0518912252812</v>
      </c>
      <c r="AV116" s="56"/>
      <c r="AW116" s="56">
        <v>1561.7674482732866</v>
      </c>
      <c r="AX116" s="1"/>
      <c r="AY116" s="16">
        <v>6.2211650071479774E-3</v>
      </c>
      <c r="AZ116" s="16">
        <v>9.8512603010460165E-2</v>
      </c>
      <c r="BA116" s="16">
        <v>-0.22118276104635026</v>
      </c>
      <c r="BB116" s="16">
        <f t="shared" si="38"/>
        <v>-1.7988041626588847E-2</v>
      </c>
      <c r="BC116" s="16"/>
      <c r="BD116" s="1"/>
      <c r="BE116" s="16">
        <f>AM116/'2017-18 disagg'!AM116-1</f>
        <v>2.5545836557580914E-2</v>
      </c>
      <c r="BF116" s="16">
        <f>AN116/'2017-18 disagg'!AN116-1</f>
        <v>1.4085727907077628E-2</v>
      </c>
      <c r="BG116" s="16">
        <f>AO116/'2017-18 disagg'!AO116-1</f>
        <v>4.6552162387886176E-2</v>
      </c>
      <c r="BH116" s="16">
        <f>AQ116/'2017-18 disagg'!AQ116-1</f>
        <v>2.6778495568969385E-2</v>
      </c>
      <c r="BI116" s="1"/>
      <c r="BJ116" s="16">
        <f>AS116/'2017-18 disagg'!AS116-1</f>
        <v>1.6462718677068056E-2</v>
      </c>
      <c r="BK116" s="16">
        <f>AT116/'2017-18 disagg'!AT116-1</f>
        <v>5.1041106266211944E-3</v>
      </c>
      <c r="BL116" s="16">
        <f>AU116/'2017-18 disagg'!AU116-1</f>
        <v>3.728299437977145E-2</v>
      </c>
      <c r="BM116" s="16">
        <f>AW116/'2017-18 disagg'!AW116-1</f>
        <v>1.7684460197781915E-2</v>
      </c>
    </row>
    <row r="117" spans="1:65" x14ac:dyDescent="0.2">
      <c r="A117" s="156" t="s">
        <v>279</v>
      </c>
      <c r="B117" s="156" t="s">
        <v>280</v>
      </c>
      <c r="D117" s="56">
        <f>VLOOKUP(A117,'2018-19'!$A$12:$AMX325,32,FALSE)</f>
        <v>211904</v>
      </c>
      <c r="E117" s="56">
        <v>1566.9379608973184</v>
      </c>
      <c r="F117" s="16">
        <f>VLOOKUP(A117,'2018-19'!$A$12:$AMX325,34,FALSE)</f>
        <v>2.2362244233339323E-2</v>
      </c>
      <c r="G117" s="16">
        <f>VLOOKUP(A117,'2018-19'!$A$12:$AMX325,35,FALSE)</f>
        <v>1.499698105303704E-2</v>
      </c>
      <c r="H117" s="56"/>
      <c r="I117" s="56">
        <v>212057.70545017443</v>
      </c>
      <c r="J117" s="56">
        <v>1568.0745458823828</v>
      </c>
      <c r="K117" s="16">
        <f t="shared" si="23"/>
        <v>-7.248284133233307E-4</v>
      </c>
      <c r="L117" s="58">
        <f t="shared" si="23"/>
        <v>-7.2482841332321968E-4</v>
      </c>
      <c r="M117" s="10"/>
      <c r="N117" s="56">
        <v>163651</v>
      </c>
      <c r="O117" s="56">
        <v>18882</v>
      </c>
      <c r="P117" s="56">
        <v>29371</v>
      </c>
      <c r="R117" s="56">
        <f t="shared" si="24"/>
        <v>29371</v>
      </c>
      <c r="S117" s="56">
        <f t="shared" si="25"/>
        <v>0</v>
      </c>
      <c r="U117" s="16">
        <v>1.2929064971941573E-2</v>
      </c>
      <c r="V117" s="16">
        <v>0.10306937328608168</v>
      </c>
      <c r="W117" s="56">
        <f t="shared" si="26"/>
        <v>2</v>
      </c>
      <c r="X117" s="56">
        <f t="shared" si="27"/>
        <v>1615.6215243417187</v>
      </c>
      <c r="Y117" s="56">
        <f t="shared" si="27"/>
        <v>171.17690380388197</v>
      </c>
      <c r="AA117" s="56">
        <f t="shared" si="39"/>
        <v>0</v>
      </c>
      <c r="AB117" s="56">
        <v>0</v>
      </c>
      <c r="AC117" s="56">
        <f t="shared" si="28"/>
        <v>0</v>
      </c>
      <c r="AE117" s="56">
        <v>0</v>
      </c>
      <c r="AF117" s="56">
        <f t="shared" si="29"/>
        <v>0</v>
      </c>
      <c r="AG117" s="56">
        <f t="shared" si="30"/>
        <v>0</v>
      </c>
      <c r="AI117" s="56">
        <f t="shared" si="31"/>
        <v>0</v>
      </c>
      <c r="AJ117" s="56">
        <f t="shared" si="32"/>
        <v>0</v>
      </c>
      <c r="AK117" s="56">
        <f t="shared" si="33"/>
        <v>0</v>
      </c>
      <c r="AM117" s="56">
        <f t="shared" si="34"/>
        <v>163651</v>
      </c>
      <c r="AN117" s="56">
        <f t="shared" si="35"/>
        <v>18882</v>
      </c>
      <c r="AO117" s="56">
        <f t="shared" si="36"/>
        <v>29371</v>
      </c>
      <c r="AP117" s="56"/>
      <c r="AQ117" s="56">
        <f t="shared" si="37"/>
        <v>211904</v>
      </c>
      <c r="AR117" s="1"/>
      <c r="AS117" s="56">
        <v>1210.1280024860646</v>
      </c>
      <c r="AT117" s="56">
        <v>139.62418159951281</v>
      </c>
      <c r="AU117" s="56">
        <v>217.18577681174088</v>
      </c>
      <c r="AV117" s="56"/>
      <c r="AW117" s="56">
        <v>1566.9379608973184</v>
      </c>
      <c r="AX117" s="1"/>
      <c r="AY117" s="16">
        <v>1.2929064971941573E-2</v>
      </c>
      <c r="AZ117" s="16">
        <v>0.10306937328608168</v>
      </c>
      <c r="BA117" s="16">
        <v>-0.12004551278064779</v>
      </c>
      <c r="BB117" s="16">
        <f t="shared" si="38"/>
        <v>-7.248284133233307E-4</v>
      </c>
      <c r="BC117" s="16"/>
      <c r="BD117" s="1"/>
      <c r="BE117" s="16">
        <f>AM117/'2017-18 disagg'!AM117-1</f>
        <v>1.9867508397574563E-2</v>
      </c>
      <c r="BF117" s="16">
        <f>AN117/'2017-18 disagg'!AN117-1</f>
        <v>1.000267451190151E-2</v>
      </c>
      <c r="BG117" s="16">
        <f>AO117/'2017-18 disagg'!AO117-1</f>
        <v>4.4822311550638538E-2</v>
      </c>
      <c r="BH117" s="16">
        <f>AQ117/'2017-18 disagg'!AQ117-1</f>
        <v>2.2362244233339323E-2</v>
      </c>
      <c r="BI117" s="1"/>
      <c r="BJ117" s="16">
        <f>AS117/'2017-18 disagg'!AS117-1</f>
        <v>1.2520217698258618E-2</v>
      </c>
      <c r="BK117" s="16">
        <f>AT117/'2017-18 disagg'!AT117-1</f>
        <v>2.7264516735201472E-3</v>
      </c>
      <c r="BL117" s="16">
        <f>AU117/'2017-18 disagg'!AU117-1</f>
        <v>3.7295242407946461E-2</v>
      </c>
      <c r="BM117" s="16">
        <f>AW117/'2017-18 disagg'!AW117-1</f>
        <v>1.499698105303704E-2</v>
      </c>
    </row>
    <row r="118" spans="1:65" x14ac:dyDescent="0.2">
      <c r="A118" s="156" t="s">
        <v>281</v>
      </c>
      <c r="B118" s="156" t="s">
        <v>282</v>
      </c>
      <c r="D118" s="56">
        <f>VLOOKUP(A118,'2018-19'!$A$12:$AMX326,32,FALSE)</f>
        <v>881908</v>
      </c>
      <c r="E118" s="56">
        <v>1587.9418165143777</v>
      </c>
      <c r="F118" s="16">
        <f>VLOOKUP(A118,'2018-19'!$A$12:$AMX326,34,FALSE)</f>
        <v>2.3103435874769263E-2</v>
      </c>
      <c r="G118" s="16">
        <f>VLOOKUP(A118,'2018-19'!$A$12:$AMX326,35,FALSE)</f>
        <v>1.6076297488602176E-2</v>
      </c>
      <c r="H118" s="56"/>
      <c r="I118" s="56">
        <v>892149.3561591527</v>
      </c>
      <c r="J118" s="56">
        <v>1606.382150089916</v>
      </c>
      <c r="K118" s="16">
        <f t="shared" si="23"/>
        <v>-1.1479418875829706E-2</v>
      </c>
      <c r="L118" s="58">
        <f t="shared" si="23"/>
        <v>-1.1479418875829817E-2</v>
      </c>
      <c r="M118" s="10"/>
      <c r="N118" s="56">
        <v>691333</v>
      </c>
      <c r="O118" s="56">
        <v>70525</v>
      </c>
      <c r="P118" s="56">
        <v>120050</v>
      </c>
      <c r="R118" s="56">
        <f t="shared" si="24"/>
        <v>120050</v>
      </c>
      <c r="S118" s="56">
        <f t="shared" si="25"/>
        <v>0</v>
      </c>
      <c r="U118" s="16">
        <v>-4.5448113978152627E-3</v>
      </c>
      <c r="V118" s="16">
        <v>-1.0305339668725266E-2</v>
      </c>
      <c r="W118" s="56">
        <f t="shared" si="26"/>
        <v>4</v>
      </c>
      <c r="X118" s="56">
        <f t="shared" si="27"/>
        <v>6944.8932299078951</v>
      </c>
      <c r="Y118" s="56">
        <f t="shared" si="27"/>
        <v>712.59351825131171</v>
      </c>
      <c r="AA118" s="56">
        <f t="shared" si="39"/>
        <v>0</v>
      </c>
      <c r="AB118" s="56">
        <v>0</v>
      </c>
      <c r="AC118" s="56">
        <f t="shared" si="28"/>
        <v>0</v>
      </c>
      <c r="AE118" s="56">
        <v>0</v>
      </c>
      <c r="AF118" s="56">
        <f t="shared" si="29"/>
        <v>0</v>
      </c>
      <c r="AG118" s="56">
        <f t="shared" si="30"/>
        <v>0</v>
      </c>
      <c r="AI118" s="56">
        <f t="shared" si="31"/>
        <v>0</v>
      </c>
      <c r="AJ118" s="56">
        <f t="shared" si="32"/>
        <v>0</v>
      </c>
      <c r="AK118" s="56">
        <f t="shared" si="33"/>
        <v>0</v>
      </c>
      <c r="AM118" s="56">
        <f t="shared" si="34"/>
        <v>691333</v>
      </c>
      <c r="AN118" s="56">
        <f t="shared" si="35"/>
        <v>70525</v>
      </c>
      <c r="AO118" s="56">
        <f t="shared" si="36"/>
        <v>120050</v>
      </c>
      <c r="AP118" s="56"/>
      <c r="AQ118" s="56">
        <f t="shared" si="37"/>
        <v>881908</v>
      </c>
      <c r="AR118" s="1"/>
      <c r="AS118" s="56">
        <v>1244.7971668658572</v>
      </c>
      <c r="AT118" s="56">
        <v>126.98557741813941</v>
      </c>
      <c r="AU118" s="56">
        <v>216.15907223038124</v>
      </c>
      <c r="AV118" s="56"/>
      <c r="AW118" s="56">
        <v>1587.9418165143777</v>
      </c>
      <c r="AX118" s="1"/>
      <c r="AY118" s="16">
        <v>-4.5448113978152627E-3</v>
      </c>
      <c r="AZ118" s="16">
        <v>-1.0305339668725266E-2</v>
      </c>
      <c r="BA118" s="16">
        <v>-5.0242461320181842E-2</v>
      </c>
      <c r="BB118" s="16">
        <f t="shared" si="38"/>
        <v>-1.1479418875829706E-2</v>
      </c>
      <c r="BC118" s="16"/>
      <c r="BD118" s="1"/>
      <c r="BE118" s="16">
        <f>AM118/'2017-18 disagg'!AM118-1</f>
        <v>1.9868262854698227E-2</v>
      </c>
      <c r="BF118" s="16">
        <f>AN118/'2017-18 disagg'!AN118-1</f>
        <v>1.9294695765283976E-2</v>
      </c>
      <c r="BG118" s="16">
        <f>AO118/'2017-18 disagg'!AO118-1</f>
        <v>4.4476152360402921E-2</v>
      </c>
      <c r="BH118" s="16">
        <f>AQ118/'2017-18 disagg'!AQ118-1</f>
        <v>2.3103435874769263E-2</v>
      </c>
      <c r="BI118" s="1"/>
      <c r="BJ118" s="16">
        <f>AS118/'2017-18 disagg'!AS118-1</f>
        <v>1.2863345104019208E-2</v>
      </c>
      <c r="BK118" s="16">
        <f>AT118/'2017-18 disagg'!AT118-1</f>
        <v>1.2293717533494064E-2</v>
      </c>
      <c r="BL118" s="16">
        <f>AU118/'2017-18 disagg'!AU118-1</f>
        <v>3.7302216464652371E-2</v>
      </c>
      <c r="BM118" s="16">
        <f>AW118/'2017-18 disagg'!AW118-1</f>
        <v>1.6076297488602176E-2</v>
      </c>
    </row>
    <row r="119" spans="1:65" x14ac:dyDescent="0.2">
      <c r="A119" s="156" t="s">
        <v>283</v>
      </c>
      <c r="B119" s="156" t="s">
        <v>284</v>
      </c>
      <c r="D119" s="56">
        <f>VLOOKUP(A119,'2018-19'!$A$12:$AMX327,32,FALSE)</f>
        <v>558700.74380876007</v>
      </c>
      <c r="E119" s="56">
        <v>1445.9965095838293</v>
      </c>
      <c r="F119" s="16">
        <f>VLOOKUP(A119,'2018-19'!$A$12:$AMX327,34,FALSE)</f>
        <v>2.4088584018887138E-2</v>
      </c>
      <c r="G119" s="16">
        <f>VLOOKUP(A119,'2018-19'!$A$12:$AMX327,35,FALSE)</f>
        <v>1.7205535478144185E-2</v>
      </c>
      <c r="H119" s="56"/>
      <c r="I119" s="56">
        <v>568398.82953260257</v>
      </c>
      <c r="J119" s="56">
        <v>1471.0965264743047</v>
      </c>
      <c r="K119" s="16">
        <f t="shared" si="23"/>
        <v>-1.7062114170462439E-2</v>
      </c>
      <c r="L119" s="58">
        <f t="shared" si="23"/>
        <v>-1.706211417046255E-2</v>
      </c>
      <c r="M119" s="10"/>
      <c r="N119" s="56">
        <v>430007</v>
      </c>
      <c r="O119" s="56">
        <v>47045</v>
      </c>
      <c r="P119" s="56">
        <v>81222</v>
      </c>
      <c r="R119" s="56">
        <f t="shared" si="24"/>
        <v>81222</v>
      </c>
      <c r="S119" s="56">
        <f t="shared" si="25"/>
        <v>426.7438087600749</v>
      </c>
      <c r="U119" s="16">
        <v>-1.2803026196853251E-2</v>
      </c>
      <c r="V119" s="16">
        <v>-4.5772125414903497E-3</v>
      </c>
      <c r="W119" s="56">
        <f t="shared" si="26"/>
        <v>4</v>
      </c>
      <c r="X119" s="56">
        <f t="shared" si="27"/>
        <v>4355.8379068303957</v>
      </c>
      <c r="Y119" s="56">
        <f t="shared" si="27"/>
        <v>472.61325130113005</v>
      </c>
      <c r="AA119" s="56">
        <f t="shared" si="39"/>
        <v>0</v>
      </c>
      <c r="AB119" s="56">
        <v>0</v>
      </c>
      <c r="AC119" s="56">
        <f t="shared" si="28"/>
        <v>426.7438087600749</v>
      </c>
      <c r="AE119" s="56">
        <v>0</v>
      </c>
      <c r="AF119" s="56">
        <f t="shared" si="29"/>
        <v>0</v>
      </c>
      <c r="AG119" s="56">
        <f t="shared" si="30"/>
        <v>426.7438087600749</v>
      </c>
      <c r="AI119" s="56">
        <f t="shared" si="31"/>
        <v>384.97373129101481</v>
      </c>
      <c r="AJ119" s="56">
        <f t="shared" si="32"/>
        <v>41.770077469060077</v>
      </c>
      <c r="AK119" s="56">
        <f t="shared" si="33"/>
        <v>0</v>
      </c>
      <c r="AM119" s="56">
        <f t="shared" si="34"/>
        <v>430392</v>
      </c>
      <c r="AN119" s="56">
        <f t="shared" si="35"/>
        <v>47087</v>
      </c>
      <c r="AO119" s="56">
        <f t="shared" si="36"/>
        <v>81222</v>
      </c>
      <c r="AP119" s="56"/>
      <c r="AQ119" s="56">
        <f t="shared" si="37"/>
        <v>558701</v>
      </c>
      <c r="AR119" s="1"/>
      <c r="AS119" s="56">
        <v>1113.9153413510196</v>
      </c>
      <c r="AT119" s="56">
        <v>121.86781278043145</v>
      </c>
      <c r="AU119" s="56">
        <v>210.21401851152555</v>
      </c>
      <c r="AV119" s="56"/>
      <c r="AW119" s="56">
        <v>1445.9971726429765</v>
      </c>
      <c r="AX119" s="1"/>
      <c r="AY119" s="16">
        <v>-1.1919154922864106E-2</v>
      </c>
      <c r="AZ119" s="16">
        <v>-3.6885366551420162E-3</v>
      </c>
      <c r="BA119" s="16">
        <v>-5.0631510090311971E-2</v>
      </c>
      <c r="BB119" s="16">
        <f t="shared" si="38"/>
        <v>-1.7061663446029884E-2</v>
      </c>
      <c r="BC119" s="16"/>
      <c r="BD119" s="1"/>
      <c r="BE119" s="16">
        <f>AM119/'2017-18 disagg'!AM119-1</f>
        <v>2.0781253705855818E-2</v>
      </c>
      <c r="BF119" s="16">
        <f>AN119/'2017-18 disagg'!AN119-1</f>
        <v>2.0214932616891224E-2</v>
      </c>
      <c r="BG119" s="16">
        <f>AO119/'2017-18 disagg'!AO119-1</f>
        <v>4.43201542912246E-2</v>
      </c>
      <c r="BH119" s="16">
        <f>AQ119/'2017-18 disagg'!AQ119-1</f>
        <v>2.4089053612899702E-2</v>
      </c>
      <c r="BI119" s="1"/>
      <c r="BJ119" s="16">
        <f>AS119/'2017-18 disagg'!AS119-1</f>
        <v>1.3920434213888777E-2</v>
      </c>
      <c r="BK119" s="16">
        <f>AT119/'2017-18 disagg'!AT119-1</f>
        <v>1.3357919451452593E-2</v>
      </c>
      <c r="BL119" s="16">
        <f>AU119/'2017-18 disagg'!AU119-1</f>
        <v>3.7301126419774233E-2</v>
      </c>
      <c r="BM119" s="16">
        <f>AW119/'2017-18 disagg'!AW119-1</f>
        <v>1.7206001915947011E-2</v>
      </c>
    </row>
    <row r="120" spans="1:65" x14ac:dyDescent="0.2">
      <c r="A120" s="156" t="s">
        <v>285</v>
      </c>
      <c r="B120" s="156" t="s">
        <v>286</v>
      </c>
      <c r="D120" s="56">
        <f>VLOOKUP(A120,'2018-19'!$A$12:$AMX328,32,FALSE)</f>
        <v>446858.81352812186</v>
      </c>
      <c r="E120" s="56">
        <v>1601.6315629869389</v>
      </c>
      <c r="F120" s="16">
        <f>VLOOKUP(A120,'2018-19'!$A$12:$AMX328,34,FALSE)</f>
        <v>2.7422248829982232E-2</v>
      </c>
      <c r="G120" s="16">
        <f>VLOOKUP(A120,'2018-19'!$A$12:$AMX328,35,FALSE)</f>
        <v>2.0244265013175111E-2</v>
      </c>
      <c r="H120" s="56"/>
      <c r="I120" s="56">
        <v>458358.3467319645</v>
      </c>
      <c r="J120" s="56">
        <v>1642.8481951340671</v>
      </c>
      <c r="K120" s="16">
        <f t="shared" si="23"/>
        <v>-2.5088521428338395E-2</v>
      </c>
      <c r="L120" s="58">
        <f t="shared" si="23"/>
        <v>-2.5088521428338395E-2</v>
      </c>
      <c r="M120" s="10"/>
      <c r="N120" s="56">
        <v>346498</v>
      </c>
      <c r="O120" s="56">
        <v>34049</v>
      </c>
      <c r="P120" s="56">
        <v>64984</v>
      </c>
      <c r="R120" s="56">
        <f t="shared" si="24"/>
        <v>64984</v>
      </c>
      <c r="S120" s="56">
        <f t="shared" si="25"/>
        <v>1327.8135281218565</v>
      </c>
      <c r="U120" s="16">
        <v>-4.0473231039088731E-3</v>
      </c>
      <c r="V120" s="16">
        <v>-4.8652785177963787E-2</v>
      </c>
      <c r="W120" s="56">
        <f t="shared" si="26"/>
        <v>4</v>
      </c>
      <c r="X120" s="56">
        <f t="shared" si="27"/>
        <v>3479.0608834936697</v>
      </c>
      <c r="Y120" s="56">
        <f t="shared" si="27"/>
        <v>357.90297663686732</v>
      </c>
      <c r="AA120" s="56">
        <f t="shared" si="39"/>
        <v>0</v>
      </c>
      <c r="AB120" s="56">
        <v>0</v>
      </c>
      <c r="AC120" s="56">
        <f t="shared" si="28"/>
        <v>1327.8135281218565</v>
      </c>
      <c r="AE120" s="56">
        <v>0</v>
      </c>
      <c r="AF120" s="56">
        <f t="shared" si="29"/>
        <v>0</v>
      </c>
      <c r="AG120" s="56">
        <f t="shared" si="30"/>
        <v>1327.8135281218565</v>
      </c>
      <c r="AI120" s="56">
        <f t="shared" si="31"/>
        <v>1203.9582009785497</v>
      </c>
      <c r="AJ120" s="56">
        <f t="shared" si="32"/>
        <v>123.85532714330687</v>
      </c>
      <c r="AK120" s="56">
        <f t="shared" si="33"/>
        <v>0</v>
      </c>
      <c r="AM120" s="56">
        <f t="shared" si="34"/>
        <v>347702</v>
      </c>
      <c r="AN120" s="56">
        <f t="shared" si="35"/>
        <v>34173</v>
      </c>
      <c r="AO120" s="56">
        <f t="shared" si="36"/>
        <v>64984</v>
      </c>
      <c r="AP120" s="56"/>
      <c r="AQ120" s="56">
        <f t="shared" si="37"/>
        <v>446859</v>
      </c>
      <c r="AR120" s="1"/>
      <c r="AS120" s="56">
        <v>1246.233666774569</v>
      </c>
      <c r="AT120" s="56">
        <v>122.48288216543864</v>
      </c>
      <c r="AU120" s="56">
        <v>232.91568239952198</v>
      </c>
      <c r="AV120" s="56"/>
      <c r="AW120" s="56">
        <v>1601.6322313395297</v>
      </c>
      <c r="AX120" s="1"/>
      <c r="AY120" s="16">
        <v>-5.866190796925963E-4</v>
      </c>
      <c r="AZ120" s="16">
        <v>-4.5188159061545385E-2</v>
      </c>
      <c r="BA120" s="16">
        <v>-0.1296237150179681</v>
      </c>
      <c r="BB120" s="16">
        <f t="shared" si="38"/>
        <v>-2.5088114602806577E-2</v>
      </c>
      <c r="BC120" s="16"/>
      <c r="BD120" s="1"/>
      <c r="BE120" s="16">
        <f>AM120/'2017-18 disagg'!AM120-1</f>
        <v>2.3411469677525609E-2</v>
      </c>
      <c r="BF120" s="16">
        <f>AN120/'2017-18 disagg'!AN120-1</f>
        <v>3.6361982167768536E-2</v>
      </c>
      <c r="BG120" s="16">
        <f>AO120/'2017-18 disagg'!AO120-1</f>
        <v>4.4590901784279158E-2</v>
      </c>
      <c r="BH120" s="16">
        <f>AQ120/'2017-18 disagg'!AQ120-1</f>
        <v>2.7422677567987552E-2</v>
      </c>
      <c r="BI120" s="1"/>
      <c r="BJ120" s="16">
        <f>AS120/'2017-18 disagg'!AS120-1</f>
        <v>1.6261506772161649E-2</v>
      </c>
      <c r="BK120" s="16">
        <f>AT120/'2017-18 disagg'!AT120-1</f>
        <v>2.912154178911619E-2</v>
      </c>
      <c r="BL120" s="16">
        <f>AU120/'2017-18 disagg'!AU120-1</f>
        <v>3.7292970873467945E-2</v>
      </c>
      <c r="BM120" s="16">
        <f>AW120/'2017-18 disagg'!AW120-1</f>
        <v>2.0244690755845118E-2</v>
      </c>
    </row>
    <row r="121" spans="1:65" x14ac:dyDescent="0.2">
      <c r="A121" s="156" t="s">
        <v>287</v>
      </c>
      <c r="B121" s="156" t="s">
        <v>288</v>
      </c>
      <c r="D121" s="56">
        <f>VLOOKUP(A121,'2018-19'!$A$12:$AMX329,32,FALSE)</f>
        <v>734065.78925219167</v>
      </c>
      <c r="E121" s="56">
        <v>1530.9899388056913</v>
      </c>
      <c r="F121" s="16">
        <f>VLOOKUP(A121,'2018-19'!$A$12:$AMX329,34,FALSE)</f>
        <v>3.6823408713609007E-2</v>
      </c>
      <c r="G121" s="16">
        <f>VLOOKUP(A121,'2018-19'!$A$12:$AMX329,35,FALSE)</f>
        <v>2.4999999999999911E-2</v>
      </c>
      <c r="H121" s="56"/>
      <c r="I121" s="56">
        <v>762685.08718644595</v>
      </c>
      <c r="J121" s="56">
        <v>1590.679217116375</v>
      </c>
      <c r="K121" s="16">
        <f t="shared" si="23"/>
        <v>-3.7524396916991276E-2</v>
      </c>
      <c r="L121" s="58">
        <f t="shared" si="23"/>
        <v>-3.7524396916991165E-2</v>
      </c>
      <c r="M121" s="10"/>
      <c r="N121" s="56">
        <v>561251</v>
      </c>
      <c r="O121" s="56">
        <v>59553</v>
      </c>
      <c r="P121" s="56">
        <v>106562</v>
      </c>
      <c r="R121" s="56">
        <f t="shared" si="24"/>
        <v>106562</v>
      </c>
      <c r="S121" s="56">
        <f t="shared" si="25"/>
        <v>6699.7892521916656</v>
      </c>
      <c r="U121" s="16">
        <v>-2.7225905461897515E-2</v>
      </c>
      <c r="V121" s="16">
        <v>-1.2770202110738427E-2</v>
      </c>
      <c r="W121" s="56">
        <f t="shared" si="26"/>
        <v>4</v>
      </c>
      <c r="X121" s="56">
        <f t="shared" si="27"/>
        <v>5769.5923765989683</v>
      </c>
      <c r="Y121" s="56">
        <f t="shared" si="27"/>
        <v>603.23341259883762</v>
      </c>
      <c r="AA121" s="56">
        <f t="shared" si="39"/>
        <v>0</v>
      </c>
      <c r="AB121" s="56">
        <v>0</v>
      </c>
      <c r="AC121" s="56">
        <f t="shared" si="28"/>
        <v>6699.7892521916656</v>
      </c>
      <c r="AE121" s="56">
        <v>0</v>
      </c>
      <c r="AF121" s="56">
        <f t="shared" si="29"/>
        <v>0</v>
      </c>
      <c r="AG121" s="56">
        <f t="shared" si="30"/>
        <v>6699.7892521916656</v>
      </c>
      <c r="AI121" s="56">
        <f t="shared" si="31"/>
        <v>6065.606415883296</v>
      </c>
      <c r="AJ121" s="56">
        <f t="shared" si="32"/>
        <v>634.18283630837038</v>
      </c>
      <c r="AK121" s="56">
        <f t="shared" si="33"/>
        <v>0</v>
      </c>
      <c r="AM121" s="56">
        <f t="shared" si="34"/>
        <v>567317</v>
      </c>
      <c r="AN121" s="56">
        <f t="shared" si="35"/>
        <v>60187</v>
      </c>
      <c r="AO121" s="56">
        <f t="shared" si="36"/>
        <v>106562</v>
      </c>
      <c r="AP121" s="56"/>
      <c r="AQ121" s="56">
        <f t="shared" si="37"/>
        <v>734066</v>
      </c>
      <c r="AR121" s="1"/>
      <c r="AS121" s="56">
        <v>1183.2135917929718</v>
      </c>
      <c r="AT121" s="56">
        <v>125.52783796227433</v>
      </c>
      <c r="AU121" s="56">
        <v>222.24894859248471</v>
      </c>
      <c r="AV121" s="56"/>
      <c r="AW121" s="56">
        <v>1530.9903783477307</v>
      </c>
      <c r="AX121" s="1"/>
      <c r="AY121" s="16">
        <v>-1.6712164448575262E-2</v>
      </c>
      <c r="AZ121" s="16">
        <v>-2.2601742051452378E-3</v>
      </c>
      <c r="BA121" s="16">
        <v>-0.15024028248782351</v>
      </c>
      <c r="BB121" s="16">
        <f t="shared" si="38"/>
        <v>-3.7524120593496968E-2</v>
      </c>
      <c r="BC121" s="16"/>
      <c r="BD121" s="1"/>
      <c r="BE121" s="16">
        <f>AM121/'2017-18 disagg'!AM121-1</f>
        <v>3.475716857482114E-2</v>
      </c>
      <c r="BF121" s="16">
        <f>AN121/'2017-18 disagg'!AN121-1</f>
        <v>3.4585302965191245E-2</v>
      </c>
      <c r="BG121" s="16">
        <f>AO121/'2017-18 disagg'!AO121-1</f>
        <v>4.9262005336799364E-2</v>
      </c>
      <c r="BH121" s="16">
        <f>AQ121/'2017-18 disagg'!AQ121-1</f>
        <v>3.6823706382107302E-2</v>
      </c>
      <c r="BI121" s="1"/>
      <c r="BJ121" s="16">
        <f>AS121/'2017-18 disagg'!AS121-1</f>
        <v>2.2957322216629716E-2</v>
      </c>
      <c r="BK121" s="16">
        <f>AT121/'2017-18 disagg'!AT121-1</f>
        <v>2.2787416475314126E-2</v>
      </c>
      <c r="BL121" s="16">
        <f>AU121/'2017-18 disagg'!AU121-1</f>
        <v>3.7296753170907193E-2</v>
      </c>
      <c r="BM121" s="16">
        <f>AW121/'2017-18 disagg'!AW121-1</f>
        <v>2.5000294274037271E-2</v>
      </c>
    </row>
    <row r="122" spans="1:65" x14ac:dyDescent="0.2">
      <c r="A122" s="156" t="s">
        <v>289</v>
      </c>
      <c r="B122" s="156" t="s">
        <v>290</v>
      </c>
      <c r="D122" s="56">
        <f>VLOOKUP(A122,'2018-19'!$A$12:$AMX330,32,FALSE)</f>
        <v>1366587.6505116294</v>
      </c>
      <c r="E122" s="56">
        <v>1440.0876448147692</v>
      </c>
      <c r="F122" s="16">
        <f>VLOOKUP(A122,'2018-19'!$A$12:$AMX330,34,FALSE)</f>
        <v>2.8262540019254212E-2</v>
      </c>
      <c r="G122" s="16">
        <f>VLOOKUP(A122,'2018-19'!$A$12:$AMX330,35,FALSE)</f>
        <v>1.8956234124439142E-2</v>
      </c>
      <c r="H122" s="56"/>
      <c r="I122" s="56">
        <v>1397114.1060098906</v>
      </c>
      <c r="J122" s="56">
        <v>1472.2559227781883</v>
      </c>
      <c r="K122" s="16">
        <f t="shared" si="23"/>
        <v>-2.1849650910363838E-2</v>
      </c>
      <c r="L122" s="58">
        <f t="shared" si="23"/>
        <v>-2.1849650910363949E-2</v>
      </c>
      <c r="M122" s="10"/>
      <c r="N122" s="56">
        <v>1034610</v>
      </c>
      <c r="O122" s="56">
        <v>125794</v>
      </c>
      <c r="P122" s="56">
        <v>201295</v>
      </c>
      <c r="R122" s="56">
        <f t="shared" si="24"/>
        <v>201295</v>
      </c>
      <c r="S122" s="56">
        <f t="shared" si="25"/>
        <v>4888.6505116294138</v>
      </c>
      <c r="U122" s="16">
        <v>-1.5058212402115023E-2</v>
      </c>
      <c r="V122" s="16">
        <v>5.2318679498582155E-2</v>
      </c>
      <c r="W122" s="56">
        <f t="shared" si="26"/>
        <v>1</v>
      </c>
      <c r="X122" s="56">
        <f t="shared" si="27"/>
        <v>10504.275613315664</v>
      </c>
      <c r="Y122" s="56">
        <f t="shared" si="27"/>
        <v>1195.3983375068417</v>
      </c>
      <c r="AA122" s="56">
        <f t="shared" si="39"/>
        <v>4888.6505116294138</v>
      </c>
      <c r="AB122" s="56">
        <v>0</v>
      </c>
      <c r="AC122" s="56">
        <f t="shared" si="28"/>
        <v>0</v>
      </c>
      <c r="AE122" s="56">
        <v>0</v>
      </c>
      <c r="AF122" s="56">
        <f t="shared" si="29"/>
        <v>0</v>
      </c>
      <c r="AG122" s="56">
        <f t="shared" si="30"/>
        <v>0</v>
      </c>
      <c r="AI122" s="56">
        <f t="shared" si="31"/>
        <v>0</v>
      </c>
      <c r="AJ122" s="56">
        <f t="shared" si="32"/>
        <v>0</v>
      </c>
      <c r="AK122" s="56">
        <f t="shared" si="33"/>
        <v>0</v>
      </c>
      <c r="AM122" s="56">
        <f t="shared" si="34"/>
        <v>1039499</v>
      </c>
      <c r="AN122" s="56">
        <f t="shared" si="35"/>
        <v>125794</v>
      </c>
      <c r="AO122" s="56">
        <f t="shared" si="36"/>
        <v>201295</v>
      </c>
      <c r="AP122" s="56"/>
      <c r="AQ122" s="56">
        <f t="shared" si="37"/>
        <v>1366588</v>
      </c>
      <c r="AR122" s="1"/>
      <c r="AS122" s="56">
        <v>1095.406991375098</v>
      </c>
      <c r="AT122" s="56">
        <v>132.55965332630342</v>
      </c>
      <c r="AU122" s="56">
        <v>212.12136839847884</v>
      </c>
      <c r="AV122" s="56"/>
      <c r="AW122" s="56">
        <v>1440.0880130998803</v>
      </c>
      <c r="AX122" s="1"/>
      <c r="AY122" s="16">
        <v>-1.0403917160849208E-2</v>
      </c>
      <c r="AZ122" s="16">
        <v>5.2318679498582155E-2</v>
      </c>
      <c r="BA122" s="16">
        <v>-0.11381063288156301</v>
      </c>
      <c r="BB122" s="16">
        <f t="shared" si="38"/>
        <v>-2.1849400760165616E-2</v>
      </c>
      <c r="BC122" s="16"/>
      <c r="BD122" s="1"/>
      <c r="BE122" s="16">
        <f>AM122/'2017-18 disagg'!AM122-1</f>
        <v>2.608904230610154E-2</v>
      </c>
      <c r="BF122" s="16">
        <f>AN122/'2017-18 disagg'!AN122-1</f>
        <v>1.7281674308773365E-2</v>
      </c>
      <c r="BG122" s="16">
        <f>AO122/'2017-18 disagg'!AO122-1</f>
        <v>4.6775871034841376E-2</v>
      </c>
      <c r="BH122" s="16">
        <f>AQ122/'2017-18 disagg'!AQ122-1</f>
        <v>2.8262802985043134E-2</v>
      </c>
      <c r="BI122" s="1"/>
      <c r="BJ122" s="16">
        <f>AS122/'2017-18 disagg'!AS122-1</f>
        <v>1.6802407685686749E-2</v>
      </c>
      <c r="BK122" s="16">
        <f>AT122/'2017-18 disagg'!AT122-1</f>
        <v>8.0747509075478341E-3</v>
      </c>
      <c r="BL122" s="16">
        <f>AU122/'2017-18 disagg'!AU122-1</f>
        <v>3.7302009953624315E-2</v>
      </c>
      <c r="BM122" s="16">
        <f>AW122/'2017-18 disagg'!AW122-1</f>
        <v>1.895649471025207E-2</v>
      </c>
    </row>
    <row r="123" spans="1:65" x14ac:dyDescent="0.2">
      <c r="A123" s="156" t="s">
        <v>291</v>
      </c>
      <c r="B123" s="156" t="s">
        <v>292</v>
      </c>
      <c r="D123" s="56">
        <f>VLOOKUP(A123,'2018-19'!$A$12:$AMX331,32,FALSE)</f>
        <v>297626.34873602755</v>
      </c>
      <c r="E123" s="56">
        <v>1604.0740049141205</v>
      </c>
      <c r="F123" s="16">
        <f>VLOOKUP(A123,'2018-19'!$A$12:$AMX331,34,FALSE)</f>
        <v>2.5586916433877116E-2</v>
      </c>
      <c r="G123" s="16">
        <f>VLOOKUP(A123,'2018-19'!$A$12:$AMX331,35,FALSE)</f>
        <v>2.0736671666168549E-2</v>
      </c>
      <c r="H123" s="56"/>
      <c r="I123" s="56">
        <v>305650.28561628831</v>
      </c>
      <c r="J123" s="56">
        <v>1647.3194656112632</v>
      </c>
      <c r="K123" s="16">
        <f t="shared" si="23"/>
        <v>-2.625201826355883E-2</v>
      </c>
      <c r="L123" s="58">
        <f t="shared" si="23"/>
        <v>-2.625201826355883E-2</v>
      </c>
      <c r="M123" s="10"/>
      <c r="N123" s="56">
        <v>236956</v>
      </c>
      <c r="O123" s="56">
        <v>23312</v>
      </c>
      <c r="P123" s="56">
        <v>36468</v>
      </c>
      <c r="R123" s="56">
        <f t="shared" si="24"/>
        <v>36468</v>
      </c>
      <c r="S123" s="56">
        <f t="shared" si="25"/>
        <v>890.34873602754669</v>
      </c>
      <c r="U123" s="16">
        <v>1.4346386629999319E-2</v>
      </c>
      <c r="V123" s="16">
        <v>-9.1469991324770739E-3</v>
      </c>
      <c r="W123" s="56">
        <f t="shared" si="26"/>
        <v>3</v>
      </c>
      <c r="X123" s="56">
        <f t="shared" si="27"/>
        <v>2336.0461783400019</v>
      </c>
      <c r="Y123" s="56">
        <f t="shared" si="27"/>
        <v>235.27203308250176</v>
      </c>
      <c r="AA123" s="56">
        <f t="shared" si="39"/>
        <v>0</v>
      </c>
      <c r="AB123" s="56">
        <v>0</v>
      </c>
      <c r="AC123" s="56">
        <f t="shared" si="28"/>
        <v>890.34873602754669</v>
      </c>
      <c r="AE123" s="56">
        <v>0</v>
      </c>
      <c r="AF123" s="56">
        <f t="shared" si="29"/>
        <v>213.23484377630555</v>
      </c>
      <c r="AG123" s="56">
        <f t="shared" si="30"/>
        <v>677.11389225124117</v>
      </c>
      <c r="AI123" s="56">
        <f t="shared" si="31"/>
        <v>615.15891470288693</v>
      </c>
      <c r="AJ123" s="56">
        <f t="shared" si="32"/>
        <v>61.954977548354215</v>
      </c>
      <c r="AK123" s="56">
        <f t="shared" si="33"/>
        <v>0</v>
      </c>
      <c r="AM123" s="56">
        <f t="shared" si="34"/>
        <v>237571</v>
      </c>
      <c r="AN123" s="56">
        <f t="shared" si="35"/>
        <v>23587</v>
      </c>
      <c r="AO123" s="56">
        <f t="shared" si="36"/>
        <v>36468</v>
      </c>
      <c r="AP123" s="56"/>
      <c r="AQ123" s="56">
        <f t="shared" si="37"/>
        <v>297626</v>
      </c>
      <c r="AR123" s="1"/>
      <c r="AS123" s="56">
        <v>1280.4023133027226</v>
      </c>
      <c r="AT123" s="56">
        <v>127.1234677796167</v>
      </c>
      <c r="AU123" s="56">
        <v>196.54634429927765</v>
      </c>
      <c r="AV123" s="56"/>
      <c r="AW123" s="56">
        <v>1604.0721253816171</v>
      </c>
      <c r="AX123" s="1"/>
      <c r="AY123" s="16">
        <v>1.6979040066829265E-2</v>
      </c>
      <c r="AZ123" s="16">
        <v>2.54159795222475E-3</v>
      </c>
      <c r="BA123" s="16">
        <v>-0.24836862841127416</v>
      </c>
      <c r="BB123" s="16">
        <f t="shared" si="38"/>
        <v>-2.6253159227738965E-2</v>
      </c>
      <c r="BC123" s="16"/>
      <c r="BD123" s="1"/>
      <c r="BE123" s="16">
        <f>AM123/'2017-18 disagg'!AM123-1</f>
        <v>2.251441852457603E-2</v>
      </c>
      <c r="BF123" s="16">
        <f>AN123/'2017-18 disagg'!AN123-1</f>
        <v>3.1306020724935602E-2</v>
      </c>
      <c r="BG123" s="16">
        <f>AO123/'2017-18 disagg'!AO123-1</f>
        <v>4.2240640182909406E-2</v>
      </c>
      <c r="BH123" s="16">
        <f>AQ123/'2017-18 disagg'!AQ123-1</f>
        <v>2.5585714728757036E-2</v>
      </c>
      <c r="BI123" s="1"/>
      <c r="BJ123" s="16">
        <f>AS123/'2017-18 disagg'!AS123-1</f>
        <v>1.7678704331185013E-2</v>
      </c>
      <c r="BK123" s="16">
        <f>AT123/'2017-18 disagg'!AT123-1</f>
        <v>2.6428728951050307E-2</v>
      </c>
      <c r="BL123" s="16">
        <f>AU123/'2017-18 disagg'!AU123-1</f>
        <v>3.7311635989566438E-2</v>
      </c>
      <c r="BM123" s="16">
        <f>AW123/'2017-18 disagg'!AW123-1</f>
        <v>2.0735475644198198E-2</v>
      </c>
    </row>
    <row r="124" spans="1:65" x14ac:dyDescent="0.2">
      <c r="A124" s="156" t="s">
        <v>293</v>
      </c>
      <c r="B124" s="156" t="s">
        <v>294</v>
      </c>
      <c r="D124" s="56">
        <f>VLOOKUP(A124,'2018-19'!$A$12:$AMX332,32,FALSE)</f>
        <v>941997.7222790739</v>
      </c>
      <c r="E124" s="56">
        <v>1561.8091031301681</v>
      </c>
      <c r="F124" s="16">
        <f>VLOOKUP(A124,'2018-19'!$A$12:$AMX332,34,FALSE)</f>
        <v>3.1467185992021918E-2</v>
      </c>
      <c r="G124" s="16">
        <f>VLOOKUP(A124,'2018-19'!$A$12:$AMX332,35,FALSE)</f>
        <v>2.1657327058090647E-2</v>
      </c>
      <c r="H124" s="56"/>
      <c r="I124" s="56">
        <v>969709.20091546117</v>
      </c>
      <c r="J124" s="56">
        <v>1607.7540545582829</v>
      </c>
      <c r="K124" s="16">
        <f t="shared" si="23"/>
        <v>-2.8577101888098033E-2</v>
      </c>
      <c r="L124" s="58">
        <f t="shared" si="23"/>
        <v>-2.8577101888098033E-2</v>
      </c>
      <c r="M124" s="10"/>
      <c r="N124" s="56">
        <v>729758</v>
      </c>
      <c r="O124" s="56">
        <v>71214</v>
      </c>
      <c r="P124" s="56">
        <v>135904</v>
      </c>
      <c r="R124" s="56">
        <f t="shared" si="24"/>
        <v>135904</v>
      </c>
      <c r="S124" s="56">
        <f t="shared" si="25"/>
        <v>5121.7222790739033</v>
      </c>
      <c r="U124" s="16">
        <v>-1.8274344458464209E-2</v>
      </c>
      <c r="V124" s="16">
        <v>-4.8242579829807064E-2</v>
      </c>
      <c r="W124" s="56">
        <f t="shared" si="26"/>
        <v>4</v>
      </c>
      <c r="X124" s="56">
        <f t="shared" si="27"/>
        <v>7433.4208939202435</v>
      </c>
      <c r="Y124" s="56">
        <f t="shared" si="27"/>
        <v>748.23687728397783</v>
      </c>
      <c r="AA124" s="56">
        <f t="shared" si="39"/>
        <v>0</v>
      </c>
      <c r="AB124" s="56">
        <v>0</v>
      </c>
      <c r="AC124" s="56">
        <f t="shared" si="28"/>
        <v>5121.7222790739033</v>
      </c>
      <c r="AE124" s="56">
        <v>0</v>
      </c>
      <c r="AF124" s="56">
        <f t="shared" si="29"/>
        <v>0</v>
      </c>
      <c r="AG124" s="56">
        <f t="shared" si="30"/>
        <v>5121.7222790739033</v>
      </c>
      <c r="AI124" s="56">
        <f t="shared" si="31"/>
        <v>4653.3255810479995</v>
      </c>
      <c r="AJ124" s="56">
        <f t="shared" si="32"/>
        <v>468.39669802590407</v>
      </c>
      <c r="AK124" s="56">
        <f t="shared" si="33"/>
        <v>0</v>
      </c>
      <c r="AM124" s="56">
        <f t="shared" si="34"/>
        <v>734411</v>
      </c>
      <c r="AN124" s="56">
        <f t="shared" si="35"/>
        <v>71682</v>
      </c>
      <c r="AO124" s="56">
        <f t="shared" si="36"/>
        <v>135904</v>
      </c>
      <c r="AP124" s="56"/>
      <c r="AQ124" s="56">
        <f t="shared" si="37"/>
        <v>941997</v>
      </c>
      <c r="AR124" s="1"/>
      <c r="AS124" s="56">
        <v>1217.6354126035983</v>
      </c>
      <c r="AT124" s="56">
        <v>118.84699663574092</v>
      </c>
      <c r="AU124" s="56">
        <v>225.32549636985203</v>
      </c>
      <c r="AV124" s="56"/>
      <c r="AW124" s="56">
        <v>1561.8079056091913</v>
      </c>
      <c r="AX124" s="1"/>
      <c r="AY124" s="16">
        <v>-1.2014776937128713E-2</v>
      </c>
      <c r="AZ124" s="16">
        <v>-4.1987876082795861E-2</v>
      </c>
      <c r="BA124" s="16">
        <v>-0.10320094005656943</v>
      </c>
      <c r="BB124" s="16">
        <f t="shared" si="38"/>
        <v>-2.8577846728997991E-2</v>
      </c>
      <c r="BC124" s="16"/>
      <c r="BD124" s="1"/>
      <c r="BE124" s="16">
        <f>AM124/'2017-18 disagg'!AM124-1</f>
        <v>2.8251284944828869E-2</v>
      </c>
      <c r="BF124" s="16">
        <f>AN124/'2017-18 disagg'!AN124-1</f>
        <v>3.5029455931615994E-2</v>
      </c>
      <c r="BG124" s="16">
        <f>AO124/'2017-18 disagg'!AO124-1</f>
        <v>4.7260173690578E-2</v>
      </c>
      <c r="BH124" s="16">
        <f>AQ124/'2017-18 disagg'!AQ124-1</f>
        <v>3.146639511201621E-2</v>
      </c>
      <c r="BI124" s="1"/>
      <c r="BJ124" s="16">
        <f>AS124/'2017-18 disagg'!AS124-1</f>
        <v>1.847201111922403E-2</v>
      </c>
      <c r="BK124" s="16">
        <f>AT124/'2017-18 disagg'!AT124-1</f>
        <v>2.5185717717697509E-2</v>
      </c>
      <c r="BL124" s="16">
        <f>AU124/'2017-18 disagg'!AU124-1</f>
        <v>3.7300114165128129E-2</v>
      </c>
      <c r="BM124" s="16">
        <f>AW124/'2017-18 disagg'!AW124-1</f>
        <v>2.165654369981862E-2</v>
      </c>
    </row>
    <row r="125" spans="1:65" x14ac:dyDescent="0.2">
      <c r="A125" s="156" t="s">
        <v>295</v>
      </c>
      <c r="B125" s="156" t="s">
        <v>296</v>
      </c>
      <c r="D125" s="56">
        <f>VLOOKUP(A125,'2018-19'!$A$12:$AMX333,32,FALSE)</f>
        <v>416658.76092821849</v>
      </c>
      <c r="E125" s="56">
        <v>1741.9809428278393</v>
      </c>
      <c r="F125" s="16">
        <f>VLOOKUP(A125,'2018-19'!$A$12:$AMX333,34,FALSE)</f>
        <v>2.2412762231074135E-2</v>
      </c>
      <c r="G125" s="16">
        <f>VLOOKUP(A125,'2018-19'!$A$12:$AMX333,35,FALSE)</f>
        <v>1.8323610700156978E-2</v>
      </c>
      <c r="H125" s="56"/>
      <c r="I125" s="56">
        <v>425083.16153893742</v>
      </c>
      <c r="J125" s="56">
        <v>1777.2019598680831</v>
      </c>
      <c r="K125" s="16">
        <f t="shared" si="23"/>
        <v>-1.981824116537545E-2</v>
      </c>
      <c r="L125" s="58">
        <f t="shared" si="23"/>
        <v>-1.9818241165375561E-2</v>
      </c>
      <c r="M125" s="10"/>
      <c r="N125" s="56">
        <v>332361</v>
      </c>
      <c r="O125" s="56">
        <v>33791</v>
      </c>
      <c r="P125" s="56">
        <v>50499</v>
      </c>
      <c r="R125" s="56">
        <f t="shared" si="24"/>
        <v>50499</v>
      </c>
      <c r="S125" s="56">
        <f t="shared" si="25"/>
        <v>7.7609282184857875</v>
      </c>
      <c r="U125" s="16">
        <v>1.1958462379194401E-2</v>
      </c>
      <c r="V125" s="16">
        <v>-6.5498313249771067E-3</v>
      </c>
      <c r="W125" s="56">
        <f t="shared" si="26"/>
        <v>3</v>
      </c>
      <c r="X125" s="56">
        <f t="shared" si="27"/>
        <v>3284.3344105112083</v>
      </c>
      <c r="Y125" s="56">
        <f t="shared" si="27"/>
        <v>340.13784551536679</v>
      </c>
      <c r="AA125" s="56">
        <f t="shared" si="39"/>
        <v>0</v>
      </c>
      <c r="AB125" s="56">
        <v>0</v>
      </c>
      <c r="AC125" s="56">
        <f t="shared" si="28"/>
        <v>7.7609282184857875</v>
      </c>
      <c r="AE125" s="56">
        <v>0</v>
      </c>
      <c r="AF125" s="56">
        <f t="shared" si="29"/>
        <v>7.7609282184857875</v>
      </c>
      <c r="AG125" s="56">
        <f t="shared" si="30"/>
        <v>0</v>
      </c>
      <c r="AI125" s="56">
        <f t="shared" si="31"/>
        <v>0</v>
      </c>
      <c r="AJ125" s="56">
        <f t="shared" si="32"/>
        <v>0</v>
      </c>
      <c r="AK125" s="56">
        <f t="shared" si="33"/>
        <v>0</v>
      </c>
      <c r="AM125" s="56">
        <f t="shared" si="34"/>
        <v>332361</v>
      </c>
      <c r="AN125" s="56">
        <f t="shared" si="35"/>
        <v>33799</v>
      </c>
      <c r="AO125" s="56">
        <f t="shared" si="36"/>
        <v>50499</v>
      </c>
      <c r="AP125" s="56"/>
      <c r="AQ125" s="56">
        <f t="shared" si="37"/>
        <v>416659</v>
      </c>
      <c r="AR125" s="1"/>
      <c r="AS125" s="56">
        <v>1389.5460324640749</v>
      </c>
      <c r="AT125" s="56">
        <v>141.30799447363941</v>
      </c>
      <c r="AU125" s="56">
        <v>211.12791540945935</v>
      </c>
      <c r="AV125" s="56"/>
      <c r="AW125" s="56">
        <v>1741.9819423471736</v>
      </c>
      <c r="AX125" s="1"/>
      <c r="AY125" s="16">
        <v>1.1958462379194401E-2</v>
      </c>
      <c r="AZ125" s="16">
        <v>-6.3146325634904077E-3</v>
      </c>
      <c r="BA125" s="16">
        <v>-0.19376953109836093</v>
      </c>
      <c r="BB125" s="16">
        <f t="shared" si="38"/>
        <v>-1.9817678753586088E-2</v>
      </c>
      <c r="BC125" s="16"/>
      <c r="BD125" s="1"/>
      <c r="BE125" s="16">
        <f>AM125/'2017-18 disagg'!AM125-1</f>
        <v>1.9868911214351082E-2</v>
      </c>
      <c r="BF125" s="16">
        <f>AN125/'2017-18 disagg'!AN125-1</f>
        <v>1.9546921661488303E-2</v>
      </c>
      <c r="BG125" s="16">
        <f>AO125/'2017-18 disagg'!AO125-1</f>
        <v>4.1474179178353499E-2</v>
      </c>
      <c r="BH125" s="16">
        <f>AQ125/'2017-18 disagg'!AQ125-1</f>
        <v>2.241334887430213E-2</v>
      </c>
      <c r="BI125" s="1"/>
      <c r="BJ125" s="16">
        <f>AS125/'2017-18 disagg'!AS125-1</f>
        <v>1.5789933844656989E-2</v>
      </c>
      <c r="BK125" s="16">
        <f>AT125/'2017-18 disagg'!AT125-1</f>
        <v>1.5469232092691909E-2</v>
      </c>
      <c r="BL125" s="16">
        <f>AU125/'2017-18 disagg'!AU125-1</f>
        <v>3.73087912924428E-2</v>
      </c>
      <c r="BM125" s="16">
        <f>AW125/'2017-18 disagg'!AW125-1</f>
        <v>1.8324194997098919E-2</v>
      </c>
    </row>
    <row r="126" spans="1:65" x14ac:dyDescent="0.2">
      <c r="A126" s="156" t="s">
        <v>297</v>
      </c>
      <c r="B126" s="156" t="s">
        <v>298</v>
      </c>
      <c r="D126" s="56">
        <f>VLOOKUP(A126,'2018-19'!$A$12:$AMX334,32,FALSE)</f>
        <v>1012773.2972594362</v>
      </c>
      <c r="E126" s="56">
        <v>1553.054423613527</v>
      </c>
      <c r="F126" s="16">
        <f>VLOOKUP(A126,'2018-19'!$A$12:$AMX334,34,FALSE)</f>
        <v>3.2589726704624677E-2</v>
      </c>
      <c r="G126" s="16">
        <f>VLOOKUP(A126,'2018-19'!$A$12:$AMX334,35,FALSE)</f>
        <v>2.1522269708728947E-2</v>
      </c>
      <c r="H126" s="56"/>
      <c r="I126" s="56">
        <v>1042368.7104565583</v>
      </c>
      <c r="J126" s="56">
        <v>1598.4380129210622</v>
      </c>
      <c r="K126" s="16">
        <f t="shared" si="23"/>
        <v>-2.8392461228195609E-2</v>
      </c>
      <c r="L126" s="58">
        <f t="shared" si="23"/>
        <v>-2.8392461228195609E-2</v>
      </c>
      <c r="M126" s="10"/>
      <c r="N126" s="56">
        <v>770922</v>
      </c>
      <c r="O126" s="56">
        <v>76868</v>
      </c>
      <c r="P126" s="56">
        <v>160037</v>
      </c>
      <c r="R126" s="56">
        <f t="shared" si="24"/>
        <v>160037</v>
      </c>
      <c r="S126" s="56">
        <f t="shared" si="25"/>
        <v>4946.2972594362218</v>
      </c>
      <c r="U126" s="16">
        <v>-2.5728434959132795E-2</v>
      </c>
      <c r="V126" s="16">
        <v>-4.8299668593013712E-2</v>
      </c>
      <c r="W126" s="56">
        <f t="shared" si="26"/>
        <v>4</v>
      </c>
      <c r="X126" s="56">
        <f t="shared" si="27"/>
        <v>7912.8040647236021</v>
      </c>
      <c r="Y126" s="56">
        <f t="shared" si="27"/>
        <v>807.69121816274821</v>
      </c>
      <c r="AA126" s="56">
        <f t="shared" si="39"/>
        <v>0</v>
      </c>
      <c r="AB126" s="56">
        <v>0</v>
      </c>
      <c r="AC126" s="56">
        <f t="shared" si="28"/>
        <v>4946.2972594362218</v>
      </c>
      <c r="AE126" s="56">
        <v>0</v>
      </c>
      <c r="AF126" s="56">
        <f t="shared" si="29"/>
        <v>0</v>
      </c>
      <c r="AG126" s="56">
        <f t="shared" si="30"/>
        <v>4946.2972594362218</v>
      </c>
      <c r="AI126" s="56">
        <f t="shared" si="31"/>
        <v>4488.1718056320897</v>
      </c>
      <c r="AJ126" s="56">
        <f t="shared" si="32"/>
        <v>458.12545380413241</v>
      </c>
      <c r="AK126" s="56">
        <f t="shared" si="33"/>
        <v>0</v>
      </c>
      <c r="AM126" s="56">
        <f t="shared" si="34"/>
        <v>775410</v>
      </c>
      <c r="AN126" s="56">
        <f t="shared" si="35"/>
        <v>77326</v>
      </c>
      <c r="AO126" s="56">
        <f t="shared" si="36"/>
        <v>160037</v>
      </c>
      <c r="AP126" s="56"/>
      <c r="AQ126" s="56">
        <f t="shared" si="37"/>
        <v>1012773</v>
      </c>
      <c r="AR126" s="1"/>
      <c r="AS126" s="56">
        <v>1189.0656417116004</v>
      </c>
      <c r="AT126" s="56">
        <v>118.57686876747943</v>
      </c>
      <c r="AU126" s="56">
        <v>245.41145729691311</v>
      </c>
      <c r="AV126" s="56"/>
      <c r="AW126" s="56">
        <v>1553.053967775993</v>
      </c>
      <c r="AX126" s="1"/>
      <c r="AY126" s="16">
        <v>-2.0056615003412936E-2</v>
      </c>
      <c r="AZ126" s="16">
        <v>-4.2629184753387284E-2</v>
      </c>
      <c r="BA126" s="16">
        <v>-6.0370077151883472E-2</v>
      </c>
      <c r="BB126" s="16">
        <f t="shared" si="38"/>
        <v>-2.8392746405055957E-2</v>
      </c>
      <c r="BC126" s="16"/>
      <c r="BD126" s="1"/>
      <c r="BE126" s="16">
        <f>AM126/'2017-18 disagg'!AM126-1</f>
        <v>2.8939717436680779E-2</v>
      </c>
      <c r="BF126" s="16">
        <f>AN126/'2017-18 disagg'!AN126-1</f>
        <v>3.6833424958768513E-2</v>
      </c>
      <c r="BG126" s="16">
        <f>AO126/'2017-18 disagg'!AO126-1</f>
        <v>4.8535992504700864E-2</v>
      </c>
      <c r="BH126" s="16">
        <f>AQ126/'2017-18 disagg'!AQ126-1</f>
        <v>3.2589423628861525E-2</v>
      </c>
      <c r="BI126" s="1"/>
      <c r="BJ126" s="16">
        <f>AS126/'2017-18 disagg'!AS126-1</f>
        <v>1.7911381806766657E-2</v>
      </c>
      <c r="BK126" s="16">
        <f>AT126/'2017-18 disagg'!AT126-1</f>
        <v>2.5720483346169054E-2</v>
      </c>
      <c r="BL126" s="16">
        <f>AU126/'2017-18 disagg'!AU126-1</f>
        <v>3.7297620956371347E-2</v>
      </c>
      <c r="BM126" s="16">
        <f>AW126/'2017-18 disagg'!AW126-1</f>
        <v>2.1521969881378888E-2</v>
      </c>
    </row>
    <row r="127" spans="1:65" x14ac:dyDescent="0.2">
      <c r="A127" s="156" t="s">
        <v>299</v>
      </c>
      <c r="B127" s="156" t="s">
        <v>300</v>
      </c>
      <c r="D127" s="56">
        <f>VLOOKUP(A127,'2018-19'!$A$12:$AMX335,32,FALSE)</f>
        <v>624290.59438932047</v>
      </c>
      <c r="E127" s="56">
        <v>1537.6293041765352</v>
      </c>
      <c r="F127" s="16">
        <f>VLOOKUP(A127,'2018-19'!$A$12:$AMX335,34,FALSE)</f>
        <v>2.6111916406401869E-2</v>
      </c>
      <c r="G127" s="16">
        <f>VLOOKUP(A127,'2018-19'!$A$12:$AMX335,35,FALSE)</f>
        <v>2.0536551462493779E-2</v>
      </c>
      <c r="H127" s="56"/>
      <c r="I127" s="56">
        <v>640691.14545397682</v>
      </c>
      <c r="J127" s="56">
        <v>1578.0239026989229</v>
      </c>
      <c r="K127" s="16">
        <f t="shared" si="23"/>
        <v>-2.5598217145697211E-2</v>
      </c>
      <c r="L127" s="58">
        <f t="shared" si="23"/>
        <v>-2.5598217145697322E-2</v>
      </c>
      <c r="M127" s="10"/>
      <c r="N127" s="56">
        <v>478917</v>
      </c>
      <c r="O127" s="56">
        <v>55072</v>
      </c>
      <c r="P127" s="56">
        <v>88095</v>
      </c>
      <c r="R127" s="56">
        <f t="shared" si="24"/>
        <v>88095</v>
      </c>
      <c r="S127" s="56">
        <f t="shared" si="25"/>
        <v>2206.5943893204676</v>
      </c>
      <c r="U127" s="16">
        <v>-2.7075475778133629E-2</v>
      </c>
      <c r="V127" s="16">
        <v>6.2672140057074444E-2</v>
      </c>
      <c r="W127" s="56">
        <f t="shared" si="26"/>
        <v>1</v>
      </c>
      <c r="X127" s="56">
        <f t="shared" si="27"/>
        <v>4922.4476110624537</v>
      </c>
      <c r="Y127" s="56">
        <f t="shared" si="27"/>
        <v>518.24074353772153</v>
      </c>
      <c r="AA127" s="56">
        <f t="shared" si="39"/>
        <v>2206.5943893204676</v>
      </c>
      <c r="AB127" s="56">
        <v>0</v>
      </c>
      <c r="AC127" s="56">
        <f t="shared" si="28"/>
        <v>0</v>
      </c>
      <c r="AE127" s="56">
        <v>0</v>
      </c>
      <c r="AF127" s="56">
        <f t="shared" si="29"/>
        <v>0</v>
      </c>
      <c r="AG127" s="56">
        <f t="shared" si="30"/>
        <v>0</v>
      </c>
      <c r="AI127" s="56">
        <f t="shared" si="31"/>
        <v>0</v>
      </c>
      <c r="AJ127" s="56">
        <f t="shared" si="32"/>
        <v>0</v>
      </c>
      <c r="AK127" s="56">
        <f t="shared" si="33"/>
        <v>0</v>
      </c>
      <c r="AM127" s="56">
        <f t="shared" si="34"/>
        <v>481124</v>
      </c>
      <c r="AN127" s="56">
        <f t="shared" si="35"/>
        <v>55072</v>
      </c>
      <c r="AO127" s="56">
        <f t="shared" si="36"/>
        <v>88095</v>
      </c>
      <c r="AP127" s="56"/>
      <c r="AQ127" s="56">
        <f t="shared" si="37"/>
        <v>624291</v>
      </c>
      <c r="AR127" s="1"/>
      <c r="AS127" s="56">
        <v>1185.0096221076219</v>
      </c>
      <c r="AT127" s="56">
        <v>135.64247451532444</v>
      </c>
      <c r="AU127" s="56">
        <v>216.9782065737127</v>
      </c>
      <c r="AV127" s="56"/>
      <c r="AW127" s="56">
        <v>1537.630303196659</v>
      </c>
      <c r="AX127" s="1"/>
      <c r="AY127" s="16">
        <v>-2.2591933901445982E-2</v>
      </c>
      <c r="AZ127" s="16">
        <v>6.2672140057074444E-2</v>
      </c>
      <c r="BA127" s="16">
        <v>-8.8254048102270222E-2</v>
      </c>
      <c r="BB127" s="16">
        <f t="shared" si="38"/>
        <v>-2.5597584062686085E-2</v>
      </c>
      <c r="BC127" s="16"/>
      <c r="BD127" s="1"/>
      <c r="BE127" s="16">
        <f>AM127/'2017-18 disagg'!AM127-1</f>
        <v>2.456839733638283E-2</v>
      </c>
      <c r="BF127" s="16">
        <f>AN127/'2017-18 disagg'!AN127-1</f>
        <v>1.3265625287483207E-2</v>
      </c>
      <c r="BG127" s="16">
        <f>AO127/'2017-18 disagg'!AO127-1</f>
        <v>4.2964032865294932E-2</v>
      </c>
      <c r="BH127" s="16">
        <f>AQ127/'2017-18 disagg'!AQ127-1</f>
        <v>2.6112583086238761E-2</v>
      </c>
      <c r="BI127" s="1"/>
      <c r="BJ127" s="16">
        <f>AS127/'2017-18 disagg'!AS127-1</f>
        <v>1.9001419082051108E-2</v>
      </c>
      <c r="BK127" s="16">
        <f>AT127/'2017-18 disagg'!AT127-1</f>
        <v>7.7600604891721048E-3</v>
      </c>
      <c r="BL127" s="16">
        <f>AU127/'2017-18 disagg'!AU127-1</f>
        <v>3.7297102179060682E-2</v>
      </c>
      <c r="BM127" s="16">
        <f>AW127/'2017-18 disagg'!AW127-1</f>
        <v>2.0537214519935176E-2</v>
      </c>
    </row>
    <row r="128" spans="1:65" x14ac:dyDescent="0.2">
      <c r="A128" s="156" t="s">
        <v>301</v>
      </c>
      <c r="B128" s="156" t="s">
        <v>302</v>
      </c>
      <c r="D128" s="56">
        <f>VLOOKUP(A128,'2018-19'!$A$12:$AMX336,32,FALSE)</f>
        <v>372575.20901181485</v>
      </c>
      <c r="E128" s="56">
        <v>1583.9214152719246</v>
      </c>
      <c r="F128" s="16">
        <f>VLOOKUP(A128,'2018-19'!$A$12:$AMX336,34,FALSE)</f>
        <v>3.4304807121839698E-2</v>
      </c>
      <c r="G128" s="16">
        <f>VLOOKUP(A128,'2018-19'!$A$12:$AMX336,35,FALSE)</f>
        <v>2.2393444511625837E-2</v>
      </c>
      <c r="H128" s="56"/>
      <c r="I128" s="56">
        <v>384445.13321412937</v>
      </c>
      <c r="J128" s="56">
        <v>1634.3837828340786</v>
      </c>
      <c r="K128" s="16">
        <f t="shared" si="23"/>
        <v>-3.0875470065329647E-2</v>
      </c>
      <c r="L128" s="58">
        <f t="shared" si="23"/>
        <v>-3.0875470065329758E-2</v>
      </c>
      <c r="M128" s="10"/>
      <c r="N128" s="56">
        <v>276080</v>
      </c>
      <c r="O128" s="56">
        <v>29642</v>
      </c>
      <c r="P128" s="56">
        <v>64933</v>
      </c>
      <c r="R128" s="56">
        <f t="shared" si="24"/>
        <v>64933</v>
      </c>
      <c r="S128" s="56">
        <f t="shared" si="25"/>
        <v>1920.2090118148481</v>
      </c>
      <c r="U128" s="16">
        <v>-3.8894199278147079E-2</v>
      </c>
      <c r="V128" s="16">
        <v>-4.8423702455660633E-2</v>
      </c>
      <c r="W128" s="56">
        <f t="shared" si="26"/>
        <v>4</v>
      </c>
      <c r="X128" s="56">
        <f t="shared" si="27"/>
        <v>2872.5245419666176</v>
      </c>
      <c r="Y128" s="56">
        <f t="shared" si="27"/>
        <v>311.50418601739932</v>
      </c>
      <c r="AA128" s="56">
        <f t="shared" si="39"/>
        <v>0</v>
      </c>
      <c r="AB128" s="56">
        <v>0</v>
      </c>
      <c r="AC128" s="56">
        <f t="shared" si="28"/>
        <v>1920.2090118148481</v>
      </c>
      <c r="AE128" s="56">
        <v>0</v>
      </c>
      <c r="AF128" s="56">
        <f t="shared" si="29"/>
        <v>0</v>
      </c>
      <c r="AG128" s="56">
        <f t="shared" si="30"/>
        <v>1920.2090118148481</v>
      </c>
      <c r="AI128" s="56">
        <f t="shared" si="31"/>
        <v>1732.3485380849572</v>
      </c>
      <c r="AJ128" s="56">
        <f t="shared" si="32"/>
        <v>187.8604737298908</v>
      </c>
      <c r="AK128" s="56">
        <f t="shared" si="33"/>
        <v>0</v>
      </c>
      <c r="AM128" s="56">
        <f t="shared" si="34"/>
        <v>277812</v>
      </c>
      <c r="AN128" s="56">
        <f t="shared" si="35"/>
        <v>29830</v>
      </c>
      <c r="AO128" s="56">
        <f t="shared" si="36"/>
        <v>64933</v>
      </c>
      <c r="AP128" s="56"/>
      <c r="AQ128" s="56">
        <f t="shared" si="37"/>
        <v>372575</v>
      </c>
      <c r="AR128" s="1"/>
      <c r="AS128" s="56">
        <v>1181.0565104066545</v>
      </c>
      <c r="AT128" s="56">
        <v>126.81567284865486</v>
      </c>
      <c r="AU128" s="56">
        <v>276.04834344893413</v>
      </c>
      <c r="AV128" s="56"/>
      <c r="AW128" s="56">
        <v>1583.9205267042435</v>
      </c>
      <c r="AX128" s="1"/>
      <c r="AY128" s="16">
        <v>-3.2864659844467514E-2</v>
      </c>
      <c r="AZ128" s="16">
        <v>-4.238847055705941E-2</v>
      </c>
      <c r="BA128" s="16">
        <v>-1.6796221218732144E-2</v>
      </c>
      <c r="BB128" s="16">
        <f t="shared" si="38"/>
        <v>-3.0876013736706343E-2</v>
      </c>
      <c r="BC128" s="16"/>
      <c r="BD128" s="1"/>
      <c r="BE128" s="16">
        <f>AM128/'2017-18 disagg'!AM128-1</f>
        <v>3.023448132641593E-2</v>
      </c>
      <c r="BF128" s="16">
        <f>AN128/'2017-18 disagg'!AN128-1</f>
        <v>4.0025102851962924E-2</v>
      </c>
      <c r="BG128" s="16">
        <f>AO128/'2017-18 disagg'!AO128-1</f>
        <v>4.93883026003199E-2</v>
      </c>
      <c r="BH128" s="16">
        <f>AQ128/'2017-18 disagg'!AQ128-1</f>
        <v>3.4304226884830813E-2</v>
      </c>
      <c r="BI128" s="1"/>
      <c r="BJ128" s="16">
        <f>AS128/'2017-18 disagg'!AS128-1</f>
        <v>1.8369993801918838E-2</v>
      </c>
      <c r="BK128" s="16">
        <f>AT128/'2017-18 disagg'!AT128-1</f>
        <v>2.8047863610208612E-2</v>
      </c>
      <c r="BL128" s="16">
        <f>AU128/'2017-18 disagg'!AU128-1</f>
        <v>3.7303233957960868E-2</v>
      </c>
      <c r="BM128" s="16">
        <f>AW128/'2017-18 disagg'!AW128-1</f>
        <v>2.2392870956799538E-2</v>
      </c>
    </row>
    <row r="129" spans="1:65" x14ac:dyDescent="0.2">
      <c r="A129" s="156" t="s">
        <v>303</v>
      </c>
      <c r="B129" s="156" t="s">
        <v>304</v>
      </c>
      <c r="D129" s="56">
        <f>VLOOKUP(A129,'2018-19'!$A$12:$AMX337,32,FALSE)</f>
        <v>592158.58541502641</v>
      </c>
      <c r="E129" s="56">
        <v>1513.6411731373839</v>
      </c>
      <c r="F129" s="16">
        <f>VLOOKUP(A129,'2018-19'!$A$12:$AMX337,34,FALSE)</f>
        <v>2.6833734619005289E-2</v>
      </c>
      <c r="G129" s="16">
        <f>VLOOKUP(A129,'2018-19'!$A$12:$AMX337,35,FALSE)</f>
        <v>1.9464142623453418E-2</v>
      </c>
      <c r="H129" s="56"/>
      <c r="I129" s="56">
        <v>605984.00544737978</v>
      </c>
      <c r="J129" s="56">
        <v>1548.9809039330144</v>
      </c>
      <c r="K129" s="16">
        <f t="shared" si="23"/>
        <v>-2.2814826642406971E-2</v>
      </c>
      <c r="L129" s="58">
        <f t="shared" si="23"/>
        <v>-2.281482664240686E-2</v>
      </c>
      <c r="M129" s="10"/>
      <c r="N129" s="56">
        <v>460702</v>
      </c>
      <c r="O129" s="56">
        <v>48462</v>
      </c>
      <c r="P129" s="56">
        <v>80882</v>
      </c>
      <c r="R129" s="56">
        <f t="shared" si="24"/>
        <v>80882</v>
      </c>
      <c r="S129" s="56">
        <f t="shared" si="25"/>
        <v>2112.5854150264058</v>
      </c>
      <c r="U129" s="16">
        <v>-1.3531560109688479E-2</v>
      </c>
      <c r="V129" s="16">
        <v>2.4025336194812841E-2</v>
      </c>
      <c r="W129" s="56">
        <f t="shared" si="26"/>
        <v>1</v>
      </c>
      <c r="X129" s="56">
        <f t="shared" si="27"/>
        <v>4670.2152990442028</v>
      </c>
      <c r="Y129" s="56">
        <f t="shared" si="27"/>
        <v>473.25000941949821</v>
      </c>
      <c r="AA129" s="56">
        <f t="shared" si="39"/>
        <v>2112.5854150264058</v>
      </c>
      <c r="AB129" s="56">
        <v>0</v>
      </c>
      <c r="AC129" s="56">
        <f t="shared" si="28"/>
        <v>0</v>
      </c>
      <c r="AE129" s="56">
        <v>0</v>
      </c>
      <c r="AF129" s="56">
        <f t="shared" si="29"/>
        <v>0</v>
      </c>
      <c r="AG129" s="56">
        <f t="shared" si="30"/>
        <v>0</v>
      </c>
      <c r="AI129" s="56">
        <f t="shared" si="31"/>
        <v>0</v>
      </c>
      <c r="AJ129" s="56">
        <f t="shared" si="32"/>
        <v>0</v>
      </c>
      <c r="AK129" s="56">
        <f t="shared" si="33"/>
        <v>0</v>
      </c>
      <c r="AM129" s="56">
        <f t="shared" si="34"/>
        <v>462815</v>
      </c>
      <c r="AN129" s="56">
        <f t="shared" si="35"/>
        <v>48462</v>
      </c>
      <c r="AO129" s="56">
        <f t="shared" si="36"/>
        <v>80882</v>
      </c>
      <c r="AP129" s="56"/>
      <c r="AQ129" s="56">
        <f t="shared" si="37"/>
        <v>592159</v>
      </c>
      <c r="AR129" s="1"/>
      <c r="AS129" s="56">
        <v>1183.0206583167133</v>
      </c>
      <c r="AT129" s="56">
        <v>123.87573251373564</v>
      </c>
      <c r="AU129" s="56">
        <v>206.74584204481792</v>
      </c>
      <c r="AV129" s="56"/>
      <c r="AW129" s="56">
        <v>1513.6422328752669</v>
      </c>
      <c r="AX129" s="1"/>
      <c r="AY129" s="16">
        <v>-9.0071434293002017E-3</v>
      </c>
      <c r="AZ129" s="16">
        <v>2.4025336194812841E-2</v>
      </c>
      <c r="BA129" s="16">
        <v>-0.11736982765881587</v>
      </c>
      <c r="BB129" s="16">
        <f t="shared" si="38"/>
        <v>-2.2814142490729883E-2</v>
      </c>
      <c r="BC129" s="16"/>
      <c r="BD129" s="1"/>
      <c r="BE129" s="16">
        <f>AM129/'2017-18 disagg'!AM129-1</f>
        <v>2.4545798679290742E-2</v>
      </c>
      <c r="BF129" s="16">
        <f>AN129/'2017-18 disagg'!AN129-1</f>
        <v>1.9329869802073851E-2</v>
      </c>
      <c r="BG129" s="16">
        <f>AO129/'2017-18 disagg'!AO129-1</f>
        <v>4.4798098535148601E-2</v>
      </c>
      <c r="BH129" s="16">
        <f>AQ129/'2017-18 disagg'!AQ129-1</f>
        <v>2.6834453530876434E-2</v>
      </c>
      <c r="BI129" s="1"/>
      <c r="BJ129" s="16">
        <f>AS129/'2017-18 disagg'!AS129-1</f>
        <v>1.7192627213975742E-2</v>
      </c>
      <c r="BK129" s="16">
        <f>AT129/'2017-18 disagg'!AT129-1</f>
        <v>1.2014133090221923E-2</v>
      </c>
      <c r="BL129" s="16">
        <f>AU129/'2017-18 disagg'!AU129-1</f>
        <v>3.7299576189864236E-2</v>
      </c>
      <c r="BM129" s="16">
        <f>AW129/'2017-18 disagg'!AW129-1</f>
        <v>1.9464856375689843E-2</v>
      </c>
    </row>
    <row r="130" spans="1:65" x14ac:dyDescent="0.2">
      <c r="A130" s="156" t="s">
        <v>305</v>
      </c>
      <c r="B130" s="156" t="s">
        <v>306</v>
      </c>
      <c r="D130" s="56">
        <f>VLOOKUP(A130,'2018-19'!$A$12:$AMX338,32,FALSE)</f>
        <v>593804.59466080705</v>
      </c>
      <c r="E130" s="56">
        <v>1708.1456080537109</v>
      </c>
      <c r="F130" s="16">
        <f>VLOOKUP(A130,'2018-19'!$A$12:$AMX338,34,FALSE)</f>
        <v>2.8459236335621974E-2</v>
      </c>
      <c r="G130" s="16">
        <f>VLOOKUP(A130,'2018-19'!$A$12:$AMX338,35,FALSE)</f>
        <v>1.9615386081288877E-2</v>
      </c>
      <c r="H130" s="56"/>
      <c r="I130" s="56">
        <v>607780.16851916944</v>
      </c>
      <c r="J130" s="56">
        <v>1748.3479158850075</v>
      </c>
      <c r="K130" s="16">
        <f t="shared" si="23"/>
        <v>-2.299445520312593E-2</v>
      </c>
      <c r="L130" s="58">
        <f t="shared" si="23"/>
        <v>-2.2994455203126041E-2</v>
      </c>
      <c r="M130" s="10"/>
      <c r="N130" s="56">
        <v>465397</v>
      </c>
      <c r="O130" s="56">
        <v>47507</v>
      </c>
      <c r="P130" s="56">
        <v>78388</v>
      </c>
      <c r="R130" s="56">
        <f t="shared" si="24"/>
        <v>78388</v>
      </c>
      <c r="S130" s="56">
        <f t="shared" si="25"/>
        <v>2512.5946608070517</v>
      </c>
      <c r="U130" s="16">
        <v>-1.7877537613889327E-2</v>
      </c>
      <c r="V130" s="16">
        <v>-4.4329510389686799E-3</v>
      </c>
      <c r="W130" s="56">
        <f t="shared" si="26"/>
        <v>4</v>
      </c>
      <c r="X130" s="56">
        <f t="shared" si="27"/>
        <v>4738.6860378826595</v>
      </c>
      <c r="Y130" s="56">
        <f t="shared" si="27"/>
        <v>477.18533924538843</v>
      </c>
      <c r="AA130" s="56">
        <f t="shared" si="39"/>
        <v>0</v>
      </c>
      <c r="AB130" s="56">
        <v>0</v>
      </c>
      <c r="AC130" s="56">
        <f t="shared" si="28"/>
        <v>2512.5946608070517</v>
      </c>
      <c r="AE130" s="56">
        <v>0</v>
      </c>
      <c r="AF130" s="56">
        <f t="shared" si="29"/>
        <v>0</v>
      </c>
      <c r="AG130" s="56">
        <f t="shared" si="30"/>
        <v>2512.5946608070517</v>
      </c>
      <c r="AI130" s="56">
        <f t="shared" si="31"/>
        <v>2282.7244725081327</v>
      </c>
      <c r="AJ130" s="56">
        <f t="shared" si="32"/>
        <v>229.87018829891869</v>
      </c>
      <c r="AK130" s="56">
        <f t="shared" si="33"/>
        <v>0</v>
      </c>
      <c r="AM130" s="56">
        <f t="shared" si="34"/>
        <v>467680</v>
      </c>
      <c r="AN130" s="56">
        <f t="shared" si="35"/>
        <v>47737</v>
      </c>
      <c r="AO130" s="56">
        <f t="shared" si="36"/>
        <v>78388</v>
      </c>
      <c r="AP130" s="56"/>
      <c r="AQ130" s="56">
        <f t="shared" si="37"/>
        <v>593805</v>
      </c>
      <c r="AR130" s="1"/>
      <c r="AS130" s="56">
        <v>1345.3340461787559</v>
      </c>
      <c r="AT130" s="56">
        <v>137.32084194841616</v>
      </c>
      <c r="AU130" s="56">
        <v>225.49188593025212</v>
      </c>
      <c r="AV130" s="56"/>
      <c r="AW130" s="56">
        <v>1708.1467740574242</v>
      </c>
      <c r="AX130" s="1"/>
      <c r="AY130" s="16">
        <v>-1.3059746391282712E-2</v>
      </c>
      <c r="AZ130" s="16">
        <v>3.8697910313745254E-4</v>
      </c>
      <c r="BA130" s="16">
        <v>-9.0552922125442303E-2</v>
      </c>
      <c r="BB130" s="16">
        <f t="shared" si="38"/>
        <v>-2.2993788285687766E-2</v>
      </c>
      <c r="BC130" s="16"/>
      <c r="BD130" s="1"/>
      <c r="BE130" s="16">
        <f>AM130/'2017-18 disagg'!AM130-1</f>
        <v>2.5805248785409463E-2</v>
      </c>
      <c r="BF130" s="16">
        <f>AN130/'2017-18 disagg'!AN130-1</f>
        <v>2.5741850920733222E-2</v>
      </c>
      <c r="BG130" s="16">
        <f>AO130/'2017-18 disagg'!AO130-1</f>
        <v>4.6303340941550308E-2</v>
      </c>
      <c r="BH130" s="16">
        <f>AQ130/'2017-18 disagg'!AQ130-1</f>
        <v>2.8459938376058425E-2</v>
      </c>
      <c r="BI130" s="1"/>
      <c r="BJ130" s="16">
        <f>AS130/'2017-18 disagg'!AS130-1</f>
        <v>1.6984220503637015E-2</v>
      </c>
      <c r="BK130" s="16">
        <f>AT130/'2017-18 disagg'!AT130-1</f>
        <v>1.6921367805168286E-2</v>
      </c>
      <c r="BL130" s="16">
        <f>AU130/'2017-18 disagg'!AU130-1</f>
        <v>3.7306046988641706E-2</v>
      </c>
      <c r="BM130" s="16">
        <f>AW130/'2017-18 disagg'!AW130-1</f>
        <v>1.9616082084791486E-2</v>
      </c>
    </row>
    <row r="131" spans="1:65" x14ac:dyDescent="0.2">
      <c r="A131" s="156" t="s">
        <v>307</v>
      </c>
      <c r="B131" s="156" t="s">
        <v>308</v>
      </c>
      <c r="D131" s="56">
        <f>VLOOKUP(A131,'2018-19'!$A$12:$AMX339,32,FALSE)</f>
        <v>308602</v>
      </c>
      <c r="E131" s="56">
        <v>1775.8623896217457</v>
      </c>
      <c r="F131" s="16">
        <f>VLOOKUP(A131,'2018-19'!$A$12:$AMX339,34,FALSE)</f>
        <v>2.2185860405956825E-2</v>
      </c>
      <c r="G131" s="16">
        <f>VLOOKUP(A131,'2018-19'!$A$12:$AMX339,35,FALSE)</f>
        <v>1.7002427587383906E-2</v>
      </c>
      <c r="H131" s="56"/>
      <c r="I131" s="56">
        <v>305092.20037831203</v>
      </c>
      <c r="J131" s="56">
        <v>1755.6651091658048</v>
      </c>
      <c r="K131" s="16">
        <f t="shared" si="23"/>
        <v>1.1504062107572155E-2</v>
      </c>
      <c r="L131" s="58">
        <f t="shared" si="23"/>
        <v>1.1504062107572155E-2</v>
      </c>
      <c r="M131" s="10"/>
      <c r="N131" s="56">
        <v>235939</v>
      </c>
      <c r="O131" s="56">
        <v>27998</v>
      </c>
      <c r="P131" s="56">
        <v>44665</v>
      </c>
      <c r="R131" s="56">
        <f t="shared" si="24"/>
        <v>44665</v>
      </c>
      <c r="S131" s="56">
        <f t="shared" si="25"/>
        <v>0</v>
      </c>
      <c r="U131" s="16">
        <v>2.6153193781218276E-2</v>
      </c>
      <c r="V131" s="16">
        <v>0.19842239202982626</v>
      </c>
      <c r="W131" s="56">
        <f t="shared" si="26"/>
        <v>2</v>
      </c>
      <c r="X131" s="56">
        <f t="shared" si="27"/>
        <v>2299.2570839311106</v>
      </c>
      <c r="Y131" s="56">
        <f t="shared" si="27"/>
        <v>233.62380564817741</v>
      </c>
      <c r="AA131" s="56">
        <f t="shared" si="39"/>
        <v>0</v>
      </c>
      <c r="AB131" s="56">
        <v>0</v>
      </c>
      <c r="AC131" s="56">
        <f t="shared" si="28"/>
        <v>0</v>
      </c>
      <c r="AE131" s="56">
        <v>0</v>
      </c>
      <c r="AF131" s="56">
        <f t="shared" si="29"/>
        <v>0</v>
      </c>
      <c r="AG131" s="56">
        <f t="shared" si="30"/>
        <v>0</v>
      </c>
      <c r="AI131" s="56">
        <f t="shared" si="31"/>
        <v>0</v>
      </c>
      <c r="AJ131" s="56">
        <f t="shared" si="32"/>
        <v>0</v>
      </c>
      <c r="AK131" s="56">
        <f t="shared" si="33"/>
        <v>0</v>
      </c>
      <c r="AM131" s="56">
        <f t="shared" si="34"/>
        <v>235939</v>
      </c>
      <c r="AN131" s="56">
        <f t="shared" si="35"/>
        <v>27998</v>
      </c>
      <c r="AO131" s="56">
        <f t="shared" si="36"/>
        <v>44665</v>
      </c>
      <c r="AP131" s="56"/>
      <c r="AQ131" s="56">
        <f t="shared" si="37"/>
        <v>308602</v>
      </c>
      <c r="AR131" s="1"/>
      <c r="AS131" s="56">
        <v>1357.7202880894001</v>
      </c>
      <c r="AT131" s="56">
        <v>161.11559609020563</v>
      </c>
      <c r="AU131" s="56">
        <v>257.02650544213992</v>
      </c>
      <c r="AV131" s="56"/>
      <c r="AW131" s="56">
        <v>1775.8623896217457</v>
      </c>
      <c r="AX131" s="1"/>
      <c r="AY131" s="16">
        <v>2.6153193781218276E-2</v>
      </c>
      <c r="AZ131" s="16">
        <v>0.19842239202982626</v>
      </c>
      <c r="BA131" s="16">
        <v>-0.13780974568698368</v>
      </c>
      <c r="BB131" s="16">
        <f t="shared" si="38"/>
        <v>1.1504062107572155E-2</v>
      </c>
      <c r="BC131" s="16"/>
      <c r="BD131" s="1"/>
      <c r="BE131" s="16">
        <f>AM131/'2017-18 disagg'!AM131-1</f>
        <v>1.9871013477881228E-2</v>
      </c>
      <c r="BF131" s="16">
        <f>AN131/'2017-18 disagg'!AN131-1</f>
        <v>9.992424515710141E-3</v>
      </c>
      <c r="BG131" s="16">
        <f>AO131/'2017-18 disagg'!AO131-1</f>
        <v>4.2576036973926756E-2</v>
      </c>
      <c r="BH131" s="16">
        <f>AQ131/'2017-18 disagg'!AQ131-1</f>
        <v>2.2185860405956825E-2</v>
      </c>
      <c r="BI131" s="1"/>
      <c r="BJ131" s="16">
        <f>AS131/'2017-18 disagg'!AS131-1</f>
        <v>1.4699319085754725E-2</v>
      </c>
      <c r="BK131" s="16">
        <f>AT131/'2017-18 disagg'!AT131-1</f>
        <v>4.8708237554868639E-3</v>
      </c>
      <c r="BL131" s="16">
        <f>AU131/'2017-18 disagg'!AU131-1</f>
        <v>3.7289206999814306E-2</v>
      </c>
      <c r="BM131" s="16">
        <f>AW131/'2017-18 disagg'!AW131-1</f>
        <v>1.7002427587383906E-2</v>
      </c>
    </row>
    <row r="132" spans="1:65" x14ac:dyDescent="0.2">
      <c r="A132" s="156" t="s">
        <v>309</v>
      </c>
      <c r="B132" s="156" t="s">
        <v>310</v>
      </c>
      <c r="D132" s="56">
        <f>VLOOKUP(A132,'2018-19'!$A$12:$AMX340,32,FALSE)</f>
        <v>328192.34499295463</v>
      </c>
      <c r="E132" s="56">
        <v>1488.65253970925</v>
      </c>
      <c r="F132" s="16">
        <f>VLOOKUP(A132,'2018-19'!$A$12:$AMX340,34,FALSE)</f>
        <v>2.4403806154540186E-2</v>
      </c>
      <c r="G132" s="16">
        <f>VLOOKUP(A132,'2018-19'!$A$12:$AMX340,35,FALSE)</f>
        <v>1.7454465758938609E-2</v>
      </c>
      <c r="H132" s="56"/>
      <c r="I132" s="56">
        <v>334246.74857629079</v>
      </c>
      <c r="J132" s="56">
        <v>1516.1147989857473</v>
      </c>
      <c r="K132" s="16">
        <f t="shared" si="23"/>
        <v>-1.8113575103197332E-2</v>
      </c>
      <c r="L132" s="58">
        <f t="shared" si="23"/>
        <v>-1.8113575103197332E-2</v>
      </c>
      <c r="M132" s="10"/>
      <c r="N132" s="56">
        <v>248269</v>
      </c>
      <c r="O132" s="56">
        <v>30648</v>
      </c>
      <c r="P132" s="56">
        <v>48665</v>
      </c>
      <c r="R132" s="56">
        <f t="shared" si="24"/>
        <v>48665</v>
      </c>
      <c r="S132" s="56">
        <f t="shared" si="25"/>
        <v>610.3449929546332</v>
      </c>
      <c r="U132" s="16">
        <v>-6.5536001605043248E-3</v>
      </c>
      <c r="V132" s="16">
        <v>8.9340480157982238E-2</v>
      </c>
      <c r="W132" s="56">
        <f t="shared" si="26"/>
        <v>1</v>
      </c>
      <c r="X132" s="56">
        <f t="shared" si="27"/>
        <v>2499.0678917363948</v>
      </c>
      <c r="Y132" s="56">
        <f t="shared" si="27"/>
        <v>281.3445434025848</v>
      </c>
      <c r="AA132" s="56">
        <f t="shared" si="39"/>
        <v>610.3449929546332</v>
      </c>
      <c r="AB132" s="56">
        <v>0</v>
      </c>
      <c r="AC132" s="56">
        <f t="shared" si="28"/>
        <v>0</v>
      </c>
      <c r="AE132" s="56">
        <v>0</v>
      </c>
      <c r="AF132" s="56">
        <f t="shared" si="29"/>
        <v>0</v>
      </c>
      <c r="AG132" s="56">
        <f t="shared" si="30"/>
        <v>0</v>
      </c>
      <c r="AI132" s="56">
        <f t="shared" si="31"/>
        <v>0</v>
      </c>
      <c r="AJ132" s="56">
        <f t="shared" si="32"/>
        <v>0</v>
      </c>
      <c r="AK132" s="56">
        <f t="shared" si="33"/>
        <v>0</v>
      </c>
      <c r="AM132" s="56">
        <f t="shared" si="34"/>
        <v>248879</v>
      </c>
      <c r="AN132" s="56">
        <f t="shared" si="35"/>
        <v>30648</v>
      </c>
      <c r="AO132" s="56">
        <f t="shared" si="36"/>
        <v>48665</v>
      </c>
      <c r="AP132" s="56"/>
      <c r="AQ132" s="56">
        <f t="shared" si="37"/>
        <v>328192</v>
      </c>
      <c r="AR132" s="1"/>
      <c r="AS132" s="56">
        <v>1128.8939583226779</v>
      </c>
      <c r="AT132" s="56">
        <v>139.01671910717027</v>
      </c>
      <c r="AU132" s="56">
        <v>220.74029742072702</v>
      </c>
      <c r="AV132" s="56"/>
      <c r="AW132" s="56">
        <v>1488.6509748505753</v>
      </c>
      <c r="AX132" s="1"/>
      <c r="AY132" s="16">
        <v>-4.1126900835229963E-3</v>
      </c>
      <c r="AZ132" s="16">
        <v>8.9340480157982238E-2</v>
      </c>
      <c r="BA132" s="16">
        <v>-0.13415954636511496</v>
      </c>
      <c r="BB132" s="16">
        <f t="shared" si="38"/>
        <v>-1.8114607253715165E-2</v>
      </c>
      <c r="BC132" s="16"/>
      <c r="BD132" s="1"/>
      <c r="BE132" s="16">
        <f>AM132/'2017-18 disagg'!AM132-1</f>
        <v>2.2375858555982786E-2</v>
      </c>
      <c r="BF132" s="16">
        <f>AN132/'2017-18 disagg'!AN132-1</f>
        <v>9.985170538803656E-3</v>
      </c>
      <c r="BG132" s="16">
        <f>AO132/'2017-18 disagg'!AO132-1</f>
        <v>4.4380539519711659E-2</v>
      </c>
      <c r="BH132" s="16">
        <f>AQ132/'2017-18 disagg'!AQ132-1</f>
        <v>2.4402729310118776E-2</v>
      </c>
      <c r="BI132" s="1"/>
      <c r="BJ132" s="16">
        <f>AS132/'2017-18 disagg'!AS132-1</f>
        <v>1.5440275331218167E-2</v>
      </c>
      <c r="BK132" s="16">
        <f>AT132/'2017-18 disagg'!AT132-1</f>
        <v>3.1336431407058551E-3</v>
      </c>
      <c r="BL132" s="16">
        <f>AU132/'2017-18 disagg'!AU132-1</f>
        <v>3.729568115813553E-2</v>
      </c>
      <c r="BM132" s="16">
        <f>AW132/'2017-18 disagg'!AW132-1</f>
        <v>1.7453396219603956E-2</v>
      </c>
    </row>
    <row r="133" spans="1:65" x14ac:dyDescent="0.2">
      <c r="A133" s="156" t="s">
        <v>311</v>
      </c>
      <c r="B133" s="156" t="s">
        <v>312</v>
      </c>
      <c r="D133" s="56">
        <f>VLOOKUP(A133,'2018-19'!$A$12:$AMX341,32,FALSE)</f>
        <v>366237.21930235648</v>
      </c>
      <c r="E133" s="56">
        <v>1523.7610574976632</v>
      </c>
      <c r="F133" s="16">
        <f>VLOOKUP(A133,'2018-19'!$A$12:$AMX341,34,FALSE)</f>
        <v>2.7368132670062328E-2</v>
      </c>
      <c r="G133" s="16">
        <f>VLOOKUP(A133,'2018-19'!$A$12:$AMX341,35,FALSE)</f>
        <v>1.7689206669142976E-2</v>
      </c>
      <c r="H133" s="56"/>
      <c r="I133" s="56">
        <v>373216.30371027847</v>
      </c>
      <c r="J133" s="56">
        <v>1552.7981309497775</v>
      </c>
      <c r="K133" s="16">
        <f t="shared" si="23"/>
        <v>-1.8699837972083189E-2</v>
      </c>
      <c r="L133" s="58">
        <f t="shared" si="23"/>
        <v>-1.8699837972083078E-2</v>
      </c>
      <c r="M133" s="10"/>
      <c r="N133" s="56">
        <v>278036</v>
      </c>
      <c r="O133" s="56">
        <v>34128</v>
      </c>
      <c r="P133" s="56">
        <v>52930</v>
      </c>
      <c r="R133" s="56">
        <f t="shared" si="24"/>
        <v>52930</v>
      </c>
      <c r="S133" s="56">
        <f t="shared" si="25"/>
        <v>1143.219302356476</v>
      </c>
      <c r="U133" s="16">
        <v>-6.8878880791286567E-3</v>
      </c>
      <c r="V133" s="16">
        <v>0.13408741924591716</v>
      </c>
      <c r="W133" s="56">
        <f t="shared" si="26"/>
        <v>1</v>
      </c>
      <c r="X133" s="56">
        <f t="shared" si="27"/>
        <v>2799.6436319986519</v>
      </c>
      <c r="Y133" s="56">
        <f t="shared" si="27"/>
        <v>300.929182537732</v>
      </c>
      <c r="AA133" s="56">
        <f t="shared" si="39"/>
        <v>1143.219302356476</v>
      </c>
      <c r="AB133" s="56">
        <v>0</v>
      </c>
      <c r="AC133" s="56">
        <f t="shared" si="28"/>
        <v>0</v>
      </c>
      <c r="AE133" s="56">
        <v>0</v>
      </c>
      <c r="AF133" s="56">
        <f t="shared" si="29"/>
        <v>0</v>
      </c>
      <c r="AG133" s="56">
        <f t="shared" si="30"/>
        <v>0</v>
      </c>
      <c r="AI133" s="56">
        <f t="shared" si="31"/>
        <v>0</v>
      </c>
      <c r="AJ133" s="56">
        <f t="shared" si="32"/>
        <v>0</v>
      </c>
      <c r="AK133" s="56">
        <f t="shared" si="33"/>
        <v>0</v>
      </c>
      <c r="AM133" s="56">
        <f t="shared" si="34"/>
        <v>279179</v>
      </c>
      <c r="AN133" s="56">
        <f t="shared" si="35"/>
        <v>34128</v>
      </c>
      <c r="AO133" s="56">
        <f t="shared" si="36"/>
        <v>52930</v>
      </c>
      <c r="AP133" s="56"/>
      <c r="AQ133" s="56">
        <f t="shared" si="37"/>
        <v>366237</v>
      </c>
      <c r="AR133" s="1"/>
      <c r="AS133" s="56">
        <v>1161.5479417452068</v>
      </c>
      <c r="AT133" s="56">
        <v>141.9924426832979</v>
      </c>
      <c r="AU133" s="56">
        <v>220.21976064307773</v>
      </c>
      <c r="AV133" s="56"/>
      <c r="AW133" s="56">
        <v>1523.7601450715824</v>
      </c>
      <c r="AX133" s="1"/>
      <c r="AY133" s="16">
        <v>-2.8052256040335122E-3</v>
      </c>
      <c r="AZ133" s="16">
        <v>0.13408741924591716</v>
      </c>
      <c r="BA133" s="16">
        <v>-0.16195662774948438</v>
      </c>
      <c r="BB133" s="16">
        <f t="shared" si="38"/>
        <v>-1.870042557330609E-2</v>
      </c>
      <c r="BC133" s="16"/>
      <c r="BD133" s="1"/>
      <c r="BE133" s="16">
        <f>AM133/'2017-18 disagg'!AM133-1</f>
        <v>2.5846515644233792E-2</v>
      </c>
      <c r="BF133" s="16">
        <f>AN133/'2017-18 disagg'!AN133-1</f>
        <v>1.0002959455460259E-2</v>
      </c>
      <c r="BG133" s="16">
        <f>AO133/'2017-18 disagg'!AO133-1</f>
        <v>4.7164958651525257E-2</v>
      </c>
      <c r="BH133" s="16">
        <f>AQ133/'2017-18 disagg'!AQ133-1</f>
        <v>2.7367517483400272E-2</v>
      </c>
      <c r="BI133" s="1"/>
      <c r="BJ133" s="16">
        <f>AS133/'2017-18 disagg'!AS133-1</f>
        <v>1.6181924931831126E-2</v>
      </c>
      <c r="BK133" s="16">
        <f>AT133/'2017-18 disagg'!AT133-1</f>
        <v>4.8763228653925239E-4</v>
      </c>
      <c r="BL133" s="16">
        <f>AU133/'2017-18 disagg'!AU133-1</f>
        <v>3.7299525002923994E-2</v>
      </c>
      <c r="BM133" s="16">
        <f>AW133/'2017-18 disagg'!AW133-1</f>
        <v>1.7688597278208817E-2</v>
      </c>
    </row>
    <row r="134" spans="1:65" x14ac:dyDescent="0.2">
      <c r="A134" s="156" t="s">
        <v>313</v>
      </c>
      <c r="B134" s="156" t="s">
        <v>314</v>
      </c>
      <c r="D134" s="56">
        <f>VLOOKUP(A134,'2018-19'!$A$12:$AMX342,32,FALSE)</f>
        <v>318018.46486527403</v>
      </c>
      <c r="E134" s="56">
        <v>1678.3704789510844</v>
      </c>
      <c r="F134" s="16">
        <f>VLOOKUP(A134,'2018-19'!$A$12:$AMX342,34,FALSE)</f>
        <v>2.6097715178504899E-2</v>
      </c>
      <c r="G134" s="16">
        <f>VLOOKUP(A134,'2018-19'!$A$12:$AMX342,35,FALSE)</f>
        <v>1.8423607291852662E-2</v>
      </c>
      <c r="H134" s="56"/>
      <c r="I134" s="56">
        <v>324550.50173372735</v>
      </c>
      <c r="J134" s="56">
        <v>1712.843879267876</v>
      </c>
      <c r="K134" s="16">
        <f t="shared" si="23"/>
        <v>-2.0126411247431752E-2</v>
      </c>
      <c r="L134" s="58">
        <f t="shared" si="23"/>
        <v>-2.0126411247431752E-2</v>
      </c>
      <c r="M134" s="10"/>
      <c r="N134" s="56">
        <v>248557</v>
      </c>
      <c r="O134" s="56">
        <v>24684</v>
      </c>
      <c r="P134" s="56">
        <v>43902</v>
      </c>
      <c r="R134" s="56">
        <f t="shared" si="24"/>
        <v>43902</v>
      </c>
      <c r="S134" s="56">
        <f t="shared" si="25"/>
        <v>875.46486527402885</v>
      </c>
      <c r="U134" s="16">
        <v>-7.1583116113949075E-3</v>
      </c>
      <c r="V134" s="16">
        <v>-2.6104598262075784E-2</v>
      </c>
      <c r="W134" s="56">
        <f t="shared" si="26"/>
        <v>4</v>
      </c>
      <c r="X134" s="56">
        <f t="shared" si="27"/>
        <v>2503.4907670266266</v>
      </c>
      <c r="Y134" s="56">
        <f t="shared" si="27"/>
        <v>253.45637689582682</v>
      </c>
      <c r="AA134" s="56">
        <f t="shared" si="39"/>
        <v>0</v>
      </c>
      <c r="AB134" s="56">
        <v>0</v>
      </c>
      <c r="AC134" s="56">
        <f t="shared" si="28"/>
        <v>875.46486527402885</v>
      </c>
      <c r="AE134" s="56">
        <v>0</v>
      </c>
      <c r="AF134" s="56">
        <f t="shared" si="29"/>
        <v>0</v>
      </c>
      <c r="AG134" s="56">
        <f t="shared" si="30"/>
        <v>875.46486527402885</v>
      </c>
      <c r="AI134" s="56">
        <f t="shared" si="31"/>
        <v>794.9801329710906</v>
      </c>
      <c r="AJ134" s="56">
        <f t="shared" si="32"/>
        <v>80.484732302938127</v>
      </c>
      <c r="AK134" s="56">
        <f t="shared" si="33"/>
        <v>0</v>
      </c>
      <c r="AM134" s="56">
        <f t="shared" si="34"/>
        <v>249352</v>
      </c>
      <c r="AN134" s="56">
        <f t="shared" si="35"/>
        <v>24764</v>
      </c>
      <c r="AO134" s="56">
        <f t="shared" si="36"/>
        <v>43902</v>
      </c>
      <c r="AP134" s="56"/>
      <c r="AQ134" s="56">
        <f t="shared" si="37"/>
        <v>318018</v>
      </c>
      <c r="AR134" s="1"/>
      <c r="AS134" s="56">
        <v>1315.9771582593705</v>
      </c>
      <c r="AT134" s="56">
        <v>130.69419273611223</v>
      </c>
      <c r="AU134" s="56">
        <v>231.69667458814402</v>
      </c>
      <c r="AV134" s="56"/>
      <c r="AW134" s="56">
        <v>1678.3680255836268</v>
      </c>
      <c r="AX134" s="1"/>
      <c r="AY134" s="16">
        <v>-3.9827456757385304E-3</v>
      </c>
      <c r="AZ134" s="16">
        <v>-2.2948236564659164E-2</v>
      </c>
      <c r="BA134" s="16">
        <v>-0.10139612134089759</v>
      </c>
      <c r="BB134" s="16">
        <f t="shared" si="38"/>
        <v>-2.0127843583143901E-2</v>
      </c>
      <c r="BC134" s="16"/>
      <c r="BD134" s="1"/>
      <c r="BE134" s="16">
        <f>AM134/'2017-18 disagg'!AM134-1</f>
        <v>2.3129475001538724E-2</v>
      </c>
      <c r="BF134" s="16">
        <f>AN134/'2017-18 disagg'!AN134-1</f>
        <v>2.2967614011896842E-2</v>
      </c>
      <c r="BG134" s="16">
        <f>AO134/'2017-18 disagg'!AO134-1</f>
        <v>4.5111529030875896E-2</v>
      </c>
      <c r="BH134" s="16">
        <f>AQ134/'2017-18 disagg'!AQ134-1</f>
        <v>2.6096215274416856E-2</v>
      </c>
      <c r="BI134" s="1"/>
      <c r="BJ134" s="16">
        <f>AS134/'2017-18 disagg'!AS134-1</f>
        <v>1.5477566360645012E-2</v>
      </c>
      <c r="BK134" s="16">
        <f>AT134/'2017-18 disagg'!AT134-1</f>
        <v>1.5316915917210627E-2</v>
      </c>
      <c r="BL134" s="16">
        <f>AU134/'2017-18 disagg'!AU134-1</f>
        <v>3.7295218255861906E-2</v>
      </c>
      <c r="BM134" s="16">
        <f>AW134/'2017-18 disagg'!AW134-1</f>
        <v>1.8422118605434967E-2</v>
      </c>
    </row>
    <row r="135" spans="1:65" x14ac:dyDescent="0.2">
      <c r="A135" s="156" t="s">
        <v>315</v>
      </c>
      <c r="B135" s="156" t="s">
        <v>316</v>
      </c>
      <c r="D135" s="56">
        <f>VLOOKUP(A135,'2018-19'!$A$12:$AMX343,32,FALSE)</f>
        <v>272308.25602502836</v>
      </c>
      <c r="E135" s="56">
        <v>1547.7746874491265</v>
      </c>
      <c r="F135" s="16">
        <f>VLOOKUP(A135,'2018-19'!$A$12:$AMX343,34,FALSE)</f>
        <v>2.9151178310354853E-2</v>
      </c>
      <c r="G135" s="16">
        <f>VLOOKUP(A135,'2018-19'!$A$12:$AMX343,35,FALSE)</f>
        <v>1.851845605885849E-2</v>
      </c>
      <c r="H135" s="56"/>
      <c r="I135" s="56">
        <v>278036.20421810402</v>
      </c>
      <c r="J135" s="56">
        <v>1580.3318098576649</v>
      </c>
      <c r="K135" s="16">
        <f t="shared" si="23"/>
        <v>-2.0601447243835946E-2</v>
      </c>
      <c r="L135" s="58">
        <f t="shared" si="23"/>
        <v>-2.0601447243835835E-2</v>
      </c>
      <c r="M135" s="10"/>
      <c r="N135" s="56">
        <v>210307</v>
      </c>
      <c r="O135" s="56">
        <v>21382</v>
      </c>
      <c r="P135" s="56">
        <v>39853</v>
      </c>
      <c r="R135" s="56">
        <f t="shared" si="24"/>
        <v>39853</v>
      </c>
      <c r="S135" s="56">
        <f t="shared" si="25"/>
        <v>766.25602502835682</v>
      </c>
      <c r="U135" s="16">
        <v>-4.887610651090224E-3</v>
      </c>
      <c r="V135" s="16">
        <v>-4.1168778226314817E-2</v>
      </c>
      <c r="W135" s="56">
        <f t="shared" si="26"/>
        <v>4</v>
      </c>
      <c r="X135" s="56">
        <f t="shared" si="27"/>
        <v>2113.3994737780463</v>
      </c>
      <c r="Y135" s="56">
        <f t="shared" si="27"/>
        <v>223.00066491834406</v>
      </c>
      <c r="AA135" s="56">
        <f t="shared" si="39"/>
        <v>0</v>
      </c>
      <c r="AB135" s="56">
        <v>0</v>
      </c>
      <c r="AC135" s="56">
        <f t="shared" si="28"/>
        <v>766.25602502835682</v>
      </c>
      <c r="AE135" s="56">
        <v>0</v>
      </c>
      <c r="AF135" s="56">
        <f t="shared" si="29"/>
        <v>0</v>
      </c>
      <c r="AG135" s="56">
        <f t="shared" si="30"/>
        <v>766.25602502835682</v>
      </c>
      <c r="AI135" s="56">
        <f t="shared" si="31"/>
        <v>693.11975001753945</v>
      </c>
      <c r="AJ135" s="56">
        <f t="shared" si="32"/>
        <v>73.136275010817272</v>
      </c>
      <c r="AK135" s="56">
        <f t="shared" si="33"/>
        <v>0</v>
      </c>
      <c r="AM135" s="56">
        <f t="shared" si="34"/>
        <v>211000</v>
      </c>
      <c r="AN135" s="56">
        <f t="shared" si="35"/>
        <v>21455</v>
      </c>
      <c r="AO135" s="56">
        <f t="shared" si="36"/>
        <v>39853</v>
      </c>
      <c r="AP135" s="56"/>
      <c r="AQ135" s="56">
        <f t="shared" si="37"/>
        <v>272308</v>
      </c>
      <c r="AR135" s="1"/>
      <c r="AS135" s="56">
        <v>1199.3042877912196</v>
      </c>
      <c r="AT135" s="56">
        <v>121.94821561403135</v>
      </c>
      <c r="AU135" s="56">
        <v>226.52072882153305</v>
      </c>
      <c r="AV135" s="56"/>
      <c r="AW135" s="56">
        <v>1547.7732322267841</v>
      </c>
      <c r="AX135" s="1"/>
      <c r="AY135" s="16">
        <v>-1.6085334647921723E-3</v>
      </c>
      <c r="AZ135" s="16">
        <v>-3.7895245386099674E-2</v>
      </c>
      <c r="BA135" s="16">
        <v>-0.10233288741231139</v>
      </c>
      <c r="BB135" s="16">
        <f t="shared" si="38"/>
        <v>-2.0602368077254241E-2</v>
      </c>
      <c r="BC135" s="16"/>
      <c r="BD135" s="1"/>
      <c r="BE135" s="16">
        <f>AM135/'2017-18 disagg'!AM135-1</f>
        <v>2.5955208059826207E-2</v>
      </c>
      <c r="BF135" s="16">
        <f>AN135/'2017-18 disagg'!AN135-1</f>
        <v>2.6064084170253521E-2</v>
      </c>
      <c r="BG135" s="16">
        <f>AO135/'2017-18 disagg'!AO135-1</f>
        <v>4.8128764169055538E-2</v>
      </c>
      <c r="BH135" s="16">
        <f>AQ135/'2017-18 disagg'!AQ135-1</f>
        <v>2.9150210699370627E-2</v>
      </c>
      <c r="BI135" s="1"/>
      <c r="BJ135" s="16">
        <f>AS135/'2017-18 disagg'!AS135-1</f>
        <v>1.5355505120471902E-2</v>
      </c>
      <c r="BK135" s="16">
        <f>AT135/'2017-18 disagg'!AT135-1</f>
        <v>1.546325637240753E-2</v>
      </c>
      <c r="BL135" s="16">
        <f>AU135/'2017-18 disagg'!AU135-1</f>
        <v>3.7299974125292845E-2</v>
      </c>
      <c r="BM135" s="16">
        <f>AW135/'2017-18 disagg'!AW135-1</f>
        <v>1.8517498444791336E-2</v>
      </c>
    </row>
    <row r="136" spans="1:65" x14ac:dyDescent="0.2">
      <c r="A136" s="156" t="s">
        <v>317</v>
      </c>
      <c r="B136" s="156" t="s">
        <v>318</v>
      </c>
      <c r="D136" s="56">
        <f>VLOOKUP(A136,'2018-19'!$A$12:$AMX344,32,FALSE)</f>
        <v>506670.27223073709</v>
      </c>
      <c r="E136" s="56">
        <v>1620.2709281176544</v>
      </c>
      <c r="F136" s="16">
        <f>VLOOKUP(A136,'2018-19'!$A$12:$AMX344,34,FALSE)</f>
        <v>3.2095789141758146E-2</v>
      </c>
      <c r="G136" s="16">
        <f>VLOOKUP(A136,'2018-19'!$A$12:$AMX344,35,FALSE)</f>
        <v>2.134239261281623E-2</v>
      </c>
      <c r="H136" s="56"/>
      <c r="I136" s="56">
        <v>521258.45732451318</v>
      </c>
      <c r="J136" s="56">
        <v>1666.9221991649531</v>
      </c>
      <c r="K136" s="16">
        <f t="shared" si="23"/>
        <v>-2.7986471756551445E-2</v>
      </c>
      <c r="L136" s="58">
        <f t="shared" si="23"/>
        <v>-2.7986471756551556E-2</v>
      </c>
      <c r="M136" s="10"/>
      <c r="N136" s="56">
        <v>391301</v>
      </c>
      <c r="O136" s="56">
        <v>40249</v>
      </c>
      <c r="P136" s="56">
        <v>72256</v>
      </c>
      <c r="R136" s="56">
        <f t="shared" si="24"/>
        <v>72256</v>
      </c>
      <c r="S136" s="56">
        <f t="shared" si="25"/>
        <v>2864.2722307370859</v>
      </c>
      <c r="U136" s="16">
        <v>-7.5767632619451186E-3</v>
      </c>
      <c r="V136" s="16">
        <v>-5.8582554895418859E-3</v>
      </c>
      <c r="W136" s="56">
        <f t="shared" si="26"/>
        <v>4</v>
      </c>
      <c r="X136" s="56">
        <f t="shared" si="27"/>
        <v>3942.8843009172906</v>
      </c>
      <c r="Y136" s="56">
        <f t="shared" si="27"/>
        <v>404.86178376726025</v>
      </c>
      <c r="AA136" s="56">
        <f t="shared" si="39"/>
        <v>0</v>
      </c>
      <c r="AB136" s="56">
        <v>0</v>
      </c>
      <c r="AC136" s="56">
        <f t="shared" si="28"/>
        <v>2864.2722307370859</v>
      </c>
      <c r="AE136" s="56">
        <v>0</v>
      </c>
      <c r="AF136" s="56">
        <f t="shared" si="29"/>
        <v>0</v>
      </c>
      <c r="AG136" s="56">
        <f t="shared" si="30"/>
        <v>2864.2722307370859</v>
      </c>
      <c r="AI136" s="56">
        <f t="shared" si="31"/>
        <v>2597.5514190925896</v>
      </c>
      <c r="AJ136" s="56">
        <f t="shared" si="32"/>
        <v>266.72081164449673</v>
      </c>
      <c r="AK136" s="56">
        <f t="shared" si="33"/>
        <v>0</v>
      </c>
      <c r="AM136" s="56">
        <f t="shared" si="34"/>
        <v>393899</v>
      </c>
      <c r="AN136" s="56">
        <f t="shared" si="35"/>
        <v>40516</v>
      </c>
      <c r="AO136" s="56">
        <f t="shared" si="36"/>
        <v>72256</v>
      </c>
      <c r="AP136" s="56"/>
      <c r="AQ136" s="56">
        <f t="shared" si="37"/>
        <v>506671</v>
      </c>
      <c r="AR136" s="1"/>
      <c r="AS136" s="56">
        <v>1259.6418880166111</v>
      </c>
      <c r="AT136" s="56">
        <v>129.56532190962915</v>
      </c>
      <c r="AU136" s="56">
        <v>231.06604551046905</v>
      </c>
      <c r="AV136" s="56"/>
      <c r="AW136" s="56">
        <v>1620.2732554367092</v>
      </c>
      <c r="AX136" s="1"/>
      <c r="AY136" s="16">
        <v>-9.8767821221246166E-4</v>
      </c>
      <c r="AZ136" s="16">
        <v>7.3658775586271652E-4</v>
      </c>
      <c r="BA136" s="16">
        <v>-0.16451451969648834</v>
      </c>
      <c r="BB136" s="16">
        <f t="shared" si="38"/>
        <v>-2.7985075579179841E-2</v>
      </c>
      <c r="BC136" s="16"/>
      <c r="BD136" s="1"/>
      <c r="BE136" s="16">
        <f>AM136/'2017-18 disagg'!AM136-1</f>
        <v>2.9464880757922307E-2</v>
      </c>
      <c r="BF136" s="16">
        <f>AN136/'2017-18 disagg'!AN136-1</f>
        <v>2.9448382752750524E-2</v>
      </c>
      <c r="BG136" s="16">
        <f>AO136/'2017-18 disagg'!AO136-1</f>
        <v>4.8221435617710195E-2</v>
      </c>
      <c r="BH136" s="16">
        <f>AQ136/'2017-18 disagg'!AQ136-1</f>
        <v>3.2097271619876411E-2</v>
      </c>
      <c r="BI136" s="1"/>
      <c r="BJ136" s="16">
        <f>AS136/'2017-18 disagg'!AS136-1</f>
        <v>1.8738895639219821E-2</v>
      </c>
      <c r="BK136" s="16">
        <f>AT136/'2017-18 disagg'!AT136-1</f>
        <v>1.8722569526611998E-2</v>
      </c>
      <c r="BL136" s="16">
        <f>AU136/'2017-18 disagg'!AU136-1</f>
        <v>3.730002612653549E-2</v>
      </c>
      <c r="BM136" s="16">
        <f>AW136/'2017-18 disagg'!AW136-1</f>
        <v>2.1343859645008401E-2</v>
      </c>
    </row>
    <row r="137" spans="1:65" x14ac:dyDescent="0.2">
      <c r="A137" s="156" t="s">
        <v>319</v>
      </c>
      <c r="B137" s="156" t="s">
        <v>320</v>
      </c>
      <c r="D137" s="56">
        <f>VLOOKUP(A137,'2018-19'!$A$12:$AMX345,32,FALSE)</f>
        <v>311438.78245132079</v>
      </c>
      <c r="E137" s="56">
        <v>1778.4180437592295</v>
      </c>
      <c r="F137" s="16">
        <f>VLOOKUP(A137,'2018-19'!$A$12:$AMX345,34,FALSE)</f>
        <v>2.5431020698091222E-2</v>
      </c>
      <c r="G137" s="16">
        <f>VLOOKUP(A137,'2018-19'!$A$12:$AMX345,35,FALSE)</f>
        <v>1.9000953925123687E-2</v>
      </c>
      <c r="H137" s="56"/>
      <c r="I137" s="56">
        <v>318318.066768502</v>
      </c>
      <c r="J137" s="56">
        <v>1817.7010234238999</v>
      </c>
      <c r="K137" s="16">
        <f t="shared" si="23"/>
        <v>-2.1611353659621857E-2</v>
      </c>
      <c r="L137" s="58">
        <f t="shared" si="23"/>
        <v>-2.1611353659621857E-2</v>
      </c>
      <c r="M137" s="10"/>
      <c r="N137" s="56">
        <v>245096</v>
      </c>
      <c r="O137" s="56">
        <v>28370</v>
      </c>
      <c r="P137" s="56">
        <v>36853</v>
      </c>
      <c r="R137" s="56">
        <f t="shared" si="24"/>
        <v>36853</v>
      </c>
      <c r="S137" s="56">
        <f t="shared" si="25"/>
        <v>1119.7824513207888</v>
      </c>
      <c r="U137" s="16">
        <v>-2.9982277927308454E-3</v>
      </c>
      <c r="V137" s="16">
        <v>0.17118647304207002</v>
      </c>
      <c r="W137" s="56">
        <f t="shared" si="26"/>
        <v>1</v>
      </c>
      <c r="X137" s="56">
        <f t="shared" si="27"/>
        <v>2458.3306352342811</v>
      </c>
      <c r="Y137" s="56">
        <f t="shared" si="27"/>
        <v>242.23298896469518</v>
      </c>
      <c r="AA137" s="56">
        <f t="shared" si="39"/>
        <v>734.85363908715931</v>
      </c>
      <c r="AB137" s="56">
        <v>0</v>
      </c>
      <c r="AC137" s="56">
        <f t="shared" si="28"/>
        <v>384.92881223362951</v>
      </c>
      <c r="AE137" s="56">
        <v>0</v>
      </c>
      <c r="AF137" s="56">
        <f t="shared" si="29"/>
        <v>0</v>
      </c>
      <c r="AG137" s="56">
        <f t="shared" si="30"/>
        <v>384.92881223362951</v>
      </c>
      <c r="AI137" s="56">
        <f t="shared" si="31"/>
        <v>350.40177651024823</v>
      </c>
      <c r="AJ137" s="56">
        <f t="shared" si="32"/>
        <v>34.527035723381253</v>
      </c>
      <c r="AK137" s="56">
        <f t="shared" si="33"/>
        <v>0</v>
      </c>
      <c r="AM137" s="56">
        <f t="shared" si="34"/>
        <v>246181</v>
      </c>
      <c r="AN137" s="56">
        <f t="shared" si="35"/>
        <v>28405</v>
      </c>
      <c r="AO137" s="56">
        <f t="shared" si="36"/>
        <v>36853</v>
      </c>
      <c r="AP137" s="56"/>
      <c r="AQ137" s="56">
        <f t="shared" si="37"/>
        <v>311439</v>
      </c>
      <c r="AR137" s="1"/>
      <c r="AS137" s="56">
        <v>1405.774608366647</v>
      </c>
      <c r="AT137" s="56">
        <v>162.201907339131</v>
      </c>
      <c r="AU137" s="56">
        <v>210.44277032807588</v>
      </c>
      <c r="AV137" s="56"/>
      <c r="AW137" s="56">
        <v>1778.419286033854</v>
      </c>
      <c r="AX137" s="1"/>
      <c r="AY137" s="16">
        <v>1.4153363733302449E-3</v>
      </c>
      <c r="AZ137" s="16">
        <v>0.17263136294536463</v>
      </c>
      <c r="BA137" s="16">
        <v>-0.23639248763775367</v>
      </c>
      <c r="BB137" s="16">
        <f t="shared" si="38"/>
        <v>-2.1610670227853679E-2</v>
      </c>
      <c r="BC137" s="16"/>
      <c r="BD137" s="1"/>
      <c r="BE137" s="16">
        <f>AM137/'2017-18 disagg'!AM137-1</f>
        <v>2.4384052995784833E-2</v>
      </c>
      <c r="BF137" s="16">
        <f>AN137/'2017-18 disagg'!AN137-1</f>
        <v>1.1249955498593867E-2</v>
      </c>
      <c r="BG137" s="16">
        <f>AO137/'2017-18 disagg'!AO137-1</f>
        <v>4.3846480668460641E-2</v>
      </c>
      <c r="BH137" s="16">
        <f>AQ137/'2017-18 disagg'!AQ137-1</f>
        <v>2.543173699027057E-2</v>
      </c>
      <c r="BI137" s="1"/>
      <c r="BJ137" s="16">
        <f>AS137/'2017-18 disagg'!AS137-1</f>
        <v>1.7960551337485198E-2</v>
      </c>
      <c r="BK137" s="16">
        <f>AT137/'2017-18 disagg'!AT137-1</f>
        <v>4.9088124994383087E-3</v>
      </c>
      <c r="BL137" s="16">
        <f>AU137/'2017-18 disagg'!AU137-1</f>
        <v>3.7300937929899858E-2</v>
      </c>
      <c r="BM137" s="16">
        <f>AW137/'2017-18 disagg'!AW137-1</f>
        <v>1.9001665725721928E-2</v>
      </c>
    </row>
    <row r="138" spans="1:65" x14ac:dyDescent="0.2">
      <c r="A138" s="156" t="s">
        <v>321</v>
      </c>
      <c r="B138" s="156" t="s">
        <v>322</v>
      </c>
      <c r="D138" s="56">
        <f>VLOOKUP(A138,'2018-19'!$A$12:$AMX346,32,FALSE)</f>
        <v>410285.01714290044</v>
      </c>
      <c r="E138" s="56">
        <v>1635.9464251128525</v>
      </c>
      <c r="F138" s="16">
        <f>VLOOKUP(A138,'2018-19'!$A$12:$AMX346,34,FALSE)</f>
        <v>2.7284287817612052E-2</v>
      </c>
      <c r="G138" s="16">
        <f>VLOOKUP(A138,'2018-19'!$A$12:$AMX346,35,FALSE)</f>
        <v>1.9961056238996022E-2</v>
      </c>
      <c r="H138" s="56"/>
      <c r="I138" s="56">
        <v>420744.46735756501</v>
      </c>
      <c r="J138" s="56">
        <v>1677.6518237317998</v>
      </c>
      <c r="K138" s="16">
        <f t="shared" si="23"/>
        <v>-2.4859388598390542E-2</v>
      </c>
      <c r="L138" s="58">
        <f t="shared" si="23"/>
        <v>-2.4859388598390542E-2</v>
      </c>
      <c r="M138" s="10"/>
      <c r="N138" s="56">
        <v>306290</v>
      </c>
      <c r="O138" s="56">
        <v>34527</v>
      </c>
      <c r="P138" s="56">
        <v>68031</v>
      </c>
      <c r="R138" s="56">
        <f t="shared" si="24"/>
        <v>68031</v>
      </c>
      <c r="S138" s="56">
        <f t="shared" si="25"/>
        <v>1437.0171429004404</v>
      </c>
      <c r="U138" s="16">
        <v>-1.2045974652648894E-2</v>
      </c>
      <c r="V138" s="16">
        <v>4.6603795598266329E-2</v>
      </c>
      <c r="W138" s="56">
        <f t="shared" si="26"/>
        <v>1</v>
      </c>
      <c r="X138" s="56">
        <f t="shared" si="27"/>
        <v>3100.2454784504025</v>
      </c>
      <c r="Y138" s="56">
        <f t="shared" si="27"/>
        <v>329.89561231491098</v>
      </c>
      <c r="AA138" s="56">
        <f t="shared" si="39"/>
        <v>1437.0171429004404</v>
      </c>
      <c r="AB138" s="56">
        <v>0</v>
      </c>
      <c r="AC138" s="56">
        <f t="shared" si="28"/>
        <v>0</v>
      </c>
      <c r="AE138" s="56">
        <v>0</v>
      </c>
      <c r="AF138" s="56">
        <f t="shared" si="29"/>
        <v>0</v>
      </c>
      <c r="AG138" s="56">
        <f t="shared" si="30"/>
        <v>0</v>
      </c>
      <c r="AI138" s="56">
        <f t="shared" si="31"/>
        <v>0</v>
      </c>
      <c r="AJ138" s="56">
        <f t="shared" si="32"/>
        <v>0</v>
      </c>
      <c r="AK138" s="56">
        <f t="shared" si="33"/>
        <v>0</v>
      </c>
      <c r="AM138" s="56">
        <f t="shared" si="34"/>
        <v>307727</v>
      </c>
      <c r="AN138" s="56">
        <f t="shared" si="35"/>
        <v>34527</v>
      </c>
      <c r="AO138" s="56">
        <f t="shared" si="36"/>
        <v>68031</v>
      </c>
      <c r="AP138" s="56"/>
      <c r="AQ138" s="56">
        <f t="shared" si="37"/>
        <v>410285</v>
      </c>
      <c r="AR138" s="1"/>
      <c r="AS138" s="56">
        <v>1227.0125998419339</v>
      </c>
      <c r="AT138" s="56">
        <v>137.67093571491111</v>
      </c>
      <c r="AU138" s="56">
        <v>271.26282120141104</v>
      </c>
      <c r="AV138" s="56"/>
      <c r="AW138" s="56">
        <v>1635.9463567582561</v>
      </c>
      <c r="AX138" s="1"/>
      <c r="AY138" s="16">
        <v>-7.4108578208093023E-3</v>
      </c>
      <c r="AZ138" s="16">
        <v>4.6603795598266329E-2</v>
      </c>
      <c r="BA138" s="16">
        <v>-0.12478211210561596</v>
      </c>
      <c r="BB138" s="16">
        <f t="shared" si="38"/>
        <v>-2.4859429342599437E-2</v>
      </c>
      <c r="BC138" s="16"/>
      <c r="BD138" s="1"/>
      <c r="BE138" s="16">
        <f>AM138/'2017-18 disagg'!AM138-1</f>
        <v>2.4653456445227206E-2</v>
      </c>
      <c r="BF138" s="16">
        <f>AN138/'2017-18 disagg'!AN138-1</f>
        <v>1.7055496641922963E-2</v>
      </c>
      <c r="BG138" s="16">
        <f>AO138/'2017-18 disagg'!AO138-1</f>
        <v>4.4750218836862921E-2</v>
      </c>
      <c r="BH138" s="16">
        <f>AQ138/'2017-18 disagg'!AQ138-1</f>
        <v>2.7284244894688836E-2</v>
      </c>
      <c r="BI138" s="1"/>
      <c r="BJ138" s="16">
        <f>AS138/'2017-18 disagg'!AS138-1</f>
        <v>1.7348979351238913E-2</v>
      </c>
      <c r="BK138" s="16">
        <f>AT138/'2017-18 disagg'!AT138-1</f>
        <v>9.8051833464316562E-3</v>
      </c>
      <c r="BL138" s="16">
        <f>AU138/'2017-18 disagg'!AU138-1</f>
        <v>3.7302477364435482E-2</v>
      </c>
      <c r="BM138" s="16">
        <f>AW138/'2017-18 disagg'!AW138-1</f>
        <v>1.996101362205871E-2</v>
      </c>
    </row>
    <row r="139" spans="1:65" x14ac:dyDescent="0.2">
      <c r="A139" s="156" t="s">
        <v>323</v>
      </c>
      <c r="B139" s="156" t="s">
        <v>324</v>
      </c>
      <c r="D139" s="56">
        <f>VLOOKUP(A139,'2018-19'!$A$12:$AMX347,32,FALSE)</f>
        <v>366969</v>
      </c>
      <c r="E139" s="56">
        <v>1619.7294960137667</v>
      </c>
      <c r="F139" s="16">
        <f>VLOOKUP(A139,'2018-19'!$A$12:$AMX347,34,FALSE)</f>
        <v>3.4942847715177638E-2</v>
      </c>
      <c r="G139" s="16">
        <f>VLOOKUP(A139,'2018-19'!$A$12:$AMX347,35,FALSE)</f>
        <v>1.5886170123294185E-2</v>
      </c>
      <c r="H139" s="56"/>
      <c r="I139" s="56">
        <v>371676.58818153618</v>
      </c>
      <c r="J139" s="56">
        <v>1640.5078708430303</v>
      </c>
      <c r="K139" s="16">
        <f t="shared" si="23"/>
        <v>-1.2665818432547771E-2</v>
      </c>
      <c r="L139" s="58">
        <f t="shared" si="23"/>
        <v>-1.2665818432547882E-2</v>
      </c>
      <c r="M139" s="10"/>
      <c r="N139" s="56">
        <v>278683</v>
      </c>
      <c r="O139" s="56">
        <v>30980</v>
      </c>
      <c r="P139" s="56">
        <v>57306</v>
      </c>
      <c r="R139" s="56">
        <f t="shared" si="24"/>
        <v>57306</v>
      </c>
      <c r="S139" s="56">
        <f t="shared" si="25"/>
        <v>0</v>
      </c>
      <c r="U139" s="16">
        <v>1.3075463570858314E-2</v>
      </c>
      <c r="V139" s="16">
        <v>-2.328336700850131E-2</v>
      </c>
      <c r="W139" s="56">
        <f t="shared" si="26"/>
        <v>3</v>
      </c>
      <c r="X139" s="56">
        <f t="shared" si="27"/>
        <v>2750.8612144025915</v>
      </c>
      <c r="Y139" s="56">
        <f t="shared" si="27"/>
        <v>317.18513797716446</v>
      </c>
      <c r="AA139" s="56">
        <f t="shared" si="39"/>
        <v>0</v>
      </c>
      <c r="AB139" s="56">
        <v>0</v>
      </c>
      <c r="AC139" s="56">
        <f t="shared" si="28"/>
        <v>0</v>
      </c>
      <c r="AE139" s="56">
        <v>0</v>
      </c>
      <c r="AF139" s="56">
        <f t="shared" si="29"/>
        <v>0</v>
      </c>
      <c r="AG139" s="56">
        <f t="shared" si="30"/>
        <v>0</v>
      </c>
      <c r="AI139" s="56">
        <f t="shared" si="31"/>
        <v>0</v>
      </c>
      <c r="AJ139" s="56">
        <f t="shared" si="32"/>
        <v>0</v>
      </c>
      <c r="AK139" s="56">
        <f t="shared" si="33"/>
        <v>0</v>
      </c>
      <c r="AM139" s="56">
        <f t="shared" si="34"/>
        <v>278683</v>
      </c>
      <c r="AN139" s="56">
        <f t="shared" si="35"/>
        <v>30980</v>
      </c>
      <c r="AO139" s="56">
        <f t="shared" si="36"/>
        <v>57306</v>
      </c>
      <c r="AP139" s="56"/>
      <c r="AQ139" s="56">
        <f t="shared" si="37"/>
        <v>366969</v>
      </c>
      <c r="AR139" s="1"/>
      <c r="AS139" s="56">
        <v>1230.0523344958417</v>
      </c>
      <c r="AT139" s="56">
        <v>136.73966952659896</v>
      </c>
      <c r="AU139" s="56">
        <v>252.93749199132603</v>
      </c>
      <c r="AV139" s="56"/>
      <c r="AW139" s="56">
        <v>1619.7294960137667</v>
      </c>
      <c r="AX139" s="1"/>
      <c r="AY139" s="16">
        <v>1.3075463570858314E-2</v>
      </c>
      <c r="AZ139" s="16">
        <v>-2.328336700850131E-2</v>
      </c>
      <c r="BA139" s="16">
        <v>-0.11662902996219371</v>
      </c>
      <c r="BB139" s="16">
        <f t="shared" si="38"/>
        <v>-1.2665818432547771E-2</v>
      </c>
      <c r="BC139" s="16"/>
      <c r="BD139" s="1"/>
      <c r="BE139" s="16">
        <f>AM139/'2017-18 disagg'!AM139-1</f>
        <v>3.1002245628054537E-2</v>
      </c>
      <c r="BF139" s="16">
        <f>AN139/'2017-18 disagg'!AN139-1</f>
        <v>3.1017039403620883E-2</v>
      </c>
      <c r="BG139" s="16">
        <f>AO139/'2017-18 disagg'!AO139-1</f>
        <v>5.6760345209116991E-2</v>
      </c>
      <c r="BH139" s="16">
        <f>AQ139/'2017-18 disagg'!AQ139-1</f>
        <v>3.4942847715177638E-2</v>
      </c>
      <c r="BI139" s="1"/>
      <c r="BJ139" s="16">
        <f>AS139/'2017-18 disagg'!AS139-1</f>
        <v>1.2018127389238575E-2</v>
      </c>
      <c r="BK139" s="16">
        <f>AT139/'2017-18 disagg'!AT139-1</f>
        <v>1.2032648763085296E-2</v>
      </c>
      <c r="BL139" s="16">
        <f>AU139/'2017-18 disagg'!AU139-1</f>
        <v>3.7301936239968025E-2</v>
      </c>
      <c r="BM139" s="16">
        <f>AW139/'2017-18 disagg'!AW139-1</f>
        <v>1.5886170123294185E-2</v>
      </c>
    </row>
    <row r="140" spans="1:65" x14ac:dyDescent="0.2">
      <c r="A140" s="156" t="s">
        <v>325</v>
      </c>
      <c r="B140" s="156" t="s">
        <v>326</v>
      </c>
      <c r="D140" s="56">
        <f>VLOOKUP(A140,'2018-19'!$A$12:$AMX348,32,FALSE)</f>
        <v>665347.02671773289</v>
      </c>
      <c r="E140" s="56">
        <v>1583.4767515191195</v>
      </c>
      <c r="F140" s="16">
        <f>VLOOKUP(A140,'2018-19'!$A$12:$AMX348,34,FALSE)</f>
        <v>3.3730234150201044E-2</v>
      </c>
      <c r="G140" s="16">
        <f>VLOOKUP(A140,'2018-19'!$A$12:$AMX348,35,FALSE)</f>
        <v>1.8295133002943276E-2</v>
      </c>
      <c r="H140" s="56"/>
      <c r="I140" s="56">
        <v>679619.39630921441</v>
      </c>
      <c r="J140" s="56">
        <v>1617.4439363560139</v>
      </c>
      <c r="K140" s="16">
        <f t="shared" si="23"/>
        <v>-2.1000533046864112E-2</v>
      </c>
      <c r="L140" s="58">
        <f t="shared" si="23"/>
        <v>-2.1000533046864112E-2</v>
      </c>
      <c r="M140" s="10"/>
      <c r="N140" s="56">
        <v>482830</v>
      </c>
      <c r="O140" s="56">
        <v>51244</v>
      </c>
      <c r="P140" s="56">
        <v>131003</v>
      </c>
      <c r="R140" s="56">
        <f t="shared" si="24"/>
        <v>131003</v>
      </c>
      <c r="S140" s="56">
        <f t="shared" si="25"/>
        <v>270.0267177328933</v>
      </c>
      <c r="U140" s="16">
        <v>-1.0605974981089616E-2</v>
      </c>
      <c r="V140" s="16">
        <v>-4.8606359497365026E-2</v>
      </c>
      <c r="W140" s="56">
        <f t="shared" si="26"/>
        <v>4</v>
      </c>
      <c r="X140" s="56">
        <f t="shared" si="27"/>
        <v>4880.0577706214835</v>
      </c>
      <c r="Y140" s="56">
        <f t="shared" si="27"/>
        <v>538.62037560948022</v>
      </c>
      <c r="AA140" s="56">
        <f t="shared" si="39"/>
        <v>0</v>
      </c>
      <c r="AB140" s="56">
        <v>0</v>
      </c>
      <c r="AC140" s="56">
        <f t="shared" si="28"/>
        <v>270.0267177328933</v>
      </c>
      <c r="AE140" s="56">
        <v>0</v>
      </c>
      <c r="AF140" s="56">
        <f t="shared" si="29"/>
        <v>0</v>
      </c>
      <c r="AG140" s="56">
        <f t="shared" si="30"/>
        <v>270.0267177328933</v>
      </c>
      <c r="AI140" s="56">
        <f t="shared" si="31"/>
        <v>243.18587422735123</v>
      </c>
      <c r="AJ140" s="56">
        <f t="shared" si="32"/>
        <v>26.840843505542065</v>
      </c>
      <c r="AK140" s="56">
        <f t="shared" si="33"/>
        <v>0</v>
      </c>
      <c r="AM140" s="56">
        <f t="shared" si="34"/>
        <v>483073</v>
      </c>
      <c r="AN140" s="56">
        <f t="shared" si="35"/>
        <v>51271</v>
      </c>
      <c r="AO140" s="56">
        <f t="shared" si="36"/>
        <v>131003</v>
      </c>
      <c r="AP140" s="56"/>
      <c r="AQ140" s="56">
        <f t="shared" si="37"/>
        <v>665347</v>
      </c>
      <c r="AR140" s="1"/>
      <c r="AS140" s="56">
        <v>1149.6780387824772</v>
      </c>
      <c r="AT140" s="56">
        <v>122.021190847794</v>
      </c>
      <c r="AU140" s="56">
        <v>311.77745830261858</v>
      </c>
      <c r="AV140" s="56"/>
      <c r="AW140" s="56">
        <v>1583.4766879328897</v>
      </c>
      <c r="AX140" s="1"/>
      <c r="AY140" s="16">
        <v>-1.0108030056209971E-2</v>
      </c>
      <c r="AZ140" s="16">
        <v>-4.8105078795359524E-2</v>
      </c>
      <c r="BA140" s="16">
        <v>-4.8990956063905466E-2</v>
      </c>
      <c r="BB140" s="16">
        <f t="shared" si="38"/>
        <v>-2.1000572359651581E-2</v>
      </c>
      <c r="BC140" s="16"/>
      <c r="BD140" s="1"/>
      <c r="BE140" s="16">
        <f>AM140/'2017-18 disagg'!AM140-1</f>
        <v>2.7876128790651267E-2</v>
      </c>
      <c r="BF140" s="16">
        <f>AN140/'2017-18 disagg'!AN140-1</f>
        <v>4.0866458240285786E-2</v>
      </c>
      <c r="BG140" s="16">
        <f>AO140/'2017-18 disagg'!AO140-1</f>
        <v>5.301952462482018E-2</v>
      </c>
      <c r="BH140" s="16">
        <f>AQ140/'2017-18 disagg'!AQ140-1</f>
        <v>3.3730192639640055E-2</v>
      </c>
      <c r="BI140" s="1"/>
      <c r="BJ140" s="16">
        <f>AS140/'2017-18 disagg'!AS140-1</f>
        <v>1.2528437980603879E-2</v>
      </c>
      <c r="BK140" s="16">
        <f>AT140/'2017-18 disagg'!AT140-1</f>
        <v>2.5324802851891537E-2</v>
      </c>
      <c r="BL140" s="16">
        <f>AU140/'2017-18 disagg'!AU140-1</f>
        <v>3.7296406217644407E-2</v>
      </c>
      <c r="BM140" s="16">
        <f>AW140/'2017-18 disagg'!AW140-1</f>
        <v>1.8295092112195599E-2</v>
      </c>
    </row>
    <row r="141" spans="1:65" x14ac:dyDescent="0.2">
      <c r="A141" s="156" t="s">
        <v>327</v>
      </c>
      <c r="B141" s="156" t="s">
        <v>328</v>
      </c>
      <c r="D141" s="56">
        <f>VLOOKUP(A141,'2018-19'!$A$12:$AMX349,32,FALSE)</f>
        <v>411682.28752305731</v>
      </c>
      <c r="E141" s="56">
        <v>1706.184144890746</v>
      </c>
      <c r="F141" s="16">
        <f>VLOOKUP(A141,'2018-19'!$A$12:$AMX349,34,FALSE)</f>
        <v>3.0318462747410457E-2</v>
      </c>
      <c r="G141" s="16">
        <f>VLOOKUP(A141,'2018-19'!$A$12:$AMX349,35,FALSE)</f>
        <v>2.029629151520207E-2</v>
      </c>
      <c r="H141" s="56"/>
      <c r="I141" s="56">
        <v>422446.94877882337</v>
      </c>
      <c r="J141" s="56">
        <v>1750.7974180782137</v>
      </c>
      <c r="K141" s="16">
        <f t="shared" ref="K141:L163" si="40">D141/I141-1</f>
        <v>-2.5481687787978324E-2</v>
      </c>
      <c r="L141" s="58">
        <f t="shared" si="40"/>
        <v>-2.5481687787978435E-2</v>
      </c>
      <c r="M141" s="10"/>
      <c r="N141" s="56">
        <v>307709</v>
      </c>
      <c r="O141" s="56">
        <v>29176</v>
      </c>
      <c r="P141" s="56">
        <v>73243</v>
      </c>
      <c r="R141" s="56">
        <f t="shared" ref="R141:R204" si="41">ROUND(P141,0)</f>
        <v>73243</v>
      </c>
      <c r="S141" s="56">
        <f t="shared" ref="S141:S204" si="42">D141-SUM(N141:P141)</f>
        <v>1554.2875230573118</v>
      </c>
      <c r="U141" s="16">
        <v>-2.9771227775519438E-2</v>
      </c>
      <c r="V141" s="16">
        <v>-4.1981735282311528E-2</v>
      </c>
      <c r="W141" s="56">
        <f t="shared" ref="W141:W204" si="43">IF(AND(U141&lt;0,V141&gt;0),1,IF(AND(U141&gt;0,V141&gt;0),2,IF(AND(U141&gt;0,V141&lt;0),3,IF(AND(U141&lt;0,V141&lt;0),4,5))))</f>
        <v>4</v>
      </c>
      <c r="X141" s="56">
        <f t="shared" ref="X141:Y204" si="44">N141/(1+U141)/100</f>
        <v>3171.5097388268937</v>
      </c>
      <c r="Y141" s="56">
        <f t="shared" si="44"/>
        <v>304.54534192620707</v>
      </c>
      <c r="AA141" s="56">
        <f t="shared" si="39"/>
        <v>0</v>
      </c>
      <c r="AB141" s="56">
        <v>0</v>
      </c>
      <c r="AC141" s="56">
        <f t="shared" ref="AC141:AC204" si="45">S141-AA141-AB141</f>
        <v>1554.2875230573118</v>
      </c>
      <c r="AE141" s="56">
        <v>0</v>
      </c>
      <c r="AF141" s="56">
        <f t="shared" ref="AF141:AF204" si="46">IF(W141=3,MIN(S141,-1*V141*O141),0)</f>
        <v>0</v>
      </c>
      <c r="AG141" s="56">
        <f t="shared" ref="AG141:AG204" si="47">AC141-AE141-AF141</f>
        <v>1554.2875230573118</v>
      </c>
      <c r="AI141" s="56">
        <f t="shared" ref="AI141:AI204" si="48">AG141*X141/(X141+Y141)</f>
        <v>1418.1127461436579</v>
      </c>
      <c r="AJ141" s="56">
        <f t="shared" ref="AJ141:AJ204" si="49">AG141*Y141/(X141+Y141)</f>
        <v>136.17477691365383</v>
      </c>
      <c r="AK141" s="56">
        <f t="shared" ref="AK141:AK204" si="50">S141-SUM(AA141:AB141)-SUM(AE141:AF141)-SUM(AI141:AJ141)</f>
        <v>0</v>
      </c>
      <c r="AM141" s="56">
        <f t="shared" ref="AM141:AM204" si="51">ROUND(N141+AA141+AE141+AI141,0)</f>
        <v>309127</v>
      </c>
      <c r="AN141" s="56">
        <f t="shared" ref="AN141:AN204" si="52">ROUND(O141+AB141+AF141+AJ141,0)</f>
        <v>29312</v>
      </c>
      <c r="AO141" s="56">
        <f t="shared" ref="AO141:AO204" si="53">R141</f>
        <v>73243</v>
      </c>
      <c r="AP141" s="56"/>
      <c r="AQ141" s="56">
        <f t="shared" ref="AQ141:AQ204" si="54">SUM(AM141:AP141)</f>
        <v>411682</v>
      </c>
      <c r="AR141" s="1"/>
      <c r="AS141" s="56">
        <v>1281.1520003228259</v>
      </c>
      <c r="AT141" s="56">
        <v>121.48122756492533</v>
      </c>
      <c r="AU141" s="56">
        <v>303.54972538679812</v>
      </c>
      <c r="AV141" s="56"/>
      <c r="AW141" s="56">
        <v>1706.1829532745494</v>
      </c>
      <c r="AX141" s="1"/>
      <c r="AY141" s="16">
        <v>-2.53001710335512E-2</v>
      </c>
      <c r="AZ141" s="16">
        <v>-3.7516061989138816E-2</v>
      </c>
      <c r="BA141" s="16">
        <v>-2.1357695529212517E-2</v>
      </c>
      <c r="BB141" s="16">
        <f t="shared" ref="BB141:BB204" si="55">SUM(AM141:AO141)/I141-1</f>
        <v>-2.5482368401385846E-2</v>
      </c>
      <c r="BC141" s="16"/>
      <c r="BD141" s="1"/>
      <c r="BE141" s="16">
        <f>AM141/'2017-18 disagg'!AM141-1</f>
        <v>2.6669146487676709E-2</v>
      </c>
      <c r="BF141" s="16">
        <f>AN141/'2017-18 disagg'!AN141-1</f>
        <v>2.6725979894216989E-2</v>
      </c>
      <c r="BG141" s="16">
        <f>AO141/'2017-18 disagg'!AO141-1</f>
        <v>4.7495781013128902E-2</v>
      </c>
      <c r="BH141" s="16">
        <f>AQ141/'2017-18 disagg'!AQ141-1</f>
        <v>3.0317743162615596E-2</v>
      </c>
      <c r="BI141" s="1"/>
      <c r="BJ141" s="16">
        <f>AS141/'2017-18 disagg'!AS141-1</f>
        <v>1.6682473088184935E-2</v>
      </c>
      <c r="BK141" s="16">
        <f>AT141/'2017-18 disagg'!AT141-1</f>
        <v>1.6738753661642347E-2</v>
      </c>
      <c r="BL141" s="16">
        <f>AU141/'2017-18 disagg'!AU141-1</f>
        <v>3.730652161236514E-2</v>
      </c>
      <c r="BM141" s="16">
        <f>AW141/'2017-18 disagg'!AW141-1</f>
        <v>2.0295578929992564E-2</v>
      </c>
    </row>
    <row r="142" spans="1:65" x14ac:dyDescent="0.2">
      <c r="A142" s="156" t="s">
        <v>329</v>
      </c>
      <c r="B142" s="156" t="s">
        <v>330</v>
      </c>
      <c r="D142" s="56">
        <f>VLOOKUP(A142,'2018-19'!$A$12:$AMX350,32,FALSE)</f>
        <v>583178</v>
      </c>
      <c r="E142" s="56">
        <v>1536.0009773253137</v>
      </c>
      <c r="F142" s="16">
        <f>VLOOKUP(A142,'2018-19'!$A$12:$AMX350,34,FALSE)</f>
        <v>2.7210117485424457E-2</v>
      </c>
      <c r="G142" s="16">
        <f>VLOOKUP(A142,'2018-19'!$A$12:$AMX350,35,FALSE)</f>
        <v>1.8345021576952725E-2</v>
      </c>
      <c r="H142" s="56"/>
      <c r="I142" s="56">
        <v>585855.54245051253</v>
      </c>
      <c r="J142" s="56">
        <v>1543.0532114987859</v>
      </c>
      <c r="K142" s="16">
        <f t="shared" si="40"/>
        <v>-4.5703117176513208E-3</v>
      </c>
      <c r="L142" s="58">
        <f t="shared" si="40"/>
        <v>-4.5703117176512098E-3</v>
      </c>
      <c r="M142" s="10"/>
      <c r="N142" s="56">
        <v>423351</v>
      </c>
      <c r="O142" s="56">
        <v>48571</v>
      </c>
      <c r="P142" s="56">
        <v>111256</v>
      </c>
      <c r="R142" s="56">
        <f t="shared" si="41"/>
        <v>111256</v>
      </c>
      <c r="S142" s="56">
        <f t="shared" si="42"/>
        <v>0</v>
      </c>
      <c r="U142" s="16">
        <v>1.4403860785650036E-2</v>
      </c>
      <c r="V142" s="16">
        <v>-4.906888275536736E-2</v>
      </c>
      <c r="W142" s="56">
        <f t="shared" si="43"/>
        <v>3</v>
      </c>
      <c r="X142" s="56">
        <f t="shared" si="44"/>
        <v>4173.3969710260872</v>
      </c>
      <c r="Y142" s="56">
        <f t="shared" si="44"/>
        <v>510.77306357096342</v>
      </c>
      <c r="AA142" s="56">
        <f t="shared" ref="AA142:AA205" si="56">IF(W142=1,MIN(S142,-1*U142*N142),0)</f>
        <v>0</v>
      </c>
      <c r="AB142" s="56">
        <v>0</v>
      </c>
      <c r="AC142" s="56">
        <f t="shared" si="45"/>
        <v>0</v>
      </c>
      <c r="AE142" s="56">
        <v>0</v>
      </c>
      <c r="AF142" s="56">
        <f t="shared" si="46"/>
        <v>0</v>
      </c>
      <c r="AG142" s="56">
        <f t="shared" si="47"/>
        <v>0</v>
      </c>
      <c r="AI142" s="56">
        <f t="shared" si="48"/>
        <v>0</v>
      </c>
      <c r="AJ142" s="56">
        <f t="shared" si="49"/>
        <v>0</v>
      </c>
      <c r="AK142" s="56">
        <f t="shared" si="50"/>
        <v>0</v>
      </c>
      <c r="AM142" s="56">
        <f t="shared" si="51"/>
        <v>423351</v>
      </c>
      <c r="AN142" s="56">
        <f t="shared" si="52"/>
        <v>48571</v>
      </c>
      <c r="AO142" s="56">
        <f t="shared" si="53"/>
        <v>111256</v>
      </c>
      <c r="AP142" s="56"/>
      <c r="AQ142" s="56">
        <f t="shared" si="54"/>
        <v>583178</v>
      </c>
      <c r="AR142" s="1"/>
      <c r="AS142" s="56">
        <v>1115.041290569344</v>
      </c>
      <c r="AT142" s="56">
        <v>127.92852863048299</v>
      </c>
      <c r="AU142" s="56">
        <v>293.03115812548674</v>
      </c>
      <c r="AV142" s="56"/>
      <c r="AW142" s="56">
        <v>1536.0009773253137</v>
      </c>
      <c r="AX142" s="1"/>
      <c r="AY142" s="16">
        <v>1.4403860785650036E-2</v>
      </c>
      <c r="AZ142" s="16">
        <v>-4.906888275536736E-2</v>
      </c>
      <c r="BA142" s="16">
        <v>-5.2644890203303984E-2</v>
      </c>
      <c r="BB142" s="16">
        <f t="shared" si="55"/>
        <v>-4.5703117176513208E-3</v>
      </c>
      <c r="BC142" s="16"/>
      <c r="BD142" s="1"/>
      <c r="BE142" s="16">
        <f>AM142/'2017-18 disagg'!AM142-1</f>
        <v>2.0828862369879797E-2</v>
      </c>
      <c r="BF142" s="16">
        <f>AN142/'2017-18 disagg'!AN142-1</f>
        <v>4.0353845824319334E-2</v>
      </c>
      <c r="BG142" s="16">
        <f>AO142/'2017-18 disagg'!AO142-1</f>
        <v>4.6327471080598093E-2</v>
      </c>
      <c r="BH142" s="16">
        <f>AQ142/'2017-18 disagg'!AQ142-1</f>
        <v>2.7210117485424457E-2</v>
      </c>
      <c r="BI142" s="1"/>
      <c r="BJ142" s="16">
        <f>AS142/'2017-18 disagg'!AS142-1</f>
        <v>1.2018838386472996E-2</v>
      </c>
      <c r="BK142" s="16">
        <f>AT142/'2017-18 disagg'!AT142-1</f>
        <v>3.1375316052282942E-2</v>
      </c>
      <c r="BL142" s="16">
        <f>AU142/'2017-18 disagg'!AU142-1</f>
        <v>3.7297387337356991E-2</v>
      </c>
      <c r="BM142" s="16">
        <f>AW142/'2017-18 disagg'!AW142-1</f>
        <v>1.8345021576952725E-2</v>
      </c>
    </row>
    <row r="143" spans="1:65" x14ac:dyDescent="0.2">
      <c r="A143" s="156" t="s">
        <v>331</v>
      </c>
      <c r="B143" s="156" t="s">
        <v>332</v>
      </c>
      <c r="D143" s="56">
        <f>VLOOKUP(A143,'2018-19'!$A$12:$AMX351,32,FALSE)</f>
        <v>588746.37832847238</v>
      </c>
      <c r="E143" s="56">
        <v>1674.7088860935726</v>
      </c>
      <c r="F143" s="16">
        <f>VLOOKUP(A143,'2018-19'!$A$12:$AMX351,34,FALSE)</f>
        <v>3.0202626710842173E-2</v>
      </c>
      <c r="G143" s="16">
        <f>VLOOKUP(A143,'2018-19'!$A$12:$AMX351,35,FALSE)</f>
        <v>1.8815759721271474E-2</v>
      </c>
      <c r="H143" s="56"/>
      <c r="I143" s="56">
        <v>601785.88741382374</v>
      </c>
      <c r="J143" s="56">
        <v>1711.8002085022724</v>
      </c>
      <c r="K143" s="16">
        <f t="shared" si="40"/>
        <v>-2.1668020733069504E-2</v>
      </c>
      <c r="L143" s="58">
        <f t="shared" si="40"/>
        <v>-2.1668020733069504E-2</v>
      </c>
      <c r="M143" s="10"/>
      <c r="N143" s="56">
        <v>440945</v>
      </c>
      <c r="O143" s="56">
        <v>43824</v>
      </c>
      <c r="P143" s="56">
        <v>103242</v>
      </c>
      <c r="R143" s="56">
        <f t="shared" si="41"/>
        <v>103242</v>
      </c>
      <c r="S143" s="56">
        <f t="shared" si="42"/>
        <v>735.37832847237587</v>
      </c>
      <c r="U143" s="16">
        <v>-2.1336477204969229E-2</v>
      </c>
      <c r="V143" s="16">
        <v>-4.8823535649996641E-2</v>
      </c>
      <c r="W143" s="56">
        <f t="shared" si="43"/>
        <v>4</v>
      </c>
      <c r="X143" s="56">
        <f t="shared" si="44"/>
        <v>4505.5832748386865</v>
      </c>
      <c r="Y143" s="56">
        <f t="shared" si="44"/>
        <v>460.73469689925099</v>
      </c>
      <c r="AA143" s="56">
        <f t="shared" si="56"/>
        <v>0</v>
      </c>
      <c r="AB143" s="56">
        <v>0</v>
      </c>
      <c r="AC143" s="56">
        <f t="shared" si="45"/>
        <v>735.37832847237587</v>
      </c>
      <c r="AE143" s="56">
        <v>0</v>
      </c>
      <c r="AF143" s="56">
        <f t="shared" si="46"/>
        <v>0</v>
      </c>
      <c r="AG143" s="56">
        <f t="shared" si="47"/>
        <v>735.37832847237587</v>
      </c>
      <c r="AI143" s="56">
        <f t="shared" si="48"/>
        <v>667.15589221213145</v>
      </c>
      <c r="AJ143" s="56">
        <f t="shared" si="49"/>
        <v>68.22243626024445</v>
      </c>
      <c r="AK143" s="56">
        <f t="shared" si="50"/>
        <v>0</v>
      </c>
      <c r="AM143" s="56">
        <f t="shared" si="51"/>
        <v>441612</v>
      </c>
      <c r="AN143" s="56">
        <f t="shared" si="52"/>
        <v>43892</v>
      </c>
      <c r="AO143" s="56">
        <f t="shared" si="53"/>
        <v>103242</v>
      </c>
      <c r="AP143" s="56"/>
      <c r="AQ143" s="56">
        <f t="shared" si="54"/>
        <v>588746</v>
      </c>
      <c r="AR143" s="1"/>
      <c r="AS143" s="56">
        <v>1256.1801954608954</v>
      </c>
      <c r="AT143" s="56">
        <v>124.85227108676763</v>
      </c>
      <c r="AU143" s="56">
        <v>293.67534337783798</v>
      </c>
      <c r="AV143" s="56"/>
      <c r="AW143" s="56">
        <v>1674.7078099255011</v>
      </c>
      <c r="AX143" s="1"/>
      <c r="AY143" s="16">
        <v>-1.9856091738064574E-2</v>
      </c>
      <c r="AZ143" s="16">
        <v>-4.7347632045218413E-2</v>
      </c>
      <c r="BA143" s="16">
        <v>-1.8183698186779118E-2</v>
      </c>
      <c r="BB143" s="16">
        <f t="shared" si="55"/>
        <v>-2.1668649409281926E-2</v>
      </c>
      <c r="BC143" s="16"/>
      <c r="BD143" s="1"/>
      <c r="BE143" s="16">
        <f>AM143/'2017-18 disagg'!AM143-1</f>
        <v>2.4878623877909067E-2</v>
      </c>
      <c r="BF143" s="16">
        <f>AN143/'2017-18 disagg'!AN143-1</f>
        <v>4.0958140637969986E-2</v>
      </c>
      <c r="BG143" s="16">
        <f>AO143/'2017-18 disagg'!AO143-1</f>
        <v>4.8898190573916311E-2</v>
      </c>
      <c r="BH143" s="16">
        <f>AQ143/'2017-18 disagg'!AQ143-1</f>
        <v>3.0201964702547324E-2</v>
      </c>
      <c r="BI143" s="1"/>
      <c r="BJ143" s="16">
        <f>AS143/'2017-18 disagg'!AS143-1</f>
        <v>1.3550603284706142E-2</v>
      </c>
      <c r="BK143" s="16">
        <f>AT143/'2017-18 disagg'!AT143-1</f>
        <v>2.9452392562953067E-2</v>
      </c>
      <c r="BL143" s="16">
        <f>AU143/'2017-18 disagg'!AU143-1</f>
        <v>3.7304680839040483E-2</v>
      </c>
      <c r="BM143" s="16">
        <f>AW143/'2017-18 disagg'!AW143-1</f>
        <v>1.8815105030178358E-2</v>
      </c>
    </row>
    <row r="144" spans="1:65" x14ac:dyDescent="0.2">
      <c r="A144" s="156" t="s">
        <v>333</v>
      </c>
      <c r="B144" s="156" t="s">
        <v>334</v>
      </c>
      <c r="D144" s="56">
        <f>VLOOKUP(A144,'2018-19'!$A$12:$AMX352,32,FALSE)</f>
        <v>499843</v>
      </c>
      <c r="E144" s="56">
        <v>1847.9961614777603</v>
      </c>
      <c r="F144" s="16">
        <f>VLOOKUP(A144,'2018-19'!$A$12:$AMX352,34,FALSE)</f>
        <v>1.2477642535797306E-2</v>
      </c>
      <c r="G144" s="16">
        <f>VLOOKUP(A144,'2018-19'!$A$12:$AMX352,35,FALSE)</f>
        <v>4.0448547541749313E-4</v>
      </c>
      <c r="H144" s="56"/>
      <c r="I144" s="56">
        <v>461286.72702035483</v>
      </c>
      <c r="J144" s="56">
        <v>1705.447712330182</v>
      </c>
      <c r="K144" s="16">
        <f t="shared" si="40"/>
        <v>8.3584180339842717E-2</v>
      </c>
      <c r="L144" s="58">
        <f t="shared" si="40"/>
        <v>8.3584180339842939E-2</v>
      </c>
      <c r="M144" s="10"/>
      <c r="N144" s="56">
        <v>355453</v>
      </c>
      <c r="O144" s="56">
        <v>37643</v>
      </c>
      <c r="P144" s="56">
        <v>106747</v>
      </c>
      <c r="R144" s="56">
        <f t="shared" si="41"/>
        <v>106747</v>
      </c>
      <c r="S144" s="56">
        <f t="shared" si="42"/>
        <v>0</v>
      </c>
      <c r="U144" s="16">
        <v>0.1370066857406349</v>
      </c>
      <c r="V144" s="16">
        <v>-4.5951686062832287E-2</v>
      </c>
      <c r="W144" s="56">
        <f t="shared" si="43"/>
        <v>3</v>
      </c>
      <c r="X144" s="56">
        <f t="shared" si="44"/>
        <v>3126.2173253489836</v>
      </c>
      <c r="Y144" s="56">
        <f t="shared" si="44"/>
        <v>394.56073083610221</v>
      </c>
      <c r="AA144" s="56">
        <f t="shared" si="56"/>
        <v>0</v>
      </c>
      <c r="AB144" s="56">
        <v>0</v>
      </c>
      <c r="AC144" s="56">
        <f t="shared" si="45"/>
        <v>0</v>
      </c>
      <c r="AE144" s="56">
        <v>0</v>
      </c>
      <c r="AF144" s="56">
        <f t="shared" si="46"/>
        <v>0</v>
      </c>
      <c r="AG144" s="56">
        <f t="shared" si="47"/>
        <v>0</v>
      </c>
      <c r="AI144" s="56">
        <f t="shared" si="48"/>
        <v>0</v>
      </c>
      <c r="AJ144" s="56">
        <f t="shared" si="49"/>
        <v>0</v>
      </c>
      <c r="AK144" s="56">
        <f t="shared" si="50"/>
        <v>0</v>
      </c>
      <c r="AM144" s="56">
        <f t="shared" si="51"/>
        <v>355453</v>
      </c>
      <c r="AN144" s="56">
        <f t="shared" si="52"/>
        <v>37643</v>
      </c>
      <c r="AO144" s="56">
        <f t="shared" si="53"/>
        <v>106747</v>
      </c>
      <c r="AP144" s="56"/>
      <c r="AQ144" s="56">
        <f t="shared" si="54"/>
        <v>499843</v>
      </c>
      <c r="AR144" s="1"/>
      <c r="AS144" s="56">
        <v>1314.1642067324226</v>
      </c>
      <c r="AT144" s="56">
        <v>139.17193900186123</v>
      </c>
      <c r="AU144" s="56">
        <v>394.66001574347638</v>
      </c>
      <c r="AV144" s="56"/>
      <c r="AW144" s="56">
        <v>1847.9961614777603</v>
      </c>
      <c r="AX144" s="1"/>
      <c r="AY144" s="16">
        <v>0.1370066857406349</v>
      </c>
      <c r="AZ144" s="16">
        <v>-4.5951686062832287E-2</v>
      </c>
      <c r="BA144" s="16">
        <v>-2.2543226050070864E-2</v>
      </c>
      <c r="BB144" s="16">
        <f t="shared" si="55"/>
        <v>8.3584180339842717E-2</v>
      </c>
      <c r="BC144" s="16"/>
      <c r="BD144" s="1"/>
      <c r="BE144" s="16">
        <f>AM144/'2017-18 disagg'!AM144-1</f>
        <v>5.714285714286671E-4</v>
      </c>
      <c r="BF144" s="16">
        <f>AN144/'2017-18 disagg'!AN144-1</f>
        <v>2.4243578580757541E-2</v>
      </c>
      <c r="BG144" s="16">
        <f>AO144/'2017-18 disagg'!AO144-1</f>
        <v>4.9822484043233306E-2</v>
      </c>
      <c r="BH144" s="16">
        <f>AQ144/'2017-18 disagg'!AQ144-1</f>
        <v>1.2477642535797306E-2</v>
      </c>
      <c r="BI144" s="1"/>
      <c r="BJ144" s="16">
        <f>AS144/'2017-18 disagg'!AS144-1</f>
        <v>-1.1359754399699939E-2</v>
      </c>
      <c r="BK144" s="16">
        <f>AT144/'2017-18 disagg'!AT144-1</f>
        <v>1.203012015680649E-2</v>
      </c>
      <c r="BL144" s="16">
        <f>AU144/'2017-18 disagg'!AU144-1</f>
        <v>3.7304013310755835E-2</v>
      </c>
      <c r="BM144" s="16">
        <f>AW144/'2017-18 disagg'!AW144-1</f>
        <v>4.0448547541749313E-4</v>
      </c>
    </row>
    <row r="145" spans="1:65" x14ac:dyDescent="0.2">
      <c r="A145" s="156" t="s">
        <v>335</v>
      </c>
      <c r="B145" s="156" t="s">
        <v>336</v>
      </c>
      <c r="D145" s="56">
        <f>VLOOKUP(A145,'2018-19'!$A$12:$AMX353,32,FALSE)</f>
        <v>364315</v>
      </c>
      <c r="E145" s="56">
        <v>1667.8696261398247</v>
      </c>
      <c r="F145" s="16">
        <f>VLOOKUP(A145,'2018-19'!$A$12:$AMX353,34,FALSE)</f>
        <v>1.1918649867786568E-2</v>
      </c>
      <c r="G145" s="16">
        <f>VLOOKUP(A145,'2018-19'!$A$12:$AMX353,35,FALSE)</f>
        <v>5.9821618959965406E-4</v>
      </c>
      <c r="H145" s="56"/>
      <c r="I145" s="56">
        <v>330397.66764884861</v>
      </c>
      <c r="J145" s="56">
        <v>1512.5927683981038</v>
      </c>
      <c r="K145" s="16">
        <f t="shared" si="40"/>
        <v>0.10265608892614586</v>
      </c>
      <c r="L145" s="58">
        <f t="shared" si="40"/>
        <v>0.10265608892614586</v>
      </c>
      <c r="M145" s="10"/>
      <c r="N145" s="56">
        <v>267633</v>
      </c>
      <c r="O145" s="56">
        <v>29446</v>
      </c>
      <c r="P145" s="56">
        <v>67236</v>
      </c>
      <c r="R145" s="56">
        <f t="shared" si="41"/>
        <v>67236</v>
      </c>
      <c r="S145" s="56">
        <f t="shared" si="42"/>
        <v>0</v>
      </c>
      <c r="U145" s="16">
        <v>0.15023192807870833</v>
      </c>
      <c r="V145" s="16">
        <v>-4.8510358265328235E-2</v>
      </c>
      <c r="W145" s="56">
        <f t="shared" si="43"/>
        <v>3</v>
      </c>
      <c r="X145" s="56">
        <f t="shared" si="44"/>
        <v>2326.7742223695805</v>
      </c>
      <c r="Y145" s="56">
        <f t="shared" si="44"/>
        <v>309.4726280605289</v>
      </c>
      <c r="AA145" s="56">
        <f t="shared" si="56"/>
        <v>0</v>
      </c>
      <c r="AB145" s="56">
        <v>0</v>
      </c>
      <c r="AC145" s="56">
        <f t="shared" si="45"/>
        <v>0</v>
      </c>
      <c r="AE145" s="56">
        <v>0</v>
      </c>
      <c r="AF145" s="56">
        <f t="shared" si="46"/>
        <v>0</v>
      </c>
      <c r="AG145" s="56">
        <f t="shared" si="47"/>
        <v>0</v>
      </c>
      <c r="AI145" s="56">
        <f t="shared" si="48"/>
        <v>0</v>
      </c>
      <c r="AJ145" s="56">
        <f t="shared" si="49"/>
        <v>0</v>
      </c>
      <c r="AK145" s="56">
        <f t="shared" si="50"/>
        <v>0</v>
      </c>
      <c r="AM145" s="56">
        <f t="shared" si="51"/>
        <v>267633</v>
      </c>
      <c r="AN145" s="56">
        <f t="shared" si="52"/>
        <v>29446</v>
      </c>
      <c r="AO145" s="56">
        <f t="shared" si="53"/>
        <v>67236</v>
      </c>
      <c r="AP145" s="56"/>
      <c r="AQ145" s="56">
        <f t="shared" si="54"/>
        <v>364315</v>
      </c>
      <c r="AR145" s="1"/>
      <c r="AS145" s="56">
        <v>1225.249994243113</v>
      </c>
      <c r="AT145" s="56">
        <v>134.80666184843687</v>
      </c>
      <c r="AU145" s="56">
        <v>307.81297004827485</v>
      </c>
      <c r="AV145" s="56"/>
      <c r="AW145" s="56">
        <v>1667.8696261398247</v>
      </c>
      <c r="AX145" s="1"/>
      <c r="AY145" s="16">
        <v>0.15023192807870833</v>
      </c>
      <c r="AZ145" s="16">
        <v>-4.8510358265328235E-2</v>
      </c>
      <c r="BA145" s="16">
        <v>6.9342026683985036E-3</v>
      </c>
      <c r="BB145" s="16">
        <f t="shared" si="55"/>
        <v>0.10265608892614586</v>
      </c>
      <c r="BC145" s="16"/>
      <c r="BD145" s="1"/>
      <c r="BE145" s="16">
        <f>AM145/'2017-18 disagg'!AM145-1</f>
        <v>5.7200538358004316E-4</v>
      </c>
      <c r="BF145" s="16">
        <f>AN145/'2017-18 disagg'!AN145-1</f>
        <v>3.4972408702681701E-2</v>
      </c>
      <c r="BG145" s="16">
        <f>AO145/'2017-18 disagg'!AO145-1</f>
        <v>4.9038116486979755E-2</v>
      </c>
      <c r="BH145" s="16">
        <f>AQ145/'2017-18 disagg'!AQ145-1</f>
        <v>1.1918649867786568E-2</v>
      </c>
      <c r="BI145" s="1"/>
      <c r="BJ145" s="16">
        <f>AS145/'2017-18 disagg'!AS145-1</f>
        <v>-1.0621492264353716E-2</v>
      </c>
      <c r="BK145" s="16">
        <f>AT145/'2017-18 disagg'!AT145-1</f>
        <v>2.3394070352061425E-2</v>
      </c>
      <c r="BL145" s="16">
        <f>AU145/'2017-18 disagg'!AU145-1</f>
        <v>3.7302423676957464E-2</v>
      </c>
      <c r="BM145" s="16">
        <f>AW145/'2017-18 disagg'!AW145-1</f>
        <v>5.9821618959965406E-4</v>
      </c>
    </row>
    <row r="146" spans="1:65" x14ac:dyDescent="0.2">
      <c r="A146" s="156" t="s">
        <v>337</v>
      </c>
      <c r="B146" s="156" t="s">
        <v>338</v>
      </c>
      <c r="D146" s="56">
        <f>VLOOKUP(A146,'2018-19'!$A$12:$AMX354,32,FALSE)</f>
        <v>541745</v>
      </c>
      <c r="E146" s="56">
        <v>1746.5160596015824</v>
      </c>
      <c r="F146" s="16">
        <f>VLOOKUP(A146,'2018-19'!$A$12:$AMX354,34,FALSE)</f>
        <v>3.1620139391400404E-2</v>
      </c>
      <c r="G146" s="16">
        <f>VLOOKUP(A146,'2018-19'!$A$12:$AMX354,35,FALSE)</f>
        <v>1.8067967857244183E-2</v>
      </c>
      <c r="H146" s="56"/>
      <c r="I146" s="56">
        <v>527990.00689948583</v>
      </c>
      <c r="J146" s="56">
        <v>1702.171734596724</v>
      </c>
      <c r="K146" s="16">
        <f t="shared" si="40"/>
        <v>2.6051616357831486E-2</v>
      </c>
      <c r="L146" s="58">
        <f t="shared" si="40"/>
        <v>2.6051616357831486E-2</v>
      </c>
      <c r="M146" s="10"/>
      <c r="N146" s="56">
        <v>388411</v>
      </c>
      <c r="O146" s="56">
        <v>45678</v>
      </c>
      <c r="P146" s="56">
        <v>107656</v>
      </c>
      <c r="R146" s="56">
        <f t="shared" si="41"/>
        <v>107656</v>
      </c>
      <c r="S146" s="56">
        <f t="shared" si="42"/>
        <v>0</v>
      </c>
      <c r="U146" s="16">
        <v>5.0602510141442902E-2</v>
      </c>
      <c r="V146" s="16">
        <v>-4.8640456964634926E-2</v>
      </c>
      <c r="W146" s="56">
        <f t="shared" si="43"/>
        <v>3</v>
      </c>
      <c r="X146" s="56">
        <f t="shared" si="44"/>
        <v>3697.0309536735081</v>
      </c>
      <c r="Y146" s="56">
        <f t="shared" si="44"/>
        <v>480.13393395163541</v>
      </c>
      <c r="AA146" s="56">
        <f t="shared" si="56"/>
        <v>0</v>
      </c>
      <c r="AB146" s="56">
        <v>0</v>
      </c>
      <c r="AC146" s="56">
        <f t="shared" si="45"/>
        <v>0</v>
      </c>
      <c r="AE146" s="56">
        <v>0</v>
      </c>
      <c r="AF146" s="56">
        <f t="shared" si="46"/>
        <v>0</v>
      </c>
      <c r="AG146" s="56">
        <f t="shared" si="47"/>
        <v>0</v>
      </c>
      <c r="AI146" s="56">
        <f t="shared" si="48"/>
        <v>0</v>
      </c>
      <c r="AJ146" s="56">
        <f t="shared" si="49"/>
        <v>0</v>
      </c>
      <c r="AK146" s="56">
        <f t="shared" si="50"/>
        <v>0</v>
      </c>
      <c r="AM146" s="56">
        <f t="shared" si="51"/>
        <v>388411</v>
      </c>
      <c r="AN146" s="56">
        <f t="shared" si="52"/>
        <v>45678</v>
      </c>
      <c r="AO146" s="56">
        <f t="shared" si="53"/>
        <v>107656</v>
      </c>
      <c r="AP146" s="56"/>
      <c r="AQ146" s="56">
        <f t="shared" si="54"/>
        <v>541745</v>
      </c>
      <c r="AR146" s="1"/>
      <c r="AS146" s="56">
        <v>1252.1870053732109</v>
      </c>
      <c r="AT146" s="56">
        <v>147.25998499382749</v>
      </c>
      <c r="AU146" s="56">
        <v>347.0690692345438</v>
      </c>
      <c r="AV146" s="56"/>
      <c r="AW146" s="56">
        <v>1746.5160596015824</v>
      </c>
      <c r="AX146" s="1"/>
      <c r="AY146" s="16">
        <v>5.0602510141442902E-2</v>
      </c>
      <c r="AZ146" s="16">
        <v>-4.8640456964634926E-2</v>
      </c>
      <c r="BA146" s="16">
        <v>-2.3736597699914097E-2</v>
      </c>
      <c r="BB146" s="16">
        <f t="shared" si="55"/>
        <v>2.6051616357831486E-2</v>
      </c>
      <c r="BC146" s="16"/>
      <c r="BD146" s="1"/>
      <c r="BE146" s="16">
        <f>AM146/'2017-18 disagg'!AM146-1</f>
        <v>2.5491345351624783E-2</v>
      </c>
      <c r="BF146" s="16">
        <f>AN146/'2017-18 disagg'!AN146-1</f>
        <v>3.9010076655369375E-2</v>
      </c>
      <c r="BG146" s="16">
        <f>AO146/'2017-18 disagg'!AO146-1</f>
        <v>5.1112564806045535E-2</v>
      </c>
      <c r="BH146" s="16">
        <f>AQ146/'2017-18 disagg'!AQ146-1</f>
        <v>3.1620139391400404E-2</v>
      </c>
      <c r="BI146" s="1"/>
      <c r="BJ146" s="16">
        <f>AS146/'2017-18 disagg'!AS146-1</f>
        <v>1.2019686464472157E-2</v>
      </c>
      <c r="BK146" s="16">
        <f>AT146/'2017-18 disagg'!AT146-1</f>
        <v>2.5360825107355378E-2</v>
      </c>
      <c r="BL146" s="16">
        <f>AU146/'2017-18 disagg'!AU146-1</f>
        <v>3.7304325478377809E-2</v>
      </c>
      <c r="BM146" s="16">
        <f>AW146/'2017-18 disagg'!AW146-1</f>
        <v>1.8067967857244183E-2</v>
      </c>
    </row>
    <row r="147" spans="1:65" x14ac:dyDescent="0.2">
      <c r="A147" s="156" t="s">
        <v>339</v>
      </c>
      <c r="B147" s="156" t="s">
        <v>340</v>
      </c>
      <c r="D147" s="56">
        <f>VLOOKUP(A147,'2018-19'!$A$12:$AMX355,32,FALSE)</f>
        <v>675139.3754705165</v>
      </c>
      <c r="E147" s="56">
        <v>1632.2246917733619</v>
      </c>
      <c r="F147" s="16">
        <f>VLOOKUP(A147,'2018-19'!$A$12:$AMX355,34,FALSE)</f>
        <v>3.2184316896987086E-2</v>
      </c>
      <c r="G147" s="16">
        <f>VLOOKUP(A147,'2018-19'!$A$12:$AMX355,35,FALSE)</f>
        <v>2.0810082225831028E-2</v>
      </c>
      <c r="H147" s="56"/>
      <c r="I147" s="56">
        <v>693940.17153402662</v>
      </c>
      <c r="J147" s="56">
        <v>1677.6777118086252</v>
      </c>
      <c r="K147" s="16">
        <f t="shared" si="40"/>
        <v>-2.7092819863633211E-2</v>
      </c>
      <c r="L147" s="58">
        <f t="shared" si="40"/>
        <v>-2.70928198636331E-2</v>
      </c>
      <c r="M147" s="10"/>
      <c r="N147" s="56">
        <v>490210</v>
      </c>
      <c r="O147" s="56">
        <v>52048</v>
      </c>
      <c r="P147" s="56">
        <v>130746</v>
      </c>
      <c r="R147" s="56">
        <f t="shared" si="41"/>
        <v>130746</v>
      </c>
      <c r="S147" s="56">
        <f t="shared" si="42"/>
        <v>2135.3754705165047</v>
      </c>
      <c r="U147" s="16">
        <v>-3.8381484144221267E-2</v>
      </c>
      <c r="V147" s="16">
        <v>-4.8407406623402927E-2</v>
      </c>
      <c r="W147" s="56">
        <f t="shared" si="43"/>
        <v>4</v>
      </c>
      <c r="X147" s="56">
        <f t="shared" si="44"/>
        <v>5097.7595784305859</v>
      </c>
      <c r="Y147" s="56">
        <f t="shared" si="44"/>
        <v>546.95675819958558</v>
      </c>
      <c r="AA147" s="56">
        <f t="shared" si="56"/>
        <v>0</v>
      </c>
      <c r="AB147" s="56">
        <v>0</v>
      </c>
      <c r="AC147" s="56">
        <f t="shared" si="45"/>
        <v>2135.3754705165047</v>
      </c>
      <c r="AE147" s="56">
        <v>0</v>
      </c>
      <c r="AF147" s="56">
        <f t="shared" si="46"/>
        <v>0</v>
      </c>
      <c r="AG147" s="56">
        <f t="shared" si="47"/>
        <v>2135.3754705165047</v>
      </c>
      <c r="AI147" s="56">
        <f t="shared" si="48"/>
        <v>1928.46373656215</v>
      </c>
      <c r="AJ147" s="56">
        <f t="shared" si="49"/>
        <v>206.91173395435479</v>
      </c>
      <c r="AK147" s="56">
        <f t="shared" si="50"/>
        <v>0</v>
      </c>
      <c r="AM147" s="56">
        <f t="shared" si="51"/>
        <v>492138</v>
      </c>
      <c r="AN147" s="56">
        <f t="shared" si="52"/>
        <v>52255</v>
      </c>
      <c r="AO147" s="56">
        <f t="shared" si="53"/>
        <v>130746</v>
      </c>
      <c r="AP147" s="56"/>
      <c r="AQ147" s="56">
        <f t="shared" si="54"/>
        <v>675139</v>
      </c>
      <c r="AR147" s="1"/>
      <c r="AS147" s="56">
        <v>1189.7984690940873</v>
      </c>
      <c r="AT147" s="56">
        <v>126.33228688398687</v>
      </c>
      <c r="AU147" s="56">
        <v>316.09302805346374</v>
      </c>
      <c r="AV147" s="56"/>
      <c r="AW147" s="56">
        <v>1632.2237840315379</v>
      </c>
      <c r="AX147" s="1"/>
      <c r="AY147" s="16">
        <v>-3.4599430537461062E-2</v>
      </c>
      <c r="AZ147" s="16">
        <v>-4.4622829563209288E-2</v>
      </c>
      <c r="BA147" s="16">
        <v>9.8669696128275142E-3</v>
      </c>
      <c r="BB147" s="16">
        <f t="shared" si="55"/>
        <v>-2.7093360934076882E-2</v>
      </c>
      <c r="BC147" s="16"/>
      <c r="BD147" s="1"/>
      <c r="BE147" s="16">
        <f>AM147/'2017-18 disagg'!AM147-1</f>
        <v>2.7320738962530067E-2</v>
      </c>
      <c r="BF147" s="16">
        <f>AN147/'2017-18 disagg'!AN147-1</f>
        <v>3.7175975546822171E-2</v>
      </c>
      <c r="BG147" s="16">
        <f>AO147/'2017-18 disagg'!AO147-1</f>
        <v>4.8854447439353077E-2</v>
      </c>
      <c r="BH147" s="16">
        <f>AQ147/'2017-18 disagg'!AQ147-1</f>
        <v>3.2183742860288023E-2</v>
      </c>
      <c r="BI147" s="1"/>
      <c r="BJ147" s="16">
        <f>AS147/'2017-18 disagg'!AS147-1</f>
        <v>1.6000098863450329E-2</v>
      </c>
      <c r="BK147" s="16">
        <f>AT147/'2017-18 disagg'!AT147-1</f>
        <v>2.5746734908270508E-2</v>
      </c>
      <c r="BL147" s="16">
        <f>AU147/'2017-18 disagg'!AU147-1</f>
        <v>3.7296514979261675E-2</v>
      </c>
      <c r="BM147" s="16">
        <f>AW147/'2017-18 disagg'!AW147-1</f>
        <v>2.0809514514773531E-2</v>
      </c>
    </row>
    <row r="148" spans="1:65" x14ac:dyDescent="0.2">
      <c r="A148" s="156" t="s">
        <v>341</v>
      </c>
      <c r="B148" s="156" t="s">
        <v>342</v>
      </c>
      <c r="D148" s="56">
        <f>VLOOKUP(A148,'2018-19'!$A$12:$AMX356,32,FALSE)</f>
        <v>682617</v>
      </c>
      <c r="E148" s="56">
        <v>1552.8967839292188</v>
      </c>
      <c r="F148" s="16">
        <f>VLOOKUP(A148,'2018-19'!$A$12:$AMX356,34,FALSE)</f>
        <v>2.8641822757342394E-2</v>
      </c>
      <c r="G148" s="16">
        <f>VLOOKUP(A148,'2018-19'!$A$12:$AMX356,35,FALSE)</f>
        <v>1.8367893416480152E-2</v>
      </c>
      <c r="H148" s="56"/>
      <c r="I148" s="56">
        <v>693814.38997509389</v>
      </c>
      <c r="J148" s="56">
        <v>1578.3699129030424</v>
      </c>
      <c r="K148" s="16">
        <f t="shared" si="40"/>
        <v>-1.6138884025590494E-2</v>
      </c>
      <c r="L148" s="58">
        <f t="shared" si="40"/>
        <v>-1.6138884025590494E-2</v>
      </c>
      <c r="M148" s="10"/>
      <c r="N148" s="56">
        <v>496468</v>
      </c>
      <c r="O148" s="56">
        <v>55261</v>
      </c>
      <c r="P148" s="56">
        <v>130888</v>
      </c>
      <c r="R148" s="56">
        <f t="shared" si="41"/>
        <v>130888</v>
      </c>
      <c r="S148" s="56">
        <f t="shared" si="42"/>
        <v>0</v>
      </c>
      <c r="U148" s="16">
        <v>-2.4690487143247175E-2</v>
      </c>
      <c r="V148" s="16">
        <v>-4.9122150082951177E-2</v>
      </c>
      <c r="W148" s="56">
        <f t="shared" si="43"/>
        <v>4</v>
      </c>
      <c r="X148" s="56">
        <f t="shared" si="44"/>
        <v>5090.3635559321983</v>
      </c>
      <c r="Y148" s="56">
        <f t="shared" si="44"/>
        <v>581.15771657548623</v>
      </c>
      <c r="AA148" s="56">
        <f t="shared" si="56"/>
        <v>0</v>
      </c>
      <c r="AB148" s="56">
        <v>0</v>
      </c>
      <c r="AC148" s="56">
        <f t="shared" si="45"/>
        <v>0</v>
      </c>
      <c r="AE148" s="56">
        <v>0</v>
      </c>
      <c r="AF148" s="56">
        <f t="shared" si="46"/>
        <v>0</v>
      </c>
      <c r="AG148" s="56">
        <f t="shared" si="47"/>
        <v>0</v>
      </c>
      <c r="AI148" s="56">
        <f t="shared" si="48"/>
        <v>0</v>
      </c>
      <c r="AJ148" s="56">
        <f t="shared" si="49"/>
        <v>0</v>
      </c>
      <c r="AK148" s="56">
        <f t="shared" si="50"/>
        <v>0</v>
      </c>
      <c r="AM148" s="56">
        <f t="shared" si="51"/>
        <v>496468</v>
      </c>
      <c r="AN148" s="56">
        <f t="shared" si="52"/>
        <v>55261</v>
      </c>
      <c r="AO148" s="56">
        <f t="shared" si="53"/>
        <v>130888</v>
      </c>
      <c r="AP148" s="56"/>
      <c r="AQ148" s="56">
        <f t="shared" si="54"/>
        <v>682617</v>
      </c>
      <c r="AR148" s="1"/>
      <c r="AS148" s="56">
        <v>1129.4233230695565</v>
      </c>
      <c r="AT148" s="56">
        <v>125.71416940497022</v>
      </c>
      <c r="AU148" s="56">
        <v>297.75929145469217</v>
      </c>
      <c r="AV148" s="56"/>
      <c r="AW148" s="56">
        <v>1552.8967839292188</v>
      </c>
      <c r="AX148" s="1"/>
      <c r="AY148" s="16">
        <v>-2.4690487143247175E-2</v>
      </c>
      <c r="AZ148" s="16">
        <v>-4.9122150082951177E-2</v>
      </c>
      <c r="BA148" s="16">
        <v>3.3362243692675264E-2</v>
      </c>
      <c r="BB148" s="16">
        <f t="shared" si="55"/>
        <v>-1.6138884025590494E-2</v>
      </c>
      <c r="BC148" s="16"/>
      <c r="BD148" s="1"/>
      <c r="BE148" s="16">
        <f>AM148/'2017-18 disagg'!AM148-1</f>
        <v>2.2228994053600015E-2</v>
      </c>
      <c r="BF148" s="16">
        <f>AN148/'2017-18 disagg'!AN148-1</f>
        <v>4.2326046362487491E-2</v>
      </c>
      <c r="BG148" s="16">
        <f>AO148/'2017-18 disagg'!AO148-1</f>
        <v>4.7766188230961903E-2</v>
      </c>
      <c r="BH148" s="16">
        <f>AQ148/'2017-18 disagg'!AQ148-1</f>
        <v>2.8641822757342394E-2</v>
      </c>
      <c r="BI148" s="1"/>
      <c r="BJ148" s="16">
        <f>AS148/'2017-18 disagg'!AS148-1</f>
        <v>1.2019115140709635E-2</v>
      </c>
      <c r="BK148" s="16">
        <f>AT148/'2017-18 disagg'!AT148-1</f>
        <v>3.1915440927679395E-2</v>
      </c>
      <c r="BL148" s="16">
        <f>AU148/'2017-18 disagg'!AU148-1</f>
        <v>3.7301247427005579E-2</v>
      </c>
      <c r="BM148" s="16">
        <f>AW148/'2017-18 disagg'!AW148-1</f>
        <v>1.8367893416480152E-2</v>
      </c>
    </row>
    <row r="149" spans="1:65" x14ac:dyDescent="0.2">
      <c r="A149" s="156" t="s">
        <v>343</v>
      </c>
      <c r="B149" s="156" t="s">
        <v>344</v>
      </c>
      <c r="D149" s="56">
        <f>VLOOKUP(A149,'2018-19'!$A$12:$AMX357,32,FALSE)</f>
        <v>566404.36110771552</v>
      </c>
      <c r="E149" s="56">
        <v>1673.8108986179052</v>
      </c>
      <c r="F149" s="16">
        <f>VLOOKUP(A149,'2018-19'!$A$12:$AMX357,34,FALSE)</f>
        <v>3.4309372092333978E-2</v>
      </c>
      <c r="G149" s="16">
        <f>VLOOKUP(A149,'2018-19'!$A$12:$AMX357,35,FALSE)</f>
        <v>1.9996309166614212E-2</v>
      </c>
      <c r="H149" s="56"/>
      <c r="I149" s="56">
        <v>581168.86422592099</v>
      </c>
      <c r="J149" s="56">
        <v>1717.4422474013068</v>
      </c>
      <c r="K149" s="16">
        <f t="shared" si="40"/>
        <v>-2.5404841909194231E-2</v>
      </c>
      <c r="L149" s="58">
        <f t="shared" si="40"/>
        <v>-2.5404841909194342E-2</v>
      </c>
      <c r="M149" s="10"/>
      <c r="N149" s="56">
        <v>407182</v>
      </c>
      <c r="O149" s="56">
        <v>42442</v>
      </c>
      <c r="P149" s="56">
        <v>115559</v>
      </c>
      <c r="R149" s="56">
        <f t="shared" si="41"/>
        <v>115559</v>
      </c>
      <c r="S149" s="56">
        <f t="shared" si="42"/>
        <v>1221.3611077155219</v>
      </c>
      <c r="U149" s="16">
        <v>-2.3807237986604779E-2</v>
      </c>
      <c r="V149" s="16">
        <v>-4.841380818274954E-2</v>
      </c>
      <c r="W149" s="56">
        <f t="shared" si="43"/>
        <v>4</v>
      </c>
      <c r="X149" s="56">
        <f t="shared" si="44"/>
        <v>4171.1229159309487</v>
      </c>
      <c r="Y149" s="56">
        <f t="shared" si="44"/>
        <v>446.013197385181</v>
      </c>
      <c r="AA149" s="56">
        <f t="shared" si="56"/>
        <v>0</v>
      </c>
      <c r="AB149" s="56">
        <v>0</v>
      </c>
      <c r="AC149" s="56">
        <f t="shared" si="45"/>
        <v>1221.3611077155219</v>
      </c>
      <c r="AE149" s="56">
        <v>0</v>
      </c>
      <c r="AF149" s="56">
        <f t="shared" si="46"/>
        <v>0</v>
      </c>
      <c r="AG149" s="56">
        <f t="shared" si="47"/>
        <v>1221.3611077155219</v>
      </c>
      <c r="AI149" s="56">
        <f t="shared" si="48"/>
        <v>1103.3781937522469</v>
      </c>
      <c r="AJ149" s="56">
        <f t="shared" si="49"/>
        <v>117.98291396327491</v>
      </c>
      <c r="AK149" s="56">
        <f t="shared" si="50"/>
        <v>0</v>
      </c>
      <c r="AM149" s="56">
        <f t="shared" si="51"/>
        <v>408285</v>
      </c>
      <c r="AN149" s="56">
        <f t="shared" si="52"/>
        <v>42560</v>
      </c>
      <c r="AO149" s="56">
        <f t="shared" si="53"/>
        <v>115559</v>
      </c>
      <c r="AP149" s="56"/>
      <c r="AQ149" s="56">
        <f t="shared" si="54"/>
        <v>566404</v>
      </c>
      <c r="AR149" s="1"/>
      <c r="AS149" s="56">
        <v>1206.544175270303</v>
      </c>
      <c r="AT149" s="56">
        <v>125.77126296460582</v>
      </c>
      <c r="AU149" s="56">
        <v>341.494393254861</v>
      </c>
      <c r="AV149" s="56"/>
      <c r="AW149" s="56">
        <v>1673.8098314897697</v>
      </c>
      <c r="AX149" s="1"/>
      <c r="AY149" s="16">
        <v>-2.1162866141825831E-2</v>
      </c>
      <c r="AZ149" s="16">
        <v>-4.5768146559017509E-2</v>
      </c>
      <c r="BA149" s="16">
        <v>-3.2616840196683317E-2</v>
      </c>
      <c r="BB149" s="16">
        <f t="shared" si="55"/>
        <v>-2.5405463256512939E-2</v>
      </c>
      <c r="BC149" s="16"/>
      <c r="BD149" s="1"/>
      <c r="BE149" s="16">
        <f>AM149/'2017-18 disagg'!AM149-1</f>
        <v>2.9001103891848734E-2</v>
      </c>
      <c r="BF149" s="16">
        <f>AN149/'2017-18 disagg'!AN149-1</f>
        <v>3.8656774697383822E-2</v>
      </c>
      <c r="BG149" s="16">
        <f>AO149/'2017-18 disagg'!AO149-1</f>
        <v>5.1855964755784578E-2</v>
      </c>
      <c r="BH149" s="16">
        <f>AQ149/'2017-18 disagg'!AQ149-1</f>
        <v>3.4308712674574915E-2</v>
      </c>
      <c r="BI149" s="1"/>
      <c r="BJ149" s="16">
        <f>AS149/'2017-18 disagg'!AS149-1</f>
        <v>1.4761498268973217E-2</v>
      </c>
      <c r="BK149" s="16">
        <f>AT149/'2017-18 disagg'!AT149-1</f>
        <v>2.4283551196184083E-2</v>
      </c>
      <c r="BL149" s="16">
        <f>AU149/'2017-18 disagg'!AU149-1</f>
        <v>3.7300087163872675E-2</v>
      </c>
      <c r="BM149" s="16">
        <f>AW149/'2017-18 disagg'!AW149-1</f>
        <v>1.9995658874063071E-2</v>
      </c>
    </row>
    <row r="150" spans="1:65" x14ac:dyDescent="0.2">
      <c r="A150" s="156" t="s">
        <v>345</v>
      </c>
      <c r="B150" s="156" t="s">
        <v>346</v>
      </c>
      <c r="D150" s="56">
        <f>VLOOKUP(A150,'2018-19'!$A$12:$AMX358,32,FALSE)</f>
        <v>520318.97000130406</v>
      </c>
      <c r="E150" s="56">
        <v>1758.5637205431449</v>
      </c>
      <c r="F150" s="16">
        <f>VLOOKUP(A150,'2018-19'!$A$12:$AMX358,34,FALSE)</f>
        <v>3.0530496889119574E-2</v>
      </c>
      <c r="G150" s="16">
        <f>VLOOKUP(A150,'2018-19'!$A$12:$AMX358,35,FALSE)</f>
        <v>1.8867963106820929E-2</v>
      </c>
      <c r="H150" s="56"/>
      <c r="I150" s="56">
        <v>532224.43742850237</v>
      </c>
      <c r="J150" s="56">
        <v>1798.8015828942459</v>
      </c>
      <c r="K150" s="16">
        <f t="shared" si="40"/>
        <v>-2.2369261142387242E-2</v>
      </c>
      <c r="L150" s="58">
        <f t="shared" si="40"/>
        <v>-2.2369261142387353E-2</v>
      </c>
      <c r="M150" s="10"/>
      <c r="N150" s="56">
        <v>376381</v>
      </c>
      <c r="O150" s="56">
        <v>38973</v>
      </c>
      <c r="P150" s="56">
        <v>104497</v>
      </c>
      <c r="R150" s="56">
        <f t="shared" si="41"/>
        <v>104497</v>
      </c>
      <c r="S150" s="56">
        <f t="shared" si="42"/>
        <v>467.9700013040565</v>
      </c>
      <c r="U150" s="16">
        <v>-2.2699444121014545E-2</v>
      </c>
      <c r="V150" s="16">
        <v>-4.8612455404094979E-2</v>
      </c>
      <c r="W150" s="56">
        <f t="shared" si="43"/>
        <v>4</v>
      </c>
      <c r="X150" s="56">
        <f t="shared" si="44"/>
        <v>3851.2307983032142</v>
      </c>
      <c r="Y150" s="56">
        <f t="shared" si="44"/>
        <v>409.64379049710493</v>
      </c>
      <c r="AA150" s="56">
        <f t="shared" si="56"/>
        <v>0</v>
      </c>
      <c r="AB150" s="56">
        <v>0</v>
      </c>
      <c r="AC150" s="56">
        <f t="shared" si="45"/>
        <v>467.9700013040565</v>
      </c>
      <c r="AE150" s="56">
        <v>0</v>
      </c>
      <c r="AF150" s="56">
        <f t="shared" si="46"/>
        <v>0</v>
      </c>
      <c r="AG150" s="56">
        <f t="shared" si="47"/>
        <v>467.9700013040565</v>
      </c>
      <c r="AI150" s="56">
        <f t="shared" si="48"/>
        <v>422.97900211412173</v>
      </c>
      <c r="AJ150" s="56">
        <f t="shared" si="49"/>
        <v>44.990999189934769</v>
      </c>
      <c r="AK150" s="56">
        <f t="shared" si="50"/>
        <v>0</v>
      </c>
      <c r="AM150" s="56">
        <f t="shared" si="51"/>
        <v>376804</v>
      </c>
      <c r="AN150" s="56">
        <f t="shared" si="52"/>
        <v>39018</v>
      </c>
      <c r="AO150" s="56">
        <f t="shared" si="53"/>
        <v>104497</v>
      </c>
      <c r="AP150" s="56"/>
      <c r="AQ150" s="56">
        <f t="shared" si="54"/>
        <v>520319</v>
      </c>
      <c r="AR150" s="1"/>
      <c r="AS150" s="56">
        <v>1273.5146753420856</v>
      </c>
      <c r="AT150" s="56">
        <v>131.87226144758947</v>
      </c>
      <c r="AU150" s="56">
        <v>353.17688514246646</v>
      </c>
      <c r="AV150" s="56"/>
      <c r="AW150" s="56">
        <v>1758.5638219321418</v>
      </c>
      <c r="AX150" s="1"/>
      <c r="AY150" s="16">
        <v>-2.1601093951540529E-2</v>
      </c>
      <c r="AZ150" s="16">
        <v>-4.7513940034305202E-2</v>
      </c>
      <c r="BA150" s="16">
        <v>-1.5451528495523559E-2</v>
      </c>
      <c r="BB150" s="16">
        <f t="shared" si="55"/>
        <v>-2.2369204777639928E-2</v>
      </c>
      <c r="BC150" s="16"/>
      <c r="BD150" s="1"/>
      <c r="BE150" s="16">
        <f>AM150/'2017-18 disagg'!AM150-1</f>
        <v>2.4753740800974811E-2</v>
      </c>
      <c r="BF150" s="16">
        <f>AN150/'2017-18 disagg'!AN150-1</f>
        <v>3.7629976331675641E-2</v>
      </c>
      <c r="BG150" s="16">
        <f>AO150/'2017-18 disagg'!AO150-1</f>
        <v>4.9177200574302971E-2</v>
      </c>
      <c r="BH150" s="16">
        <f>AQ150/'2017-18 disagg'!AQ150-1</f>
        <v>3.0530556303772549E-2</v>
      </c>
      <c r="BI150" s="1"/>
      <c r="BJ150" s="16">
        <f>AS150/'2017-18 disagg'!AS150-1</f>
        <v>1.3156582680273088E-2</v>
      </c>
      <c r="BK150" s="16">
        <f>AT150/'2017-18 disagg'!AT150-1</f>
        <v>2.5887097601716258E-2</v>
      </c>
      <c r="BL150" s="16">
        <f>AU150/'2017-18 disagg'!AU150-1</f>
        <v>3.7303641681817545E-2</v>
      </c>
      <c r="BM150" s="16">
        <f>AW150/'2017-18 disagg'!AW150-1</f>
        <v>1.8868021849077321E-2</v>
      </c>
    </row>
    <row r="151" spans="1:65" x14ac:dyDescent="0.2">
      <c r="A151" s="156" t="s">
        <v>347</v>
      </c>
      <c r="B151" s="156" t="s">
        <v>348</v>
      </c>
      <c r="D151" s="56">
        <f>VLOOKUP(A151,'2018-19'!$A$12:$AMX359,32,FALSE)</f>
        <v>357669.01562494447</v>
      </c>
      <c r="E151" s="56">
        <v>1687.3171529496851</v>
      </c>
      <c r="F151" s="16">
        <f>VLOOKUP(A151,'2018-19'!$A$12:$AMX359,34,FALSE)</f>
        <v>1.9633321051092834E-2</v>
      </c>
      <c r="G151" s="16">
        <f>VLOOKUP(A151,'2018-19'!$A$12:$AMX359,35,FALSE)</f>
        <v>1.5917547260456466E-2</v>
      </c>
      <c r="H151" s="56"/>
      <c r="I151" s="56">
        <v>342745.89789994428</v>
      </c>
      <c r="J151" s="56">
        <v>1616.9167788247867</v>
      </c>
      <c r="K151" s="16">
        <f t="shared" si="40"/>
        <v>4.3539887177166392E-2</v>
      </c>
      <c r="L151" s="58">
        <f t="shared" si="40"/>
        <v>4.3539887177166392E-2</v>
      </c>
      <c r="M151" s="10"/>
      <c r="N151" s="56">
        <v>263664</v>
      </c>
      <c r="O151" s="56">
        <v>28233</v>
      </c>
      <c r="P151" s="56">
        <v>65193</v>
      </c>
      <c r="R151" s="56">
        <f t="shared" si="41"/>
        <v>65193</v>
      </c>
      <c r="S151" s="56">
        <f t="shared" si="42"/>
        <v>579.01562494446989</v>
      </c>
      <c r="U151" s="16">
        <v>6.3507964148239004E-2</v>
      </c>
      <c r="V151" s="16">
        <v>-4.9159148040282541E-2</v>
      </c>
      <c r="W151" s="56">
        <f t="shared" si="43"/>
        <v>3</v>
      </c>
      <c r="X151" s="56">
        <f t="shared" si="44"/>
        <v>2479.1915894223498</v>
      </c>
      <c r="Y151" s="56">
        <f t="shared" si="44"/>
        <v>296.92666172063144</v>
      </c>
      <c r="AA151" s="56">
        <f t="shared" si="56"/>
        <v>0</v>
      </c>
      <c r="AB151" s="56">
        <v>0</v>
      </c>
      <c r="AC151" s="56">
        <f t="shared" si="45"/>
        <v>579.01562494446989</v>
      </c>
      <c r="AE151" s="56">
        <v>0</v>
      </c>
      <c r="AF151" s="56">
        <f>IF(W151=3,MIN(S151,-1*V151*O151),0)</f>
        <v>579.01562494446989</v>
      </c>
      <c r="AG151" s="56">
        <f t="shared" si="47"/>
        <v>0</v>
      </c>
      <c r="AI151" s="56">
        <f t="shared" si="48"/>
        <v>0</v>
      </c>
      <c r="AJ151" s="56">
        <f t="shared" si="49"/>
        <v>0</v>
      </c>
      <c r="AK151" s="56">
        <f t="shared" si="50"/>
        <v>0</v>
      </c>
      <c r="AM151" s="56">
        <f t="shared" si="51"/>
        <v>263664</v>
      </c>
      <c r="AN151" s="56">
        <f t="shared" si="52"/>
        <v>28812</v>
      </c>
      <c r="AO151" s="56">
        <f t="shared" si="53"/>
        <v>65193</v>
      </c>
      <c r="AP151" s="56"/>
      <c r="AQ151" s="56">
        <f t="shared" si="54"/>
        <v>357669</v>
      </c>
      <c r="AR151" s="1"/>
      <c r="AS151" s="56">
        <v>1243.84492472179</v>
      </c>
      <c r="AT151" s="56">
        <v>135.9217032703904</v>
      </c>
      <c r="AU151" s="56">
        <v>307.55045124623632</v>
      </c>
      <c r="AV151" s="56"/>
      <c r="AW151" s="56">
        <v>1687.3170792384167</v>
      </c>
      <c r="AX151" s="1"/>
      <c r="AY151" s="16">
        <v>6.3507964148239004E-2</v>
      </c>
      <c r="AZ151" s="16">
        <v>-2.9659383463911726E-2</v>
      </c>
      <c r="BA151" s="16">
        <v>9.0470642835094317E-4</v>
      </c>
      <c r="BB151" s="16">
        <f t="shared" si="55"/>
        <v>4.353984158962021E-2</v>
      </c>
      <c r="BC151" s="16"/>
      <c r="BD151" s="1"/>
      <c r="BE151" s="16">
        <f>AM151/'2017-18 disagg'!AM151-1</f>
        <v>1.0528252279460526E-2</v>
      </c>
      <c r="BF151" s="16">
        <f>AN151/'2017-18 disagg'!AN151-1</f>
        <v>5.7515140392732533E-2</v>
      </c>
      <c r="BG151" s="16">
        <f>AO151/'2017-18 disagg'!AO151-1</f>
        <v>4.1089108910891126E-2</v>
      </c>
      <c r="BH151" s="16">
        <f>AQ151/'2017-18 disagg'!AQ151-1</f>
        <v>1.9633276507916575E-2</v>
      </c>
      <c r="BI151" s="1"/>
      <c r="BJ151" s="16">
        <f>AS151/'2017-18 disagg'!AS151-1</f>
        <v>6.8456594129908677E-3</v>
      </c>
      <c r="BK151" s="16">
        <f>AT151/'2017-18 disagg'!AT151-1</f>
        <v>5.3661316708526474E-2</v>
      </c>
      <c r="BL151" s="16">
        <f>AU151/'2017-18 disagg'!AU151-1</f>
        <v>3.7295145390142004E-2</v>
      </c>
      <c r="BM151" s="16">
        <f>AW151/'2017-18 disagg'!AW151-1</f>
        <v>1.5917502879605472E-2</v>
      </c>
    </row>
    <row r="152" spans="1:65" x14ac:dyDescent="0.2">
      <c r="A152" s="156" t="s">
        <v>349</v>
      </c>
      <c r="B152" s="156" t="s">
        <v>350</v>
      </c>
      <c r="D152" s="56">
        <f>VLOOKUP(A152,'2018-19'!$A$12:$AMX360,32,FALSE)</f>
        <v>515425</v>
      </c>
      <c r="E152" s="56">
        <v>1643.2539123709848</v>
      </c>
      <c r="F152" s="16">
        <f>VLOOKUP(A152,'2018-19'!$A$12:$AMX360,34,FALSE)</f>
        <v>3.1679470294116552E-2</v>
      </c>
      <c r="G152" s="16">
        <f>VLOOKUP(A152,'2018-19'!$A$12:$AMX360,35,FALSE)</f>
        <v>1.8909747211523165E-2</v>
      </c>
      <c r="H152" s="56"/>
      <c r="I152" s="56">
        <v>526646.24684977857</v>
      </c>
      <c r="J152" s="56">
        <v>1679.0289674955507</v>
      </c>
      <c r="K152" s="16">
        <f t="shared" si="40"/>
        <v>-2.1306991015127008E-2</v>
      </c>
      <c r="L152" s="58">
        <f t="shared" si="40"/>
        <v>-2.1306991015127119E-2</v>
      </c>
      <c r="M152" s="10"/>
      <c r="N152" s="56">
        <v>361024</v>
      </c>
      <c r="O152" s="56">
        <v>42921</v>
      </c>
      <c r="P152" s="56">
        <v>111480</v>
      </c>
      <c r="R152" s="56">
        <f t="shared" si="41"/>
        <v>111480</v>
      </c>
      <c r="S152" s="56">
        <f t="shared" si="42"/>
        <v>0</v>
      </c>
      <c r="U152" s="16">
        <v>-1.8550131921179824E-2</v>
      </c>
      <c r="V152" s="16">
        <v>-4.9016868792838952E-2</v>
      </c>
      <c r="W152" s="56">
        <f t="shared" si="43"/>
        <v>4</v>
      </c>
      <c r="X152" s="56">
        <f t="shared" si="44"/>
        <v>3678.4762191338559</v>
      </c>
      <c r="Y152" s="56">
        <f t="shared" si="44"/>
        <v>451.33292685767037</v>
      </c>
      <c r="AA152" s="56">
        <f t="shared" si="56"/>
        <v>0</v>
      </c>
      <c r="AB152" s="56">
        <v>0</v>
      </c>
      <c r="AC152" s="56">
        <f t="shared" si="45"/>
        <v>0</v>
      </c>
      <c r="AE152" s="56">
        <v>0</v>
      </c>
      <c r="AF152" s="56">
        <f t="shared" si="46"/>
        <v>0</v>
      </c>
      <c r="AG152" s="56">
        <f t="shared" si="47"/>
        <v>0</v>
      </c>
      <c r="AI152" s="56">
        <f t="shared" si="48"/>
        <v>0</v>
      </c>
      <c r="AJ152" s="56">
        <f t="shared" si="49"/>
        <v>0</v>
      </c>
      <c r="AK152" s="56">
        <f t="shared" si="50"/>
        <v>0</v>
      </c>
      <c r="AM152" s="56">
        <f t="shared" si="51"/>
        <v>361024</v>
      </c>
      <c r="AN152" s="56">
        <f t="shared" si="52"/>
        <v>42921</v>
      </c>
      <c r="AO152" s="56">
        <f t="shared" si="53"/>
        <v>111480</v>
      </c>
      <c r="AP152" s="56"/>
      <c r="AQ152" s="56">
        <f t="shared" si="54"/>
        <v>515425</v>
      </c>
      <c r="AR152" s="1"/>
      <c r="AS152" s="56">
        <v>1150.9998553811367</v>
      </c>
      <c r="AT152" s="56">
        <v>136.83872759931134</v>
      </c>
      <c r="AU152" s="56">
        <v>355.41532939053673</v>
      </c>
      <c r="AV152" s="56"/>
      <c r="AW152" s="56">
        <v>1643.2539123709848</v>
      </c>
      <c r="AX152" s="1"/>
      <c r="AY152" s="16">
        <v>-1.8550131921179824E-2</v>
      </c>
      <c r="AZ152" s="16">
        <v>-4.9016868792838952E-2</v>
      </c>
      <c r="BA152" s="16">
        <v>-1.9226022634653117E-2</v>
      </c>
      <c r="BB152" s="16">
        <f t="shared" si="55"/>
        <v>-2.1306991015127008E-2</v>
      </c>
      <c r="BC152" s="16"/>
      <c r="BD152" s="1"/>
      <c r="BE152" s="16">
        <f>AM152/'2017-18 disagg'!AM152-1</f>
        <v>2.4701905364709953E-2</v>
      </c>
      <c r="BF152" s="16">
        <f>AN152/'2017-18 disagg'!AN152-1</f>
        <v>4.3392648774795761E-2</v>
      </c>
      <c r="BG152" s="16">
        <f>AO152/'2017-18 disagg'!AO152-1</f>
        <v>5.0301014688009404E-2</v>
      </c>
      <c r="BH152" s="16">
        <f>AQ152/'2017-18 disagg'!AQ152-1</f>
        <v>3.1679470294116552E-2</v>
      </c>
      <c r="BI152" s="1"/>
      <c r="BJ152" s="16">
        <f>AS152/'2017-18 disagg'!AS152-1</f>
        <v>1.2018547838963389E-2</v>
      </c>
      <c r="BK152" s="16">
        <f>AT152/'2017-18 disagg'!AT152-1</f>
        <v>3.0477944571687843E-2</v>
      </c>
      <c r="BL152" s="16">
        <f>AU152/'2017-18 disagg'!AU152-1</f>
        <v>3.7300801446285003E-2</v>
      </c>
      <c r="BM152" s="16">
        <f>AW152/'2017-18 disagg'!AW152-1</f>
        <v>1.8909747211523165E-2</v>
      </c>
    </row>
    <row r="153" spans="1:65" x14ac:dyDescent="0.2">
      <c r="A153" s="156" t="s">
        <v>351</v>
      </c>
      <c r="B153" s="156" t="s">
        <v>352</v>
      </c>
      <c r="D153" s="56">
        <f>VLOOKUP(A153,'2018-19'!$A$12:$AMX361,32,FALSE)</f>
        <v>407904.25068981107</v>
      </c>
      <c r="E153" s="56">
        <v>1518.6936743929557</v>
      </c>
      <c r="F153" s="16">
        <f>VLOOKUP(A153,'2018-19'!$A$12:$AMX361,34,FALSE)</f>
        <v>3.3084838428154795E-2</v>
      </c>
      <c r="G153" s="16">
        <f>VLOOKUP(A153,'2018-19'!$A$12:$AMX361,35,FALSE)</f>
        <v>2.1183712234765339E-2</v>
      </c>
      <c r="H153" s="56"/>
      <c r="I153" s="56">
        <v>419786.68371300527</v>
      </c>
      <c r="J153" s="56">
        <v>1562.9338994904035</v>
      </c>
      <c r="K153" s="16">
        <f t="shared" si="40"/>
        <v>-2.8305883640934781E-2</v>
      </c>
      <c r="L153" s="58">
        <f t="shared" si="40"/>
        <v>-2.8305883640934781E-2</v>
      </c>
      <c r="M153" s="10"/>
      <c r="N153" s="56">
        <v>295645</v>
      </c>
      <c r="O153" s="56">
        <v>31736</v>
      </c>
      <c r="P153" s="56">
        <v>78965</v>
      </c>
      <c r="R153" s="56">
        <f t="shared" si="41"/>
        <v>78965</v>
      </c>
      <c r="S153" s="56">
        <f t="shared" si="42"/>
        <v>1558.2506898110732</v>
      </c>
      <c r="U153" s="16">
        <v>-2.6318601843043687E-2</v>
      </c>
      <c r="V153" s="16">
        <v>-4.8211715772378261E-2</v>
      </c>
      <c r="W153" s="56">
        <f t="shared" si="43"/>
        <v>4</v>
      </c>
      <c r="X153" s="56">
        <f t="shared" si="44"/>
        <v>3036.362824221711</v>
      </c>
      <c r="Y153" s="56">
        <f t="shared" si="44"/>
        <v>333.43549743054291</v>
      </c>
      <c r="AA153" s="56">
        <f t="shared" si="56"/>
        <v>0</v>
      </c>
      <c r="AB153" s="56">
        <v>0</v>
      </c>
      <c r="AC153" s="56">
        <f t="shared" si="45"/>
        <v>1558.2506898110732</v>
      </c>
      <c r="AE153" s="56">
        <v>0</v>
      </c>
      <c r="AF153" s="56">
        <f t="shared" si="46"/>
        <v>0</v>
      </c>
      <c r="AG153" s="56">
        <f t="shared" si="47"/>
        <v>1558.2506898110732</v>
      </c>
      <c r="AI153" s="56">
        <f t="shared" si="48"/>
        <v>1404.0645800548409</v>
      </c>
      <c r="AJ153" s="56">
        <f t="shared" si="49"/>
        <v>154.1861097562323</v>
      </c>
      <c r="AK153" s="56">
        <f t="shared" si="50"/>
        <v>0</v>
      </c>
      <c r="AM153" s="56">
        <f t="shared" si="51"/>
        <v>297049</v>
      </c>
      <c r="AN153" s="56">
        <f t="shared" si="52"/>
        <v>31890</v>
      </c>
      <c r="AO153" s="56">
        <f t="shared" si="53"/>
        <v>78965</v>
      </c>
      <c r="AP153" s="56"/>
      <c r="AQ153" s="56">
        <f t="shared" si="54"/>
        <v>407904</v>
      </c>
      <c r="AR153" s="1"/>
      <c r="AS153" s="56">
        <v>1105.9615988846613</v>
      </c>
      <c r="AT153" s="56">
        <v>118.73164154207504</v>
      </c>
      <c r="AU153" s="56">
        <v>293.999500607399</v>
      </c>
      <c r="AV153" s="56"/>
      <c r="AW153" s="56">
        <v>1518.6927410341352</v>
      </c>
      <c r="AX153" s="1"/>
      <c r="AY153" s="16">
        <v>-2.169464851045777E-2</v>
      </c>
      <c r="AZ153" s="16">
        <v>-4.3593131332907209E-2</v>
      </c>
      <c r="BA153" s="16">
        <v>-4.6395334153757517E-2</v>
      </c>
      <c r="BB153" s="16">
        <f t="shared" si="55"/>
        <v>-2.8306480824744518E-2</v>
      </c>
      <c r="BC153" s="16"/>
      <c r="BD153" s="1"/>
      <c r="BE153" s="16">
        <f>AM153/'2017-18 disagg'!AM153-1</f>
        <v>2.8677000221631221E-2</v>
      </c>
      <c r="BF153" s="16">
        <f>AN153/'2017-18 disagg'!AN153-1</f>
        <v>3.4583441474175913E-2</v>
      </c>
      <c r="BG153" s="16">
        <f>AO153/'2017-18 disagg'!AO153-1</f>
        <v>4.9382716049382713E-2</v>
      </c>
      <c r="BH153" s="16">
        <f>AQ153/'2017-18 disagg'!AQ153-1</f>
        <v>3.3084203514832655E-2</v>
      </c>
      <c r="BI153" s="1"/>
      <c r="BJ153" s="16">
        <f>AS153/'2017-18 disagg'!AS153-1</f>
        <v>1.6826652276827891E-2</v>
      </c>
      <c r="BK153" s="16">
        <f>AT153/'2017-18 disagg'!AT153-1</f>
        <v>2.2665051389864077E-2</v>
      </c>
      <c r="BL153" s="16">
        <f>AU153/'2017-18 disagg'!AU153-1</f>
        <v>3.7293838481624375E-2</v>
      </c>
      <c r="BM153" s="16">
        <f>AW153/'2017-18 disagg'!AW153-1</f>
        <v>2.1183084635637783E-2</v>
      </c>
    </row>
    <row r="154" spans="1:65" x14ac:dyDescent="0.2">
      <c r="A154" s="156" t="s">
        <v>353</v>
      </c>
      <c r="B154" s="156" t="s">
        <v>354</v>
      </c>
      <c r="D154" s="56">
        <f>VLOOKUP(A154,'2018-19'!$A$12:$AMX362,32,FALSE)</f>
        <v>473083.53136382584</v>
      </c>
      <c r="E154" s="56">
        <v>1716.7812491462987</v>
      </c>
      <c r="F154" s="16">
        <f>VLOOKUP(A154,'2018-19'!$A$12:$AMX362,34,FALSE)</f>
        <v>3.3366676344288138E-2</v>
      </c>
      <c r="G154" s="16">
        <f>VLOOKUP(A154,'2018-19'!$A$12:$AMX362,35,FALSE)</f>
        <v>2.1894736572116713E-2</v>
      </c>
      <c r="H154" s="56"/>
      <c r="I154" s="56">
        <v>487478.30865997559</v>
      </c>
      <c r="J154" s="56">
        <v>1769.018712742683</v>
      </c>
      <c r="K154" s="16">
        <f t="shared" si="40"/>
        <v>-2.9529062197084066E-2</v>
      </c>
      <c r="L154" s="58">
        <f t="shared" si="40"/>
        <v>-2.9529062197084066E-2</v>
      </c>
      <c r="M154" s="10"/>
      <c r="N154" s="56">
        <v>360681</v>
      </c>
      <c r="O154" s="56">
        <v>34475</v>
      </c>
      <c r="P154" s="56">
        <v>75188</v>
      </c>
      <c r="R154" s="56">
        <f t="shared" si="41"/>
        <v>75188</v>
      </c>
      <c r="S154" s="56">
        <f t="shared" si="42"/>
        <v>2739.5313638258376</v>
      </c>
      <c r="U154" s="16">
        <v>-1.7885847035131408E-2</v>
      </c>
      <c r="V154" s="16">
        <v>-4.2358552154026063E-2</v>
      </c>
      <c r="W154" s="56">
        <f t="shared" si="43"/>
        <v>4</v>
      </c>
      <c r="X154" s="56">
        <f t="shared" si="44"/>
        <v>3672.4956962604938</v>
      </c>
      <c r="Y154" s="56">
        <f t="shared" si="44"/>
        <v>359.99903802769535</v>
      </c>
      <c r="AA154" s="56">
        <f t="shared" si="56"/>
        <v>0</v>
      </c>
      <c r="AB154" s="56">
        <v>0</v>
      </c>
      <c r="AC154" s="56">
        <f t="shared" si="45"/>
        <v>2739.5313638258376</v>
      </c>
      <c r="AE154" s="56">
        <v>0</v>
      </c>
      <c r="AF154" s="56">
        <f t="shared" si="46"/>
        <v>0</v>
      </c>
      <c r="AG154" s="56">
        <f t="shared" si="47"/>
        <v>2739.5313638258376</v>
      </c>
      <c r="AI154" s="56">
        <f t="shared" si="48"/>
        <v>2494.961012068617</v>
      </c>
      <c r="AJ154" s="56">
        <f t="shared" si="49"/>
        <v>244.57035175722049</v>
      </c>
      <c r="AK154" s="56">
        <f t="shared" si="50"/>
        <v>0</v>
      </c>
      <c r="AM154" s="56">
        <f t="shared" si="51"/>
        <v>363176</v>
      </c>
      <c r="AN154" s="56">
        <f t="shared" si="52"/>
        <v>34720</v>
      </c>
      <c r="AO154" s="56">
        <f t="shared" si="53"/>
        <v>75188</v>
      </c>
      <c r="AP154" s="56"/>
      <c r="AQ154" s="56">
        <f t="shared" si="54"/>
        <v>473084</v>
      </c>
      <c r="AR154" s="1"/>
      <c r="AS154" s="56">
        <v>1317.9358519256023</v>
      </c>
      <c r="AT154" s="56">
        <v>125.99602611091292</v>
      </c>
      <c r="AU154" s="56">
        <v>272.85107175193895</v>
      </c>
      <c r="AV154" s="56"/>
      <c r="AW154" s="56">
        <v>1716.7829497884541</v>
      </c>
      <c r="AX154" s="1"/>
      <c r="AY154" s="16">
        <v>-1.1092101837443358E-2</v>
      </c>
      <c r="AZ154" s="16">
        <v>-3.5552978412988656E-2</v>
      </c>
      <c r="BA154" s="16">
        <v>-0.10733658142541214</v>
      </c>
      <c r="BB154" s="16">
        <f t="shared" si="55"/>
        <v>-2.9528100849336214E-2</v>
      </c>
      <c r="BC154" s="16"/>
      <c r="BD154" s="1"/>
      <c r="BE154" s="16">
        <f>AM154/'2017-18 disagg'!AM154-1</f>
        <v>3.0458998811148552E-2</v>
      </c>
      <c r="BF154" s="16">
        <f>AN154/'2017-18 disagg'!AN154-1</f>
        <v>3.0664648083830626E-2</v>
      </c>
      <c r="BG154" s="16">
        <f>AO154/'2017-18 disagg'!AO154-1</f>
        <v>4.8939732142857073E-2</v>
      </c>
      <c r="BH154" s="16">
        <f>AQ154/'2017-18 disagg'!AQ154-1</f>
        <v>3.3367699996505129E-2</v>
      </c>
      <c r="BI154" s="1"/>
      <c r="BJ154" s="16">
        <f>AS154/'2017-18 disagg'!AS154-1</f>
        <v>1.9019338676303121E-2</v>
      </c>
      <c r="BK154" s="16">
        <f>AT154/'2017-18 disagg'!AT154-1</f>
        <v>1.9222704929681145E-2</v>
      </c>
      <c r="BL154" s="16">
        <f>AU154/'2017-18 disagg'!AU154-1</f>
        <v>3.7294907796139531E-2</v>
      </c>
      <c r="BM154" s="16">
        <f>AW154/'2017-18 disagg'!AW154-1</f>
        <v>2.189574886023915E-2</v>
      </c>
    </row>
    <row r="155" spans="1:65" x14ac:dyDescent="0.2">
      <c r="A155" s="156" t="s">
        <v>355</v>
      </c>
      <c r="B155" s="156" t="s">
        <v>356</v>
      </c>
      <c r="D155" s="56">
        <f>VLOOKUP(A155,'2018-19'!$A$12:$AMX363,32,FALSE)</f>
        <v>494669.45835839299</v>
      </c>
      <c r="E155" s="56">
        <v>1553.0216205468562</v>
      </c>
      <c r="F155" s="16">
        <f>VLOOKUP(A155,'2018-19'!$A$12:$AMX363,34,FALSE)</f>
        <v>3.4990267432707833E-2</v>
      </c>
      <c r="G155" s="16">
        <f>VLOOKUP(A155,'2018-19'!$A$12:$AMX363,35,FALSE)</f>
        <v>2.0207850022190721E-2</v>
      </c>
      <c r="H155" s="56"/>
      <c r="I155" s="56">
        <v>507549.40688001993</v>
      </c>
      <c r="J155" s="56">
        <v>1593.4583974442987</v>
      </c>
      <c r="K155" s="16">
        <f t="shared" si="40"/>
        <v>-2.5376738396369891E-2</v>
      </c>
      <c r="L155" s="58">
        <f t="shared" si="40"/>
        <v>-2.537673839636978E-2</v>
      </c>
      <c r="M155" s="10"/>
      <c r="N155" s="56">
        <v>361792</v>
      </c>
      <c r="O155" s="56">
        <v>40174</v>
      </c>
      <c r="P155" s="56">
        <v>91644</v>
      </c>
      <c r="R155" s="56">
        <f t="shared" si="41"/>
        <v>91644</v>
      </c>
      <c r="S155" s="56">
        <f t="shared" si="42"/>
        <v>1059.4583583929925</v>
      </c>
      <c r="U155" s="16">
        <v>-3.6113523445665319E-2</v>
      </c>
      <c r="V155" s="16">
        <v>-4.8923235283337418E-2</v>
      </c>
      <c r="W155" s="56">
        <f t="shared" si="43"/>
        <v>4</v>
      </c>
      <c r="X155" s="56">
        <f t="shared" si="44"/>
        <v>3753.4710653200623</v>
      </c>
      <c r="Y155" s="56">
        <f t="shared" si="44"/>
        <v>422.40544076343116</v>
      </c>
      <c r="AA155" s="56">
        <f t="shared" si="56"/>
        <v>0</v>
      </c>
      <c r="AB155" s="56">
        <v>0</v>
      </c>
      <c r="AC155" s="56">
        <f t="shared" si="45"/>
        <v>1059.4583583929925</v>
      </c>
      <c r="AE155" s="56">
        <v>0</v>
      </c>
      <c r="AF155" s="56">
        <f t="shared" si="46"/>
        <v>0</v>
      </c>
      <c r="AG155" s="56">
        <f t="shared" si="47"/>
        <v>1059.4583583929925</v>
      </c>
      <c r="AI155" s="56">
        <f t="shared" si="48"/>
        <v>952.29020478607049</v>
      </c>
      <c r="AJ155" s="56">
        <f t="shared" si="49"/>
        <v>107.16815360692216</v>
      </c>
      <c r="AK155" s="56">
        <f t="shared" si="50"/>
        <v>0</v>
      </c>
      <c r="AM155" s="56">
        <f t="shared" si="51"/>
        <v>362744</v>
      </c>
      <c r="AN155" s="56">
        <f t="shared" si="52"/>
        <v>40281</v>
      </c>
      <c r="AO155" s="56">
        <f t="shared" si="53"/>
        <v>91644</v>
      </c>
      <c r="AP155" s="56"/>
      <c r="AQ155" s="56">
        <f t="shared" si="54"/>
        <v>494669</v>
      </c>
      <c r="AR155" s="1"/>
      <c r="AS155" s="56">
        <v>1138.8398155673005</v>
      </c>
      <c r="AT155" s="56">
        <v>126.46275778749322</v>
      </c>
      <c r="AU155" s="56">
        <v>287.71760816953474</v>
      </c>
      <c r="AV155" s="56"/>
      <c r="AW155" s="56">
        <v>1553.0201815243286</v>
      </c>
      <c r="AX155" s="1"/>
      <c r="AY155" s="16">
        <v>-3.3577204440049524E-2</v>
      </c>
      <c r="AZ155" s="16">
        <v>-4.639012397192499E-2</v>
      </c>
      <c r="BA155" s="16">
        <v>1.8699542984124351E-2</v>
      </c>
      <c r="BB155" s="16">
        <f t="shared" si="55"/>
        <v>-2.5377641477699053E-2</v>
      </c>
      <c r="BC155" s="16"/>
      <c r="BD155" s="1"/>
      <c r="BE155" s="16">
        <f>AM155/'2017-18 disagg'!AM155-1</f>
        <v>2.9385139717755138E-2</v>
      </c>
      <c r="BF155" s="16">
        <f>AN155/'2017-18 disagg'!AN155-1</f>
        <v>4.707564335846115E-2</v>
      </c>
      <c r="BG155" s="16">
        <f>AO155/'2017-18 disagg'!AO155-1</f>
        <v>5.2326983361466128E-2</v>
      </c>
      <c r="BH155" s="16">
        <f>AQ155/'2017-18 disagg'!AQ155-1</f>
        <v>3.4989308415595E-2</v>
      </c>
      <c r="BI155" s="1"/>
      <c r="BJ155" s="16">
        <f>AS155/'2017-18 disagg'!AS155-1</f>
        <v>1.468277845861321E-2</v>
      </c>
      <c r="BK155" s="16">
        <f>AT155/'2017-18 disagg'!AT155-1</f>
        <v>3.212061459388682E-2</v>
      </c>
      <c r="BL155" s="16">
        <f>AU155/'2017-18 disagg'!AU155-1</f>
        <v>3.7296951476252227E-2</v>
      </c>
      <c r="BM155" s="16">
        <f>AW155/'2017-18 disagg'!AW155-1</f>
        <v>2.0206904702396278E-2</v>
      </c>
    </row>
    <row r="156" spans="1:65" x14ac:dyDescent="0.2">
      <c r="A156" s="156" t="s">
        <v>357</v>
      </c>
      <c r="B156" s="156" t="s">
        <v>358</v>
      </c>
      <c r="D156" s="56">
        <f>VLOOKUP(A156,'2018-19'!$A$12:$AMX364,32,FALSE)</f>
        <v>472589.57352597319</v>
      </c>
      <c r="E156" s="56">
        <v>1477.8076800988201</v>
      </c>
      <c r="F156" s="16">
        <f>VLOOKUP(A156,'2018-19'!$A$12:$AMX364,34,FALSE)</f>
        <v>3.4063072512861892E-2</v>
      </c>
      <c r="G156" s="16">
        <f>VLOOKUP(A156,'2018-19'!$A$12:$AMX364,35,FALSE)</f>
        <v>1.9417485563647752E-2</v>
      </c>
      <c r="H156" s="56"/>
      <c r="I156" s="56">
        <v>483824.79707004089</v>
      </c>
      <c r="J156" s="56">
        <v>1512.9407015854606</v>
      </c>
      <c r="K156" s="16">
        <f t="shared" si="40"/>
        <v>-2.3221677789369788E-2</v>
      </c>
      <c r="L156" s="58">
        <f t="shared" si="40"/>
        <v>-2.3221677789369677E-2</v>
      </c>
      <c r="M156" s="10"/>
      <c r="N156" s="56">
        <v>347838</v>
      </c>
      <c r="O156" s="56">
        <v>39428</v>
      </c>
      <c r="P156" s="56">
        <v>84517</v>
      </c>
      <c r="R156" s="56">
        <f t="shared" si="41"/>
        <v>84517</v>
      </c>
      <c r="S156" s="56">
        <f t="shared" si="42"/>
        <v>806.57352597318823</v>
      </c>
      <c r="U156" s="16">
        <v>-3.3160530469779403E-2</v>
      </c>
      <c r="V156" s="16">
        <v>-4.8728012131514453E-2</v>
      </c>
      <c r="W156" s="56">
        <f t="shared" si="43"/>
        <v>4</v>
      </c>
      <c r="X156" s="56">
        <f t="shared" si="44"/>
        <v>3597.6810107784659</v>
      </c>
      <c r="Y156" s="56">
        <f t="shared" si="44"/>
        <v>414.47662185813221</v>
      </c>
      <c r="AA156" s="56">
        <f t="shared" si="56"/>
        <v>0</v>
      </c>
      <c r="AB156" s="56">
        <v>0</v>
      </c>
      <c r="AC156" s="56">
        <f t="shared" si="45"/>
        <v>806.57352597318823</v>
      </c>
      <c r="AE156" s="56">
        <v>0</v>
      </c>
      <c r="AF156" s="56">
        <f t="shared" si="46"/>
        <v>0</v>
      </c>
      <c r="AG156" s="56">
        <f t="shared" si="47"/>
        <v>806.57352597318823</v>
      </c>
      <c r="AI156" s="56">
        <f t="shared" si="48"/>
        <v>723.25031164925861</v>
      </c>
      <c r="AJ156" s="56">
        <f t="shared" si="49"/>
        <v>83.323214323929662</v>
      </c>
      <c r="AK156" s="56">
        <f t="shared" si="50"/>
        <v>0</v>
      </c>
      <c r="AM156" s="56">
        <f t="shared" si="51"/>
        <v>348561</v>
      </c>
      <c r="AN156" s="56">
        <f t="shared" si="52"/>
        <v>39511</v>
      </c>
      <c r="AO156" s="56">
        <f t="shared" si="53"/>
        <v>84517</v>
      </c>
      <c r="AP156" s="56"/>
      <c r="AQ156" s="56">
        <f t="shared" si="54"/>
        <v>472589</v>
      </c>
      <c r="AR156" s="1"/>
      <c r="AS156" s="56">
        <v>1089.9650598292665</v>
      </c>
      <c r="AT156" s="56">
        <v>123.55257610264529</v>
      </c>
      <c r="AU156" s="56">
        <v>264.28825072681713</v>
      </c>
      <c r="AV156" s="56"/>
      <c r="AW156" s="56">
        <v>1477.8058866587287</v>
      </c>
      <c r="AX156" s="1"/>
      <c r="AY156" s="16">
        <v>-3.1150902607181452E-2</v>
      </c>
      <c r="AZ156" s="16">
        <v>-4.6725486642190006E-2</v>
      </c>
      <c r="BA156" s="16">
        <v>2.3096338326517918E-2</v>
      </c>
      <c r="BB156" s="16">
        <f t="shared" si="55"/>
        <v>-2.3222863189491183E-2</v>
      </c>
      <c r="BC156" s="16"/>
      <c r="BD156" s="1"/>
      <c r="BE156" s="16">
        <f>AM156/'2017-18 disagg'!AM156-1</f>
        <v>2.8692092704794891E-2</v>
      </c>
      <c r="BF156" s="16">
        <f>AN156/'2017-18 disagg'!AN156-1</f>
        <v>4.3635595234950753E-2</v>
      </c>
      <c r="BG156" s="16">
        <f>AO156/'2017-18 disagg'!AO156-1</f>
        <v>5.2201085603306607E-2</v>
      </c>
      <c r="BH156" s="16">
        <f>AQ156/'2017-18 disagg'!AQ156-1</f>
        <v>3.4061817593026067E-2</v>
      </c>
      <c r="BI156" s="1"/>
      <c r="BJ156" s="16">
        <f>AS156/'2017-18 disagg'!AS156-1</f>
        <v>1.4122575730297626E-2</v>
      </c>
      <c r="BK156" s="16">
        <f>AT156/'2017-18 disagg'!AT156-1</f>
        <v>2.8854431242540501E-2</v>
      </c>
      <c r="BL156" s="16">
        <f>AU156/'2017-18 disagg'!AU156-1</f>
        <v>3.7298607314614873E-2</v>
      </c>
      <c r="BM156" s="16">
        <f>AW156/'2017-18 disagg'!AW156-1</f>
        <v>1.9416248417425619E-2</v>
      </c>
    </row>
    <row r="157" spans="1:65" x14ac:dyDescent="0.2">
      <c r="A157" s="156" t="s">
        <v>359</v>
      </c>
      <c r="B157" s="156" t="s">
        <v>360</v>
      </c>
      <c r="D157" s="56">
        <f>VLOOKUP(A157,'2018-19'!$A$12:$AMX365,32,FALSE)</f>
        <v>480565</v>
      </c>
      <c r="E157" s="56">
        <v>1953.5245794833243</v>
      </c>
      <c r="F157" s="16">
        <f>VLOOKUP(A157,'2018-19'!$A$12:$AMX365,34,FALSE)</f>
        <v>3.4162559986227414E-2</v>
      </c>
      <c r="G157" s="16">
        <f>VLOOKUP(A157,'2018-19'!$A$12:$AMX365,35,FALSE)</f>
        <v>1.8784652802424473E-2</v>
      </c>
      <c r="H157" s="56"/>
      <c r="I157" s="56">
        <v>464212.09632018779</v>
      </c>
      <c r="J157" s="56">
        <v>1887.0490781787423</v>
      </c>
      <c r="K157" s="16">
        <f t="shared" si="40"/>
        <v>3.5227224386098044E-2</v>
      </c>
      <c r="L157" s="58">
        <f t="shared" si="40"/>
        <v>3.5227224386098044E-2</v>
      </c>
      <c r="M157" s="10"/>
      <c r="N157" s="56">
        <v>344901</v>
      </c>
      <c r="O157" s="56">
        <v>37165</v>
      </c>
      <c r="P157" s="56">
        <v>98499</v>
      </c>
      <c r="R157" s="56">
        <f t="shared" si="41"/>
        <v>98499</v>
      </c>
      <c r="S157" s="56">
        <f t="shared" si="42"/>
        <v>0</v>
      </c>
      <c r="U157" s="16">
        <v>5.478443619665696E-2</v>
      </c>
      <c r="V157" s="16">
        <v>-4.9922785841499673E-2</v>
      </c>
      <c r="W157" s="56">
        <f t="shared" si="43"/>
        <v>3</v>
      </c>
      <c r="X157" s="56">
        <f t="shared" si="44"/>
        <v>3269.8719109247049</v>
      </c>
      <c r="Y157" s="56">
        <f t="shared" si="44"/>
        <v>391.17873206671607</v>
      </c>
      <c r="AA157" s="56">
        <f t="shared" si="56"/>
        <v>0</v>
      </c>
      <c r="AB157" s="56">
        <v>0</v>
      </c>
      <c r="AC157" s="56">
        <f t="shared" si="45"/>
        <v>0</v>
      </c>
      <c r="AE157" s="56">
        <v>0</v>
      </c>
      <c r="AF157" s="56">
        <f t="shared" si="46"/>
        <v>0</v>
      </c>
      <c r="AG157" s="56">
        <f t="shared" si="47"/>
        <v>0</v>
      </c>
      <c r="AI157" s="56">
        <f t="shared" si="48"/>
        <v>0</v>
      </c>
      <c r="AJ157" s="56">
        <f t="shared" si="49"/>
        <v>0</v>
      </c>
      <c r="AK157" s="56">
        <f t="shared" si="50"/>
        <v>0</v>
      </c>
      <c r="AM157" s="56">
        <f t="shared" si="51"/>
        <v>344901</v>
      </c>
      <c r="AN157" s="56">
        <f t="shared" si="52"/>
        <v>37165</v>
      </c>
      <c r="AO157" s="56">
        <f t="shared" si="53"/>
        <v>98499</v>
      </c>
      <c r="AP157" s="56"/>
      <c r="AQ157" s="56">
        <f t="shared" si="54"/>
        <v>480565</v>
      </c>
      <c r="AR157" s="1"/>
      <c r="AS157" s="56">
        <v>1402.042556133672</v>
      </c>
      <c r="AT157" s="56">
        <v>151.07787915578069</v>
      </c>
      <c r="AU157" s="56">
        <v>400.40414419387173</v>
      </c>
      <c r="AV157" s="56"/>
      <c r="AW157" s="56">
        <v>1953.5245794833243</v>
      </c>
      <c r="AX157" s="1"/>
      <c r="AY157" s="16">
        <v>5.478443619665696E-2</v>
      </c>
      <c r="AZ157" s="16">
        <v>-4.9922785841499673E-2</v>
      </c>
      <c r="BA157" s="16">
        <v>3.9953097232643398E-3</v>
      </c>
      <c r="BB157" s="16">
        <f t="shared" si="55"/>
        <v>3.5227224386098044E-2</v>
      </c>
      <c r="BC157" s="16"/>
      <c r="BD157" s="1"/>
      <c r="BE157" s="16">
        <f>AM157/'2017-18 disagg'!AM157-1</f>
        <v>2.7295174496704266E-2</v>
      </c>
      <c r="BF157" s="16">
        <f>AN157/'2017-18 disagg'!AN157-1</f>
        <v>4.9621554450971495E-2</v>
      </c>
      <c r="BG157" s="16">
        <f>AO157/'2017-18 disagg'!AO157-1</f>
        <v>5.2958469185953261E-2</v>
      </c>
      <c r="BH157" s="16">
        <f>AQ157/'2017-18 disagg'!AQ157-1</f>
        <v>3.4162559986227414E-2</v>
      </c>
      <c r="BI157" s="1"/>
      <c r="BJ157" s="16">
        <f>AS157/'2017-18 disagg'!AS157-1</f>
        <v>1.201938473693076E-2</v>
      </c>
      <c r="BK157" s="16">
        <f>AT157/'2017-18 disagg'!AT157-1</f>
        <v>3.4013773366070588E-2</v>
      </c>
      <c r="BL157" s="16">
        <f>AU157/'2017-18 disagg'!AU157-1</f>
        <v>3.7301068469613119E-2</v>
      </c>
      <c r="BM157" s="16">
        <f>AW157/'2017-18 disagg'!AW157-1</f>
        <v>1.8784652802424473E-2</v>
      </c>
    </row>
    <row r="158" spans="1:65" x14ac:dyDescent="0.2">
      <c r="A158" s="156" t="s">
        <v>361</v>
      </c>
      <c r="B158" s="156" t="s">
        <v>362</v>
      </c>
      <c r="D158" s="56">
        <f>VLOOKUP(A158,'2018-19'!$A$12:$AMX366,32,FALSE)</f>
        <v>309874</v>
      </c>
      <c r="E158" s="56">
        <v>1459.8517499079346</v>
      </c>
      <c r="F158" s="16">
        <f>VLOOKUP(A158,'2018-19'!$A$12:$AMX366,34,FALSE)</f>
        <v>3.1510479081782172E-2</v>
      </c>
      <c r="G158" s="16">
        <f>VLOOKUP(A158,'2018-19'!$A$12:$AMX366,35,FALSE)</f>
        <v>1.6402094561846603E-2</v>
      </c>
      <c r="H158" s="56"/>
      <c r="I158" s="56">
        <v>312379.50215201819</v>
      </c>
      <c r="J158" s="56">
        <v>1471.6554562563917</v>
      </c>
      <c r="K158" s="16">
        <f t="shared" si="40"/>
        <v>-8.0206996129947861E-3</v>
      </c>
      <c r="L158" s="58">
        <f t="shared" si="40"/>
        <v>-8.020699612994675E-3</v>
      </c>
      <c r="M158" s="10"/>
      <c r="N158" s="56">
        <v>229171</v>
      </c>
      <c r="O158" s="56">
        <v>25916</v>
      </c>
      <c r="P158" s="56">
        <v>54787</v>
      </c>
      <c r="R158" s="56">
        <f t="shared" si="41"/>
        <v>54787</v>
      </c>
      <c r="S158" s="56">
        <f t="shared" si="42"/>
        <v>0</v>
      </c>
      <c r="U158" s="16">
        <v>-7.8454261184026652E-3</v>
      </c>
      <c r="V158" s="16">
        <v>8.3105540832855151E-3</v>
      </c>
      <c r="W158" s="56">
        <f t="shared" si="43"/>
        <v>1</v>
      </c>
      <c r="X158" s="56">
        <f t="shared" si="44"/>
        <v>2309.8316132678437</v>
      </c>
      <c r="Y158" s="56">
        <f t="shared" si="44"/>
        <v>257.02398824498829</v>
      </c>
      <c r="AA158" s="56">
        <f t="shared" si="56"/>
        <v>0</v>
      </c>
      <c r="AB158" s="56">
        <v>0</v>
      </c>
      <c r="AC158" s="56">
        <f t="shared" si="45"/>
        <v>0</v>
      </c>
      <c r="AE158" s="56">
        <v>0</v>
      </c>
      <c r="AF158" s="56">
        <f t="shared" si="46"/>
        <v>0</v>
      </c>
      <c r="AG158" s="56">
        <f t="shared" si="47"/>
        <v>0</v>
      </c>
      <c r="AI158" s="56">
        <f t="shared" si="48"/>
        <v>0</v>
      </c>
      <c r="AJ158" s="56">
        <f t="shared" si="49"/>
        <v>0</v>
      </c>
      <c r="AK158" s="56">
        <f t="shared" si="50"/>
        <v>0</v>
      </c>
      <c r="AM158" s="56">
        <f t="shared" si="51"/>
        <v>229171</v>
      </c>
      <c r="AN158" s="56">
        <f t="shared" si="52"/>
        <v>25916</v>
      </c>
      <c r="AO158" s="56">
        <f t="shared" si="53"/>
        <v>54787</v>
      </c>
      <c r="AP158" s="56"/>
      <c r="AQ158" s="56">
        <f t="shared" si="54"/>
        <v>309874</v>
      </c>
      <c r="AR158" s="1"/>
      <c r="AS158" s="56">
        <v>1079.6507140907313</v>
      </c>
      <c r="AT158" s="56">
        <v>122.0932312830829</v>
      </c>
      <c r="AU158" s="56">
        <v>258.10780453412036</v>
      </c>
      <c r="AV158" s="56"/>
      <c r="AW158" s="56">
        <v>1459.8517499079346</v>
      </c>
      <c r="AX158" s="1"/>
      <c r="AY158" s="16">
        <v>-7.8454261184026652E-3</v>
      </c>
      <c r="AZ158" s="16">
        <v>8.3105540832855151E-3</v>
      </c>
      <c r="BA158" s="16">
        <v>-1.6284392308287154E-2</v>
      </c>
      <c r="BB158" s="16">
        <f t="shared" si="55"/>
        <v>-8.0206996129947861E-3</v>
      </c>
      <c r="BC158" s="16"/>
      <c r="BD158" s="1"/>
      <c r="BE158" s="16">
        <f>AM158/'2017-18 disagg'!AM158-1</f>
        <v>2.7064697129949966E-2</v>
      </c>
      <c r="BF158" s="16">
        <f>AN158/'2017-18 disagg'!AN158-1</f>
        <v>2.7067728767883326E-2</v>
      </c>
      <c r="BG158" s="16">
        <f>AO158/'2017-18 disagg'!AO158-1</f>
        <v>5.2725630728436057E-2</v>
      </c>
      <c r="BH158" s="16">
        <f>AQ158/'2017-18 disagg'!AQ158-1</f>
        <v>3.1510479081782172E-2</v>
      </c>
      <c r="BI158" s="1"/>
      <c r="BJ158" s="16">
        <f>AS158/'2017-18 disagg'!AS158-1</f>
        <v>1.2021429334063694E-2</v>
      </c>
      <c r="BK158" s="16">
        <f>AT158/'2017-18 disagg'!AT158-1</f>
        <v>1.2024416568035434E-2</v>
      </c>
      <c r="BL158" s="16">
        <f>AU158/'2017-18 disagg'!AU158-1</f>
        <v>3.7306510956434558E-2</v>
      </c>
      <c r="BM158" s="16">
        <f>AW158/'2017-18 disagg'!AW158-1</f>
        <v>1.6402094561846603E-2</v>
      </c>
    </row>
    <row r="159" spans="1:65" x14ac:dyDescent="0.2">
      <c r="A159" s="156" t="s">
        <v>363</v>
      </c>
      <c r="B159" s="156" t="s">
        <v>364</v>
      </c>
      <c r="D159" s="56">
        <f>VLOOKUP(A159,'2018-19'!$A$12:$AMX367,32,FALSE)</f>
        <v>698514</v>
      </c>
      <c r="E159" s="56">
        <v>1760.3276563304039</v>
      </c>
      <c r="F159" s="16">
        <f>VLOOKUP(A159,'2018-19'!$A$12:$AMX367,34,FALSE)</f>
        <v>2.8902977204032343E-2</v>
      </c>
      <c r="G159" s="16">
        <f>VLOOKUP(A159,'2018-19'!$A$12:$AMX367,35,FALSE)</f>
        <v>1.810605405366239E-2</v>
      </c>
      <c r="H159" s="56"/>
      <c r="I159" s="56">
        <v>705387.42128147965</v>
      </c>
      <c r="J159" s="56">
        <v>1777.6493901473332</v>
      </c>
      <c r="K159" s="16">
        <f t="shared" si="40"/>
        <v>-9.7441789775506438E-3</v>
      </c>
      <c r="L159" s="58">
        <f t="shared" si="40"/>
        <v>-9.7441789775506438E-3</v>
      </c>
      <c r="M159" s="10"/>
      <c r="N159" s="56">
        <v>471871</v>
      </c>
      <c r="O159" s="56">
        <v>55318</v>
      </c>
      <c r="P159" s="56">
        <v>171325</v>
      </c>
      <c r="R159" s="56">
        <f t="shared" si="41"/>
        <v>171325</v>
      </c>
      <c r="S159" s="56">
        <f t="shared" si="42"/>
        <v>0</v>
      </c>
      <c r="U159" s="16">
        <v>-1.9134794236702724E-2</v>
      </c>
      <c r="V159" s="16">
        <v>-3.9632293041090505E-2</v>
      </c>
      <c r="W159" s="56">
        <f t="shared" si="43"/>
        <v>4</v>
      </c>
      <c r="X159" s="56">
        <f t="shared" si="44"/>
        <v>4810.7629593486881</v>
      </c>
      <c r="Y159" s="56">
        <f t="shared" si="44"/>
        <v>576.00853922055967</v>
      </c>
      <c r="AA159" s="56">
        <f t="shared" si="56"/>
        <v>0</v>
      </c>
      <c r="AB159" s="56">
        <v>0</v>
      </c>
      <c r="AC159" s="56">
        <f t="shared" si="45"/>
        <v>0</v>
      </c>
      <c r="AE159" s="56">
        <v>0</v>
      </c>
      <c r="AF159" s="56">
        <f t="shared" si="46"/>
        <v>0</v>
      </c>
      <c r="AG159" s="56">
        <f t="shared" si="47"/>
        <v>0</v>
      </c>
      <c r="AI159" s="56">
        <f t="shared" si="48"/>
        <v>0</v>
      </c>
      <c r="AJ159" s="56">
        <f t="shared" si="49"/>
        <v>0</v>
      </c>
      <c r="AK159" s="56">
        <f t="shared" si="50"/>
        <v>0</v>
      </c>
      <c r="AM159" s="56">
        <f t="shared" si="51"/>
        <v>471871</v>
      </c>
      <c r="AN159" s="56">
        <f t="shared" si="52"/>
        <v>55318</v>
      </c>
      <c r="AO159" s="56">
        <f t="shared" si="53"/>
        <v>171325</v>
      </c>
      <c r="AP159" s="56"/>
      <c r="AQ159" s="56">
        <f t="shared" si="54"/>
        <v>698514</v>
      </c>
      <c r="AR159" s="1"/>
      <c r="AS159" s="56">
        <v>1189.1638127801075</v>
      </c>
      <c r="AT159" s="56">
        <v>139.40709175891288</v>
      </c>
      <c r="AU159" s="56">
        <v>431.75675179138346</v>
      </c>
      <c r="AV159" s="56"/>
      <c r="AW159" s="56">
        <v>1760.3276563304039</v>
      </c>
      <c r="AX159" s="1"/>
      <c r="AY159" s="16">
        <v>-1.9134794236702724E-2</v>
      </c>
      <c r="AZ159" s="16">
        <v>-3.9632293041090505E-2</v>
      </c>
      <c r="BA159" s="16">
        <v>2.7681129279028882E-2</v>
      </c>
      <c r="BB159" s="16">
        <f t="shared" si="55"/>
        <v>-9.7441789775506438E-3</v>
      </c>
      <c r="BC159" s="16"/>
      <c r="BD159" s="1"/>
      <c r="BE159" s="16">
        <f>AM159/'2017-18 disagg'!AM159-1</f>
        <v>2.275160715601654E-2</v>
      </c>
      <c r="BF159" s="16">
        <f>AN159/'2017-18 disagg'!AN159-1</f>
        <v>2.2759628006729926E-2</v>
      </c>
      <c r="BG159" s="16">
        <f>AO159/'2017-18 disagg'!AO159-1</f>
        <v>4.8301729781987435E-2</v>
      </c>
      <c r="BH159" s="16">
        <f>AQ159/'2017-18 disagg'!AQ159-1</f>
        <v>2.8902977204032343E-2</v>
      </c>
      <c r="BI159" s="1"/>
      <c r="BJ159" s="16">
        <f>AS159/'2017-18 disagg'!AS159-1</f>
        <v>1.2019234183019201E-2</v>
      </c>
      <c r="BK159" s="16">
        <f>AT159/'2017-18 disagg'!AT159-1</f>
        <v>1.2027170865923864E-2</v>
      </c>
      <c r="BL159" s="16">
        <f>AU159/'2017-18 disagg'!AU159-1</f>
        <v>3.7301243374985971E-2</v>
      </c>
      <c r="BM159" s="16">
        <f>AW159/'2017-18 disagg'!AW159-1</f>
        <v>1.810605405366239E-2</v>
      </c>
    </row>
    <row r="160" spans="1:65" x14ac:dyDescent="0.2">
      <c r="A160" s="156" t="s">
        <v>365</v>
      </c>
      <c r="B160" s="156" t="s">
        <v>366</v>
      </c>
      <c r="D160" s="56">
        <f>VLOOKUP(A160,'2018-19'!$A$12:$AMX368,32,FALSE)</f>
        <v>592066</v>
      </c>
      <c r="E160" s="56">
        <v>1814.8890202335344</v>
      </c>
      <c r="F160" s="16">
        <f>VLOOKUP(A160,'2018-19'!$A$12:$AMX368,34,FALSE)</f>
        <v>3.2113994045087191E-2</v>
      </c>
      <c r="G160" s="16">
        <f>VLOOKUP(A160,'2018-19'!$A$12:$AMX368,35,FALSE)</f>
        <v>1.8128445481732536E-2</v>
      </c>
      <c r="H160" s="56"/>
      <c r="I160" s="56">
        <v>586063.49993608973</v>
      </c>
      <c r="J160" s="56">
        <v>1796.4892616594198</v>
      </c>
      <c r="K160" s="16">
        <f t="shared" si="40"/>
        <v>1.0242064323345179E-2</v>
      </c>
      <c r="L160" s="58">
        <f t="shared" si="40"/>
        <v>1.0242064323345179E-2</v>
      </c>
      <c r="M160" s="10"/>
      <c r="N160" s="56">
        <v>426168</v>
      </c>
      <c r="O160" s="56">
        <v>44841</v>
      </c>
      <c r="P160" s="56">
        <v>121057</v>
      </c>
      <c r="R160" s="56">
        <f t="shared" si="41"/>
        <v>121057</v>
      </c>
      <c r="S160" s="56">
        <f t="shared" si="42"/>
        <v>0</v>
      </c>
      <c r="U160" s="16">
        <v>2.0553435301875478E-2</v>
      </c>
      <c r="V160" s="16">
        <v>-4.8664142013828737E-2</v>
      </c>
      <c r="W160" s="56">
        <f t="shared" si="43"/>
        <v>3</v>
      </c>
      <c r="X160" s="56">
        <f t="shared" si="44"/>
        <v>4175.8518981805328</v>
      </c>
      <c r="Y160" s="56">
        <f t="shared" si="44"/>
        <v>471.34773301745781</v>
      </c>
      <c r="AA160" s="56">
        <f t="shared" si="56"/>
        <v>0</v>
      </c>
      <c r="AB160" s="56">
        <v>0</v>
      </c>
      <c r="AC160" s="56">
        <f t="shared" si="45"/>
        <v>0</v>
      </c>
      <c r="AE160" s="56">
        <v>0</v>
      </c>
      <c r="AF160" s="56">
        <f t="shared" si="46"/>
        <v>0</v>
      </c>
      <c r="AG160" s="56">
        <f t="shared" si="47"/>
        <v>0</v>
      </c>
      <c r="AI160" s="56">
        <f t="shared" si="48"/>
        <v>0</v>
      </c>
      <c r="AJ160" s="56">
        <f t="shared" si="49"/>
        <v>0</v>
      </c>
      <c r="AK160" s="56">
        <f t="shared" si="50"/>
        <v>0</v>
      </c>
      <c r="AM160" s="56">
        <f t="shared" si="51"/>
        <v>426168</v>
      </c>
      <c r="AN160" s="56">
        <f t="shared" si="52"/>
        <v>44841</v>
      </c>
      <c r="AO160" s="56">
        <f t="shared" si="53"/>
        <v>121057</v>
      </c>
      <c r="AP160" s="56"/>
      <c r="AQ160" s="56">
        <f t="shared" si="54"/>
        <v>592066</v>
      </c>
      <c r="AR160" s="1"/>
      <c r="AS160" s="56">
        <v>1306.3537240356395</v>
      </c>
      <c r="AT160" s="56">
        <v>137.45332202202442</v>
      </c>
      <c r="AU160" s="56">
        <v>371.08197417587053</v>
      </c>
      <c r="AV160" s="56"/>
      <c r="AW160" s="56">
        <v>1814.8890202335344</v>
      </c>
      <c r="AX160" s="1"/>
      <c r="AY160" s="16">
        <v>2.0553435301875478E-2</v>
      </c>
      <c r="AZ160" s="16">
        <v>-4.8664142013828737E-2</v>
      </c>
      <c r="BA160" s="16">
        <v>-2.3613685887903246E-3</v>
      </c>
      <c r="BB160" s="16">
        <f t="shared" si="55"/>
        <v>1.0242064323345179E-2</v>
      </c>
      <c r="BC160" s="16"/>
      <c r="BD160" s="1"/>
      <c r="BE160" s="16">
        <f>AM160/'2017-18 disagg'!AM160-1</f>
        <v>2.5922002888781881E-2</v>
      </c>
      <c r="BF160" s="16">
        <f>AN160/'2017-18 disagg'!AN160-1</f>
        <v>3.9887757705062477E-2</v>
      </c>
      <c r="BG160" s="16">
        <f>AO160/'2017-18 disagg'!AO160-1</f>
        <v>5.154486940055425E-2</v>
      </c>
      <c r="BH160" s="16">
        <f>AQ160/'2017-18 disagg'!AQ160-1</f>
        <v>3.2113994045087191E-2</v>
      </c>
      <c r="BI160" s="1"/>
      <c r="BJ160" s="16">
        <f>AS160/'2017-18 disagg'!AS160-1</f>
        <v>1.2020358228988393E-2</v>
      </c>
      <c r="BK160" s="16">
        <f>AT160/'2017-18 disagg'!AT160-1</f>
        <v>2.5796871601655225E-2</v>
      </c>
      <c r="BL160" s="16">
        <f>AU160/'2017-18 disagg'!AU160-1</f>
        <v>3.7296024871365852E-2</v>
      </c>
      <c r="BM160" s="16">
        <f>AW160/'2017-18 disagg'!AW160-1</f>
        <v>1.8128445481732536E-2</v>
      </c>
    </row>
    <row r="161" spans="1:65" x14ac:dyDescent="0.2">
      <c r="A161" s="156" t="s">
        <v>367</v>
      </c>
      <c r="B161" s="156" t="s">
        <v>368</v>
      </c>
      <c r="D161" s="56">
        <f>VLOOKUP(A161,'2018-19'!$A$12:$AMX369,32,FALSE)</f>
        <v>340911</v>
      </c>
      <c r="E161" s="56">
        <v>1485.9433389923745</v>
      </c>
      <c r="F161" s="16">
        <f>VLOOKUP(A161,'2018-19'!$A$12:$AMX369,34,FALSE)</f>
        <v>2.9454307171522975E-2</v>
      </c>
      <c r="G161" s="16">
        <f>VLOOKUP(A161,'2018-19'!$A$12:$AMX369,35,FALSE)</f>
        <v>1.6476361695885622E-2</v>
      </c>
      <c r="H161" s="56"/>
      <c r="I161" s="56">
        <v>342067.03227949556</v>
      </c>
      <c r="J161" s="56">
        <v>1490.9821862732676</v>
      </c>
      <c r="K161" s="16">
        <f t="shared" si="40"/>
        <v>-3.379548949198341E-3</v>
      </c>
      <c r="L161" s="58">
        <f t="shared" si="40"/>
        <v>-3.37954894919823E-3</v>
      </c>
      <c r="M161" s="10"/>
      <c r="N161" s="56">
        <v>249377</v>
      </c>
      <c r="O161" s="56">
        <v>29286</v>
      </c>
      <c r="P161" s="56">
        <v>62248</v>
      </c>
      <c r="R161" s="56">
        <f t="shared" si="41"/>
        <v>62248</v>
      </c>
      <c r="S161" s="56">
        <f t="shared" si="42"/>
        <v>0</v>
      </c>
      <c r="U161" s="16">
        <v>-4.3081236329889361E-3</v>
      </c>
      <c r="V161" s="16">
        <v>4.448628452094705E-2</v>
      </c>
      <c r="W161" s="56">
        <f t="shared" si="43"/>
        <v>1</v>
      </c>
      <c r="X161" s="56">
        <f t="shared" si="44"/>
        <v>2504.5599539277541</v>
      </c>
      <c r="Y161" s="56">
        <f t="shared" si="44"/>
        <v>280.38664015039706</v>
      </c>
      <c r="AA161" s="56">
        <f t="shared" si="56"/>
        <v>0</v>
      </c>
      <c r="AB161" s="56">
        <v>0</v>
      </c>
      <c r="AC161" s="56">
        <f t="shared" si="45"/>
        <v>0</v>
      </c>
      <c r="AE161" s="56">
        <v>0</v>
      </c>
      <c r="AF161" s="56">
        <f t="shared" si="46"/>
        <v>0</v>
      </c>
      <c r="AG161" s="56">
        <f t="shared" si="47"/>
        <v>0</v>
      </c>
      <c r="AI161" s="56">
        <f t="shared" si="48"/>
        <v>0</v>
      </c>
      <c r="AJ161" s="56">
        <f t="shared" si="49"/>
        <v>0</v>
      </c>
      <c r="AK161" s="56">
        <f t="shared" si="50"/>
        <v>0</v>
      </c>
      <c r="AM161" s="56">
        <f t="shared" si="51"/>
        <v>249377</v>
      </c>
      <c r="AN161" s="56">
        <f t="shared" si="52"/>
        <v>29286</v>
      </c>
      <c r="AO161" s="56">
        <f t="shared" si="53"/>
        <v>62248</v>
      </c>
      <c r="AP161" s="56"/>
      <c r="AQ161" s="56">
        <f t="shared" si="54"/>
        <v>340911</v>
      </c>
      <c r="AR161" s="1"/>
      <c r="AS161" s="56">
        <v>1086.9701829741527</v>
      </c>
      <c r="AT161" s="56">
        <v>127.65013926136346</v>
      </c>
      <c r="AU161" s="56">
        <v>271.32301675685835</v>
      </c>
      <c r="AV161" s="56"/>
      <c r="AW161" s="56">
        <v>1485.9433389923745</v>
      </c>
      <c r="AX161" s="1"/>
      <c r="AY161" s="16">
        <v>-4.3081236329889361E-3</v>
      </c>
      <c r="AZ161" s="16">
        <v>4.448628452094705E-2</v>
      </c>
      <c r="BA161" s="16">
        <v>-2.083252223971066E-2</v>
      </c>
      <c r="BB161" s="16">
        <f t="shared" si="55"/>
        <v>-3.379548949198341E-3</v>
      </c>
      <c r="BC161" s="16"/>
      <c r="BD161" s="1"/>
      <c r="BE161" s="16">
        <f>AM161/'2017-18 disagg'!AM161-1</f>
        <v>2.4939480249394741E-2</v>
      </c>
      <c r="BF161" s="16">
        <f>AN161/'2017-18 disagg'!AN161-1</f>
        <v>2.4165063822346511E-2</v>
      </c>
      <c r="BG161" s="16">
        <f>AO161/'2017-18 disagg'!AO161-1</f>
        <v>5.0545963917438819E-2</v>
      </c>
      <c r="BH161" s="16">
        <f>AQ161/'2017-18 disagg'!AQ161-1</f>
        <v>2.9454307171522975E-2</v>
      </c>
      <c r="BI161" s="1"/>
      <c r="BJ161" s="16">
        <f>AS161/'2017-18 disagg'!AS161-1</f>
        <v>1.2018451508399419E-2</v>
      </c>
      <c r="BK161" s="16">
        <f>AT161/'2017-18 disagg'!AT161-1</f>
        <v>1.1253797859646308E-2</v>
      </c>
      <c r="BL161" s="16">
        <f>AU161/'2017-18 disagg'!AU161-1</f>
        <v>3.730212381264475E-2</v>
      </c>
      <c r="BM161" s="16">
        <f>AW161/'2017-18 disagg'!AW161-1</f>
        <v>1.6476361695885622E-2</v>
      </c>
    </row>
    <row r="162" spans="1:65" x14ac:dyDescent="0.2">
      <c r="A162" s="156" t="s">
        <v>369</v>
      </c>
      <c r="B162" s="156" t="s">
        <v>370</v>
      </c>
      <c r="D162" s="56">
        <f>VLOOKUP(A162,'2018-19'!$A$12:$AMX370,32,FALSE)</f>
        <v>598389</v>
      </c>
      <c r="E162" s="56">
        <v>1537.6274206140765</v>
      </c>
      <c r="F162" s="16">
        <f>VLOOKUP(A162,'2018-19'!$A$12:$AMX370,34,FALSE)</f>
        <v>3.1457978174196155E-2</v>
      </c>
      <c r="G162" s="16">
        <f>VLOOKUP(A162,'2018-19'!$A$12:$AMX370,35,FALSE)</f>
        <v>1.6339833162528405E-2</v>
      </c>
      <c r="H162" s="56"/>
      <c r="I162" s="56">
        <v>585055.29447862692</v>
      </c>
      <c r="J162" s="56">
        <v>1503.3649738978827</v>
      </c>
      <c r="K162" s="16">
        <f t="shared" si="40"/>
        <v>2.2790504841521786E-2</v>
      </c>
      <c r="L162" s="58">
        <f t="shared" si="40"/>
        <v>2.2790504841521786E-2</v>
      </c>
      <c r="M162" s="10"/>
      <c r="N162" s="56">
        <v>441068</v>
      </c>
      <c r="O162" s="56">
        <v>52985</v>
      </c>
      <c r="P162" s="56">
        <v>104336</v>
      </c>
      <c r="R162" s="56">
        <f t="shared" si="41"/>
        <v>104336</v>
      </c>
      <c r="S162" s="56">
        <f t="shared" si="42"/>
        <v>0</v>
      </c>
      <c r="U162" s="16">
        <v>4.0360895146269282E-2</v>
      </c>
      <c r="V162" s="16">
        <v>-4.0589478054193218E-2</v>
      </c>
      <c r="W162" s="56">
        <f t="shared" si="43"/>
        <v>3</v>
      </c>
      <c r="X162" s="56">
        <f t="shared" si="44"/>
        <v>4239.5672699519155</v>
      </c>
      <c r="Y162" s="56">
        <f t="shared" si="44"/>
        <v>552.26619666980162</v>
      </c>
      <c r="AA162" s="56">
        <f t="shared" si="56"/>
        <v>0</v>
      </c>
      <c r="AB162" s="56">
        <v>0</v>
      </c>
      <c r="AC162" s="56">
        <f t="shared" si="45"/>
        <v>0</v>
      </c>
      <c r="AE162" s="56">
        <v>0</v>
      </c>
      <c r="AF162" s="56">
        <f t="shared" si="46"/>
        <v>0</v>
      </c>
      <c r="AG162" s="56">
        <f t="shared" si="47"/>
        <v>0</v>
      </c>
      <c r="AI162" s="56">
        <f t="shared" si="48"/>
        <v>0</v>
      </c>
      <c r="AJ162" s="56">
        <f t="shared" si="49"/>
        <v>0</v>
      </c>
      <c r="AK162" s="56">
        <f t="shared" si="50"/>
        <v>0</v>
      </c>
      <c r="AM162" s="56">
        <f t="shared" si="51"/>
        <v>441068</v>
      </c>
      <c r="AN162" s="56">
        <f t="shared" si="52"/>
        <v>52985</v>
      </c>
      <c r="AO162" s="56">
        <f t="shared" si="53"/>
        <v>104336</v>
      </c>
      <c r="AP162" s="56"/>
      <c r="AQ162" s="56">
        <f t="shared" si="54"/>
        <v>598389</v>
      </c>
      <c r="AR162" s="1"/>
      <c r="AS162" s="56">
        <v>1133.3735265110313</v>
      </c>
      <c r="AT162" s="56">
        <v>136.15087991463221</v>
      </c>
      <c r="AU162" s="56">
        <v>268.10301418841306</v>
      </c>
      <c r="AV162" s="56"/>
      <c r="AW162" s="56">
        <v>1537.6274206140765</v>
      </c>
      <c r="AX162" s="1"/>
      <c r="AY162" s="16">
        <v>4.0360895146269282E-2</v>
      </c>
      <c r="AZ162" s="16">
        <v>-4.0589478054193218E-2</v>
      </c>
      <c r="BA162" s="16">
        <v>-1.4507599492908252E-2</v>
      </c>
      <c r="BB162" s="16">
        <f t="shared" si="55"/>
        <v>2.2790504841521786E-2</v>
      </c>
      <c r="BC162" s="16"/>
      <c r="BD162" s="1"/>
      <c r="BE162" s="16">
        <f>AM162/'2017-18 disagg'!AM162-1</f>
        <v>2.7074732035366811E-2</v>
      </c>
      <c r="BF162" s="16">
        <f>AN162/'2017-18 disagg'!AN162-1</f>
        <v>2.7079941071566971E-2</v>
      </c>
      <c r="BG162" s="16">
        <f>AO162/'2017-18 disagg'!AO162-1</f>
        <v>5.2729290687115293E-2</v>
      </c>
      <c r="BH162" s="16">
        <f>AQ162/'2017-18 disagg'!AQ162-1</f>
        <v>3.1457978174196155E-2</v>
      </c>
      <c r="BI162" s="1"/>
      <c r="BJ162" s="16">
        <f>AS162/'2017-18 disagg'!AS162-1</f>
        <v>1.2020832540386106E-2</v>
      </c>
      <c r="BK162" s="16">
        <f>AT162/'2017-18 disagg'!AT162-1</f>
        <v>1.2025965227412394E-2</v>
      </c>
      <c r="BL162" s="16">
        <f>AU162/'2017-18 disagg'!AU162-1</f>
        <v>3.7299370698702594E-2</v>
      </c>
      <c r="BM162" s="16">
        <f>AW162/'2017-18 disagg'!AW162-1</f>
        <v>1.6339833162528405E-2</v>
      </c>
    </row>
    <row r="163" spans="1:65" x14ac:dyDescent="0.2">
      <c r="A163" s="156" t="s">
        <v>371</v>
      </c>
      <c r="B163" s="156" t="s">
        <v>372</v>
      </c>
      <c r="D163" s="56">
        <f>VLOOKUP(A163,'2018-19'!$A$12:$AMX371,32,FALSE)</f>
        <v>476172.81949707243</v>
      </c>
      <c r="E163" s="56">
        <v>1501.1504650589875</v>
      </c>
      <c r="F163" s="16">
        <f>VLOOKUP(A163,'2018-19'!$A$12:$AMX371,34,FALSE)</f>
        <v>3.6914295071593939E-2</v>
      </c>
      <c r="G163" s="16">
        <f>VLOOKUP(A163,'2018-19'!$A$12:$AMX371,35,FALSE)</f>
        <v>1.9265971468015008E-2</v>
      </c>
      <c r="H163" s="56"/>
      <c r="I163" s="56">
        <v>487337.92522767</v>
      </c>
      <c r="J163" s="56">
        <v>1536.3488278668888</v>
      </c>
      <c r="K163" s="16">
        <f t="shared" si="40"/>
        <v>-2.2910397801241378E-2</v>
      </c>
      <c r="L163" s="58">
        <f t="shared" si="40"/>
        <v>-2.2910397801241378E-2</v>
      </c>
      <c r="M163" s="10"/>
      <c r="N163" s="56">
        <v>355633</v>
      </c>
      <c r="O163" s="56">
        <v>38310</v>
      </c>
      <c r="P163" s="56">
        <v>81460</v>
      </c>
      <c r="R163" s="56">
        <f t="shared" si="41"/>
        <v>81460</v>
      </c>
      <c r="S163" s="56">
        <f t="shared" si="42"/>
        <v>769.81949707242893</v>
      </c>
      <c r="U163" s="16">
        <v>-1.6163462622248326E-2</v>
      </c>
      <c r="V163" s="16">
        <v>-4.8904538702967626E-2</v>
      </c>
      <c r="W163" s="56">
        <f t="shared" si="43"/>
        <v>4</v>
      </c>
      <c r="X163" s="56">
        <f t="shared" si="44"/>
        <v>3614.7569894881017</v>
      </c>
      <c r="Y163" s="56">
        <f t="shared" si="44"/>
        <v>402.79868382250197</v>
      </c>
      <c r="AA163" s="56">
        <f t="shared" si="56"/>
        <v>0</v>
      </c>
      <c r="AB163" s="56">
        <v>0</v>
      </c>
      <c r="AC163" s="56">
        <f t="shared" si="45"/>
        <v>769.81949707242893</v>
      </c>
      <c r="AE163" s="56">
        <v>0</v>
      </c>
      <c r="AF163" s="56">
        <f t="shared" si="46"/>
        <v>0</v>
      </c>
      <c r="AG163" s="56">
        <f t="shared" si="47"/>
        <v>769.81949707242893</v>
      </c>
      <c r="AI163" s="56">
        <f t="shared" si="48"/>
        <v>692.63767174973066</v>
      </c>
      <c r="AJ163" s="56">
        <f t="shared" si="49"/>
        <v>77.181825322698359</v>
      </c>
      <c r="AK163" s="56">
        <f t="shared" si="50"/>
        <v>0</v>
      </c>
      <c r="AM163" s="56">
        <f t="shared" si="51"/>
        <v>356326</v>
      </c>
      <c r="AN163" s="56">
        <f t="shared" si="52"/>
        <v>38387</v>
      </c>
      <c r="AO163" s="56">
        <f t="shared" si="53"/>
        <v>81460</v>
      </c>
      <c r="AP163" s="56"/>
      <c r="AQ163" s="56">
        <f t="shared" si="54"/>
        <v>476173</v>
      </c>
      <c r="AR163" s="1"/>
      <c r="AS163" s="56">
        <v>1123.3294272813851</v>
      </c>
      <c r="AT163" s="56">
        <v>121.01627926407427</v>
      </c>
      <c r="AU163" s="56">
        <v>256.80532755494022</v>
      </c>
      <c r="AV163" s="56"/>
      <c r="AW163" s="56">
        <v>1501.1510341003996</v>
      </c>
      <c r="AX163" s="1"/>
      <c r="AY163" s="16">
        <v>-1.4246321298460041E-2</v>
      </c>
      <c r="AZ163" s="16">
        <v>-4.6992913787283208E-2</v>
      </c>
      <c r="BA163" s="16">
        <v>-4.8168314100317189E-2</v>
      </c>
      <c r="BB163" s="16">
        <f t="shared" si="55"/>
        <v>-2.2910027415687151E-2</v>
      </c>
      <c r="BC163" s="16"/>
      <c r="BD163" s="1"/>
      <c r="BE163" s="16">
        <f>AM163/'2017-18 disagg'!AM163-1</f>
        <v>3.1549266417314259E-2</v>
      </c>
      <c r="BF163" s="16">
        <f>AN163/'2017-18 disagg'!AN163-1</f>
        <v>4.8853793819503277E-2</v>
      </c>
      <c r="BG163" s="16">
        <f>AO163/'2017-18 disagg'!AO163-1</f>
        <v>5.5263362437495189E-2</v>
      </c>
      <c r="BH163" s="16">
        <f>AQ163/'2017-18 disagg'!AQ163-1</f>
        <v>3.6914688134906726E-2</v>
      </c>
      <c r="BI163" s="1"/>
      <c r="BJ163" s="16">
        <f>AS163/'2017-18 disagg'!AS163-1</f>
        <v>1.3992255820300281E-2</v>
      </c>
      <c r="BK163" s="16">
        <f>AT163/'2017-18 disagg'!AT163-1</f>
        <v>3.1002259460156889E-2</v>
      </c>
      <c r="BL163" s="16">
        <f>AU163/'2017-18 disagg'!AU163-1</f>
        <v>3.7302736958788829E-2</v>
      </c>
      <c r="BM163" s="16">
        <f>AW163/'2017-18 disagg'!AW163-1</f>
        <v>1.9266357841374093E-2</v>
      </c>
    </row>
    <row r="164" spans="1:65" x14ac:dyDescent="0.2">
      <c r="A164" s="156" t="s">
        <v>373</v>
      </c>
      <c r="B164" s="156" t="s">
        <v>374</v>
      </c>
      <c r="D164" s="56">
        <f>VLOOKUP(A164,'2018-19'!$A$12:$AMX372,32,FALSE)</f>
        <v>317163</v>
      </c>
      <c r="E164" s="56">
        <v>1455.3966368671183</v>
      </c>
      <c r="F164" s="16">
        <f>VLOOKUP(A164,'2018-19'!$A$12:$AMX372,34,FALSE)</f>
        <v>2.9776747447985752E-2</v>
      </c>
      <c r="G164" s="16">
        <f>VLOOKUP(A164,'2018-19'!$A$12:$AMX372,35,FALSE)</f>
        <v>1.7274932823941436E-2</v>
      </c>
      <c r="H164" s="56"/>
      <c r="I164" s="56">
        <v>311418.95924349327</v>
      </c>
      <c r="J164" s="56">
        <v>1429.0383996230275</v>
      </c>
      <c r="K164" s="16">
        <f t="shared" ref="K164:L220" si="57">D164/I164-1</f>
        <v>1.8444736860145916E-2</v>
      </c>
      <c r="L164" s="58">
        <f t="shared" si="57"/>
        <v>1.8444736860145916E-2</v>
      </c>
      <c r="M164" s="10"/>
      <c r="N164" s="56">
        <v>237033</v>
      </c>
      <c r="O164" s="56">
        <v>25533</v>
      </c>
      <c r="P164" s="56">
        <v>54597</v>
      </c>
      <c r="R164" s="56">
        <f t="shared" si="41"/>
        <v>54597</v>
      </c>
      <c r="S164" s="56">
        <f t="shared" si="42"/>
        <v>0</v>
      </c>
      <c r="U164" s="16">
        <v>2.6437077257278174E-2</v>
      </c>
      <c r="V164" s="16">
        <v>-4.8579283431259612E-2</v>
      </c>
      <c r="W164" s="56">
        <f t="shared" si="43"/>
        <v>3</v>
      </c>
      <c r="X164" s="56">
        <f t="shared" si="44"/>
        <v>2309.2794020396368</v>
      </c>
      <c r="Y164" s="56">
        <f t="shared" si="44"/>
        <v>268.36708046555589</v>
      </c>
      <c r="AA164" s="56">
        <f t="shared" si="56"/>
        <v>0</v>
      </c>
      <c r="AB164" s="56">
        <v>0</v>
      </c>
      <c r="AC164" s="56">
        <f t="shared" si="45"/>
        <v>0</v>
      </c>
      <c r="AE164" s="56">
        <v>0</v>
      </c>
      <c r="AF164" s="56">
        <f t="shared" si="46"/>
        <v>0</v>
      </c>
      <c r="AG164" s="56">
        <f t="shared" si="47"/>
        <v>0</v>
      </c>
      <c r="AI164" s="56">
        <f t="shared" si="48"/>
        <v>0</v>
      </c>
      <c r="AJ164" s="56">
        <f t="shared" si="49"/>
        <v>0</v>
      </c>
      <c r="AK164" s="56">
        <f t="shared" si="50"/>
        <v>0</v>
      </c>
      <c r="AM164" s="56">
        <f t="shared" si="51"/>
        <v>237033</v>
      </c>
      <c r="AN164" s="56">
        <f t="shared" si="52"/>
        <v>25533</v>
      </c>
      <c r="AO164" s="56">
        <f t="shared" si="53"/>
        <v>54597</v>
      </c>
      <c r="AP164" s="56"/>
      <c r="AQ164" s="56">
        <f t="shared" si="54"/>
        <v>317163</v>
      </c>
      <c r="AR164" s="1"/>
      <c r="AS164" s="56">
        <v>1087.6963297311593</v>
      </c>
      <c r="AT164" s="56">
        <v>117.16575492452819</v>
      </c>
      <c r="AU164" s="56">
        <v>250.53455221143091</v>
      </c>
      <c r="AV164" s="56"/>
      <c r="AW164" s="56">
        <v>1455.3966368671183</v>
      </c>
      <c r="AX164" s="1"/>
      <c r="AY164" s="16">
        <v>2.6437077257278174E-2</v>
      </c>
      <c r="AZ164" s="16">
        <v>-4.8579283431259612E-2</v>
      </c>
      <c r="BA164" s="16">
        <v>1.756967873745352E-2</v>
      </c>
      <c r="BB164" s="16">
        <f t="shared" si="55"/>
        <v>1.8444736860145916E-2</v>
      </c>
      <c r="BC164" s="16"/>
      <c r="BD164" s="1"/>
      <c r="BE164" s="16">
        <f>AM164/'2017-18 disagg'!AM164-1</f>
        <v>2.4458236448347659E-2</v>
      </c>
      <c r="BF164" s="16">
        <f>AN164/'2017-18 disagg'!AN164-1</f>
        <v>3.6957316330260337E-2</v>
      </c>
      <c r="BG164" s="16">
        <f>AO164/'2017-18 disagg'!AO164-1</f>
        <v>5.0043273391672249E-2</v>
      </c>
      <c r="BH164" s="16">
        <f>AQ164/'2017-18 disagg'!AQ164-1</f>
        <v>2.9776747447985752E-2</v>
      </c>
      <c r="BI164" s="1"/>
      <c r="BJ164" s="16">
        <f>AS164/'2017-18 disagg'!AS164-1</f>
        <v>1.2020990225909189E-2</v>
      </c>
      <c r="BK164" s="16">
        <f>AT164/'2017-18 disagg'!AT164-1</f>
        <v>2.4368327334407969E-2</v>
      </c>
      <c r="BL164" s="16">
        <f>AU164/'2017-18 disagg'!AU164-1</f>
        <v>3.7295416748278409E-2</v>
      </c>
      <c r="BM164" s="16">
        <f>AW164/'2017-18 disagg'!AW164-1</f>
        <v>1.7274932823941436E-2</v>
      </c>
    </row>
    <row r="165" spans="1:65" x14ac:dyDescent="0.2">
      <c r="A165" s="156" t="s">
        <v>375</v>
      </c>
      <c r="B165" s="156" t="s">
        <v>376</v>
      </c>
      <c r="D165" s="56">
        <f>VLOOKUP(A165,'2018-19'!$A$12:$AMX373,32,FALSE)</f>
        <v>585216</v>
      </c>
      <c r="E165" s="56">
        <v>1799.9639267654968</v>
      </c>
      <c r="F165" s="16">
        <f>VLOOKUP(A165,'2018-19'!$A$12:$AMX373,34,FALSE)</f>
        <v>3.1363011525853857E-2</v>
      </c>
      <c r="G165" s="16">
        <f>VLOOKUP(A165,'2018-19'!$A$12:$AMX373,35,FALSE)</f>
        <v>1.8199211919612601E-2</v>
      </c>
      <c r="H165" s="56"/>
      <c r="I165" s="56">
        <v>576971.38888734265</v>
      </c>
      <c r="J165" s="56">
        <v>1774.6057639794603</v>
      </c>
      <c r="K165" s="16">
        <f t="shared" si="57"/>
        <v>1.428946265179043E-2</v>
      </c>
      <c r="L165" s="58">
        <f t="shared" si="57"/>
        <v>1.428946265179043E-2</v>
      </c>
      <c r="M165" s="10"/>
      <c r="N165" s="56">
        <v>413452</v>
      </c>
      <c r="O165" s="56">
        <v>44749</v>
      </c>
      <c r="P165" s="56">
        <v>127015</v>
      </c>
      <c r="R165" s="56">
        <f t="shared" si="41"/>
        <v>127015</v>
      </c>
      <c r="S165" s="56">
        <f t="shared" si="42"/>
        <v>0</v>
      </c>
      <c r="U165" s="16">
        <v>2.2963745242816191E-2</v>
      </c>
      <c r="V165" s="16">
        <v>-4.8473146070187823E-2</v>
      </c>
      <c r="W165" s="56">
        <f t="shared" si="43"/>
        <v>3</v>
      </c>
      <c r="X165" s="56">
        <f t="shared" si="44"/>
        <v>4041.7072640424885</v>
      </c>
      <c r="Y165" s="56">
        <f t="shared" si="44"/>
        <v>470.28625429945919</v>
      </c>
      <c r="AA165" s="56">
        <f t="shared" si="56"/>
        <v>0</v>
      </c>
      <c r="AB165" s="56">
        <v>0</v>
      </c>
      <c r="AC165" s="56">
        <f t="shared" si="45"/>
        <v>0</v>
      </c>
      <c r="AE165" s="56">
        <v>0</v>
      </c>
      <c r="AF165" s="56">
        <f t="shared" si="46"/>
        <v>0</v>
      </c>
      <c r="AG165" s="56">
        <f t="shared" si="47"/>
        <v>0</v>
      </c>
      <c r="AI165" s="56">
        <f t="shared" si="48"/>
        <v>0</v>
      </c>
      <c r="AJ165" s="56">
        <f t="shared" si="49"/>
        <v>0</v>
      </c>
      <c r="AK165" s="56">
        <f t="shared" si="50"/>
        <v>0</v>
      </c>
      <c r="AM165" s="56">
        <f t="shared" si="51"/>
        <v>413452</v>
      </c>
      <c r="AN165" s="56">
        <f t="shared" si="52"/>
        <v>44749</v>
      </c>
      <c r="AO165" s="56">
        <f t="shared" si="53"/>
        <v>127015</v>
      </c>
      <c r="AP165" s="56"/>
      <c r="AQ165" s="56">
        <f t="shared" si="54"/>
        <v>585216</v>
      </c>
      <c r="AR165" s="1"/>
      <c r="AS165" s="56">
        <v>1271.6649672070623</v>
      </c>
      <c r="AT165" s="56">
        <v>137.63565206492854</v>
      </c>
      <c r="AU165" s="56">
        <v>390.66330749350595</v>
      </c>
      <c r="AV165" s="56"/>
      <c r="AW165" s="56">
        <v>1799.9639267654968</v>
      </c>
      <c r="AX165" s="1"/>
      <c r="AY165" s="16">
        <v>2.2963745242816191E-2</v>
      </c>
      <c r="AZ165" s="16">
        <v>-4.8473146070187823E-2</v>
      </c>
      <c r="BA165" s="16">
        <v>9.8826653044261636E-3</v>
      </c>
      <c r="BB165" s="16">
        <f t="shared" si="55"/>
        <v>1.428946265179043E-2</v>
      </c>
      <c r="BC165" s="16"/>
      <c r="BD165" s="1"/>
      <c r="BE165" s="16">
        <f>AM165/'2017-18 disagg'!AM165-1</f>
        <v>2.5103699975454141E-2</v>
      </c>
      <c r="BF165" s="16">
        <f>AN165/'2017-18 disagg'!AN165-1</f>
        <v>3.566469172375486E-2</v>
      </c>
      <c r="BG165" s="16">
        <f>AO165/'2017-18 disagg'!AO165-1</f>
        <v>5.0709351863341245E-2</v>
      </c>
      <c r="BH165" s="16">
        <f>AQ165/'2017-18 disagg'!AQ165-1</f>
        <v>3.1363011525853857E-2</v>
      </c>
      <c r="BI165" s="1"/>
      <c r="BJ165" s="16">
        <f>AS165/'2017-18 disagg'!AS165-1</f>
        <v>1.2019791078887065E-2</v>
      </c>
      <c r="BK165" s="16">
        <f>AT165/'2017-18 disagg'!AT165-1</f>
        <v>2.2445987631447561E-2</v>
      </c>
      <c r="BL165" s="16">
        <f>AU165/'2017-18 disagg'!AU165-1</f>
        <v>3.7298625283308295E-2</v>
      </c>
      <c r="BM165" s="16">
        <f>AW165/'2017-18 disagg'!AW165-1</f>
        <v>1.8199211919612601E-2</v>
      </c>
    </row>
    <row r="166" spans="1:65" x14ac:dyDescent="0.2">
      <c r="A166" s="156" t="s">
        <v>377</v>
      </c>
      <c r="B166" s="156" t="s">
        <v>378</v>
      </c>
      <c r="D166" s="56">
        <f>VLOOKUP(A166,'2018-19'!$A$12:$AMX374,32,FALSE)</f>
        <v>330710</v>
      </c>
      <c r="E166" s="56">
        <v>1666.8451545382991</v>
      </c>
      <c r="F166" s="16">
        <f>VLOOKUP(A166,'2018-19'!$A$12:$AMX374,34,FALSE)</f>
        <v>3.0300575729631296E-2</v>
      </c>
      <c r="G166" s="16">
        <f>VLOOKUP(A166,'2018-19'!$A$12:$AMX374,35,FALSE)</f>
        <v>1.6409475779698424E-2</v>
      </c>
      <c r="H166" s="56"/>
      <c r="I166" s="56">
        <v>334294.93454921234</v>
      </c>
      <c r="J166" s="56">
        <v>1684.9139482932248</v>
      </c>
      <c r="K166" s="16">
        <f t="shared" si="57"/>
        <v>-1.0723867395856623E-2</v>
      </c>
      <c r="L166" s="58">
        <f t="shared" si="57"/>
        <v>-1.0723867395856623E-2</v>
      </c>
      <c r="M166" s="10"/>
      <c r="N166" s="56">
        <v>245857</v>
      </c>
      <c r="O166" s="56">
        <v>26239</v>
      </c>
      <c r="P166" s="56">
        <v>58614</v>
      </c>
      <c r="R166" s="56">
        <f t="shared" si="41"/>
        <v>58614</v>
      </c>
      <c r="S166" s="56">
        <f t="shared" si="42"/>
        <v>0</v>
      </c>
      <c r="U166" s="16">
        <v>-2.2943942286504648E-2</v>
      </c>
      <c r="V166" s="16">
        <v>3.1534130610114897E-2</v>
      </c>
      <c r="W166" s="56">
        <f t="shared" si="43"/>
        <v>1</v>
      </c>
      <c r="X166" s="56">
        <f t="shared" si="44"/>
        <v>2516.3039321956007</v>
      </c>
      <c r="Y166" s="56">
        <f t="shared" si="44"/>
        <v>254.36870406295319</v>
      </c>
      <c r="AA166" s="56">
        <f t="shared" si="56"/>
        <v>0</v>
      </c>
      <c r="AB166" s="56">
        <v>0</v>
      </c>
      <c r="AC166" s="56">
        <f t="shared" si="45"/>
        <v>0</v>
      </c>
      <c r="AE166" s="56">
        <v>0</v>
      </c>
      <c r="AF166" s="56">
        <f t="shared" si="46"/>
        <v>0</v>
      </c>
      <c r="AG166" s="56">
        <f t="shared" si="47"/>
        <v>0</v>
      </c>
      <c r="AI166" s="56">
        <f t="shared" si="48"/>
        <v>0</v>
      </c>
      <c r="AJ166" s="56">
        <f t="shared" si="49"/>
        <v>0</v>
      </c>
      <c r="AK166" s="56">
        <f t="shared" si="50"/>
        <v>0</v>
      </c>
      <c r="AM166" s="56">
        <f t="shared" si="51"/>
        <v>245857</v>
      </c>
      <c r="AN166" s="56">
        <f t="shared" si="52"/>
        <v>26239</v>
      </c>
      <c r="AO166" s="56">
        <f t="shared" si="53"/>
        <v>58614</v>
      </c>
      <c r="AP166" s="56"/>
      <c r="AQ166" s="56">
        <f t="shared" si="54"/>
        <v>330710</v>
      </c>
      <c r="AR166" s="1"/>
      <c r="AS166" s="56">
        <v>1239.1689067742814</v>
      </c>
      <c r="AT166" s="56">
        <v>132.24985639965658</v>
      </c>
      <c r="AU166" s="56">
        <v>295.42639136436111</v>
      </c>
      <c r="AV166" s="56"/>
      <c r="AW166" s="56">
        <v>1666.8451545382991</v>
      </c>
      <c r="AX166" s="1"/>
      <c r="AY166" s="16">
        <v>-2.2943942286504648E-2</v>
      </c>
      <c r="AZ166" s="16">
        <v>3.1534130610114897E-2</v>
      </c>
      <c r="BA166" s="16">
        <v>2.4224803390997529E-2</v>
      </c>
      <c r="BB166" s="16">
        <f t="shared" si="55"/>
        <v>-1.0723867395856623E-2</v>
      </c>
      <c r="BC166" s="16"/>
      <c r="BD166" s="1"/>
      <c r="BE166" s="16">
        <f>AM166/'2017-18 disagg'!AM166-1</f>
        <v>2.5848903872954354E-2</v>
      </c>
      <c r="BF166" s="16">
        <f>AN166/'2017-18 disagg'!AN166-1</f>
        <v>2.5842520916412592E-2</v>
      </c>
      <c r="BG166" s="16">
        <f>AO166/'2017-18 disagg'!AO166-1</f>
        <v>5.1485361653271999E-2</v>
      </c>
      <c r="BH166" s="16">
        <f>AQ166/'2017-18 disagg'!AQ166-1</f>
        <v>3.0300575729631296E-2</v>
      </c>
      <c r="BI166" s="1"/>
      <c r="BJ166" s="16">
        <f>AS166/'2017-18 disagg'!AS166-1</f>
        <v>1.2017823901814051E-2</v>
      </c>
      <c r="BK166" s="16">
        <f>AT166/'2017-18 disagg'!AT166-1</f>
        <v>1.2011527003932709E-2</v>
      </c>
      <c r="BL166" s="16">
        <f>AU166/'2017-18 disagg'!AU166-1</f>
        <v>3.7308636337678447E-2</v>
      </c>
      <c r="BM166" s="16">
        <f>AW166/'2017-18 disagg'!AW166-1</f>
        <v>1.6409475779698424E-2</v>
      </c>
    </row>
    <row r="167" spans="1:65" x14ac:dyDescent="0.2">
      <c r="A167" s="156" t="s">
        <v>379</v>
      </c>
      <c r="B167" s="156" t="s">
        <v>380</v>
      </c>
      <c r="D167" s="56">
        <f>VLOOKUP(A167,'2018-19'!$A$12:$AMX375,32,FALSE)</f>
        <v>559294</v>
      </c>
      <c r="E167" s="56">
        <v>1782.2203677568514</v>
      </c>
      <c r="F167" s="16">
        <f>VLOOKUP(A167,'2018-19'!$A$12:$AMX375,34,FALSE)</f>
        <v>3.823292456998173E-2</v>
      </c>
      <c r="G167" s="16">
        <f>VLOOKUP(A167,'2018-19'!$A$12:$AMX375,35,FALSE)</f>
        <v>1.8130423818720542E-2</v>
      </c>
      <c r="H167" s="56"/>
      <c r="I167" s="56">
        <v>519467.76425605564</v>
      </c>
      <c r="J167" s="56">
        <v>1655.3119286998553</v>
      </c>
      <c r="K167" s="16">
        <f t="shared" si="57"/>
        <v>7.6667386283306049E-2</v>
      </c>
      <c r="L167" s="58">
        <f t="shared" si="57"/>
        <v>7.6667386283306049E-2</v>
      </c>
      <c r="M167" s="10"/>
      <c r="N167" s="56">
        <v>376207</v>
      </c>
      <c r="O167" s="56">
        <v>45363</v>
      </c>
      <c r="P167" s="56">
        <v>137724</v>
      </c>
      <c r="R167" s="56">
        <f t="shared" si="41"/>
        <v>137724</v>
      </c>
      <c r="S167" s="56">
        <f t="shared" si="42"/>
        <v>0</v>
      </c>
      <c r="U167" s="16">
        <v>4.4452672709952346E-2</v>
      </c>
      <c r="V167" s="16">
        <v>-4.255331433710241E-2</v>
      </c>
      <c r="W167" s="56">
        <f t="shared" si="43"/>
        <v>3</v>
      </c>
      <c r="X167" s="56">
        <f t="shared" si="44"/>
        <v>3601.9535382478148</v>
      </c>
      <c r="Y167" s="56">
        <f t="shared" si="44"/>
        <v>473.79139412438911</v>
      </c>
      <c r="AA167" s="56">
        <f t="shared" si="56"/>
        <v>0</v>
      </c>
      <c r="AB167" s="56">
        <v>0</v>
      </c>
      <c r="AC167" s="56">
        <f t="shared" si="45"/>
        <v>0</v>
      </c>
      <c r="AE167" s="56">
        <v>0</v>
      </c>
      <c r="AF167" s="56">
        <f t="shared" si="46"/>
        <v>0</v>
      </c>
      <c r="AG167" s="56">
        <f t="shared" si="47"/>
        <v>0</v>
      </c>
      <c r="AI167" s="56">
        <f t="shared" si="48"/>
        <v>0</v>
      </c>
      <c r="AJ167" s="56">
        <f t="shared" si="49"/>
        <v>0</v>
      </c>
      <c r="AK167" s="56">
        <f t="shared" si="50"/>
        <v>0</v>
      </c>
      <c r="AM167" s="56">
        <f t="shared" si="51"/>
        <v>376207</v>
      </c>
      <c r="AN167" s="56">
        <f t="shared" si="52"/>
        <v>45363</v>
      </c>
      <c r="AO167" s="56">
        <f t="shared" si="53"/>
        <v>137724</v>
      </c>
      <c r="AP167" s="56"/>
      <c r="AQ167" s="56">
        <f t="shared" si="54"/>
        <v>559294</v>
      </c>
      <c r="AR167" s="1"/>
      <c r="AS167" s="56">
        <v>1198.8038096112273</v>
      </c>
      <c r="AT167" s="56">
        <v>144.55163570958038</v>
      </c>
      <c r="AU167" s="56">
        <v>438.86492243604363</v>
      </c>
      <c r="AV167" s="56"/>
      <c r="AW167" s="56">
        <v>1782.2203677568514</v>
      </c>
      <c r="AX167" s="1"/>
      <c r="AY167" s="16">
        <v>4.4452672709952346E-2</v>
      </c>
      <c r="AZ167" s="16">
        <v>-4.255331433710241E-2</v>
      </c>
      <c r="BA167" s="16">
        <v>0.23085149576882591</v>
      </c>
      <c r="BB167" s="16">
        <f t="shared" si="55"/>
        <v>7.6667386283306049E-2</v>
      </c>
      <c r="BC167" s="16"/>
      <c r="BD167" s="1"/>
      <c r="BE167" s="16">
        <f>AM167/'2017-18 disagg'!AM167-1</f>
        <v>3.2001887304857313E-2</v>
      </c>
      <c r="BF167" s="16">
        <f>AN167/'2017-18 disagg'!AN167-1</f>
        <v>3.2009282009282103E-2</v>
      </c>
      <c r="BG167" s="16">
        <f>AO167/'2017-18 disagg'!AO167-1</f>
        <v>5.7779894163639378E-2</v>
      </c>
      <c r="BH167" s="16">
        <f>AQ167/'2017-18 disagg'!AQ167-1</f>
        <v>3.823292456998173E-2</v>
      </c>
      <c r="BI167" s="1"/>
      <c r="BJ167" s="16">
        <f>AS167/'2017-18 disagg'!AS167-1</f>
        <v>1.2020033306688882E-2</v>
      </c>
      <c r="BK167" s="16">
        <f>AT167/'2017-18 disagg'!AT167-1</f>
        <v>1.2027284833173724E-2</v>
      </c>
      <c r="BL167" s="16">
        <f>AU167/'2017-18 disagg'!AU167-1</f>
        <v>3.7298920565252525E-2</v>
      </c>
      <c r="BM167" s="16">
        <f>AW167/'2017-18 disagg'!AW167-1</f>
        <v>1.8130423818720542E-2</v>
      </c>
    </row>
    <row r="168" spans="1:65" x14ac:dyDescent="0.2">
      <c r="A168" s="156" t="s">
        <v>381</v>
      </c>
      <c r="B168" s="156" t="s">
        <v>382</v>
      </c>
      <c r="D168" s="56">
        <f>VLOOKUP(A168,'2018-19'!$A$12:$AMX376,32,FALSE)</f>
        <v>495240.66147686873</v>
      </c>
      <c r="E168" s="56">
        <v>1602.893935793428</v>
      </c>
      <c r="F168" s="16">
        <f>VLOOKUP(A168,'2018-19'!$A$12:$AMX376,34,FALSE)</f>
        <v>3.0870842565451806E-2</v>
      </c>
      <c r="G168" s="16">
        <f>VLOOKUP(A168,'2018-19'!$A$12:$AMX376,35,FALSE)</f>
        <v>1.8433388778041015E-2</v>
      </c>
      <c r="H168" s="56"/>
      <c r="I168" s="56">
        <v>506002.56061910227</v>
      </c>
      <c r="J168" s="56">
        <v>1637.7258553318286</v>
      </c>
      <c r="K168" s="16">
        <f t="shared" si="57"/>
        <v>-2.1268467750570674E-2</v>
      </c>
      <c r="L168" s="58">
        <f t="shared" si="57"/>
        <v>-2.1268467750570563E-2</v>
      </c>
      <c r="M168" s="10"/>
      <c r="N168" s="56">
        <v>355102</v>
      </c>
      <c r="O168" s="56">
        <v>40187</v>
      </c>
      <c r="P168" s="56">
        <v>99785</v>
      </c>
      <c r="R168" s="56">
        <f t="shared" si="41"/>
        <v>99785</v>
      </c>
      <c r="S168" s="56">
        <f t="shared" si="42"/>
        <v>166.66147686872864</v>
      </c>
      <c r="U168" s="16">
        <v>-2.4803176668701354E-2</v>
      </c>
      <c r="V168" s="16">
        <v>-4.8630997696419098E-2</v>
      </c>
      <c r="W168" s="56">
        <f t="shared" si="43"/>
        <v>4</v>
      </c>
      <c r="X168" s="56">
        <f t="shared" si="44"/>
        <v>3641.3367179249208</v>
      </c>
      <c r="Y168" s="56">
        <f t="shared" si="44"/>
        <v>422.41233320293077</v>
      </c>
      <c r="AA168" s="56">
        <f t="shared" si="56"/>
        <v>0</v>
      </c>
      <c r="AB168" s="56">
        <v>0</v>
      </c>
      <c r="AC168" s="56">
        <f t="shared" si="45"/>
        <v>166.66147686872864</v>
      </c>
      <c r="AE168" s="56">
        <v>0</v>
      </c>
      <c r="AF168" s="56">
        <f t="shared" si="46"/>
        <v>0</v>
      </c>
      <c r="AG168" s="56">
        <f t="shared" si="47"/>
        <v>166.66147686872864</v>
      </c>
      <c r="AI168" s="56">
        <f t="shared" si="48"/>
        <v>149.33760612439045</v>
      </c>
      <c r="AJ168" s="56">
        <f t="shared" si="49"/>
        <v>17.323870744338208</v>
      </c>
      <c r="AK168" s="56">
        <f t="shared" si="50"/>
        <v>0</v>
      </c>
      <c r="AM168" s="56">
        <f t="shared" si="51"/>
        <v>355251</v>
      </c>
      <c r="AN168" s="56">
        <f t="shared" si="52"/>
        <v>40204</v>
      </c>
      <c r="AO168" s="56">
        <f t="shared" si="53"/>
        <v>99785</v>
      </c>
      <c r="AP168" s="56"/>
      <c r="AQ168" s="56">
        <f t="shared" si="54"/>
        <v>495240</v>
      </c>
      <c r="AR168" s="1"/>
      <c r="AS168" s="56">
        <v>1149.8039597282693</v>
      </c>
      <c r="AT168" s="56">
        <v>130.1241049199449</v>
      </c>
      <c r="AU168" s="56">
        <v>322.96373021183712</v>
      </c>
      <c r="AV168" s="56"/>
      <c r="AW168" s="56">
        <v>1602.8917948600513</v>
      </c>
      <c r="AX168" s="1"/>
      <c r="AY168" s="16">
        <v>-2.4393986276429969E-2</v>
      </c>
      <c r="AZ168" s="16">
        <v>-4.8228547325922189E-2</v>
      </c>
      <c r="BA168" s="16">
        <v>1.5793254682474611E-3</v>
      </c>
      <c r="BB168" s="16">
        <f t="shared" si="55"/>
        <v>-2.1269775010494207E-2</v>
      </c>
      <c r="BC168" s="16"/>
      <c r="BD168" s="1"/>
      <c r="BE168" s="16">
        <f>AM168/'2017-18 disagg'!AM168-1</f>
        <v>2.4808813475224456E-2</v>
      </c>
      <c r="BF168" s="16">
        <f>AN168/'2017-18 disagg'!AN168-1</f>
        <v>3.8246003667071315E-2</v>
      </c>
      <c r="BG168" s="16">
        <f>AO168/'2017-18 disagg'!AO168-1</f>
        <v>4.9970537480533705E-2</v>
      </c>
      <c r="BH168" s="16">
        <f>AQ168/'2017-18 disagg'!AQ168-1</f>
        <v>3.08694656647448E-2</v>
      </c>
      <c r="BI168" s="1"/>
      <c r="BJ168" s="16">
        <f>AS168/'2017-18 disagg'!AS168-1</f>
        <v>1.2444498051568109E-2</v>
      </c>
      <c r="BK168" s="16">
        <f>AT168/'2017-18 disagg'!AT168-1</f>
        <v>2.5719568581918262E-2</v>
      </c>
      <c r="BL168" s="16">
        <f>AU168/'2017-18 disagg'!AU168-1</f>
        <v>3.7302645928223965E-2</v>
      </c>
      <c r="BM168" s="16">
        <f>AW168/'2017-18 disagg'!AW168-1</f>
        <v>1.8432028489636876E-2</v>
      </c>
    </row>
    <row r="169" spans="1:65" x14ac:dyDescent="0.2">
      <c r="A169" s="156" t="s">
        <v>383</v>
      </c>
      <c r="B169" s="156" t="s">
        <v>384</v>
      </c>
      <c r="D169" s="56">
        <f>VLOOKUP(A169,'2018-19'!$A$12:$AMX377,32,FALSE)</f>
        <v>591239</v>
      </c>
      <c r="E169" s="56">
        <v>1498.6611830385759</v>
      </c>
      <c r="F169" s="16">
        <f>VLOOKUP(A169,'2018-19'!$A$12:$AMX377,34,FALSE)</f>
        <v>2.6691880778233923E-2</v>
      </c>
      <c r="G169" s="16">
        <f>VLOOKUP(A169,'2018-19'!$A$12:$AMX377,35,FALSE)</f>
        <v>1.6995777417202484E-2</v>
      </c>
      <c r="H169" s="56"/>
      <c r="I169" s="56">
        <v>574583.03784886806</v>
      </c>
      <c r="J169" s="56">
        <v>1456.4419722929024</v>
      </c>
      <c r="K169" s="16">
        <f t="shared" si="57"/>
        <v>2.898791132694889E-2</v>
      </c>
      <c r="L169" s="58">
        <f t="shared" si="57"/>
        <v>2.8987911326949112E-2</v>
      </c>
      <c r="M169" s="10"/>
      <c r="N169" s="56">
        <v>426686</v>
      </c>
      <c r="O169" s="56">
        <v>48905</v>
      </c>
      <c r="P169" s="56">
        <v>115648</v>
      </c>
      <c r="R169" s="56">
        <f t="shared" si="41"/>
        <v>115648</v>
      </c>
      <c r="S169" s="56">
        <f t="shared" si="42"/>
        <v>0</v>
      </c>
      <c r="U169" s="16">
        <v>4.6717626188708339E-2</v>
      </c>
      <c r="V169" s="16">
        <v>-4.8000718903913886E-2</v>
      </c>
      <c r="W169" s="56">
        <f t="shared" si="43"/>
        <v>3</v>
      </c>
      <c r="X169" s="56">
        <f t="shared" si="44"/>
        <v>4076.419363965832</v>
      </c>
      <c r="Y169" s="56">
        <f t="shared" si="44"/>
        <v>513.7083711207548</v>
      </c>
      <c r="AA169" s="56">
        <f t="shared" si="56"/>
        <v>0</v>
      </c>
      <c r="AB169" s="56">
        <v>0</v>
      </c>
      <c r="AC169" s="56">
        <f t="shared" si="45"/>
        <v>0</v>
      </c>
      <c r="AE169" s="56">
        <v>0</v>
      </c>
      <c r="AF169" s="56">
        <f t="shared" si="46"/>
        <v>0</v>
      </c>
      <c r="AG169" s="56">
        <f t="shared" si="47"/>
        <v>0</v>
      </c>
      <c r="AI169" s="56">
        <f t="shared" si="48"/>
        <v>0</v>
      </c>
      <c r="AJ169" s="56">
        <f t="shared" si="49"/>
        <v>0</v>
      </c>
      <c r="AK169" s="56">
        <f t="shared" si="50"/>
        <v>0</v>
      </c>
      <c r="AM169" s="56">
        <f t="shared" si="51"/>
        <v>426686</v>
      </c>
      <c r="AN169" s="56">
        <f t="shared" si="52"/>
        <v>48905</v>
      </c>
      <c r="AO169" s="56">
        <f t="shared" si="53"/>
        <v>115648</v>
      </c>
      <c r="AP169" s="56"/>
      <c r="AQ169" s="56">
        <f t="shared" si="54"/>
        <v>591239</v>
      </c>
      <c r="AR169" s="1"/>
      <c r="AS169" s="56">
        <v>1081.5554209820357</v>
      </c>
      <c r="AT169" s="56">
        <v>123.96344821045558</v>
      </c>
      <c r="AU169" s="56">
        <v>293.14231384608462</v>
      </c>
      <c r="AV169" s="56"/>
      <c r="AW169" s="56">
        <v>1498.6611830385759</v>
      </c>
      <c r="AX169" s="1"/>
      <c r="AY169" s="16">
        <v>4.6717626188708339E-2</v>
      </c>
      <c r="AZ169" s="16">
        <v>-4.8000718903913886E-2</v>
      </c>
      <c r="BA169" s="16">
        <v>6.7262682346935776E-4</v>
      </c>
      <c r="BB169" s="16">
        <f t="shared" si="55"/>
        <v>2.898791132694889E-2</v>
      </c>
      <c r="BC169" s="16"/>
      <c r="BD169" s="1"/>
      <c r="BE169" s="16">
        <f>AM169/'2017-18 disagg'!AM169-1</f>
        <v>2.1669587870777329E-2</v>
      </c>
      <c r="BF169" s="16">
        <f>AN169/'2017-18 disagg'!AN169-1</f>
        <v>2.3224186630400601E-2</v>
      </c>
      <c r="BG169" s="16">
        <f>AO169/'2017-18 disagg'!AO169-1</f>
        <v>4.7185273051604026E-2</v>
      </c>
      <c r="BH169" s="16">
        <f>AQ169/'2017-18 disagg'!AQ169-1</f>
        <v>2.6691880778233923E-2</v>
      </c>
      <c r="BI169" s="1"/>
      <c r="BJ169" s="16">
        <f>AS169/'2017-18 disagg'!AS169-1</f>
        <v>1.2020915167425983E-2</v>
      </c>
      <c r="BK169" s="16">
        <f>AT169/'2017-18 disagg'!AT169-1</f>
        <v>1.3560832258147082E-2</v>
      </c>
      <c r="BL169" s="16">
        <f>AU169/'2017-18 disagg'!AU169-1</f>
        <v>3.7295629590157864E-2</v>
      </c>
      <c r="BM169" s="16">
        <f>AW169/'2017-18 disagg'!AW169-1</f>
        <v>1.6995777417202484E-2</v>
      </c>
    </row>
    <row r="170" spans="1:65" x14ac:dyDescent="0.2">
      <c r="A170" s="156" t="s">
        <v>385</v>
      </c>
      <c r="B170" s="156" t="s">
        <v>386</v>
      </c>
      <c r="D170" s="56">
        <f>VLOOKUP(A170,'2018-19'!$A$12:$AMX378,32,FALSE)</f>
        <v>473499</v>
      </c>
      <c r="E170" s="56">
        <v>1912.4328977142927</v>
      </c>
      <c r="F170" s="16">
        <f>VLOOKUP(A170,'2018-19'!$A$12:$AMX378,34,FALSE)</f>
        <v>8.6400265846970914E-3</v>
      </c>
      <c r="G170" s="16">
        <f>VLOOKUP(A170,'2018-19'!$A$12:$AMX378,35,FALSE)</f>
        <v>4.0499787309162816E-3</v>
      </c>
      <c r="H170" s="56"/>
      <c r="I170" s="56">
        <v>396454.47818780341</v>
      </c>
      <c r="J170" s="56">
        <v>1601.2548844506719</v>
      </c>
      <c r="K170" s="16">
        <f t="shared" si="57"/>
        <v>0.19433384171713164</v>
      </c>
      <c r="L170" s="58">
        <f t="shared" si="57"/>
        <v>0.19433384171713164</v>
      </c>
      <c r="M170" s="10"/>
      <c r="N170" s="56">
        <v>354300</v>
      </c>
      <c r="O170" s="56">
        <v>37256</v>
      </c>
      <c r="P170" s="56">
        <v>81943</v>
      </c>
      <c r="R170" s="56">
        <f t="shared" si="41"/>
        <v>81943</v>
      </c>
      <c r="S170" s="56">
        <f t="shared" si="42"/>
        <v>0</v>
      </c>
      <c r="U170" s="16">
        <v>0.26146863427773748</v>
      </c>
      <c r="V170" s="16">
        <v>5.5553387030796042E-2</v>
      </c>
      <c r="W170" s="56">
        <f t="shared" si="43"/>
        <v>2</v>
      </c>
      <c r="X170" s="56">
        <f t="shared" si="44"/>
        <v>2808.6310699501214</v>
      </c>
      <c r="Y170" s="56">
        <f t="shared" si="44"/>
        <v>352.95230404971494</v>
      </c>
      <c r="AA170" s="56">
        <f t="shared" si="56"/>
        <v>0</v>
      </c>
      <c r="AB170" s="56">
        <v>0</v>
      </c>
      <c r="AC170" s="56">
        <f t="shared" si="45"/>
        <v>0</v>
      </c>
      <c r="AE170" s="56">
        <v>0</v>
      </c>
      <c r="AF170" s="56">
        <f t="shared" si="46"/>
        <v>0</v>
      </c>
      <c r="AG170" s="56">
        <f t="shared" si="47"/>
        <v>0</v>
      </c>
      <c r="AI170" s="56">
        <f t="shared" si="48"/>
        <v>0</v>
      </c>
      <c r="AJ170" s="56">
        <f t="shared" si="49"/>
        <v>0</v>
      </c>
      <c r="AK170" s="56">
        <f t="shared" si="50"/>
        <v>0</v>
      </c>
      <c r="AM170" s="56">
        <f t="shared" si="51"/>
        <v>354300</v>
      </c>
      <c r="AN170" s="56">
        <f t="shared" si="52"/>
        <v>37256</v>
      </c>
      <c r="AO170" s="56">
        <f t="shared" si="53"/>
        <v>81943</v>
      </c>
      <c r="AP170" s="56"/>
      <c r="AQ170" s="56">
        <f t="shared" si="54"/>
        <v>473499</v>
      </c>
      <c r="AR170" s="1"/>
      <c r="AS170" s="56">
        <v>1430.9955789984222</v>
      </c>
      <c r="AT170" s="56">
        <v>150.4746578920836</v>
      </c>
      <c r="AU170" s="56">
        <v>330.96266082378696</v>
      </c>
      <c r="AV170" s="56"/>
      <c r="AW170" s="56">
        <v>1912.4328977142927</v>
      </c>
      <c r="AX170" s="1"/>
      <c r="AY170" s="16">
        <v>0.26146863427773748</v>
      </c>
      <c r="AZ170" s="16">
        <v>5.5553387030796042E-2</v>
      </c>
      <c r="BA170" s="16">
        <v>2.0509817732486058E-2</v>
      </c>
      <c r="BB170" s="16">
        <f t="shared" si="55"/>
        <v>0.19433384171713164</v>
      </c>
      <c r="BC170" s="16"/>
      <c r="BD170" s="1"/>
      <c r="BE170" s="16">
        <f>AM170/'2017-18 disagg'!AM170-1</f>
        <v>5.7046354399070687E-4</v>
      </c>
      <c r="BF170" s="16">
        <f>AN170/'2017-18 disagg'!AN170-1</f>
        <v>1.4928625912607574E-2</v>
      </c>
      <c r="BG170" s="16">
        <f>AO170/'2017-18 disagg'!AO170-1</f>
        <v>4.2041278278672989E-2</v>
      </c>
      <c r="BH170" s="16">
        <f>AQ170/'2017-18 disagg'!AQ170-1</f>
        <v>8.6400265846970914E-3</v>
      </c>
      <c r="BI170" s="1"/>
      <c r="BJ170" s="16">
        <f>AS170/'2017-18 disagg'!AS170-1</f>
        <v>-3.9828619117693309E-3</v>
      </c>
      <c r="BK170" s="16">
        <f>AT170/'2017-18 disagg'!AT170-1</f>
        <v>1.0309960344788482E-2</v>
      </c>
      <c r="BL170" s="16">
        <f>AU170/'2017-18 disagg'!AU170-1</f>
        <v>3.7299230365792191E-2</v>
      </c>
      <c r="BM170" s="16">
        <f>AW170/'2017-18 disagg'!AW170-1</f>
        <v>4.0499787309162816E-3</v>
      </c>
    </row>
    <row r="171" spans="1:65" x14ac:dyDescent="0.2">
      <c r="A171" s="156" t="s">
        <v>387</v>
      </c>
      <c r="B171" s="156" t="s">
        <v>388</v>
      </c>
      <c r="D171" s="56">
        <f>VLOOKUP(A171,'2018-19'!$A$12:$AMX379,32,FALSE)</f>
        <v>198802</v>
      </c>
      <c r="E171" s="56">
        <v>1507.651530849728</v>
      </c>
      <c r="F171" s="16">
        <f>VLOOKUP(A171,'2018-19'!$A$12:$AMX379,34,FALSE)</f>
        <v>2.6700132209552141E-2</v>
      </c>
      <c r="G171" s="16">
        <f>VLOOKUP(A171,'2018-19'!$A$12:$AMX379,35,FALSE)</f>
        <v>1.6123490283032282E-2</v>
      </c>
      <c r="H171" s="56"/>
      <c r="I171" s="56">
        <v>198148.65163179862</v>
      </c>
      <c r="J171" s="56">
        <v>1502.6967433350303</v>
      </c>
      <c r="K171" s="16">
        <f t="shared" si="57"/>
        <v>3.2972637604187227E-3</v>
      </c>
      <c r="L171" s="58">
        <f t="shared" si="57"/>
        <v>3.2972637604187227E-3</v>
      </c>
      <c r="M171" s="10"/>
      <c r="N171" s="56">
        <v>149038</v>
      </c>
      <c r="O171" s="56">
        <v>16789</v>
      </c>
      <c r="P171" s="56">
        <v>32975</v>
      </c>
      <c r="R171" s="56">
        <f t="shared" si="41"/>
        <v>32975</v>
      </c>
      <c r="S171" s="56">
        <f t="shared" si="42"/>
        <v>0</v>
      </c>
      <c r="U171" s="16">
        <v>2.0014879131181162E-2</v>
      </c>
      <c r="V171" s="16">
        <v>3.4348210077346009E-2</v>
      </c>
      <c r="W171" s="56">
        <f t="shared" si="43"/>
        <v>2</v>
      </c>
      <c r="X171" s="56">
        <f t="shared" si="44"/>
        <v>1461.1355486004893</v>
      </c>
      <c r="Y171" s="56">
        <f t="shared" si="44"/>
        <v>162.31477790969987</v>
      </c>
      <c r="AA171" s="56">
        <f t="shared" si="56"/>
        <v>0</v>
      </c>
      <c r="AB171" s="56">
        <v>0</v>
      </c>
      <c r="AC171" s="56">
        <f t="shared" si="45"/>
        <v>0</v>
      </c>
      <c r="AE171" s="56">
        <v>0</v>
      </c>
      <c r="AF171" s="56">
        <f t="shared" si="46"/>
        <v>0</v>
      </c>
      <c r="AG171" s="56">
        <f t="shared" si="47"/>
        <v>0</v>
      </c>
      <c r="AI171" s="56">
        <f t="shared" si="48"/>
        <v>0</v>
      </c>
      <c r="AJ171" s="56">
        <f t="shared" si="49"/>
        <v>0</v>
      </c>
      <c r="AK171" s="56">
        <f t="shared" si="50"/>
        <v>0</v>
      </c>
      <c r="AM171" s="56">
        <f t="shared" si="51"/>
        <v>149038</v>
      </c>
      <c r="AN171" s="56">
        <f t="shared" si="52"/>
        <v>16789</v>
      </c>
      <c r="AO171" s="56">
        <f t="shared" si="53"/>
        <v>32975</v>
      </c>
      <c r="AP171" s="56"/>
      <c r="AQ171" s="56">
        <f t="shared" si="54"/>
        <v>198802</v>
      </c>
      <c r="AR171" s="1"/>
      <c r="AS171" s="56">
        <v>1130.2570842083167</v>
      </c>
      <c r="AT171" s="56">
        <v>127.32246934857841</v>
      </c>
      <c r="AU171" s="56">
        <v>250.071977292833</v>
      </c>
      <c r="AV171" s="56"/>
      <c r="AW171" s="56">
        <v>1507.651530849728</v>
      </c>
      <c r="AX171" s="1"/>
      <c r="AY171" s="16">
        <v>2.0014879131181162E-2</v>
      </c>
      <c r="AZ171" s="16">
        <v>3.4348210077346009E-2</v>
      </c>
      <c r="BA171" s="16">
        <v>-7.9003716978951921E-2</v>
      </c>
      <c r="BB171" s="16">
        <f t="shared" si="55"/>
        <v>3.2972637604187227E-3</v>
      </c>
      <c r="BC171" s="16"/>
      <c r="BD171" s="1"/>
      <c r="BE171" s="16">
        <f>AM171/'2017-18 disagg'!AM171-1</f>
        <v>2.2552160877112426E-2</v>
      </c>
      <c r="BF171" s="16">
        <f>AN171/'2017-18 disagg'!AN171-1</f>
        <v>2.253486814056882E-2</v>
      </c>
      <c r="BG171" s="16">
        <f>AO171/'2017-18 disagg'!AO171-1</f>
        <v>4.8089759074438909E-2</v>
      </c>
      <c r="BH171" s="16">
        <f>AQ171/'2017-18 disagg'!AQ171-1</f>
        <v>2.6700132209552141E-2</v>
      </c>
      <c r="BI171" s="1"/>
      <c r="BJ171" s="16">
        <f>AS171/'2017-18 disagg'!AS171-1</f>
        <v>1.2018249642961498E-2</v>
      </c>
      <c r="BK171" s="16">
        <f>AT171/'2017-18 disagg'!AT171-1</f>
        <v>1.2001135049068079E-2</v>
      </c>
      <c r="BL171" s="16">
        <f>AU171/'2017-18 disagg'!AU171-1</f>
        <v>3.7292770021047028E-2</v>
      </c>
      <c r="BM171" s="16">
        <f>AW171/'2017-18 disagg'!AW171-1</f>
        <v>1.6123490283032282E-2</v>
      </c>
    </row>
    <row r="172" spans="1:65" x14ac:dyDescent="0.2">
      <c r="A172" s="156" t="s">
        <v>389</v>
      </c>
      <c r="B172" s="156" t="s">
        <v>390</v>
      </c>
      <c r="D172" s="56">
        <f>VLOOKUP(A172,'2018-19'!$A$12:$AMX380,32,FALSE)</f>
        <v>319209.74012680672</v>
      </c>
      <c r="E172" s="56">
        <v>1491.3899418946701</v>
      </c>
      <c r="F172" s="16">
        <f>VLOOKUP(A172,'2018-19'!$A$12:$AMX380,34,FALSE)</f>
        <v>2.6846917387689517E-2</v>
      </c>
      <c r="G172" s="16">
        <f>VLOOKUP(A172,'2018-19'!$A$12:$AMX380,35,FALSE)</f>
        <v>1.6423051429908186E-2</v>
      </c>
      <c r="H172" s="56"/>
      <c r="I172" s="56">
        <v>324119.69395164377</v>
      </c>
      <c r="J172" s="56">
        <v>1514.3298927452308</v>
      </c>
      <c r="K172" s="16">
        <f t="shared" si="57"/>
        <v>-1.514858219497639E-2</v>
      </c>
      <c r="L172" s="58">
        <f t="shared" si="57"/>
        <v>-1.5148582194976279E-2</v>
      </c>
      <c r="M172" s="10"/>
      <c r="N172" s="56">
        <v>235675</v>
      </c>
      <c r="O172" s="56">
        <v>27048</v>
      </c>
      <c r="P172" s="56">
        <v>56481</v>
      </c>
      <c r="R172" s="56">
        <f t="shared" si="41"/>
        <v>56481</v>
      </c>
      <c r="S172" s="56">
        <f t="shared" si="42"/>
        <v>5.740126806718763</v>
      </c>
      <c r="U172" s="16">
        <v>-4.6488233146728786E-2</v>
      </c>
      <c r="V172" s="16">
        <v>2.0624744095267822E-3</v>
      </c>
      <c r="W172" s="56">
        <f t="shared" si="43"/>
        <v>1</v>
      </c>
      <c r="X172" s="56">
        <f t="shared" si="44"/>
        <v>2471.6527702407084</v>
      </c>
      <c r="Y172" s="56">
        <f t="shared" si="44"/>
        <v>269.92329012158893</v>
      </c>
      <c r="AA172" s="56">
        <f t="shared" si="56"/>
        <v>5.740126806718763</v>
      </c>
      <c r="AB172" s="56">
        <v>0</v>
      </c>
      <c r="AC172" s="56">
        <f t="shared" si="45"/>
        <v>0</v>
      </c>
      <c r="AE172" s="56">
        <v>0</v>
      </c>
      <c r="AF172" s="56">
        <f t="shared" si="46"/>
        <v>0</v>
      </c>
      <c r="AG172" s="56">
        <f t="shared" si="47"/>
        <v>0</v>
      </c>
      <c r="AI172" s="56">
        <f t="shared" si="48"/>
        <v>0</v>
      </c>
      <c r="AJ172" s="56">
        <f t="shared" si="49"/>
        <v>0</v>
      </c>
      <c r="AK172" s="56">
        <f t="shared" si="50"/>
        <v>0</v>
      </c>
      <c r="AM172" s="56">
        <f t="shared" si="51"/>
        <v>235681</v>
      </c>
      <c r="AN172" s="56">
        <f t="shared" si="52"/>
        <v>27048</v>
      </c>
      <c r="AO172" s="56">
        <f t="shared" si="53"/>
        <v>56481</v>
      </c>
      <c r="AP172" s="56"/>
      <c r="AQ172" s="56">
        <f t="shared" si="54"/>
        <v>319210</v>
      </c>
      <c r="AR172" s="1"/>
      <c r="AS172" s="56">
        <v>1101.1326683078239</v>
      </c>
      <c r="AT172" s="56">
        <v>126.37181789109017</v>
      </c>
      <c r="AU172" s="56">
        <v>263.88666985753713</v>
      </c>
      <c r="AV172" s="56"/>
      <c r="AW172" s="56">
        <v>1491.3911560564511</v>
      </c>
      <c r="AX172" s="1"/>
      <c r="AY172" s="16">
        <v>-4.6463957892242225E-2</v>
      </c>
      <c r="AZ172" s="16">
        <v>2.0624744095267822E-3</v>
      </c>
      <c r="BA172" s="16">
        <v>0.13047717492556421</v>
      </c>
      <c r="BB172" s="16">
        <f t="shared" si="55"/>
        <v>-1.5147780413418022E-2</v>
      </c>
      <c r="BC172" s="16"/>
      <c r="BD172" s="1"/>
      <c r="BE172" s="16">
        <f>AM172/'2017-18 disagg'!AM172-1</f>
        <v>2.2423995280072218E-2</v>
      </c>
      <c r="BF172" s="16">
        <f>AN172/'2017-18 disagg'!AN172-1</f>
        <v>2.2415422415422492E-2</v>
      </c>
      <c r="BG172" s="16">
        <f>AO172/'2017-18 disagg'!AO172-1</f>
        <v>4.7943299255988281E-2</v>
      </c>
      <c r="BH172" s="16">
        <f>AQ172/'2017-18 disagg'!AQ172-1</f>
        <v>2.6847753358381743E-2</v>
      </c>
      <c r="BI172" s="1"/>
      <c r="BJ172" s="16">
        <f>AS172/'2017-18 disagg'!AS172-1</f>
        <v>1.2045027881570691E-2</v>
      </c>
      <c r="BK172" s="16">
        <f>AT172/'2017-18 disagg'!AT172-1</f>
        <v>1.2036542042932696E-2</v>
      </c>
      <c r="BL172" s="16">
        <f>AU172/'2017-18 disagg'!AU172-1</f>
        <v>3.7305276881057114E-2</v>
      </c>
      <c r="BM172" s="16">
        <f>AW172/'2017-18 disagg'!AW172-1</f>
        <v>1.6423878914382684E-2</v>
      </c>
    </row>
    <row r="173" spans="1:65" x14ac:dyDescent="0.2">
      <c r="A173" s="156" t="s">
        <v>391</v>
      </c>
      <c r="B173" s="156" t="s">
        <v>392</v>
      </c>
      <c r="D173" s="56">
        <f>VLOOKUP(A173,'2018-19'!$A$12:$AMX381,32,FALSE)</f>
        <v>210256.86920703831</v>
      </c>
      <c r="E173" s="56">
        <v>1458.9952998192123</v>
      </c>
      <c r="F173" s="16">
        <f>VLOOKUP(A173,'2018-19'!$A$12:$AMX381,34,FALSE)</f>
        <v>2.8734486099882162E-2</v>
      </c>
      <c r="G173" s="16">
        <f>VLOOKUP(A173,'2018-19'!$A$12:$AMX381,35,FALSE)</f>
        <v>1.8925883134493171E-2</v>
      </c>
      <c r="H173" s="56"/>
      <c r="I173" s="56">
        <v>214904.74819610582</v>
      </c>
      <c r="J173" s="56">
        <v>1491.2474380002509</v>
      </c>
      <c r="K173" s="16">
        <f t="shared" si="57"/>
        <v>-2.1627623531268902E-2</v>
      </c>
      <c r="L173" s="58">
        <f t="shared" si="57"/>
        <v>-2.1627623531268902E-2</v>
      </c>
      <c r="M173" s="10"/>
      <c r="N173" s="56">
        <v>160721</v>
      </c>
      <c r="O173" s="56">
        <v>16938</v>
      </c>
      <c r="P173" s="56">
        <v>32068</v>
      </c>
      <c r="R173" s="56">
        <f t="shared" si="41"/>
        <v>32068</v>
      </c>
      <c r="S173" s="56">
        <f t="shared" si="42"/>
        <v>529.86920703831129</v>
      </c>
      <c r="U173" s="16">
        <v>-1.545333907308033E-2</v>
      </c>
      <c r="V173" s="16">
        <v>-4.8288527791389257E-2</v>
      </c>
      <c r="W173" s="56">
        <f t="shared" si="43"/>
        <v>4</v>
      </c>
      <c r="X173" s="56">
        <f t="shared" si="44"/>
        <v>1632.4365962369548</v>
      </c>
      <c r="Y173" s="56">
        <f t="shared" si="44"/>
        <v>177.97410764307008</v>
      </c>
      <c r="AA173" s="56">
        <f t="shared" si="56"/>
        <v>0</v>
      </c>
      <c r="AB173" s="56">
        <v>0</v>
      </c>
      <c r="AC173" s="56">
        <f t="shared" si="45"/>
        <v>529.86920703831129</v>
      </c>
      <c r="AE173" s="56">
        <v>0</v>
      </c>
      <c r="AF173" s="56">
        <f t="shared" si="46"/>
        <v>0</v>
      </c>
      <c r="AG173" s="56">
        <f t="shared" si="47"/>
        <v>529.86920703831129</v>
      </c>
      <c r="AI173" s="56">
        <f t="shared" si="48"/>
        <v>477.7799219451129</v>
      </c>
      <c r="AJ173" s="56">
        <f t="shared" si="49"/>
        <v>52.089285093198399</v>
      </c>
      <c r="AK173" s="56">
        <f t="shared" si="50"/>
        <v>0</v>
      </c>
      <c r="AM173" s="56">
        <f t="shared" si="51"/>
        <v>161199</v>
      </c>
      <c r="AN173" s="56">
        <f t="shared" si="52"/>
        <v>16990</v>
      </c>
      <c r="AO173" s="56">
        <f t="shared" si="53"/>
        <v>32068</v>
      </c>
      <c r="AP173" s="56"/>
      <c r="AQ173" s="56">
        <f t="shared" si="54"/>
        <v>210257</v>
      </c>
      <c r="AR173" s="1"/>
      <c r="AS173" s="56">
        <v>1118.5774059251726</v>
      </c>
      <c r="AT173" s="56">
        <v>117.89545919434167</v>
      </c>
      <c r="AU173" s="56">
        <v>222.52334228629479</v>
      </c>
      <c r="AV173" s="56"/>
      <c r="AW173" s="56">
        <v>1458.9962074058089</v>
      </c>
      <c r="AX173" s="1"/>
      <c r="AY173" s="16">
        <v>-1.2525200846444928E-2</v>
      </c>
      <c r="AZ173" s="16">
        <v>-4.5366754467806358E-2</v>
      </c>
      <c r="BA173" s="16">
        <v>-5.3026662321764118E-2</v>
      </c>
      <c r="BB173" s="16">
        <f t="shared" si="55"/>
        <v>-2.1627014922279142E-2</v>
      </c>
      <c r="BC173" s="16"/>
      <c r="BD173" s="1"/>
      <c r="BE173" s="16">
        <f>AM173/'2017-18 disagg'!AM173-1</f>
        <v>2.4800061030655129E-2</v>
      </c>
      <c r="BF173" s="16">
        <f>AN173/'2017-18 disagg'!AN173-1</f>
        <v>3.1823150734847649E-2</v>
      </c>
      <c r="BG173" s="16">
        <f>AO173/'2017-18 disagg'!AO173-1</f>
        <v>4.7289353363814568E-2</v>
      </c>
      <c r="BH173" s="16">
        <f>AQ173/'2017-18 disagg'!AQ173-1</f>
        <v>2.8735126037263248E-2</v>
      </c>
      <c r="BI173" s="1"/>
      <c r="BJ173" s="16">
        <f>AS173/'2017-18 disagg'!AS173-1</f>
        <v>1.5028971353605147E-2</v>
      </c>
      <c r="BK173" s="16">
        <f>AT173/'2017-18 disagg'!AT173-1</f>
        <v>2.1985098494153199E-2</v>
      </c>
      <c r="BL173" s="16">
        <f>AU173/'2017-18 disagg'!AU173-1</f>
        <v>3.7303836599455575E-2</v>
      </c>
      <c r="BM173" s="16">
        <f>AW173/'2017-18 disagg'!AW173-1</f>
        <v>1.8926516970307894E-2</v>
      </c>
    </row>
    <row r="174" spans="1:65" x14ac:dyDescent="0.2">
      <c r="A174" s="156" t="s">
        <v>393</v>
      </c>
      <c r="B174" s="156" t="s">
        <v>394</v>
      </c>
      <c r="D174" s="56">
        <f>VLOOKUP(A174,'2018-19'!$A$12:$AMX382,32,FALSE)</f>
        <v>514891</v>
      </c>
      <c r="E174" s="56">
        <v>1623.4363897917187</v>
      </c>
      <c r="F174" s="16">
        <f>VLOOKUP(A174,'2018-19'!$A$12:$AMX382,34,FALSE)</f>
        <v>2.6073769397397806E-2</v>
      </c>
      <c r="G174" s="16">
        <f>VLOOKUP(A174,'2018-19'!$A$12:$AMX382,35,FALSE)</f>
        <v>1.8883267681420346E-2</v>
      </c>
      <c r="H174" s="56"/>
      <c r="I174" s="56">
        <v>500171.62825247954</v>
      </c>
      <c r="J174" s="56">
        <v>1577.0266375727115</v>
      </c>
      <c r="K174" s="16">
        <f t="shared" si="57"/>
        <v>2.9428641922268906E-2</v>
      </c>
      <c r="L174" s="58">
        <f t="shared" si="57"/>
        <v>2.9428641922269128E-2</v>
      </c>
      <c r="M174" s="10"/>
      <c r="N174" s="56">
        <v>373871</v>
      </c>
      <c r="O174" s="56">
        <v>42077</v>
      </c>
      <c r="P174" s="56">
        <v>98943</v>
      </c>
      <c r="R174" s="56">
        <f t="shared" si="41"/>
        <v>98943</v>
      </c>
      <c r="S174" s="56">
        <f t="shared" si="42"/>
        <v>0</v>
      </c>
      <c r="U174" s="16">
        <v>4.7347645387479265E-2</v>
      </c>
      <c r="V174" s="16">
        <v>-4.9088126858853554E-2</v>
      </c>
      <c r="W174" s="56">
        <f t="shared" si="43"/>
        <v>3</v>
      </c>
      <c r="X174" s="56">
        <f t="shared" si="44"/>
        <v>3569.693421726095</v>
      </c>
      <c r="Y174" s="56">
        <f t="shared" si="44"/>
        <v>442.49105714714739</v>
      </c>
      <c r="AA174" s="56">
        <f t="shared" si="56"/>
        <v>0</v>
      </c>
      <c r="AB174" s="56">
        <v>0</v>
      </c>
      <c r="AC174" s="56">
        <f t="shared" si="45"/>
        <v>0</v>
      </c>
      <c r="AE174" s="56">
        <v>0</v>
      </c>
      <c r="AF174" s="56">
        <f t="shared" si="46"/>
        <v>0</v>
      </c>
      <c r="AG174" s="56">
        <f t="shared" si="47"/>
        <v>0</v>
      </c>
      <c r="AI174" s="56">
        <f t="shared" si="48"/>
        <v>0</v>
      </c>
      <c r="AJ174" s="56">
        <f t="shared" si="49"/>
        <v>0</v>
      </c>
      <c r="AK174" s="56">
        <f t="shared" si="50"/>
        <v>0</v>
      </c>
      <c r="AM174" s="56">
        <f t="shared" si="51"/>
        <v>373871</v>
      </c>
      <c r="AN174" s="56">
        <f t="shared" si="52"/>
        <v>42077</v>
      </c>
      <c r="AO174" s="56">
        <f t="shared" si="53"/>
        <v>98943</v>
      </c>
      <c r="AP174" s="56"/>
      <c r="AQ174" s="56">
        <f t="shared" si="54"/>
        <v>514891</v>
      </c>
      <c r="AR174" s="1"/>
      <c r="AS174" s="56">
        <v>1178.8044197467418</v>
      </c>
      <c r="AT174" s="56">
        <v>132.66756065510205</v>
      </c>
      <c r="AU174" s="56">
        <v>311.96440938987479</v>
      </c>
      <c r="AV174" s="56"/>
      <c r="AW174" s="56">
        <v>1623.4363897917187</v>
      </c>
      <c r="AX174" s="1"/>
      <c r="AY174" s="16">
        <v>4.7347645387479265E-2</v>
      </c>
      <c r="AZ174" s="16">
        <v>-4.9088126858853554E-2</v>
      </c>
      <c r="BA174" s="16">
        <v>-1.0288062614782767E-4</v>
      </c>
      <c r="BB174" s="16">
        <f t="shared" si="55"/>
        <v>2.9428641922268906E-2</v>
      </c>
      <c r="BC174" s="16"/>
      <c r="BD174" s="1"/>
      <c r="BE174" s="16">
        <f>AM174/'2017-18 disagg'!AM174-1</f>
        <v>1.9869771704943195E-2</v>
      </c>
      <c r="BF174" s="16">
        <f>AN174/'2017-18 disagg'!AN174-1</f>
        <v>3.886131891464828E-2</v>
      </c>
      <c r="BG174" s="16">
        <f>AO174/'2017-18 disagg'!AO174-1</f>
        <v>4.4617122586230629E-2</v>
      </c>
      <c r="BH174" s="16">
        <f>AQ174/'2017-18 disagg'!AQ174-1</f>
        <v>2.6073769397397806E-2</v>
      </c>
      <c r="BI174" s="1"/>
      <c r="BJ174" s="16">
        <f>AS174/'2017-18 disagg'!AS174-1</f>
        <v>1.2722746254887118E-2</v>
      </c>
      <c r="BK174" s="16">
        <f>AT174/'2017-18 disagg'!AT174-1</f>
        <v>3.1581204834054022E-2</v>
      </c>
      <c r="BL174" s="16">
        <f>AU174/'2017-18 disagg'!AU174-1</f>
        <v>3.7296673085891907E-2</v>
      </c>
      <c r="BM174" s="16">
        <f>AW174/'2017-18 disagg'!AW174-1</f>
        <v>1.8883267681420346E-2</v>
      </c>
    </row>
    <row r="175" spans="1:65" x14ac:dyDescent="0.2">
      <c r="A175" s="156" t="s">
        <v>395</v>
      </c>
      <c r="B175" s="156" t="s">
        <v>396</v>
      </c>
      <c r="D175" s="56">
        <f>VLOOKUP(A175,'2018-19'!$A$12:$AMX383,32,FALSE)</f>
        <v>347778</v>
      </c>
      <c r="E175" s="56">
        <v>1572.5411049565992</v>
      </c>
      <c r="F175" s="16">
        <f>VLOOKUP(A175,'2018-19'!$A$12:$AMX383,34,FALSE)</f>
        <v>2.376775074770987E-2</v>
      </c>
      <c r="G175" s="16">
        <f>VLOOKUP(A175,'2018-19'!$A$12:$AMX383,35,FALSE)</f>
        <v>1.7868847539887378E-2</v>
      </c>
      <c r="H175" s="56"/>
      <c r="I175" s="56">
        <v>348043.6781379708</v>
      </c>
      <c r="J175" s="56">
        <v>1573.7424166918079</v>
      </c>
      <c r="K175" s="16">
        <f t="shared" si="57"/>
        <v>-7.6334711606362848E-4</v>
      </c>
      <c r="L175" s="58">
        <f t="shared" si="57"/>
        <v>-7.6334711606362848E-4</v>
      </c>
      <c r="M175" s="10"/>
      <c r="N175" s="56">
        <v>266824</v>
      </c>
      <c r="O175" s="56">
        <v>27331</v>
      </c>
      <c r="P175" s="56">
        <v>53623</v>
      </c>
      <c r="R175" s="56">
        <f t="shared" si="41"/>
        <v>53623</v>
      </c>
      <c r="S175" s="56">
        <f t="shared" si="42"/>
        <v>0</v>
      </c>
      <c r="U175" s="16">
        <v>1.9196073298055394E-2</v>
      </c>
      <c r="V175" s="16">
        <v>-4.8238146828023409E-2</v>
      </c>
      <c r="W175" s="56">
        <f t="shared" si="43"/>
        <v>3</v>
      </c>
      <c r="X175" s="56">
        <f t="shared" si="44"/>
        <v>2617.9849686486141</v>
      </c>
      <c r="Y175" s="56">
        <f t="shared" si="44"/>
        <v>287.16217096653781</v>
      </c>
      <c r="AA175" s="56">
        <f t="shared" si="56"/>
        <v>0</v>
      </c>
      <c r="AB175" s="56">
        <v>0</v>
      </c>
      <c r="AC175" s="56">
        <f t="shared" si="45"/>
        <v>0</v>
      </c>
      <c r="AE175" s="56">
        <v>0</v>
      </c>
      <c r="AF175" s="56">
        <f t="shared" si="46"/>
        <v>0</v>
      </c>
      <c r="AG175" s="56">
        <f t="shared" si="47"/>
        <v>0</v>
      </c>
      <c r="AI175" s="56">
        <f t="shared" si="48"/>
        <v>0</v>
      </c>
      <c r="AJ175" s="56">
        <f t="shared" si="49"/>
        <v>0</v>
      </c>
      <c r="AK175" s="56">
        <f t="shared" si="50"/>
        <v>0</v>
      </c>
      <c r="AM175" s="56">
        <f t="shared" si="51"/>
        <v>266824</v>
      </c>
      <c r="AN175" s="56">
        <f t="shared" si="52"/>
        <v>27331</v>
      </c>
      <c r="AO175" s="56">
        <f t="shared" si="53"/>
        <v>53623</v>
      </c>
      <c r="AP175" s="56"/>
      <c r="AQ175" s="56">
        <f t="shared" si="54"/>
        <v>347778</v>
      </c>
      <c r="AR175" s="1"/>
      <c r="AS175" s="56">
        <v>1206.4929575445819</v>
      </c>
      <c r="AT175" s="56">
        <v>123.58205792076788</v>
      </c>
      <c r="AU175" s="56">
        <v>242.46608949124936</v>
      </c>
      <c r="AV175" s="56"/>
      <c r="AW175" s="56">
        <v>1572.5411049565992</v>
      </c>
      <c r="AX175" s="1"/>
      <c r="AY175" s="16">
        <v>1.9196073298055394E-2</v>
      </c>
      <c r="AZ175" s="16">
        <v>-4.8238146828023409E-2</v>
      </c>
      <c r="BA175" s="16">
        <v>-6.7895611060805328E-2</v>
      </c>
      <c r="BB175" s="16">
        <f t="shared" si="55"/>
        <v>-7.6334711606362848E-4</v>
      </c>
      <c r="BC175" s="16"/>
      <c r="BD175" s="1"/>
      <c r="BE175" s="16">
        <f>AM175/'2017-18 disagg'!AM175-1</f>
        <v>1.986805592716312E-2</v>
      </c>
      <c r="BF175" s="16">
        <f>AN175/'2017-18 disagg'!AN175-1</f>
        <v>2.4361905475806855E-2</v>
      </c>
      <c r="BG175" s="16">
        <f>AO175/'2017-18 disagg'!AO175-1</f>
        <v>4.3309920812498737E-2</v>
      </c>
      <c r="BH175" s="16">
        <f>AQ175/'2017-18 disagg'!AQ175-1</f>
        <v>2.376775074770987E-2</v>
      </c>
      <c r="BI175" s="1"/>
      <c r="BJ175" s="16">
        <f>AS175/'2017-18 disagg'!AS175-1</f>
        <v>1.3991622583496843E-2</v>
      </c>
      <c r="BK175" s="16">
        <f>AT175/'2017-18 disagg'!AT175-1</f>
        <v>1.8459578775469776E-2</v>
      </c>
      <c r="BL175" s="16">
        <f>AU175/'2017-18 disagg'!AU175-1</f>
        <v>3.7298416509751631E-2</v>
      </c>
      <c r="BM175" s="16">
        <f>AW175/'2017-18 disagg'!AW175-1</f>
        <v>1.7868847539887378E-2</v>
      </c>
    </row>
    <row r="176" spans="1:65" x14ac:dyDescent="0.2">
      <c r="A176" s="156" t="s">
        <v>397</v>
      </c>
      <c r="B176" s="156" t="s">
        <v>398</v>
      </c>
      <c r="D176" s="56">
        <f>VLOOKUP(A176,'2018-19'!$A$12:$AMX384,32,FALSE)</f>
        <v>496600.28700615157</v>
      </c>
      <c r="E176" s="56">
        <v>1444.7202053351552</v>
      </c>
      <c r="F176" s="16">
        <f>VLOOKUP(A176,'2018-19'!$A$12:$AMX384,34,FALSE)</f>
        <v>2.5914949935857745E-2</v>
      </c>
      <c r="G176" s="16">
        <f>VLOOKUP(A176,'2018-19'!$A$12:$AMX384,35,FALSE)</f>
        <v>1.9759008475626283E-2</v>
      </c>
      <c r="H176" s="56"/>
      <c r="I176" s="56">
        <v>508695.85142388695</v>
      </c>
      <c r="J176" s="56">
        <v>1479.9088807476985</v>
      </c>
      <c r="K176" s="16">
        <f t="shared" si="57"/>
        <v>-2.3777595952235053E-2</v>
      </c>
      <c r="L176" s="58">
        <f t="shared" si="57"/>
        <v>-2.3777595952235053E-2</v>
      </c>
      <c r="M176" s="10"/>
      <c r="N176" s="56">
        <v>368964</v>
      </c>
      <c r="O176" s="56">
        <v>41446</v>
      </c>
      <c r="P176" s="56">
        <v>85517</v>
      </c>
      <c r="R176" s="56">
        <f t="shared" si="41"/>
        <v>85517</v>
      </c>
      <c r="S176" s="56">
        <f t="shared" si="42"/>
        <v>673.2870061515714</v>
      </c>
      <c r="U176" s="16">
        <v>-4.285421588570304E-2</v>
      </c>
      <c r="V176" s="16">
        <v>-4.840831879207641E-2</v>
      </c>
      <c r="W176" s="56">
        <f t="shared" si="43"/>
        <v>4</v>
      </c>
      <c r="X176" s="56">
        <f t="shared" si="44"/>
        <v>3854.8359729905096</v>
      </c>
      <c r="Y176" s="56">
        <f t="shared" si="44"/>
        <v>435.54395039886879</v>
      </c>
      <c r="AA176" s="56">
        <f t="shared" si="56"/>
        <v>0</v>
      </c>
      <c r="AB176" s="56">
        <v>0</v>
      </c>
      <c r="AC176" s="56">
        <f t="shared" si="45"/>
        <v>673.2870061515714</v>
      </c>
      <c r="AE176" s="56">
        <v>0</v>
      </c>
      <c r="AF176" s="56">
        <f t="shared" si="46"/>
        <v>0</v>
      </c>
      <c r="AG176" s="56">
        <f t="shared" si="47"/>
        <v>673.2870061515714</v>
      </c>
      <c r="AI176" s="56">
        <f t="shared" si="48"/>
        <v>604.9373290488918</v>
      </c>
      <c r="AJ176" s="56">
        <f t="shared" si="49"/>
        <v>68.349677102679507</v>
      </c>
      <c r="AK176" s="56">
        <f t="shared" si="50"/>
        <v>0</v>
      </c>
      <c r="AM176" s="56">
        <f t="shared" si="51"/>
        <v>369569</v>
      </c>
      <c r="AN176" s="56">
        <f t="shared" si="52"/>
        <v>41514</v>
      </c>
      <c r="AO176" s="56">
        <f t="shared" si="53"/>
        <v>85517</v>
      </c>
      <c r="AP176" s="56"/>
      <c r="AQ176" s="56">
        <f t="shared" si="54"/>
        <v>496600</v>
      </c>
      <c r="AR176" s="1"/>
      <c r="AS176" s="56">
        <v>1075.1580607904364</v>
      </c>
      <c r="AT176" s="56">
        <v>120.77341913324487</v>
      </c>
      <c r="AU176" s="56">
        <v>248.78789044702273</v>
      </c>
      <c r="AV176" s="56"/>
      <c r="AW176" s="56">
        <v>1444.7193703707039</v>
      </c>
      <c r="AX176" s="1"/>
      <c r="AY176" s="16">
        <v>-4.1284758704544067E-2</v>
      </c>
      <c r="AZ176" s="16">
        <v>-4.6847052703138048E-2</v>
      </c>
      <c r="BA176" s="16">
        <v>7.3553833637463928E-2</v>
      </c>
      <c r="BB176" s="16">
        <f t="shared" si="55"/>
        <v>-2.377816015214107E-2</v>
      </c>
      <c r="BC176" s="16"/>
      <c r="BD176" s="1"/>
      <c r="BE176" s="16">
        <f>AM176/'2017-18 disagg'!AM176-1</f>
        <v>2.154095351819918E-2</v>
      </c>
      <c r="BF176" s="16">
        <f>AN176/'2017-18 disagg'!AN176-1</f>
        <v>2.9281233729204326E-2</v>
      </c>
      <c r="BG176" s="16">
        <f>AO176/'2017-18 disagg'!AO176-1</f>
        <v>4.3564743065640066E-2</v>
      </c>
      <c r="BH176" s="16">
        <f>AQ176/'2017-18 disagg'!AQ176-1</f>
        <v>2.5914357016543432E-2</v>
      </c>
      <c r="BI176" s="1"/>
      <c r="BJ176" s="16">
        <f>AS176/'2017-18 disagg'!AS176-1</f>
        <v>1.5411257962558711E-2</v>
      </c>
      <c r="BK176" s="16">
        <f>AT176/'2017-18 disagg'!AT176-1</f>
        <v>2.3105093083873207E-2</v>
      </c>
      <c r="BL176" s="16">
        <f>AU176/'2017-18 disagg'!AU176-1</f>
        <v>3.7302895074561304E-2</v>
      </c>
      <c r="BM176" s="16">
        <f>AW176/'2017-18 disagg'!AW176-1</f>
        <v>1.9758419114089154E-2</v>
      </c>
    </row>
    <row r="177" spans="1:65" x14ac:dyDescent="0.2">
      <c r="A177" s="156" t="s">
        <v>399</v>
      </c>
      <c r="B177" s="156" t="s">
        <v>400</v>
      </c>
      <c r="D177" s="56">
        <f>VLOOKUP(A177,'2018-19'!$A$12:$AMX385,32,FALSE)</f>
        <v>906115.10091390216</v>
      </c>
      <c r="E177" s="56">
        <v>1755.2427922763979</v>
      </c>
      <c r="F177" s="16">
        <f>VLOOKUP(A177,'2018-19'!$A$12:$AMX385,34,FALSE)</f>
        <v>2.6719764806684143E-2</v>
      </c>
      <c r="G177" s="16">
        <f>VLOOKUP(A177,'2018-19'!$A$12:$AMX385,35,FALSE)</f>
        <v>1.8490760984372523E-2</v>
      </c>
      <c r="H177" s="56"/>
      <c r="I177" s="56">
        <v>924770.31527965399</v>
      </c>
      <c r="J177" s="56">
        <v>1791.3799568825625</v>
      </c>
      <c r="K177" s="16">
        <f t="shared" si="57"/>
        <v>-2.0172808380111595E-2</v>
      </c>
      <c r="L177" s="58">
        <f t="shared" si="57"/>
        <v>-2.0172808380111595E-2</v>
      </c>
      <c r="M177" s="10"/>
      <c r="N177" s="56">
        <v>701605</v>
      </c>
      <c r="O177" s="56">
        <v>68022</v>
      </c>
      <c r="P177" s="56">
        <v>134524</v>
      </c>
      <c r="R177" s="56">
        <f t="shared" si="41"/>
        <v>134524</v>
      </c>
      <c r="S177" s="56">
        <f t="shared" si="42"/>
        <v>1964.1009139021626</v>
      </c>
      <c r="U177" s="16">
        <v>-2.3963389755623177E-2</v>
      </c>
      <c r="V177" s="16">
        <v>-4.8303844964638909E-2</v>
      </c>
      <c r="W177" s="56">
        <f t="shared" si="43"/>
        <v>4</v>
      </c>
      <c r="X177" s="56">
        <f t="shared" si="44"/>
        <v>7188.3061827397487</v>
      </c>
      <c r="Y177" s="56">
        <f t="shared" si="44"/>
        <v>714.7449282010873</v>
      </c>
      <c r="AA177" s="56">
        <f t="shared" si="56"/>
        <v>0</v>
      </c>
      <c r="AB177" s="56">
        <v>0</v>
      </c>
      <c r="AC177" s="56">
        <f t="shared" si="45"/>
        <v>1964.1009139021626</v>
      </c>
      <c r="AE177" s="56">
        <v>0</v>
      </c>
      <c r="AF177" s="56">
        <f t="shared" si="46"/>
        <v>0</v>
      </c>
      <c r="AG177" s="56">
        <f t="shared" si="47"/>
        <v>1964.1009139021626</v>
      </c>
      <c r="AI177" s="56">
        <f t="shared" si="48"/>
        <v>1786.4693704665831</v>
      </c>
      <c r="AJ177" s="56">
        <f t="shared" si="49"/>
        <v>177.6315434355794</v>
      </c>
      <c r="AK177" s="56">
        <f t="shared" si="50"/>
        <v>0</v>
      </c>
      <c r="AM177" s="56">
        <f t="shared" si="51"/>
        <v>703391</v>
      </c>
      <c r="AN177" s="56">
        <f t="shared" si="52"/>
        <v>68200</v>
      </c>
      <c r="AO177" s="56">
        <f t="shared" si="53"/>
        <v>134524</v>
      </c>
      <c r="AP177" s="56"/>
      <c r="AQ177" s="56">
        <f t="shared" si="54"/>
        <v>906115</v>
      </c>
      <c r="AR177" s="1"/>
      <c r="AS177" s="56">
        <v>1362.5443187701603</v>
      </c>
      <c r="AT177" s="56">
        <v>132.11076419818411</v>
      </c>
      <c r="AU177" s="56">
        <v>260.58751382692844</v>
      </c>
      <c r="AV177" s="56"/>
      <c r="AW177" s="56">
        <v>1755.2425967952729</v>
      </c>
      <c r="AX177" s="1"/>
      <c r="AY177" s="16">
        <v>-2.1478798873436733E-2</v>
      </c>
      <c r="AZ177" s="16">
        <v>-4.5813446040815831E-2</v>
      </c>
      <c r="BA177" s="16">
        <v>4.3725672218131173E-4</v>
      </c>
      <c r="BB177" s="16">
        <f t="shared" si="55"/>
        <v>-2.0172917503318177E-2</v>
      </c>
      <c r="BC177" s="16"/>
      <c r="BD177" s="1"/>
      <c r="BE177" s="16">
        <f>AM177/'2017-18 disagg'!AM177-1</f>
        <v>2.2792838904431401E-2</v>
      </c>
      <c r="BF177" s="16">
        <f>AN177/'2017-18 disagg'!AN177-1</f>
        <v>3.0662979250729139E-2</v>
      </c>
      <c r="BG177" s="16">
        <f>AO177/'2017-18 disagg'!AO177-1</f>
        <v>4.5683148460516021E-2</v>
      </c>
      <c r="BH177" s="16">
        <f>AQ177/'2017-18 disagg'!AQ177-1</f>
        <v>2.671965046105873E-2</v>
      </c>
      <c r="BI177" s="1"/>
      <c r="BJ177" s="16">
        <f>AS177/'2017-18 disagg'!AS177-1</f>
        <v>1.4595308800039009E-2</v>
      </c>
      <c r="BK177" s="16">
        <f>AT177/'2017-18 disagg'!AT177-1</f>
        <v>2.2402371160296308E-2</v>
      </c>
      <c r="BL177" s="16">
        <f>AU177/'2017-18 disagg'!AU177-1</f>
        <v>3.7302155982759766E-2</v>
      </c>
      <c r="BM177" s="16">
        <f>AW177/'2017-18 disagg'!AW177-1</f>
        <v>1.8490647555210016E-2</v>
      </c>
    </row>
    <row r="178" spans="1:65" x14ac:dyDescent="0.2">
      <c r="A178" s="156" t="s">
        <v>401</v>
      </c>
      <c r="B178" s="156" t="s">
        <v>402</v>
      </c>
      <c r="D178" s="56">
        <f>VLOOKUP(A178,'2018-19'!$A$12:$AMX386,32,FALSE)</f>
        <v>211939</v>
      </c>
      <c r="E178" s="56">
        <v>1589.6199168030214</v>
      </c>
      <c r="F178" s="16">
        <f>VLOOKUP(A178,'2018-19'!$A$12:$AMX386,34,FALSE)</f>
        <v>2.6791467426323434E-2</v>
      </c>
      <c r="G178" s="16">
        <f>VLOOKUP(A178,'2018-19'!$A$12:$AMX386,35,FALSE)</f>
        <v>1.6041542331974856E-2</v>
      </c>
      <c r="H178" s="56"/>
      <c r="I178" s="56">
        <v>214436.58947154481</v>
      </c>
      <c r="J178" s="56">
        <v>1608.3527501558501</v>
      </c>
      <c r="K178" s="16">
        <f t="shared" si="57"/>
        <v>-1.1647216912467395E-2</v>
      </c>
      <c r="L178" s="58">
        <f t="shared" si="57"/>
        <v>-1.1647216912467395E-2</v>
      </c>
      <c r="M178" s="10"/>
      <c r="N178" s="56">
        <v>161273</v>
      </c>
      <c r="O178" s="56">
        <v>16250</v>
      </c>
      <c r="P178" s="56">
        <v>34416</v>
      </c>
      <c r="R178" s="56">
        <f t="shared" si="41"/>
        <v>34416</v>
      </c>
      <c r="S178" s="56">
        <f t="shared" si="42"/>
        <v>0</v>
      </c>
      <c r="U178" s="16">
        <v>-2.4710013136436393E-3</v>
      </c>
      <c r="V178" s="16">
        <v>-1.8398302124501775E-2</v>
      </c>
      <c r="W178" s="56">
        <f t="shared" si="43"/>
        <v>4</v>
      </c>
      <c r="X178" s="56">
        <f t="shared" si="44"/>
        <v>1616.7249294244082</v>
      </c>
      <c r="Y178" s="56">
        <f t="shared" si="44"/>
        <v>165.54576092492735</v>
      </c>
      <c r="AA178" s="56">
        <f t="shared" si="56"/>
        <v>0</v>
      </c>
      <c r="AB178" s="56">
        <v>0</v>
      </c>
      <c r="AC178" s="56">
        <f t="shared" si="45"/>
        <v>0</v>
      </c>
      <c r="AE178" s="56">
        <v>0</v>
      </c>
      <c r="AF178" s="56">
        <f t="shared" si="46"/>
        <v>0</v>
      </c>
      <c r="AG178" s="56">
        <f t="shared" si="47"/>
        <v>0</v>
      </c>
      <c r="AI178" s="56">
        <f t="shared" si="48"/>
        <v>0</v>
      </c>
      <c r="AJ178" s="56">
        <f t="shared" si="49"/>
        <v>0</v>
      </c>
      <c r="AK178" s="56">
        <f t="shared" si="50"/>
        <v>0</v>
      </c>
      <c r="AM178" s="56">
        <f t="shared" si="51"/>
        <v>161273</v>
      </c>
      <c r="AN178" s="56">
        <f t="shared" si="52"/>
        <v>16250</v>
      </c>
      <c r="AO178" s="56">
        <f t="shared" si="53"/>
        <v>34416</v>
      </c>
      <c r="AP178" s="56"/>
      <c r="AQ178" s="56">
        <f t="shared" si="54"/>
        <v>211939</v>
      </c>
      <c r="AR178" s="1"/>
      <c r="AS178" s="56">
        <v>1209.6064095922586</v>
      </c>
      <c r="AT178" s="56">
        <v>121.88093577892271</v>
      </c>
      <c r="AU178" s="56">
        <v>258.13257143184023</v>
      </c>
      <c r="AV178" s="56"/>
      <c r="AW178" s="56">
        <v>1589.6199168030214</v>
      </c>
      <c r="AX178" s="1"/>
      <c r="AY178" s="16">
        <v>-2.4710013136436393E-3</v>
      </c>
      <c r="AZ178" s="16">
        <v>-1.8398302124501775E-2</v>
      </c>
      <c r="BA178" s="16">
        <v>-4.9531736819078298E-2</v>
      </c>
      <c r="BB178" s="16">
        <f t="shared" si="55"/>
        <v>-1.1647216912467395E-2</v>
      </c>
      <c r="BC178" s="16"/>
      <c r="BD178" s="1"/>
      <c r="BE178" s="16">
        <f>AM178/'2017-18 disagg'!AM178-1</f>
        <v>2.2728281617614421E-2</v>
      </c>
      <c r="BF178" s="16">
        <f>AN178/'2017-18 disagg'!AN178-1</f>
        <v>2.2720120838315871E-2</v>
      </c>
      <c r="BG178" s="16">
        <f>AO178/'2017-18 disagg'!AO178-1</f>
        <v>4.8277542566476761E-2</v>
      </c>
      <c r="BH178" s="16">
        <f>AQ178/'2017-18 disagg'!AQ178-1</f>
        <v>2.6791467426323434E-2</v>
      </c>
      <c r="BI178" s="1"/>
      <c r="BJ178" s="16">
        <f>AS178/'2017-18 disagg'!AS178-1</f>
        <v>1.2020895777314911E-2</v>
      </c>
      <c r="BK178" s="16">
        <f>AT178/'2017-18 disagg'!AT178-1</f>
        <v>1.2012820436753113E-2</v>
      </c>
      <c r="BL178" s="16">
        <f>AU178/'2017-18 disagg'!AU178-1</f>
        <v>3.7302670435017449E-2</v>
      </c>
      <c r="BM178" s="16">
        <f>AW178/'2017-18 disagg'!AW178-1</f>
        <v>1.6041542331974856E-2</v>
      </c>
    </row>
    <row r="179" spans="1:65" x14ac:dyDescent="0.2">
      <c r="A179" s="156" t="s">
        <v>403</v>
      </c>
      <c r="B179" s="156" t="s">
        <v>404</v>
      </c>
      <c r="D179" s="56">
        <f>VLOOKUP(A179,'2018-19'!$A$12:$AMX387,32,FALSE)</f>
        <v>430729.48762996506</v>
      </c>
      <c r="E179" s="56">
        <v>1614.7734343547102</v>
      </c>
      <c r="F179" s="16">
        <f>VLOOKUP(A179,'2018-19'!$A$12:$AMX387,34,FALSE)</f>
        <v>2.8887834849284477E-2</v>
      </c>
      <c r="G179" s="16">
        <f>VLOOKUP(A179,'2018-19'!$A$12:$AMX387,35,FALSE)</f>
        <v>1.8922441335647244E-2</v>
      </c>
      <c r="H179" s="56"/>
      <c r="I179" s="56">
        <v>440331.39591222891</v>
      </c>
      <c r="J179" s="56">
        <v>1650.7702882005517</v>
      </c>
      <c r="K179" s="16">
        <f t="shared" si="57"/>
        <v>-2.18060950715806E-2</v>
      </c>
      <c r="L179" s="58">
        <f t="shared" si="57"/>
        <v>-2.1806095071580489E-2</v>
      </c>
      <c r="M179" s="10"/>
      <c r="N179" s="56">
        <v>321448</v>
      </c>
      <c r="O179" s="56">
        <v>33383</v>
      </c>
      <c r="P179" s="56">
        <v>74803</v>
      </c>
      <c r="R179" s="56">
        <f t="shared" si="41"/>
        <v>74803</v>
      </c>
      <c r="S179" s="56">
        <f t="shared" si="42"/>
        <v>1095.4876299650641</v>
      </c>
      <c r="U179" s="16">
        <v>-3.182398723944424E-2</v>
      </c>
      <c r="V179" s="16">
        <v>-2.5553776935201999E-2</v>
      </c>
      <c r="W179" s="56">
        <f t="shared" si="43"/>
        <v>4</v>
      </c>
      <c r="X179" s="56">
        <f t="shared" si="44"/>
        <v>3320.1400960498577</v>
      </c>
      <c r="Y179" s="56">
        <f t="shared" si="44"/>
        <v>342.58432338117979</v>
      </c>
      <c r="AA179" s="56">
        <f t="shared" si="56"/>
        <v>0</v>
      </c>
      <c r="AB179" s="56">
        <v>0</v>
      </c>
      <c r="AC179" s="56">
        <f t="shared" si="45"/>
        <v>1095.4876299650641</v>
      </c>
      <c r="AE179" s="56">
        <v>0</v>
      </c>
      <c r="AF179" s="56">
        <f t="shared" si="46"/>
        <v>0</v>
      </c>
      <c r="AG179" s="56">
        <f t="shared" si="47"/>
        <v>1095.4876299650641</v>
      </c>
      <c r="AI179" s="56">
        <f t="shared" si="48"/>
        <v>993.02376823059819</v>
      </c>
      <c r="AJ179" s="56">
        <f t="shared" si="49"/>
        <v>102.46386173446591</v>
      </c>
      <c r="AK179" s="56">
        <f t="shared" si="50"/>
        <v>0</v>
      </c>
      <c r="AM179" s="56">
        <f t="shared" si="51"/>
        <v>322441</v>
      </c>
      <c r="AN179" s="56">
        <f t="shared" si="52"/>
        <v>33485</v>
      </c>
      <c r="AO179" s="56">
        <f t="shared" si="53"/>
        <v>74803</v>
      </c>
      <c r="AP179" s="56"/>
      <c r="AQ179" s="56">
        <f t="shared" si="54"/>
        <v>430729</v>
      </c>
      <c r="AR179" s="1"/>
      <c r="AS179" s="56">
        <v>1208.8077921288459</v>
      </c>
      <c r="AT179" s="56">
        <v>125.53282280924077</v>
      </c>
      <c r="AU179" s="56">
        <v>280.43099132744919</v>
      </c>
      <c r="AV179" s="56"/>
      <c r="AW179" s="56">
        <v>1614.7716062655359</v>
      </c>
      <c r="AX179" s="1"/>
      <c r="AY179" s="16">
        <v>-2.8833149590209328E-2</v>
      </c>
      <c r="AZ179" s="16">
        <v>-2.2576407772675888E-2</v>
      </c>
      <c r="BA179" s="16">
        <v>1.0046672157765446E-2</v>
      </c>
      <c r="BB179" s="16">
        <f t="shared" si="55"/>
        <v>-2.1807202487425958E-2</v>
      </c>
      <c r="BC179" s="16"/>
      <c r="BD179" s="1"/>
      <c r="BE179" s="16">
        <f>AM179/'2017-18 disagg'!AM179-1</f>
        <v>2.5073596266459885E-2</v>
      </c>
      <c r="BF179" s="16">
        <f>AN179/'2017-18 disagg'!AN179-1</f>
        <v>2.5040560810603907E-2</v>
      </c>
      <c r="BG179" s="16">
        <f>AO179/'2017-18 disagg'!AO179-1</f>
        <v>4.7441013792620668E-2</v>
      </c>
      <c r="BH179" s="16">
        <f>AQ179/'2017-18 disagg'!AQ179-1</f>
        <v>2.8886670042710172E-2</v>
      </c>
      <c r="BI179" s="1"/>
      <c r="BJ179" s="16">
        <f>AS179/'2017-18 disagg'!AS179-1</f>
        <v>1.5145145932774051E-2</v>
      </c>
      <c r="BK179" s="16">
        <f>AT179/'2017-18 disagg'!AT179-1</f>
        <v>1.5112430445049174E-2</v>
      </c>
      <c r="BL179" s="16">
        <f>AU179/'2017-18 disagg'!AU179-1</f>
        <v>3.7295921654082687E-2</v>
      </c>
      <c r="BM179" s="16">
        <f>AW179/'2017-18 disagg'!AW179-1</f>
        <v>1.8921287810920617E-2</v>
      </c>
    </row>
    <row r="180" spans="1:65" x14ac:dyDescent="0.2">
      <c r="A180" s="156" t="s">
        <v>405</v>
      </c>
      <c r="B180" s="156" t="s">
        <v>406</v>
      </c>
      <c r="D180" s="56">
        <f>VLOOKUP(A180,'2018-19'!$A$12:$AMX388,32,FALSE)</f>
        <v>291891.25626411609</v>
      </c>
      <c r="E180" s="56">
        <v>1576.6747816329953</v>
      </c>
      <c r="F180" s="16">
        <f>VLOOKUP(A180,'2018-19'!$A$12:$AMX388,34,FALSE)</f>
        <v>3.2172848210939131E-2</v>
      </c>
      <c r="G180" s="16">
        <f>VLOOKUP(A180,'2018-19'!$A$12:$AMX388,35,FALSE)</f>
        <v>2.116743696577994E-2</v>
      </c>
      <c r="H180" s="56"/>
      <c r="I180" s="56">
        <v>300150.03456779255</v>
      </c>
      <c r="J180" s="56">
        <v>1621.2852562500286</v>
      </c>
      <c r="K180" s="16">
        <f t="shared" si="57"/>
        <v>-2.7515500091708667E-2</v>
      </c>
      <c r="L180" s="58">
        <f t="shared" si="57"/>
        <v>-2.7515500091708556E-2</v>
      </c>
      <c r="M180" s="10"/>
      <c r="N180" s="56">
        <v>220521</v>
      </c>
      <c r="O180" s="56">
        <v>21754</v>
      </c>
      <c r="P180" s="56">
        <v>48176</v>
      </c>
      <c r="R180" s="56">
        <f t="shared" si="41"/>
        <v>48176</v>
      </c>
      <c r="S180" s="56">
        <f t="shared" si="42"/>
        <v>1440.2562641160912</v>
      </c>
      <c r="U180" s="16">
        <v>-3.1076515927304205E-2</v>
      </c>
      <c r="V180" s="16">
        <v>-4.2890779258034528E-2</v>
      </c>
      <c r="W180" s="56">
        <f t="shared" si="43"/>
        <v>4</v>
      </c>
      <c r="X180" s="56">
        <f t="shared" si="44"/>
        <v>2275.9382306751363</v>
      </c>
      <c r="Y180" s="56">
        <f t="shared" si="44"/>
        <v>227.28858450591429</v>
      </c>
      <c r="AA180" s="56">
        <f t="shared" si="56"/>
        <v>0</v>
      </c>
      <c r="AB180" s="56">
        <v>0</v>
      </c>
      <c r="AC180" s="56">
        <f t="shared" si="45"/>
        <v>1440.2562641160912</v>
      </c>
      <c r="AE180" s="56">
        <v>0</v>
      </c>
      <c r="AF180" s="56">
        <f t="shared" si="46"/>
        <v>0</v>
      </c>
      <c r="AG180" s="56">
        <f t="shared" si="47"/>
        <v>1440.2562641160912</v>
      </c>
      <c r="AI180" s="56">
        <f t="shared" si="48"/>
        <v>1309.4835328512074</v>
      </c>
      <c r="AJ180" s="56">
        <f t="shared" si="49"/>
        <v>130.77273126488387</v>
      </c>
      <c r="AK180" s="56">
        <f t="shared" si="50"/>
        <v>0</v>
      </c>
      <c r="AM180" s="56">
        <f t="shared" si="51"/>
        <v>221830</v>
      </c>
      <c r="AN180" s="56">
        <f t="shared" si="52"/>
        <v>21885</v>
      </c>
      <c r="AO180" s="56">
        <f t="shared" si="53"/>
        <v>48176</v>
      </c>
      <c r="AP180" s="56"/>
      <c r="AQ180" s="56">
        <f t="shared" si="54"/>
        <v>291891</v>
      </c>
      <c r="AR180" s="1"/>
      <c r="AS180" s="56">
        <v>1198.233106692222</v>
      </c>
      <c r="AT180" s="56">
        <v>118.21363900265644</v>
      </c>
      <c r="AU180" s="56">
        <v>260.22665170628176</v>
      </c>
      <c r="AV180" s="56"/>
      <c r="AW180" s="56">
        <v>1576.6733974011602</v>
      </c>
      <c r="AX180" s="1"/>
      <c r="AY180" s="16">
        <v>-2.5325041733684772E-2</v>
      </c>
      <c r="AZ180" s="16">
        <v>-3.7127181394781883E-2</v>
      </c>
      <c r="BA180" s="16">
        <v>-3.3141496559947026E-2</v>
      </c>
      <c r="BB180" s="16">
        <f t="shared" si="55"/>
        <v>-2.7516353878437205E-2</v>
      </c>
      <c r="BC180" s="16"/>
      <c r="BD180" s="1"/>
      <c r="BE180" s="16">
        <f>AM180/'2017-18 disagg'!AM180-1</f>
        <v>2.8996330811442705E-2</v>
      </c>
      <c r="BF180" s="16">
        <f>AN180/'2017-18 disagg'!AN180-1</f>
        <v>2.9107495532775252E-2</v>
      </c>
      <c r="BG180" s="16">
        <f>AO180/'2017-18 disagg'!AO180-1</f>
        <v>4.8489596935666457E-2</v>
      </c>
      <c r="BH180" s="16">
        <f>AQ180/'2017-18 disagg'!AQ180-1</f>
        <v>3.2171942021195665E-2</v>
      </c>
      <c r="BI180" s="1"/>
      <c r="BJ180" s="16">
        <f>AS180/'2017-18 disagg'!AS180-1</f>
        <v>1.8024788777597722E-2</v>
      </c>
      <c r="BK180" s="16">
        <f>AT180/'2017-18 disagg'!AT180-1</f>
        <v>1.8134768219278508E-2</v>
      </c>
      <c r="BL180" s="16">
        <f>AU180/'2017-18 disagg'!AU180-1</f>
        <v>3.7310210439936542E-2</v>
      </c>
      <c r="BM180" s="16">
        <f>AW180/'2017-18 disagg'!AW180-1</f>
        <v>2.1166540438168902E-2</v>
      </c>
    </row>
    <row r="181" spans="1:65" x14ac:dyDescent="0.2">
      <c r="A181" s="156" t="s">
        <v>407</v>
      </c>
      <c r="B181" s="156" t="s">
        <v>408</v>
      </c>
      <c r="D181" s="56">
        <f>VLOOKUP(A181,'2018-19'!$A$12:$AMX389,32,FALSE)</f>
        <v>349848</v>
      </c>
      <c r="E181" s="56">
        <v>1779.674361245354</v>
      </c>
      <c r="F181" s="16">
        <f>VLOOKUP(A181,'2018-19'!$A$12:$AMX389,34,FALSE)</f>
        <v>2.417817903972308E-2</v>
      </c>
      <c r="G181" s="16">
        <f>VLOOKUP(A181,'2018-19'!$A$12:$AMX389,35,FALSE)</f>
        <v>1.6826558415164783E-2</v>
      </c>
      <c r="H181" s="56"/>
      <c r="I181" s="56">
        <v>355092.34711000533</v>
      </c>
      <c r="J181" s="56">
        <v>1806.3523187959122</v>
      </c>
      <c r="K181" s="16">
        <f t="shared" si="57"/>
        <v>-1.4768966869287858E-2</v>
      </c>
      <c r="L181" s="58">
        <f t="shared" si="57"/>
        <v>-1.4768966869287858E-2</v>
      </c>
      <c r="M181" s="10"/>
      <c r="N181" s="56">
        <v>269563</v>
      </c>
      <c r="O181" s="56">
        <v>26181</v>
      </c>
      <c r="P181" s="56">
        <v>54104</v>
      </c>
      <c r="R181" s="56">
        <f t="shared" si="41"/>
        <v>54104</v>
      </c>
      <c r="S181" s="56">
        <f t="shared" si="42"/>
        <v>0</v>
      </c>
      <c r="U181" s="16">
        <v>-1.4351992510420408E-2</v>
      </c>
      <c r="V181" s="16">
        <v>-4.8303013576674658E-2</v>
      </c>
      <c r="W181" s="56">
        <f t="shared" si="43"/>
        <v>4</v>
      </c>
      <c r="X181" s="56">
        <f t="shared" si="44"/>
        <v>2734.8809915069996</v>
      </c>
      <c r="Y181" s="56">
        <f t="shared" si="44"/>
        <v>275.09806559747159</v>
      </c>
      <c r="AA181" s="56">
        <f t="shared" si="56"/>
        <v>0</v>
      </c>
      <c r="AB181" s="56">
        <v>0</v>
      </c>
      <c r="AC181" s="56">
        <f t="shared" si="45"/>
        <v>0</v>
      </c>
      <c r="AE181" s="56">
        <v>0</v>
      </c>
      <c r="AF181" s="56">
        <f t="shared" si="46"/>
        <v>0</v>
      </c>
      <c r="AG181" s="56">
        <f t="shared" si="47"/>
        <v>0</v>
      </c>
      <c r="AI181" s="56">
        <f t="shared" si="48"/>
        <v>0</v>
      </c>
      <c r="AJ181" s="56">
        <f t="shared" si="49"/>
        <v>0</v>
      </c>
      <c r="AK181" s="56">
        <f t="shared" si="50"/>
        <v>0</v>
      </c>
      <c r="AM181" s="56">
        <f t="shared" si="51"/>
        <v>269563</v>
      </c>
      <c r="AN181" s="56">
        <f t="shared" si="52"/>
        <v>26181</v>
      </c>
      <c r="AO181" s="56">
        <f t="shared" si="53"/>
        <v>54104</v>
      </c>
      <c r="AP181" s="56"/>
      <c r="AQ181" s="56">
        <f t="shared" si="54"/>
        <v>349848</v>
      </c>
      <c r="AR181" s="1"/>
      <c r="AS181" s="56">
        <v>1371.2651203962332</v>
      </c>
      <c r="AT181" s="56">
        <v>133.18256629097385</v>
      </c>
      <c r="AU181" s="56">
        <v>275.22667455814707</v>
      </c>
      <c r="AV181" s="56"/>
      <c r="AW181" s="56">
        <v>1779.674361245354</v>
      </c>
      <c r="AX181" s="1"/>
      <c r="AY181" s="16">
        <v>-1.4351992510420408E-2</v>
      </c>
      <c r="AZ181" s="16">
        <v>-4.8303013576674658E-2</v>
      </c>
      <c r="BA181" s="16">
        <v>1.7670208240438967E-4</v>
      </c>
      <c r="BB181" s="16">
        <f t="shared" si="55"/>
        <v>-1.4768966869287858E-2</v>
      </c>
      <c r="BC181" s="16"/>
      <c r="BD181" s="1"/>
      <c r="BE181" s="16">
        <f>AM181/'2017-18 disagg'!AM181-1</f>
        <v>1.9870531305923755E-2</v>
      </c>
      <c r="BF181" s="16">
        <f>AN181/'2017-18 disagg'!AN181-1</f>
        <v>2.6947517062838378E-2</v>
      </c>
      <c r="BG181" s="16">
        <f>AO181/'2017-18 disagg'!AO181-1</f>
        <v>4.4801483083577898E-2</v>
      </c>
      <c r="BH181" s="16">
        <f>AQ181/'2017-18 disagg'!AQ181-1</f>
        <v>2.417817903972308E-2</v>
      </c>
      <c r="BI181" s="1"/>
      <c r="BJ181" s="16">
        <f>AS181/'2017-18 disagg'!AS181-1</f>
        <v>1.2549831269766276E-2</v>
      </c>
      <c r="BK181" s="16">
        <f>AT181/'2017-18 disagg'!AT181-1</f>
        <v>1.9576017941604684E-2</v>
      </c>
      <c r="BL181" s="16">
        <f>AU181/'2017-18 disagg'!AU181-1</f>
        <v>3.7301826979980746E-2</v>
      </c>
      <c r="BM181" s="16">
        <f>AW181/'2017-18 disagg'!AW181-1</f>
        <v>1.6826558415164783E-2</v>
      </c>
    </row>
    <row r="182" spans="1:65" x14ac:dyDescent="0.2">
      <c r="A182" s="156" t="s">
        <v>409</v>
      </c>
      <c r="B182" s="156" t="s">
        <v>410</v>
      </c>
      <c r="D182" s="56">
        <f>VLOOKUP(A182,'2018-19'!$A$12:$AMX390,32,FALSE)</f>
        <v>316222.98145706719</v>
      </c>
      <c r="E182" s="56">
        <v>1532.5909288357091</v>
      </c>
      <c r="F182" s="16">
        <f>VLOOKUP(A182,'2018-19'!$A$12:$AMX390,34,FALSE)</f>
        <v>2.504062086972092E-2</v>
      </c>
      <c r="G182" s="16">
        <f>VLOOKUP(A182,'2018-19'!$A$12:$AMX390,35,FALSE)</f>
        <v>1.9380008412101413E-2</v>
      </c>
      <c r="H182" s="56"/>
      <c r="I182" s="56">
        <v>323429.54396950302</v>
      </c>
      <c r="J182" s="56">
        <v>1567.5179043634071</v>
      </c>
      <c r="K182" s="16">
        <f t="shared" si="57"/>
        <v>-2.2281707552094687E-2</v>
      </c>
      <c r="L182" s="58">
        <f t="shared" si="57"/>
        <v>-2.2281707552094798E-2</v>
      </c>
      <c r="M182" s="10"/>
      <c r="N182" s="56">
        <v>243824</v>
      </c>
      <c r="O182" s="56">
        <v>25438</v>
      </c>
      <c r="P182" s="56">
        <v>46383</v>
      </c>
      <c r="R182" s="56">
        <f t="shared" si="41"/>
        <v>46383</v>
      </c>
      <c r="S182" s="56">
        <f t="shared" si="42"/>
        <v>577.98145706718788</v>
      </c>
      <c r="U182" s="16">
        <v>-3.7093381763090405E-2</v>
      </c>
      <c r="V182" s="16">
        <v>-3.2812925350510391E-2</v>
      </c>
      <c r="W182" s="56">
        <f t="shared" si="43"/>
        <v>4</v>
      </c>
      <c r="X182" s="56">
        <f t="shared" si="44"/>
        <v>2532.1666232437356</v>
      </c>
      <c r="Y182" s="56">
        <f t="shared" si="44"/>
        <v>263.0101318218999</v>
      </c>
      <c r="AA182" s="56">
        <f t="shared" si="56"/>
        <v>0</v>
      </c>
      <c r="AB182" s="56">
        <v>0</v>
      </c>
      <c r="AC182" s="56">
        <f t="shared" si="45"/>
        <v>577.98145706718788</v>
      </c>
      <c r="AE182" s="56">
        <v>0</v>
      </c>
      <c r="AF182" s="56">
        <f t="shared" si="46"/>
        <v>0</v>
      </c>
      <c r="AG182" s="56">
        <f t="shared" si="47"/>
        <v>577.98145706718788</v>
      </c>
      <c r="AI182" s="56">
        <f t="shared" si="48"/>
        <v>523.59671057902335</v>
      </c>
      <c r="AJ182" s="56">
        <f t="shared" si="49"/>
        <v>54.384746488164495</v>
      </c>
      <c r="AK182" s="56">
        <f t="shared" si="50"/>
        <v>0</v>
      </c>
      <c r="AM182" s="56">
        <f t="shared" si="51"/>
        <v>244348</v>
      </c>
      <c r="AN182" s="56">
        <f t="shared" si="52"/>
        <v>25492</v>
      </c>
      <c r="AO182" s="56">
        <f t="shared" si="53"/>
        <v>46383</v>
      </c>
      <c r="AP182" s="56"/>
      <c r="AQ182" s="56">
        <f t="shared" si="54"/>
        <v>316223</v>
      </c>
      <c r="AR182" s="1"/>
      <c r="AS182" s="56">
        <v>1184.2451378885339</v>
      </c>
      <c r="AT182" s="56">
        <v>123.54828791336334</v>
      </c>
      <c r="AU182" s="56">
        <v>224.79759290308849</v>
      </c>
      <c r="AV182" s="56"/>
      <c r="AW182" s="56">
        <v>1532.5910187049858</v>
      </c>
      <c r="AX182" s="1"/>
      <c r="AY182" s="16">
        <v>-3.5024007673763125E-2</v>
      </c>
      <c r="AZ182" s="16">
        <v>-3.0759772507084282E-2</v>
      </c>
      <c r="BA182" s="16">
        <v>5.6274798216479738E-2</v>
      </c>
      <c r="BB182" s="16">
        <f t="shared" si="55"/>
        <v>-2.2281650219877713E-2</v>
      </c>
      <c r="BC182" s="16"/>
      <c r="BD182" s="1"/>
      <c r="BE182" s="16">
        <f>AM182/'2017-18 disagg'!AM182-1</f>
        <v>2.20601152781148E-2</v>
      </c>
      <c r="BF182" s="16">
        <f>AN182/'2017-18 disagg'!AN182-1</f>
        <v>2.1477800929636137E-2</v>
      </c>
      <c r="BG182" s="16">
        <f>AO182/'2017-18 disagg'!AO182-1</f>
        <v>4.306467572186734E-2</v>
      </c>
      <c r="BH182" s="16">
        <f>AQ182/'2017-18 disagg'!AQ182-1</f>
        <v>2.5040680976862184E-2</v>
      </c>
      <c r="BI182" s="1"/>
      <c r="BJ182" s="16">
        <f>AS182/'2017-18 disagg'!AS182-1</f>
        <v>1.6415962155606811E-2</v>
      </c>
      <c r="BK182" s="16">
        <f>AT182/'2017-18 disagg'!AT182-1</f>
        <v>1.5836863539059332E-2</v>
      </c>
      <c r="BL182" s="16">
        <f>AU182/'2017-18 disagg'!AU182-1</f>
        <v>3.7304528487424715E-2</v>
      </c>
      <c r="BM182" s="16">
        <f>AW182/'2017-18 disagg'!AW182-1</f>
        <v>1.9380068187311084E-2</v>
      </c>
    </row>
    <row r="183" spans="1:65" x14ac:dyDescent="0.2">
      <c r="A183" s="156" t="s">
        <v>411</v>
      </c>
      <c r="B183" s="156" t="s">
        <v>412</v>
      </c>
      <c r="D183" s="56">
        <f>VLOOKUP(A183,'2018-19'!$A$12:$AMX391,32,FALSE)</f>
        <v>333096</v>
      </c>
      <c r="E183" s="56">
        <v>1472.7505779435533</v>
      </c>
      <c r="F183" s="16">
        <f>VLOOKUP(A183,'2018-19'!$A$12:$AMX391,34,FALSE)</f>
        <v>2.5055854059343741E-2</v>
      </c>
      <c r="G183" s="16">
        <f>VLOOKUP(A183,'2018-19'!$A$12:$AMX391,35,FALSE)</f>
        <v>1.7023101597250845E-2</v>
      </c>
      <c r="H183" s="56"/>
      <c r="I183" s="56">
        <v>334025.62174181966</v>
      </c>
      <c r="J183" s="56">
        <v>1476.8608072994562</v>
      </c>
      <c r="K183" s="16">
        <f t="shared" si="57"/>
        <v>-2.7830851327272921E-3</v>
      </c>
      <c r="L183" s="58">
        <f t="shared" si="57"/>
        <v>-2.7830851327274031E-3</v>
      </c>
      <c r="M183" s="10"/>
      <c r="N183" s="56">
        <v>251331</v>
      </c>
      <c r="O183" s="56">
        <v>26848</v>
      </c>
      <c r="P183" s="56">
        <v>54917</v>
      </c>
      <c r="R183" s="56">
        <f t="shared" si="41"/>
        <v>54917</v>
      </c>
      <c r="S183" s="56">
        <f t="shared" si="42"/>
        <v>0</v>
      </c>
      <c r="U183" s="16">
        <v>-2.0952068263842216E-2</v>
      </c>
      <c r="V183" s="16">
        <v>-4.8505663892855488E-2</v>
      </c>
      <c r="W183" s="56">
        <f t="shared" si="43"/>
        <v>4</v>
      </c>
      <c r="X183" s="56">
        <f t="shared" si="44"/>
        <v>2567.0959700033445</v>
      </c>
      <c r="Y183" s="56">
        <f t="shared" si="44"/>
        <v>282.16668225103064</v>
      </c>
      <c r="AA183" s="56">
        <f t="shared" si="56"/>
        <v>0</v>
      </c>
      <c r="AB183" s="56">
        <v>0</v>
      </c>
      <c r="AC183" s="56">
        <f t="shared" si="45"/>
        <v>0</v>
      </c>
      <c r="AE183" s="56">
        <v>0</v>
      </c>
      <c r="AF183" s="56">
        <f t="shared" si="46"/>
        <v>0</v>
      </c>
      <c r="AG183" s="56">
        <f t="shared" si="47"/>
        <v>0</v>
      </c>
      <c r="AI183" s="56">
        <f t="shared" si="48"/>
        <v>0</v>
      </c>
      <c r="AJ183" s="56">
        <f t="shared" si="49"/>
        <v>0</v>
      </c>
      <c r="AK183" s="56">
        <f t="shared" si="50"/>
        <v>0</v>
      </c>
      <c r="AM183" s="56">
        <f t="shared" si="51"/>
        <v>251331</v>
      </c>
      <c r="AN183" s="56">
        <f t="shared" si="52"/>
        <v>26848</v>
      </c>
      <c r="AO183" s="56">
        <f t="shared" si="53"/>
        <v>54917</v>
      </c>
      <c r="AP183" s="56"/>
      <c r="AQ183" s="56">
        <f t="shared" si="54"/>
        <v>333096</v>
      </c>
      <c r="AR183" s="1"/>
      <c r="AS183" s="56">
        <v>1111.2348257112999</v>
      </c>
      <c r="AT183" s="56">
        <v>118.70574103750425</v>
      </c>
      <c r="AU183" s="56">
        <v>242.81001119474899</v>
      </c>
      <c r="AV183" s="56"/>
      <c r="AW183" s="56">
        <v>1472.7505779435533</v>
      </c>
      <c r="AX183" s="1"/>
      <c r="AY183" s="16">
        <v>-2.0952068263842216E-2</v>
      </c>
      <c r="AZ183" s="16">
        <v>-4.8505663892855488E-2</v>
      </c>
      <c r="BA183" s="16">
        <v>0.11848716350644573</v>
      </c>
      <c r="BB183" s="16">
        <f t="shared" si="55"/>
        <v>-2.7830851327272921E-3</v>
      </c>
      <c r="BC183" s="16"/>
      <c r="BD183" s="1"/>
      <c r="BE183" s="16">
        <f>AM183/'2017-18 disagg'!AM183-1</f>
        <v>2.0012175324675363E-2</v>
      </c>
      <c r="BF183" s="16">
        <f>AN183/'2017-18 disagg'!AN183-1</f>
        <v>3.154416567410756E-2</v>
      </c>
      <c r="BG183" s="16">
        <f>AO183/'2017-18 disagg'!AO183-1</f>
        <v>4.5500409313305568E-2</v>
      </c>
      <c r="BH183" s="16">
        <f>AQ183/'2017-18 disagg'!AQ183-1</f>
        <v>2.5055854059343741E-2</v>
      </c>
      <c r="BI183" s="1"/>
      <c r="BJ183" s="16">
        <f>AS183/'2017-18 disagg'!AS183-1</f>
        <v>1.2018947170075789E-2</v>
      </c>
      <c r="BK183" s="16">
        <f>AT183/'2017-18 disagg'!AT183-1</f>
        <v>2.3460568176700836E-2</v>
      </c>
      <c r="BL183" s="16">
        <f>AU183/'2017-18 disagg'!AU183-1</f>
        <v>3.7307445043336607E-2</v>
      </c>
      <c r="BM183" s="16">
        <f>AW183/'2017-18 disagg'!AW183-1</f>
        <v>1.7023101597250845E-2</v>
      </c>
    </row>
    <row r="184" spans="1:65" x14ac:dyDescent="0.2">
      <c r="A184" s="156" t="s">
        <v>413</v>
      </c>
      <c r="B184" s="156" t="s">
        <v>414</v>
      </c>
      <c r="D184" s="56">
        <f>VLOOKUP(A184,'2018-19'!$A$12:$AMX392,32,FALSE)</f>
        <v>352807</v>
      </c>
      <c r="E184" s="56">
        <v>1860.0389635337083</v>
      </c>
      <c r="F184" s="16">
        <f>VLOOKUP(A184,'2018-19'!$A$12:$AMX392,34,FALSE)</f>
        <v>2.1193394792827558E-2</v>
      </c>
      <c r="G184" s="16">
        <f>VLOOKUP(A184,'2018-19'!$A$12:$AMX392,35,FALSE)</f>
        <v>1.444966571524553E-2</v>
      </c>
      <c r="H184" s="56"/>
      <c r="I184" s="56">
        <v>342503.49810012028</v>
      </c>
      <c r="J184" s="56">
        <v>1805.7177199228393</v>
      </c>
      <c r="K184" s="16">
        <f t="shared" si="57"/>
        <v>3.0082909976200556E-2</v>
      </c>
      <c r="L184" s="58">
        <f t="shared" si="57"/>
        <v>3.0082909976200556E-2</v>
      </c>
      <c r="M184" s="10"/>
      <c r="N184" s="56">
        <v>278466</v>
      </c>
      <c r="O184" s="56">
        <v>26998</v>
      </c>
      <c r="P184" s="56">
        <v>47343</v>
      </c>
      <c r="R184" s="56">
        <f t="shared" si="41"/>
        <v>47343</v>
      </c>
      <c r="S184" s="56">
        <f t="shared" si="42"/>
        <v>0</v>
      </c>
      <c r="U184" s="16">
        <v>5.2736387675369034E-2</v>
      </c>
      <c r="V184" s="16">
        <v>-1.9499857083260519E-2</v>
      </c>
      <c r="W184" s="56">
        <f t="shared" si="43"/>
        <v>3</v>
      </c>
      <c r="X184" s="56">
        <f t="shared" si="44"/>
        <v>2645.1636255767971</v>
      </c>
      <c r="Y184" s="56">
        <f t="shared" si="44"/>
        <v>275.34927144108099</v>
      </c>
      <c r="AA184" s="56">
        <f t="shared" si="56"/>
        <v>0</v>
      </c>
      <c r="AB184" s="56">
        <v>0</v>
      </c>
      <c r="AC184" s="56">
        <f t="shared" si="45"/>
        <v>0</v>
      </c>
      <c r="AE184" s="56">
        <v>0</v>
      </c>
      <c r="AF184" s="56">
        <f t="shared" si="46"/>
        <v>0</v>
      </c>
      <c r="AG184" s="56">
        <f t="shared" si="47"/>
        <v>0</v>
      </c>
      <c r="AI184" s="56">
        <f t="shared" si="48"/>
        <v>0</v>
      </c>
      <c r="AJ184" s="56">
        <f t="shared" si="49"/>
        <v>0</v>
      </c>
      <c r="AK184" s="56">
        <f t="shared" si="50"/>
        <v>0</v>
      </c>
      <c r="AM184" s="56">
        <f t="shared" si="51"/>
        <v>278466</v>
      </c>
      <c r="AN184" s="56">
        <f t="shared" si="52"/>
        <v>26998</v>
      </c>
      <c r="AO184" s="56">
        <f t="shared" si="53"/>
        <v>47343</v>
      </c>
      <c r="AP184" s="56"/>
      <c r="AQ184" s="56">
        <f t="shared" si="54"/>
        <v>352807</v>
      </c>
      <c r="AR184" s="1"/>
      <c r="AS184" s="56">
        <v>1468.1046861864352</v>
      </c>
      <c r="AT184" s="56">
        <v>142.33655210209281</v>
      </c>
      <c r="AU184" s="56">
        <v>249.59772524518036</v>
      </c>
      <c r="AV184" s="56"/>
      <c r="AW184" s="56">
        <v>1860.0389635337083</v>
      </c>
      <c r="AX184" s="1"/>
      <c r="AY184" s="16">
        <v>5.2736387675369034E-2</v>
      </c>
      <c r="AZ184" s="16">
        <v>-1.9499857083260519E-2</v>
      </c>
      <c r="BA184" s="16">
        <v>-6.1626804792855094E-2</v>
      </c>
      <c r="BB184" s="16">
        <f t="shared" si="55"/>
        <v>3.0082909976200556E-2</v>
      </c>
      <c r="BC184" s="16"/>
      <c r="BD184" s="1"/>
      <c r="BE184" s="16">
        <f>AM184/'2017-18 disagg'!AM184-1</f>
        <v>1.7565656528745643E-2</v>
      </c>
      <c r="BF184" s="16">
        <f>AN184/'2017-18 disagg'!AN184-1</f>
        <v>1.9292483104919489E-2</v>
      </c>
      <c r="BG184" s="16">
        <f>AO184/'2017-18 disagg'!AO184-1</f>
        <v>4.4200357308277649E-2</v>
      </c>
      <c r="BH184" s="16">
        <f>AQ184/'2017-18 disagg'!AQ184-1</f>
        <v>2.1193394792827558E-2</v>
      </c>
      <c r="BI184" s="1"/>
      <c r="BJ184" s="16">
        <f>AS184/'2017-18 disagg'!AS184-1</f>
        <v>1.0845884210130219E-2</v>
      </c>
      <c r="BK184" s="16">
        <f>AT184/'2017-18 disagg'!AT184-1</f>
        <v>1.2561307216076401E-2</v>
      </c>
      <c r="BL184" s="16">
        <f>AU184/'2017-18 disagg'!AU184-1</f>
        <v>3.7304695479374095E-2</v>
      </c>
      <c r="BM184" s="16">
        <f>AW184/'2017-18 disagg'!AW184-1</f>
        <v>1.444966571524553E-2</v>
      </c>
    </row>
    <row r="185" spans="1:65" x14ac:dyDescent="0.2">
      <c r="A185" s="156" t="s">
        <v>415</v>
      </c>
      <c r="B185" s="156" t="s">
        <v>416</v>
      </c>
      <c r="D185" s="56">
        <f>VLOOKUP(A185,'2018-19'!$A$12:$AMX393,32,FALSE)</f>
        <v>270937</v>
      </c>
      <c r="E185" s="56">
        <v>1571.5819803891397</v>
      </c>
      <c r="F185" s="16">
        <f>VLOOKUP(A185,'2018-19'!$A$12:$AMX393,34,FALSE)</f>
        <v>2.3523856295568635E-2</v>
      </c>
      <c r="G185" s="16">
        <f>VLOOKUP(A185,'2018-19'!$A$12:$AMX393,35,FALSE)</f>
        <v>1.6286191384438764E-2</v>
      </c>
      <c r="H185" s="56"/>
      <c r="I185" s="56">
        <v>274697.80126693955</v>
      </c>
      <c r="J185" s="56">
        <v>1593.3966734836483</v>
      </c>
      <c r="K185" s="16">
        <f t="shared" si="57"/>
        <v>-1.3690685726621354E-2</v>
      </c>
      <c r="L185" s="58">
        <f t="shared" si="57"/>
        <v>-1.3690685726621354E-2</v>
      </c>
      <c r="M185" s="10"/>
      <c r="N185" s="56">
        <v>207707</v>
      </c>
      <c r="O185" s="56">
        <v>22014</v>
      </c>
      <c r="P185" s="56">
        <v>41216</v>
      </c>
      <c r="R185" s="56">
        <f t="shared" si="41"/>
        <v>41216</v>
      </c>
      <c r="S185" s="56">
        <f t="shared" si="42"/>
        <v>0</v>
      </c>
      <c r="U185" s="16">
        <v>-9.0610955710783703E-3</v>
      </c>
      <c r="V185" s="16">
        <v>1.3937362011505083E-2</v>
      </c>
      <c r="W185" s="56">
        <f t="shared" si="43"/>
        <v>1</v>
      </c>
      <c r="X185" s="56">
        <f t="shared" si="44"/>
        <v>2096.0626237568258</v>
      </c>
      <c r="Y185" s="56">
        <f t="shared" si="44"/>
        <v>217.114003534966</v>
      </c>
      <c r="AA185" s="56">
        <f t="shared" si="56"/>
        <v>0</v>
      </c>
      <c r="AB185" s="56">
        <v>0</v>
      </c>
      <c r="AC185" s="56">
        <f t="shared" si="45"/>
        <v>0</v>
      </c>
      <c r="AE185" s="56">
        <v>0</v>
      </c>
      <c r="AF185" s="56">
        <f t="shared" si="46"/>
        <v>0</v>
      </c>
      <c r="AG185" s="56">
        <f t="shared" si="47"/>
        <v>0</v>
      </c>
      <c r="AI185" s="56">
        <f t="shared" si="48"/>
        <v>0</v>
      </c>
      <c r="AJ185" s="56">
        <f t="shared" si="49"/>
        <v>0</v>
      </c>
      <c r="AK185" s="56">
        <f t="shared" si="50"/>
        <v>0</v>
      </c>
      <c r="AM185" s="56">
        <f t="shared" si="51"/>
        <v>207707</v>
      </c>
      <c r="AN185" s="56">
        <f t="shared" si="52"/>
        <v>22014</v>
      </c>
      <c r="AO185" s="56">
        <f t="shared" si="53"/>
        <v>41216</v>
      </c>
      <c r="AP185" s="56"/>
      <c r="AQ185" s="56">
        <f t="shared" si="54"/>
        <v>270937</v>
      </c>
      <c r="AR185" s="1"/>
      <c r="AS185" s="56">
        <v>1204.813585448599</v>
      </c>
      <c r="AT185" s="56">
        <v>127.69317485720489</v>
      </c>
      <c r="AU185" s="56">
        <v>239.07522008333592</v>
      </c>
      <c r="AV185" s="56"/>
      <c r="AW185" s="56">
        <v>1571.5819803891397</v>
      </c>
      <c r="AX185" s="1"/>
      <c r="AY185" s="16">
        <v>-9.0610955710783703E-3</v>
      </c>
      <c r="AZ185" s="16">
        <v>1.3937362011505083E-2</v>
      </c>
      <c r="BA185" s="16">
        <v>-4.9887773776392752E-2</v>
      </c>
      <c r="BB185" s="16">
        <f t="shared" si="55"/>
        <v>-1.3690685726621354E-2</v>
      </c>
      <c r="BC185" s="16"/>
      <c r="BD185" s="1"/>
      <c r="BE185" s="16">
        <f>AM185/'2017-18 disagg'!AM185-1</f>
        <v>1.9871354217813941E-2</v>
      </c>
      <c r="BF185" s="16">
        <f>AN185/'2017-18 disagg'!AN185-1</f>
        <v>1.9308237255174276E-2</v>
      </c>
      <c r="BG185" s="16">
        <f>AO185/'2017-18 disagg'!AO185-1</f>
        <v>4.4686082173725605E-2</v>
      </c>
      <c r="BH185" s="16">
        <f>AQ185/'2017-18 disagg'!AQ185-1</f>
        <v>2.3523856295568635E-2</v>
      </c>
      <c r="BI185" s="1"/>
      <c r="BJ185" s="16">
        <f>AS185/'2017-18 disagg'!AS185-1</f>
        <v>1.2659517318374558E-2</v>
      </c>
      <c r="BK185" s="16">
        <f>AT185/'2017-18 disagg'!AT185-1</f>
        <v>1.2100382336082793E-2</v>
      </c>
      <c r="BL185" s="16">
        <f>AU185/'2017-18 disagg'!AU185-1</f>
        <v>3.7298772387454049E-2</v>
      </c>
      <c r="BM185" s="16">
        <f>AW185/'2017-18 disagg'!AW185-1</f>
        <v>1.6286191384438764E-2</v>
      </c>
    </row>
    <row r="186" spans="1:65" x14ac:dyDescent="0.2">
      <c r="A186" s="156" t="s">
        <v>417</v>
      </c>
      <c r="B186" s="156" t="s">
        <v>418</v>
      </c>
      <c r="D186" s="56">
        <f>VLOOKUP(A186,'2018-19'!$A$12:$AMX394,32,FALSE)</f>
        <v>359363.00211644603</v>
      </c>
      <c r="E186" s="56">
        <v>1504.6107968418773</v>
      </c>
      <c r="F186" s="16">
        <f>VLOOKUP(A186,'2018-19'!$A$12:$AMX394,34,FALSE)</f>
        <v>2.4877373136111158E-2</v>
      </c>
      <c r="G186" s="16">
        <f>VLOOKUP(A186,'2018-19'!$A$12:$AMX394,35,FALSE)</f>
        <v>1.8035574981389635E-2</v>
      </c>
      <c r="H186" s="56"/>
      <c r="I186" s="56">
        <v>366525.42495148146</v>
      </c>
      <c r="J186" s="56">
        <v>1534.5990223010165</v>
      </c>
      <c r="K186" s="16">
        <f t="shared" si="57"/>
        <v>-1.9541407900921293E-2</v>
      </c>
      <c r="L186" s="58">
        <f t="shared" si="57"/>
        <v>-1.9541407900921293E-2</v>
      </c>
      <c r="M186" s="10"/>
      <c r="N186" s="56">
        <v>268400</v>
      </c>
      <c r="O186" s="56">
        <v>29001</v>
      </c>
      <c r="P186" s="56">
        <v>61630</v>
      </c>
      <c r="R186" s="56">
        <f t="shared" si="41"/>
        <v>61630</v>
      </c>
      <c r="S186" s="56">
        <f t="shared" si="42"/>
        <v>332.00211644603405</v>
      </c>
      <c r="U186" s="16">
        <v>-2.767329559277476E-2</v>
      </c>
      <c r="V186" s="16">
        <v>5.4255472139943528E-3</v>
      </c>
      <c r="W186" s="56">
        <f t="shared" si="43"/>
        <v>1</v>
      </c>
      <c r="X186" s="56">
        <f t="shared" si="44"/>
        <v>2760.3890624769883</v>
      </c>
      <c r="Y186" s="56">
        <f t="shared" si="44"/>
        <v>288.44502788258114</v>
      </c>
      <c r="AA186" s="56">
        <f t="shared" si="56"/>
        <v>332.00211644603405</v>
      </c>
      <c r="AB186" s="56">
        <v>0</v>
      </c>
      <c r="AC186" s="56">
        <f t="shared" si="45"/>
        <v>0</v>
      </c>
      <c r="AE186" s="56">
        <v>0</v>
      </c>
      <c r="AF186" s="56">
        <f t="shared" si="46"/>
        <v>0</v>
      </c>
      <c r="AG186" s="56">
        <f t="shared" si="47"/>
        <v>0</v>
      </c>
      <c r="AI186" s="56">
        <f t="shared" si="48"/>
        <v>0</v>
      </c>
      <c r="AJ186" s="56">
        <f t="shared" si="49"/>
        <v>0</v>
      </c>
      <c r="AK186" s="56">
        <f t="shared" si="50"/>
        <v>0</v>
      </c>
      <c r="AM186" s="56">
        <f t="shared" si="51"/>
        <v>268732</v>
      </c>
      <c r="AN186" s="56">
        <f t="shared" si="52"/>
        <v>29001</v>
      </c>
      <c r="AO186" s="56">
        <f t="shared" si="53"/>
        <v>61630</v>
      </c>
      <c r="AP186" s="56"/>
      <c r="AQ186" s="56">
        <f t="shared" si="54"/>
        <v>359363</v>
      </c>
      <c r="AR186" s="1"/>
      <c r="AS186" s="56">
        <v>1125.1494067992346</v>
      </c>
      <c r="AT186" s="56">
        <v>121.42379004578764</v>
      </c>
      <c r="AU186" s="56">
        <v>258.03759113554332</v>
      </c>
      <c r="AV186" s="56"/>
      <c r="AW186" s="56">
        <v>1504.6107879805656</v>
      </c>
      <c r="AX186" s="1"/>
      <c r="AY186" s="16">
        <v>-2.6470566584342659E-2</v>
      </c>
      <c r="AZ186" s="16">
        <v>5.4255472139943528E-3</v>
      </c>
      <c r="BA186" s="16">
        <v>-1.9493060611397439E-4</v>
      </c>
      <c r="BB186" s="16">
        <f t="shared" si="55"/>
        <v>-1.954141367527118E-2</v>
      </c>
      <c r="BC186" s="16"/>
      <c r="BD186" s="1"/>
      <c r="BE186" s="16">
        <f>AM186/'2017-18 disagg'!AM186-1</f>
        <v>2.1130747688764995E-2</v>
      </c>
      <c r="BF186" s="16">
        <f>AN186/'2017-18 disagg'!AN186-1</f>
        <v>1.9295655841417014E-2</v>
      </c>
      <c r="BG186" s="16">
        <f>AO186/'2017-18 disagg'!AO186-1</f>
        <v>4.4275378280834277E-2</v>
      </c>
      <c r="BH186" s="16">
        <f>AQ186/'2017-18 disagg'!AQ186-1</f>
        <v>2.4877367100159642E-2</v>
      </c>
      <c r="BI186" s="1"/>
      <c r="BJ186" s="16">
        <f>AS186/'2017-18 disagg'!AS186-1</f>
        <v>1.4313960970283368E-2</v>
      </c>
      <c r="BK186" s="16">
        <f>AT186/'2017-18 disagg'!AT186-1</f>
        <v>1.2491119689046037E-2</v>
      </c>
      <c r="BL186" s="16">
        <f>AU186/'2017-18 disagg'!AU186-1</f>
        <v>3.73040844037138E-2</v>
      </c>
      <c r="BM186" s="16">
        <f>AW186/'2017-18 disagg'!AW186-1</f>
        <v>1.8035568985732331E-2</v>
      </c>
    </row>
    <row r="187" spans="1:65" x14ac:dyDescent="0.2">
      <c r="A187" s="156" t="s">
        <v>419</v>
      </c>
      <c r="B187" s="156" t="s">
        <v>420</v>
      </c>
      <c r="D187" s="56">
        <f>VLOOKUP(A187,'2018-19'!$A$12:$AMX395,32,FALSE)</f>
        <v>265273</v>
      </c>
      <c r="E187" s="56">
        <v>1838.2164046869882</v>
      </c>
      <c r="F187" s="16">
        <f>VLOOKUP(A187,'2018-19'!$A$12:$AMX395,34,FALSE)</f>
        <v>7.657916028823486E-3</v>
      </c>
      <c r="G187" s="16">
        <f>VLOOKUP(A187,'2018-19'!$A$12:$AMX395,35,FALSE)</f>
        <v>3.4142298646653302E-3</v>
      </c>
      <c r="H187" s="56"/>
      <c r="I187" s="56">
        <v>247039.76854084263</v>
      </c>
      <c r="J187" s="56">
        <v>1711.8687357622277</v>
      </c>
      <c r="K187" s="16">
        <f t="shared" si="57"/>
        <v>7.3806867480702421E-2</v>
      </c>
      <c r="L187" s="58">
        <f t="shared" si="57"/>
        <v>7.3806867480702421E-2</v>
      </c>
      <c r="M187" s="10"/>
      <c r="N187" s="56">
        <v>207483</v>
      </c>
      <c r="O187" s="56">
        <v>19676</v>
      </c>
      <c r="P187" s="56">
        <v>38114</v>
      </c>
      <c r="R187" s="56">
        <f t="shared" si="41"/>
        <v>38114</v>
      </c>
      <c r="S187" s="56">
        <f t="shared" si="42"/>
        <v>0</v>
      </c>
      <c r="U187" s="16">
        <v>8.196659707129772E-2</v>
      </c>
      <c r="V187" s="16">
        <v>-1.9439624813971212E-2</v>
      </c>
      <c r="W187" s="56">
        <f t="shared" si="43"/>
        <v>3</v>
      </c>
      <c r="X187" s="56">
        <f t="shared" si="44"/>
        <v>1917.6470009482891</v>
      </c>
      <c r="Y187" s="56">
        <f t="shared" si="44"/>
        <v>200.66077008534157</v>
      </c>
      <c r="AA187" s="56">
        <f t="shared" si="56"/>
        <v>0</v>
      </c>
      <c r="AB187" s="56">
        <v>0</v>
      </c>
      <c r="AC187" s="56">
        <f t="shared" si="45"/>
        <v>0</v>
      </c>
      <c r="AE187" s="56">
        <v>0</v>
      </c>
      <c r="AF187" s="56">
        <f t="shared" si="46"/>
        <v>0</v>
      </c>
      <c r="AG187" s="56">
        <f t="shared" si="47"/>
        <v>0</v>
      </c>
      <c r="AI187" s="56">
        <f t="shared" si="48"/>
        <v>0</v>
      </c>
      <c r="AJ187" s="56">
        <f t="shared" si="49"/>
        <v>0</v>
      </c>
      <c r="AK187" s="56">
        <f t="shared" si="50"/>
        <v>0</v>
      </c>
      <c r="AM187" s="56">
        <f t="shared" si="51"/>
        <v>207483</v>
      </c>
      <c r="AN187" s="56">
        <f t="shared" si="52"/>
        <v>19676</v>
      </c>
      <c r="AO187" s="56">
        <f t="shared" si="53"/>
        <v>38114</v>
      </c>
      <c r="AP187" s="56"/>
      <c r="AQ187" s="56">
        <f t="shared" si="54"/>
        <v>265273</v>
      </c>
      <c r="AR187" s="1"/>
      <c r="AS187" s="56">
        <v>1437.7590417934368</v>
      </c>
      <c r="AT187" s="56">
        <v>136.34537242245227</v>
      </c>
      <c r="AU187" s="56">
        <v>264.11199047109909</v>
      </c>
      <c r="AV187" s="56"/>
      <c r="AW187" s="56">
        <v>1838.2164046869882</v>
      </c>
      <c r="AX187" s="1"/>
      <c r="AY187" s="16">
        <v>8.196659707129772E-2</v>
      </c>
      <c r="AZ187" s="16">
        <v>-1.9439624813971212E-2</v>
      </c>
      <c r="BA187" s="16">
        <v>8.2507576727349763E-2</v>
      </c>
      <c r="BB187" s="16">
        <f t="shared" si="55"/>
        <v>7.3806867480702421E-2</v>
      </c>
      <c r="BC187" s="16"/>
      <c r="BD187" s="1"/>
      <c r="BE187" s="16">
        <f>AM187/'2017-18 disagg'!AM187-1</f>
        <v>5.6904492079179469E-4</v>
      </c>
      <c r="BF187" s="16">
        <f>AN187/'2017-18 disagg'!AN187-1</f>
        <v>1.9323421229860749E-2</v>
      </c>
      <c r="BG187" s="16">
        <f>AO187/'2017-18 disagg'!AO187-1</f>
        <v>4.1679193200142128E-2</v>
      </c>
      <c r="BH187" s="16">
        <f>AQ187/'2017-18 disagg'!AQ187-1</f>
        <v>7.657916028823486E-3</v>
      </c>
      <c r="BI187" s="1"/>
      <c r="BJ187" s="16">
        <f>AS187/'2017-18 disagg'!AS187-1</f>
        <v>-3.6447869210192163E-3</v>
      </c>
      <c r="BK187" s="16">
        <f>AT187/'2017-18 disagg'!AT187-1</f>
        <v>1.5030606544770952E-2</v>
      </c>
      <c r="BL187" s="16">
        <f>AU187/'2017-18 disagg'!AU187-1</f>
        <v>3.7292228626791601E-2</v>
      </c>
      <c r="BM187" s="16">
        <f>AW187/'2017-18 disagg'!AW187-1</f>
        <v>3.4142298646653302E-3</v>
      </c>
    </row>
    <row r="188" spans="1:65" x14ac:dyDescent="0.2">
      <c r="A188" s="156" t="s">
        <v>421</v>
      </c>
      <c r="B188" s="156" t="s">
        <v>422</v>
      </c>
      <c r="D188" s="56">
        <f>VLOOKUP(A188,'2018-19'!$A$12:$AMX396,32,FALSE)</f>
        <v>484310.1422911819</v>
      </c>
      <c r="E188" s="56">
        <v>1602.4354445963295</v>
      </c>
      <c r="F188" s="16">
        <f>VLOOKUP(A188,'2018-19'!$A$12:$AMX396,34,FALSE)</f>
        <v>2.9509600387693569E-2</v>
      </c>
      <c r="G188" s="16">
        <f>VLOOKUP(A188,'2018-19'!$A$12:$AMX396,35,FALSE)</f>
        <v>2.0218650446324427E-2</v>
      </c>
      <c r="H188" s="56"/>
      <c r="I188" s="56">
        <v>496868.05040275183</v>
      </c>
      <c r="J188" s="56">
        <v>1643.9857556692382</v>
      </c>
      <c r="K188" s="16">
        <f t="shared" si="57"/>
        <v>-2.5274130830893138E-2</v>
      </c>
      <c r="L188" s="58">
        <f t="shared" si="57"/>
        <v>-2.5274130830892916E-2</v>
      </c>
      <c r="M188" s="10"/>
      <c r="N188" s="56">
        <v>366331</v>
      </c>
      <c r="O188" s="56">
        <v>38998</v>
      </c>
      <c r="P188" s="56">
        <v>76965</v>
      </c>
      <c r="R188" s="56">
        <f t="shared" si="41"/>
        <v>76965</v>
      </c>
      <c r="S188" s="56">
        <f t="shared" si="42"/>
        <v>2016.1422911818954</v>
      </c>
      <c r="U188" s="16">
        <v>-1.3330289157978958E-2</v>
      </c>
      <c r="V188" s="16">
        <v>-1.205102656804391E-2</v>
      </c>
      <c r="W188" s="56">
        <f t="shared" si="43"/>
        <v>4</v>
      </c>
      <c r="X188" s="56">
        <f t="shared" si="44"/>
        <v>3712.8027340311701</v>
      </c>
      <c r="Y188" s="56">
        <f t="shared" si="44"/>
        <v>394.736985904525</v>
      </c>
      <c r="AA188" s="56">
        <f t="shared" si="56"/>
        <v>0</v>
      </c>
      <c r="AB188" s="56">
        <v>0</v>
      </c>
      <c r="AC188" s="56">
        <f t="shared" si="45"/>
        <v>2016.1422911818954</v>
      </c>
      <c r="AE188" s="56">
        <v>0</v>
      </c>
      <c r="AF188" s="56">
        <f t="shared" si="46"/>
        <v>0</v>
      </c>
      <c r="AG188" s="56">
        <f t="shared" si="47"/>
        <v>2016.1422911818954</v>
      </c>
      <c r="AI188" s="56">
        <f t="shared" si="48"/>
        <v>1822.3898297478174</v>
      </c>
      <c r="AJ188" s="56">
        <f t="shared" si="49"/>
        <v>193.75246143407807</v>
      </c>
      <c r="AK188" s="56">
        <f t="shared" si="50"/>
        <v>0</v>
      </c>
      <c r="AM188" s="56">
        <f t="shared" si="51"/>
        <v>368153</v>
      </c>
      <c r="AN188" s="56">
        <f t="shared" si="52"/>
        <v>39192</v>
      </c>
      <c r="AO188" s="56">
        <f t="shared" si="53"/>
        <v>76965</v>
      </c>
      <c r="AP188" s="56"/>
      <c r="AQ188" s="56">
        <f t="shared" si="54"/>
        <v>484310</v>
      </c>
      <c r="AR188" s="1"/>
      <c r="AS188" s="56">
        <v>1218.1066732230065</v>
      </c>
      <c r="AT188" s="56">
        <v>129.67444713734798</v>
      </c>
      <c r="AU188" s="56">
        <v>254.65385343758896</v>
      </c>
      <c r="AV188" s="56"/>
      <c r="AW188" s="56">
        <v>1602.4349737979433</v>
      </c>
      <c r="AX188" s="1"/>
      <c r="AY188" s="16">
        <v>-8.4229452172418506E-3</v>
      </c>
      <c r="AZ188" s="16">
        <v>-7.1363616917476946E-3</v>
      </c>
      <c r="BA188" s="16">
        <v>-0.10624370112525949</v>
      </c>
      <c r="BB188" s="16">
        <f t="shared" si="55"/>
        <v>-2.5274417207088562E-2</v>
      </c>
      <c r="BC188" s="16"/>
      <c r="BD188" s="1"/>
      <c r="BE188" s="16">
        <f>AM188/'2017-18 disagg'!AM188-1</f>
        <v>2.6316303005466724E-2</v>
      </c>
      <c r="BF188" s="16">
        <f>AN188/'2017-18 disagg'!AN188-1</f>
        <v>2.6317856862283051E-2</v>
      </c>
      <c r="BG188" s="16">
        <f>AO188/'2017-18 disagg'!AO188-1</f>
        <v>4.6744097486671743E-2</v>
      </c>
      <c r="BH188" s="16">
        <f>AQ188/'2017-18 disagg'!AQ188-1</f>
        <v>2.9509297915940369E-2</v>
      </c>
      <c r="BI188" s="1"/>
      <c r="BJ188" s="16">
        <f>AS188/'2017-18 disagg'!AS188-1</f>
        <v>1.7054171412284713E-2</v>
      </c>
      <c r="BK188" s="16">
        <f>AT188/'2017-18 disagg'!AT188-1</f>
        <v>1.7055711246108052E-2</v>
      </c>
      <c r="BL188" s="16">
        <f>AU188/'2017-18 disagg'!AU188-1</f>
        <v>3.7297612473311981E-2</v>
      </c>
      <c r="BM188" s="16">
        <f>AW188/'2017-18 disagg'!AW188-1</f>
        <v>2.0218350704268806E-2</v>
      </c>
    </row>
    <row r="189" spans="1:65" x14ac:dyDescent="0.2">
      <c r="A189" s="156" t="s">
        <v>423</v>
      </c>
      <c r="B189" s="156" t="s">
        <v>424</v>
      </c>
      <c r="D189" s="56">
        <f>VLOOKUP(A189,'2018-19'!$A$12:$AMX397,32,FALSE)</f>
        <v>175152</v>
      </c>
      <c r="E189" s="56">
        <v>1465.834487118176</v>
      </c>
      <c r="F189" s="16">
        <f>VLOOKUP(A189,'2018-19'!$A$12:$AMX397,34,FALSE)</f>
        <v>2.3377017954905321E-2</v>
      </c>
      <c r="G189" s="16">
        <f>VLOOKUP(A189,'2018-19'!$A$12:$AMX397,35,FALSE)</f>
        <v>1.7306329846200397E-2</v>
      </c>
      <c r="H189" s="56"/>
      <c r="I189" s="56">
        <v>177616.22367617837</v>
      </c>
      <c r="J189" s="56">
        <v>1486.4573977815733</v>
      </c>
      <c r="K189" s="16">
        <f t="shared" si="57"/>
        <v>-1.3873865940709496E-2</v>
      </c>
      <c r="L189" s="58">
        <f t="shared" si="57"/>
        <v>-1.3873865940709385E-2</v>
      </c>
      <c r="M189" s="10"/>
      <c r="N189" s="56">
        <v>133714</v>
      </c>
      <c r="O189" s="56">
        <v>14557</v>
      </c>
      <c r="P189" s="56">
        <v>26881</v>
      </c>
      <c r="R189" s="56">
        <f t="shared" si="41"/>
        <v>26881</v>
      </c>
      <c r="S189" s="56">
        <f t="shared" si="42"/>
        <v>0</v>
      </c>
      <c r="U189" s="16">
        <v>-1.8867990002240598E-2</v>
      </c>
      <c r="V189" s="16">
        <v>-1.7024501020176608E-2</v>
      </c>
      <c r="W189" s="56">
        <f t="shared" si="43"/>
        <v>4</v>
      </c>
      <c r="X189" s="56">
        <f t="shared" si="44"/>
        <v>1362.8543217166603</v>
      </c>
      <c r="Y189" s="56">
        <f t="shared" si="44"/>
        <v>148.09117841805738</v>
      </c>
      <c r="AA189" s="56">
        <f t="shared" si="56"/>
        <v>0</v>
      </c>
      <c r="AB189" s="56">
        <v>0</v>
      </c>
      <c r="AC189" s="56">
        <f t="shared" si="45"/>
        <v>0</v>
      </c>
      <c r="AE189" s="56">
        <v>0</v>
      </c>
      <c r="AF189" s="56">
        <f t="shared" si="46"/>
        <v>0</v>
      </c>
      <c r="AG189" s="56">
        <f t="shared" si="47"/>
        <v>0</v>
      </c>
      <c r="AI189" s="56">
        <f t="shared" si="48"/>
        <v>0</v>
      </c>
      <c r="AJ189" s="56">
        <f t="shared" si="49"/>
        <v>0</v>
      </c>
      <c r="AK189" s="56">
        <f t="shared" si="50"/>
        <v>0</v>
      </c>
      <c r="AM189" s="56">
        <f t="shared" si="51"/>
        <v>133714</v>
      </c>
      <c r="AN189" s="56">
        <f t="shared" si="52"/>
        <v>14557</v>
      </c>
      <c r="AO189" s="56">
        <f t="shared" si="53"/>
        <v>26881</v>
      </c>
      <c r="AP189" s="56"/>
      <c r="AQ189" s="56">
        <f t="shared" si="54"/>
        <v>175152</v>
      </c>
      <c r="AR189" s="1"/>
      <c r="AS189" s="56">
        <v>1119.0428462736354</v>
      </c>
      <c r="AT189" s="56">
        <v>121.82648573227418</v>
      </c>
      <c r="AU189" s="56">
        <v>224.96515511226642</v>
      </c>
      <c r="AV189" s="56"/>
      <c r="AW189" s="56">
        <v>1465.834487118176</v>
      </c>
      <c r="AX189" s="1"/>
      <c r="AY189" s="16">
        <v>-1.8867990002240598E-2</v>
      </c>
      <c r="AZ189" s="16">
        <v>-1.7024501020176608E-2</v>
      </c>
      <c r="BA189" s="16">
        <v>1.3548403538298226E-2</v>
      </c>
      <c r="BB189" s="16">
        <f t="shared" si="55"/>
        <v>-1.3873865940709496E-2</v>
      </c>
      <c r="BC189" s="16"/>
      <c r="BD189" s="1"/>
      <c r="BE189" s="16">
        <f>AM189/'2017-18 disagg'!AM189-1</f>
        <v>1.9868963991793054E-2</v>
      </c>
      <c r="BF189" s="16">
        <f>AN189/'2017-18 disagg'!AN189-1</f>
        <v>1.9326377704642628E-2</v>
      </c>
      <c r="BG189" s="16">
        <f>AO189/'2017-18 disagg'!AO189-1</f>
        <v>4.3476573114397787E-2</v>
      </c>
      <c r="BH189" s="16">
        <f>AQ189/'2017-18 disagg'!AQ189-1</f>
        <v>2.3377017954905321E-2</v>
      </c>
      <c r="BI189" s="1"/>
      <c r="BJ189" s="16">
        <f>AS189/'2017-18 disagg'!AS189-1</f>
        <v>1.3819085712803991E-2</v>
      </c>
      <c r="BK189" s="16">
        <f>AT189/'2017-18 disagg'!AT189-1</f>
        <v>1.3279718055799972E-2</v>
      </c>
      <c r="BL189" s="16">
        <f>AU189/'2017-18 disagg'!AU189-1</f>
        <v>3.7286654137345998E-2</v>
      </c>
      <c r="BM189" s="16">
        <f>AW189/'2017-18 disagg'!AW189-1</f>
        <v>1.7306329846200397E-2</v>
      </c>
    </row>
    <row r="190" spans="1:65" x14ac:dyDescent="0.2">
      <c r="A190" s="156" t="s">
        <v>425</v>
      </c>
      <c r="B190" s="156" t="s">
        <v>426</v>
      </c>
      <c r="D190" s="56">
        <f>VLOOKUP(A190,'2018-19'!$A$12:$AMX398,32,FALSE)</f>
        <v>165202.62470297955</v>
      </c>
      <c r="E190" s="56">
        <v>1477.3727965041558</v>
      </c>
      <c r="F190" s="16">
        <f>VLOOKUP(A190,'2018-19'!$A$12:$AMX398,34,FALSE)</f>
        <v>2.6721842992234679E-2</v>
      </c>
      <c r="G190" s="16">
        <f>VLOOKUP(A190,'2018-19'!$A$12:$AMX398,35,FALSE)</f>
        <v>1.8944090957225823E-2</v>
      </c>
      <c r="H190" s="56"/>
      <c r="I190" s="56">
        <v>168780.90418253414</v>
      </c>
      <c r="J190" s="56">
        <v>1509.3726074689489</v>
      </c>
      <c r="K190" s="16">
        <f t="shared" si="57"/>
        <v>-2.1200736522211883E-2</v>
      </c>
      <c r="L190" s="58">
        <f t="shared" si="57"/>
        <v>-2.1200736522211883E-2</v>
      </c>
      <c r="M190" s="10"/>
      <c r="N190" s="56">
        <v>128722</v>
      </c>
      <c r="O190" s="56">
        <v>14264</v>
      </c>
      <c r="P190" s="56">
        <v>21637</v>
      </c>
      <c r="R190" s="56">
        <f t="shared" si="41"/>
        <v>21637</v>
      </c>
      <c r="S190" s="56">
        <f t="shared" si="42"/>
        <v>579.6247029795486</v>
      </c>
      <c r="U190" s="16">
        <v>-2.1585178746292066E-2</v>
      </c>
      <c r="V190" s="16">
        <v>-4.3269900755260604E-4</v>
      </c>
      <c r="W190" s="56">
        <f t="shared" si="43"/>
        <v>4</v>
      </c>
      <c r="X190" s="56">
        <f t="shared" si="44"/>
        <v>1315.6178463758342</v>
      </c>
      <c r="Y190" s="56">
        <f t="shared" si="44"/>
        <v>142.70174690426148</v>
      </c>
      <c r="AA190" s="56">
        <f t="shared" si="56"/>
        <v>0</v>
      </c>
      <c r="AB190" s="56">
        <v>0</v>
      </c>
      <c r="AC190" s="56">
        <f t="shared" si="45"/>
        <v>579.6247029795486</v>
      </c>
      <c r="AE190" s="56">
        <v>0</v>
      </c>
      <c r="AF190" s="56">
        <f t="shared" si="46"/>
        <v>0</v>
      </c>
      <c r="AG190" s="56">
        <f t="shared" si="47"/>
        <v>579.6247029795486</v>
      </c>
      <c r="AI190" s="56">
        <f t="shared" si="48"/>
        <v>522.90636905248141</v>
      </c>
      <c r="AJ190" s="56">
        <f t="shared" si="49"/>
        <v>56.718333927067199</v>
      </c>
      <c r="AK190" s="56">
        <f t="shared" si="50"/>
        <v>0</v>
      </c>
      <c r="AM190" s="56">
        <f t="shared" si="51"/>
        <v>129245</v>
      </c>
      <c r="AN190" s="56">
        <f t="shared" si="52"/>
        <v>14321</v>
      </c>
      <c r="AO190" s="56">
        <f t="shared" si="53"/>
        <v>21637</v>
      </c>
      <c r="AP190" s="56"/>
      <c r="AQ190" s="56">
        <f t="shared" si="54"/>
        <v>165203</v>
      </c>
      <c r="AR190" s="1"/>
      <c r="AS190" s="56">
        <v>1155.8112192677277</v>
      </c>
      <c r="AT190" s="56">
        <v>128.06973168117241</v>
      </c>
      <c r="AU190" s="56">
        <v>193.49520175864308</v>
      </c>
      <c r="AV190" s="56"/>
      <c r="AW190" s="56">
        <v>1477.3761527075433</v>
      </c>
      <c r="AX190" s="1"/>
      <c r="AY190" s="16">
        <v>-1.7609860218645745E-2</v>
      </c>
      <c r="AZ190" s="16">
        <v>3.5616459277088008E-3</v>
      </c>
      <c r="BA190" s="16">
        <v>-5.7167981484164132E-2</v>
      </c>
      <c r="BB190" s="16">
        <f t="shared" si="55"/>
        <v>-2.1198512947084858E-2</v>
      </c>
      <c r="BC190" s="16"/>
      <c r="BD190" s="1"/>
      <c r="BE190" s="16">
        <f>AM190/'2017-18 disagg'!AM190-1</f>
        <v>2.4014768567670819E-2</v>
      </c>
      <c r="BF190" s="16">
        <f>AN190/'2017-18 disagg'!AN190-1</f>
        <v>2.3806119531026626E-2</v>
      </c>
      <c r="BG190" s="16">
        <f>AO190/'2017-18 disagg'!AO190-1</f>
        <v>4.5215206994831059E-2</v>
      </c>
      <c r="BH190" s="16">
        <f>AQ190/'2017-18 disagg'!AQ190-1</f>
        <v>2.6724175434889252E-2</v>
      </c>
      <c r="BI190" s="1"/>
      <c r="BJ190" s="16">
        <f>AS190/'2017-18 disagg'!AS190-1</f>
        <v>1.6257523502254845E-2</v>
      </c>
      <c r="BK190" s="16">
        <f>AT190/'2017-18 disagg'!AT190-1</f>
        <v>1.6050455049953394E-2</v>
      </c>
      <c r="BL190" s="16">
        <f>AU190/'2017-18 disagg'!AU190-1</f>
        <v>3.729736171013931E-2</v>
      </c>
      <c r="BM190" s="16">
        <f>AW190/'2017-18 disagg'!AW190-1</f>
        <v>1.8946405730868587E-2</v>
      </c>
    </row>
    <row r="191" spans="1:65" x14ac:dyDescent="0.2">
      <c r="A191" s="156" t="s">
        <v>427</v>
      </c>
      <c r="B191" s="156" t="s">
        <v>428</v>
      </c>
      <c r="D191" s="56">
        <f>VLOOKUP(A191,'2018-19'!$A$12:$AMX399,32,FALSE)</f>
        <v>350185.94741061697</v>
      </c>
      <c r="E191" s="56">
        <v>1540.3554822977476</v>
      </c>
      <c r="F191" s="16">
        <f>VLOOKUP(A191,'2018-19'!$A$12:$AMX399,34,FALSE)</f>
        <v>2.7332926756663101E-2</v>
      </c>
      <c r="G191" s="16">
        <f>VLOOKUP(A191,'2018-19'!$A$12:$AMX399,35,FALSE)</f>
        <v>2.2062917306003182E-2</v>
      </c>
      <c r="H191" s="56"/>
      <c r="I191" s="56">
        <v>360943.08970765583</v>
      </c>
      <c r="J191" s="56">
        <v>1587.6726954344344</v>
      </c>
      <c r="K191" s="16">
        <f t="shared" si="57"/>
        <v>-2.9802876419525171E-2</v>
      </c>
      <c r="L191" s="58">
        <f t="shared" si="57"/>
        <v>-2.9802876419525171E-2</v>
      </c>
      <c r="M191" s="10"/>
      <c r="N191" s="56">
        <v>266206</v>
      </c>
      <c r="O191" s="56">
        <v>28094</v>
      </c>
      <c r="P191" s="56">
        <v>54517</v>
      </c>
      <c r="R191" s="56">
        <f t="shared" si="41"/>
        <v>54517</v>
      </c>
      <c r="S191" s="56">
        <f t="shared" si="42"/>
        <v>1368.9474106169655</v>
      </c>
      <c r="U191" s="16">
        <v>-2.6086417059622891E-2</v>
      </c>
      <c r="V191" s="16">
        <v>-2.7442305269923528E-2</v>
      </c>
      <c r="W191" s="56">
        <f t="shared" si="43"/>
        <v>4</v>
      </c>
      <c r="X191" s="56">
        <f t="shared" si="44"/>
        <v>2733.3636645285096</v>
      </c>
      <c r="Y191" s="56">
        <f t="shared" si="44"/>
        <v>288.86718137371997</v>
      </c>
      <c r="AA191" s="56">
        <f t="shared" si="56"/>
        <v>0</v>
      </c>
      <c r="AB191" s="56">
        <v>0</v>
      </c>
      <c r="AC191" s="56">
        <f t="shared" si="45"/>
        <v>1368.9474106169655</v>
      </c>
      <c r="AE191" s="56">
        <v>0</v>
      </c>
      <c r="AF191" s="56">
        <f t="shared" si="46"/>
        <v>0</v>
      </c>
      <c r="AG191" s="56">
        <f t="shared" si="47"/>
        <v>1368.9474106169655</v>
      </c>
      <c r="AI191" s="56">
        <f t="shared" si="48"/>
        <v>1238.1023494298136</v>
      </c>
      <c r="AJ191" s="56">
        <f t="shared" si="49"/>
        <v>130.84506118715197</v>
      </c>
      <c r="AK191" s="56">
        <f t="shared" si="50"/>
        <v>0</v>
      </c>
      <c r="AM191" s="56">
        <f t="shared" si="51"/>
        <v>267444</v>
      </c>
      <c r="AN191" s="56">
        <f t="shared" si="52"/>
        <v>28225</v>
      </c>
      <c r="AO191" s="56">
        <f t="shared" si="53"/>
        <v>54517</v>
      </c>
      <c r="AP191" s="56"/>
      <c r="AQ191" s="56">
        <f t="shared" si="54"/>
        <v>350186</v>
      </c>
      <c r="AR191" s="1"/>
      <c r="AS191" s="56">
        <v>1176.4002372276489</v>
      </c>
      <c r="AT191" s="56">
        <v>124.15270746679825</v>
      </c>
      <c r="AU191" s="56">
        <v>239.80276892710151</v>
      </c>
      <c r="AV191" s="56"/>
      <c r="AW191" s="56">
        <v>1540.3557136215486</v>
      </c>
      <c r="AX191" s="1"/>
      <c r="AY191" s="16">
        <v>-2.1557199026670304E-2</v>
      </c>
      <c r="AZ191" s="16">
        <v>-2.2907349122360254E-2</v>
      </c>
      <c r="BA191" s="16">
        <v>-7.1577056388658966E-2</v>
      </c>
      <c r="BB191" s="16">
        <f t="shared" si="55"/>
        <v>-2.9802730719594828E-2</v>
      </c>
      <c r="BC191" s="16"/>
      <c r="BD191" s="1"/>
      <c r="BE191" s="16">
        <f>AM191/'2017-18 disagg'!AM191-1</f>
        <v>2.4611140908742613E-2</v>
      </c>
      <c r="BF191" s="16">
        <f>AN191/'2017-18 disagg'!AN191-1</f>
        <v>2.4054858138016E-2</v>
      </c>
      <c r="BG191" s="16">
        <f>AO191/'2017-18 disagg'!AO191-1</f>
        <v>4.2649224472622205E-2</v>
      </c>
      <c r="BH191" s="16">
        <f>AQ191/'2017-18 disagg'!AQ191-1</f>
        <v>2.733308103699672E-2</v>
      </c>
      <c r="BI191" s="1"/>
      <c r="BJ191" s="16">
        <f>AS191/'2017-18 disagg'!AS191-1</f>
        <v>1.935509366718513E-2</v>
      </c>
      <c r="BK191" s="16">
        <f>AT191/'2017-18 disagg'!AT191-1</f>
        <v>1.8801664514193073E-2</v>
      </c>
      <c r="BL191" s="16">
        <f>AU191/'2017-18 disagg'!AU191-1</f>
        <v>3.7300645522621023E-2</v>
      </c>
      <c r="BM191" s="16">
        <f>AW191/'2017-18 disagg'!AW191-1</f>
        <v>2.2063070794909878E-2</v>
      </c>
    </row>
    <row r="192" spans="1:65" x14ac:dyDescent="0.2">
      <c r="A192" s="156" t="s">
        <v>429</v>
      </c>
      <c r="B192" s="156" t="s">
        <v>430</v>
      </c>
      <c r="D192" s="56">
        <f>VLOOKUP(A192,'2018-19'!$A$12:$AMX400,32,FALSE)</f>
        <v>337489.82746499643</v>
      </c>
      <c r="E192" s="56">
        <v>1479.2764726181488</v>
      </c>
      <c r="F192" s="16">
        <f>VLOOKUP(A192,'2018-19'!$A$12:$AMX400,34,FALSE)</f>
        <v>2.7613421385954018E-2</v>
      </c>
      <c r="G192" s="16">
        <f>VLOOKUP(A192,'2018-19'!$A$12:$AMX400,35,FALSE)</f>
        <v>1.779727873942516E-2</v>
      </c>
      <c r="H192" s="56"/>
      <c r="I192" s="56">
        <v>343785.42755724519</v>
      </c>
      <c r="J192" s="56">
        <v>1506.8711801903114</v>
      </c>
      <c r="K192" s="16">
        <f t="shared" si="57"/>
        <v>-1.8312585664209013E-2</v>
      </c>
      <c r="L192" s="58">
        <f t="shared" si="57"/>
        <v>-1.8312585664208902E-2</v>
      </c>
      <c r="M192" s="10"/>
      <c r="N192" s="56">
        <v>255170</v>
      </c>
      <c r="O192" s="56">
        <v>28926</v>
      </c>
      <c r="P192" s="56">
        <v>52764</v>
      </c>
      <c r="R192" s="56">
        <f t="shared" si="41"/>
        <v>52764</v>
      </c>
      <c r="S192" s="56">
        <f t="shared" si="42"/>
        <v>629.82746499642963</v>
      </c>
      <c r="U192" s="16">
        <v>-4.6828147138601395E-2</v>
      </c>
      <c r="V192" s="16">
        <v>3.1949806707336714E-2</v>
      </c>
      <c r="W192" s="56">
        <f t="shared" si="43"/>
        <v>1</v>
      </c>
      <c r="X192" s="56">
        <f t="shared" si="44"/>
        <v>2677.0618460247847</v>
      </c>
      <c r="Y192" s="56">
        <f t="shared" si="44"/>
        <v>280.30433081134805</v>
      </c>
      <c r="AA192" s="56">
        <f t="shared" si="56"/>
        <v>629.82746499642963</v>
      </c>
      <c r="AB192" s="56">
        <v>0</v>
      </c>
      <c r="AC192" s="56">
        <f t="shared" si="45"/>
        <v>0</v>
      </c>
      <c r="AE192" s="56">
        <v>0</v>
      </c>
      <c r="AF192" s="56">
        <f t="shared" si="46"/>
        <v>0</v>
      </c>
      <c r="AG192" s="56">
        <f t="shared" si="47"/>
        <v>0</v>
      </c>
      <c r="AI192" s="56">
        <f t="shared" si="48"/>
        <v>0</v>
      </c>
      <c r="AJ192" s="56">
        <f t="shared" si="49"/>
        <v>0</v>
      </c>
      <c r="AK192" s="56">
        <f t="shared" si="50"/>
        <v>0</v>
      </c>
      <c r="AM192" s="56">
        <f t="shared" si="51"/>
        <v>255800</v>
      </c>
      <c r="AN192" s="56">
        <f t="shared" si="52"/>
        <v>28926</v>
      </c>
      <c r="AO192" s="56">
        <f t="shared" si="53"/>
        <v>52764</v>
      </c>
      <c r="AP192" s="56"/>
      <c r="AQ192" s="56">
        <f t="shared" si="54"/>
        <v>337490</v>
      </c>
      <c r="AR192" s="1"/>
      <c r="AS192" s="56">
        <v>1121.2157846001121</v>
      </c>
      <c r="AT192" s="56">
        <v>126.78767703417843</v>
      </c>
      <c r="AU192" s="56">
        <v>231.27376723471585</v>
      </c>
      <c r="AV192" s="56"/>
      <c r="AW192" s="56">
        <v>1479.2772288690064</v>
      </c>
      <c r="AX192" s="1"/>
      <c r="AY192" s="16">
        <v>-4.4474820856896358E-2</v>
      </c>
      <c r="AZ192" s="16">
        <v>3.1949806707336714E-2</v>
      </c>
      <c r="BA192" s="16">
        <v>9.8133338552380378E-2</v>
      </c>
      <c r="BB192" s="16">
        <f t="shared" si="55"/>
        <v>-1.8312083795922085E-2</v>
      </c>
      <c r="BC192" s="16"/>
      <c r="BD192" s="1"/>
      <c r="BE192" s="16">
        <f>AM192/'2017-18 disagg'!AM192-1</f>
        <v>2.4302149112444882E-2</v>
      </c>
      <c r="BF192" s="16">
        <f>AN192/'2017-18 disagg'!AN192-1</f>
        <v>2.1795188809212718E-2</v>
      </c>
      <c r="BG192" s="16">
        <f>AO192/'2017-18 disagg'!AO192-1</f>
        <v>4.7299577221571631E-2</v>
      </c>
      <c r="BH192" s="16">
        <f>AQ192/'2017-18 disagg'!AQ192-1</f>
        <v>2.7613946733004324E-2</v>
      </c>
      <c r="BI192" s="1"/>
      <c r="BJ192" s="16">
        <f>AS192/'2017-18 disagg'!AS192-1</f>
        <v>1.4517636960712732E-2</v>
      </c>
      <c r="BK192" s="16">
        <f>AT192/'2017-18 disagg'!AT192-1</f>
        <v>1.2034624067501998E-2</v>
      </c>
      <c r="BL192" s="16">
        <f>AU192/'2017-18 disagg'!AU192-1</f>
        <v>3.7295385149234361E-2</v>
      </c>
      <c r="BM192" s="16">
        <f>AW192/'2017-18 disagg'!AW192-1</f>
        <v>1.7797799068166364E-2</v>
      </c>
    </row>
    <row r="193" spans="1:65" x14ac:dyDescent="0.2">
      <c r="A193" s="156" t="s">
        <v>431</v>
      </c>
      <c r="B193" s="156" t="s">
        <v>432</v>
      </c>
      <c r="D193" s="56">
        <f>VLOOKUP(A193,'2018-19'!$A$12:$AMX401,32,FALSE)</f>
        <v>575301.4414317701</v>
      </c>
      <c r="E193" s="56">
        <v>1537.5882967071852</v>
      </c>
      <c r="F193" s="16">
        <f>VLOOKUP(A193,'2018-19'!$A$12:$AMX401,34,FALSE)</f>
        <v>2.6359957311115068E-2</v>
      </c>
      <c r="G193" s="16">
        <f>VLOOKUP(A193,'2018-19'!$A$12:$AMX401,35,FALSE)</f>
        <v>1.8208756170502882E-2</v>
      </c>
      <c r="H193" s="56"/>
      <c r="I193" s="56">
        <v>586806.21974217903</v>
      </c>
      <c r="J193" s="56">
        <v>1568.3367204244471</v>
      </c>
      <c r="K193" s="16">
        <f t="shared" si="57"/>
        <v>-1.9605753864476272E-2</v>
      </c>
      <c r="L193" s="58">
        <f t="shared" si="57"/>
        <v>-1.9605753864476383E-2</v>
      </c>
      <c r="M193" s="10"/>
      <c r="N193" s="56">
        <v>434478</v>
      </c>
      <c r="O193" s="56">
        <v>44903</v>
      </c>
      <c r="P193" s="56">
        <v>95542</v>
      </c>
      <c r="R193" s="56">
        <f t="shared" si="41"/>
        <v>95542</v>
      </c>
      <c r="S193" s="56">
        <f t="shared" si="42"/>
        <v>378.44143177010119</v>
      </c>
      <c r="U193" s="16">
        <v>-3.6938766334876583E-2</v>
      </c>
      <c r="V193" s="16">
        <v>-4.8983800413753609E-2</v>
      </c>
      <c r="W193" s="56">
        <f t="shared" si="43"/>
        <v>4</v>
      </c>
      <c r="X193" s="56">
        <f t="shared" si="44"/>
        <v>4511.4265304450737</v>
      </c>
      <c r="Y193" s="56">
        <f t="shared" si="44"/>
        <v>472.15809803803245</v>
      </c>
      <c r="AA193" s="56">
        <f t="shared" si="56"/>
        <v>0</v>
      </c>
      <c r="AB193" s="56">
        <v>0</v>
      </c>
      <c r="AC193" s="56">
        <f t="shared" si="45"/>
        <v>378.44143177010119</v>
      </c>
      <c r="AE193" s="56">
        <v>0</v>
      </c>
      <c r="AF193" s="56">
        <f t="shared" si="46"/>
        <v>0</v>
      </c>
      <c r="AG193" s="56">
        <f t="shared" si="47"/>
        <v>378.44143177010119</v>
      </c>
      <c r="AI193" s="56">
        <f t="shared" si="48"/>
        <v>342.58688128808234</v>
      </c>
      <c r="AJ193" s="56">
        <f t="shared" si="49"/>
        <v>35.854550482018873</v>
      </c>
      <c r="AK193" s="56">
        <f t="shared" si="50"/>
        <v>0</v>
      </c>
      <c r="AM193" s="56">
        <f t="shared" si="51"/>
        <v>434821</v>
      </c>
      <c r="AN193" s="56">
        <f t="shared" si="52"/>
        <v>44939</v>
      </c>
      <c r="AO193" s="56">
        <f t="shared" si="53"/>
        <v>95542</v>
      </c>
      <c r="AP193" s="56"/>
      <c r="AQ193" s="56">
        <f t="shared" si="54"/>
        <v>575302</v>
      </c>
      <c r="AR193" s="1"/>
      <c r="AS193" s="56">
        <v>1162.1310718405477</v>
      </c>
      <c r="AT193" s="56">
        <v>120.1069135056549</v>
      </c>
      <c r="AU193" s="56">
        <v>255.35180422700284</v>
      </c>
      <c r="AV193" s="56"/>
      <c r="AW193" s="56">
        <v>1537.5897895732055</v>
      </c>
      <c r="AX193" s="1"/>
      <c r="AY193" s="16">
        <v>-3.6178474667295846E-2</v>
      </c>
      <c r="AZ193" s="16">
        <v>-4.8221343936789784E-2</v>
      </c>
      <c r="BA193" s="16">
        <v>8.0208287414730073E-2</v>
      </c>
      <c r="BB193" s="16">
        <f t="shared" si="55"/>
        <v>-1.9604801985966591E-2</v>
      </c>
      <c r="BC193" s="16"/>
      <c r="BD193" s="1"/>
      <c r="BE193" s="16">
        <f>AM193/'2017-18 disagg'!AM193-1</f>
        <v>2.09270546690834E-2</v>
      </c>
      <c r="BF193" s="16">
        <f>AN193/'2017-18 disagg'!AN193-1</f>
        <v>3.9220220613740864E-2</v>
      </c>
      <c r="BG193" s="16">
        <f>AO193/'2017-18 disagg'!AO193-1</f>
        <v>4.5603283173734521E-2</v>
      </c>
      <c r="BH193" s="16">
        <f>AQ193/'2017-18 disagg'!AQ193-1</f>
        <v>2.6360953818377775E-2</v>
      </c>
      <c r="BI193" s="1"/>
      <c r="BJ193" s="16">
        <f>AS193/'2017-18 disagg'!AS193-1</f>
        <v>1.2819000849152662E-2</v>
      </c>
      <c r="BK193" s="16">
        <f>AT193/'2017-18 disagg'!AT193-1</f>
        <v>3.0966885136969102E-2</v>
      </c>
      <c r="BL193" s="16">
        <f>AU193/'2017-18 disagg'!AU193-1</f>
        <v>3.729925434474346E-2</v>
      </c>
      <c r="BM193" s="16">
        <f>AW193/'2017-18 disagg'!AW193-1</f>
        <v>1.8209744763650226E-2</v>
      </c>
    </row>
    <row r="194" spans="1:65" x14ac:dyDescent="0.2">
      <c r="A194" s="156" t="s">
        <v>433</v>
      </c>
      <c r="B194" s="156" t="s">
        <v>434</v>
      </c>
      <c r="D194" s="56">
        <f>VLOOKUP(A194,'2018-19'!$A$12:$AMX402,32,FALSE)</f>
        <v>1081518</v>
      </c>
      <c r="E194" s="56">
        <v>1482.3625141453383</v>
      </c>
      <c r="F194" s="16">
        <f>VLOOKUP(A194,'2018-19'!$A$12:$AMX402,34,FALSE)</f>
        <v>2.4749928226060813E-2</v>
      </c>
      <c r="G194" s="16">
        <f>VLOOKUP(A194,'2018-19'!$A$12:$AMX402,35,FALSE)</f>
        <v>1.8528588522525702E-2</v>
      </c>
      <c r="H194" s="56"/>
      <c r="I194" s="56">
        <v>1082053.1850738467</v>
      </c>
      <c r="J194" s="56">
        <v>1483.0960556042883</v>
      </c>
      <c r="K194" s="16">
        <f t="shared" si="57"/>
        <v>-4.9460144956758878E-4</v>
      </c>
      <c r="L194" s="58">
        <f t="shared" si="57"/>
        <v>-4.946014495676998E-4</v>
      </c>
      <c r="M194" s="10"/>
      <c r="N194" s="56">
        <v>758889</v>
      </c>
      <c r="O194" s="56">
        <v>94151</v>
      </c>
      <c r="P194" s="56">
        <v>228478</v>
      </c>
      <c r="R194" s="56">
        <f t="shared" si="41"/>
        <v>228478</v>
      </c>
      <c r="S194" s="56">
        <f t="shared" si="42"/>
        <v>0</v>
      </c>
      <c r="U194" s="16">
        <v>-4.7621448014229295E-2</v>
      </c>
      <c r="V194" s="16">
        <v>3.5528367947763817E-2</v>
      </c>
      <c r="W194" s="56">
        <f t="shared" si="43"/>
        <v>1</v>
      </c>
      <c r="X194" s="56">
        <f t="shared" si="44"/>
        <v>7968.3545835599452</v>
      </c>
      <c r="Y194" s="56">
        <f t="shared" si="44"/>
        <v>909.20734684063575</v>
      </c>
      <c r="AA194" s="56">
        <f t="shared" si="56"/>
        <v>0</v>
      </c>
      <c r="AB194" s="56">
        <v>0</v>
      </c>
      <c r="AC194" s="56">
        <f t="shared" si="45"/>
        <v>0</v>
      </c>
      <c r="AE194" s="56">
        <v>0</v>
      </c>
      <c r="AF194" s="56">
        <f t="shared" si="46"/>
        <v>0</v>
      </c>
      <c r="AG194" s="56">
        <f t="shared" si="47"/>
        <v>0</v>
      </c>
      <c r="AI194" s="56">
        <f t="shared" si="48"/>
        <v>0</v>
      </c>
      <c r="AJ194" s="56">
        <f t="shared" si="49"/>
        <v>0</v>
      </c>
      <c r="AK194" s="56">
        <f t="shared" si="50"/>
        <v>0</v>
      </c>
      <c r="AM194" s="56">
        <f t="shared" si="51"/>
        <v>758889</v>
      </c>
      <c r="AN194" s="56">
        <f t="shared" si="52"/>
        <v>94151</v>
      </c>
      <c r="AO194" s="56">
        <f t="shared" si="53"/>
        <v>228478</v>
      </c>
      <c r="AP194" s="56"/>
      <c r="AQ194" s="56">
        <f t="shared" si="54"/>
        <v>1081518</v>
      </c>
      <c r="AR194" s="1"/>
      <c r="AS194" s="56">
        <v>1040.1570810631367</v>
      </c>
      <c r="AT194" s="56">
        <v>129.04631552068273</v>
      </c>
      <c r="AU194" s="56">
        <v>313.15911756151871</v>
      </c>
      <c r="AV194" s="56"/>
      <c r="AW194" s="56">
        <v>1482.3625141453383</v>
      </c>
      <c r="AX194" s="1"/>
      <c r="AY194" s="16">
        <v>-4.7621448014229295E-2</v>
      </c>
      <c r="AZ194" s="16">
        <v>3.5528367947763817E-2</v>
      </c>
      <c r="BA194" s="16">
        <v>0.17592144689644651</v>
      </c>
      <c r="BB194" s="16">
        <f t="shared" si="55"/>
        <v>-4.9460144956758878E-4</v>
      </c>
      <c r="BC194" s="16"/>
      <c r="BD194" s="1"/>
      <c r="BE194" s="16">
        <f>AM194/'2017-18 disagg'!AM194-1</f>
        <v>1.9869534366163899E-2</v>
      </c>
      <c r="BF194" s="16">
        <f>AN194/'2017-18 disagg'!AN194-1</f>
        <v>1.9303221895028644E-2</v>
      </c>
      <c r="BG194" s="16">
        <f>AO194/'2017-18 disagg'!AO194-1</f>
        <v>4.3635948384149748E-2</v>
      </c>
      <c r="BH194" s="16">
        <f>AQ194/'2017-18 disagg'!AQ194-1</f>
        <v>2.4749928226060813E-2</v>
      </c>
      <c r="BI194" s="1"/>
      <c r="BJ194" s="16">
        <f>AS194/'2017-18 disagg'!AS194-1</f>
        <v>1.3677823928513799E-2</v>
      </c>
      <c r="BK194" s="16">
        <f>AT194/'2017-18 disagg'!AT194-1</f>
        <v>1.311494958619841E-2</v>
      </c>
      <c r="BL194" s="16">
        <f>AU194/'2017-18 disagg'!AU194-1</f>
        <v>3.7299950124595194E-2</v>
      </c>
      <c r="BM194" s="16">
        <f>AW194/'2017-18 disagg'!AW194-1</f>
        <v>1.8528588522525702E-2</v>
      </c>
    </row>
    <row r="195" spans="1:65" x14ac:dyDescent="0.2">
      <c r="A195" s="156" t="s">
        <v>435</v>
      </c>
      <c r="B195" s="156" t="s">
        <v>436</v>
      </c>
      <c r="D195" s="56">
        <f>VLOOKUP(A195,'2018-19'!$A$12:$AMX403,32,FALSE)</f>
        <v>360000</v>
      </c>
      <c r="E195" s="56">
        <v>1593.0012613102767</v>
      </c>
      <c r="F195" s="16">
        <f>VLOOKUP(A195,'2018-19'!$A$12:$AMX403,34,FALSE)</f>
        <v>2.4383164831787818E-2</v>
      </c>
      <c r="G195" s="16">
        <f>VLOOKUP(A195,'2018-19'!$A$12:$AMX403,35,FALSE)</f>
        <v>1.7840101043385959E-2</v>
      </c>
      <c r="H195" s="56"/>
      <c r="I195" s="56">
        <v>355187.88276467554</v>
      </c>
      <c r="J195" s="56">
        <v>1571.7076256840412</v>
      </c>
      <c r="K195" s="16">
        <f t="shared" si="57"/>
        <v>1.3548089529035634E-2</v>
      </c>
      <c r="L195" s="58">
        <f t="shared" si="57"/>
        <v>1.3548089529035634E-2</v>
      </c>
      <c r="M195" s="10"/>
      <c r="N195" s="56">
        <v>277381</v>
      </c>
      <c r="O195" s="56">
        <v>29227</v>
      </c>
      <c r="P195" s="56">
        <v>53392</v>
      </c>
      <c r="R195" s="56">
        <f t="shared" si="41"/>
        <v>53392</v>
      </c>
      <c r="S195" s="56">
        <f t="shared" si="42"/>
        <v>0</v>
      </c>
      <c r="U195" s="16">
        <v>2.0155359801244721E-2</v>
      </c>
      <c r="V195" s="16">
        <v>-4.8659668001962197E-2</v>
      </c>
      <c r="W195" s="56">
        <f t="shared" si="43"/>
        <v>3</v>
      </c>
      <c r="X195" s="56">
        <f t="shared" si="44"/>
        <v>2719.0074270064292</v>
      </c>
      <c r="Y195" s="56">
        <f t="shared" si="44"/>
        <v>307.21918347156003</v>
      </c>
      <c r="AA195" s="56">
        <f t="shared" si="56"/>
        <v>0</v>
      </c>
      <c r="AB195" s="56">
        <v>0</v>
      </c>
      <c r="AC195" s="56">
        <f t="shared" si="45"/>
        <v>0</v>
      </c>
      <c r="AE195" s="56">
        <v>0</v>
      </c>
      <c r="AF195" s="56">
        <f t="shared" si="46"/>
        <v>0</v>
      </c>
      <c r="AG195" s="56">
        <f t="shared" si="47"/>
        <v>0</v>
      </c>
      <c r="AI195" s="56">
        <f t="shared" si="48"/>
        <v>0</v>
      </c>
      <c r="AJ195" s="56">
        <f t="shared" si="49"/>
        <v>0</v>
      </c>
      <c r="AK195" s="56">
        <f t="shared" si="50"/>
        <v>0</v>
      </c>
      <c r="AM195" s="56">
        <f t="shared" si="51"/>
        <v>277381</v>
      </c>
      <c r="AN195" s="56">
        <f t="shared" si="52"/>
        <v>29227</v>
      </c>
      <c r="AO195" s="56">
        <f t="shared" si="53"/>
        <v>53392</v>
      </c>
      <c r="AP195" s="56"/>
      <c r="AQ195" s="56">
        <f t="shared" si="54"/>
        <v>360000</v>
      </c>
      <c r="AR195" s="1"/>
      <c r="AS195" s="56">
        <v>1227.4118968430719</v>
      </c>
      <c r="AT195" s="56">
        <v>129.32957740087627</v>
      </c>
      <c r="AU195" s="56">
        <v>236.25978706632858</v>
      </c>
      <c r="AV195" s="56"/>
      <c r="AW195" s="56">
        <v>1593.0012613102767</v>
      </c>
      <c r="AX195" s="1"/>
      <c r="AY195" s="16">
        <v>2.0155359801244721E-2</v>
      </c>
      <c r="AZ195" s="16">
        <v>-4.8659668001962197E-2</v>
      </c>
      <c r="BA195" s="16">
        <v>1.572861782218915E-2</v>
      </c>
      <c r="BB195" s="16">
        <f t="shared" si="55"/>
        <v>1.3548089529035634E-2</v>
      </c>
      <c r="BC195" s="16"/>
      <c r="BD195" s="1"/>
      <c r="BE195" s="16">
        <f>AM195/'2017-18 disagg'!AM195-1</f>
        <v>1.9869327185754626E-2</v>
      </c>
      <c r="BF195" s="16">
        <f>AN195/'2017-18 disagg'!AN195-1</f>
        <v>3.2354915050686994E-2</v>
      </c>
      <c r="BG195" s="16">
        <f>AO195/'2017-18 disagg'!AO195-1</f>
        <v>4.397473750073333E-2</v>
      </c>
      <c r="BH195" s="16">
        <f>AQ195/'2017-18 disagg'!AQ195-1</f>
        <v>2.4383164831787818E-2</v>
      </c>
      <c r="BI195" s="1"/>
      <c r="BJ195" s="16">
        <f>AS195/'2017-18 disagg'!AS195-1</f>
        <v>1.3355094725963523E-2</v>
      </c>
      <c r="BK195" s="16">
        <f>AT195/'2017-18 disagg'!AT195-1</f>
        <v>2.5760933137136233E-2</v>
      </c>
      <c r="BL195" s="16">
        <f>AU195/'2017-18 disagg'!AU195-1</f>
        <v>3.7306536054774186E-2</v>
      </c>
      <c r="BM195" s="16">
        <f>AW195/'2017-18 disagg'!AW195-1</f>
        <v>1.7840101043385959E-2</v>
      </c>
    </row>
    <row r="196" spans="1:65" x14ac:dyDescent="0.2">
      <c r="A196" s="156" t="s">
        <v>437</v>
      </c>
      <c r="B196" s="156" t="s">
        <v>438</v>
      </c>
      <c r="D196" s="56">
        <f>VLOOKUP(A196,'2018-19'!$A$12:$AMX404,32,FALSE)</f>
        <v>242875</v>
      </c>
      <c r="E196" s="56">
        <v>1541.2720841872176</v>
      </c>
      <c r="F196" s="16">
        <f>VLOOKUP(A196,'2018-19'!$A$12:$AMX404,34,FALSE)</f>
        <v>2.8739040196535282E-2</v>
      </c>
      <c r="G196" s="16">
        <f>VLOOKUP(A196,'2018-19'!$A$12:$AMX404,35,FALSE)</f>
        <v>1.632294675022794E-2</v>
      </c>
      <c r="H196" s="56"/>
      <c r="I196" s="56">
        <v>242128.86480723627</v>
      </c>
      <c r="J196" s="56">
        <v>1536.5371491645253</v>
      </c>
      <c r="K196" s="16">
        <f t="shared" si="57"/>
        <v>3.0815623463882336E-3</v>
      </c>
      <c r="L196" s="58">
        <f t="shared" si="57"/>
        <v>3.0815623463884556E-3</v>
      </c>
      <c r="M196" s="10"/>
      <c r="N196" s="56">
        <v>180152</v>
      </c>
      <c r="O196" s="56">
        <v>20512</v>
      </c>
      <c r="P196" s="56">
        <v>42211</v>
      </c>
      <c r="R196" s="56">
        <f t="shared" si="41"/>
        <v>42211</v>
      </c>
      <c r="S196" s="56">
        <f t="shared" si="42"/>
        <v>0</v>
      </c>
      <c r="U196" s="16">
        <v>-2.654124951177228E-3</v>
      </c>
      <c r="V196" s="16">
        <v>1.5151117449550888E-2</v>
      </c>
      <c r="W196" s="56">
        <f t="shared" si="43"/>
        <v>1</v>
      </c>
      <c r="X196" s="56">
        <f t="shared" si="44"/>
        <v>1806.3141835442102</v>
      </c>
      <c r="Y196" s="56">
        <f t="shared" si="44"/>
        <v>202.05858662239385</v>
      </c>
      <c r="AA196" s="56">
        <f t="shared" si="56"/>
        <v>0</v>
      </c>
      <c r="AB196" s="56">
        <v>0</v>
      </c>
      <c r="AC196" s="56">
        <f t="shared" si="45"/>
        <v>0</v>
      </c>
      <c r="AE196" s="56">
        <v>0</v>
      </c>
      <c r="AF196" s="56">
        <f t="shared" si="46"/>
        <v>0</v>
      </c>
      <c r="AG196" s="56">
        <f t="shared" si="47"/>
        <v>0</v>
      </c>
      <c r="AI196" s="56">
        <f t="shared" si="48"/>
        <v>0</v>
      </c>
      <c r="AJ196" s="56">
        <f t="shared" si="49"/>
        <v>0</v>
      </c>
      <c r="AK196" s="56">
        <f t="shared" si="50"/>
        <v>0</v>
      </c>
      <c r="AM196" s="56">
        <f t="shared" si="51"/>
        <v>180152</v>
      </c>
      <c r="AN196" s="56">
        <f t="shared" si="52"/>
        <v>20512</v>
      </c>
      <c r="AO196" s="56">
        <f t="shared" si="53"/>
        <v>42211</v>
      </c>
      <c r="AP196" s="56"/>
      <c r="AQ196" s="56">
        <f t="shared" si="54"/>
        <v>242875</v>
      </c>
      <c r="AR196" s="1"/>
      <c r="AS196" s="56">
        <v>1143.2351971610731</v>
      </c>
      <c r="AT196" s="56">
        <v>130.16808230920518</v>
      </c>
      <c r="AU196" s="56">
        <v>267.86880471693934</v>
      </c>
      <c r="AV196" s="56"/>
      <c r="AW196" s="56">
        <v>1541.2720841872176</v>
      </c>
      <c r="AX196" s="1"/>
      <c r="AY196" s="16">
        <v>-2.654124951177228E-3</v>
      </c>
      <c r="AZ196" s="16">
        <v>1.5151117449550888E-2</v>
      </c>
      <c r="BA196" s="16">
        <v>2.2266332166426483E-2</v>
      </c>
      <c r="BB196" s="16">
        <f t="shared" si="55"/>
        <v>3.0815623463882336E-3</v>
      </c>
      <c r="BC196" s="16"/>
      <c r="BD196" s="1"/>
      <c r="BE196" s="16">
        <f>AM196/'2017-18 disagg'!AM196-1</f>
        <v>2.4382477368875888E-2</v>
      </c>
      <c r="BF196" s="16">
        <f>AN196/'2017-18 disagg'!AN196-1</f>
        <v>2.437075509388742E-2</v>
      </c>
      <c r="BG196" s="16">
        <f>AO196/'2017-18 disagg'!AO196-1</f>
        <v>4.9972638177205209E-2</v>
      </c>
      <c r="BH196" s="16">
        <f>AQ196/'2017-18 disagg'!AQ196-1</f>
        <v>2.8739040196535282E-2</v>
      </c>
      <c r="BI196" s="1"/>
      <c r="BJ196" s="16">
        <f>AS196/'2017-18 disagg'!AS196-1</f>
        <v>1.2018964304044921E-2</v>
      </c>
      <c r="BK196" s="16">
        <f>AT196/'2017-18 disagg'!AT196-1</f>
        <v>1.2007383507950387E-2</v>
      </c>
      <c r="BL196" s="16">
        <f>AU196/'2017-18 disagg'!AU196-1</f>
        <v>3.7300271442504807E-2</v>
      </c>
      <c r="BM196" s="16">
        <f>AW196/'2017-18 disagg'!AW196-1</f>
        <v>1.632294675022794E-2</v>
      </c>
    </row>
    <row r="197" spans="1:65" x14ac:dyDescent="0.2">
      <c r="A197" s="156" t="s">
        <v>439</v>
      </c>
      <c r="B197" s="156" t="s">
        <v>440</v>
      </c>
      <c r="D197" s="56">
        <f>VLOOKUP(A197,'2018-19'!$A$12:$AMX405,32,FALSE)</f>
        <v>344831.42131862225</v>
      </c>
      <c r="E197" s="56">
        <v>1602.7848777200029</v>
      </c>
      <c r="F197" s="16">
        <f>VLOOKUP(A197,'2018-19'!$A$12:$AMX405,34,FALSE)</f>
        <v>2.5777209231814702E-2</v>
      </c>
      <c r="G197" s="16">
        <f>VLOOKUP(A197,'2018-19'!$A$12:$AMX405,35,FALSE)</f>
        <v>2.0866392171848824E-2</v>
      </c>
      <c r="H197" s="56"/>
      <c r="I197" s="56">
        <v>354115.40032090002</v>
      </c>
      <c r="J197" s="56">
        <v>1645.9370391240291</v>
      </c>
      <c r="K197" s="16">
        <f t="shared" si="57"/>
        <v>-2.6217382790651333E-2</v>
      </c>
      <c r="L197" s="58">
        <f t="shared" si="57"/>
        <v>-2.6217382790651445E-2</v>
      </c>
      <c r="M197" s="10"/>
      <c r="N197" s="56">
        <v>265301</v>
      </c>
      <c r="O197" s="56">
        <v>27655</v>
      </c>
      <c r="P197" s="56">
        <v>51163</v>
      </c>
      <c r="R197" s="56">
        <f t="shared" si="41"/>
        <v>51163</v>
      </c>
      <c r="S197" s="56">
        <f t="shared" si="42"/>
        <v>712.42131862224778</v>
      </c>
      <c r="U197" s="16">
        <v>-3.6925110902029878E-2</v>
      </c>
      <c r="V197" s="16">
        <v>-4.8401076272486576E-2</v>
      </c>
      <c r="W197" s="56">
        <f t="shared" si="43"/>
        <v>4</v>
      </c>
      <c r="X197" s="56">
        <f t="shared" si="44"/>
        <v>2754.7286613244041</v>
      </c>
      <c r="Y197" s="56">
        <f t="shared" si="44"/>
        <v>290.61613365084997</v>
      </c>
      <c r="AA197" s="56">
        <f t="shared" si="56"/>
        <v>0</v>
      </c>
      <c r="AB197" s="56">
        <v>0</v>
      </c>
      <c r="AC197" s="56">
        <f t="shared" si="45"/>
        <v>712.42131862224778</v>
      </c>
      <c r="AE197" s="56">
        <v>0</v>
      </c>
      <c r="AF197" s="56">
        <f t="shared" si="46"/>
        <v>0</v>
      </c>
      <c r="AG197" s="56">
        <f t="shared" si="47"/>
        <v>712.42131862224778</v>
      </c>
      <c r="AI197" s="56">
        <f t="shared" si="48"/>
        <v>644.43521422774677</v>
      </c>
      <c r="AJ197" s="56">
        <f t="shared" si="49"/>
        <v>67.986104394501027</v>
      </c>
      <c r="AK197" s="56">
        <f t="shared" si="50"/>
        <v>0</v>
      </c>
      <c r="AM197" s="56">
        <f t="shared" si="51"/>
        <v>265945</v>
      </c>
      <c r="AN197" s="56">
        <f t="shared" si="52"/>
        <v>27723</v>
      </c>
      <c r="AO197" s="56">
        <f t="shared" si="53"/>
        <v>51163</v>
      </c>
      <c r="AP197" s="56"/>
      <c r="AQ197" s="56">
        <f t="shared" si="54"/>
        <v>344831</v>
      </c>
      <c r="AR197" s="1"/>
      <c r="AS197" s="56">
        <v>1236.1188625887755</v>
      </c>
      <c r="AT197" s="56">
        <v>128.8571818516935</v>
      </c>
      <c r="AU197" s="56">
        <v>237.80687498027609</v>
      </c>
      <c r="AV197" s="56"/>
      <c r="AW197" s="56">
        <v>1602.7829194207452</v>
      </c>
      <c r="AX197" s="1"/>
      <c r="AY197" s="16">
        <v>-3.4587312595279807E-2</v>
      </c>
      <c r="AZ197" s="16">
        <v>-4.6061219942221898E-2</v>
      </c>
      <c r="BA197" s="16">
        <v>3.1909031747540118E-2</v>
      </c>
      <c r="BB197" s="16">
        <f t="shared" si="55"/>
        <v>-2.621857256839577E-2</v>
      </c>
      <c r="BC197" s="16"/>
      <c r="BD197" s="1"/>
      <c r="BE197" s="16">
        <f>AM197/'2017-18 disagg'!AM197-1</f>
        <v>2.23463472390939E-2</v>
      </c>
      <c r="BF197" s="16">
        <f>AN197/'2017-18 disagg'!AN197-1</f>
        <v>2.8797268712658086E-2</v>
      </c>
      <c r="BG197" s="16">
        <f>AO197/'2017-18 disagg'!AO197-1</f>
        <v>4.2292256605618528E-2</v>
      </c>
      <c r="BH197" s="16">
        <f>AQ197/'2017-18 disagg'!AQ197-1</f>
        <v>2.5775955926536254E-2</v>
      </c>
      <c r="BI197" s="1"/>
      <c r="BJ197" s="16">
        <f>AS197/'2017-18 disagg'!AS197-1</f>
        <v>1.7451955125454166E-2</v>
      </c>
      <c r="BK197" s="16">
        <f>AT197/'2017-18 disagg'!AT197-1</f>
        <v>2.3871993386816337E-2</v>
      </c>
      <c r="BL197" s="16">
        <f>AU197/'2017-18 disagg'!AU197-1</f>
        <v>3.7302375226754281E-2</v>
      </c>
      <c r="BM197" s="16">
        <f>AW197/'2017-18 disagg'!AW197-1</f>
        <v>2.0865144866657692E-2</v>
      </c>
    </row>
    <row r="198" spans="1:65" x14ac:dyDescent="0.2">
      <c r="A198" s="156" t="s">
        <v>441</v>
      </c>
      <c r="B198" s="156" t="s">
        <v>442</v>
      </c>
      <c r="D198" s="56">
        <f>VLOOKUP(A198,'2018-19'!$A$12:$AMX406,32,FALSE)</f>
        <v>370131</v>
      </c>
      <c r="E198" s="56">
        <v>1822.0066646822136</v>
      </c>
      <c r="F198" s="16">
        <f>VLOOKUP(A198,'2018-19'!$A$12:$AMX406,34,FALSE)</f>
        <v>2.372826038854714E-2</v>
      </c>
      <c r="G198" s="16">
        <f>VLOOKUP(A198,'2018-19'!$A$12:$AMX406,35,FALSE)</f>
        <v>1.8719959360154137E-2</v>
      </c>
      <c r="H198" s="56"/>
      <c r="I198" s="56">
        <v>360344.64680438006</v>
      </c>
      <c r="J198" s="56">
        <v>1773.8323676215687</v>
      </c>
      <c r="K198" s="16">
        <f t="shared" si="57"/>
        <v>2.7158314359343461E-2</v>
      </c>
      <c r="L198" s="58">
        <f t="shared" si="57"/>
        <v>2.7158314359343461E-2</v>
      </c>
      <c r="M198" s="10"/>
      <c r="N198" s="56">
        <v>284362</v>
      </c>
      <c r="O198" s="56">
        <v>27413</v>
      </c>
      <c r="P198" s="56">
        <v>58356</v>
      </c>
      <c r="R198" s="56">
        <f t="shared" si="41"/>
        <v>58356</v>
      </c>
      <c r="S198" s="56">
        <f t="shared" si="42"/>
        <v>0</v>
      </c>
      <c r="U198" s="16">
        <v>4.9585689531280508E-2</v>
      </c>
      <c r="V198" s="16">
        <v>-4.8477843503114237E-2</v>
      </c>
      <c r="W198" s="56">
        <f t="shared" si="43"/>
        <v>3</v>
      </c>
      <c r="X198" s="56">
        <f t="shared" si="44"/>
        <v>2709.2785547313356</v>
      </c>
      <c r="Y198" s="56">
        <f t="shared" si="44"/>
        <v>288.09628670049494</v>
      </c>
      <c r="AA198" s="56">
        <f t="shared" si="56"/>
        <v>0</v>
      </c>
      <c r="AB198" s="56">
        <v>0</v>
      </c>
      <c r="AC198" s="56">
        <f t="shared" si="45"/>
        <v>0</v>
      </c>
      <c r="AE198" s="56">
        <v>0</v>
      </c>
      <c r="AF198" s="56">
        <f t="shared" si="46"/>
        <v>0</v>
      </c>
      <c r="AG198" s="56">
        <f t="shared" si="47"/>
        <v>0</v>
      </c>
      <c r="AI198" s="56">
        <f t="shared" si="48"/>
        <v>0</v>
      </c>
      <c r="AJ198" s="56">
        <f t="shared" si="49"/>
        <v>0</v>
      </c>
      <c r="AK198" s="56">
        <f t="shared" si="50"/>
        <v>0</v>
      </c>
      <c r="AM198" s="56">
        <f t="shared" si="51"/>
        <v>284362</v>
      </c>
      <c r="AN198" s="56">
        <f t="shared" si="52"/>
        <v>27413</v>
      </c>
      <c r="AO198" s="56">
        <f t="shared" si="53"/>
        <v>58356</v>
      </c>
      <c r="AP198" s="56"/>
      <c r="AQ198" s="56">
        <f t="shared" si="54"/>
        <v>370131</v>
      </c>
      <c r="AR198" s="1"/>
      <c r="AS198" s="56">
        <v>1399.8002306814712</v>
      </c>
      <c r="AT198" s="56">
        <v>134.94321928974747</v>
      </c>
      <c r="AU198" s="56">
        <v>287.26321471099493</v>
      </c>
      <c r="AV198" s="56"/>
      <c r="AW198" s="56">
        <v>1822.0066646822136</v>
      </c>
      <c r="AX198" s="1"/>
      <c r="AY198" s="16">
        <v>4.9585689531280508E-2</v>
      </c>
      <c r="AZ198" s="16">
        <v>-4.8477843503114237E-2</v>
      </c>
      <c r="BA198" s="16">
        <v>-3.7143508495544153E-2</v>
      </c>
      <c r="BB198" s="16">
        <f t="shared" si="55"/>
        <v>2.7158314359343461E-2</v>
      </c>
      <c r="BC198" s="16"/>
      <c r="BD198" s="1"/>
      <c r="BE198" s="16">
        <f>AM198/'2017-18 disagg'!AM198-1</f>
        <v>1.9595047634072715E-2</v>
      </c>
      <c r="BF198" s="16">
        <f>AN198/'2017-18 disagg'!AN198-1</f>
        <v>2.7743410939901736E-2</v>
      </c>
      <c r="BG198" s="16">
        <f>AO198/'2017-18 disagg'!AO198-1</f>
        <v>4.240648779964995E-2</v>
      </c>
      <c r="BH198" s="16">
        <f>AQ198/'2017-18 disagg'!AQ198-1</f>
        <v>2.372826038854714E-2</v>
      </c>
      <c r="BI198" s="1"/>
      <c r="BJ198" s="16">
        <f>AS198/'2017-18 disagg'!AS198-1</f>
        <v>1.4606967180308628E-2</v>
      </c>
      <c r="BK198" s="16">
        <f>AT198/'2017-18 disagg'!AT198-1</f>
        <v>2.2715466922823779E-2</v>
      </c>
      <c r="BL198" s="16">
        <f>AU198/'2017-18 disagg'!AU198-1</f>
        <v>3.7306808825398496E-2</v>
      </c>
      <c r="BM198" s="16">
        <f>AW198/'2017-18 disagg'!AW198-1</f>
        <v>1.8719959360154137E-2</v>
      </c>
    </row>
    <row r="199" spans="1:65" x14ac:dyDescent="0.2">
      <c r="A199" s="156" t="s">
        <v>443</v>
      </c>
      <c r="B199" s="156" t="s">
        <v>444</v>
      </c>
      <c r="D199" s="56">
        <f>VLOOKUP(A199,'2018-19'!$A$12:$AMX407,32,FALSE)</f>
        <v>184687.48855601318</v>
      </c>
      <c r="E199" s="56">
        <v>1321.7331766011971</v>
      </c>
      <c r="F199" s="16">
        <f>VLOOKUP(A199,'2018-19'!$A$12:$AMX407,34,FALSE)</f>
        <v>2.471516623489145E-2</v>
      </c>
      <c r="G199" s="16">
        <f>VLOOKUP(A199,'2018-19'!$A$12:$AMX407,35,FALSE)</f>
        <v>2.0715457795962511E-2</v>
      </c>
      <c r="H199" s="56"/>
      <c r="I199" s="56">
        <v>189637.18328890053</v>
      </c>
      <c r="J199" s="56">
        <v>1357.1561269789174</v>
      </c>
      <c r="K199" s="16">
        <f t="shared" si="57"/>
        <v>-2.6100866122583111E-2</v>
      </c>
      <c r="L199" s="58">
        <f t="shared" si="57"/>
        <v>-2.6100866122583222E-2</v>
      </c>
      <c r="M199" s="10"/>
      <c r="N199" s="56">
        <v>138379</v>
      </c>
      <c r="O199" s="56">
        <v>18893</v>
      </c>
      <c r="P199" s="56">
        <v>27091</v>
      </c>
      <c r="R199" s="56">
        <f t="shared" si="41"/>
        <v>27091</v>
      </c>
      <c r="S199" s="56">
        <f t="shared" si="42"/>
        <v>324.48855601318064</v>
      </c>
      <c r="U199" s="16">
        <v>-3.7287520198003965E-2</v>
      </c>
      <c r="V199" s="16">
        <v>2.4663197177798857E-2</v>
      </c>
      <c r="W199" s="56">
        <f t="shared" si="43"/>
        <v>1</v>
      </c>
      <c r="X199" s="56">
        <f t="shared" si="44"/>
        <v>1437.3865811780151</v>
      </c>
      <c r="Y199" s="56">
        <f t="shared" si="44"/>
        <v>184.38253713060504</v>
      </c>
      <c r="AA199" s="56">
        <f t="shared" si="56"/>
        <v>324.48855601318064</v>
      </c>
      <c r="AB199" s="56">
        <v>0</v>
      </c>
      <c r="AC199" s="56">
        <f t="shared" si="45"/>
        <v>0</v>
      </c>
      <c r="AE199" s="56">
        <v>0</v>
      </c>
      <c r="AF199" s="56">
        <f t="shared" si="46"/>
        <v>0</v>
      </c>
      <c r="AG199" s="56">
        <f t="shared" si="47"/>
        <v>0</v>
      </c>
      <c r="AI199" s="56">
        <f t="shared" si="48"/>
        <v>0</v>
      </c>
      <c r="AJ199" s="56">
        <f t="shared" si="49"/>
        <v>0</v>
      </c>
      <c r="AK199" s="56">
        <f t="shared" si="50"/>
        <v>0</v>
      </c>
      <c r="AM199" s="56">
        <f t="shared" si="51"/>
        <v>138703</v>
      </c>
      <c r="AN199" s="56">
        <f t="shared" si="52"/>
        <v>18893</v>
      </c>
      <c r="AO199" s="56">
        <f t="shared" si="53"/>
        <v>27091</v>
      </c>
      <c r="AP199" s="56"/>
      <c r="AQ199" s="56">
        <f t="shared" si="54"/>
        <v>184687</v>
      </c>
      <c r="AR199" s="1"/>
      <c r="AS199" s="56">
        <v>992.64091047789032</v>
      </c>
      <c r="AT199" s="56">
        <v>135.20951040466883</v>
      </c>
      <c r="AU199" s="56">
        <v>193.87925932212372</v>
      </c>
      <c r="AV199" s="56"/>
      <c r="AW199" s="56">
        <v>1321.7296802046828</v>
      </c>
      <c r="AX199" s="1"/>
      <c r="AY199" s="16">
        <v>-3.5033429306641439E-2</v>
      </c>
      <c r="AZ199" s="16">
        <v>2.4663197177798857E-2</v>
      </c>
      <c r="BA199" s="16">
        <v>-1.3447480248067634E-2</v>
      </c>
      <c r="BB199" s="16">
        <f t="shared" si="55"/>
        <v>-2.6103442389561526E-2</v>
      </c>
      <c r="BC199" s="16"/>
      <c r="BD199" s="1"/>
      <c r="BE199" s="16">
        <f>AM199/'2017-18 disagg'!AM199-1</f>
        <v>2.22577625789524E-2</v>
      </c>
      <c r="BF199" s="16">
        <f>AN199/'2017-18 disagg'!AN199-1</f>
        <v>1.9314809819260814E-2</v>
      </c>
      <c r="BG199" s="16">
        <f>AO199/'2017-18 disagg'!AO199-1</f>
        <v>4.1360753411493478E-2</v>
      </c>
      <c r="BH199" s="16">
        <f>AQ199/'2017-18 disagg'!AQ199-1</f>
        <v>2.4712455543657308E-2</v>
      </c>
      <c r="BI199" s="1"/>
      <c r="BJ199" s="16">
        <f>AS199/'2017-18 disagg'!AS199-1</f>
        <v>1.8267645974383351E-2</v>
      </c>
      <c r="BK199" s="16">
        <f>AT199/'2017-18 disagg'!AT199-1</f>
        <v>1.5336180263362698E-2</v>
      </c>
      <c r="BL199" s="16">
        <f>AU199/'2017-18 disagg'!AU199-1</f>
        <v>3.7296073263649809E-2</v>
      </c>
      <c r="BM199" s="16">
        <f>AW199/'2017-18 disagg'!AW199-1</f>
        <v>2.0712757685204863E-2</v>
      </c>
    </row>
    <row r="200" spans="1:65" x14ac:dyDescent="0.2">
      <c r="A200" s="156" t="s">
        <v>445</v>
      </c>
      <c r="B200" s="156" t="s">
        <v>446</v>
      </c>
      <c r="D200" s="56">
        <f>VLOOKUP(A200,'2018-19'!$A$12:$AMX408,32,FALSE)</f>
        <v>446487</v>
      </c>
      <c r="E200" s="56">
        <v>1595.6664212512178</v>
      </c>
      <c r="F200" s="16">
        <f>VLOOKUP(A200,'2018-19'!$A$12:$AMX408,34,FALSE)</f>
        <v>2.5221410644702846E-2</v>
      </c>
      <c r="G200" s="16">
        <f>VLOOKUP(A200,'2018-19'!$A$12:$AMX408,35,FALSE)</f>
        <v>1.9161937610351565E-2</v>
      </c>
      <c r="H200" s="56"/>
      <c r="I200" s="56">
        <v>452372.40027181507</v>
      </c>
      <c r="J200" s="56">
        <v>1616.6998121211827</v>
      </c>
      <c r="K200" s="16">
        <f t="shared" si="57"/>
        <v>-1.3010078130935354E-2</v>
      </c>
      <c r="L200" s="58">
        <f t="shared" si="57"/>
        <v>-1.3010078130935243E-2</v>
      </c>
      <c r="M200" s="10"/>
      <c r="N200" s="56">
        <v>327939</v>
      </c>
      <c r="O200" s="56">
        <v>35695</v>
      </c>
      <c r="P200" s="56">
        <v>82853</v>
      </c>
      <c r="R200" s="56">
        <f t="shared" si="41"/>
        <v>82853</v>
      </c>
      <c r="S200" s="56">
        <f t="shared" si="42"/>
        <v>0</v>
      </c>
      <c r="U200" s="16">
        <v>-4.7192424621455231E-2</v>
      </c>
      <c r="V200" s="16">
        <v>-4.8758014250486315E-2</v>
      </c>
      <c r="W200" s="56">
        <f t="shared" si="43"/>
        <v>4</v>
      </c>
      <c r="X200" s="56">
        <f t="shared" si="44"/>
        <v>3441.8177234759264</v>
      </c>
      <c r="Y200" s="56">
        <f t="shared" si="44"/>
        <v>375.24626262028141</v>
      </c>
      <c r="AA200" s="56">
        <f t="shared" si="56"/>
        <v>0</v>
      </c>
      <c r="AB200" s="56">
        <v>0</v>
      </c>
      <c r="AC200" s="56">
        <f t="shared" si="45"/>
        <v>0</v>
      </c>
      <c r="AE200" s="56">
        <v>0</v>
      </c>
      <c r="AF200" s="56">
        <f t="shared" si="46"/>
        <v>0</v>
      </c>
      <c r="AG200" s="56">
        <f t="shared" si="47"/>
        <v>0</v>
      </c>
      <c r="AI200" s="56">
        <f t="shared" si="48"/>
        <v>0</v>
      </c>
      <c r="AJ200" s="56">
        <f t="shared" si="49"/>
        <v>0</v>
      </c>
      <c r="AK200" s="56">
        <f t="shared" si="50"/>
        <v>0</v>
      </c>
      <c r="AM200" s="56">
        <f t="shared" si="51"/>
        <v>327939</v>
      </c>
      <c r="AN200" s="56">
        <f t="shared" si="52"/>
        <v>35695</v>
      </c>
      <c r="AO200" s="56">
        <f t="shared" si="53"/>
        <v>82853</v>
      </c>
      <c r="AP200" s="56"/>
      <c r="AQ200" s="56">
        <f t="shared" si="54"/>
        <v>446487</v>
      </c>
      <c r="AR200" s="1"/>
      <c r="AS200" s="56">
        <v>1171.996610245546</v>
      </c>
      <c r="AT200" s="56">
        <v>127.56768485210593</v>
      </c>
      <c r="AU200" s="56">
        <v>296.10212615356585</v>
      </c>
      <c r="AV200" s="56"/>
      <c r="AW200" s="56">
        <v>1595.6664212512178</v>
      </c>
      <c r="AX200" s="1"/>
      <c r="AY200" s="16">
        <v>-4.7192424621455231E-2</v>
      </c>
      <c r="AZ200" s="16">
        <v>-4.8758014250486315E-2</v>
      </c>
      <c r="BA200" s="16">
        <v>0.17245914656475603</v>
      </c>
      <c r="BB200" s="16">
        <f t="shared" si="55"/>
        <v>-1.3010078130935354E-2</v>
      </c>
      <c r="BC200" s="16"/>
      <c r="BD200" s="1"/>
      <c r="BE200" s="16">
        <f>AM200/'2017-18 disagg'!AM200-1</f>
        <v>1.9869382677655034E-2</v>
      </c>
      <c r="BF200" s="16">
        <f>AN200/'2017-18 disagg'!AN200-1</f>
        <v>3.3110474371219389E-2</v>
      </c>
      <c r="BG200" s="16">
        <f>AO200/'2017-18 disagg'!AO200-1</f>
        <v>4.3462381300219066E-2</v>
      </c>
      <c r="BH200" s="16">
        <f>AQ200/'2017-18 disagg'!AQ200-1</f>
        <v>2.5221410644702846E-2</v>
      </c>
      <c r="BI200" s="1"/>
      <c r="BJ200" s="16">
        <f>AS200/'2017-18 disagg'!AS200-1</f>
        <v>1.3841542292416298E-2</v>
      </c>
      <c r="BK200" s="16">
        <f>AT200/'2017-18 disagg'!AT200-1</f>
        <v>2.7004373780692648E-2</v>
      </c>
      <c r="BL200" s="16">
        <f>AU200/'2017-18 disagg'!AU200-1</f>
        <v>3.7295096754461854E-2</v>
      </c>
      <c r="BM200" s="16">
        <f>AW200/'2017-18 disagg'!AW200-1</f>
        <v>1.9161937610351565E-2</v>
      </c>
    </row>
    <row r="201" spans="1:65" x14ac:dyDescent="0.2">
      <c r="A201" s="156" t="s">
        <v>447</v>
      </c>
      <c r="B201" s="156" t="s">
        <v>448</v>
      </c>
      <c r="D201" s="56">
        <f>VLOOKUP(A201,'2018-19'!$A$12:$AMX409,32,FALSE)</f>
        <v>487921.346561816</v>
      </c>
      <c r="E201" s="56">
        <v>1569.1057119009402</v>
      </c>
      <c r="F201" s="16">
        <f>VLOOKUP(A201,'2018-19'!$A$12:$AMX409,34,FALSE)</f>
        <v>2.8725348382587335E-2</v>
      </c>
      <c r="G201" s="16">
        <f>VLOOKUP(A201,'2018-19'!$A$12:$AMX409,35,FALSE)</f>
        <v>1.9664115474244959E-2</v>
      </c>
      <c r="H201" s="56"/>
      <c r="I201" s="56">
        <v>499866.78963750578</v>
      </c>
      <c r="J201" s="56">
        <v>1607.5210489082906</v>
      </c>
      <c r="K201" s="16">
        <f t="shared" si="57"/>
        <v>-2.38972528748157E-2</v>
      </c>
      <c r="L201" s="58">
        <f t="shared" si="57"/>
        <v>-2.38972528748157E-2</v>
      </c>
      <c r="M201" s="10"/>
      <c r="N201" s="56">
        <v>362145</v>
      </c>
      <c r="O201" s="56">
        <v>36938</v>
      </c>
      <c r="P201" s="56">
        <v>87343</v>
      </c>
      <c r="R201" s="56">
        <f t="shared" si="41"/>
        <v>87343</v>
      </c>
      <c r="S201" s="56">
        <f t="shared" si="42"/>
        <v>1495.3465618159971</v>
      </c>
      <c r="U201" s="16">
        <v>-2.880521144256154E-2</v>
      </c>
      <c r="V201" s="16">
        <v>-4.7982411761117283E-2</v>
      </c>
      <c r="W201" s="56">
        <f t="shared" si="43"/>
        <v>4</v>
      </c>
      <c r="X201" s="56">
        <f t="shared" si="44"/>
        <v>3728.8606185573863</v>
      </c>
      <c r="Y201" s="56">
        <f t="shared" si="44"/>
        <v>387.99703341963277</v>
      </c>
      <c r="AA201" s="56">
        <f t="shared" si="56"/>
        <v>0</v>
      </c>
      <c r="AB201" s="56">
        <v>0</v>
      </c>
      <c r="AC201" s="56">
        <f t="shared" si="45"/>
        <v>1495.3465618159971</v>
      </c>
      <c r="AE201" s="56">
        <v>0</v>
      </c>
      <c r="AF201" s="56">
        <f t="shared" si="46"/>
        <v>0</v>
      </c>
      <c r="AG201" s="56">
        <f t="shared" si="47"/>
        <v>1495.3465618159971</v>
      </c>
      <c r="AI201" s="56">
        <f t="shared" si="48"/>
        <v>1354.4162506500929</v>
      </c>
      <c r="AJ201" s="56">
        <f t="shared" si="49"/>
        <v>140.93031116590402</v>
      </c>
      <c r="AK201" s="56">
        <f t="shared" si="50"/>
        <v>0</v>
      </c>
      <c r="AM201" s="56">
        <f t="shared" si="51"/>
        <v>363499</v>
      </c>
      <c r="AN201" s="56">
        <f t="shared" si="52"/>
        <v>37079</v>
      </c>
      <c r="AO201" s="56">
        <f t="shared" si="53"/>
        <v>87343</v>
      </c>
      <c r="AP201" s="56"/>
      <c r="AQ201" s="56">
        <f t="shared" si="54"/>
        <v>487921</v>
      </c>
      <c r="AR201" s="1"/>
      <c r="AS201" s="56">
        <v>1168.9760269548249</v>
      </c>
      <c r="AT201" s="56">
        <v>119.24231456883774</v>
      </c>
      <c r="AU201" s="56">
        <v>280.88625586952173</v>
      </c>
      <c r="AV201" s="56"/>
      <c r="AW201" s="56">
        <v>1569.1045973931843</v>
      </c>
      <c r="AX201" s="1"/>
      <c r="AY201" s="16">
        <v>-2.5174075450882016E-2</v>
      </c>
      <c r="AZ201" s="16">
        <v>-4.434836335725989E-2</v>
      </c>
      <c r="BA201" s="16">
        <v>-9.5034554784051428E-3</v>
      </c>
      <c r="BB201" s="16">
        <f t="shared" si="55"/>
        <v>-2.3897946183159435E-2</v>
      </c>
      <c r="BC201" s="16"/>
      <c r="BD201" s="1"/>
      <c r="BE201" s="16">
        <f>AM201/'2017-18 disagg'!AM201-1</f>
        <v>2.482999334633984E-2</v>
      </c>
      <c r="BF201" s="16">
        <f>AN201/'2017-18 disagg'!AN201-1</f>
        <v>2.5868747233289024E-2</v>
      </c>
      <c r="BG201" s="16">
        <f>AO201/'2017-18 disagg'!AO201-1</f>
        <v>4.6512742478522995E-2</v>
      </c>
      <c r="BH201" s="16">
        <f>AQ201/'2017-18 disagg'!AQ201-1</f>
        <v>2.8724617697349908E-2</v>
      </c>
      <c r="BI201" s="1"/>
      <c r="BJ201" s="16">
        <f>AS201/'2017-18 disagg'!AS201-1</f>
        <v>1.5803071558356141E-2</v>
      </c>
      <c r="BK201" s="16">
        <f>AT201/'2017-18 disagg'!AT201-1</f>
        <v>1.6832675878884151E-2</v>
      </c>
      <c r="BL201" s="16">
        <f>AU201/'2017-18 disagg'!AU201-1</f>
        <v>3.7294834398339249E-2</v>
      </c>
      <c r="BM201" s="16">
        <f>AW201/'2017-18 disagg'!AW201-1</f>
        <v>1.9663391225039684E-2</v>
      </c>
    </row>
    <row r="202" spans="1:65" x14ac:dyDescent="0.2">
      <c r="A202" s="156" t="s">
        <v>449</v>
      </c>
      <c r="B202" s="156" t="s">
        <v>450</v>
      </c>
      <c r="D202" s="56">
        <f>VLOOKUP(A202,'2018-19'!$A$12:$AMX410,32,FALSE)</f>
        <v>154846</v>
      </c>
      <c r="E202" s="56">
        <v>1609.2911846944032</v>
      </c>
      <c r="F202" s="16">
        <f>VLOOKUP(A202,'2018-19'!$A$12:$AMX410,34,FALSE)</f>
        <v>2.4594882517584349E-2</v>
      </c>
      <c r="G202" s="16">
        <f>VLOOKUP(A202,'2018-19'!$A$12:$AMX410,35,FALSE)</f>
        <v>1.952706415876504E-2</v>
      </c>
      <c r="H202" s="56"/>
      <c r="I202" s="56">
        <v>156573.32196616344</v>
      </c>
      <c r="J202" s="56">
        <v>1627.2429820496841</v>
      </c>
      <c r="K202" s="16">
        <f t="shared" si="57"/>
        <v>-1.1032032433575867E-2</v>
      </c>
      <c r="L202" s="58">
        <f t="shared" si="57"/>
        <v>-1.1032032433575867E-2</v>
      </c>
      <c r="M202" s="10"/>
      <c r="N202" s="56">
        <v>117652</v>
      </c>
      <c r="O202" s="56">
        <v>11365</v>
      </c>
      <c r="P202" s="56">
        <v>25829</v>
      </c>
      <c r="R202" s="56">
        <f t="shared" si="41"/>
        <v>25829</v>
      </c>
      <c r="S202" s="56">
        <f t="shared" si="42"/>
        <v>0</v>
      </c>
      <c r="U202" s="16">
        <v>-4.9277761724586533E-3</v>
      </c>
      <c r="V202" s="16">
        <v>-4.8895358945185041E-2</v>
      </c>
      <c r="W202" s="56">
        <f t="shared" si="43"/>
        <v>4</v>
      </c>
      <c r="X202" s="56">
        <f t="shared" si="44"/>
        <v>1182.3463381125448</v>
      </c>
      <c r="Y202" s="56">
        <f t="shared" si="44"/>
        <v>119.49263529400655</v>
      </c>
      <c r="AA202" s="56">
        <f t="shared" si="56"/>
        <v>0</v>
      </c>
      <c r="AB202" s="56">
        <v>0</v>
      </c>
      <c r="AC202" s="56">
        <f t="shared" si="45"/>
        <v>0</v>
      </c>
      <c r="AE202" s="56">
        <v>0</v>
      </c>
      <c r="AF202" s="56">
        <f t="shared" si="46"/>
        <v>0</v>
      </c>
      <c r="AG202" s="56">
        <f t="shared" si="47"/>
        <v>0</v>
      </c>
      <c r="AI202" s="56">
        <f t="shared" si="48"/>
        <v>0</v>
      </c>
      <c r="AJ202" s="56">
        <f t="shared" si="49"/>
        <v>0</v>
      </c>
      <c r="AK202" s="56">
        <f t="shared" si="50"/>
        <v>0</v>
      </c>
      <c r="AM202" s="56">
        <f t="shared" si="51"/>
        <v>117652</v>
      </c>
      <c r="AN202" s="56">
        <f t="shared" si="52"/>
        <v>11365</v>
      </c>
      <c r="AO202" s="56">
        <f t="shared" si="53"/>
        <v>25829</v>
      </c>
      <c r="AP202" s="56"/>
      <c r="AQ202" s="56">
        <f t="shared" si="54"/>
        <v>154846</v>
      </c>
      <c r="AR202" s="1"/>
      <c r="AS202" s="56">
        <v>1222.7395377450237</v>
      </c>
      <c r="AT202" s="56">
        <v>118.11473537612785</v>
      </c>
      <c r="AU202" s="56">
        <v>268.43691157325173</v>
      </c>
      <c r="AV202" s="56"/>
      <c r="AW202" s="56">
        <v>1609.2911846944032</v>
      </c>
      <c r="AX202" s="1"/>
      <c r="AY202" s="16">
        <v>-4.9277761724586533E-3</v>
      </c>
      <c r="AZ202" s="16">
        <v>-4.8895358945185041E-2</v>
      </c>
      <c r="BA202" s="16">
        <v>-2.1236712564267402E-2</v>
      </c>
      <c r="BB202" s="16">
        <f t="shared" si="55"/>
        <v>-1.1032032433575867E-2</v>
      </c>
      <c r="BC202" s="16"/>
      <c r="BD202" s="1"/>
      <c r="BE202" s="16">
        <f>AM202/'2017-18 disagg'!AM202-1</f>
        <v>1.9868238557559037E-2</v>
      </c>
      <c r="BF202" s="16">
        <f>AN202/'2017-18 disagg'!AN202-1</f>
        <v>3.3933770014556108E-2</v>
      </c>
      <c r="BG202" s="16">
        <f>AO202/'2017-18 disagg'!AO202-1</f>
        <v>4.2458731888444845E-2</v>
      </c>
      <c r="BH202" s="16">
        <f>AQ202/'2017-18 disagg'!AQ202-1</f>
        <v>2.4594882517584349E-2</v>
      </c>
      <c r="BI202" s="1"/>
      <c r="BJ202" s="16">
        <f>AS202/'2017-18 disagg'!AS202-1</f>
        <v>1.4823798973555791E-2</v>
      </c>
      <c r="BK202" s="16">
        <f>AT202/'2017-18 disagg'!AT202-1</f>
        <v>2.8819759949809232E-2</v>
      </c>
      <c r="BL202" s="16">
        <f>AU202/'2017-18 disagg'!AU202-1</f>
        <v>3.7302555930592396E-2</v>
      </c>
      <c r="BM202" s="16">
        <f>AW202/'2017-18 disagg'!AW202-1</f>
        <v>1.952706415876504E-2</v>
      </c>
    </row>
    <row r="203" spans="1:65" x14ac:dyDescent="0.2">
      <c r="A203" s="156" t="s">
        <v>451</v>
      </c>
      <c r="B203" s="156" t="s">
        <v>452</v>
      </c>
      <c r="D203" s="56">
        <f>VLOOKUP(A203,'2018-19'!$A$12:$AMX411,32,FALSE)</f>
        <v>188718.81464713014</v>
      </c>
      <c r="E203" s="56">
        <v>1669.7880285052386</v>
      </c>
      <c r="F203" s="16">
        <f>VLOOKUP(A203,'2018-19'!$A$12:$AMX411,34,FALSE)</f>
        <v>3.0428262954856455E-2</v>
      </c>
      <c r="G203" s="16">
        <f>VLOOKUP(A203,'2018-19'!$A$12:$AMX411,35,FALSE)</f>
        <v>1.908562088572241E-2</v>
      </c>
      <c r="H203" s="56"/>
      <c r="I203" s="56">
        <v>192968.61411885111</v>
      </c>
      <c r="J203" s="56">
        <v>1707.3903433284652</v>
      </c>
      <c r="K203" s="16">
        <f t="shared" si="57"/>
        <v>-2.2023267831023929E-2</v>
      </c>
      <c r="L203" s="58">
        <f t="shared" si="57"/>
        <v>-2.2023267831023929E-2</v>
      </c>
      <c r="M203" s="10"/>
      <c r="N203" s="56">
        <v>145327</v>
      </c>
      <c r="O203" s="56">
        <v>14856</v>
      </c>
      <c r="P203" s="56">
        <v>27908</v>
      </c>
      <c r="R203" s="56">
        <f t="shared" si="41"/>
        <v>27908</v>
      </c>
      <c r="S203" s="56">
        <f t="shared" si="42"/>
        <v>627.81464713014429</v>
      </c>
      <c r="U203" s="16">
        <v>-1.2772561735513333E-2</v>
      </c>
      <c r="V203" s="16">
        <v>-1.0781507371050658E-2</v>
      </c>
      <c r="W203" s="56">
        <f t="shared" si="43"/>
        <v>4</v>
      </c>
      <c r="X203" s="56">
        <f t="shared" si="44"/>
        <v>1472.0721321874935</v>
      </c>
      <c r="Y203" s="56">
        <f t="shared" si="44"/>
        <v>150.17915769567409</v>
      </c>
      <c r="AA203" s="56">
        <f t="shared" si="56"/>
        <v>0</v>
      </c>
      <c r="AB203" s="56">
        <v>0</v>
      </c>
      <c r="AC203" s="56">
        <f t="shared" si="45"/>
        <v>627.81464713014429</v>
      </c>
      <c r="AE203" s="56">
        <v>0</v>
      </c>
      <c r="AF203" s="56">
        <f t="shared" si="46"/>
        <v>0</v>
      </c>
      <c r="AG203" s="56">
        <f t="shared" si="47"/>
        <v>627.81464713014429</v>
      </c>
      <c r="AI203" s="56">
        <f t="shared" si="48"/>
        <v>569.69499853870923</v>
      </c>
      <c r="AJ203" s="56">
        <f t="shared" si="49"/>
        <v>58.119648591435045</v>
      </c>
      <c r="AK203" s="56">
        <f t="shared" si="50"/>
        <v>0</v>
      </c>
      <c r="AM203" s="56">
        <f t="shared" si="51"/>
        <v>145897</v>
      </c>
      <c r="AN203" s="56">
        <f t="shared" si="52"/>
        <v>14914</v>
      </c>
      <c r="AO203" s="56">
        <f t="shared" si="53"/>
        <v>27908</v>
      </c>
      <c r="AP203" s="56"/>
      <c r="AQ203" s="56">
        <f t="shared" si="54"/>
        <v>188719</v>
      </c>
      <c r="AR203" s="1"/>
      <c r="AS203" s="56">
        <v>1290.8997147441203</v>
      </c>
      <c r="AT203" s="56">
        <v>131.95938467339155</v>
      </c>
      <c r="AU203" s="56">
        <v>246.93056909380527</v>
      </c>
      <c r="AV203" s="56"/>
      <c r="AW203" s="56">
        <v>1669.7896685113171</v>
      </c>
      <c r="AX203" s="1"/>
      <c r="AY203" s="16">
        <v>-8.9004688703833157E-3</v>
      </c>
      <c r="AZ203" s="16">
        <v>-6.9194534822193399E-3</v>
      </c>
      <c r="BA203" s="16">
        <v>-9.2230439018058274E-2</v>
      </c>
      <c r="BB203" s="16">
        <f t="shared" si="55"/>
        <v>-2.2022307297256849E-2</v>
      </c>
      <c r="BC203" s="16"/>
      <c r="BD203" s="1"/>
      <c r="BE203" s="16">
        <f>AM203/'2017-18 disagg'!AM203-1</f>
        <v>2.729897197577813E-2</v>
      </c>
      <c r="BF203" s="16">
        <f>AN203/'2017-18 disagg'!AN203-1</f>
        <v>2.7276484364237463E-2</v>
      </c>
      <c r="BG203" s="16">
        <f>AO203/'2017-18 disagg'!AO203-1</f>
        <v>4.8857486470234468E-2</v>
      </c>
      <c r="BH203" s="16">
        <f>AQ203/'2017-18 disagg'!AQ203-1</f>
        <v>3.0429275004641099E-2</v>
      </c>
      <c r="BI203" s="1"/>
      <c r="BJ203" s="16">
        <f>AS203/'2017-18 disagg'!AS203-1</f>
        <v>1.599077619347633E-2</v>
      </c>
      <c r="BK203" s="16">
        <f>AT203/'2017-18 disagg'!AT203-1</f>
        <v>1.5968536118749155E-2</v>
      </c>
      <c r="BL203" s="16">
        <f>AU203/'2017-18 disagg'!AU203-1</f>
        <v>3.7311981093229418E-2</v>
      </c>
      <c r="BM203" s="16">
        <f>AW203/'2017-18 disagg'!AW203-1</f>
        <v>1.9086621795169734E-2</v>
      </c>
    </row>
    <row r="204" spans="1:65" x14ac:dyDescent="0.2">
      <c r="A204" s="156" t="s">
        <v>453</v>
      </c>
      <c r="B204" s="156" t="s">
        <v>454</v>
      </c>
      <c r="D204" s="56">
        <f>VLOOKUP(A204,'2018-19'!$A$12:$AMX412,32,FALSE)</f>
        <v>280702</v>
      </c>
      <c r="E204" s="56">
        <v>1904.0884644029697</v>
      </c>
      <c r="F204" s="16">
        <f>VLOOKUP(A204,'2018-19'!$A$12:$AMX412,34,FALSE)</f>
        <v>2.6355239968701261E-2</v>
      </c>
      <c r="G204" s="16">
        <f>VLOOKUP(A204,'2018-19'!$A$12:$AMX412,35,FALSE)</f>
        <v>1.7514160099790788E-2</v>
      </c>
      <c r="H204" s="56"/>
      <c r="I204" s="56">
        <v>281037.76893047249</v>
      </c>
      <c r="J204" s="56">
        <v>1906.3660888845111</v>
      </c>
      <c r="K204" s="16">
        <f t="shared" si="57"/>
        <v>-1.1947466411732499E-3</v>
      </c>
      <c r="L204" s="58">
        <f t="shared" si="57"/>
        <v>-1.1947466411732499E-3</v>
      </c>
      <c r="M204" s="10"/>
      <c r="N204" s="56">
        <v>213707</v>
      </c>
      <c r="O204" s="56">
        <v>22023</v>
      </c>
      <c r="P204" s="56">
        <v>44972</v>
      </c>
      <c r="R204" s="56">
        <f t="shared" si="41"/>
        <v>44972</v>
      </c>
      <c r="S204" s="56">
        <f t="shared" si="42"/>
        <v>0</v>
      </c>
      <c r="U204" s="16">
        <v>6.4443334418644582E-3</v>
      </c>
      <c r="V204" s="16">
        <v>-4.9075480631388113E-2</v>
      </c>
      <c r="W204" s="56">
        <f t="shared" si="43"/>
        <v>3</v>
      </c>
      <c r="X204" s="56">
        <f t="shared" si="44"/>
        <v>2123.3861913570449</v>
      </c>
      <c r="Y204" s="56">
        <f t="shared" si="44"/>
        <v>231.59566875636642</v>
      </c>
      <c r="AA204" s="56">
        <f t="shared" si="56"/>
        <v>0</v>
      </c>
      <c r="AB204" s="56">
        <v>0</v>
      </c>
      <c r="AC204" s="56">
        <f t="shared" si="45"/>
        <v>0</v>
      </c>
      <c r="AE204" s="56">
        <v>0</v>
      </c>
      <c r="AF204" s="56">
        <f t="shared" si="46"/>
        <v>0</v>
      </c>
      <c r="AG204" s="56">
        <f t="shared" si="47"/>
        <v>0</v>
      </c>
      <c r="AI204" s="56">
        <f t="shared" si="48"/>
        <v>0</v>
      </c>
      <c r="AJ204" s="56">
        <f t="shared" si="49"/>
        <v>0</v>
      </c>
      <c r="AK204" s="56">
        <f t="shared" si="50"/>
        <v>0</v>
      </c>
      <c r="AM204" s="56">
        <f t="shared" si="51"/>
        <v>213707</v>
      </c>
      <c r="AN204" s="56">
        <f t="shared" si="52"/>
        <v>22023</v>
      </c>
      <c r="AO204" s="56">
        <f t="shared" si="53"/>
        <v>44972</v>
      </c>
      <c r="AP204" s="56"/>
      <c r="AQ204" s="56">
        <f t="shared" si="54"/>
        <v>280702</v>
      </c>
      <c r="AR204" s="1"/>
      <c r="AS204" s="56">
        <v>1449.640663273384</v>
      </c>
      <c r="AT204" s="56">
        <v>149.38881893091821</v>
      </c>
      <c r="AU204" s="56">
        <v>305.05898219866748</v>
      </c>
      <c r="AV204" s="56"/>
      <c r="AW204" s="56">
        <v>1904.0884644029697</v>
      </c>
      <c r="AX204" s="1"/>
      <c r="AY204" s="16">
        <v>6.4443334418644582E-3</v>
      </c>
      <c r="AZ204" s="16">
        <v>-4.9075480631388113E-2</v>
      </c>
      <c r="BA204" s="16">
        <v>-1.2463507189763079E-2</v>
      </c>
      <c r="BB204" s="16">
        <f t="shared" si="55"/>
        <v>-1.1947466411732499E-3</v>
      </c>
      <c r="BC204" s="16"/>
      <c r="BD204" s="1"/>
      <c r="BE204" s="16">
        <f>AM204/'2017-18 disagg'!AM204-1</f>
        <v>2.0812037258180149E-2</v>
      </c>
      <c r="BF204" s="16">
        <f>AN204/'2017-18 disagg'!AN204-1</f>
        <v>4.0636960733355432E-2</v>
      </c>
      <c r="BG204" s="16">
        <f>AO204/'2017-18 disagg'!AO204-1</f>
        <v>4.6322793792606065E-2</v>
      </c>
      <c r="BH204" s="16">
        <f>AQ204/'2017-18 disagg'!AQ204-1</f>
        <v>2.6355239968701261E-2</v>
      </c>
      <c r="BI204" s="1"/>
      <c r="BJ204" s="16">
        <f>AS204/'2017-18 disagg'!AS204-1</f>
        <v>1.2018706838957671E-2</v>
      </c>
      <c r="BK204" s="16">
        <f>AT204/'2017-18 disagg'!AT204-1</f>
        <v>3.1672857344879013E-2</v>
      </c>
      <c r="BL204" s="16">
        <f>AU204/'2017-18 disagg'!AU204-1</f>
        <v>3.7309712328858602E-2</v>
      </c>
      <c r="BM204" s="16">
        <f>AW204/'2017-18 disagg'!AW204-1</f>
        <v>1.7514160099790788E-2</v>
      </c>
    </row>
    <row r="205" spans="1:65" x14ac:dyDescent="0.2">
      <c r="A205" s="156" t="s">
        <v>455</v>
      </c>
      <c r="B205" s="156" t="s">
        <v>456</v>
      </c>
      <c r="D205" s="56">
        <f>VLOOKUP(A205,'2018-19'!$A$12:$AMX413,32,FALSE)</f>
        <v>895189</v>
      </c>
      <c r="E205" s="56">
        <v>1589.446090029754</v>
      </c>
      <c r="F205" s="16">
        <f>VLOOKUP(A205,'2018-19'!$A$12:$AMX413,34,FALSE)</f>
        <v>2.3956671184850897E-2</v>
      </c>
      <c r="G205" s="16">
        <f>VLOOKUP(A205,'2018-19'!$A$12:$AMX413,35,FALSE)</f>
        <v>1.709428253420886E-2</v>
      </c>
      <c r="H205" s="56"/>
      <c r="I205" s="56">
        <v>905866.27447055012</v>
      </c>
      <c r="J205" s="56">
        <v>1608.4040443381632</v>
      </c>
      <c r="K205" s="16">
        <f t="shared" si="57"/>
        <v>-1.1786810891917354E-2</v>
      </c>
      <c r="L205" s="58">
        <f t="shared" si="57"/>
        <v>-1.1786810891917465E-2</v>
      </c>
      <c r="M205" s="10"/>
      <c r="N205" s="56">
        <v>669582</v>
      </c>
      <c r="O205" s="56">
        <v>71146</v>
      </c>
      <c r="P205" s="56">
        <v>154461</v>
      </c>
      <c r="R205" s="56">
        <f t="shared" ref="R205:R220" si="58">ROUND(P205,0)</f>
        <v>154461</v>
      </c>
      <c r="S205" s="56">
        <f t="shared" ref="S205:S220" si="59">D205-SUM(N205:P205)</f>
        <v>0</v>
      </c>
      <c r="U205" s="16">
        <v>-4.7234968308290992E-2</v>
      </c>
      <c r="V205" s="16">
        <v>9.9676750959329929E-3</v>
      </c>
      <c r="W205" s="56">
        <f t="shared" ref="W205:W220" si="60">IF(AND(U205&lt;0,V205&gt;0),1,IF(AND(U205&gt;0,V205&gt;0),2,IF(AND(U205&gt;0,V205&lt;0),3,IF(AND(U205&lt;0,V205&lt;0),4,5))))</f>
        <v>1</v>
      </c>
      <c r="X205" s="56">
        <f t="shared" ref="X205:Y220" si="61">N205/(1+U205)/100</f>
        <v>7027.7768151409236</v>
      </c>
      <c r="Y205" s="56">
        <f t="shared" si="61"/>
        <v>704.43838703295251</v>
      </c>
      <c r="AA205" s="56">
        <f t="shared" si="56"/>
        <v>0</v>
      </c>
      <c r="AB205" s="56">
        <v>0</v>
      </c>
      <c r="AC205" s="56">
        <f t="shared" ref="AC205:AC220" si="62">S205-AA205-AB205</f>
        <v>0</v>
      </c>
      <c r="AE205" s="56">
        <v>0</v>
      </c>
      <c r="AF205" s="56">
        <f t="shared" ref="AF205:AF220" si="63">IF(W205=3,MIN(S205,-1*V205*O205),0)</f>
        <v>0</v>
      </c>
      <c r="AG205" s="56">
        <f t="shared" ref="AG205:AG219" si="64">AC205-AE205-AF205</f>
        <v>0</v>
      </c>
      <c r="AI205" s="56">
        <f t="shared" ref="AI205:AI220" si="65">AG205*X205/(X205+Y205)</f>
        <v>0</v>
      </c>
      <c r="AJ205" s="56">
        <f t="shared" ref="AJ205:AJ220" si="66">AG205*Y205/(X205+Y205)</f>
        <v>0</v>
      </c>
      <c r="AK205" s="56">
        <f t="shared" ref="AK205:AK220" si="67">S205-SUM(AA205:AB205)-SUM(AE205:AF205)-SUM(AI205:AJ205)</f>
        <v>0</v>
      </c>
      <c r="AM205" s="56">
        <f t="shared" ref="AM205:AM220" si="68">ROUND(N205+AA205+AE205+AI205,0)</f>
        <v>669582</v>
      </c>
      <c r="AN205" s="56">
        <f t="shared" ref="AN205:AN220" si="69">ROUND(O205+AB205+AF205+AJ205,0)</f>
        <v>71146</v>
      </c>
      <c r="AO205" s="56">
        <f t="shared" ref="AO205:AO220" si="70">R205</f>
        <v>154461</v>
      </c>
      <c r="AP205" s="56"/>
      <c r="AQ205" s="56">
        <f t="shared" ref="AQ205:AQ220" si="71">SUM(AM205:AP205)</f>
        <v>895189</v>
      </c>
      <c r="AR205" s="1"/>
      <c r="AS205" s="56">
        <v>1188.8712795334873</v>
      </c>
      <c r="AT205" s="56">
        <v>126.32274471788291</v>
      </c>
      <c r="AU205" s="56">
        <v>274.25206577838406</v>
      </c>
      <c r="AV205" s="56"/>
      <c r="AW205" s="56">
        <v>1589.446090029754</v>
      </c>
      <c r="AX205" s="1"/>
      <c r="AY205" s="16">
        <v>-4.7234968308290992E-2</v>
      </c>
      <c r="AZ205" s="16">
        <v>9.9676750959329929E-3</v>
      </c>
      <c r="BA205" s="16">
        <v>0.16447122895790911</v>
      </c>
      <c r="BB205" s="16">
        <f t="shared" ref="BB205:BB222" si="72">SUM(AM205:AO205)/I205-1</f>
        <v>-1.1786810891917354E-2</v>
      </c>
      <c r="BC205" s="16"/>
      <c r="BD205" s="1"/>
      <c r="BE205" s="16">
        <f>AM205/'2017-18 disagg'!AM205-1</f>
        <v>1.9869405684675767E-2</v>
      </c>
      <c r="BF205" s="16">
        <f>AN205/'2017-18 disagg'!AN205-1</f>
        <v>1.9298270748864699E-2</v>
      </c>
      <c r="BG205" s="16">
        <f>AO205/'2017-18 disagg'!AO205-1</f>
        <v>4.4297507251080059E-2</v>
      </c>
      <c r="BH205" s="16">
        <f>AQ205/'2017-18 disagg'!AQ205-1</f>
        <v>2.3956671184850897E-2</v>
      </c>
      <c r="BI205" s="1"/>
      <c r="BJ205" s="16">
        <f>AS205/'2017-18 disagg'!AS205-1</f>
        <v>1.303440921299015E-2</v>
      </c>
      <c r="BK205" s="16">
        <f>AT205/'2017-18 disagg'!AT205-1</f>
        <v>1.2467101929277469E-2</v>
      </c>
      <c r="BL205" s="16">
        <f>AU205/'2017-18 disagg'!AU205-1</f>
        <v>3.7298797673494866E-2</v>
      </c>
      <c r="BM205" s="16">
        <f>AW205/'2017-18 disagg'!AW205-1</f>
        <v>1.709428253420886E-2</v>
      </c>
    </row>
    <row r="206" spans="1:65" x14ac:dyDescent="0.2">
      <c r="A206" s="156" t="s">
        <v>457</v>
      </c>
      <c r="B206" s="156" t="s">
        <v>458</v>
      </c>
      <c r="D206" s="56">
        <f>VLOOKUP(A206,'2018-19'!$A$12:$AMX414,32,FALSE)</f>
        <v>760508.93660113402</v>
      </c>
      <c r="E206" s="56">
        <v>1550.4217742352293</v>
      </c>
      <c r="F206" s="16">
        <f>VLOOKUP(A206,'2018-19'!$A$12:$AMX414,34,FALSE)</f>
        <v>2.9541519752119605E-2</v>
      </c>
      <c r="G206" s="16">
        <f>VLOOKUP(A206,'2018-19'!$A$12:$AMX414,35,FALSE)</f>
        <v>1.9683739685517843E-2</v>
      </c>
      <c r="H206" s="56"/>
      <c r="I206" s="56">
        <v>779130.39370093006</v>
      </c>
      <c r="J206" s="56">
        <v>1588.3846582541096</v>
      </c>
      <c r="K206" s="16">
        <f t="shared" si="57"/>
        <v>-2.3900308921774527E-2</v>
      </c>
      <c r="L206" s="58">
        <f t="shared" si="57"/>
        <v>-2.3900308921774416E-2</v>
      </c>
      <c r="M206" s="10"/>
      <c r="N206" s="56">
        <v>567509</v>
      </c>
      <c r="O206" s="56">
        <v>60821</v>
      </c>
      <c r="P206" s="56">
        <v>129623</v>
      </c>
      <c r="R206" s="56">
        <f t="shared" si="58"/>
        <v>129623</v>
      </c>
      <c r="S206" s="56">
        <f t="shared" si="59"/>
        <v>2555.9366011340171</v>
      </c>
      <c r="U206" s="16">
        <v>-2.6133933947795396E-2</v>
      </c>
      <c r="V206" s="16">
        <v>2.7072589631047528E-3</v>
      </c>
      <c r="W206" s="56">
        <f t="shared" si="60"/>
        <v>1</v>
      </c>
      <c r="X206" s="56">
        <f t="shared" si="61"/>
        <v>5827.3824274474555</v>
      </c>
      <c r="Y206" s="56">
        <f t="shared" si="61"/>
        <v>606.56786371422834</v>
      </c>
      <c r="AA206" s="56">
        <f t="shared" ref="AA206:AA220" si="73">IF(W206=1,MIN(S206,-1*U206*N206),0)</f>
        <v>2555.9366011340171</v>
      </c>
      <c r="AB206" s="56">
        <v>0</v>
      </c>
      <c r="AC206" s="56">
        <f t="shared" si="62"/>
        <v>0</v>
      </c>
      <c r="AE206" s="56">
        <v>0</v>
      </c>
      <c r="AF206" s="56">
        <f t="shared" si="63"/>
        <v>0</v>
      </c>
      <c r="AG206" s="56">
        <f t="shared" si="64"/>
        <v>0</v>
      </c>
      <c r="AI206" s="56">
        <f t="shared" si="65"/>
        <v>0</v>
      </c>
      <c r="AJ206" s="56">
        <f t="shared" si="66"/>
        <v>0</v>
      </c>
      <c r="AK206" s="56">
        <f t="shared" si="67"/>
        <v>0</v>
      </c>
      <c r="AM206" s="56">
        <f t="shared" si="68"/>
        <v>570065</v>
      </c>
      <c r="AN206" s="56">
        <f t="shared" si="69"/>
        <v>60821</v>
      </c>
      <c r="AO206" s="56">
        <f t="shared" si="70"/>
        <v>129623</v>
      </c>
      <c r="AP206" s="56"/>
      <c r="AQ206" s="56">
        <f t="shared" si="71"/>
        <v>760509</v>
      </c>
      <c r="AR206" s="1"/>
      <c r="AS206" s="56">
        <v>1162.170680964603</v>
      </c>
      <c r="AT206" s="56">
        <v>123.99354983545406</v>
      </c>
      <c r="AU206" s="56">
        <v>264.25767268412329</v>
      </c>
      <c r="AV206" s="56"/>
      <c r="AW206" s="56">
        <v>1550.4219034841803</v>
      </c>
      <c r="AX206" s="1"/>
      <c r="AY206" s="16">
        <v>-2.174774506827204E-2</v>
      </c>
      <c r="AZ206" s="16">
        <v>2.7072589631047528E-3</v>
      </c>
      <c r="BA206" s="16">
        <v>-4.5031481688360797E-2</v>
      </c>
      <c r="BB206" s="16">
        <f t="shared" si="72"/>
        <v>-2.3900227550457842E-2</v>
      </c>
      <c r="BC206" s="16"/>
      <c r="BD206" s="1"/>
      <c r="BE206" s="16">
        <f>AM206/'2017-18 disagg'!AM206-1</f>
        <v>2.6406241278792431E-2</v>
      </c>
      <c r="BF206" s="16">
        <f>AN206/'2017-18 disagg'!AN206-1</f>
        <v>2.1806696571073259E-2</v>
      </c>
      <c r="BG206" s="16">
        <f>AO206/'2017-18 disagg'!AO206-1</f>
        <v>4.7331636569304836E-2</v>
      </c>
      <c r="BH206" s="16">
        <f>AQ206/'2017-18 disagg'!AQ206-1</f>
        <v>2.9541605578546903E-2</v>
      </c>
      <c r="BI206" s="1"/>
      <c r="BJ206" s="16">
        <f>AS206/'2017-18 disagg'!AS206-1</f>
        <v>1.6578481259993172E-2</v>
      </c>
      <c r="BK206" s="16">
        <f>AT206/'2017-18 disagg'!AT206-1</f>
        <v>1.2022976835512011E-2</v>
      </c>
      <c r="BL206" s="16">
        <f>AU206/'2017-18 disagg'!AU206-1</f>
        <v>3.7303517516291684E-2</v>
      </c>
      <c r="BM206" s="16">
        <f>AW206/'2017-18 disagg'!AW206-1</f>
        <v>1.9683824690163609E-2</v>
      </c>
    </row>
    <row r="207" spans="1:65" x14ac:dyDescent="0.2">
      <c r="A207" s="156" t="s">
        <v>459</v>
      </c>
      <c r="B207" s="156" t="s">
        <v>460</v>
      </c>
      <c r="D207" s="56">
        <f>VLOOKUP(A207,'2018-19'!$A$12:$AMX415,32,FALSE)</f>
        <v>227709.1626136218</v>
      </c>
      <c r="E207" s="56">
        <v>1460.5611540308032</v>
      </c>
      <c r="F207" s="16">
        <f>VLOOKUP(A207,'2018-19'!$A$12:$AMX415,34,FALSE)</f>
        <v>2.9361444635609857E-2</v>
      </c>
      <c r="G207" s="16">
        <f>VLOOKUP(A207,'2018-19'!$A$12:$AMX415,35,FALSE)</f>
        <v>2.0655547528055429E-2</v>
      </c>
      <c r="H207" s="56"/>
      <c r="I207" s="56">
        <v>233778.65751948941</v>
      </c>
      <c r="J207" s="56">
        <v>1499.4918162068352</v>
      </c>
      <c r="K207" s="16">
        <f t="shared" si="57"/>
        <v>-2.5962570622434233E-2</v>
      </c>
      <c r="L207" s="58">
        <f t="shared" si="57"/>
        <v>-2.5962570622434122E-2</v>
      </c>
      <c r="M207" s="10"/>
      <c r="N207" s="56">
        <v>172179</v>
      </c>
      <c r="O207" s="56">
        <v>19126</v>
      </c>
      <c r="P207" s="56">
        <v>35596</v>
      </c>
      <c r="R207" s="56">
        <f t="shared" si="58"/>
        <v>35596</v>
      </c>
      <c r="S207" s="56">
        <f t="shared" si="59"/>
        <v>808.16261362179648</v>
      </c>
      <c r="U207" s="16">
        <v>-3.4865478162568131E-2</v>
      </c>
      <c r="V207" s="16">
        <v>-4.863784496603063E-2</v>
      </c>
      <c r="W207" s="56">
        <f t="shared" si="60"/>
        <v>4</v>
      </c>
      <c r="X207" s="56">
        <f t="shared" si="61"/>
        <v>1783.9896522632312</v>
      </c>
      <c r="Y207" s="56">
        <f t="shared" si="61"/>
        <v>201.03805789202414</v>
      </c>
      <c r="AA207" s="56">
        <f t="shared" si="73"/>
        <v>0</v>
      </c>
      <c r="AB207" s="56">
        <v>0</v>
      </c>
      <c r="AC207" s="56">
        <f t="shared" si="62"/>
        <v>808.16261362179648</v>
      </c>
      <c r="AE207" s="56">
        <v>0</v>
      </c>
      <c r="AF207" s="56">
        <f t="shared" si="63"/>
        <v>0</v>
      </c>
      <c r="AG207" s="56">
        <f t="shared" si="64"/>
        <v>808.16261362179648</v>
      </c>
      <c r="AI207" s="56">
        <f t="shared" si="65"/>
        <v>726.31416310784323</v>
      </c>
      <c r="AJ207" s="56">
        <f t="shared" si="66"/>
        <v>81.84845051395321</v>
      </c>
      <c r="AK207" s="56">
        <f t="shared" si="67"/>
        <v>0</v>
      </c>
      <c r="AM207" s="56">
        <f t="shared" si="68"/>
        <v>172905</v>
      </c>
      <c r="AN207" s="56">
        <f t="shared" si="69"/>
        <v>19208</v>
      </c>
      <c r="AO207" s="56">
        <f t="shared" si="70"/>
        <v>35596</v>
      </c>
      <c r="AP207" s="56"/>
      <c r="AQ207" s="56">
        <f t="shared" si="71"/>
        <v>227709</v>
      </c>
      <c r="AR207" s="1"/>
      <c r="AS207" s="56">
        <v>1109.0389312361772</v>
      </c>
      <c r="AT207" s="56">
        <v>123.20302935822846</v>
      </c>
      <c r="AU207" s="56">
        <v>228.31815040792901</v>
      </c>
      <c r="AV207" s="56"/>
      <c r="AW207" s="56">
        <v>1460.5601110023347</v>
      </c>
      <c r="AX207" s="1"/>
      <c r="AY207" s="16">
        <v>-3.0795947831610326E-2</v>
      </c>
      <c r="AZ207" s="16">
        <v>-4.4559015272797042E-2</v>
      </c>
      <c r="BA207" s="16">
        <v>9.0745698481642378E-3</v>
      </c>
      <c r="BB207" s="16">
        <f t="shared" si="72"/>
        <v>-2.5963266210404234E-2</v>
      </c>
      <c r="BC207" s="16"/>
      <c r="BD207" s="1"/>
      <c r="BE207" s="16">
        <f>AM207/'2017-18 disagg'!AM207-1</f>
        <v>2.4956282047482237E-2</v>
      </c>
      <c r="BF207" s="16">
        <f>AN207/'2017-18 disagg'!AN207-1</f>
        <v>3.8663277997079915E-2</v>
      </c>
      <c r="BG207" s="16">
        <f>AO207/'2017-18 disagg'!AO207-1</f>
        <v>4.6141186151766211E-2</v>
      </c>
      <c r="BH207" s="16">
        <f>AQ207/'2017-18 disagg'!AQ207-1</f>
        <v>2.9360709539179242E-2</v>
      </c>
      <c r="BI207" s="1"/>
      <c r="BJ207" s="16">
        <f>AS207/'2017-18 disagg'!AS207-1</f>
        <v>1.6287641913592443E-2</v>
      </c>
      <c r="BK207" s="16">
        <f>AT207/'2017-18 disagg'!AT207-1</f>
        <v>2.9878709977011253E-2</v>
      </c>
      <c r="BL207" s="16">
        <f>AU207/'2017-18 disagg'!AU207-1</f>
        <v>3.7293373195418145E-2</v>
      </c>
      <c r="BM207" s="16">
        <f>AW207/'2017-18 disagg'!AW207-1</f>
        <v>2.0654818648754736E-2</v>
      </c>
    </row>
    <row r="208" spans="1:65" x14ac:dyDescent="0.2">
      <c r="A208" s="156" t="s">
        <v>461</v>
      </c>
      <c r="B208" s="156" t="s">
        <v>462</v>
      </c>
      <c r="D208" s="56">
        <f>VLOOKUP(A208,'2018-19'!$A$12:$AMX416,32,FALSE)</f>
        <v>226209</v>
      </c>
      <c r="E208" s="56">
        <v>1377.0263934986774</v>
      </c>
      <c r="F208" s="16">
        <f>VLOOKUP(A208,'2018-19'!$A$12:$AMX416,34,FALSE)</f>
        <v>2.4775754281054718E-2</v>
      </c>
      <c r="G208" s="16">
        <f>VLOOKUP(A208,'2018-19'!$A$12:$AMX416,35,FALSE)</f>
        <v>1.5551710819227127E-2</v>
      </c>
      <c r="H208" s="56"/>
      <c r="I208" s="56">
        <v>228917.22894261903</v>
      </c>
      <c r="J208" s="56">
        <v>1393.5124870388258</v>
      </c>
      <c r="K208" s="16">
        <f t="shared" si="57"/>
        <v>-1.1830603380656335E-2</v>
      </c>
      <c r="L208" s="58">
        <f t="shared" si="57"/>
        <v>-1.1830603380656446E-2</v>
      </c>
      <c r="M208" s="10"/>
      <c r="N208" s="56">
        <v>176206</v>
      </c>
      <c r="O208" s="56">
        <v>18966</v>
      </c>
      <c r="P208" s="56">
        <v>31037</v>
      </c>
      <c r="R208" s="56">
        <f t="shared" si="58"/>
        <v>31037</v>
      </c>
      <c r="S208" s="56">
        <f t="shared" si="59"/>
        <v>0</v>
      </c>
      <c r="U208" s="16">
        <v>3.377188223148142E-4</v>
      </c>
      <c r="V208" s="16">
        <v>-4.8003991955100189E-2</v>
      </c>
      <c r="W208" s="56">
        <f t="shared" si="60"/>
        <v>3</v>
      </c>
      <c r="X208" s="56">
        <f t="shared" si="61"/>
        <v>1761.4651200741</v>
      </c>
      <c r="Y208" s="56">
        <f t="shared" si="61"/>
        <v>199.22352446571909</v>
      </c>
      <c r="AA208" s="56">
        <f t="shared" si="73"/>
        <v>0</v>
      </c>
      <c r="AB208" s="56">
        <v>0</v>
      </c>
      <c r="AC208" s="56">
        <f t="shared" si="62"/>
        <v>0</v>
      </c>
      <c r="AE208" s="56">
        <v>0</v>
      </c>
      <c r="AF208" s="56">
        <f t="shared" si="63"/>
        <v>0</v>
      </c>
      <c r="AG208" s="56">
        <f t="shared" si="64"/>
        <v>0</v>
      </c>
      <c r="AI208" s="56">
        <f t="shared" si="65"/>
        <v>0</v>
      </c>
      <c r="AJ208" s="56">
        <f t="shared" si="66"/>
        <v>0</v>
      </c>
      <c r="AK208" s="56">
        <f t="shared" si="67"/>
        <v>0</v>
      </c>
      <c r="AM208" s="56">
        <f t="shared" si="68"/>
        <v>176206</v>
      </c>
      <c r="AN208" s="56">
        <f t="shared" si="69"/>
        <v>18966</v>
      </c>
      <c r="AO208" s="56">
        <f t="shared" si="70"/>
        <v>31037</v>
      </c>
      <c r="AP208" s="56"/>
      <c r="AQ208" s="56">
        <f t="shared" si="71"/>
        <v>226209</v>
      </c>
      <c r="AR208" s="1"/>
      <c r="AS208" s="56">
        <v>1072.6377495715376</v>
      </c>
      <c r="AT208" s="56">
        <v>115.45377318805139</v>
      </c>
      <c r="AU208" s="56">
        <v>188.93487073908841</v>
      </c>
      <c r="AV208" s="56"/>
      <c r="AW208" s="56">
        <v>1377.0263934986774</v>
      </c>
      <c r="AX208" s="1"/>
      <c r="AY208" s="16">
        <v>3.377188223148142E-4</v>
      </c>
      <c r="AZ208" s="16">
        <v>-4.8003991955100189E-2</v>
      </c>
      <c r="BA208" s="16">
        <v>-5.5143216925265692E-2</v>
      </c>
      <c r="BB208" s="16">
        <f t="shared" si="72"/>
        <v>-1.1830603380656335E-2</v>
      </c>
      <c r="BC208" s="16"/>
      <c r="BD208" s="1"/>
      <c r="BE208" s="16">
        <f>AM208/'2017-18 disagg'!AM208-1</f>
        <v>2.121173484172334E-2</v>
      </c>
      <c r="BF208" s="16">
        <f>AN208/'2017-18 disagg'!AN208-1</f>
        <v>2.2867004638118971E-2</v>
      </c>
      <c r="BG208" s="16">
        <f>AO208/'2017-18 disagg'!AO208-1</f>
        <v>4.6708485093754248E-2</v>
      </c>
      <c r="BH208" s="16">
        <f>AQ208/'2017-18 disagg'!AQ208-1</f>
        <v>2.4775754281054718E-2</v>
      </c>
      <c r="BI208" s="1"/>
      <c r="BJ208" s="16">
        <f>AS208/'2017-18 disagg'!AS208-1</f>
        <v>1.2019771247193445E-2</v>
      </c>
      <c r="BK208" s="16">
        <f>AT208/'2017-18 disagg'!AT208-1</f>
        <v>1.3660141900552869E-2</v>
      </c>
      <c r="BL208" s="16">
        <f>AU208/'2017-18 disagg'!AU208-1</f>
        <v>3.7287024332183005E-2</v>
      </c>
      <c r="BM208" s="16">
        <f>AW208/'2017-18 disagg'!AW208-1</f>
        <v>1.5551710819227127E-2</v>
      </c>
    </row>
    <row r="209" spans="1:65" x14ac:dyDescent="0.2">
      <c r="A209" s="156" t="s">
        <v>463</v>
      </c>
      <c r="B209" s="156" t="s">
        <v>464</v>
      </c>
      <c r="D209" s="56">
        <f>VLOOKUP(A209,'2018-19'!$A$12:$AMX417,32,FALSE)</f>
        <v>303993</v>
      </c>
      <c r="E209" s="56">
        <v>1473.8085687379812</v>
      </c>
      <c r="F209" s="16">
        <f>VLOOKUP(A209,'2018-19'!$A$12:$AMX417,34,FALSE)</f>
        <v>2.3070088645679832E-2</v>
      </c>
      <c r="G209" s="16">
        <f>VLOOKUP(A209,'2018-19'!$A$12:$AMX417,35,FALSE)</f>
        <v>1.8610008437760062E-2</v>
      </c>
      <c r="H209" s="56"/>
      <c r="I209" s="56">
        <v>309075.7028059084</v>
      </c>
      <c r="J209" s="56">
        <v>1498.4503563702503</v>
      </c>
      <c r="K209" s="16">
        <f t="shared" si="57"/>
        <v>-1.644484752365083E-2</v>
      </c>
      <c r="L209" s="58">
        <f t="shared" si="57"/>
        <v>-1.6444847523650941E-2</v>
      </c>
      <c r="M209" s="10"/>
      <c r="N209" s="56">
        <v>232390</v>
      </c>
      <c r="O209" s="56">
        <v>25810</v>
      </c>
      <c r="P209" s="56">
        <v>45793</v>
      </c>
      <c r="R209" s="56">
        <f t="shared" si="58"/>
        <v>45793</v>
      </c>
      <c r="S209" s="56">
        <f t="shared" si="59"/>
        <v>0</v>
      </c>
      <c r="U209" s="16">
        <v>-2.6175872607862694E-2</v>
      </c>
      <c r="V209" s="16">
        <v>1.6371440911138402E-2</v>
      </c>
      <c r="W209" s="56">
        <f t="shared" si="60"/>
        <v>1</v>
      </c>
      <c r="X209" s="56">
        <f t="shared" si="61"/>
        <v>2386.3651912417827</v>
      </c>
      <c r="Y209" s="56">
        <f t="shared" si="61"/>
        <v>253.94259383028623</v>
      </c>
      <c r="AA209" s="56">
        <f t="shared" si="73"/>
        <v>0</v>
      </c>
      <c r="AB209" s="56">
        <v>0</v>
      </c>
      <c r="AC209" s="56">
        <f t="shared" si="62"/>
        <v>0</v>
      </c>
      <c r="AE209" s="56">
        <v>0</v>
      </c>
      <c r="AF209" s="56">
        <f t="shared" si="63"/>
        <v>0</v>
      </c>
      <c r="AG209" s="56">
        <f t="shared" si="64"/>
        <v>0</v>
      </c>
      <c r="AI209" s="56">
        <f t="shared" si="65"/>
        <v>0</v>
      </c>
      <c r="AJ209" s="56">
        <f t="shared" si="66"/>
        <v>0</v>
      </c>
      <c r="AK209" s="56">
        <f t="shared" si="67"/>
        <v>0</v>
      </c>
      <c r="AM209" s="56">
        <f t="shared" si="68"/>
        <v>232390</v>
      </c>
      <c r="AN209" s="56">
        <f t="shared" si="69"/>
        <v>25810</v>
      </c>
      <c r="AO209" s="56">
        <f t="shared" si="70"/>
        <v>45793</v>
      </c>
      <c r="AP209" s="56"/>
      <c r="AQ209" s="56">
        <f t="shared" si="71"/>
        <v>303993</v>
      </c>
      <c r="AR209" s="1"/>
      <c r="AS209" s="56">
        <v>1126.6653287707923</v>
      </c>
      <c r="AT209" s="56">
        <v>125.13116801744545</v>
      </c>
      <c r="AU209" s="56">
        <v>222.0120719497435</v>
      </c>
      <c r="AV209" s="56"/>
      <c r="AW209" s="56">
        <v>1473.8085687379812</v>
      </c>
      <c r="AX209" s="1"/>
      <c r="AY209" s="16">
        <v>-2.6175872607862694E-2</v>
      </c>
      <c r="AZ209" s="16">
        <v>1.6371440911138402E-2</v>
      </c>
      <c r="BA209" s="16">
        <v>1.6607325085904678E-2</v>
      </c>
      <c r="BB209" s="16">
        <f t="shared" si="72"/>
        <v>-1.644484752365083E-2</v>
      </c>
      <c r="BC209" s="16"/>
      <c r="BD209" s="1"/>
      <c r="BE209" s="16">
        <f>AM209/'2017-18 disagg'!AM209-1</f>
        <v>1.9867200905807403E-2</v>
      </c>
      <c r="BF209" s="16">
        <f>AN209/'2017-18 disagg'!AN209-1</f>
        <v>1.9312033489988556E-2</v>
      </c>
      <c r="BG209" s="16">
        <f>AO209/'2017-18 disagg'!AO209-1</f>
        <v>4.1839195522591854E-2</v>
      </c>
      <c r="BH209" s="16">
        <f>AQ209/'2017-18 disagg'!AQ209-1</f>
        <v>2.3070088645679832E-2</v>
      </c>
      <c r="BI209" s="1"/>
      <c r="BJ209" s="16">
        <f>AS209/'2017-18 disagg'!AS209-1</f>
        <v>1.5421083706263605E-2</v>
      </c>
      <c r="BK209" s="16">
        <f>AT209/'2017-18 disagg'!AT209-1</f>
        <v>1.486833654613462E-2</v>
      </c>
      <c r="BL209" s="16">
        <f>AU209/'2017-18 disagg'!AU209-1</f>
        <v>3.7297291280296463E-2</v>
      </c>
      <c r="BM209" s="16">
        <f>AW209/'2017-18 disagg'!AW209-1</f>
        <v>1.8610008437760062E-2</v>
      </c>
    </row>
    <row r="210" spans="1:65" x14ac:dyDescent="0.2">
      <c r="A210" s="156" t="s">
        <v>465</v>
      </c>
      <c r="B210" s="156" t="s">
        <v>466</v>
      </c>
      <c r="D210" s="56">
        <f>VLOOKUP(A210,'2018-19'!$A$12:$AMX418,32,FALSE)</f>
        <v>805370</v>
      </c>
      <c r="E210" s="56">
        <v>1600.3482293422126</v>
      </c>
      <c r="F210" s="16">
        <f>VLOOKUP(A210,'2018-19'!$A$12:$AMX418,34,FALSE)</f>
        <v>2.6396213382135825E-2</v>
      </c>
      <c r="G210" s="16">
        <f>VLOOKUP(A210,'2018-19'!$A$12:$AMX418,35,FALSE)</f>
        <v>1.6814212232228565E-2</v>
      </c>
      <c r="H210" s="56"/>
      <c r="I210" s="56">
        <v>794988.11802985461</v>
      </c>
      <c r="J210" s="56">
        <v>1579.7184238762009</v>
      </c>
      <c r="K210" s="16">
        <f t="shared" si="57"/>
        <v>1.3059166212287421E-2</v>
      </c>
      <c r="L210" s="58">
        <f t="shared" si="57"/>
        <v>1.3059166212287199E-2</v>
      </c>
      <c r="M210" s="10"/>
      <c r="N210" s="56">
        <v>584232</v>
      </c>
      <c r="O210" s="56">
        <v>65278</v>
      </c>
      <c r="P210" s="56">
        <v>155860</v>
      </c>
      <c r="R210" s="56">
        <f t="shared" si="58"/>
        <v>155860</v>
      </c>
      <c r="S210" s="56">
        <f t="shared" si="59"/>
        <v>0</v>
      </c>
      <c r="U210" s="16">
        <v>6.9415718401621973E-3</v>
      </c>
      <c r="V210" s="16">
        <v>-2.6071283460408989E-2</v>
      </c>
      <c r="W210" s="56">
        <f t="shared" si="60"/>
        <v>3</v>
      </c>
      <c r="X210" s="56">
        <f t="shared" si="61"/>
        <v>5802.0446899647777</v>
      </c>
      <c r="Y210" s="56">
        <f t="shared" si="61"/>
        <v>670.25439225095897</v>
      </c>
      <c r="AA210" s="56">
        <f t="shared" si="73"/>
        <v>0</v>
      </c>
      <c r="AB210" s="56">
        <v>0</v>
      </c>
      <c r="AC210" s="56">
        <f t="shared" si="62"/>
        <v>0</v>
      </c>
      <c r="AE210" s="56">
        <v>0</v>
      </c>
      <c r="AF210" s="56">
        <f t="shared" si="63"/>
        <v>0</v>
      </c>
      <c r="AG210" s="56">
        <f t="shared" si="64"/>
        <v>0</v>
      </c>
      <c r="AI210" s="56">
        <f t="shared" si="65"/>
        <v>0</v>
      </c>
      <c r="AJ210" s="56">
        <f t="shared" si="66"/>
        <v>0</v>
      </c>
      <c r="AK210" s="56">
        <f t="shared" si="67"/>
        <v>0</v>
      </c>
      <c r="AM210" s="56">
        <f t="shared" si="68"/>
        <v>584232</v>
      </c>
      <c r="AN210" s="56">
        <f t="shared" si="69"/>
        <v>65278</v>
      </c>
      <c r="AO210" s="56">
        <f t="shared" si="70"/>
        <v>155860</v>
      </c>
      <c r="AP210" s="56"/>
      <c r="AQ210" s="56">
        <f t="shared" si="71"/>
        <v>805370</v>
      </c>
      <c r="AR210" s="1"/>
      <c r="AS210" s="56">
        <v>1160.925595347554</v>
      </c>
      <c r="AT210" s="56">
        <v>129.71371135627223</v>
      </c>
      <c r="AU210" s="56">
        <v>309.70892263838641</v>
      </c>
      <c r="AV210" s="56"/>
      <c r="AW210" s="56">
        <v>1600.3482293422126</v>
      </c>
      <c r="AX210" s="1"/>
      <c r="AY210" s="16">
        <v>6.9415718401621973E-3</v>
      </c>
      <c r="AZ210" s="16">
        <v>-2.6071283460408989E-2</v>
      </c>
      <c r="BA210" s="16">
        <v>5.4831404645679482E-2</v>
      </c>
      <c r="BB210" s="16">
        <f t="shared" si="72"/>
        <v>1.3059166212287421E-2</v>
      </c>
      <c r="BC210" s="16"/>
      <c r="BD210" s="1"/>
      <c r="BE210" s="16">
        <f>AM210/'2017-18 disagg'!AM210-1</f>
        <v>2.1556065353625753E-2</v>
      </c>
      <c r="BF210" s="16">
        <f>AN210/'2017-18 disagg'!AN210-1</f>
        <v>2.1548958545249741E-2</v>
      </c>
      <c r="BG210" s="16">
        <f>AO210/'2017-18 disagg'!AO210-1</f>
        <v>4.7073287068450043E-2</v>
      </c>
      <c r="BH210" s="16">
        <f>AQ210/'2017-18 disagg'!AQ210-1</f>
        <v>2.6396213382135825E-2</v>
      </c>
      <c r="BI210" s="1"/>
      <c r="BJ210" s="16">
        <f>AS210/'2017-18 disagg'!AS210-1</f>
        <v>1.201924977959079E-2</v>
      </c>
      <c r="BK210" s="16">
        <f>AT210/'2017-18 disagg'!AT210-1</f>
        <v>1.2012209317373568E-2</v>
      </c>
      <c r="BL210" s="16">
        <f>AU210/'2017-18 disagg'!AU210-1</f>
        <v>3.7298253499623346E-2</v>
      </c>
      <c r="BM210" s="16">
        <f>AW210/'2017-18 disagg'!AW210-1</f>
        <v>1.6814212232228565E-2</v>
      </c>
    </row>
    <row r="211" spans="1:65" x14ac:dyDescent="0.2">
      <c r="A211" s="156" t="s">
        <v>467</v>
      </c>
      <c r="B211" s="156" t="s">
        <v>468</v>
      </c>
      <c r="D211" s="56">
        <f>VLOOKUP(A211,'2018-19'!$A$12:$AMX419,32,FALSE)</f>
        <v>1352459</v>
      </c>
      <c r="E211" s="56">
        <v>1688.7294425050238</v>
      </c>
      <c r="F211" s="16">
        <f>VLOOKUP(A211,'2018-19'!$A$12:$AMX419,34,FALSE)</f>
        <v>2.3202626741010368E-2</v>
      </c>
      <c r="G211" s="16">
        <f>VLOOKUP(A211,'2018-19'!$A$12:$AMX419,35,FALSE)</f>
        <v>1.712965151445256E-2</v>
      </c>
      <c r="H211" s="56"/>
      <c r="I211" s="56">
        <v>1349587.6536330623</v>
      </c>
      <c r="J211" s="56">
        <v>1685.1441751146797</v>
      </c>
      <c r="K211" s="16">
        <f t="shared" si="57"/>
        <v>2.1275730844219076E-3</v>
      </c>
      <c r="L211" s="58">
        <f t="shared" si="57"/>
        <v>2.1275730844216856E-3</v>
      </c>
      <c r="M211" s="10"/>
      <c r="N211" s="56">
        <v>1048038</v>
      </c>
      <c r="O211" s="56">
        <v>107188</v>
      </c>
      <c r="P211" s="56">
        <v>197233</v>
      </c>
      <c r="R211" s="56">
        <f t="shared" si="58"/>
        <v>197233</v>
      </c>
      <c r="S211" s="56">
        <f t="shared" si="59"/>
        <v>0</v>
      </c>
      <c r="U211" s="16">
        <v>-5.4340572210523908E-3</v>
      </c>
      <c r="V211" s="16">
        <v>-4.7374949013156975E-3</v>
      </c>
      <c r="W211" s="56">
        <f t="shared" si="60"/>
        <v>4</v>
      </c>
      <c r="X211" s="56">
        <f t="shared" si="61"/>
        <v>10537.642150420357</v>
      </c>
      <c r="Y211" s="56">
        <f t="shared" si="61"/>
        <v>1076.9821976702706</v>
      </c>
      <c r="AA211" s="56">
        <f t="shared" si="73"/>
        <v>0</v>
      </c>
      <c r="AB211" s="56">
        <v>0</v>
      </c>
      <c r="AC211" s="56">
        <f t="shared" si="62"/>
        <v>0</v>
      </c>
      <c r="AE211" s="56">
        <v>0</v>
      </c>
      <c r="AF211" s="56">
        <f t="shared" si="63"/>
        <v>0</v>
      </c>
      <c r="AG211" s="56">
        <f t="shared" si="64"/>
        <v>0</v>
      </c>
      <c r="AI211" s="56">
        <f t="shared" si="65"/>
        <v>0</v>
      </c>
      <c r="AJ211" s="56">
        <f t="shared" si="66"/>
        <v>0</v>
      </c>
      <c r="AK211" s="56">
        <f t="shared" si="67"/>
        <v>0</v>
      </c>
      <c r="AM211" s="56">
        <f t="shared" si="68"/>
        <v>1048038</v>
      </c>
      <c r="AN211" s="56">
        <f t="shared" si="69"/>
        <v>107188</v>
      </c>
      <c r="AO211" s="56">
        <f t="shared" si="70"/>
        <v>197233</v>
      </c>
      <c r="AP211" s="56"/>
      <c r="AQ211" s="56">
        <f t="shared" si="71"/>
        <v>1352459</v>
      </c>
      <c r="AR211" s="1"/>
      <c r="AS211" s="56">
        <v>1308.6183222294208</v>
      </c>
      <c r="AT211" s="56">
        <v>133.83883096140326</v>
      </c>
      <c r="AU211" s="56">
        <v>246.27228931419981</v>
      </c>
      <c r="AV211" s="56"/>
      <c r="AW211" s="56">
        <v>1688.7294425050238</v>
      </c>
      <c r="AX211" s="1"/>
      <c r="AY211" s="16">
        <v>-5.4340572210523908E-3</v>
      </c>
      <c r="AZ211" s="16">
        <v>-4.7374949013156975E-3</v>
      </c>
      <c r="BA211" s="16">
        <v>4.8413398442456623E-2</v>
      </c>
      <c r="BB211" s="16">
        <f t="shared" si="72"/>
        <v>2.1275730844219076E-3</v>
      </c>
      <c r="BC211" s="16"/>
      <c r="BD211" s="1"/>
      <c r="BE211" s="16">
        <f>AM211/'2017-18 disagg'!AM211-1</f>
        <v>1.9869212354761467E-2</v>
      </c>
      <c r="BF211" s="16">
        <f>AN211/'2017-18 disagg'!AN211-1</f>
        <v>1.9304284980695696E-2</v>
      </c>
      <c r="BG211" s="16">
        <f>AO211/'2017-18 disagg'!AO211-1</f>
        <v>4.3494592935898302E-2</v>
      </c>
      <c r="BH211" s="16">
        <f>AQ211/'2017-18 disagg'!AQ211-1</f>
        <v>2.3202626741010368E-2</v>
      </c>
      <c r="BI211" s="1"/>
      <c r="BJ211" s="16">
        <f>AS211/'2017-18 disagg'!AS211-1</f>
        <v>1.3816021814500035E-2</v>
      </c>
      <c r="BK211" s="16">
        <f>AT211/'2017-18 disagg'!AT211-1</f>
        <v>1.3254447432166083E-2</v>
      </c>
      <c r="BL211" s="16">
        <f>AU211/'2017-18 disagg'!AU211-1</f>
        <v>3.73011795822491E-2</v>
      </c>
      <c r="BM211" s="16">
        <f>AW211/'2017-18 disagg'!AW211-1</f>
        <v>1.712965151445256E-2</v>
      </c>
    </row>
    <row r="212" spans="1:65" x14ac:dyDescent="0.2">
      <c r="A212" s="156" t="s">
        <v>469</v>
      </c>
      <c r="B212" s="156" t="s">
        <v>470</v>
      </c>
      <c r="D212" s="56">
        <f>VLOOKUP(A212,'2018-19'!$A$12:$AMX420,32,FALSE)</f>
        <v>996765</v>
      </c>
      <c r="E212" s="56">
        <v>1536.90599955058</v>
      </c>
      <c r="F212" s="16">
        <f>VLOOKUP(A212,'2018-19'!$A$12:$AMX420,34,FALSE)</f>
        <v>2.3590229134939467E-2</v>
      </c>
      <c r="G212" s="16">
        <f>VLOOKUP(A212,'2018-19'!$A$12:$AMX420,35,FALSE)</f>
        <v>1.6666793248517608E-2</v>
      </c>
      <c r="H212" s="56"/>
      <c r="I212" s="56">
        <v>1007163.8344933199</v>
      </c>
      <c r="J212" s="56">
        <v>1552.939900340753</v>
      </c>
      <c r="K212" s="16">
        <f t="shared" si="57"/>
        <v>-1.0324868841772195E-2</v>
      </c>
      <c r="L212" s="58">
        <f t="shared" si="57"/>
        <v>-1.0324868841772195E-2</v>
      </c>
      <c r="M212" s="10"/>
      <c r="N212" s="56">
        <v>759606</v>
      </c>
      <c r="O212" s="56">
        <v>80751</v>
      </c>
      <c r="P212" s="56">
        <v>156408</v>
      </c>
      <c r="R212" s="56">
        <f t="shared" si="58"/>
        <v>156408</v>
      </c>
      <c r="S212" s="56">
        <f t="shared" si="59"/>
        <v>0</v>
      </c>
      <c r="U212" s="16">
        <v>-1.67409628560381E-2</v>
      </c>
      <c r="V212" s="16">
        <v>-2.4279977536362685E-2</v>
      </c>
      <c r="W212" s="56">
        <f t="shared" si="60"/>
        <v>4</v>
      </c>
      <c r="X212" s="56">
        <f t="shared" si="61"/>
        <v>7725.3904749902013</v>
      </c>
      <c r="Y212" s="56">
        <f t="shared" si="61"/>
        <v>827.60421166830565</v>
      </c>
      <c r="AA212" s="56">
        <f t="shared" si="73"/>
        <v>0</v>
      </c>
      <c r="AB212" s="56">
        <v>0</v>
      </c>
      <c r="AC212" s="56">
        <f t="shared" si="62"/>
        <v>0</v>
      </c>
      <c r="AE212" s="56">
        <v>0</v>
      </c>
      <c r="AF212" s="56">
        <f t="shared" si="63"/>
        <v>0</v>
      </c>
      <c r="AG212" s="56">
        <f t="shared" si="64"/>
        <v>0</v>
      </c>
      <c r="AI212" s="56">
        <f t="shared" si="65"/>
        <v>0</v>
      </c>
      <c r="AJ212" s="56">
        <f t="shared" si="66"/>
        <v>0</v>
      </c>
      <c r="AK212" s="56">
        <f t="shared" si="67"/>
        <v>0</v>
      </c>
      <c r="AM212" s="56">
        <f t="shared" si="68"/>
        <v>759606</v>
      </c>
      <c r="AN212" s="56">
        <f t="shared" si="69"/>
        <v>80751</v>
      </c>
      <c r="AO212" s="56">
        <f t="shared" si="70"/>
        <v>156408</v>
      </c>
      <c r="AP212" s="56"/>
      <c r="AQ212" s="56">
        <f t="shared" si="71"/>
        <v>996765</v>
      </c>
      <c r="AR212" s="1"/>
      <c r="AS212" s="56">
        <v>1171.2319540660214</v>
      </c>
      <c r="AT212" s="56">
        <v>124.50948455223535</v>
      </c>
      <c r="AU212" s="56">
        <v>241.16456093232316</v>
      </c>
      <c r="AV212" s="56"/>
      <c r="AW212" s="56">
        <v>1536.90599955058</v>
      </c>
      <c r="AX212" s="1"/>
      <c r="AY212" s="16">
        <v>-1.67409628560381E-2</v>
      </c>
      <c r="AZ212" s="16">
        <v>-2.4279977536362685E-2</v>
      </c>
      <c r="BA212" s="16">
        <v>2.9919027730921366E-2</v>
      </c>
      <c r="BB212" s="16">
        <f t="shared" si="72"/>
        <v>-1.0324868841772195E-2</v>
      </c>
      <c r="BC212" s="16"/>
      <c r="BD212" s="1"/>
      <c r="BE212" s="16">
        <f>AM212/'2017-18 disagg'!AM212-1</f>
        <v>1.9869576950807488E-2</v>
      </c>
      <c r="BF212" s="16">
        <f>AN212/'2017-18 disagg'!AN212-1</f>
        <v>1.9300194390447167E-2</v>
      </c>
      <c r="BG212" s="16">
        <f>AO212/'2017-18 disagg'!AO212-1</f>
        <v>4.436313132662062E-2</v>
      </c>
      <c r="BH212" s="16">
        <f>AQ212/'2017-18 disagg'!AQ212-1</f>
        <v>2.3590229134939467E-2</v>
      </c>
      <c r="BI212" s="1"/>
      <c r="BJ212" s="16">
        <f>AS212/'2017-18 disagg'!AS212-1</f>
        <v>1.2971307088952111E-2</v>
      </c>
      <c r="BK212" s="16">
        <f>AT212/'2017-18 disagg'!AT212-1</f>
        <v>1.2405775760793158E-2</v>
      </c>
      <c r="BL212" s="16">
        <f>AU212/'2017-18 disagg'!AU212-1</f>
        <v>3.7299190136020011E-2</v>
      </c>
      <c r="BM212" s="16">
        <f>AW212/'2017-18 disagg'!AW212-1</f>
        <v>1.6666793248517608E-2</v>
      </c>
    </row>
    <row r="213" spans="1:65" x14ac:dyDescent="0.2">
      <c r="A213" s="156" t="s">
        <v>471</v>
      </c>
      <c r="B213" s="156" t="s">
        <v>472</v>
      </c>
      <c r="D213" s="56">
        <f>VLOOKUP(A213,'2018-19'!$A$12:$AMX421,32,FALSE)</f>
        <v>990373</v>
      </c>
      <c r="E213" s="56">
        <v>1724.1197537377604</v>
      </c>
      <c r="F213" s="16">
        <f>VLOOKUP(A213,'2018-19'!$A$12:$AMX421,34,FALSE)</f>
        <v>2.3046020765177477E-2</v>
      </c>
      <c r="G213" s="16">
        <f>VLOOKUP(A213,'2018-19'!$A$12:$AMX421,35,FALSE)</f>
        <v>1.4876415327310877E-2</v>
      </c>
      <c r="H213" s="56"/>
      <c r="I213" s="56">
        <v>974165.82985410583</v>
      </c>
      <c r="J213" s="56">
        <v>1695.9050283759775</v>
      </c>
      <c r="K213" s="16">
        <f t="shared" si="57"/>
        <v>1.6636972524812776E-2</v>
      </c>
      <c r="L213" s="58">
        <f t="shared" si="57"/>
        <v>1.6636972524812776E-2</v>
      </c>
      <c r="M213" s="10"/>
      <c r="N213" s="56">
        <v>760856</v>
      </c>
      <c r="O213" s="56">
        <v>81475</v>
      </c>
      <c r="P213" s="56">
        <v>148042</v>
      </c>
      <c r="R213" s="56">
        <f t="shared" si="58"/>
        <v>148042</v>
      </c>
      <c r="S213" s="56">
        <f t="shared" si="59"/>
        <v>0</v>
      </c>
      <c r="U213" s="16">
        <v>1.1400038017007619E-2</v>
      </c>
      <c r="V213" s="16">
        <v>7.8421568724265756E-2</v>
      </c>
      <c r="W213" s="56">
        <f t="shared" si="60"/>
        <v>2</v>
      </c>
      <c r="X213" s="56">
        <f t="shared" si="61"/>
        <v>7522.7997963275293</v>
      </c>
      <c r="Y213" s="56">
        <f t="shared" si="61"/>
        <v>755.50232268056379</v>
      </c>
      <c r="AA213" s="56">
        <f t="shared" si="73"/>
        <v>0</v>
      </c>
      <c r="AB213" s="56">
        <v>0</v>
      </c>
      <c r="AC213" s="56">
        <f t="shared" si="62"/>
        <v>0</v>
      </c>
      <c r="AE213" s="56">
        <v>0</v>
      </c>
      <c r="AF213" s="56">
        <f t="shared" si="63"/>
        <v>0</v>
      </c>
      <c r="AG213" s="56">
        <f t="shared" si="64"/>
        <v>0</v>
      </c>
      <c r="AI213" s="56">
        <f t="shared" si="65"/>
        <v>0</v>
      </c>
      <c r="AJ213" s="56">
        <f t="shared" si="66"/>
        <v>0</v>
      </c>
      <c r="AK213" s="56">
        <f t="shared" si="67"/>
        <v>0</v>
      </c>
      <c r="AM213" s="56">
        <f t="shared" si="68"/>
        <v>760856</v>
      </c>
      <c r="AN213" s="56">
        <f t="shared" si="69"/>
        <v>81475</v>
      </c>
      <c r="AO213" s="56">
        <f t="shared" si="70"/>
        <v>148042</v>
      </c>
      <c r="AP213" s="56"/>
      <c r="AQ213" s="56">
        <f t="shared" si="71"/>
        <v>990373</v>
      </c>
      <c r="AR213" s="1"/>
      <c r="AS213" s="56">
        <v>1324.5583829020959</v>
      </c>
      <c r="AT213" s="56">
        <v>141.83813263869675</v>
      </c>
      <c r="AU213" s="56">
        <v>257.72323819696771</v>
      </c>
      <c r="AV213" s="56"/>
      <c r="AW213" s="56">
        <v>1724.1197537377604</v>
      </c>
      <c r="AX213" s="1"/>
      <c r="AY213" s="16">
        <v>1.1400038017007619E-2</v>
      </c>
      <c r="AZ213" s="16">
        <v>7.8421568724265756E-2</v>
      </c>
      <c r="BA213" s="16">
        <v>1.1660743095696979E-2</v>
      </c>
      <c r="BB213" s="16">
        <f t="shared" si="72"/>
        <v>1.6636972524812776E-2</v>
      </c>
      <c r="BC213" s="16"/>
      <c r="BD213" s="1"/>
      <c r="BE213" s="16">
        <f>AM213/'2017-18 disagg'!AM213-1</f>
        <v>2.0165831786928656E-2</v>
      </c>
      <c r="BF213" s="16">
        <f>AN213/'2017-18 disagg'!AN213-1</f>
        <v>1.0003966876580561E-2</v>
      </c>
      <c r="BG213" s="16">
        <f>AO213/'2017-18 disagg'!AO213-1</f>
        <v>4.5649425409135524E-2</v>
      </c>
      <c r="BH213" s="16">
        <f>AQ213/'2017-18 disagg'!AQ213-1</f>
        <v>2.3046020765177477E-2</v>
      </c>
      <c r="BI213" s="1"/>
      <c r="BJ213" s="16">
        <f>AS213/'2017-18 disagg'!AS213-1</f>
        <v>1.2019226299270658E-2</v>
      </c>
      <c r="BK213" s="16">
        <f>AT213/'2017-18 disagg'!AT213-1</f>
        <v>1.9385096707644767E-3</v>
      </c>
      <c r="BL213" s="16">
        <f>AU213/'2017-18 disagg'!AU213-1</f>
        <v>3.7299318905094303E-2</v>
      </c>
      <c r="BM213" s="16">
        <f>AW213/'2017-18 disagg'!AW213-1</f>
        <v>1.4876415327310877E-2</v>
      </c>
    </row>
    <row r="214" spans="1:65" x14ac:dyDescent="0.2">
      <c r="A214" s="156" t="s">
        <v>473</v>
      </c>
      <c r="B214" s="156" t="s">
        <v>474</v>
      </c>
      <c r="D214" s="56">
        <f>VLOOKUP(A214,'2018-19'!$A$12:$AMX422,32,FALSE)</f>
        <v>371399</v>
      </c>
      <c r="E214" s="56">
        <v>1670.9315233736027</v>
      </c>
      <c r="F214" s="16">
        <f>VLOOKUP(A214,'2018-19'!$A$12:$AMX422,34,FALSE)</f>
        <v>2.6258925216084084E-2</v>
      </c>
      <c r="G214" s="16">
        <f>VLOOKUP(A214,'2018-19'!$A$12:$AMX422,35,FALSE)</f>
        <v>1.5971966915601543E-2</v>
      </c>
      <c r="H214" s="56"/>
      <c r="I214" s="56">
        <v>374401.14483708458</v>
      </c>
      <c r="J214" s="56">
        <v>1684.4382329932246</v>
      </c>
      <c r="K214" s="16">
        <f t="shared" si="57"/>
        <v>-8.018524725374232E-3</v>
      </c>
      <c r="L214" s="58">
        <f t="shared" si="57"/>
        <v>-8.018524725374232E-3</v>
      </c>
      <c r="M214" s="10"/>
      <c r="N214" s="56">
        <v>282788</v>
      </c>
      <c r="O214" s="56">
        <v>29372</v>
      </c>
      <c r="P214" s="56">
        <v>59239</v>
      </c>
      <c r="R214" s="56">
        <f t="shared" si="58"/>
        <v>59239</v>
      </c>
      <c r="S214" s="56">
        <f t="shared" si="59"/>
        <v>0</v>
      </c>
      <c r="U214" s="16">
        <v>-1.8191333735506077E-2</v>
      </c>
      <c r="V214" s="16">
        <v>-2.207033534735392E-3</v>
      </c>
      <c r="W214" s="56">
        <f t="shared" si="60"/>
        <v>4</v>
      </c>
      <c r="X214" s="56">
        <f t="shared" si="61"/>
        <v>2880.2760631145052</v>
      </c>
      <c r="Y214" s="56">
        <f t="shared" si="61"/>
        <v>294.36968376367588</v>
      </c>
      <c r="AA214" s="56">
        <f t="shared" si="73"/>
        <v>0</v>
      </c>
      <c r="AB214" s="56">
        <v>0</v>
      </c>
      <c r="AC214" s="56">
        <f t="shared" si="62"/>
        <v>0</v>
      </c>
      <c r="AE214" s="56">
        <v>0</v>
      </c>
      <c r="AF214" s="56">
        <f t="shared" si="63"/>
        <v>0</v>
      </c>
      <c r="AG214" s="56">
        <f t="shared" si="64"/>
        <v>0</v>
      </c>
      <c r="AI214" s="56">
        <f t="shared" si="65"/>
        <v>0</v>
      </c>
      <c r="AJ214" s="56">
        <f t="shared" si="66"/>
        <v>0</v>
      </c>
      <c r="AK214" s="56">
        <f t="shared" si="67"/>
        <v>0</v>
      </c>
      <c r="AM214" s="56">
        <f t="shared" si="68"/>
        <v>282788</v>
      </c>
      <c r="AN214" s="56">
        <f t="shared" si="69"/>
        <v>29372</v>
      </c>
      <c r="AO214" s="56">
        <f t="shared" si="70"/>
        <v>59239</v>
      </c>
      <c r="AP214" s="56"/>
      <c r="AQ214" s="56">
        <f t="shared" si="71"/>
        <v>371399</v>
      </c>
      <c r="AR214" s="1"/>
      <c r="AS214" s="56">
        <v>1272.2688634912167</v>
      </c>
      <c r="AT214" s="56">
        <v>132.14521499661944</v>
      </c>
      <c r="AU214" s="56">
        <v>266.51744488576668</v>
      </c>
      <c r="AV214" s="56"/>
      <c r="AW214" s="56">
        <v>1670.9315233736027</v>
      </c>
      <c r="AX214" s="1"/>
      <c r="AY214" s="16">
        <v>-1.8191333735506077E-2</v>
      </c>
      <c r="AZ214" s="16">
        <v>-2.207033534735392E-3</v>
      </c>
      <c r="BA214" s="16">
        <v>4.0438506300913613E-2</v>
      </c>
      <c r="BB214" s="16">
        <f t="shared" si="72"/>
        <v>-8.018524725374232E-3</v>
      </c>
      <c r="BC214" s="16"/>
      <c r="BD214" s="1"/>
      <c r="BE214" s="16">
        <f>AM214/'2017-18 disagg'!AM214-1</f>
        <v>2.2268172419277921E-2</v>
      </c>
      <c r="BF214" s="16">
        <f>AN214/'2017-18 disagg'!AN214-1</f>
        <v>2.2274815536683867E-2</v>
      </c>
      <c r="BG214" s="16">
        <f>AO214/'2017-18 disagg'!AO214-1</f>
        <v>4.7810244799773693E-2</v>
      </c>
      <c r="BH214" s="16">
        <f>AQ214/'2017-18 disagg'!AQ214-1</f>
        <v>2.6258925216084084E-2</v>
      </c>
      <c r="BI214" s="1"/>
      <c r="BJ214" s="16">
        <f>AS214/'2017-18 disagg'!AS214-1</f>
        <v>1.2021216409250135E-2</v>
      </c>
      <c r="BK214" s="16">
        <f>AT214/'2017-18 disagg'!AT214-1</f>
        <v>1.2027792937737924E-2</v>
      </c>
      <c r="BL214" s="16">
        <f>AU214/'2017-18 disagg'!AU214-1</f>
        <v>3.7307261556237759E-2</v>
      </c>
      <c r="BM214" s="16">
        <f>AW214/'2017-18 disagg'!AW214-1</f>
        <v>1.5971966915601543E-2</v>
      </c>
    </row>
    <row r="215" spans="1:65" x14ac:dyDescent="0.2">
      <c r="A215" s="156" t="s">
        <v>475</v>
      </c>
      <c r="B215" s="156" t="s">
        <v>476</v>
      </c>
      <c r="D215" s="56">
        <f>VLOOKUP(A215,'2018-19'!$A$12:$AMX423,32,FALSE)</f>
        <v>1542945</v>
      </c>
      <c r="E215" s="56">
        <v>1684.9279191070395</v>
      </c>
      <c r="F215" s="16">
        <f>VLOOKUP(A215,'2018-19'!$A$12:$AMX423,34,FALSE)</f>
        <v>2.328775572328734E-2</v>
      </c>
      <c r="G215" s="16">
        <f>VLOOKUP(A215,'2018-19'!$A$12:$AMX423,35,FALSE)</f>
        <v>1.8048503384937575E-2</v>
      </c>
      <c r="H215" s="56"/>
      <c r="I215" s="56">
        <v>1539731.0517117428</v>
      </c>
      <c r="J215" s="56">
        <v>1681.4182209639102</v>
      </c>
      <c r="K215" s="16">
        <f t="shared" si="57"/>
        <v>2.0873439453494846E-3</v>
      </c>
      <c r="L215" s="58">
        <f t="shared" si="57"/>
        <v>2.0873439453494846E-3</v>
      </c>
      <c r="M215" s="10"/>
      <c r="N215" s="56">
        <v>1179145</v>
      </c>
      <c r="O215" s="56">
        <v>124583</v>
      </c>
      <c r="P215" s="56">
        <v>239217</v>
      </c>
      <c r="R215" s="56">
        <f t="shared" si="58"/>
        <v>239217</v>
      </c>
      <c r="S215" s="56">
        <f t="shared" si="59"/>
        <v>0</v>
      </c>
      <c r="U215" s="16">
        <v>2.6350278989364373E-3</v>
      </c>
      <c r="V215" s="16">
        <v>2.5901227349685918E-2</v>
      </c>
      <c r="W215" s="56">
        <f t="shared" si="60"/>
        <v>2</v>
      </c>
      <c r="X215" s="56">
        <f t="shared" si="61"/>
        <v>11760.460857536043</v>
      </c>
      <c r="Y215" s="56">
        <f t="shared" si="61"/>
        <v>1214.3761668152774</v>
      </c>
      <c r="AA215" s="56">
        <f t="shared" si="73"/>
        <v>0</v>
      </c>
      <c r="AB215" s="56">
        <v>0</v>
      </c>
      <c r="AC215" s="56">
        <f t="shared" si="62"/>
        <v>0</v>
      </c>
      <c r="AE215" s="56">
        <v>0</v>
      </c>
      <c r="AF215" s="56">
        <f t="shared" si="63"/>
        <v>0</v>
      </c>
      <c r="AG215" s="56">
        <f t="shared" si="64"/>
        <v>0</v>
      </c>
      <c r="AI215" s="56">
        <f t="shared" si="65"/>
        <v>0</v>
      </c>
      <c r="AJ215" s="56">
        <f t="shared" si="66"/>
        <v>0</v>
      </c>
      <c r="AK215" s="56">
        <f t="shared" si="67"/>
        <v>0</v>
      </c>
      <c r="AM215" s="56">
        <f t="shared" si="68"/>
        <v>1179145</v>
      </c>
      <c r="AN215" s="56">
        <f t="shared" si="69"/>
        <v>124583</v>
      </c>
      <c r="AO215" s="56">
        <f t="shared" si="70"/>
        <v>239217</v>
      </c>
      <c r="AP215" s="56"/>
      <c r="AQ215" s="56">
        <f t="shared" si="71"/>
        <v>1542945</v>
      </c>
      <c r="AR215" s="1"/>
      <c r="AS215" s="56">
        <v>1287.6507789814091</v>
      </c>
      <c r="AT215" s="56">
        <v>136.04721810959711</v>
      </c>
      <c r="AU215" s="56">
        <v>261.22992201603341</v>
      </c>
      <c r="AV215" s="56"/>
      <c r="AW215" s="56">
        <v>1684.9279191070395</v>
      </c>
      <c r="AX215" s="1"/>
      <c r="AY215" s="16">
        <v>2.6350278989364373E-3</v>
      </c>
      <c r="AZ215" s="16">
        <v>2.5901227349685918E-2</v>
      </c>
      <c r="BA215" s="16">
        <v>-1.2509318618593279E-2</v>
      </c>
      <c r="BB215" s="16">
        <f t="shared" si="72"/>
        <v>2.0873439453494846E-3</v>
      </c>
      <c r="BC215" s="16"/>
      <c r="BD215" s="1"/>
      <c r="BE215" s="16">
        <f>AM215/'2017-18 disagg'!AM215-1</f>
        <v>1.9868998843598717E-2</v>
      </c>
      <c r="BF215" s="16">
        <f>AN215/'2017-18 disagg'!AN215-1</f>
        <v>1.9300628354496752E-2</v>
      </c>
      <c r="BG215" s="16">
        <f>AO215/'2017-18 disagg'!AO215-1</f>
        <v>4.2639713381626088E-2</v>
      </c>
      <c r="BH215" s="16">
        <f>AQ215/'2017-18 disagg'!AQ215-1</f>
        <v>2.328775572328734E-2</v>
      </c>
      <c r="BI215" s="1"/>
      <c r="BJ215" s="16">
        <f>AS215/'2017-18 disagg'!AS215-1</f>
        <v>1.4647250604048256E-2</v>
      </c>
      <c r="BK215" s="16">
        <f>AT215/'2017-18 disagg'!AT215-1</f>
        <v>1.4081790182419729E-2</v>
      </c>
      <c r="BL215" s="16">
        <f>AU215/'2017-18 disagg'!AU215-1</f>
        <v>3.7301378660197004E-2</v>
      </c>
      <c r="BM215" s="16">
        <f>AW215/'2017-18 disagg'!AW215-1</f>
        <v>1.8048503384937575E-2</v>
      </c>
    </row>
    <row r="216" spans="1:65" x14ac:dyDescent="0.2">
      <c r="A216" s="156" t="s">
        <v>477</v>
      </c>
      <c r="B216" s="156" t="s">
        <v>478</v>
      </c>
      <c r="D216" s="56">
        <f>VLOOKUP(A216,'2018-19'!$A$12:$AMX424,32,FALSE)</f>
        <v>937871.50662844803</v>
      </c>
      <c r="E216" s="56">
        <v>1639.3563009592092</v>
      </c>
      <c r="F216" s="16">
        <f>VLOOKUP(A216,'2018-19'!$A$12:$AMX424,34,FALSE)</f>
        <v>2.2834257022259052E-2</v>
      </c>
      <c r="G216" s="16">
        <f>VLOOKUP(A216,'2018-19'!$A$12:$AMX424,35,FALSE)</f>
        <v>1.6355856585866135E-2</v>
      </c>
      <c r="H216" s="56"/>
      <c r="I216" s="56">
        <v>951860.96451148135</v>
      </c>
      <c r="J216" s="56">
        <v>1663.8092305614728</v>
      </c>
      <c r="K216" s="16">
        <f t="shared" si="57"/>
        <v>-1.4696955127488698E-2</v>
      </c>
      <c r="L216" s="58">
        <f t="shared" si="57"/>
        <v>-1.4696955127488809E-2</v>
      </c>
      <c r="M216" s="10"/>
      <c r="N216" s="56">
        <v>722264</v>
      </c>
      <c r="O216" s="56">
        <v>79747</v>
      </c>
      <c r="P216" s="56">
        <v>135483</v>
      </c>
      <c r="R216" s="56">
        <f t="shared" si="58"/>
        <v>135483</v>
      </c>
      <c r="S216" s="56">
        <f t="shared" si="59"/>
        <v>377.50662844802719</v>
      </c>
      <c r="U216" s="16">
        <v>-2.4393508926823682E-2</v>
      </c>
      <c r="V216" s="16">
        <v>8.0053655317543049E-2</v>
      </c>
      <c r="W216" s="56">
        <f t="shared" si="60"/>
        <v>1</v>
      </c>
      <c r="X216" s="56">
        <f t="shared" si="61"/>
        <v>7403.2307760222338</v>
      </c>
      <c r="Y216" s="56">
        <f t="shared" si="61"/>
        <v>738.36146572323617</v>
      </c>
      <c r="AA216" s="56">
        <f t="shared" si="73"/>
        <v>377.50662844802719</v>
      </c>
      <c r="AB216" s="56">
        <v>0</v>
      </c>
      <c r="AC216" s="56">
        <f t="shared" si="62"/>
        <v>0</v>
      </c>
      <c r="AE216" s="56">
        <v>0</v>
      </c>
      <c r="AF216" s="56">
        <f t="shared" si="63"/>
        <v>0</v>
      </c>
      <c r="AG216" s="56">
        <f t="shared" si="64"/>
        <v>0</v>
      </c>
      <c r="AI216" s="56">
        <f t="shared" si="65"/>
        <v>0</v>
      </c>
      <c r="AJ216" s="56">
        <f t="shared" si="66"/>
        <v>0</v>
      </c>
      <c r="AK216" s="56">
        <f t="shared" si="67"/>
        <v>0</v>
      </c>
      <c r="AM216" s="56">
        <f t="shared" si="68"/>
        <v>722642</v>
      </c>
      <c r="AN216" s="56">
        <f t="shared" si="69"/>
        <v>79747</v>
      </c>
      <c r="AO216" s="56">
        <f t="shared" si="70"/>
        <v>135483</v>
      </c>
      <c r="AP216" s="56"/>
      <c r="AQ216" s="56">
        <f t="shared" si="71"/>
        <v>937872</v>
      </c>
      <c r="AR216" s="1"/>
      <c r="AS216" s="56">
        <v>1263.1450125790941</v>
      </c>
      <c r="AT216" s="56">
        <v>139.39409184374145</v>
      </c>
      <c r="AU216" s="56">
        <v>236.8180589271775</v>
      </c>
      <c r="AV216" s="56"/>
      <c r="AW216" s="56">
        <v>1639.357163350013</v>
      </c>
      <c r="AX216" s="1"/>
      <c r="AY216" s="16">
        <v>-2.3882921034272364E-2</v>
      </c>
      <c r="AZ216" s="16">
        <v>8.0053655317543049E-2</v>
      </c>
      <c r="BA216" s="16">
        <v>-1.6112652835798769E-2</v>
      </c>
      <c r="BB216" s="16">
        <f t="shared" si="72"/>
        <v>-1.4696436804361279E-2</v>
      </c>
      <c r="BC216" s="16"/>
      <c r="BD216" s="1"/>
      <c r="BE216" s="16">
        <f>AM216/'2017-18 disagg'!AM216-1</f>
        <v>2.0402630356414209E-2</v>
      </c>
      <c r="BF216" s="16">
        <f>AN216/'2017-18 disagg'!AN216-1</f>
        <v>1.0005446002254281E-2</v>
      </c>
      <c r="BG216" s="16">
        <f>AO216/'2017-18 disagg'!AO216-1</f>
        <v>4.3911422055106897E-2</v>
      </c>
      <c r="BH216" s="16">
        <f>AQ216/'2017-18 disagg'!AQ216-1</f>
        <v>2.2834795088850557E-2</v>
      </c>
      <c r="BI216" s="1"/>
      <c r="BJ216" s="16">
        <f>AS216/'2017-18 disagg'!AS216-1</f>
        <v>1.3939631292379628E-2</v>
      </c>
      <c r="BK216" s="16">
        <f>AT216/'2017-18 disagg'!AT216-1</f>
        <v>3.6083003481881537E-3</v>
      </c>
      <c r="BL216" s="16">
        <f>AU216/'2017-18 disagg'!AU216-1</f>
        <v>3.7299523630932363E-2</v>
      </c>
      <c r="BM216" s="16">
        <f>AW216/'2017-18 disagg'!AW216-1</f>
        <v>1.6356391244465751E-2</v>
      </c>
    </row>
    <row r="217" spans="1:65" x14ac:dyDescent="0.2">
      <c r="A217" s="156" t="s">
        <v>479</v>
      </c>
      <c r="B217" s="156" t="s">
        <v>480</v>
      </c>
      <c r="D217" s="56">
        <f>VLOOKUP(A217,'2018-19'!$A$12:$AMX425,32,FALSE)</f>
        <v>521978</v>
      </c>
      <c r="E217" s="56">
        <v>1796.0774289102151</v>
      </c>
      <c r="F217" s="16">
        <f>VLOOKUP(A217,'2018-19'!$A$12:$AMX425,34,FALSE)</f>
        <v>2.0860061958256404E-2</v>
      </c>
      <c r="G217" s="16">
        <f>VLOOKUP(A217,'2018-19'!$A$12:$AMX425,35,FALSE)</f>
        <v>1.6109131771991025E-2</v>
      </c>
      <c r="H217" s="56"/>
      <c r="I217" s="56">
        <v>507035.78378901212</v>
      </c>
      <c r="J217" s="56">
        <v>1744.6626618616965</v>
      </c>
      <c r="K217" s="16">
        <f t="shared" si="57"/>
        <v>2.9469746887146098E-2</v>
      </c>
      <c r="L217" s="58">
        <f t="shared" si="57"/>
        <v>2.9469746887146098E-2</v>
      </c>
      <c r="M217" s="10"/>
      <c r="N217" s="56">
        <v>408598</v>
      </c>
      <c r="O217" s="56">
        <v>37815</v>
      </c>
      <c r="P217" s="56">
        <v>75565</v>
      </c>
      <c r="R217" s="56">
        <f t="shared" si="58"/>
        <v>75565</v>
      </c>
      <c r="S217" s="56">
        <f t="shared" si="59"/>
        <v>0</v>
      </c>
      <c r="U217" s="16">
        <v>5.3363942665482611E-2</v>
      </c>
      <c r="V217" s="16">
        <v>-3.9669355157064601E-2</v>
      </c>
      <c r="W217" s="56">
        <f t="shared" si="60"/>
        <v>3</v>
      </c>
      <c r="X217" s="56">
        <f t="shared" si="61"/>
        <v>3878.9822154540821</v>
      </c>
      <c r="Y217" s="56">
        <f t="shared" si="61"/>
        <v>393.7706268468059</v>
      </c>
      <c r="AA217" s="56">
        <f t="shared" si="73"/>
        <v>0</v>
      </c>
      <c r="AB217" s="56">
        <v>0</v>
      </c>
      <c r="AC217" s="56">
        <f t="shared" si="62"/>
        <v>0</v>
      </c>
      <c r="AE217" s="56">
        <v>0</v>
      </c>
      <c r="AF217" s="56">
        <f t="shared" si="63"/>
        <v>0</v>
      </c>
      <c r="AG217" s="56">
        <f t="shared" si="64"/>
        <v>0</v>
      </c>
      <c r="AI217" s="56">
        <f t="shared" si="65"/>
        <v>0</v>
      </c>
      <c r="AJ217" s="56">
        <f t="shared" si="66"/>
        <v>0</v>
      </c>
      <c r="AK217" s="56">
        <f t="shared" si="67"/>
        <v>0</v>
      </c>
      <c r="AM217" s="56">
        <f t="shared" si="68"/>
        <v>408598</v>
      </c>
      <c r="AN217" s="56">
        <f t="shared" si="69"/>
        <v>37815</v>
      </c>
      <c r="AO217" s="56">
        <f t="shared" si="70"/>
        <v>75565</v>
      </c>
      <c r="AP217" s="56"/>
      <c r="AQ217" s="56">
        <f t="shared" si="71"/>
        <v>521978</v>
      </c>
      <c r="AR217" s="1"/>
      <c r="AS217" s="56">
        <v>1405.9474638736806</v>
      </c>
      <c r="AT217" s="56">
        <v>130.11787465034885</v>
      </c>
      <c r="AU217" s="56">
        <v>260.01209038618566</v>
      </c>
      <c r="AV217" s="56"/>
      <c r="AW217" s="56">
        <v>1796.0774289102151</v>
      </c>
      <c r="AX217" s="1"/>
      <c r="AY217" s="16">
        <v>5.3363942665482611E-2</v>
      </c>
      <c r="AZ217" s="16">
        <v>-3.9669355157064601E-2</v>
      </c>
      <c r="BA217" s="16">
        <v>-5.2601219677968603E-2</v>
      </c>
      <c r="BB217" s="16">
        <f t="shared" si="72"/>
        <v>2.9469746887146098E-2</v>
      </c>
      <c r="BC217" s="16"/>
      <c r="BD217" s="1"/>
      <c r="BE217" s="16">
        <f>AM217/'2017-18 disagg'!AM217-1</f>
        <v>1.7161890347121345E-2</v>
      </c>
      <c r="BF217" s="16">
        <f>AN217/'2017-18 disagg'!AN217-1</f>
        <v>1.9299711582522416E-2</v>
      </c>
      <c r="BG217" s="16">
        <f>AO217/'2017-18 disagg'!AO217-1</f>
        <v>4.2146492159593985E-2</v>
      </c>
      <c r="BH217" s="16">
        <f>AQ217/'2017-18 disagg'!AQ217-1</f>
        <v>2.0860061958256404E-2</v>
      </c>
      <c r="BI217" s="1"/>
      <c r="BJ217" s="16">
        <f>AS217/'2017-18 disagg'!AS217-1</f>
        <v>1.2428170898934443E-2</v>
      </c>
      <c r="BK217" s="16">
        <f>AT217/'2017-18 disagg'!AT217-1</f>
        <v>1.4556043033750132E-2</v>
      </c>
      <c r="BL217" s="16">
        <f>AU217/'2017-18 disagg'!AU217-1</f>
        <v>3.7296498107897813E-2</v>
      </c>
      <c r="BM217" s="16">
        <f>AW217/'2017-18 disagg'!AW217-1</f>
        <v>1.6109131771991025E-2</v>
      </c>
    </row>
    <row r="218" spans="1:65" x14ac:dyDescent="0.2">
      <c r="A218" s="156" t="s">
        <v>481</v>
      </c>
      <c r="B218" s="156" t="s">
        <v>482</v>
      </c>
      <c r="D218" s="56">
        <f>VLOOKUP(A218,'2018-19'!$A$12:$AMX426,32,FALSE)</f>
        <v>394317.80307516351</v>
      </c>
      <c r="E218" s="56">
        <v>1457.4140543942533</v>
      </c>
      <c r="F218" s="16">
        <f>VLOOKUP(A218,'2018-19'!$A$12:$AMX426,34,FALSE)</f>
        <v>2.5827422865224214E-2</v>
      </c>
      <c r="G218" s="16">
        <f>VLOOKUP(A218,'2018-19'!$A$12:$AMX426,35,FALSE)</f>
        <v>1.7510321461694067E-2</v>
      </c>
      <c r="H218" s="56"/>
      <c r="I218" s="56">
        <v>401603.82106544968</v>
      </c>
      <c r="J218" s="56">
        <v>1484.3434624422798</v>
      </c>
      <c r="K218" s="16">
        <f t="shared" si="57"/>
        <v>-1.8142302458568405E-2</v>
      </c>
      <c r="L218" s="58">
        <f t="shared" si="57"/>
        <v>-1.8142302458568405E-2</v>
      </c>
      <c r="M218" s="10"/>
      <c r="N218" s="56">
        <v>291525</v>
      </c>
      <c r="O218" s="56">
        <v>33906</v>
      </c>
      <c r="P218" s="56">
        <v>68286</v>
      </c>
      <c r="R218" s="56">
        <f t="shared" si="58"/>
        <v>68286</v>
      </c>
      <c r="S218" s="56">
        <f t="shared" si="59"/>
        <v>600.80307516350877</v>
      </c>
      <c r="U218" s="16">
        <v>-3.8232999121103006E-2</v>
      </c>
      <c r="V218" s="16">
        <v>5.3376521109558928E-2</v>
      </c>
      <c r="W218" s="56">
        <f t="shared" si="60"/>
        <v>1</v>
      </c>
      <c r="X218" s="56">
        <f t="shared" si="61"/>
        <v>3031.1395559797129</v>
      </c>
      <c r="Y218" s="56">
        <f t="shared" si="61"/>
        <v>321.87920767671568</v>
      </c>
      <c r="AA218" s="56">
        <f t="shared" si="73"/>
        <v>600.80307516350877</v>
      </c>
      <c r="AB218" s="56">
        <v>0</v>
      </c>
      <c r="AC218" s="56">
        <f t="shared" si="62"/>
        <v>0</v>
      </c>
      <c r="AE218" s="56">
        <v>0</v>
      </c>
      <c r="AF218" s="56">
        <f t="shared" si="63"/>
        <v>0</v>
      </c>
      <c r="AG218" s="56">
        <f t="shared" si="64"/>
        <v>0</v>
      </c>
      <c r="AI218" s="56">
        <f t="shared" si="65"/>
        <v>0</v>
      </c>
      <c r="AJ218" s="56">
        <f t="shared" si="66"/>
        <v>0</v>
      </c>
      <c r="AK218" s="56">
        <f t="shared" si="67"/>
        <v>0</v>
      </c>
      <c r="AM218" s="56">
        <f t="shared" si="68"/>
        <v>292126</v>
      </c>
      <c r="AN218" s="56">
        <f t="shared" si="69"/>
        <v>33906</v>
      </c>
      <c r="AO218" s="56">
        <f t="shared" si="70"/>
        <v>68286</v>
      </c>
      <c r="AP218" s="56"/>
      <c r="AQ218" s="56">
        <f t="shared" si="71"/>
        <v>394318</v>
      </c>
      <c r="AR218" s="1"/>
      <c r="AS218" s="56">
        <v>1079.709145094879</v>
      </c>
      <c r="AT218" s="56">
        <v>125.31790485470984</v>
      </c>
      <c r="AU218" s="56">
        <v>252.38773228657809</v>
      </c>
      <c r="AV218" s="56"/>
      <c r="AW218" s="56">
        <v>1457.414782236167</v>
      </c>
      <c r="AX218" s="1"/>
      <c r="AY218" s="16">
        <v>-3.6250246466859815E-2</v>
      </c>
      <c r="AZ218" s="16">
        <v>5.3376521109558928E-2</v>
      </c>
      <c r="BA218" s="16">
        <v>2.9924541567766472E-2</v>
      </c>
      <c r="BB218" s="16">
        <f t="shared" si="72"/>
        <v>-1.8141812112545397E-2</v>
      </c>
      <c r="BC218" s="16"/>
      <c r="BD218" s="1"/>
      <c r="BE218" s="16">
        <f>AM218/'2017-18 disagg'!AM218-1</f>
        <v>2.239550340009866E-2</v>
      </c>
      <c r="BF218" s="16">
        <f>AN218/'2017-18 disagg'!AN218-1</f>
        <v>1.61841395432476E-2</v>
      </c>
      <c r="BG218" s="16">
        <f>AO218/'2017-18 disagg'!AO218-1</f>
        <v>4.5775456759115984E-2</v>
      </c>
      <c r="BH218" s="16">
        <f>AQ218/'2017-18 disagg'!AQ218-1</f>
        <v>2.5827935170009697E-2</v>
      </c>
      <c r="BI218" s="1"/>
      <c r="BJ218" s="16">
        <f>AS218/'2017-18 disagg'!AS218-1</f>
        <v>1.4106226971378089E-2</v>
      </c>
      <c r="BK218" s="16">
        <f>AT218/'2017-18 disagg'!AT218-1</f>
        <v>7.9452229917345019E-3</v>
      </c>
      <c r="BL218" s="16">
        <f>AU218/'2017-18 disagg'!AU218-1</f>
        <v>3.7296622673266944E-2</v>
      </c>
      <c r="BM218" s="16">
        <f>AW218/'2017-18 disagg'!AW218-1</f>
        <v>1.7510829612865875E-2</v>
      </c>
    </row>
    <row r="219" spans="1:65" x14ac:dyDescent="0.2">
      <c r="A219" s="156" t="s">
        <v>483</v>
      </c>
      <c r="B219" s="156" t="s">
        <v>484</v>
      </c>
      <c r="D219" s="56">
        <f>VLOOKUP(A219,'2018-19'!$A$12:$AMX427,32,FALSE)</f>
        <v>353494.88400430599</v>
      </c>
      <c r="E219" s="56">
        <v>1477.6356055582091</v>
      </c>
      <c r="F219" s="16">
        <f>VLOOKUP(A219,'2018-19'!$A$12:$AMX427,34,FALSE)</f>
        <v>2.9522783812539588E-2</v>
      </c>
      <c r="G219" s="16">
        <f>VLOOKUP(A219,'2018-19'!$A$12:$AMX427,35,FALSE)</f>
        <v>1.8044027105007521E-2</v>
      </c>
      <c r="H219" s="56"/>
      <c r="I219" s="56">
        <v>360444.60243159556</v>
      </c>
      <c r="J219" s="56">
        <v>1506.6859592166286</v>
      </c>
      <c r="K219" s="16">
        <f t="shared" si="57"/>
        <v>-1.928096129171053E-2</v>
      </c>
      <c r="L219" s="58">
        <f t="shared" si="57"/>
        <v>-1.9280961291710419E-2</v>
      </c>
      <c r="M219" s="10"/>
      <c r="N219" s="56">
        <v>270555</v>
      </c>
      <c r="O219" s="56">
        <v>29897</v>
      </c>
      <c r="P219" s="56">
        <v>52223</v>
      </c>
      <c r="R219" s="56">
        <f t="shared" si="58"/>
        <v>52223</v>
      </c>
      <c r="S219" s="56">
        <f t="shared" si="59"/>
        <v>819.88400430598995</v>
      </c>
      <c r="U219" s="16">
        <v>-1.5735540180137009E-2</v>
      </c>
      <c r="V219" s="16">
        <v>-1.4522121025330126E-2</v>
      </c>
      <c r="W219" s="56">
        <f t="shared" si="60"/>
        <v>4</v>
      </c>
      <c r="X219" s="56">
        <f t="shared" si="61"/>
        <v>2748.8039144430363</v>
      </c>
      <c r="Y219" s="56">
        <f t="shared" si="61"/>
        <v>303.37565802193365</v>
      </c>
      <c r="AA219" s="56">
        <f t="shared" si="73"/>
        <v>0</v>
      </c>
      <c r="AB219" s="56">
        <v>0</v>
      </c>
      <c r="AC219" s="56">
        <f t="shared" si="62"/>
        <v>819.88400430598995</v>
      </c>
      <c r="AE219" s="56">
        <v>0</v>
      </c>
      <c r="AF219" s="56">
        <f t="shared" si="63"/>
        <v>0</v>
      </c>
      <c r="AG219" s="56">
        <f t="shared" si="64"/>
        <v>819.88400430598995</v>
      </c>
      <c r="AI219" s="56">
        <f t="shared" si="65"/>
        <v>738.39048683673161</v>
      </c>
      <c r="AJ219" s="56">
        <f t="shared" si="66"/>
        <v>81.493517469258364</v>
      </c>
      <c r="AK219" s="56">
        <f t="shared" si="67"/>
        <v>0</v>
      </c>
      <c r="AM219" s="56">
        <f t="shared" si="68"/>
        <v>271293</v>
      </c>
      <c r="AN219" s="56">
        <f t="shared" si="69"/>
        <v>29978</v>
      </c>
      <c r="AO219" s="56">
        <f t="shared" si="70"/>
        <v>52223</v>
      </c>
      <c r="AP219" s="56"/>
      <c r="AQ219" s="56">
        <f t="shared" si="71"/>
        <v>353494</v>
      </c>
      <c r="AR219" s="1"/>
      <c r="AS219" s="56">
        <v>1134.0254540538699</v>
      </c>
      <c r="AT219" s="56">
        <v>125.31032891238223</v>
      </c>
      <c r="AU219" s="56">
        <v>218.29612738646131</v>
      </c>
      <c r="AV219" s="56"/>
      <c r="AW219" s="56">
        <v>1477.6319103527135</v>
      </c>
      <c r="AX219" s="1"/>
      <c r="AY219" s="16">
        <v>-1.3050736087264703E-2</v>
      </c>
      <c r="AZ219" s="16">
        <v>-1.1852163899299106E-2</v>
      </c>
      <c r="BA219" s="16">
        <v>-5.4387609007056081E-2</v>
      </c>
      <c r="BB219" s="16">
        <f t="shared" si="72"/>
        <v>-1.9283413830325391E-2</v>
      </c>
      <c r="BC219" s="16"/>
      <c r="BD219" s="1"/>
      <c r="BE219" s="16">
        <f>AM219/'2017-18 disagg'!AM219-1</f>
        <v>2.6221719542595112E-2</v>
      </c>
      <c r="BF219" s="16">
        <f>AN219/'2017-18 disagg'!AN219-1</f>
        <v>2.6186971553760374E-2</v>
      </c>
      <c r="BG219" s="16">
        <f>AO219/'2017-18 disagg'!AO219-1</f>
        <v>4.8991643901655113E-2</v>
      </c>
      <c r="BH219" s="16">
        <f>AQ219/'2017-18 disagg'!AQ219-1</f>
        <v>2.95202092276865E-2</v>
      </c>
      <c r="BI219" s="1"/>
      <c r="BJ219" s="16">
        <f>AS219/'2017-18 disagg'!AS219-1</f>
        <v>1.4779768347506383E-2</v>
      </c>
      <c r="BK219" s="16">
        <f>AT219/'2017-18 disagg'!AT219-1</f>
        <v>1.4745407784492848E-2</v>
      </c>
      <c r="BL219" s="16">
        <f>AU219/'2017-18 disagg'!AU219-1</f>
        <v>3.7295817390666341E-2</v>
      </c>
      <c r="BM219" s="16">
        <f>AW219/'2017-18 disagg'!AW219-1</f>
        <v>1.8041481225719247E-2</v>
      </c>
    </row>
    <row r="220" spans="1:65" x14ac:dyDescent="0.2">
      <c r="A220" s="156" t="s">
        <v>485</v>
      </c>
      <c r="B220" s="156" t="s">
        <v>486</v>
      </c>
      <c r="D220" s="56">
        <f>VLOOKUP(A220,'2018-19'!$A$12:$AMX428,32,FALSE)</f>
        <v>772078.71306777932</v>
      </c>
      <c r="E220" s="56">
        <v>1561.3831439162843</v>
      </c>
      <c r="F220" s="16">
        <f>VLOOKUP(A220,'2018-19'!$A$12:$AMX428,34,FALSE)</f>
        <v>2.6622600504721428E-2</v>
      </c>
      <c r="G220" s="16">
        <f>VLOOKUP(A220,'2018-19'!$A$12:$AMX428,35,FALSE)</f>
        <v>2.0689659918947001E-2</v>
      </c>
      <c r="H220" s="56"/>
      <c r="I220" s="56">
        <v>792589.68299819541</v>
      </c>
      <c r="J220" s="56">
        <v>1602.8627005633978</v>
      </c>
      <c r="K220" s="16">
        <f t="shared" si="57"/>
        <v>-2.5878421546981945E-2</v>
      </c>
      <c r="L220" s="58">
        <f t="shared" si="57"/>
        <v>-2.5878421546981945E-2</v>
      </c>
      <c r="M220" s="10"/>
      <c r="N220" s="56">
        <v>597249</v>
      </c>
      <c r="O220" s="56">
        <v>61399</v>
      </c>
      <c r="P220" s="56">
        <v>110810</v>
      </c>
      <c r="R220" s="56">
        <f t="shared" si="58"/>
        <v>110810</v>
      </c>
      <c r="S220" s="56">
        <f t="shared" si="59"/>
        <v>2620.7130677793175</v>
      </c>
      <c r="U220" s="16">
        <v>-2.6922137358712184E-2</v>
      </c>
      <c r="V220" s="16">
        <v>-1.8437213284527632E-2</v>
      </c>
      <c r="W220" s="56">
        <f t="shared" si="60"/>
        <v>4</v>
      </c>
      <c r="X220" s="56">
        <f t="shared" si="61"/>
        <v>6137.7308325445674</v>
      </c>
      <c r="Y220" s="56">
        <f t="shared" si="61"/>
        <v>625.52289910515788</v>
      </c>
      <c r="AA220" s="56">
        <f t="shared" si="73"/>
        <v>0</v>
      </c>
      <c r="AB220" s="56">
        <v>0</v>
      </c>
      <c r="AC220" s="56">
        <f t="shared" si="62"/>
        <v>2620.7130677793175</v>
      </c>
      <c r="AE220" s="56">
        <v>0</v>
      </c>
      <c r="AF220" s="56">
        <f t="shared" si="63"/>
        <v>0</v>
      </c>
      <c r="AG220" s="56">
        <f>AC220-AE220-AF220</f>
        <v>2620.7130677793175</v>
      </c>
      <c r="AI220" s="56">
        <f t="shared" si="65"/>
        <v>2378.3273609990661</v>
      </c>
      <c r="AJ220" s="56">
        <f t="shared" si="66"/>
        <v>242.38570678025133</v>
      </c>
      <c r="AK220" s="56">
        <f t="shared" si="67"/>
        <v>0</v>
      </c>
      <c r="AM220" s="56">
        <f t="shared" si="68"/>
        <v>599627</v>
      </c>
      <c r="AN220" s="56">
        <f t="shared" si="69"/>
        <v>61641</v>
      </c>
      <c r="AO220" s="56">
        <f t="shared" si="70"/>
        <v>110810</v>
      </c>
      <c r="AP220" s="56"/>
      <c r="AQ220" s="56">
        <f t="shared" si="71"/>
        <v>772078</v>
      </c>
      <c r="AR220" s="1"/>
      <c r="AS220" s="56">
        <v>1212.6321767336415</v>
      </c>
      <c r="AT220" s="56">
        <v>124.65726194123746</v>
      </c>
      <c r="AU220" s="56">
        <v>224.09226319671197</v>
      </c>
      <c r="AV220" s="56"/>
      <c r="AW220" s="56">
        <v>1561.3817018715908</v>
      </c>
      <c r="AX220" s="1"/>
      <c r="AY220" s="16">
        <v>-2.3047741323957815E-2</v>
      </c>
      <c r="AZ220" s="16">
        <v>-1.4568450041068548E-2</v>
      </c>
      <c r="BA220" s="16">
        <v>-4.6913019490218977E-2</v>
      </c>
      <c r="BB220" s="16">
        <f t="shared" si="72"/>
        <v>-2.5879321215239837E-2</v>
      </c>
      <c r="BC220" s="16"/>
      <c r="BD220" s="1"/>
      <c r="BE220" s="16">
        <f>AM220/'2017-18 disagg'!AM220-1</f>
        <v>2.3930479685389416E-2</v>
      </c>
      <c r="BF220" s="16">
        <f>AN220/'2017-18 disagg'!AN220-1</f>
        <v>2.3324921973570722E-2</v>
      </c>
      <c r="BG220" s="16">
        <f>AO220/'2017-18 disagg'!AO220-1</f>
        <v>4.3330069297981222E-2</v>
      </c>
      <c r="BH220" s="16">
        <f>AQ220/'2017-18 disagg'!AQ220-1</f>
        <v>2.6621652348159719E-2</v>
      </c>
      <c r="BI220" s="1"/>
      <c r="BJ220" s="16">
        <f>AS220/'2017-18 disagg'!AS220-1</f>
        <v>1.8013097098107167E-2</v>
      </c>
      <c r="BK220" s="16">
        <f>AT220/'2017-18 disagg'!AT220-1</f>
        <v>1.7411038956552716E-2</v>
      </c>
      <c r="BL220" s="16">
        <f>AU220/'2017-18 disagg'!AU220-1</f>
        <v>3.7300574808522668E-2</v>
      </c>
      <c r="BM220" s="16">
        <f>AW220/'2017-18 disagg'!AW220-1</f>
        <v>2.0688717241863719E-2</v>
      </c>
    </row>
    <row r="221" spans="1:65" x14ac:dyDescent="0.2">
      <c r="A221" s="156"/>
      <c r="B221" s="156"/>
      <c r="D221" s="56"/>
      <c r="E221" s="56"/>
      <c r="F221" s="16"/>
      <c r="G221" s="16"/>
      <c r="H221" s="56"/>
      <c r="I221" s="56"/>
      <c r="J221" s="56"/>
      <c r="K221" s="16"/>
      <c r="L221" s="58"/>
      <c r="M221" s="10"/>
      <c r="N221" s="56"/>
      <c r="O221" s="56"/>
      <c r="P221" s="56"/>
      <c r="R221" s="56"/>
      <c r="S221" s="56"/>
      <c r="U221" s="56"/>
      <c r="V221" s="56"/>
      <c r="W221" s="56"/>
      <c r="X221" s="56"/>
      <c r="Y221" s="56"/>
      <c r="AA221" s="56"/>
      <c r="AB221" s="56"/>
      <c r="AC221" s="56"/>
      <c r="AE221" s="56"/>
      <c r="AF221" s="56"/>
      <c r="AG221" s="56"/>
      <c r="AI221" s="56"/>
      <c r="AJ221" s="56"/>
      <c r="AK221" s="56"/>
      <c r="AM221" s="56"/>
      <c r="AN221" s="56"/>
      <c r="AO221" s="56"/>
      <c r="AP221" s="56"/>
      <c r="AQ221" s="56"/>
      <c r="AR221" s="1"/>
      <c r="AS221" s="56"/>
      <c r="AT221" s="56"/>
      <c r="AU221" s="56"/>
      <c r="AV221" s="56"/>
      <c r="AW221" s="56"/>
      <c r="AX221" s="1"/>
      <c r="AY221" s="56"/>
      <c r="AZ221" s="56"/>
      <c r="BA221" s="56"/>
      <c r="BB221" s="56"/>
      <c r="BC221" s="56"/>
      <c r="BD221" s="1"/>
      <c r="BE221" s="16"/>
      <c r="BF221" s="16"/>
      <c r="BG221" s="16"/>
      <c r="BH221" s="16"/>
      <c r="BI221" s="1"/>
      <c r="BJ221" s="16"/>
      <c r="BK221" s="16"/>
      <c r="BL221" s="16"/>
      <c r="BM221" s="16"/>
    </row>
    <row r="222" spans="1:65" s="43" customFormat="1" x14ac:dyDescent="0.2">
      <c r="A222" s="2"/>
      <c r="B222" s="59" t="s">
        <v>12</v>
      </c>
      <c r="D222" s="24">
        <f>SUM(D12:D220)</f>
        <v>97246518.423480049</v>
      </c>
      <c r="E222" s="61">
        <v>1659.7174943080554</v>
      </c>
      <c r="F222" s="24"/>
      <c r="G222" s="25"/>
      <c r="H222" s="21"/>
      <c r="I222" s="24">
        <f>SUM(I12:I220)</f>
        <v>97246569.278791621</v>
      </c>
      <c r="J222" s="61">
        <v>1659.7183622614966</v>
      </c>
      <c r="K222" s="25">
        <f t="shared" ref="K222:L222" si="74">D222/I222-1</f>
        <v>-5.2295224350906722E-7</v>
      </c>
      <c r="L222" s="62">
        <f t="shared" si="74"/>
        <v>-5.2295224350906722E-7</v>
      </c>
      <c r="M222" s="63"/>
      <c r="N222" s="24">
        <f t="shared" ref="N222:P222" si="75">SUM(N12:N220)</f>
        <v>73508656</v>
      </c>
      <c r="O222" s="24">
        <f t="shared" si="75"/>
        <v>7755210</v>
      </c>
      <c r="P222" s="24">
        <f t="shared" si="75"/>
        <v>15885992</v>
      </c>
      <c r="R222" s="24">
        <f t="shared" ref="R222:S222" si="76">SUM(R12:R220)</f>
        <v>15885992</v>
      </c>
      <c r="S222" s="24">
        <f t="shared" si="76"/>
        <v>96660.423480058176</v>
      </c>
      <c r="U222" s="24"/>
      <c r="V222" s="24"/>
      <c r="W222" s="24"/>
      <c r="X222" s="24"/>
      <c r="Y222" s="24"/>
      <c r="AA222" s="24"/>
      <c r="AB222" s="24"/>
      <c r="AC222" s="24"/>
      <c r="AE222" s="24"/>
      <c r="AF222" s="24"/>
      <c r="AG222" s="24"/>
      <c r="AI222" s="24"/>
      <c r="AJ222" s="24"/>
      <c r="AK222" s="24"/>
      <c r="AM222" s="24">
        <f>SUM(AM12:AM220)</f>
        <v>73597110</v>
      </c>
      <c r="AN222" s="24">
        <f>SUM(AN12:AN220)</f>
        <v>7763415</v>
      </c>
      <c r="AO222" s="24">
        <f>SUM(AO12:AO220)</f>
        <v>15885992</v>
      </c>
      <c r="AP222" s="24"/>
      <c r="AQ222" s="24">
        <f>SUM(AQ12:AQ220)</f>
        <v>97246517</v>
      </c>
      <c r="AS222" s="61">
        <v>1256.0903256771121</v>
      </c>
      <c r="AT222" s="61">
        <v>132.499095082899</v>
      </c>
      <c r="AU222" s="61">
        <v>271.128049253347</v>
      </c>
      <c r="AV222" s="61"/>
      <c r="AW222" s="61">
        <v>1659.717470013358</v>
      </c>
      <c r="AY222" s="25">
        <v>6.6329205212412035E-4</v>
      </c>
      <c r="AZ222" s="25">
        <v>-6.1556679254947122E-3</v>
      </c>
      <c r="BA222" s="25">
        <v>-4.7290929741095056E-5</v>
      </c>
      <c r="BB222" s="25">
        <f t="shared" si="72"/>
        <v>-5.3759008677989328E-7</v>
      </c>
      <c r="BC222" s="25"/>
      <c r="BE222" s="25">
        <f>AM222/'2017-18 disagg'!AM222-1</f>
        <v>2.1454070318438045E-2</v>
      </c>
      <c r="BF222" s="25">
        <f>AN222/'2017-18 disagg'!AN222-1</f>
        <v>2.4850808549938153E-2</v>
      </c>
      <c r="BG222" s="25">
        <f>AO222/'2017-18 disagg'!AO222-1</f>
        <v>4.4913408167746027E-2</v>
      </c>
      <c r="BH222" s="25">
        <f>AQ222/'2017-18 disagg'!AQ222-1</f>
        <v>2.5486428041997966E-2</v>
      </c>
      <c r="BJ222" s="25">
        <f>AS222/'2017-18 disagg'!AS222-1</f>
        <v>1.4158480269833351E-2</v>
      </c>
      <c r="BK222" s="25">
        <f>AT222/'2017-18 disagg'!AT222-1</f>
        <v>1.7530957782854184E-2</v>
      </c>
      <c r="BL222" s="25">
        <f>AU222/'2017-18 disagg'!AU222-1</f>
        <v>3.7450263143608442E-2</v>
      </c>
      <c r="BM222" s="25">
        <f>AW222/'2017-18 disagg'!AW222-1</f>
        <v>1.8162037453324675E-2</v>
      </c>
    </row>
    <row r="223" spans="1:65" x14ac:dyDescent="0.2">
      <c r="D223" s="3"/>
      <c r="E223" s="3"/>
      <c r="F223" s="3"/>
      <c r="G223" s="3"/>
      <c r="H223" s="3"/>
      <c r="I223" s="3"/>
      <c r="J223" s="3"/>
      <c r="K223" s="3"/>
      <c r="L223" s="4"/>
      <c r="N223" s="3"/>
      <c r="O223" s="3"/>
      <c r="P223" s="3"/>
      <c r="R223" s="3"/>
      <c r="S223" s="3"/>
      <c r="U223" s="3"/>
      <c r="V223" s="3"/>
      <c r="W223" s="3"/>
      <c r="X223" s="3"/>
      <c r="Y223" s="3"/>
      <c r="AA223" s="3"/>
      <c r="AB223" s="3"/>
      <c r="AC223" s="3"/>
      <c r="AE223" s="3"/>
      <c r="AF223" s="3"/>
      <c r="AG223" s="3"/>
      <c r="AI223" s="3"/>
      <c r="AJ223" s="3"/>
      <c r="AK223" s="3"/>
      <c r="AM223" s="3"/>
      <c r="AN223" s="3"/>
      <c r="AO223" s="3"/>
      <c r="AP223" s="3"/>
      <c r="AQ223" s="3"/>
      <c r="AR223" s="1"/>
      <c r="AS223" s="3"/>
      <c r="AT223" s="3"/>
      <c r="AU223" s="3"/>
      <c r="AV223" s="3"/>
      <c r="AW223" s="3"/>
      <c r="AX223" s="1"/>
      <c r="AY223" s="3"/>
      <c r="AZ223" s="3"/>
      <c r="BA223" s="3"/>
      <c r="BB223" s="3"/>
      <c r="BC223" s="3"/>
      <c r="BD223" s="1"/>
      <c r="BE223" s="16"/>
      <c r="BF223" s="16"/>
      <c r="BG223" s="16"/>
      <c r="BH223" s="16"/>
      <c r="BI223" s="1"/>
      <c r="BJ223" s="16"/>
      <c r="BK223" s="16"/>
      <c r="BL223" s="16"/>
      <c r="BM223" s="16"/>
    </row>
    <row r="224" spans="1:65" x14ac:dyDescent="0.2">
      <c r="AQ224" s="64"/>
      <c r="AR224" s="1"/>
      <c r="AV224" s="64"/>
      <c r="AX224" s="1"/>
      <c r="BA224" s="64"/>
      <c r="BD224" s="1"/>
      <c r="BE224" s="178"/>
      <c r="BF224" s="178"/>
      <c r="BG224" s="178"/>
      <c r="BH224" s="178"/>
      <c r="BI224" s="1"/>
      <c r="BL224" s="178"/>
      <c r="BM224" s="178"/>
    </row>
    <row r="225" spans="2:65" x14ac:dyDescent="0.2">
      <c r="B225" s="43" t="s">
        <v>513</v>
      </c>
      <c r="D225" s="1"/>
      <c r="AQ225" s="64"/>
      <c r="AR225" s="1"/>
      <c r="AV225" s="64"/>
      <c r="AX225" s="1"/>
      <c r="BA225" s="64"/>
      <c r="BD225" s="1"/>
      <c r="BE225" s="178"/>
      <c r="BF225" s="178"/>
      <c r="BG225" s="178"/>
      <c r="BH225" s="178"/>
      <c r="BI225" s="1"/>
      <c r="BL225" s="178"/>
      <c r="BM225" s="178"/>
    </row>
    <row r="226" spans="2:65" x14ac:dyDescent="0.2">
      <c r="D226" s="1"/>
      <c r="AQ226" s="64"/>
      <c r="AR226" s="1"/>
      <c r="AV226" s="64"/>
      <c r="AX226" s="1"/>
      <c r="BA226" s="64"/>
      <c r="BD226" s="1"/>
      <c r="BE226" s="178"/>
      <c r="BF226" s="178"/>
      <c r="BG226" s="178"/>
      <c r="BH226" s="178"/>
      <c r="BI226" s="1"/>
      <c r="BL226" s="178"/>
      <c r="BM226" s="178"/>
    </row>
    <row r="227" spans="2:65" x14ac:dyDescent="0.2">
      <c r="B227" s="1" t="s">
        <v>514</v>
      </c>
      <c r="D227" s="55">
        <v>28922024.51902739</v>
      </c>
      <c r="E227" s="166">
        <v>1783.1476296870878</v>
      </c>
      <c r="F227" s="171">
        <f>VLOOKUP(B227,'2018-19'!$B$12:$AMX435,33,FALSE)</f>
        <v>2.26819547751409E-2</v>
      </c>
      <c r="G227" s="171">
        <f>VLOOKUP(B227,'2018-19'!$B$12:$AMX435,34,FALSE)</f>
        <v>1.8486961081997766E-2</v>
      </c>
      <c r="I227" s="175">
        <v>28400032.181357794</v>
      </c>
      <c r="J227" s="175">
        <v>1750.9649102852004</v>
      </c>
      <c r="K227" s="171">
        <f t="shared" ref="K227:L230" si="77">D227/I227-1</f>
        <v>1.8379991062553724E-2</v>
      </c>
      <c r="L227" s="170">
        <f t="shared" si="77"/>
        <v>1.8379991062553946E-2</v>
      </c>
      <c r="N227" s="55">
        <v>22191548</v>
      </c>
      <c r="O227" s="55">
        <v>2231773</v>
      </c>
      <c r="P227" s="55">
        <v>4493579</v>
      </c>
      <c r="R227" s="55">
        <v>4493579</v>
      </c>
      <c r="S227" s="55">
        <v>5124.5190273899352</v>
      </c>
      <c r="U227" s="171">
        <v>1.6267474466061582E-2</v>
      </c>
      <c r="V227" s="171">
        <v>6.7288957361477664E-4</v>
      </c>
      <c r="AA227" s="55">
        <v>828.00193190551363</v>
      </c>
      <c r="AB227" s="55">
        <v>0</v>
      </c>
      <c r="AC227" s="55">
        <v>4296.5170954844216</v>
      </c>
      <c r="AE227" s="55">
        <v>0</v>
      </c>
      <c r="AF227" s="55">
        <v>442.65147247457151</v>
      </c>
      <c r="AG227" s="55">
        <v>3853.86562300985</v>
      </c>
      <c r="AI227" s="55">
        <v>3494.2309421173672</v>
      </c>
      <c r="AJ227" s="55">
        <v>359.63468089248306</v>
      </c>
      <c r="AK227" s="55">
        <v>0</v>
      </c>
      <c r="AM227" s="55">
        <v>22195870</v>
      </c>
      <c r="AN227" s="55">
        <v>2232576</v>
      </c>
      <c r="AO227" s="55">
        <v>4493579</v>
      </c>
      <c r="AP227" s="55"/>
      <c r="AQ227" s="55">
        <v>28922025</v>
      </c>
      <c r="AR227" s="1"/>
      <c r="AS227" s="175">
        <v>1368.4558269184995</v>
      </c>
      <c r="AT227" s="175">
        <v>137.64640161608426</v>
      </c>
      <c r="AU227" s="175">
        <v>277.04543080620874</v>
      </c>
      <c r="AV227" s="175"/>
      <c r="AW227" s="175">
        <v>1783.1476593407924</v>
      </c>
      <c r="AX227" s="1"/>
      <c r="AY227" s="171">
        <v>1.6465401533819035E-2</v>
      </c>
      <c r="AZ227" s="171">
        <v>1.0329352997380248E-3</v>
      </c>
      <c r="BA227" s="171">
        <v>3.6955731174316719E-2</v>
      </c>
      <c r="BB227" s="171">
        <f t="shared" ref="BB227:BB232" si="78">SUM(AM227:AO227)/I227-1</f>
        <v>1.8380007998189951E-2</v>
      </c>
      <c r="BC227" s="171"/>
      <c r="BD227" s="1"/>
      <c r="BE227" s="179">
        <f>AM227/'2017-18 disagg'!AM227-1</f>
        <v>1.8990913959770594E-2</v>
      </c>
      <c r="BF227" s="179">
        <f>AN227/'2017-18 disagg'!AN227-1</f>
        <v>2.2089661565930063E-2</v>
      </c>
      <c r="BG227" s="179">
        <f>AO227/'2017-18 disagg'!AO227-1</f>
        <v>4.1618577503427678E-2</v>
      </c>
      <c r="BH227" s="179">
        <f>AQ227/'2017-18 disagg'!AQ227-1</f>
        <v>2.2681971782318566E-2</v>
      </c>
      <c r="BI227" s="1"/>
      <c r="BJ227" s="179">
        <f>AS227/'2017-18 disagg'!AS227-1</f>
        <v>1.4811060743947335E-2</v>
      </c>
      <c r="BK227" s="179">
        <f>AT227/'2017-18 disagg'!AT227-1</f>
        <v>1.78970974319137E-2</v>
      </c>
      <c r="BL227" s="179">
        <f>AU227/'2017-18 disagg'!AU227-1</f>
        <v>3.7345906666825135E-2</v>
      </c>
      <c r="BM227" s="179">
        <f>AW227/'2017-18 disagg'!AW227-1</f>
        <v>1.8486978019412792E-2</v>
      </c>
    </row>
    <row r="228" spans="2:65" x14ac:dyDescent="0.2">
      <c r="B228" s="1" t="s">
        <v>515</v>
      </c>
      <c r="D228" s="55">
        <v>28429213.40966991</v>
      </c>
      <c r="E228" s="166">
        <v>1606.7749527241845</v>
      </c>
      <c r="F228" s="171">
        <f>VLOOKUP(B228,'2018-19'!$B$12:$AMX436,33,FALSE)</f>
        <v>2.6204620310747107E-2</v>
      </c>
      <c r="G228" s="171">
        <f>VLOOKUP(B228,'2018-19'!$B$12:$AMX436,34,FALSE)</f>
        <v>1.9022420915823401E-2</v>
      </c>
      <c r="I228" s="175">
        <v>28866089.922673985</v>
      </c>
      <c r="J228" s="175">
        <v>1631.4665341764403</v>
      </c>
      <c r="K228" s="171">
        <f t="shared" si="77"/>
        <v>-1.5134592671691038E-2</v>
      </c>
      <c r="L228" s="170">
        <f t="shared" si="77"/>
        <v>-1.5134592671690927E-2</v>
      </c>
      <c r="N228" s="55">
        <v>21619091</v>
      </c>
      <c r="O228" s="55">
        <v>2326187</v>
      </c>
      <c r="P228" s="55">
        <v>4428998</v>
      </c>
      <c r="R228" s="55">
        <v>4428998</v>
      </c>
      <c r="S228" s="55">
        <v>54937.409669908549</v>
      </c>
      <c r="U228" s="171">
        <v>-1.2850166837610644E-2</v>
      </c>
      <c r="V228" s="171">
        <v>4.4232417912921651E-3</v>
      </c>
      <c r="AA228" s="55">
        <v>16073.521434529088</v>
      </c>
      <c r="AB228" s="55">
        <v>0</v>
      </c>
      <c r="AC228" s="55">
        <v>38863.888235379462</v>
      </c>
      <c r="AE228" s="55">
        <v>0</v>
      </c>
      <c r="AF228" s="55">
        <v>220.99577199479134</v>
      </c>
      <c r="AG228" s="55">
        <v>38642.892463384669</v>
      </c>
      <c r="AI228" s="55">
        <v>34999.956965767873</v>
      </c>
      <c r="AJ228" s="55">
        <v>3642.9354976167974</v>
      </c>
      <c r="AK228" s="55">
        <v>0</v>
      </c>
      <c r="AM228" s="55">
        <v>21670167</v>
      </c>
      <c r="AN228" s="55">
        <v>2330051</v>
      </c>
      <c r="AO228" s="55">
        <v>4428998</v>
      </c>
      <c r="AP228" s="55"/>
      <c r="AQ228" s="55">
        <v>28429216</v>
      </c>
      <c r="AR228" s="1"/>
      <c r="AS228" s="175">
        <v>1224.7641556310814</v>
      </c>
      <c r="AT228" s="175">
        <v>131.69086078535329</v>
      </c>
      <c r="AU228" s="175">
        <v>250.32008270918024</v>
      </c>
      <c r="AV228" s="175"/>
      <c r="AW228" s="175">
        <v>1606.7750991256148</v>
      </c>
      <c r="AX228" s="1"/>
      <c r="AY228" s="171">
        <v>-1.0517984375424727E-2</v>
      </c>
      <c r="AZ228" s="171">
        <v>6.0916766188796601E-3</v>
      </c>
      <c r="BA228" s="171">
        <v>-4.7451642720394593E-2</v>
      </c>
      <c r="BB228" s="171">
        <f t="shared" si="78"/>
        <v>-1.513450293559937E-2</v>
      </c>
      <c r="BC228" s="171"/>
      <c r="BD228" s="1"/>
      <c r="BE228" s="179">
        <f>AM228/'2017-18 disagg'!AM228-1</f>
        <v>2.2852095593972388E-2</v>
      </c>
      <c r="BF228" s="179">
        <f>AN228/'2017-18 disagg'!AN228-1</f>
        <v>2.3239769692652734E-2</v>
      </c>
      <c r="BG228" s="179">
        <f>AO228/'2017-18 disagg'!AO228-1</f>
        <v>4.454863992819047E-2</v>
      </c>
      <c r="BH228" s="179">
        <f>AQ228/'2017-18 disagg'!AQ228-1</f>
        <v>2.6204713813464453E-2</v>
      </c>
      <c r="BI228" s="1"/>
      <c r="BJ228" s="179">
        <f>AS228/'2017-18 disagg'!AS228-1</f>
        <v>1.569335984413045E-2</v>
      </c>
      <c r="BK228" s="179">
        <f>AT228/'2017-18 disagg'!AT228-1</f>
        <v>1.6078320689896453E-2</v>
      </c>
      <c r="BL228" s="179">
        <f>AU228/'2017-18 disagg'!AU228-1</f>
        <v>3.7238054435612122E-2</v>
      </c>
      <c r="BM228" s="179">
        <f>AW228/'2017-18 disagg'!AW228-1</f>
        <v>1.9022513764133997E-2</v>
      </c>
    </row>
    <row r="229" spans="2:65" x14ac:dyDescent="0.2">
      <c r="B229" s="1" t="s">
        <v>516</v>
      </c>
      <c r="D229" s="55">
        <v>16036499.709685687</v>
      </c>
      <c r="E229" s="166">
        <v>1646.9039519921689</v>
      </c>
      <c r="F229" s="171">
        <f>VLOOKUP(B229,'2018-19'!$B$12:$AMX437,33,FALSE)</f>
        <v>2.9761181299210904E-2</v>
      </c>
      <c r="G229" s="171">
        <f>VLOOKUP(B229,'2018-19'!$B$12:$AMX437,34,FALSE)</f>
        <v>1.7066658737112661E-2</v>
      </c>
      <c r="I229" s="175">
        <v>15951933.864206355</v>
      </c>
      <c r="J229" s="175">
        <v>1638.2192746844798</v>
      </c>
      <c r="K229" s="171">
        <f t="shared" si="77"/>
        <v>5.3012911286627329E-3</v>
      </c>
      <c r="L229" s="170">
        <f t="shared" si="77"/>
        <v>5.3012911286627329E-3</v>
      </c>
      <c r="N229" s="55">
        <v>11632726</v>
      </c>
      <c r="O229" s="55">
        <v>1274306</v>
      </c>
      <c r="P229" s="55">
        <v>3115404</v>
      </c>
      <c r="R229" s="55">
        <v>3115404</v>
      </c>
      <c r="S229" s="55">
        <v>14063.709685687383</v>
      </c>
      <c r="U229" s="171">
        <v>1.1713641197144131E-2</v>
      </c>
      <c r="V229" s="171">
        <v>-3.9366744324315972E-2</v>
      </c>
      <c r="AA229" s="55">
        <v>0</v>
      </c>
      <c r="AB229" s="55">
        <v>0</v>
      </c>
      <c r="AC229" s="55">
        <v>14063.709685687383</v>
      </c>
      <c r="AE229" s="55">
        <v>0</v>
      </c>
      <c r="AF229" s="55">
        <v>579.01562494446989</v>
      </c>
      <c r="AG229" s="55">
        <v>13484.694060742913</v>
      </c>
      <c r="AI229" s="55">
        <v>12199.816831444568</v>
      </c>
      <c r="AJ229" s="55">
        <v>1284.877229298346</v>
      </c>
      <c r="AK229" s="55">
        <v>0</v>
      </c>
      <c r="AM229" s="55">
        <v>11644924</v>
      </c>
      <c r="AN229" s="55">
        <v>1276169</v>
      </c>
      <c r="AO229" s="55">
        <v>3115404</v>
      </c>
      <c r="AP229" s="55"/>
      <c r="AQ229" s="55">
        <v>16036497</v>
      </c>
      <c r="AR229" s="1"/>
      <c r="AS229" s="175">
        <v>1195.9013315521299</v>
      </c>
      <c r="AT229" s="175">
        <v>131.05900960672221</v>
      </c>
      <c r="AU229" s="175">
        <v>319.94333255612759</v>
      </c>
      <c r="AV229" s="175"/>
      <c r="AW229" s="175">
        <v>1646.9036737149797</v>
      </c>
      <c r="AX229" s="1"/>
      <c r="AY229" s="171">
        <v>1.2774517469423152E-2</v>
      </c>
      <c r="AZ229" s="171">
        <v>-3.7962325169635824E-2</v>
      </c>
      <c r="BA229" s="171">
        <v>-3.824546561772002E-3</v>
      </c>
      <c r="BB229" s="171">
        <f t="shared" si="78"/>
        <v>5.3011212630083016E-3</v>
      </c>
      <c r="BC229" s="171"/>
      <c r="BD229" s="1"/>
      <c r="BE229" s="179">
        <f>AM229/'2017-18 disagg'!AM229-1</f>
        <v>2.3779083823833203E-2</v>
      </c>
      <c r="BF229" s="179">
        <f>AN229/'2017-18 disagg'!AN229-1</f>
        <v>3.5604328187916146E-2</v>
      </c>
      <c r="BG229" s="179">
        <f>AO229/'2017-18 disagg'!AO229-1</f>
        <v>5.027165301771519E-2</v>
      </c>
      <c r="BH229" s="179">
        <f>AQ229/'2017-18 disagg'!AQ229-1</f>
        <v>2.9761007300571185E-2</v>
      </c>
      <c r="BI229" s="1"/>
      <c r="BJ229" s="179">
        <f>AS229/'2017-18 disagg'!AS229-1</f>
        <v>1.1158306390944839E-2</v>
      </c>
      <c r="BK229" s="179">
        <f>AT229/'2017-18 disagg'!AT229-1</f>
        <v>2.2837773429072339E-2</v>
      </c>
      <c r="BL229" s="179">
        <f>AU229/'2017-18 disagg'!AU229-1</f>
        <v>3.7324284795168472E-2</v>
      </c>
      <c r="BM229" s="179">
        <f>AW229/'2017-18 disagg'!AW229-1</f>
        <v>1.7066486883465348E-2</v>
      </c>
    </row>
    <row r="230" spans="2:65" x14ac:dyDescent="0.2">
      <c r="B230" s="1" t="s">
        <v>517</v>
      </c>
      <c r="D230" s="55">
        <v>23858780.78509707</v>
      </c>
      <c r="E230" s="166">
        <v>1596.774025535522</v>
      </c>
      <c r="F230" s="171">
        <f>VLOOKUP(B230,'2018-19'!$B$12:$AMX438,33,FALSE)</f>
        <v>2.5179047479089611E-2</v>
      </c>
      <c r="G230" s="171">
        <f>VLOOKUP(B230,'2018-19'!$B$12:$AMX438,34,FALSE)</f>
        <v>1.7763310122878906E-2</v>
      </c>
      <c r="I230" s="175">
        <v>24028513.310553506</v>
      </c>
      <c r="J230" s="175">
        <v>1608.1335535172148</v>
      </c>
      <c r="K230" s="171">
        <f t="shared" si="77"/>
        <v>-7.0637963848512175E-3</v>
      </c>
      <c r="L230" s="170">
        <f t="shared" si="77"/>
        <v>-7.0637963848511065E-3</v>
      </c>
      <c r="N230" s="55">
        <v>18065291</v>
      </c>
      <c r="O230" s="55">
        <v>1922944</v>
      </c>
      <c r="P230" s="55">
        <v>3848011</v>
      </c>
      <c r="R230" s="55">
        <v>3848011</v>
      </c>
      <c r="S230" s="55">
        <v>22534.785097072308</v>
      </c>
      <c r="U230" s="171">
        <v>-1.3550184353945172E-2</v>
      </c>
      <c r="V230" s="171">
        <v>-8.1565902003971624E-3</v>
      </c>
      <c r="AA230" s="55">
        <v>4826.3045690079161</v>
      </c>
      <c r="AB230" s="55">
        <v>0</v>
      </c>
      <c r="AC230" s="55">
        <v>17708.480528064392</v>
      </c>
      <c r="AE230" s="55">
        <v>0</v>
      </c>
      <c r="AF230" s="55">
        <v>0</v>
      </c>
      <c r="AG230" s="55">
        <v>17708.480528064392</v>
      </c>
      <c r="AI230" s="55">
        <v>16032.854536999803</v>
      </c>
      <c r="AJ230" s="55">
        <v>1675.6259910645908</v>
      </c>
      <c r="AK230" s="55">
        <v>0</v>
      </c>
      <c r="AM230" s="55">
        <v>18086149</v>
      </c>
      <c r="AN230" s="55">
        <v>1924619</v>
      </c>
      <c r="AO230" s="55">
        <v>3848011</v>
      </c>
      <c r="AP230" s="55"/>
      <c r="AQ230" s="55">
        <v>23858779</v>
      </c>
      <c r="AR230" s="1"/>
      <c r="AS230" s="175">
        <v>1210.4345651729311</v>
      </c>
      <c r="AT230" s="175">
        <v>128.80715305334272</v>
      </c>
      <c r="AU230" s="175">
        <v>257.53218783974717</v>
      </c>
      <c r="AV230" s="175"/>
      <c r="AW230" s="175">
        <v>1596.773906066021</v>
      </c>
      <c r="AX230" s="1"/>
      <c r="AY230" s="171">
        <v>-1.2411239498047455E-2</v>
      </c>
      <c r="AZ230" s="171">
        <v>-7.2926348738694413E-3</v>
      </c>
      <c r="BA230" s="171">
        <v>1.898593359879186E-2</v>
      </c>
      <c r="BB230" s="171">
        <f t="shared" si="78"/>
        <v>-7.0638706756342984E-3</v>
      </c>
      <c r="BC230" s="171"/>
      <c r="BD230" s="1"/>
      <c r="BE230" s="179">
        <f>AM230/'2017-18 disagg'!AM230-1</f>
        <v>2.1317901467069245E-2</v>
      </c>
      <c r="BF230" s="179">
        <f>AN230/'2017-18 disagg'!AN230-1</f>
        <v>2.2963023594994469E-2</v>
      </c>
      <c r="BG230" s="179">
        <f>AO230/'2017-18 disagg'!AO230-1</f>
        <v>4.4877183835948298E-2</v>
      </c>
      <c r="BH230" s="179">
        <f>AQ230/'2017-18 disagg'!AQ230-1</f>
        <v>2.5178970775919796E-2</v>
      </c>
      <c r="BI230" s="1"/>
      <c r="BJ230" s="179">
        <f>AS230/'2017-18 disagg'!AS230-1</f>
        <v>1.3930094104930957E-2</v>
      </c>
      <c r="BK230" s="179">
        <f>AT230/'2017-18 disagg'!AT230-1</f>
        <v>1.556331607390371E-2</v>
      </c>
      <c r="BL230" s="179">
        <f>AU230/'2017-18 disagg'!AU230-1</f>
        <v>3.7318957998346391E-2</v>
      </c>
      <c r="BM230" s="179">
        <f>AW230/'2017-18 disagg'!AW230-1</f>
        <v>1.7763233974549486E-2</v>
      </c>
    </row>
    <row r="231" spans="2:65" ht="15" x14ac:dyDescent="0.25">
      <c r="B231"/>
      <c r="D231" s="1"/>
      <c r="N231" s="1"/>
      <c r="O231" s="1"/>
      <c r="P231" s="1"/>
      <c r="R231" s="1"/>
      <c r="S231" s="1"/>
      <c r="AA231" s="1"/>
      <c r="AB231" s="1"/>
      <c r="AC231" s="1"/>
      <c r="AE231" s="1"/>
      <c r="AF231" s="1"/>
      <c r="AG231" s="1"/>
      <c r="AI231" s="1"/>
      <c r="AJ231" s="1"/>
      <c r="AK231" s="1"/>
      <c r="AM231" s="1"/>
      <c r="AN231" s="1"/>
      <c r="AO231" s="1"/>
      <c r="AP231" s="1"/>
      <c r="AR231" s="1"/>
      <c r="AV231" s="64"/>
      <c r="AX231" s="1"/>
      <c r="BA231" s="64"/>
      <c r="BD231" s="1"/>
      <c r="BE231" s="179"/>
      <c r="BF231" s="179"/>
      <c r="BG231" s="179"/>
      <c r="BH231" s="179"/>
      <c r="BI231" s="1"/>
      <c r="BJ231" s="179"/>
      <c r="BK231" s="179"/>
    </row>
    <row r="232" spans="2:65" x14ac:dyDescent="0.2">
      <c r="B232" s="1" t="s">
        <v>12</v>
      </c>
      <c r="D232" s="172">
        <f>SUM(D227:D230)</f>
        <v>97246518.423480064</v>
      </c>
      <c r="E232" s="166">
        <v>1659.7174943080556</v>
      </c>
      <c r="F232" s="171">
        <f>VLOOKUP(B232,'2018-19'!$B$12:$AMX440,33,FALSE)</f>
        <v>2.5486443052915808E-2</v>
      </c>
      <c r="G232" s="171">
        <f>VLOOKUP(B232,'2018-19'!$B$12:$AMX440,34,FALSE)</f>
        <v>1.8162052357029168E-2</v>
      </c>
      <c r="I232" s="175">
        <f>SUM(I227:I230)</f>
        <v>97246569.278791636</v>
      </c>
      <c r="J232" s="175">
        <v>1659.7183622614968</v>
      </c>
      <c r="K232" s="171">
        <f t="shared" ref="K232:L232" si="79">D232/I232-1</f>
        <v>-5.2295224350906722E-7</v>
      </c>
      <c r="L232" s="170">
        <f t="shared" si="79"/>
        <v>-5.2295224350906722E-7</v>
      </c>
      <c r="N232" s="172">
        <f>SUM(N227:N230)</f>
        <v>73508656</v>
      </c>
      <c r="O232" s="172">
        <f>SUM(O227:O230)</f>
        <v>7755210</v>
      </c>
      <c r="P232" s="172">
        <f>SUM(P227:P230)</f>
        <v>15885992</v>
      </c>
      <c r="R232" s="172">
        <f>SUM(R227:R230)</f>
        <v>15885992</v>
      </c>
      <c r="S232" s="172">
        <f>SUM(S227:S230)</f>
        <v>96660.423480058176</v>
      </c>
      <c r="U232" s="171">
        <v>-5.3937298234774111E-4</v>
      </c>
      <c r="V232" s="171">
        <v>-7.2060423734240375E-3</v>
      </c>
      <c r="AA232" s="172">
        <f>SUM(AA227:AA230)</f>
        <v>21727.827935442518</v>
      </c>
      <c r="AB232" s="172">
        <f>SUM(AB227:AB230)</f>
        <v>0</v>
      </c>
      <c r="AC232" s="172">
        <f>SUM(AC227:AC230)</f>
        <v>74932.595544615659</v>
      </c>
      <c r="AE232" s="172">
        <f>SUM(AE227:AE230)</f>
        <v>0</v>
      </c>
      <c r="AF232" s="172">
        <f>SUM(AF227:AF230)</f>
        <v>1242.6628694138326</v>
      </c>
      <c r="AG232" s="172">
        <f>SUM(AG227:AG230)</f>
        <v>73689.932675201824</v>
      </c>
      <c r="AI232" s="172">
        <f>SUM(AI227:AI230)</f>
        <v>66726.859276329618</v>
      </c>
      <c r="AJ232" s="172">
        <f>SUM(AJ227:AJ230)</f>
        <v>6963.0733988722168</v>
      </c>
      <c r="AK232" s="172">
        <f>SUM(AK227:AK230)</f>
        <v>0</v>
      </c>
      <c r="AM232" s="172">
        <f>SUM(AM227:AM230)</f>
        <v>73597110</v>
      </c>
      <c r="AN232" s="172">
        <f>SUM(AN227:AN230)</f>
        <v>7763415</v>
      </c>
      <c r="AO232" s="172">
        <f>SUM(AO227:AO230)</f>
        <v>15885992</v>
      </c>
      <c r="AP232" s="172"/>
      <c r="AQ232" s="172">
        <f>SUM(AQ227:AQ230)</f>
        <v>97246517</v>
      </c>
      <c r="AR232" s="1"/>
      <c r="AS232" s="175">
        <v>1256.0903256771121</v>
      </c>
      <c r="AT232" s="175">
        <v>132.499095082899</v>
      </c>
      <c r="AU232" s="175">
        <v>271.128049253347</v>
      </c>
      <c r="AV232" s="175"/>
      <c r="AW232" s="175">
        <v>1659.717470013358</v>
      </c>
      <c r="AX232" s="1"/>
      <c r="AY232" s="171">
        <v>6.6329205212412035E-4</v>
      </c>
      <c r="AZ232" s="171">
        <v>-6.1556679254947122E-3</v>
      </c>
      <c r="BA232" s="171">
        <v>-4.7290929741095056E-5</v>
      </c>
      <c r="BB232" s="171">
        <f t="shared" si="78"/>
        <v>-5.3759008700193789E-7</v>
      </c>
      <c r="BC232" s="171"/>
      <c r="BD232" s="1"/>
      <c r="BE232" s="179">
        <f>AM232/'2017-18 disagg'!AM232-1</f>
        <v>2.1454070318438045E-2</v>
      </c>
      <c r="BF232" s="179">
        <f>AN232/'2017-18 disagg'!AN232-1</f>
        <v>2.4850808549938153E-2</v>
      </c>
      <c r="BG232" s="179">
        <f>AO232/'2017-18 disagg'!AO232-1</f>
        <v>4.4913408167746027E-2</v>
      </c>
      <c r="BH232" s="179">
        <f>AQ232/'2017-18 disagg'!AQ232-1</f>
        <v>2.5486428041997966E-2</v>
      </c>
      <c r="BI232" s="1"/>
      <c r="BJ232" s="179">
        <f>AS232/'2017-18 disagg'!AS232-1</f>
        <v>1.4158480269833351E-2</v>
      </c>
      <c r="BK232" s="179">
        <f>AT232/'2017-18 disagg'!AT232-1</f>
        <v>1.7530957782854184E-2</v>
      </c>
      <c r="BL232" s="179">
        <f>AU232/'2017-18 disagg'!AU232-1</f>
        <v>3.7450263143608442E-2</v>
      </c>
      <c r="BM232" s="179">
        <f>AW232/'2017-18 disagg'!AW232-1</f>
        <v>1.8162037453324675E-2</v>
      </c>
    </row>
    <row r="233" spans="2:65" ht="15" x14ac:dyDescent="0.25">
      <c r="B233"/>
      <c r="D233" s="1"/>
      <c r="N233" s="1"/>
      <c r="O233" s="1"/>
      <c r="P233" s="1"/>
      <c r="R233" s="1"/>
      <c r="S233" s="1"/>
      <c r="AA233" s="1"/>
      <c r="AB233" s="1"/>
      <c r="AC233" s="1"/>
      <c r="AE233" s="1"/>
      <c r="AF233" s="1"/>
      <c r="AG233" s="1"/>
      <c r="AI233" s="1"/>
      <c r="AJ233" s="1"/>
      <c r="AK233" s="1"/>
      <c r="AM233" s="1"/>
      <c r="AN233" s="1"/>
      <c r="AO233" s="1"/>
      <c r="AP233" s="1"/>
      <c r="AR233" s="1"/>
      <c r="AV233" s="64"/>
      <c r="AX233" s="1"/>
      <c r="BA233" s="64"/>
      <c r="BD233" s="1"/>
      <c r="BE233" s="179"/>
      <c r="BF233" s="179"/>
      <c r="BG233" s="179"/>
      <c r="BH233" s="179"/>
      <c r="BI233" s="1"/>
      <c r="BJ233" s="179"/>
      <c r="BK233" s="179"/>
    </row>
    <row r="234" spans="2:65" x14ac:dyDescent="0.2">
      <c r="B234" s="43" t="s">
        <v>518</v>
      </c>
      <c r="D234" s="1"/>
      <c r="N234" s="1"/>
      <c r="O234" s="1"/>
      <c r="P234" s="1"/>
      <c r="R234" s="1"/>
      <c r="S234" s="1"/>
      <c r="AA234" s="1"/>
      <c r="AB234" s="1"/>
      <c r="AC234" s="1"/>
      <c r="AE234" s="1"/>
      <c r="AF234" s="1"/>
      <c r="AG234" s="1"/>
      <c r="AI234" s="1"/>
      <c r="AJ234" s="1"/>
      <c r="AK234" s="1"/>
      <c r="AM234" s="1"/>
      <c r="AN234" s="1"/>
      <c r="AO234" s="1"/>
      <c r="AP234" s="1"/>
      <c r="AR234" s="1"/>
      <c r="AV234" s="64"/>
      <c r="AX234" s="1"/>
      <c r="BA234" s="64"/>
      <c r="BD234" s="1"/>
      <c r="BE234" s="179"/>
      <c r="BF234" s="179"/>
      <c r="BG234" s="179"/>
      <c r="BH234" s="179"/>
      <c r="BI234" s="1"/>
      <c r="BJ234" s="179"/>
      <c r="BK234" s="179"/>
    </row>
    <row r="235" spans="2:65" x14ac:dyDescent="0.2">
      <c r="D235" s="1"/>
      <c r="N235" s="1"/>
      <c r="O235" s="1"/>
      <c r="P235" s="1"/>
      <c r="R235" s="1"/>
      <c r="S235" s="1"/>
      <c r="AA235" s="1"/>
      <c r="AB235" s="1"/>
      <c r="AC235" s="1"/>
      <c r="AE235" s="1"/>
      <c r="AF235" s="1"/>
      <c r="AG235" s="1"/>
      <c r="AI235" s="1"/>
      <c r="AJ235" s="1"/>
      <c r="AK235" s="1"/>
      <c r="AM235" s="1"/>
      <c r="AN235" s="1"/>
      <c r="AO235" s="1"/>
      <c r="AP235" s="1"/>
      <c r="AR235" s="1"/>
      <c r="AV235" s="64"/>
      <c r="AX235" s="1"/>
      <c r="BA235" s="64"/>
      <c r="BD235" s="1"/>
      <c r="BE235" s="179"/>
      <c r="BF235" s="179"/>
      <c r="BG235" s="179"/>
      <c r="BH235" s="179"/>
      <c r="BI235" s="1"/>
      <c r="BJ235" s="179"/>
      <c r="BK235" s="179"/>
    </row>
    <row r="236" spans="2:65" x14ac:dyDescent="0.2">
      <c r="B236" s="1" t="s">
        <v>519</v>
      </c>
      <c r="D236" s="55">
        <v>2312259</v>
      </c>
      <c r="E236" s="166">
        <v>1850.8124811178513</v>
      </c>
      <c r="F236" s="171">
        <f>VLOOKUP(B236,'2018-19'!$B$12:$AMX444,33,FALSE)</f>
        <v>2.2359396008911903E-2</v>
      </c>
      <c r="G236" s="171">
        <f>VLOOKUP(B236,'2018-19'!$B$12:$AMX444,34,FALSE)</f>
        <v>1.8818732846104691E-2</v>
      </c>
      <c r="I236" s="175">
        <v>2268116.2587297102</v>
      </c>
      <c r="J236" s="175">
        <v>1815.4790965386114</v>
      </c>
      <c r="K236" s="171">
        <f t="shared" ref="K236:L260" si="80">D236/I236-1</f>
        <v>1.9462292155611349E-2</v>
      </c>
      <c r="L236" s="170">
        <f t="shared" si="80"/>
        <v>1.9462292155611349E-2</v>
      </c>
      <c r="N236" s="55">
        <v>1805814</v>
      </c>
      <c r="O236" s="55">
        <v>179074</v>
      </c>
      <c r="P236" s="55">
        <v>327371</v>
      </c>
      <c r="R236" s="55">
        <v>327371</v>
      </c>
      <c r="S236" s="55">
        <v>0</v>
      </c>
      <c r="U236" s="171">
        <v>2.1164559975207275E-2</v>
      </c>
      <c r="V236" s="171">
        <v>3.4933640588312498E-2</v>
      </c>
      <c r="AA236" s="55">
        <v>0</v>
      </c>
      <c r="AB236" s="55">
        <v>0</v>
      </c>
      <c r="AC236" s="55">
        <v>0</v>
      </c>
      <c r="AE236" s="55">
        <v>0</v>
      </c>
      <c r="AF236" s="55">
        <v>0</v>
      </c>
      <c r="AG236" s="55">
        <v>0</v>
      </c>
      <c r="AI236" s="55">
        <v>0</v>
      </c>
      <c r="AJ236" s="55">
        <v>0</v>
      </c>
      <c r="AK236" s="55">
        <v>0</v>
      </c>
      <c r="AM236" s="55">
        <v>1805814</v>
      </c>
      <c r="AN236" s="55">
        <v>179074</v>
      </c>
      <c r="AO236" s="55">
        <v>327371</v>
      </c>
      <c r="AP236" s="55"/>
      <c r="AQ236" s="55">
        <v>2312259</v>
      </c>
      <c r="AR236" s="1"/>
      <c r="AS236" s="175">
        <v>1445.4362983460553</v>
      </c>
      <c r="AT236" s="175">
        <v>143.33705447516826</v>
      </c>
      <c r="AU236" s="175">
        <v>262.03912829662772</v>
      </c>
      <c r="AV236" s="175"/>
      <c r="AW236" s="175">
        <v>1850.8124811178513</v>
      </c>
      <c r="AX236" s="1"/>
      <c r="AY236" s="171">
        <v>2.1164559975207275E-2</v>
      </c>
      <c r="AZ236" s="171">
        <v>3.4933640588312498E-2</v>
      </c>
      <c r="BA236" s="171">
        <v>2.0540641710211638E-3</v>
      </c>
      <c r="BB236" s="171">
        <f t="shared" ref="BB236:BB260" si="81">SUM(AM236:AO236)/I236-1</f>
        <v>1.9462292155611349E-2</v>
      </c>
      <c r="BC236" s="171"/>
      <c r="BD236" s="1"/>
      <c r="BE236" s="179">
        <f>AM236/'2017-18 disagg'!AM236-1</f>
        <v>1.972806709440178E-2</v>
      </c>
      <c r="BF236" s="179">
        <f>AN236/'2017-18 disagg'!AN236-1</f>
        <v>1.5924705134823913E-2</v>
      </c>
      <c r="BG236" s="179">
        <f>AO236/'2017-18 disagg'!AO236-1</f>
        <v>4.0779668345287234E-2</v>
      </c>
      <c r="BH236" s="179">
        <f>AQ236/'2017-18 disagg'!AQ236-1</f>
        <v>2.2359396008911903E-2</v>
      </c>
      <c r="BI236" s="1"/>
      <c r="BJ236" s="179">
        <f>AS236/'2017-18 disagg'!AS236-1</f>
        <v>1.6196516822221119E-2</v>
      </c>
      <c r="BK236" s="179">
        <f>AT236/'2017-18 disagg'!AT236-1</f>
        <v>1.2406326770328047E-2</v>
      </c>
      <c r="BL236" s="179">
        <f>AU236/'2017-18 disagg'!AU236-1</f>
        <v>3.7175211588989399E-2</v>
      </c>
      <c r="BM236" s="179">
        <f>AW236/'2017-18 disagg'!AW236-1</f>
        <v>1.8818732846104691E-2</v>
      </c>
    </row>
    <row r="237" spans="2:65" x14ac:dyDescent="0.2">
      <c r="B237" s="1" t="s">
        <v>520</v>
      </c>
      <c r="D237" s="55">
        <v>3763131.4343809169</v>
      </c>
      <c r="E237" s="166">
        <v>1861.0995275396319</v>
      </c>
      <c r="F237" s="171">
        <f>VLOOKUP(B237,'2018-19'!$B$12:$AMX445,33,FALSE)</f>
        <v>1.9925231868614279E-2</v>
      </c>
      <c r="G237" s="171">
        <f>VLOOKUP(B237,'2018-19'!$B$12:$AMX445,34,FALSE)</f>
        <v>1.7804956636266356E-2</v>
      </c>
      <c r="I237" s="175">
        <v>3620593.6761051221</v>
      </c>
      <c r="J237" s="175">
        <v>1790.6058551262788</v>
      </c>
      <c r="K237" s="171">
        <f t="shared" si="80"/>
        <v>3.9368614936412971E-2</v>
      </c>
      <c r="L237" s="170">
        <f t="shared" si="80"/>
        <v>3.9368614936412971E-2</v>
      </c>
      <c r="N237" s="55">
        <v>2959193</v>
      </c>
      <c r="O237" s="55">
        <v>279823</v>
      </c>
      <c r="P237" s="55">
        <v>523095</v>
      </c>
      <c r="R237" s="55">
        <v>523095</v>
      </c>
      <c r="S237" s="55">
        <v>1020.4343809170532</v>
      </c>
      <c r="U237" s="171">
        <v>5.1653762319179952E-2</v>
      </c>
      <c r="V237" s="171">
        <v>1.0688794943626068E-2</v>
      </c>
      <c r="AA237" s="55">
        <v>0</v>
      </c>
      <c r="AB237" s="55">
        <v>0</v>
      </c>
      <c r="AC237" s="55">
        <v>1020.4343809170532</v>
      </c>
      <c r="AE237" s="55">
        <v>0</v>
      </c>
      <c r="AF237" s="55">
        <v>158.91198981093291</v>
      </c>
      <c r="AG237" s="55">
        <v>861.52239110612027</v>
      </c>
      <c r="AI237" s="55">
        <v>787.7518441655435</v>
      </c>
      <c r="AJ237" s="55">
        <v>73.770546940576892</v>
      </c>
      <c r="AK237" s="55">
        <v>0</v>
      </c>
      <c r="AM237" s="55">
        <v>2959981</v>
      </c>
      <c r="AN237" s="55">
        <v>280056</v>
      </c>
      <c r="AO237" s="55">
        <v>523095</v>
      </c>
      <c r="AP237" s="55"/>
      <c r="AQ237" s="55">
        <v>3763132</v>
      </c>
      <c r="AR237" s="1"/>
      <c r="AS237" s="175">
        <v>1463.8923292171851</v>
      </c>
      <c r="AT237" s="175">
        <v>138.50488572435026</v>
      </c>
      <c r="AU237" s="175">
        <v>258.70259233145867</v>
      </c>
      <c r="AV237" s="175"/>
      <c r="AW237" s="175">
        <v>1861.099807272994</v>
      </c>
      <c r="AX237" s="1"/>
      <c r="AY237" s="171">
        <v>5.1933805954288426E-2</v>
      </c>
      <c r="AZ237" s="171">
        <v>1.1530364397251525E-2</v>
      </c>
      <c r="BA237" s="171">
        <v>-1.2810020676104483E-2</v>
      </c>
      <c r="BB237" s="171">
        <f t="shared" si="81"/>
        <v>3.9368771159158156E-2</v>
      </c>
      <c r="BC237" s="171"/>
      <c r="BD237" s="1"/>
      <c r="BE237" s="179">
        <f>AM237/'2017-18 disagg'!AM237-1</f>
        <v>1.6512248536092677E-2</v>
      </c>
      <c r="BF237" s="179">
        <f>AN237/'2017-18 disagg'!AN237-1</f>
        <v>2.0177256781911401E-2</v>
      </c>
      <c r="BG237" s="179">
        <f>AO237/'2017-18 disagg'!AO237-1</f>
        <v>3.9539029290598826E-2</v>
      </c>
      <c r="BH237" s="179">
        <f>AQ237/'2017-18 disagg'!AQ237-1</f>
        <v>1.9925385168913179E-2</v>
      </c>
      <c r="BI237" s="1"/>
      <c r="BJ237" s="179">
        <f>AS237/'2017-18 disagg'!AS237-1</f>
        <v>1.4399068396407033E-2</v>
      </c>
      <c r="BK237" s="179">
        <f>AT237/'2017-18 disagg'!AT237-1</f>
        <v>1.8056457626667521E-2</v>
      </c>
      <c r="BL237" s="179">
        <f>AU237/'2017-18 disagg'!AU237-1</f>
        <v>3.7377979845017784E-2</v>
      </c>
      <c r="BM237" s="179">
        <f>AW237/'2017-18 disagg'!AW237-1</f>
        <v>1.7805109617876624E-2</v>
      </c>
    </row>
    <row r="238" spans="2:65" x14ac:dyDescent="0.2">
      <c r="B238" s="1" t="s">
        <v>55</v>
      </c>
      <c r="D238" s="55">
        <v>2789059</v>
      </c>
      <c r="E238" s="166">
        <v>1811.9714526446132</v>
      </c>
      <c r="F238" s="171">
        <f>VLOOKUP(B238,'2018-19'!$B$12:$AMX446,33,FALSE)</f>
        <v>2.3171088269292595E-2</v>
      </c>
      <c r="G238" s="171">
        <f>VLOOKUP(B238,'2018-19'!$B$12:$AMX446,34,FALSE)</f>
        <v>2.0610264011408308E-2</v>
      </c>
      <c r="I238" s="175">
        <v>2753570.081807767</v>
      </c>
      <c r="J238" s="175">
        <v>1788.9153227278325</v>
      </c>
      <c r="K238" s="171">
        <f t="shared" si="80"/>
        <v>1.2888329382535257E-2</v>
      </c>
      <c r="L238" s="170">
        <f t="shared" si="80"/>
        <v>1.2888329382535257E-2</v>
      </c>
      <c r="N238" s="55">
        <v>2145610</v>
      </c>
      <c r="O238" s="55">
        <v>206645</v>
      </c>
      <c r="P238" s="55">
        <v>436804</v>
      </c>
      <c r="R238" s="55">
        <v>436804</v>
      </c>
      <c r="S238" s="55">
        <v>0</v>
      </c>
      <c r="U238" s="171">
        <v>1.6552832205160239E-2</v>
      </c>
      <c r="V238" s="171">
        <v>-2.1412032251020174E-2</v>
      </c>
      <c r="AA238" s="55">
        <v>0</v>
      </c>
      <c r="AB238" s="55">
        <v>0</v>
      </c>
      <c r="AC238" s="55">
        <v>0</v>
      </c>
      <c r="AE238" s="55">
        <v>0</v>
      </c>
      <c r="AF238" s="55">
        <v>0</v>
      </c>
      <c r="AG238" s="55">
        <v>0</v>
      </c>
      <c r="AI238" s="55">
        <v>0</v>
      </c>
      <c r="AJ238" s="55">
        <v>0</v>
      </c>
      <c r="AK238" s="55">
        <v>0</v>
      </c>
      <c r="AM238" s="55">
        <v>2145610</v>
      </c>
      <c r="AN238" s="55">
        <v>206645</v>
      </c>
      <c r="AO238" s="55">
        <v>436804</v>
      </c>
      <c r="AP238" s="55"/>
      <c r="AQ238" s="55">
        <v>2789059</v>
      </c>
      <c r="AR238" s="1"/>
      <c r="AS238" s="175">
        <v>1393.9411351673839</v>
      </c>
      <c r="AT238" s="175">
        <v>134.25131588530257</v>
      </c>
      <c r="AU238" s="175">
        <v>283.77900159192677</v>
      </c>
      <c r="AV238" s="175"/>
      <c r="AW238" s="175">
        <v>1811.9714526446132</v>
      </c>
      <c r="AX238" s="1"/>
      <c r="AY238" s="171">
        <v>1.6552832205160239E-2</v>
      </c>
      <c r="AZ238" s="171">
        <v>-2.1412032251020174E-2</v>
      </c>
      <c r="BA238" s="171">
        <v>1.1749941626225002E-2</v>
      </c>
      <c r="BB238" s="171">
        <f t="shared" si="81"/>
        <v>1.2888329382535257E-2</v>
      </c>
      <c r="BC238" s="171"/>
      <c r="BD238" s="1"/>
      <c r="BE238" s="179">
        <f>AM238/'2017-18 disagg'!AM238-1</f>
        <v>1.9868229608077881E-2</v>
      </c>
      <c r="BF238" s="179">
        <f>AN238/'2017-18 disagg'!AN238-1</f>
        <v>2.2873519977824497E-2</v>
      </c>
      <c r="BG238" s="179">
        <f>AO238/'2017-18 disagg'!AO238-1</f>
        <v>3.9856021254005336E-2</v>
      </c>
      <c r="BH238" s="179">
        <f>AQ238/'2017-18 disagg'!AQ238-1</f>
        <v>2.3171088269292595E-2</v>
      </c>
      <c r="BI238" s="1"/>
      <c r="BJ238" s="179">
        <f>AS238/'2017-18 disagg'!AS238-1</f>
        <v>1.73156718470453E-2</v>
      </c>
      <c r="BK238" s="179">
        <f>AT238/'2017-18 disagg'!AT238-1</f>
        <v>2.0313440483067158E-2</v>
      </c>
      <c r="BL238" s="179">
        <f>AU238/'2017-18 disagg'!AU238-1</f>
        <v>3.7253437429594527E-2</v>
      </c>
      <c r="BM238" s="179">
        <f>AW238/'2017-18 disagg'!AW238-1</f>
        <v>2.0610264011408308E-2</v>
      </c>
    </row>
    <row r="239" spans="2:65" x14ac:dyDescent="0.2">
      <c r="B239" s="1" t="s">
        <v>521</v>
      </c>
      <c r="D239" s="55">
        <v>5425320.9105524328</v>
      </c>
      <c r="E239" s="166">
        <v>1806.7477915503152</v>
      </c>
      <c r="F239" s="171">
        <f>VLOOKUP(B239,'2018-19'!$B$12:$AMX447,33,FALSE)</f>
        <v>2.5255492833827997E-2</v>
      </c>
      <c r="G239" s="171">
        <f>VLOOKUP(B239,'2018-19'!$B$12:$AMX447,34,FALSE)</f>
        <v>1.9144626750209115E-2</v>
      </c>
      <c r="I239" s="175">
        <v>5465627.562853178</v>
      </c>
      <c r="J239" s="175">
        <v>1820.1707680395975</v>
      </c>
      <c r="K239" s="171">
        <f t="shared" si="80"/>
        <v>-7.3745698617825317E-3</v>
      </c>
      <c r="L239" s="170">
        <f t="shared" si="80"/>
        <v>-7.3745698617825317E-3</v>
      </c>
      <c r="N239" s="55">
        <v>4020230</v>
      </c>
      <c r="O239" s="55">
        <v>415861</v>
      </c>
      <c r="P239" s="55">
        <v>987072</v>
      </c>
      <c r="R239" s="55">
        <v>987072</v>
      </c>
      <c r="S239" s="55">
        <v>2157.9105524324696</v>
      </c>
      <c r="U239" s="171">
        <v>-2.2652139675322536E-2</v>
      </c>
      <c r="V239" s="171">
        <v>-2.3287395015699208E-2</v>
      </c>
      <c r="AA239" s="55">
        <v>0</v>
      </c>
      <c r="AB239" s="55">
        <v>0</v>
      </c>
      <c r="AC239" s="55">
        <v>2157.9105524324696</v>
      </c>
      <c r="AE239" s="55">
        <v>0</v>
      </c>
      <c r="AF239" s="55">
        <v>0</v>
      </c>
      <c r="AG239" s="55">
        <v>2157.9105524324696</v>
      </c>
      <c r="AI239" s="55">
        <v>1949.2975097726737</v>
      </c>
      <c r="AJ239" s="55">
        <v>208.6130426597955</v>
      </c>
      <c r="AK239" s="55">
        <v>0</v>
      </c>
      <c r="AM239" s="55">
        <v>4022179</v>
      </c>
      <c r="AN239" s="55">
        <v>416070</v>
      </c>
      <c r="AO239" s="55">
        <v>987072</v>
      </c>
      <c r="AP239" s="55"/>
      <c r="AQ239" s="55">
        <v>5425321</v>
      </c>
      <c r="AR239" s="1"/>
      <c r="AS239" s="175">
        <v>1339.4715529795428</v>
      </c>
      <c r="AT239" s="175">
        <v>138.56020058982915</v>
      </c>
      <c r="AU239" s="175">
        <v>328.71606776889428</v>
      </c>
      <c r="AV239" s="175"/>
      <c r="AW239" s="175">
        <v>1806.7478213382662</v>
      </c>
      <c r="AX239" s="1"/>
      <c r="AY239" s="171">
        <v>-2.2178323256915378E-2</v>
      </c>
      <c r="AZ239" s="171">
        <v>-2.2796526830315855E-2</v>
      </c>
      <c r="BA239" s="171">
        <v>6.5441781592102899E-2</v>
      </c>
      <c r="BB239" s="171">
        <f t="shared" si="81"/>
        <v>-7.3745534963119974E-3</v>
      </c>
      <c r="BC239" s="171"/>
      <c r="BD239" s="1"/>
      <c r="BE239" s="179">
        <f>AM239/'2017-18 disagg'!AM239-1</f>
        <v>2.0637684925253419E-2</v>
      </c>
      <c r="BF239" s="179">
        <f>AN239/'2017-18 disagg'!AN239-1</f>
        <v>2.7330796714082117E-2</v>
      </c>
      <c r="BG239" s="179">
        <f>AO239/'2017-18 disagg'!AO239-1</f>
        <v>4.360734045443837E-2</v>
      </c>
      <c r="BH239" s="179">
        <f>AQ239/'2017-18 disagg'!AQ239-1</f>
        <v>2.5255509737272419E-2</v>
      </c>
      <c r="BI239" s="1"/>
      <c r="BJ239" s="179">
        <f>AS239/'2017-18 disagg'!AS239-1</f>
        <v>1.4554342523220409E-2</v>
      </c>
      <c r="BK239" s="179">
        <f>AT239/'2017-18 disagg'!AT239-1</f>
        <v>2.120756112434119E-2</v>
      </c>
      <c r="BL239" s="179">
        <f>AU239/'2017-18 disagg'!AU239-1</f>
        <v>3.7387091213176626E-2</v>
      </c>
      <c r="BM239" s="179">
        <f>AW239/'2017-18 disagg'!AW239-1</f>
        <v>1.9144643552903018E-2</v>
      </c>
    </row>
    <row r="240" spans="2:65" x14ac:dyDescent="0.2">
      <c r="B240" s="1" t="s">
        <v>522</v>
      </c>
      <c r="D240" s="55">
        <v>2263695.4920044849</v>
      </c>
      <c r="E240" s="166">
        <v>1724.599055701216</v>
      </c>
      <c r="F240" s="171">
        <f>VLOOKUP(B240,'2018-19'!$B$12:$AMX448,33,FALSE)</f>
        <v>2.328674371784456E-2</v>
      </c>
      <c r="G240" s="171">
        <f>VLOOKUP(B240,'2018-19'!$B$12:$AMX448,34,FALSE)</f>
        <v>1.9520265793892433E-2</v>
      </c>
      <c r="I240" s="175">
        <v>2280188.6474384749</v>
      </c>
      <c r="J240" s="175">
        <v>1737.1643854407766</v>
      </c>
      <c r="K240" s="171">
        <f t="shared" si="80"/>
        <v>-7.2332416234587305E-3</v>
      </c>
      <c r="L240" s="170">
        <f t="shared" si="80"/>
        <v>-7.2332416234589525E-3</v>
      </c>
      <c r="N240" s="55">
        <v>1742880</v>
      </c>
      <c r="O240" s="55">
        <v>173076</v>
      </c>
      <c r="P240" s="55">
        <v>347177</v>
      </c>
      <c r="R240" s="55">
        <v>347177</v>
      </c>
      <c r="S240" s="55">
        <v>562.4920044845785</v>
      </c>
      <c r="U240" s="171">
        <v>-2.3139936032204322E-2</v>
      </c>
      <c r="V240" s="171">
        <v>-1.1912290699821471E-3</v>
      </c>
      <c r="AA240" s="55">
        <v>0</v>
      </c>
      <c r="AB240" s="55">
        <v>0</v>
      </c>
      <c r="AC240" s="55">
        <v>562.4920044845785</v>
      </c>
      <c r="AE240" s="55">
        <v>0</v>
      </c>
      <c r="AF240" s="55">
        <v>0</v>
      </c>
      <c r="AG240" s="55">
        <v>562.4920044845785</v>
      </c>
      <c r="AI240" s="55">
        <v>512.02272936981285</v>
      </c>
      <c r="AJ240" s="55">
        <v>50.469275114765637</v>
      </c>
      <c r="AK240" s="55">
        <v>0</v>
      </c>
      <c r="AM240" s="55">
        <v>1743392</v>
      </c>
      <c r="AN240" s="55">
        <v>173126</v>
      </c>
      <c r="AO240" s="55">
        <v>347177</v>
      </c>
      <c r="AP240" s="55"/>
      <c r="AQ240" s="55">
        <v>2263695</v>
      </c>
      <c r="AR240" s="1"/>
      <c r="AS240" s="175">
        <v>1328.2052323454013</v>
      </c>
      <c r="AT240" s="175">
        <v>131.89624539692161</v>
      </c>
      <c r="AU240" s="175">
        <v>264.4972031247014</v>
      </c>
      <c r="AV240" s="175"/>
      <c r="AW240" s="175">
        <v>1724.5986808670243</v>
      </c>
      <c r="AX240" s="1"/>
      <c r="AY240" s="171">
        <v>-2.285296713431606E-2</v>
      </c>
      <c r="AZ240" s="171">
        <v>-9.0268277502214556E-4</v>
      </c>
      <c r="BA240" s="171">
        <v>7.5714784447864281E-2</v>
      </c>
      <c r="BB240" s="171">
        <f t="shared" si="81"/>
        <v>-7.2334573970463945E-3</v>
      </c>
      <c r="BC240" s="171"/>
      <c r="BD240" s="1"/>
      <c r="BE240" s="179">
        <f>AM240/'2017-18 disagg'!AM240-1</f>
        <v>2.0168222614671327E-2</v>
      </c>
      <c r="BF240" s="179">
        <f>AN240/'2017-18 disagg'!AN240-1</f>
        <v>1.9623779403276975E-2</v>
      </c>
      <c r="BG240" s="179">
        <f>AO240/'2017-18 disagg'!AO240-1</f>
        <v>4.1132246349648183E-2</v>
      </c>
      <c r="BH240" s="179">
        <f>AQ240/'2017-18 disagg'!AQ240-1</f>
        <v>2.3286521310869279E-2</v>
      </c>
      <c r="BI240" s="1"/>
      <c r="BJ240" s="179">
        <f>AS240/'2017-18 disagg'!AS240-1</f>
        <v>1.6413223233720853E-2</v>
      </c>
      <c r="BK240" s="179">
        <f>AT240/'2017-18 disagg'!AT240-1</f>
        <v>1.5870783989786252E-2</v>
      </c>
      <c r="BL240" s="179">
        <f>AU240/'2017-18 disagg'!AU240-1</f>
        <v>3.7300083326072597E-2</v>
      </c>
      <c r="BM240" s="179">
        <f>AW240/'2017-18 disagg'!AW240-1</f>
        <v>1.9520044205544984E-2</v>
      </c>
    </row>
    <row r="241" spans="2:65" x14ac:dyDescent="0.2">
      <c r="B241" s="1" t="s">
        <v>523</v>
      </c>
      <c r="D241" s="55">
        <v>2578625</v>
      </c>
      <c r="E241" s="166">
        <v>2013.7358063247382</v>
      </c>
      <c r="F241" s="171">
        <f>VLOOKUP(B241,'2018-19'!$B$12:$AMX449,33,FALSE)</f>
        <v>2.1158761996598274E-2</v>
      </c>
      <c r="G241" s="171">
        <f>VLOOKUP(B241,'2018-19'!$B$12:$AMX449,34,FALSE)</f>
        <v>1.9107438394631471E-2</v>
      </c>
      <c r="I241" s="175">
        <v>2477949.9660509806</v>
      </c>
      <c r="J241" s="175">
        <v>1935.1152544158338</v>
      </c>
      <c r="K241" s="171">
        <f t="shared" si="80"/>
        <v>4.0628356233302521E-2</v>
      </c>
      <c r="L241" s="170">
        <f t="shared" si="80"/>
        <v>4.0628356233302521E-2</v>
      </c>
      <c r="N241" s="55">
        <v>1990395</v>
      </c>
      <c r="O241" s="55">
        <v>190613</v>
      </c>
      <c r="P241" s="55">
        <v>397617</v>
      </c>
      <c r="R241" s="55">
        <v>397617</v>
      </c>
      <c r="S241" s="55">
        <v>0</v>
      </c>
      <c r="U241" s="171">
        <v>4.2742247686388346E-2</v>
      </c>
      <c r="V241" s="171">
        <v>5.8627078659021503E-3</v>
      </c>
      <c r="AA241" s="55">
        <v>0</v>
      </c>
      <c r="AB241" s="55">
        <v>0</v>
      </c>
      <c r="AC241" s="55">
        <v>0</v>
      </c>
      <c r="AE241" s="55">
        <v>0</v>
      </c>
      <c r="AF241" s="55">
        <v>0</v>
      </c>
      <c r="AG241" s="55">
        <v>0</v>
      </c>
      <c r="AI241" s="55">
        <v>0</v>
      </c>
      <c r="AJ241" s="55">
        <v>0</v>
      </c>
      <c r="AK241" s="55">
        <v>0</v>
      </c>
      <c r="AM241" s="55">
        <v>1990395</v>
      </c>
      <c r="AN241" s="55">
        <v>190613</v>
      </c>
      <c r="AO241" s="55">
        <v>397617</v>
      </c>
      <c r="AP241" s="55"/>
      <c r="AQ241" s="55">
        <v>2578625</v>
      </c>
      <c r="AR241" s="1"/>
      <c r="AS241" s="175">
        <v>1554.367029028931</v>
      </c>
      <c r="AT241" s="175">
        <v>148.85616297483244</v>
      </c>
      <c r="AU241" s="175">
        <v>310.51261432097471</v>
      </c>
      <c r="AV241" s="175"/>
      <c r="AW241" s="175">
        <v>2013.7358063247382</v>
      </c>
      <c r="AX241" s="1"/>
      <c r="AY241" s="171">
        <v>4.2742247686388346E-2</v>
      </c>
      <c r="AZ241" s="171">
        <v>5.8627078659021503E-3</v>
      </c>
      <c r="BA241" s="171">
        <v>4.735353943555265E-2</v>
      </c>
      <c r="BB241" s="171">
        <f t="shared" si="81"/>
        <v>4.0628356233302521E-2</v>
      </c>
      <c r="BC241" s="171"/>
      <c r="BD241" s="1"/>
      <c r="BE241" s="179">
        <f>AM241/'2017-18 disagg'!AM241-1</f>
        <v>1.7296745858660589E-2</v>
      </c>
      <c r="BF241" s="179">
        <f>AN241/'2017-18 disagg'!AN241-1</f>
        <v>2.4415542537754575E-2</v>
      </c>
      <c r="BG241" s="179">
        <f>AO241/'2017-18 disagg'!AO241-1</f>
        <v>3.9325930805181875E-2</v>
      </c>
      <c r="BH241" s="179">
        <f>AQ241/'2017-18 disagg'!AQ241-1</f>
        <v>2.1158761996598274E-2</v>
      </c>
      <c r="BI241" s="1"/>
      <c r="BJ241" s="179">
        <f>AS241/'2017-18 disagg'!AS241-1</f>
        <v>1.5253180349900974E-2</v>
      </c>
      <c r="BK241" s="179">
        <f>AT241/'2017-18 disagg'!AT241-1</f>
        <v>2.2357676651630687E-2</v>
      </c>
      <c r="BL241" s="179">
        <f>AU241/'2017-18 disagg'!AU241-1</f>
        <v>3.7238112640816778E-2</v>
      </c>
      <c r="BM241" s="179">
        <f>AW241/'2017-18 disagg'!AW241-1</f>
        <v>1.9107438394631471E-2</v>
      </c>
    </row>
    <row r="242" spans="2:65" x14ac:dyDescent="0.2">
      <c r="B242" s="1" t="s">
        <v>524</v>
      </c>
      <c r="D242" s="55">
        <v>4166065.682089556</v>
      </c>
      <c r="E242" s="166">
        <v>1643.4300853445059</v>
      </c>
      <c r="F242" s="171">
        <f>VLOOKUP(B242,'2018-19'!$B$12:$AMX450,33,FALSE)</f>
        <v>2.3330054624122853E-2</v>
      </c>
      <c r="G242" s="171">
        <f>VLOOKUP(B242,'2018-19'!$B$12:$AMX450,34,FALSE)</f>
        <v>1.7099875401259679E-2</v>
      </c>
      <c r="I242" s="175">
        <v>4093369.5122721079</v>
      </c>
      <c r="J242" s="175">
        <v>1614.75289163608</v>
      </c>
      <c r="K242" s="171">
        <f t="shared" si="80"/>
        <v>1.7759493639531332E-2</v>
      </c>
      <c r="L242" s="170">
        <f t="shared" si="80"/>
        <v>1.7759493639531332E-2</v>
      </c>
      <c r="N242" s="55">
        <v>3203711</v>
      </c>
      <c r="O242" s="55">
        <v>345690</v>
      </c>
      <c r="P242" s="55">
        <v>615281</v>
      </c>
      <c r="R242" s="55">
        <v>615281</v>
      </c>
      <c r="S242" s="55">
        <v>1383.682089555834</v>
      </c>
      <c r="U242" s="171">
        <v>1.2133103434259329E-2</v>
      </c>
      <c r="V242" s="171">
        <v>1.0336282951361131E-2</v>
      </c>
      <c r="AA242" s="55">
        <v>828.00193190551363</v>
      </c>
      <c r="AB242" s="55">
        <v>0</v>
      </c>
      <c r="AC242" s="55">
        <v>555.68015765032033</v>
      </c>
      <c r="AE242" s="55">
        <v>0</v>
      </c>
      <c r="AF242" s="55">
        <v>283.73948266363857</v>
      </c>
      <c r="AG242" s="55">
        <v>271.94067498668176</v>
      </c>
      <c r="AI242" s="55">
        <v>245.15885880933675</v>
      </c>
      <c r="AJ242" s="55">
        <v>26.781816177345018</v>
      </c>
      <c r="AK242" s="55">
        <v>0</v>
      </c>
      <c r="AM242" s="55">
        <v>3204784</v>
      </c>
      <c r="AN242" s="55">
        <v>346001</v>
      </c>
      <c r="AO242" s="55">
        <v>615281</v>
      </c>
      <c r="AP242" s="55"/>
      <c r="AQ242" s="55">
        <v>4166066</v>
      </c>
      <c r="AR242" s="1"/>
      <c r="AS242" s="175">
        <v>1264.223573160047</v>
      </c>
      <c r="AT242" s="175">
        <v>136.49051559697921</v>
      </c>
      <c r="AU242" s="175">
        <v>242.71612199682937</v>
      </c>
      <c r="AV242" s="175"/>
      <c r="AW242" s="175">
        <v>1643.4302107538554</v>
      </c>
      <c r="AX242" s="1"/>
      <c r="AY242" s="171">
        <v>1.2472091195635304E-2</v>
      </c>
      <c r="AZ242" s="171">
        <v>1.124523196347571E-2</v>
      </c>
      <c r="BA242" s="171">
        <v>5.012869455597424E-2</v>
      </c>
      <c r="BB242" s="171">
        <f t="shared" si="81"/>
        <v>1.7759571304262867E-2</v>
      </c>
      <c r="BC242" s="171"/>
      <c r="BD242" s="1"/>
      <c r="BE242" s="179">
        <f>AM242/'2017-18 disagg'!AM242-1</f>
        <v>1.963948462897247E-2</v>
      </c>
      <c r="BF242" s="179">
        <f>AN242/'2017-18 disagg'!AN242-1</f>
        <v>2.2108195452517965E-2</v>
      </c>
      <c r="BG242" s="179">
        <f>AO242/'2017-18 disagg'!AO242-1</f>
        <v>4.370888562442965E-2</v>
      </c>
      <c r="BH242" s="179">
        <f>AQ242/'2017-18 disagg'!AQ242-1</f>
        <v>2.3330132713941021E-2</v>
      </c>
      <c r="BI242" s="1"/>
      <c r="BJ242" s="179">
        <f>AS242/'2017-18 disagg'!AS242-1</f>
        <v>1.3431774122239171E-2</v>
      </c>
      <c r="BK242" s="179">
        <f>AT242/'2017-18 disagg'!AT242-1</f>
        <v>1.5885455082437216E-2</v>
      </c>
      <c r="BL242" s="179">
        <f>AU242/'2017-18 disagg'!AU242-1</f>
        <v>3.735463717393972E-2</v>
      </c>
      <c r="BM242" s="179">
        <f>AW242/'2017-18 disagg'!AW242-1</f>
        <v>1.7099953015655922E-2</v>
      </c>
    </row>
    <row r="243" spans="2:65" x14ac:dyDescent="0.2">
      <c r="B243" s="1" t="s">
        <v>525</v>
      </c>
      <c r="D243" s="55">
        <v>2772620</v>
      </c>
      <c r="E243" s="166">
        <v>1789.7221020498746</v>
      </c>
      <c r="F243" s="171">
        <f>VLOOKUP(B243,'2018-19'!$B$12:$AMX451,33,FALSE)</f>
        <v>2.0999081232658146E-2</v>
      </c>
      <c r="G243" s="171">
        <f>VLOOKUP(B243,'2018-19'!$B$12:$AMX451,34,FALSE)</f>
        <v>1.6373574776228805E-2</v>
      </c>
      <c r="I243" s="175">
        <v>2639499.4253858249</v>
      </c>
      <c r="J243" s="175">
        <v>1703.7929683696123</v>
      </c>
      <c r="K243" s="171">
        <f t="shared" si="80"/>
        <v>5.043402295672661E-2</v>
      </c>
      <c r="L243" s="170">
        <f t="shared" si="80"/>
        <v>5.043402295672661E-2</v>
      </c>
      <c r="N243" s="55">
        <v>2116778</v>
      </c>
      <c r="O243" s="55">
        <v>210718</v>
      </c>
      <c r="P243" s="55">
        <v>445124</v>
      </c>
      <c r="R243" s="55">
        <v>445124</v>
      </c>
      <c r="S243" s="55">
        <v>0</v>
      </c>
      <c r="U243" s="171">
        <v>5.1574952837670995E-2</v>
      </c>
      <c r="V243" s="171">
        <v>4.4095769702792165E-3</v>
      </c>
      <c r="AA243" s="55">
        <v>0</v>
      </c>
      <c r="AB243" s="55">
        <v>0</v>
      </c>
      <c r="AC243" s="55">
        <v>0</v>
      </c>
      <c r="AE243" s="55">
        <v>0</v>
      </c>
      <c r="AF243" s="55">
        <v>0</v>
      </c>
      <c r="AG243" s="55">
        <v>0</v>
      </c>
      <c r="AI243" s="55">
        <v>0</v>
      </c>
      <c r="AJ243" s="55">
        <v>0</v>
      </c>
      <c r="AK243" s="55">
        <v>0</v>
      </c>
      <c r="AM243" s="55">
        <v>2116778</v>
      </c>
      <c r="AN243" s="55">
        <v>210718</v>
      </c>
      <c r="AO243" s="55">
        <v>445124</v>
      </c>
      <c r="AP243" s="55"/>
      <c r="AQ243" s="55">
        <v>2772620</v>
      </c>
      <c r="AR243" s="1"/>
      <c r="AS243" s="175">
        <v>1366.3770627539761</v>
      </c>
      <c r="AT243" s="175">
        <v>136.01815679744988</v>
      </c>
      <c r="AU243" s="175">
        <v>287.32688249844853</v>
      </c>
      <c r="AV243" s="175"/>
      <c r="AW243" s="175">
        <v>1789.7221020498746</v>
      </c>
      <c r="AX243" s="1"/>
      <c r="AY243" s="171">
        <v>5.1574952837670995E-2</v>
      </c>
      <c r="AZ243" s="171">
        <v>4.4095769702792165E-3</v>
      </c>
      <c r="BA243" s="171">
        <v>6.8092120825371527E-2</v>
      </c>
      <c r="BB243" s="171">
        <f t="shared" si="81"/>
        <v>5.043402295672661E-2</v>
      </c>
      <c r="BC243" s="171"/>
      <c r="BD243" s="1"/>
      <c r="BE243" s="179">
        <f>AM243/'2017-18 disagg'!AM243-1</f>
        <v>1.6917575879279223E-2</v>
      </c>
      <c r="BF243" s="179">
        <f>AN243/'2017-18 disagg'!AN243-1</f>
        <v>1.851735488455053E-2</v>
      </c>
      <c r="BG243" s="179">
        <f>AO243/'2017-18 disagg'!AO243-1</f>
        <v>4.2091093188495687E-2</v>
      </c>
      <c r="BH243" s="179">
        <f>AQ243/'2017-18 disagg'!AQ243-1</f>
        <v>2.0999081232658146E-2</v>
      </c>
      <c r="BI243" s="1"/>
      <c r="BJ243" s="179">
        <f>AS243/'2017-18 disagg'!AS243-1</f>
        <v>1.2310560163645956E-2</v>
      </c>
      <c r="BK243" s="179">
        <f>AT243/'2017-18 disagg'!AT243-1</f>
        <v>1.3903091573641557E-2</v>
      </c>
      <c r="BL243" s="179">
        <f>AU243/'2017-18 disagg'!AU243-1</f>
        <v>3.7370032055011215E-2</v>
      </c>
      <c r="BM243" s="179">
        <f>AW243/'2017-18 disagg'!AW243-1</f>
        <v>1.6373574776228805E-2</v>
      </c>
    </row>
    <row r="244" spans="2:65" x14ac:dyDescent="0.2">
      <c r="B244" s="1" t="s">
        <v>526</v>
      </c>
      <c r="D244" s="55">
        <v>2851248</v>
      </c>
      <c r="E244" s="166">
        <v>1649.0743821474189</v>
      </c>
      <c r="F244" s="171">
        <f>VLOOKUP(B244,'2018-19'!$B$12:$AMX452,33,FALSE)</f>
        <v>2.2821536574079149E-2</v>
      </c>
      <c r="G244" s="171">
        <f>VLOOKUP(B244,'2018-19'!$B$12:$AMX452,34,FALSE)</f>
        <v>1.9037570613289256E-2</v>
      </c>
      <c r="I244" s="175">
        <v>2801117.0507146292</v>
      </c>
      <c r="J244" s="175">
        <v>1620.0801788304025</v>
      </c>
      <c r="K244" s="171">
        <f t="shared" si="80"/>
        <v>1.7896770601778744E-2</v>
      </c>
      <c r="L244" s="170">
        <f t="shared" si="80"/>
        <v>1.7896770601778744E-2</v>
      </c>
      <c r="N244" s="55">
        <v>2206937</v>
      </c>
      <c r="O244" s="55">
        <v>230273</v>
      </c>
      <c r="P244" s="55">
        <v>414038</v>
      </c>
      <c r="R244" s="55">
        <v>414038</v>
      </c>
      <c r="S244" s="55">
        <v>0</v>
      </c>
      <c r="U244" s="171">
        <v>2.2310945582087349E-2</v>
      </c>
      <c r="V244" s="171">
        <v>6.8528862404559909E-3</v>
      </c>
      <c r="AA244" s="55">
        <v>0</v>
      </c>
      <c r="AB244" s="55">
        <v>0</v>
      </c>
      <c r="AC244" s="55">
        <v>0</v>
      </c>
      <c r="AE244" s="55">
        <v>0</v>
      </c>
      <c r="AF244" s="55">
        <v>0</v>
      </c>
      <c r="AG244" s="55">
        <v>0</v>
      </c>
      <c r="AI244" s="55">
        <v>0</v>
      </c>
      <c r="AJ244" s="55">
        <v>0</v>
      </c>
      <c r="AK244" s="55">
        <v>0</v>
      </c>
      <c r="AM244" s="55">
        <v>2206937</v>
      </c>
      <c r="AN244" s="55">
        <v>230273</v>
      </c>
      <c r="AO244" s="55">
        <v>414038</v>
      </c>
      <c r="AP244" s="55"/>
      <c r="AQ244" s="55">
        <v>2851248</v>
      </c>
      <c r="AR244" s="1"/>
      <c r="AS244" s="175">
        <v>1276.4246637659294</v>
      </c>
      <c r="AT244" s="175">
        <v>133.1828396548573</v>
      </c>
      <c r="AU244" s="175">
        <v>239.46687872663236</v>
      </c>
      <c r="AV244" s="175"/>
      <c r="AW244" s="175">
        <v>1649.0743821474189</v>
      </c>
      <c r="AX244" s="1"/>
      <c r="AY244" s="171">
        <v>2.2310945582087349E-2</v>
      </c>
      <c r="AZ244" s="171">
        <v>6.8528862404559909E-3</v>
      </c>
      <c r="BA244" s="171">
        <v>9.6556267578784549E-4</v>
      </c>
      <c r="BB244" s="171">
        <f t="shared" si="81"/>
        <v>1.7896770601778744E-2</v>
      </c>
      <c r="BC244" s="171"/>
      <c r="BD244" s="1"/>
      <c r="BE244" s="179">
        <f>AM244/'2017-18 disagg'!AM244-1</f>
        <v>1.9525368982168612E-2</v>
      </c>
      <c r="BF244" s="179">
        <f>AN244/'2017-18 disagg'!AN244-1</f>
        <v>2.2308744139792669E-2</v>
      </c>
      <c r="BG244" s="179">
        <f>AO244/'2017-18 disagg'!AO244-1</f>
        <v>4.1052422487685813E-2</v>
      </c>
      <c r="BH244" s="179">
        <f>AQ244/'2017-18 disagg'!AQ244-1</f>
        <v>2.2821536574079149E-2</v>
      </c>
      <c r="BI244" s="1"/>
      <c r="BJ244" s="179">
        <f>AS244/'2017-18 disagg'!AS244-1</f>
        <v>1.5753597314833723E-2</v>
      </c>
      <c r="BK244" s="179">
        <f>AT244/'2017-18 disagg'!AT244-1</f>
        <v>1.8526675273507376E-2</v>
      </c>
      <c r="BL244" s="179">
        <f>AU244/'2017-18 disagg'!AU244-1</f>
        <v>3.7201010692734959E-2</v>
      </c>
      <c r="BM244" s="179">
        <f>AW244/'2017-18 disagg'!AW244-1</f>
        <v>1.9037570613289256E-2</v>
      </c>
    </row>
    <row r="245" spans="2:65" x14ac:dyDescent="0.2">
      <c r="B245" s="1" t="s">
        <v>527</v>
      </c>
      <c r="D245" s="55">
        <v>4663612.7893502377</v>
      </c>
      <c r="E245" s="166">
        <v>1709.1513573975396</v>
      </c>
      <c r="F245" s="171">
        <f>VLOOKUP(B245,'2018-19'!$B$12:$AMX453,33,FALSE)</f>
        <v>2.490361927168605E-2</v>
      </c>
      <c r="G245" s="171">
        <f>VLOOKUP(B245,'2018-19'!$B$12:$AMX453,34,FALSE)</f>
        <v>1.8599000416577471E-2</v>
      </c>
      <c r="I245" s="175">
        <v>4703628.495874485</v>
      </c>
      <c r="J245" s="175">
        <v>1723.8165755904649</v>
      </c>
      <c r="K245" s="171">
        <f t="shared" si="80"/>
        <v>-8.507412215770227E-3</v>
      </c>
      <c r="L245" s="170">
        <f t="shared" si="80"/>
        <v>-8.507412215770116E-3</v>
      </c>
      <c r="N245" s="55">
        <v>3442288</v>
      </c>
      <c r="O245" s="55">
        <v>369092</v>
      </c>
      <c r="P245" s="55">
        <v>849930</v>
      </c>
      <c r="R245" s="55">
        <v>849930</v>
      </c>
      <c r="S245" s="55">
        <v>2302.7893502372899</v>
      </c>
      <c r="U245" s="171">
        <v>-1.6631974843619446E-2</v>
      </c>
      <c r="V245" s="171">
        <v>-3.5190997272072977E-2</v>
      </c>
      <c r="AA245" s="55">
        <v>0</v>
      </c>
      <c r="AB245" s="55">
        <v>0</v>
      </c>
      <c r="AC245" s="55">
        <v>2302.7893502372899</v>
      </c>
      <c r="AE245" s="55">
        <v>0</v>
      </c>
      <c r="AF245" s="55">
        <v>0</v>
      </c>
      <c r="AG245" s="55">
        <v>2302.7893502372899</v>
      </c>
      <c r="AI245" s="55">
        <v>2068.4724528685683</v>
      </c>
      <c r="AJ245" s="55">
        <v>234.31689736872156</v>
      </c>
      <c r="AK245" s="55">
        <v>0</v>
      </c>
      <c r="AM245" s="55">
        <v>3444357</v>
      </c>
      <c r="AN245" s="55">
        <v>369326</v>
      </c>
      <c r="AO245" s="55">
        <v>849930</v>
      </c>
      <c r="AP245" s="55"/>
      <c r="AQ245" s="55">
        <v>4663613</v>
      </c>
      <c r="AR245" s="1"/>
      <c r="AS245" s="175">
        <v>1262.3105107171471</v>
      </c>
      <c r="AT245" s="175">
        <v>135.35301122419105</v>
      </c>
      <c r="AU245" s="175">
        <v>311.48791265650596</v>
      </c>
      <c r="AV245" s="175"/>
      <c r="AW245" s="175">
        <v>1709.1514345978439</v>
      </c>
      <c r="AX245" s="1"/>
      <c r="AY245" s="171">
        <v>-1.6040917836173119E-2</v>
      </c>
      <c r="AZ245" s="171">
        <v>-3.4579319677764953E-2</v>
      </c>
      <c r="BA245" s="171">
        <v>3.5785490736526038E-2</v>
      </c>
      <c r="BB245" s="171">
        <f t="shared" si="81"/>
        <v>-8.5073674312463599E-3</v>
      </c>
      <c r="BC245" s="171"/>
      <c r="BD245" s="1"/>
      <c r="BE245" s="179">
        <f>AM245/'2017-18 disagg'!AM245-1</f>
        <v>2.0140654640877553E-2</v>
      </c>
      <c r="BF245" s="179">
        <f>AN245/'2017-18 disagg'!AN245-1</f>
        <v>2.6721228531555674E-2</v>
      </c>
      <c r="BG245" s="179">
        <f>AO245/'2017-18 disagg'!AO245-1</f>
        <v>4.3851515244557771E-2</v>
      </c>
      <c r="BH245" s="179">
        <f>AQ245/'2017-18 disagg'!AQ245-1</f>
        <v>2.4903665565345845E-2</v>
      </c>
      <c r="BI245" s="1"/>
      <c r="BJ245" s="179">
        <f>AS245/'2017-18 disagg'!AS245-1</f>
        <v>1.3865334810626129E-2</v>
      </c>
      <c r="BK245" s="179">
        <f>AT245/'2017-18 disagg'!AT245-1</f>
        <v>2.0405428787438895E-2</v>
      </c>
      <c r="BL245" s="179">
        <f>AU245/'2017-18 disagg'!AU245-1</f>
        <v>3.7430339807962731E-2</v>
      </c>
      <c r="BM245" s="179">
        <f>AW245/'2017-18 disagg'!AW245-1</f>
        <v>1.859904642546506E-2</v>
      </c>
    </row>
    <row r="246" spans="2:65" x14ac:dyDescent="0.2">
      <c r="B246" s="1" t="s">
        <v>528</v>
      </c>
      <c r="D246" s="55">
        <v>2705438.1827026135</v>
      </c>
      <c r="E246" s="166">
        <v>1654.0542153307406</v>
      </c>
      <c r="F246" s="171">
        <f>VLOOKUP(B246,'2018-19'!$B$12:$AMX454,33,FALSE)</f>
        <v>2.3494640746350548E-2</v>
      </c>
      <c r="G246" s="171">
        <f>VLOOKUP(B246,'2018-19'!$B$12:$AMX454,34,FALSE)</f>
        <v>1.9609937077496031E-2</v>
      </c>
      <c r="I246" s="175">
        <v>2722662.610567837</v>
      </c>
      <c r="J246" s="175">
        <v>1664.5849078075776</v>
      </c>
      <c r="K246" s="171">
        <f t="shared" si="80"/>
        <v>-6.3263174064858152E-3</v>
      </c>
      <c r="L246" s="170">
        <f t="shared" si="80"/>
        <v>-6.3263174064860372E-3</v>
      </c>
      <c r="N246" s="55">
        <v>2052916</v>
      </c>
      <c r="O246" s="55">
        <v>215424</v>
      </c>
      <c r="P246" s="55">
        <v>435775</v>
      </c>
      <c r="R246" s="55">
        <v>435775</v>
      </c>
      <c r="S246" s="55">
        <v>1323.1827026132669</v>
      </c>
      <c r="U246" s="171">
        <v>-1.40301711258074E-2</v>
      </c>
      <c r="V246" s="171">
        <v>1.5547108639401452E-2</v>
      </c>
      <c r="AA246" s="55">
        <v>679.08315590626444</v>
      </c>
      <c r="AB246" s="55">
        <v>0</v>
      </c>
      <c r="AC246" s="55">
        <v>644.09954670700245</v>
      </c>
      <c r="AE246" s="55">
        <v>0</v>
      </c>
      <c r="AF246" s="55">
        <v>0</v>
      </c>
      <c r="AG246" s="55">
        <v>644.09954670700245</v>
      </c>
      <c r="AI246" s="55">
        <v>584.0187672466775</v>
      </c>
      <c r="AJ246" s="55">
        <v>60.080779460324933</v>
      </c>
      <c r="AK246" s="55">
        <v>0</v>
      </c>
      <c r="AM246" s="55">
        <v>2054179</v>
      </c>
      <c r="AN246" s="55">
        <v>215484</v>
      </c>
      <c r="AO246" s="55">
        <v>435775</v>
      </c>
      <c r="AP246" s="55"/>
      <c r="AQ246" s="55">
        <v>2705438</v>
      </c>
      <c r="AR246" s="1"/>
      <c r="AS246" s="175">
        <v>1255.8865531348824</v>
      </c>
      <c r="AT246" s="175">
        <v>131.74288025323841</v>
      </c>
      <c r="AU246" s="175">
        <v>266.42467024166513</v>
      </c>
      <c r="AV246" s="175"/>
      <c r="AW246" s="175">
        <v>1654.0541036297859</v>
      </c>
      <c r="AX246" s="1"/>
      <c r="AY246" s="171">
        <v>-1.3423580357423304E-2</v>
      </c>
      <c r="AZ246" s="171">
        <v>1.5829959326968179E-2</v>
      </c>
      <c r="BA246" s="171">
        <v>1.7196374918672763E-2</v>
      </c>
      <c r="BB246" s="171">
        <f t="shared" si="81"/>
        <v>-6.3263845108757488E-3</v>
      </c>
      <c r="BC246" s="171"/>
      <c r="BD246" s="1"/>
      <c r="BE246" s="179">
        <f>AM246/'2017-18 disagg'!AM246-1</f>
        <v>2.049607486032734E-2</v>
      </c>
      <c r="BF246" s="179">
        <f>AN246/'2017-18 disagg'!AN246-1</f>
        <v>1.7072031038340096E-2</v>
      </c>
      <c r="BG246" s="179">
        <f>AO246/'2017-18 disagg'!AO246-1</f>
        <v>4.1166421770657768E-2</v>
      </c>
      <c r="BH246" s="179">
        <f>AQ246/'2017-18 disagg'!AQ246-1</f>
        <v>2.3494571628102978E-2</v>
      </c>
      <c r="BI246" s="1"/>
      <c r="BJ246" s="179">
        <f>AS246/'2017-18 disagg'!AS246-1</f>
        <v>1.6622752335482049E-2</v>
      </c>
      <c r="BK246" s="179">
        <f>AT246/'2017-18 disagg'!AT246-1</f>
        <v>1.32117045713811E-2</v>
      </c>
      <c r="BL246" s="179">
        <f>AU246/'2017-18 disagg'!AU246-1</f>
        <v>3.7214644343087855E-2</v>
      </c>
      <c r="BM246" s="179">
        <f>AW246/'2017-18 disagg'!AW246-1</f>
        <v>1.9609868221589055E-2</v>
      </c>
    </row>
    <row r="247" spans="2:65" x14ac:dyDescent="0.2">
      <c r="B247" s="1" t="s">
        <v>529</v>
      </c>
      <c r="D247" s="55">
        <v>2794751.6403226806</v>
      </c>
      <c r="E247" s="166">
        <v>1588.8640959570339</v>
      </c>
      <c r="F247" s="171">
        <f>VLOOKUP(B247,'2018-19'!$B$12:$AMX455,33,FALSE)</f>
        <v>2.494322532002724E-2</v>
      </c>
      <c r="G247" s="171">
        <f>VLOOKUP(B247,'2018-19'!$B$12:$AMX455,34,FALSE)</f>
        <v>1.8217802176909714E-2</v>
      </c>
      <c r="I247" s="175">
        <v>2828621.5846616342</v>
      </c>
      <c r="J247" s="175">
        <v>1608.1197384677268</v>
      </c>
      <c r="K247" s="171">
        <f t="shared" si="80"/>
        <v>-1.1974010423527637E-2</v>
      </c>
      <c r="L247" s="170">
        <f t="shared" si="80"/>
        <v>-1.1974010423527526E-2</v>
      </c>
      <c r="N247" s="55">
        <v>2109021</v>
      </c>
      <c r="O247" s="55">
        <v>236954</v>
      </c>
      <c r="P247" s="55">
        <v>448629</v>
      </c>
      <c r="R247" s="55">
        <v>448629</v>
      </c>
      <c r="S247" s="55">
        <v>147.64032268046867</v>
      </c>
      <c r="U247" s="171">
        <v>-2.0949955043370494E-2</v>
      </c>
      <c r="V247" s="171">
        <v>2.2325789229876714E-2</v>
      </c>
      <c r="AA247" s="55">
        <v>147.64032268046867</v>
      </c>
      <c r="AB247" s="55">
        <v>0</v>
      </c>
      <c r="AC247" s="55">
        <v>0</v>
      </c>
      <c r="AE247" s="55">
        <v>0</v>
      </c>
      <c r="AF247" s="55">
        <v>0</v>
      </c>
      <c r="AG247" s="55">
        <v>0</v>
      </c>
      <c r="AI247" s="55">
        <v>0</v>
      </c>
      <c r="AJ247" s="55">
        <v>0</v>
      </c>
      <c r="AK247" s="55">
        <v>0</v>
      </c>
      <c r="AM247" s="55">
        <v>2109169</v>
      </c>
      <c r="AN247" s="55">
        <v>236954</v>
      </c>
      <c r="AO247" s="55">
        <v>448629</v>
      </c>
      <c r="AP247" s="55"/>
      <c r="AQ247" s="55">
        <v>2794752</v>
      </c>
      <c r="AR247" s="1"/>
      <c r="AS247" s="175">
        <v>1199.0986419167734</v>
      </c>
      <c r="AT247" s="175">
        <v>134.7124007591365</v>
      </c>
      <c r="AU247" s="175">
        <v>255.05325776383029</v>
      </c>
      <c r="AV247" s="175"/>
      <c r="AW247" s="175">
        <v>1588.8643004397402</v>
      </c>
      <c r="AX247" s="1"/>
      <c r="AY247" s="171">
        <v>-2.088125046117173E-2</v>
      </c>
      <c r="AZ247" s="171">
        <v>2.2325789229876714E-2</v>
      </c>
      <c r="BA247" s="171">
        <v>1.3411385621721061E-2</v>
      </c>
      <c r="BB247" s="171">
        <f t="shared" si="81"/>
        <v>-1.1973883267134111E-2</v>
      </c>
      <c r="BC247" s="171"/>
      <c r="BD247" s="1"/>
      <c r="BE247" s="179">
        <f>AM247/'2017-18 disagg'!AM247-1</f>
        <v>2.0972057909503405E-2</v>
      </c>
      <c r="BF247" s="179">
        <f>AN247/'2017-18 disagg'!AN247-1</f>
        <v>2.4351442367964937E-2</v>
      </c>
      <c r="BG247" s="179">
        <f>AO247/'2017-18 disagg'!AO247-1</f>
        <v>4.4360329909002738E-2</v>
      </c>
      <c r="BH247" s="179">
        <f>AQ247/'2017-18 disagg'!AQ247-1</f>
        <v>2.4943357227573681E-2</v>
      </c>
      <c r="BI247" s="1"/>
      <c r="BJ247" s="179">
        <f>AS247/'2017-18 disagg'!AS247-1</f>
        <v>1.4272692581636548E-2</v>
      </c>
      <c r="BK247" s="179">
        <f>AT247/'2017-18 disagg'!AT247-1</f>
        <v>1.7629902357749971E-2</v>
      </c>
      <c r="BL247" s="179">
        <f>AU247/'2017-18 disagg'!AU247-1</f>
        <v>3.7507496543202512E-2</v>
      </c>
      <c r="BM247" s="179">
        <f>AW247/'2017-18 disagg'!AW247-1</f>
        <v>1.8217933218911631E-2</v>
      </c>
    </row>
    <row r="248" spans="2:65" x14ac:dyDescent="0.2">
      <c r="B248" s="1" t="s">
        <v>530</v>
      </c>
      <c r="D248" s="55">
        <v>4659933.5167175336</v>
      </c>
      <c r="E248" s="166">
        <v>1543.8273145849635</v>
      </c>
      <c r="F248" s="171">
        <f>VLOOKUP(B248,'2018-19'!$B$12:$AMX456,33,FALSE)</f>
        <v>3.2442993648287732E-2</v>
      </c>
      <c r="G248" s="171">
        <f>VLOOKUP(B248,'2018-19'!$B$12:$AMX456,34,FALSE)</f>
        <v>2.1802057696751032E-2</v>
      </c>
      <c r="I248" s="175">
        <v>4800008.051800753</v>
      </c>
      <c r="J248" s="175">
        <v>1590.2337477590556</v>
      </c>
      <c r="K248" s="171">
        <f t="shared" si="80"/>
        <v>-2.918214585716572E-2</v>
      </c>
      <c r="L248" s="170">
        <f t="shared" si="80"/>
        <v>-2.9182145857165831E-2</v>
      </c>
      <c r="N248" s="55">
        <v>3539994</v>
      </c>
      <c r="O248" s="55">
        <v>365977</v>
      </c>
      <c r="P248" s="55">
        <v>729114</v>
      </c>
      <c r="R248" s="55">
        <v>729114</v>
      </c>
      <c r="S248" s="55">
        <v>24848.51671753393</v>
      </c>
      <c r="U248" s="171">
        <v>-2.8143350985125548E-2</v>
      </c>
      <c r="V248" s="171">
        <v>-3.7736385480149792E-2</v>
      </c>
      <c r="AA248" s="55">
        <v>0</v>
      </c>
      <c r="AB248" s="55">
        <v>0</v>
      </c>
      <c r="AC248" s="55">
        <v>24848.51671753393</v>
      </c>
      <c r="AE248" s="55">
        <v>0</v>
      </c>
      <c r="AF248" s="55">
        <v>0</v>
      </c>
      <c r="AG248" s="55">
        <v>24848.51671753393</v>
      </c>
      <c r="AI248" s="55">
        <v>22506.335621145456</v>
      </c>
      <c r="AJ248" s="55">
        <v>2342.1810963884759</v>
      </c>
      <c r="AK248" s="55">
        <v>0</v>
      </c>
      <c r="AM248" s="55">
        <v>3562500</v>
      </c>
      <c r="AN248" s="55">
        <v>368319</v>
      </c>
      <c r="AO248" s="55">
        <v>729114</v>
      </c>
      <c r="AP248" s="55"/>
      <c r="AQ248" s="55">
        <v>4659933</v>
      </c>
      <c r="AR248" s="1"/>
      <c r="AS248" s="175">
        <v>1180.249629845162</v>
      </c>
      <c r="AT248" s="175">
        <v>122.02340025682533</v>
      </c>
      <c r="AU248" s="175">
        <v>241.55411329541766</v>
      </c>
      <c r="AV248" s="175"/>
      <c r="AW248" s="175">
        <v>1543.8271433974051</v>
      </c>
      <c r="AX248" s="1"/>
      <c r="AY248" s="171">
        <v>-2.1964638325519648E-2</v>
      </c>
      <c r="AZ248" s="171">
        <v>-3.1578563034461937E-2</v>
      </c>
      <c r="BA248" s="171">
        <v>-6.1837582285370063E-2</v>
      </c>
      <c r="BB248" s="171">
        <f t="shared" si="81"/>
        <v>-2.9182253506471301E-2</v>
      </c>
      <c r="BC248" s="171"/>
      <c r="BD248" s="1"/>
      <c r="BE248" s="179">
        <f>AM248/'2017-18 disagg'!AM248-1</f>
        <v>2.9037785400921834E-2</v>
      </c>
      <c r="BF248" s="179">
        <f>AN248/'2017-18 disagg'!AN248-1</f>
        <v>3.4906264751500382E-2</v>
      </c>
      <c r="BG248" s="179">
        <f>AO248/'2017-18 disagg'!AO248-1</f>
        <v>4.8128757363786079E-2</v>
      </c>
      <c r="BH248" s="179">
        <f>AQ248/'2017-18 disagg'!AQ248-1</f>
        <v>3.2442879165667904E-2</v>
      </c>
      <c r="BI248" s="1"/>
      <c r="BJ248" s="179">
        <f>AS248/'2017-18 disagg'!AS248-1</f>
        <v>1.8431945433458718E-2</v>
      </c>
      <c r="BK248" s="179">
        <f>AT248/'2017-18 disagg'!AT248-1</f>
        <v>2.4239940947848426E-2</v>
      </c>
      <c r="BL248" s="179">
        <f>AU248/'2017-18 disagg'!AU248-1</f>
        <v>3.7326155142950013E-2</v>
      </c>
      <c r="BM248" s="179">
        <f>AW248/'2017-18 disagg'!AW248-1</f>
        <v>2.1801944394053363E-2</v>
      </c>
    </row>
    <row r="249" spans="2:65" x14ac:dyDescent="0.2">
      <c r="B249" s="1" t="s">
        <v>531</v>
      </c>
      <c r="D249" s="55">
        <v>2948357.6406686027</v>
      </c>
      <c r="E249" s="166">
        <v>1551.5098272108426</v>
      </c>
      <c r="F249" s="171">
        <f>VLOOKUP(B249,'2018-19'!$B$12:$AMX457,33,FALSE)</f>
        <v>2.4100839003853736E-2</v>
      </c>
      <c r="G249" s="171">
        <f>VLOOKUP(B249,'2018-19'!$B$12:$AMX457,34,FALSE)</f>
        <v>1.759199615162621E-2</v>
      </c>
      <c r="I249" s="175">
        <v>2995918.2993365107</v>
      </c>
      <c r="J249" s="175">
        <v>1576.5376014177555</v>
      </c>
      <c r="K249" s="171">
        <f t="shared" si="80"/>
        <v>-1.5875152095583211E-2</v>
      </c>
      <c r="L249" s="170">
        <f t="shared" si="80"/>
        <v>-1.5875152095583323E-2</v>
      </c>
      <c r="N249" s="55">
        <v>2258090</v>
      </c>
      <c r="O249" s="55">
        <v>251239</v>
      </c>
      <c r="P249" s="55">
        <v>436586</v>
      </c>
      <c r="R249" s="55">
        <v>436586</v>
      </c>
      <c r="S249" s="55">
        <v>2442.6406686031551</v>
      </c>
      <c r="U249" s="171">
        <v>-6.1903915232064399E-3</v>
      </c>
      <c r="V249" s="171">
        <v>2.1331713026470744E-2</v>
      </c>
      <c r="AA249" s="55">
        <v>1003.5978341499576</v>
      </c>
      <c r="AB249" s="55">
        <v>0</v>
      </c>
      <c r="AC249" s="55">
        <v>1439.0428344531974</v>
      </c>
      <c r="AE249" s="55">
        <v>0</v>
      </c>
      <c r="AF249" s="55">
        <v>0</v>
      </c>
      <c r="AG249" s="55">
        <v>1439.0428344531974</v>
      </c>
      <c r="AI249" s="55">
        <v>1303.2354577261358</v>
      </c>
      <c r="AJ249" s="55">
        <v>135.80737672706158</v>
      </c>
      <c r="AK249" s="55">
        <v>0</v>
      </c>
      <c r="AM249" s="55">
        <v>2260397</v>
      </c>
      <c r="AN249" s="55">
        <v>251375</v>
      </c>
      <c r="AO249" s="55">
        <v>436586</v>
      </c>
      <c r="AP249" s="55"/>
      <c r="AQ249" s="55">
        <v>2948358</v>
      </c>
      <c r="AR249" s="1"/>
      <c r="AS249" s="175">
        <v>1189.485329229806</v>
      </c>
      <c r="AT249" s="175">
        <v>132.28068991205637</v>
      </c>
      <c r="AU249" s="175">
        <v>229.74399715940345</v>
      </c>
      <c r="AV249" s="175"/>
      <c r="AW249" s="175">
        <v>1551.510016301266</v>
      </c>
      <c r="AX249" s="1"/>
      <c r="AY249" s="171">
        <v>-5.1750560995714734E-3</v>
      </c>
      <c r="AZ249" s="171">
        <v>2.1884577482115031E-2</v>
      </c>
      <c r="BA249" s="171">
        <v>-8.6202746657930818E-2</v>
      </c>
      <c r="BB249" s="171">
        <f t="shared" si="81"/>
        <v>-1.5875032155263868E-2</v>
      </c>
      <c r="BC249" s="171"/>
      <c r="BD249" s="1"/>
      <c r="BE249" s="179">
        <f>AM249/'2017-18 disagg'!AM249-1</f>
        <v>2.1021212281360224E-2</v>
      </c>
      <c r="BF249" s="179">
        <f>AN249/'2017-18 disagg'!AN249-1</f>
        <v>1.8269094444332001E-2</v>
      </c>
      <c r="BG249" s="179">
        <f>AO249/'2017-18 disagg'!AO249-1</f>
        <v>4.3844800214226876E-2</v>
      </c>
      <c r="BH249" s="179">
        <f>AQ249/'2017-18 disagg'!AQ249-1</f>
        <v>2.4100963816251042E-2</v>
      </c>
      <c r="BI249" s="1"/>
      <c r="BJ249" s="179">
        <f>AS249/'2017-18 disagg'!AS249-1</f>
        <v>1.4531942507892914E-2</v>
      </c>
      <c r="BK249" s="179">
        <f>AT249/'2017-18 disagg'!AT249-1</f>
        <v>1.1797316212546649E-2</v>
      </c>
      <c r="BL249" s="179">
        <f>AU249/'2017-18 disagg'!AU249-1</f>
        <v>3.7210471339623075E-2</v>
      </c>
      <c r="BM249" s="179">
        <f>AW249/'2017-18 disagg'!AW249-1</f>
        <v>1.7592120170757841E-2</v>
      </c>
    </row>
    <row r="250" spans="2:65" x14ac:dyDescent="0.2">
      <c r="B250" s="1" t="s">
        <v>532</v>
      </c>
      <c r="D250" s="55">
        <v>3497381.9347285177</v>
      </c>
      <c r="E250" s="166">
        <v>1653.4501346456466</v>
      </c>
      <c r="F250" s="171">
        <f>VLOOKUP(B250,'2018-19'!$B$12:$AMX458,33,FALSE)</f>
        <v>2.2933176657242038E-2</v>
      </c>
      <c r="G250" s="171">
        <f>VLOOKUP(B250,'2018-19'!$B$12:$AMX458,34,FALSE)</f>
        <v>1.7267762372140005E-2</v>
      </c>
      <c r="I250" s="175">
        <v>3499126.7110478729</v>
      </c>
      <c r="J250" s="175">
        <v>1654.2750089928027</v>
      </c>
      <c r="K250" s="171">
        <f t="shared" si="80"/>
        <v>-4.9863193403265615E-4</v>
      </c>
      <c r="L250" s="170">
        <f t="shared" si="80"/>
        <v>-4.9863193403276718E-4</v>
      </c>
      <c r="N250" s="55">
        <v>2697546</v>
      </c>
      <c r="O250" s="55">
        <v>277528</v>
      </c>
      <c r="P250" s="55">
        <v>521198</v>
      </c>
      <c r="R250" s="55">
        <v>521198</v>
      </c>
      <c r="S250" s="55">
        <v>1109.9347285174008</v>
      </c>
      <c r="U250" s="171">
        <v>5.0737003126772873E-3</v>
      </c>
      <c r="V250" s="171">
        <v>3.7574705827285726E-3</v>
      </c>
      <c r="AA250" s="55">
        <v>1109.9347285174008</v>
      </c>
      <c r="AB250" s="55">
        <v>0</v>
      </c>
      <c r="AC250" s="55">
        <v>0</v>
      </c>
      <c r="AE250" s="55">
        <v>0</v>
      </c>
      <c r="AF250" s="55">
        <v>0</v>
      </c>
      <c r="AG250" s="55">
        <v>0</v>
      </c>
      <c r="AI250" s="55">
        <v>0</v>
      </c>
      <c r="AJ250" s="55">
        <v>0</v>
      </c>
      <c r="AK250" s="55">
        <v>0</v>
      </c>
      <c r="AM250" s="55">
        <v>2698657</v>
      </c>
      <c r="AN250" s="55">
        <v>277528</v>
      </c>
      <c r="AO250" s="55">
        <v>521198</v>
      </c>
      <c r="AP250" s="55"/>
      <c r="AQ250" s="55">
        <v>3497383</v>
      </c>
      <c r="AR250" s="1"/>
      <c r="AS250" s="175">
        <v>1275.8385739070802</v>
      </c>
      <c r="AT250" s="175">
        <v>131.20634735695722</v>
      </c>
      <c r="AU250" s="175">
        <v>246.40571700783846</v>
      </c>
      <c r="AV250" s="175"/>
      <c r="AW250" s="175">
        <v>1653.4506382718757</v>
      </c>
      <c r="AX250" s="1"/>
      <c r="AY250" s="171">
        <v>5.4876457582961891E-3</v>
      </c>
      <c r="AZ250" s="171">
        <v>3.7574705827285726E-3</v>
      </c>
      <c r="BA250" s="171">
        <v>-3.2505597440513623E-2</v>
      </c>
      <c r="BB250" s="171">
        <f t="shared" si="81"/>
        <v>-4.9832749479106209E-4</v>
      </c>
      <c r="BC250" s="171"/>
      <c r="BD250" s="1"/>
      <c r="BE250" s="179">
        <f>AM250/'2017-18 disagg'!AM250-1</f>
        <v>1.942556624218561E-2</v>
      </c>
      <c r="BF250" s="179">
        <f>AN250/'2017-18 disagg'!AN250-1</f>
        <v>2.0271015462439479E-2</v>
      </c>
      <c r="BG250" s="179">
        <f>AO250/'2017-18 disagg'!AO250-1</f>
        <v>4.296545914069072E-2</v>
      </c>
      <c r="BH250" s="179">
        <f>AQ250/'2017-18 disagg'!AQ250-1</f>
        <v>2.2933488233604526E-2</v>
      </c>
      <c r="BI250" s="1"/>
      <c r="BJ250" s="179">
        <f>AS250/'2017-18 disagg'!AS250-1</f>
        <v>1.3779578510651147E-2</v>
      </c>
      <c r="BK250" s="179">
        <f>AT250/'2017-18 disagg'!AT250-1</f>
        <v>1.4620345293968162E-2</v>
      </c>
      <c r="BL250" s="179">
        <f>AU250/'2017-18 disagg'!AU250-1</f>
        <v>3.7189098039184021E-2</v>
      </c>
      <c r="BM250" s="179">
        <f>AW250/'2017-18 disagg'!AW250-1</f>
        <v>1.7268072222867747E-2</v>
      </c>
    </row>
    <row r="251" spans="2:65" x14ac:dyDescent="0.2">
      <c r="B251" s="1" t="s">
        <v>56</v>
      </c>
      <c r="D251" s="55">
        <v>3027445.3354610223</v>
      </c>
      <c r="E251" s="166">
        <v>1609.0466049618801</v>
      </c>
      <c r="F251" s="171">
        <f>VLOOKUP(B251,'2018-19'!$B$12:$AMX459,33,FALSE)</f>
        <v>2.8124539784476266E-2</v>
      </c>
      <c r="G251" s="171">
        <f>VLOOKUP(B251,'2018-19'!$B$12:$AMX459,34,FALSE)</f>
        <v>1.9864274331056642E-2</v>
      </c>
      <c r="I251" s="175">
        <v>3101617.9695911463</v>
      </c>
      <c r="J251" s="175">
        <v>1648.4683655235722</v>
      </c>
      <c r="K251" s="171">
        <f t="shared" si="80"/>
        <v>-2.3914174749220085E-2</v>
      </c>
      <c r="L251" s="170">
        <f t="shared" si="80"/>
        <v>-2.3914174749220196E-2</v>
      </c>
      <c r="N251" s="55">
        <v>2359718</v>
      </c>
      <c r="O251" s="55">
        <v>239645</v>
      </c>
      <c r="P251" s="55">
        <v>416733</v>
      </c>
      <c r="R251" s="55">
        <v>416733</v>
      </c>
      <c r="S251" s="55">
        <v>11349.335461022332</v>
      </c>
      <c r="U251" s="171">
        <v>-7.8458057302935869E-3</v>
      </c>
      <c r="V251" s="171">
        <v>-1.1744336351757867E-2</v>
      </c>
      <c r="AA251" s="55">
        <v>2112.5854150264058</v>
      </c>
      <c r="AB251" s="55">
        <v>0</v>
      </c>
      <c r="AC251" s="55">
        <v>9236.7500459959265</v>
      </c>
      <c r="AE251" s="55">
        <v>0</v>
      </c>
      <c r="AF251" s="55">
        <v>213.23484377630555</v>
      </c>
      <c r="AG251" s="55">
        <v>9023.5152022196198</v>
      </c>
      <c r="AI251" s="55">
        <v>8187.4928902707888</v>
      </c>
      <c r="AJ251" s="55">
        <v>836.02231194883188</v>
      </c>
      <c r="AK251" s="55">
        <v>0</v>
      </c>
      <c r="AM251" s="55">
        <v>2370019</v>
      </c>
      <c r="AN251" s="55">
        <v>240694</v>
      </c>
      <c r="AO251" s="55">
        <v>416733</v>
      </c>
      <c r="AP251" s="55"/>
      <c r="AQ251" s="55">
        <v>3027446</v>
      </c>
      <c r="AR251" s="1"/>
      <c r="AS251" s="175">
        <v>1259.6333221866189</v>
      </c>
      <c r="AT251" s="175">
        <v>127.92563386638928</v>
      </c>
      <c r="AU251" s="175">
        <v>221.48800210242882</v>
      </c>
      <c r="AV251" s="175"/>
      <c r="AW251" s="175">
        <v>1609.0469581554369</v>
      </c>
      <c r="AX251" s="1"/>
      <c r="AY251" s="171">
        <v>-3.5147033039985009E-3</v>
      </c>
      <c r="AZ251" s="171">
        <v>-7.4184368288510161E-3</v>
      </c>
      <c r="BA251" s="171">
        <v>-0.13315483920538174</v>
      </c>
      <c r="BB251" s="171">
        <f t="shared" si="81"/>
        <v>-2.3913960493633479E-2</v>
      </c>
      <c r="BC251" s="171"/>
      <c r="BD251" s="1"/>
      <c r="BE251" s="179">
        <f>AM251/'2017-18 disagg'!AM251-1</f>
        <v>2.5213562817835378E-2</v>
      </c>
      <c r="BF251" s="179">
        <f>AN251/'2017-18 disagg'!AN251-1</f>
        <v>2.6842774379058243E-2</v>
      </c>
      <c r="BG251" s="179">
        <f>AO251/'2017-18 disagg'!AO251-1</f>
        <v>4.5767199086563126E-2</v>
      </c>
      <c r="BH251" s="179">
        <f>AQ251/'2017-18 disagg'!AQ251-1</f>
        <v>2.8124765462813839E-2</v>
      </c>
      <c r="BI251" s="1"/>
      <c r="BJ251" s="179">
        <f>AS251/'2017-18 disagg'!AS251-1</f>
        <v>1.697668503929628E-2</v>
      </c>
      <c r="BK251" s="179">
        <f>AT251/'2017-18 disagg'!AT251-1</f>
        <v>1.8592807019000013E-2</v>
      </c>
      <c r="BL251" s="179">
        <f>AU251/'2017-18 disagg'!AU251-1</f>
        <v>3.7365187138920453E-2</v>
      </c>
      <c r="BM251" s="179">
        <f>AW251/'2017-18 disagg'!AW251-1</f>
        <v>1.9864498196225711E-2</v>
      </c>
    </row>
    <row r="252" spans="2:65" x14ac:dyDescent="0.2">
      <c r="B252" s="1" t="s">
        <v>533</v>
      </c>
      <c r="D252" s="55">
        <v>4132292.3697187011</v>
      </c>
      <c r="E252" s="166">
        <v>1556.6177288052031</v>
      </c>
      <c r="F252" s="171">
        <f>VLOOKUP(B252,'2018-19'!$B$12:$AMX460,33,FALSE)</f>
        <v>2.6193236424377098E-2</v>
      </c>
      <c r="G252" s="171">
        <f>VLOOKUP(B252,'2018-19'!$B$12:$AMX460,34,FALSE)</f>
        <v>1.8740938722059397E-2</v>
      </c>
      <c r="I252" s="175">
        <v>4214506.1997937532</v>
      </c>
      <c r="J252" s="175">
        <v>1587.5873442142204</v>
      </c>
      <c r="K252" s="171">
        <f t="shared" si="80"/>
        <v>-1.950734586155678E-2</v>
      </c>
      <c r="L252" s="170">
        <f t="shared" si="80"/>
        <v>-1.950734586155678E-2</v>
      </c>
      <c r="N252" s="55">
        <v>3159518</v>
      </c>
      <c r="O252" s="55">
        <v>370328</v>
      </c>
      <c r="P252" s="55">
        <v>591033</v>
      </c>
      <c r="R252" s="55">
        <v>591033</v>
      </c>
      <c r="S252" s="55">
        <v>11413.369718700706</v>
      </c>
      <c r="U252" s="171">
        <v>-8.5485677019194739E-3</v>
      </c>
      <c r="V252" s="171">
        <v>7.5970918747286786E-2</v>
      </c>
      <c r="AA252" s="55">
        <v>11020.67997824859</v>
      </c>
      <c r="AB252" s="55">
        <v>0</v>
      </c>
      <c r="AC252" s="55">
        <v>392.6897404521153</v>
      </c>
      <c r="AE252" s="55">
        <v>0</v>
      </c>
      <c r="AF252" s="55">
        <v>7.7609282184857875</v>
      </c>
      <c r="AG252" s="55">
        <v>384.92881223362951</v>
      </c>
      <c r="AI252" s="55">
        <v>350.40177651024823</v>
      </c>
      <c r="AJ252" s="55">
        <v>34.527035723381253</v>
      </c>
      <c r="AK252" s="55">
        <v>0</v>
      </c>
      <c r="AM252" s="55">
        <v>3170889</v>
      </c>
      <c r="AN252" s="55">
        <v>370371</v>
      </c>
      <c r="AO252" s="55">
        <v>591033</v>
      </c>
      <c r="AP252" s="55"/>
      <c r="AQ252" s="55">
        <v>4132293</v>
      </c>
      <c r="AR252" s="1"/>
      <c r="AS252" s="175">
        <v>1194.4609896538861</v>
      </c>
      <c r="AT252" s="175">
        <v>139.51724932632439</v>
      </c>
      <c r="AU252" s="175">
        <v>222.6397272493945</v>
      </c>
      <c r="AV252" s="175"/>
      <c r="AW252" s="175">
        <v>1556.6179662296049</v>
      </c>
      <c r="AX252" s="1"/>
      <c r="AY252" s="171">
        <v>-4.980367034393085E-3</v>
      </c>
      <c r="AZ252" s="171">
        <v>7.609585326346191E-2</v>
      </c>
      <c r="BA252" s="171">
        <v>-0.13536762286588444</v>
      </c>
      <c r="BB252" s="171">
        <f t="shared" si="81"/>
        <v>-1.9507196311106756E-2</v>
      </c>
      <c r="BC252" s="171"/>
      <c r="BD252" s="1"/>
      <c r="BE252" s="179">
        <f>AM252/'2017-18 disagg'!AM252-1</f>
        <v>2.4154219575886371E-2</v>
      </c>
      <c r="BF252" s="179">
        <f>AN252/'2017-18 disagg'!AN252-1</f>
        <v>1.4570526938627815E-2</v>
      </c>
      <c r="BG252" s="179">
        <f>AO252/'2017-18 disagg'!AO252-1</f>
        <v>4.4855566948343473E-2</v>
      </c>
      <c r="BH252" s="179">
        <f>AQ252/'2017-18 disagg'!AQ252-1</f>
        <v>2.6193392945346172E-2</v>
      </c>
      <c r="BI252" s="1"/>
      <c r="BJ252" s="179">
        <f>AS252/'2017-18 disagg'!AS252-1</f>
        <v>1.6716729377687534E-2</v>
      </c>
      <c r="BK252" s="179">
        <f>AT252/'2017-18 disagg'!AT252-1</f>
        <v>7.2026342860813664E-3</v>
      </c>
      <c r="BL252" s="179">
        <f>AU252/'2017-18 disagg'!AU252-1</f>
        <v>3.7267741902883067E-2</v>
      </c>
      <c r="BM252" s="179">
        <f>AW252/'2017-18 disagg'!AW252-1</f>
        <v>1.8741094106360601E-2</v>
      </c>
    </row>
    <row r="253" spans="2:65" x14ac:dyDescent="0.2">
      <c r="B253" s="1" t="s">
        <v>516</v>
      </c>
      <c r="D253" s="55">
        <v>16036499.709685687</v>
      </c>
      <c r="E253" s="166">
        <v>1646.9039519921689</v>
      </c>
      <c r="F253" s="171">
        <f>VLOOKUP(B253,'2018-19'!$B$12:$AMX461,33,FALSE)</f>
        <v>2.9761181299210904E-2</v>
      </c>
      <c r="G253" s="171">
        <f>VLOOKUP(B253,'2018-19'!$B$12:$AMX461,34,FALSE)</f>
        <v>1.7066658737112661E-2</v>
      </c>
      <c r="I253" s="175">
        <v>15951933.864206355</v>
      </c>
      <c r="J253" s="175">
        <v>1638.2192746844798</v>
      </c>
      <c r="K253" s="171">
        <f t="shared" si="80"/>
        <v>5.3012911286627329E-3</v>
      </c>
      <c r="L253" s="170">
        <f t="shared" si="80"/>
        <v>5.3012911286627329E-3</v>
      </c>
      <c r="N253" s="55">
        <v>11632726</v>
      </c>
      <c r="O253" s="55">
        <v>1274306</v>
      </c>
      <c r="P253" s="55">
        <v>3115404</v>
      </c>
      <c r="R253" s="55">
        <v>3115404</v>
      </c>
      <c r="S253" s="55">
        <v>14063.709685687383</v>
      </c>
      <c r="U253" s="171">
        <v>1.1713641197144131E-2</v>
      </c>
      <c r="V253" s="171">
        <v>-3.9366744324315972E-2</v>
      </c>
      <c r="AA253" s="55">
        <v>0</v>
      </c>
      <c r="AB253" s="55">
        <v>0</v>
      </c>
      <c r="AC253" s="55">
        <v>14063.709685687383</v>
      </c>
      <c r="AE253" s="55">
        <v>0</v>
      </c>
      <c r="AF253" s="55">
        <v>579.01562494446989</v>
      </c>
      <c r="AG253" s="55">
        <v>13484.694060742913</v>
      </c>
      <c r="AI253" s="55">
        <v>12199.816831444568</v>
      </c>
      <c r="AJ253" s="55">
        <v>1284.877229298346</v>
      </c>
      <c r="AK253" s="55">
        <v>0</v>
      </c>
      <c r="AM253" s="55">
        <v>11644924</v>
      </c>
      <c r="AN253" s="55">
        <v>1276169</v>
      </c>
      <c r="AO253" s="55">
        <v>3115404</v>
      </c>
      <c r="AP253" s="55"/>
      <c r="AQ253" s="55">
        <v>16036497</v>
      </c>
      <c r="AR253" s="1"/>
      <c r="AS253" s="175">
        <v>1195.9013315521299</v>
      </c>
      <c r="AT253" s="175">
        <v>131.05900960672221</v>
      </c>
      <c r="AU253" s="175">
        <v>319.94333255612759</v>
      </c>
      <c r="AV253" s="175"/>
      <c r="AW253" s="175">
        <v>1646.9036737149797</v>
      </c>
      <c r="AX253" s="1"/>
      <c r="AY253" s="171">
        <v>1.2774517469423152E-2</v>
      </c>
      <c r="AZ253" s="171">
        <v>-3.7962325169635824E-2</v>
      </c>
      <c r="BA253" s="171">
        <v>-3.824546561772002E-3</v>
      </c>
      <c r="BB253" s="171">
        <f t="shared" si="81"/>
        <v>5.3011212630083016E-3</v>
      </c>
      <c r="BC253" s="171"/>
      <c r="BD253" s="1"/>
      <c r="BE253" s="179">
        <f>AM253/'2017-18 disagg'!AM253-1</f>
        <v>2.3779083823833203E-2</v>
      </c>
      <c r="BF253" s="179">
        <f>AN253/'2017-18 disagg'!AN253-1</f>
        <v>3.5604328187916146E-2</v>
      </c>
      <c r="BG253" s="179">
        <f>AO253/'2017-18 disagg'!AO253-1</f>
        <v>5.027165301771519E-2</v>
      </c>
      <c r="BH253" s="179">
        <f>AQ253/'2017-18 disagg'!AQ253-1</f>
        <v>2.9761007300571185E-2</v>
      </c>
      <c r="BI253" s="1"/>
      <c r="BJ253" s="179">
        <f>AS253/'2017-18 disagg'!AS253-1</f>
        <v>1.1158306390944839E-2</v>
      </c>
      <c r="BK253" s="179">
        <f>AT253/'2017-18 disagg'!AT253-1</f>
        <v>2.2837773429072339E-2</v>
      </c>
      <c r="BL253" s="179">
        <f>AU253/'2017-18 disagg'!AU253-1</f>
        <v>3.7324284795168472E-2</v>
      </c>
      <c r="BM253" s="179">
        <f>AW253/'2017-18 disagg'!AW253-1</f>
        <v>1.7066486883465348E-2</v>
      </c>
    </row>
    <row r="254" spans="2:65" x14ac:dyDescent="0.2">
      <c r="B254" s="1" t="s">
        <v>534</v>
      </c>
      <c r="D254" s="55">
        <v>3061680.3811694114</v>
      </c>
      <c r="E254" s="166">
        <v>1631.9405725041063</v>
      </c>
      <c r="F254" s="171">
        <f>VLOOKUP(B254,'2018-19'!$B$12:$AMX462,33,FALSE)</f>
        <v>2.765816198127502E-2</v>
      </c>
      <c r="G254" s="171">
        <f>VLOOKUP(B254,'2018-19'!$B$12:$AMX462,34,FALSE)</f>
        <v>1.8812728383217348E-2</v>
      </c>
      <c r="I254" s="175">
        <v>3096873.1996393837</v>
      </c>
      <c r="J254" s="175">
        <v>1650.6990910859784</v>
      </c>
      <c r="K254" s="171">
        <f t="shared" si="80"/>
        <v>-1.1363984316203335E-2</v>
      </c>
      <c r="L254" s="170">
        <f t="shared" si="80"/>
        <v>-1.1363984316203335E-2</v>
      </c>
      <c r="N254" s="55">
        <v>2314546</v>
      </c>
      <c r="O254" s="55">
        <v>241614</v>
      </c>
      <c r="P254" s="55">
        <v>499225</v>
      </c>
      <c r="R254" s="55">
        <v>499225</v>
      </c>
      <c r="S254" s="55">
        <v>6295.3811694111209</v>
      </c>
      <c r="U254" s="171">
        <v>-4.247198300194488E-3</v>
      </c>
      <c r="V254" s="171">
        <v>-1.9120056468356017E-2</v>
      </c>
      <c r="AA254" s="55">
        <v>2555.9366011340171</v>
      </c>
      <c r="AB254" s="55">
        <v>0</v>
      </c>
      <c r="AC254" s="55">
        <v>3739.4445682771038</v>
      </c>
      <c r="AE254" s="55">
        <v>0</v>
      </c>
      <c r="AF254" s="55">
        <v>0</v>
      </c>
      <c r="AG254" s="55">
        <v>3739.4445682771038</v>
      </c>
      <c r="AI254" s="55">
        <v>3385.1085965171246</v>
      </c>
      <c r="AJ254" s="55">
        <v>354.33597175997903</v>
      </c>
      <c r="AK254" s="55">
        <v>0</v>
      </c>
      <c r="AM254" s="55">
        <v>2320487</v>
      </c>
      <c r="AN254" s="55">
        <v>241968</v>
      </c>
      <c r="AO254" s="55">
        <v>499225</v>
      </c>
      <c r="AP254" s="55"/>
      <c r="AQ254" s="55">
        <v>3061680</v>
      </c>
      <c r="AR254" s="1"/>
      <c r="AS254" s="175">
        <v>1236.8687817837888</v>
      </c>
      <c r="AT254" s="175">
        <v>128.97407543789723</v>
      </c>
      <c r="AU254" s="175">
        <v>266.09751211104049</v>
      </c>
      <c r="AV254" s="175"/>
      <c r="AW254" s="175">
        <v>1631.9403693327265</v>
      </c>
      <c r="AX254" s="1"/>
      <c r="AY254" s="171">
        <v>-1.6912899730761044E-3</v>
      </c>
      <c r="AZ254" s="171">
        <v>-1.7682923272389628E-2</v>
      </c>
      <c r="BA254" s="171">
        <v>-5.1139735254750684E-2</v>
      </c>
      <c r="BB254" s="171">
        <f t="shared" si="81"/>
        <v>-1.1364107398224021E-2</v>
      </c>
      <c r="BC254" s="171"/>
      <c r="BD254" s="1"/>
      <c r="BE254" s="179">
        <f>AM254/'2017-18 disagg'!AM254-1</f>
        <v>2.3905379228790435E-2</v>
      </c>
      <c r="BF254" s="179">
        <f>AN254/'2017-18 disagg'!AN254-1</f>
        <v>2.6022872311104228E-2</v>
      </c>
      <c r="BG254" s="179">
        <f>AO254/'2017-18 disagg'!AO254-1</f>
        <v>4.6290590982063895E-2</v>
      </c>
      <c r="BH254" s="179">
        <f>AQ254/'2017-18 disagg'!AQ254-1</f>
        <v>2.7658034041122104E-2</v>
      </c>
      <c r="BI254" s="1"/>
      <c r="BJ254" s="179">
        <f>AS254/'2017-18 disagg'!AS254-1</f>
        <v>1.5092247218821964E-2</v>
      </c>
      <c r="BK254" s="179">
        <f>AT254/'2017-18 disagg'!AT254-1</f>
        <v>1.7191514255601392E-2</v>
      </c>
      <c r="BL254" s="179">
        <f>AU254/'2017-18 disagg'!AU254-1</f>
        <v>3.7284781181496029E-2</v>
      </c>
      <c r="BM254" s="179">
        <f>AW254/'2017-18 disagg'!AW254-1</f>
        <v>1.8812601544292429E-2</v>
      </c>
    </row>
    <row r="255" spans="2:65" x14ac:dyDescent="0.2">
      <c r="B255" s="1" t="s">
        <v>535</v>
      </c>
      <c r="D255" s="55">
        <v>3329420.1722126114</v>
      </c>
      <c r="E255" s="166">
        <v>1460.096792013537</v>
      </c>
      <c r="F255" s="171">
        <f>VLOOKUP(B255,'2018-19'!$B$12:$AMX463,33,FALSE)</f>
        <v>2.600534361837159E-2</v>
      </c>
      <c r="G255" s="171">
        <f>VLOOKUP(B255,'2018-19'!$B$12:$AMX463,34,FALSE)</f>
        <v>1.8428597781038114E-2</v>
      </c>
      <c r="I255" s="175">
        <v>3370632.5410624407</v>
      </c>
      <c r="J255" s="175">
        <v>1478.170223553097</v>
      </c>
      <c r="K255" s="171">
        <f t="shared" si="80"/>
        <v>-1.2226894610362637E-2</v>
      </c>
      <c r="L255" s="170">
        <f t="shared" si="80"/>
        <v>-1.2226894610362748E-2</v>
      </c>
      <c r="N255" s="55">
        <v>2453601</v>
      </c>
      <c r="O255" s="55">
        <v>285901</v>
      </c>
      <c r="P255" s="55">
        <v>586997</v>
      </c>
      <c r="R255" s="55">
        <v>586997</v>
      </c>
      <c r="S255" s="55">
        <v>2921.1722126111272</v>
      </c>
      <c r="U255" s="171">
        <v>-3.3821648054630726E-2</v>
      </c>
      <c r="V255" s="171">
        <v>-3.8793611647557347E-3</v>
      </c>
      <c r="AA255" s="55">
        <v>330.2286828198994</v>
      </c>
      <c r="AB255" s="55">
        <v>0</v>
      </c>
      <c r="AC255" s="55">
        <v>2590.9435297912278</v>
      </c>
      <c r="AE255" s="55">
        <v>0</v>
      </c>
      <c r="AF255" s="55">
        <v>0</v>
      </c>
      <c r="AG255" s="55">
        <v>2590.9435297912278</v>
      </c>
      <c r="AI255" s="55">
        <v>2331.9377831543293</v>
      </c>
      <c r="AJ255" s="55">
        <v>259.00574663689832</v>
      </c>
      <c r="AK255" s="55">
        <v>0</v>
      </c>
      <c r="AM255" s="55">
        <v>2456263</v>
      </c>
      <c r="AN255" s="55">
        <v>286160</v>
      </c>
      <c r="AO255" s="55">
        <v>586997</v>
      </c>
      <c r="AP255" s="55"/>
      <c r="AQ255" s="55">
        <v>3329420</v>
      </c>
      <c r="AR255" s="1"/>
      <c r="AS255" s="175">
        <v>1077.1790705701671</v>
      </c>
      <c r="AT255" s="175">
        <v>125.49371253581518</v>
      </c>
      <c r="AU255" s="175">
        <v>257.42393338477041</v>
      </c>
      <c r="AV255" s="175"/>
      <c r="AW255" s="175">
        <v>1460.0967164907527</v>
      </c>
      <c r="AX255" s="1"/>
      <c r="AY255" s="171">
        <v>-3.2773406399659644E-2</v>
      </c>
      <c r="AZ255" s="171">
        <v>-2.9769675198985102E-3</v>
      </c>
      <c r="BA255" s="171">
        <v>7.8786068639817186E-2</v>
      </c>
      <c r="BB255" s="171">
        <f t="shared" si="81"/>
        <v>-1.2226945702437875E-2</v>
      </c>
      <c r="BC255" s="171"/>
      <c r="BD255" s="1"/>
      <c r="BE255" s="179">
        <f>AM255/'2017-18 disagg'!AM255-1</f>
        <v>2.1824601953323031E-2</v>
      </c>
      <c r="BF255" s="179">
        <f>AN255/'2017-18 disagg'!AN255-1</f>
        <v>2.3883213768180811E-2</v>
      </c>
      <c r="BG255" s="179">
        <f>AO255/'2017-18 disagg'!AO255-1</f>
        <v>4.4950920878831457E-2</v>
      </c>
      <c r="BH255" s="179">
        <f>AQ255/'2017-18 disagg'!AQ255-1</f>
        <v>2.6005290548752669E-2</v>
      </c>
      <c r="BI255" s="1"/>
      <c r="BJ255" s="179">
        <f>AS255/'2017-18 disagg'!AS255-1</f>
        <v>1.4278729655981204E-2</v>
      </c>
      <c r="BK255" s="179">
        <f>AT255/'2017-18 disagg'!AT255-1</f>
        <v>1.6322139231790045E-2</v>
      </c>
      <c r="BL255" s="179">
        <f>AU255/'2017-18 disagg'!AU255-1</f>
        <v>3.7234267559985268E-2</v>
      </c>
      <c r="BM255" s="179">
        <f>AW255/'2017-18 disagg'!AW255-1</f>
        <v>1.8428545103322591E-2</v>
      </c>
    </row>
    <row r="256" spans="2:65" x14ac:dyDescent="0.2">
      <c r="B256" s="1" t="s">
        <v>536</v>
      </c>
      <c r="D256" s="55">
        <v>4808956.1472880505</v>
      </c>
      <c r="E256" s="166">
        <v>1626.3757600698398</v>
      </c>
      <c r="F256" s="171">
        <f>VLOOKUP(B256,'2018-19'!$B$12:$AMX464,33,FALSE)</f>
        <v>2.6047888920406104E-2</v>
      </c>
      <c r="G256" s="171">
        <f>VLOOKUP(B256,'2018-19'!$B$12:$AMX464,34,FALSE)</f>
        <v>1.8009184330079808E-2</v>
      </c>
      <c r="I256" s="175">
        <v>4855619.5920876861</v>
      </c>
      <c r="J256" s="175">
        <v>1642.1572089288159</v>
      </c>
      <c r="K256" s="171">
        <f t="shared" si="80"/>
        <v>-9.6101936971492163E-3</v>
      </c>
      <c r="L256" s="170">
        <f t="shared" si="80"/>
        <v>-9.6101936971493274E-3</v>
      </c>
      <c r="N256" s="55">
        <v>3647012</v>
      </c>
      <c r="O256" s="55">
        <v>372351</v>
      </c>
      <c r="P256" s="55">
        <v>783983</v>
      </c>
      <c r="R256" s="55">
        <v>783983</v>
      </c>
      <c r="S256" s="55">
        <v>5610.1472880503861</v>
      </c>
      <c r="U256" s="171">
        <v>-1.1030445931618504E-2</v>
      </c>
      <c r="V256" s="171">
        <v>-3.732813119719125E-2</v>
      </c>
      <c r="AA256" s="55">
        <v>332.00211644603405</v>
      </c>
      <c r="AB256" s="55">
        <v>0</v>
      </c>
      <c r="AC256" s="55">
        <v>5278.1451716043521</v>
      </c>
      <c r="AE256" s="55">
        <v>0</v>
      </c>
      <c r="AF256" s="55">
        <v>0</v>
      </c>
      <c r="AG256" s="55">
        <v>5278.1451716043521</v>
      </c>
      <c r="AI256" s="55">
        <v>4792.9560352559656</v>
      </c>
      <c r="AJ256" s="55">
        <v>485.18913634838611</v>
      </c>
      <c r="AK256" s="55">
        <v>0</v>
      </c>
      <c r="AM256" s="55">
        <v>3652136</v>
      </c>
      <c r="AN256" s="55">
        <v>372837</v>
      </c>
      <c r="AO256" s="55">
        <v>783983</v>
      </c>
      <c r="AP256" s="55"/>
      <c r="AQ256" s="55">
        <v>4808956</v>
      </c>
      <c r="AR256" s="1"/>
      <c r="AS256" s="175">
        <v>1235.1423637389723</v>
      </c>
      <c r="AT256" s="175">
        <v>126.09244931441415</v>
      </c>
      <c r="AU256" s="175">
        <v>265.14089720403916</v>
      </c>
      <c r="AV256" s="175"/>
      <c r="AW256" s="175">
        <v>1626.3757102574257</v>
      </c>
      <c r="AX256" s="1"/>
      <c r="AY256" s="171">
        <v>-9.6409577711610295E-3</v>
      </c>
      <c r="AZ256" s="171">
        <v>-3.6071632548770327E-2</v>
      </c>
      <c r="BA256" s="171">
        <v>3.6374648926136288E-3</v>
      </c>
      <c r="BB256" s="171">
        <f t="shared" si="81"/>
        <v>-9.6102240306726872E-3</v>
      </c>
      <c r="BC256" s="171"/>
      <c r="BD256" s="1"/>
      <c r="BE256" s="179">
        <f>AM256/'2017-18 disagg'!AM256-1</f>
        <v>2.1653091756249188E-2</v>
      </c>
      <c r="BF256" s="179">
        <f>AN256/'2017-18 disagg'!AN256-1</f>
        <v>2.9183056602211099E-2</v>
      </c>
      <c r="BG256" s="179">
        <f>AO256/'2017-18 disagg'!AO256-1</f>
        <v>4.5483519941963646E-2</v>
      </c>
      <c r="BH256" s="179">
        <f>AQ256/'2017-18 disagg'!AQ256-1</f>
        <v>2.6047857494751803E-2</v>
      </c>
      <c r="BI256" s="1"/>
      <c r="BJ256" s="179">
        <f>AS256/'2017-18 disagg'!AS256-1</f>
        <v>1.3648818771424542E-2</v>
      </c>
      <c r="BK256" s="179">
        <f>AT256/'2017-18 disagg'!AT256-1</f>
        <v>2.1119789136109679E-2</v>
      </c>
      <c r="BL256" s="179">
        <f>AU256/'2017-18 disagg'!AU256-1</f>
        <v>3.7292544392361737E-2</v>
      </c>
      <c r="BM256" s="179">
        <f>AW256/'2017-18 disagg'!AW256-1</f>
        <v>1.8009153150633894E-2</v>
      </c>
    </row>
    <row r="257" spans="2:65" x14ac:dyDescent="0.2">
      <c r="B257" s="1" t="s">
        <v>537</v>
      </c>
      <c r="D257" s="55">
        <v>4668138.1776513029</v>
      </c>
      <c r="E257" s="166">
        <v>1614.6267301147675</v>
      </c>
      <c r="F257" s="171">
        <f>VLOOKUP(B257,'2018-19'!$B$12:$AMX465,33,FALSE)</f>
        <v>2.3674104454495914E-2</v>
      </c>
      <c r="G257" s="171">
        <f>VLOOKUP(B257,'2018-19'!$B$12:$AMX465,34,FALSE)</f>
        <v>1.739008949607701E-2</v>
      </c>
      <c r="I257" s="175">
        <v>4692327.4412362501</v>
      </c>
      <c r="J257" s="175">
        <v>1622.9933701069233</v>
      </c>
      <c r="K257" s="171">
        <f t="shared" si="80"/>
        <v>-5.1550672641409445E-3</v>
      </c>
      <c r="L257" s="170">
        <f t="shared" si="80"/>
        <v>-5.1550672641408335E-3</v>
      </c>
      <c r="N257" s="55">
        <v>3560924</v>
      </c>
      <c r="O257" s="55">
        <v>373045</v>
      </c>
      <c r="P257" s="55">
        <v>730880</v>
      </c>
      <c r="R257" s="55">
        <v>730880</v>
      </c>
      <c r="S257" s="55">
        <v>3289.1776513028308</v>
      </c>
      <c r="U257" s="171">
        <v>-2.0141648382105304E-2</v>
      </c>
      <c r="V257" s="171">
        <v>-1.5022287346292407E-2</v>
      </c>
      <c r="AA257" s="55">
        <v>629.82746499642963</v>
      </c>
      <c r="AB257" s="55">
        <v>0</v>
      </c>
      <c r="AC257" s="55">
        <v>2659.3501863064012</v>
      </c>
      <c r="AE257" s="55">
        <v>0</v>
      </c>
      <c r="AF257" s="55">
        <v>0</v>
      </c>
      <c r="AG257" s="55">
        <v>2659.3501863064012</v>
      </c>
      <c r="AI257" s="55">
        <v>2406.1342742365837</v>
      </c>
      <c r="AJ257" s="55">
        <v>253.21591206981748</v>
      </c>
      <c r="AK257" s="55">
        <v>0</v>
      </c>
      <c r="AM257" s="55">
        <v>3563960</v>
      </c>
      <c r="AN257" s="55">
        <v>373298</v>
      </c>
      <c r="AO257" s="55">
        <v>730880</v>
      </c>
      <c r="AP257" s="55"/>
      <c r="AQ257" s="55">
        <v>4668138</v>
      </c>
      <c r="AR257" s="1"/>
      <c r="AS257" s="175">
        <v>1232.7109571454655</v>
      </c>
      <c r="AT257" s="175">
        <v>129.11719965445403</v>
      </c>
      <c r="AU257" s="175">
        <v>252.79851186839298</v>
      </c>
      <c r="AV257" s="175"/>
      <c r="AW257" s="175">
        <v>1614.6266686683125</v>
      </c>
      <c r="AX257" s="1"/>
      <c r="AY257" s="171">
        <v>-1.9306233204608669E-2</v>
      </c>
      <c r="AZ257" s="171">
        <v>-1.4354273135402607E-2</v>
      </c>
      <c r="BA257" s="171">
        <v>7.5659075801580933E-2</v>
      </c>
      <c r="BB257" s="171">
        <f t="shared" si="81"/>
        <v>-5.1551051240953383E-3</v>
      </c>
      <c r="BC257" s="171"/>
      <c r="BD257" s="1"/>
      <c r="BE257" s="179">
        <f>AM257/'2017-18 disagg'!AM257-1</f>
        <v>1.9729293740840426E-2</v>
      </c>
      <c r="BF257" s="179">
        <f>AN257/'2017-18 disagg'!AN257-1</f>
        <v>2.3025738840656063E-2</v>
      </c>
      <c r="BG257" s="179">
        <f>AO257/'2017-18 disagg'!AO257-1</f>
        <v>4.3699787798560097E-2</v>
      </c>
      <c r="BH257" s="179">
        <f>AQ257/'2017-18 disagg'!AQ257-1</f>
        <v>2.3674065497414576E-2</v>
      </c>
      <c r="BI257" s="1"/>
      <c r="BJ257" s="179">
        <f>AS257/'2017-18 disagg'!AS257-1</f>
        <v>1.3469494740825594E-2</v>
      </c>
      <c r="BK257" s="179">
        <f>AT257/'2017-18 disagg'!AT257-1</f>
        <v>1.6745703995828087E-2</v>
      </c>
      <c r="BL257" s="179">
        <f>AU257/'2017-18 disagg'!AU257-1</f>
        <v>3.7292841437325253E-2</v>
      </c>
      <c r="BM257" s="179">
        <f>AW257/'2017-18 disagg'!AW257-1</f>
        <v>1.7390050778141042E-2</v>
      </c>
    </row>
    <row r="258" spans="2:65" x14ac:dyDescent="0.2">
      <c r="B258" s="1" t="s">
        <v>538</v>
      </c>
      <c r="D258" s="55">
        <v>2426331.5970720854</v>
      </c>
      <c r="E258" s="166">
        <v>1527.406395999026</v>
      </c>
      <c r="F258" s="171">
        <f>VLOOKUP(B258,'2018-19'!$B$12:$AMX466,33,FALSE)</f>
        <v>2.5349461605397305E-2</v>
      </c>
      <c r="G258" s="171">
        <f>VLOOKUP(B258,'2018-19'!$B$12:$AMX466,34,FALSE)</f>
        <v>1.8371332100954207E-2</v>
      </c>
      <c r="I258" s="175">
        <v>2469273.822729019</v>
      </c>
      <c r="J258" s="175">
        <v>1554.4390696063695</v>
      </c>
      <c r="K258" s="171">
        <f t="shared" si="80"/>
        <v>-1.7390629286092807E-2</v>
      </c>
      <c r="L258" s="170">
        <f t="shared" si="80"/>
        <v>-1.7390629286092807E-2</v>
      </c>
      <c r="N258" s="55">
        <v>1859800</v>
      </c>
      <c r="O258" s="55">
        <v>197857</v>
      </c>
      <c r="P258" s="55">
        <v>365234</v>
      </c>
      <c r="R258" s="55">
        <v>365234</v>
      </c>
      <c r="S258" s="55">
        <v>3440.5970720853074</v>
      </c>
      <c r="U258" s="171">
        <v>-2.1069812310114622E-2</v>
      </c>
      <c r="V258" s="171">
        <v>-1.585487634642968E-2</v>
      </c>
      <c r="AA258" s="55">
        <v>0</v>
      </c>
      <c r="AB258" s="55">
        <v>0</v>
      </c>
      <c r="AC258" s="55">
        <v>3440.5970720853074</v>
      </c>
      <c r="AE258" s="55">
        <v>0</v>
      </c>
      <c r="AF258" s="55">
        <v>0</v>
      </c>
      <c r="AG258" s="55">
        <v>3440.5970720853074</v>
      </c>
      <c r="AI258" s="55">
        <v>3116.7178478357978</v>
      </c>
      <c r="AJ258" s="55">
        <v>323.87922424950966</v>
      </c>
      <c r="AK258" s="55">
        <v>0</v>
      </c>
      <c r="AM258" s="55">
        <v>1862916</v>
      </c>
      <c r="AN258" s="55">
        <v>198180</v>
      </c>
      <c r="AO258" s="55">
        <v>365234</v>
      </c>
      <c r="AP258" s="55"/>
      <c r="AQ258" s="55">
        <v>2426330</v>
      </c>
      <c r="AR258" s="1"/>
      <c r="AS258" s="175">
        <v>1172.7291591316587</v>
      </c>
      <c r="AT258" s="175">
        <v>124.756813917918</v>
      </c>
      <c r="AU258" s="175">
        <v>229.91941757239309</v>
      </c>
      <c r="AV258" s="175"/>
      <c r="AW258" s="175">
        <v>1527.4053906219699</v>
      </c>
      <c r="AX258" s="1"/>
      <c r="AY258" s="171">
        <v>-1.9429664732503182E-2</v>
      </c>
      <c r="AZ258" s="171">
        <v>-1.4248267154234773E-2</v>
      </c>
      <c r="BA258" s="171">
        <v>-8.5945793636761358E-3</v>
      </c>
      <c r="BB258" s="171">
        <f t="shared" si="81"/>
        <v>-1.7391276064133598E-2</v>
      </c>
      <c r="BC258" s="171"/>
      <c r="BD258" s="1"/>
      <c r="BE258" s="179">
        <f>AM258/'2017-18 disagg'!AM258-1</f>
        <v>2.2095373534272156E-2</v>
      </c>
      <c r="BF258" s="179">
        <f>AN258/'2017-18 disagg'!AN258-1</f>
        <v>2.1588519114190241E-2</v>
      </c>
      <c r="BG258" s="179">
        <f>AO258/'2017-18 disagg'!AO258-1</f>
        <v>4.4391066883989527E-2</v>
      </c>
      <c r="BH258" s="179">
        <f>AQ258/'2017-18 disagg'!AQ258-1</f>
        <v>2.5348786694760594E-2</v>
      </c>
      <c r="BI258" s="1"/>
      <c r="BJ258" s="179">
        <f>AS258/'2017-18 disagg'!AS258-1</f>
        <v>1.5139390087177684E-2</v>
      </c>
      <c r="BK258" s="179">
        <f>AT258/'2017-18 disagg'!AT258-1</f>
        <v>1.4635985121077777E-2</v>
      </c>
      <c r="BL258" s="179">
        <f>AU258/'2017-18 disagg'!AU258-1</f>
        <v>3.7283347622510288E-2</v>
      </c>
      <c r="BM258" s="179">
        <f>AW258/'2017-18 disagg'!AW258-1</f>
        <v>1.8370661783496667E-2</v>
      </c>
    </row>
    <row r="259" spans="2:65" x14ac:dyDescent="0.2">
      <c r="B259" s="1" t="s">
        <v>539</v>
      </c>
      <c r="D259" s="55">
        <v>2508958.3097036118</v>
      </c>
      <c r="E259" s="166">
        <v>1599.9227371194968</v>
      </c>
      <c r="F259" s="171">
        <f>VLOOKUP(B259,'2018-19'!$B$12:$AMX467,33,FALSE)</f>
        <v>2.4952350445410998E-2</v>
      </c>
      <c r="G259" s="171">
        <f>VLOOKUP(B259,'2018-19'!$B$12:$AMX467,34,FALSE)</f>
        <v>1.662342454350374E-2</v>
      </c>
      <c r="I259" s="175">
        <v>2522854.0484438702</v>
      </c>
      <c r="J259" s="175">
        <v>1608.7838283036854</v>
      </c>
      <c r="K259" s="171">
        <f t="shared" si="80"/>
        <v>-5.5079439687878429E-3</v>
      </c>
      <c r="L259" s="170">
        <f t="shared" si="80"/>
        <v>-5.5079439687877318E-3</v>
      </c>
      <c r="N259" s="55">
        <v>1880809</v>
      </c>
      <c r="O259" s="55">
        <v>208303</v>
      </c>
      <c r="P259" s="55">
        <v>418868</v>
      </c>
      <c r="R259" s="55">
        <v>418868</v>
      </c>
      <c r="S259" s="55">
        <v>978.30970361153595</v>
      </c>
      <c r="U259" s="171">
        <v>-1.614301783230998E-2</v>
      </c>
      <c r="V259" s="171">
        <v>2.8725499123943843E-2</v>
      </c>
      <c r="AA259" s="55">
        <v>978.30970361153595</v>
      </c>
      <c r="AB259" s="55">
        <v>0</v>
      </c>
      <c r="AC259" s="55">
        <v>0</v>
      </c>
      <c r="AE259" s="55">
        <v>0</v>
      </c>
      <c r="AF259" s="55">
        <v>0</v>
      </c>
      <c r="AG259" s="55">
        <v>0</v>
      </c>
      <c r="AI259" s="55">
        <v>0</v>
      </c>
      <c r="AJ259" s="55">
        <v>0</v>
      </c>
      <c r="AK259" s="55">
        <v>0</v>
      </c>
      <c r="AM259" s="55">
        <v>1881788</v>
      </c>
      <c r="AN259" s="55">
        <v>208303</v>
      </c>
      <c r="AO259" s="55">
        <v>418868</v>
      </c>
      <c r="AP259" s="55"/>
      <c r="AQ259" s="55">
        <v>2508959</v>
      </c>
      <c r="AR259" s="1"/>
      <c r="AS259" s="175">
        <v>1199.9862237624368</v>
      </c>
      <c r="AT259" s="175">
        <v>132.83150406336253</v>
      </c>
      <c r="AU259" s="175">
        <v>267.10544948470516</v>
      </c>
      <c r="AV259" s="175"/>
      <c r="AW259" s="175">
        <v>1599.9231773105046</v>
      </c>
      <c r="AX259" s="1"/>
      <c r="AY259" s="171">
        <v>-1.5630899916273866E-2</v>
      </c>
      <c r="AZ259" s="171">
        <v>2.8725499123943843E-2</v>
      </c>
      <c r="BA259" s="171">
        <v>2.4882733547466396E-2</v>
      </c>
      <c r="BB259" s="171">
        <f t="shared" si="81"/>
        <v>-5.5076703515373193E-3</v>
      </c>
      <c r="BC259" s="171"/>
      <c r="BD259" s="1"/>
      <c r="BE259" s="179">
        <f>AM259/'2017-18 disagg'!AM259-1</f>
        <v>2.134980992720581E-2</v>
      </c>
      <c r="BF259" s="179">
        <f>AN259/'2017-18 disagg'!AN259-1</f>
        <v>1.6330334315658002E-2</v>
      </c>
      <c r="BG259" s="179">
        <f>AO259/'2017-18 disagg'!AO259-1</f>
        <v>4.5941019302319752E-2</v>
      </c>
      <c r="BH259" s="179">
        <f>AQ259/'2017-18 disagg'!AQ259-1</f>
        <v>2.4952632443283607E-2</v>
      </c>
      <c r="BI259" s="1"/>
      <c r="BJ259" s="179">
        <f>AS259/'2017-18 disagg'!AS259-1</f>
        <v>1.305015884282712E-2</v>
      </c>
      <c r="BK259" s="179">
        <f>AT259/'2017-18 disagg'!AT259-1</f>
        <v>8.071472288855297E-3</v>
      </c>
      <c r="BL259" s="179">
        <f>AU259/'2017-18 disagg'!AU259-1</f>
        <v>3.7441536137323261E-2</v>
      </c>
      <c r="BM259" s="179">
        <f>AW259/'2017-18 disagg'!AW259-1</f>
        <v>1.662370424981674E-2</v>
      </c>
    </row>
    <row r="260" spans="2:65" x14ac:dyDescent="0.2">
      <c r="B260" s="1" t="s">
        <v>540</v>
      </c>
      <c r="D260" s="55">
        <v>3055296</v>
      </c>
      <c r="E260" s="166">
        <v>1715.7094596819172</v>
      </c>
      <c r="F260" s="171">
        <f>VLOOKUP(B260,'2018-19'!$B$12:$AMX468,33,FALSE)</f>
        <v>2.2793874945350234E-2</v>
      </c>
      <c r="G260" s="171">
        <f>VLOOKUP(B260,'2018-19'!$B$12:$AMX468,34,FALSE)</f>
        <v>1.6689558096649959E-2</v>
      </c>
      <c r="I260" s="175">
        <v>3020932.6653548605</v>
      </c>
      <c r="J260" s="175">
        <v>1696.4126392373903</v>
      </c>
      <c r="K260" s="171">
        <f t="shared" si="80"/>
        <v>1.1375074671220009E-2</v>
      </c>
      <c r="L260" s="170">
        <f t="shared" si="80"/>
        <v>1.1375074671220231E-2</v>
      </c>
      <c r="N260" s="55">
        <v>2348599</v>
      </c>
      <c r="O260" s="55">
        <v>243873</v>
      </c>
      <c r="P260" s="55">
        <v>462824</v>
      </c>
      <c r="R260" s="55">
        <v>462824</v>
      </c>
      <c r="S260" s="55">
        <v>0</v>
      </c>
      <c r="U260" s="171">
        <v>1.397736534017624E-2</v>
      </c>
      <c r="V260" s="171">
        <v>3.1764817856521743E-2</v>
      </c>
      <c r="AA260" s="55">
        <v>0</v>
      </c>
      <c r="AB260" s="55">
        <v>0</v>
      </c>
      <c r="AC260" s="55">
        <v>0</v>
      </c>
      <c r="AE260" s="55">
        <v>0</v>
      </c>
      <c r="AF260" s="55">
        <v>0</v>
      </c>
      <c r="AG260" s="55">
        <v>0</v>
      </c>
      <c r="AI260" s="55">
        <v>0</v>
      </c>
      <c r="AJ260" s="55">
        <v>0</v>
      </c>
      <c r="AK260" s="55">
        <v>0</v>
      </c>
      <c r="AM260" s="55">
        <v>2348599</v>
      </c>
      <c r="AN260" s="55">
        <v>243873</v>
      </c>
      <c r="AO260" s="55">
        <v>462824</v>
      </c>
      <c r="AP260" s="55"/>
      <c r="AQ260" s="55">
        <v>3055296</v>
      </c>
      <c r="AR260" s="1"/>
      <c r="AS260" s="175">
        <v>1318.8619110225297</v>
      </c>
      <c r="AT260" s="175">
        <v>136.94752098029397</v>
      </c>
      <c r="AU260" s="175">
        <v>259.90002767909351</v>
      </c>
      <c r="AV260" s="175"/>
      <c r="AW260" s="175">
        <v>1715.7094596819172</v>
      </c>
      <c r="AX260" s="1"/>
      <c r="AY260" s="171">
        <v>1.397736534017624E-2</v>
      </c>
      <c r="AZ260" s="171">
        <v>3.1764817856521743E-2</v>
      </c>
      <c r="BA260" s="171">
        <v>-1.1785083342092051E-2</v>
      </c>
      <c r="BB260" s="171">
        <f t="shared" si="81"/>
        <v>1.1375074671220009E-2</v>
      </c>
      <c r="BC260" s="171"/>
      <c r="BD260" s="1"/>
      <c r="BE260" s="179">
        <f>AM260/'2017-18 disagg'!AM260-1</f>
        <v>1.9493048769953392E-2</v>
      </c>
      <c r="BF260" s="179">
        <f>AN260/'2017-18 disagg'!AN260-1</f>
        <v>1.6175606585246971E-2</v>
      </c>
      <c r="BG260" s="179">
        <f>AO260/'2017-18 disagg'!AO260-1</f>
        <v>4.3519825397612788E-2</v>
      </c>
      <c r="BH260" s="179">
        <f>AQ260/'2017-18 disagg'!AQ260-1</f>
        <v>2.2793874945350234E-2</v>
      </c>
      <c r="BI260" s="1"/>
      <c r="BJ260" s="179">
        <f>AS260/'2017-18 disagg'!AS260-1</f>
        <v>1.3408432165193496E-2</v>
      </c>
      <c r="BK260" s="179">
        <f>AT260/'2017-18 disagg'!AT260-1</f>
        <v>1.0110789393368735E-2</v>
      </c>
      <c r="BL260" s="179">
        <f>AU260/'2017-18 disagg'!AU260-1</f>
        <v>3.7291810341824938E-2</v>
      </c>
      <c r="BM260" s="179">
        <f>AW260/'2017-18 disagg'!AW260-1</f>
        <v>1.6689558096649959E-2</v>
      </c>
    </row>
    <row r="261" spans="2:65" ht="15" x14ac:dyDescent="0.25">
      <c r="B261"/>
      <c r="D261" s="1"/>
      <c r="N261" s="1"/>
      <c r="O261" s="1"/>
      <c r="P261" s="1"/>
      <c r="R261" s="1"/>
      <c r="S261" s="1"/>
      <c r="AA261" s="1"/>
      <c r="AB261" s="1"/>
      <c r="AC261" s="1"/>
      <c r="AE261" s="1"/>
      <c r="AF261" s="1"/>
      <c r="AG261" s="1"/>
      <c r="AI261" s="1"/>
      <c r="AJ261" s="1"/>
      <c r="AK261" s="1"/>
      <c r="AM261" s="1"/>
      <c r="AN261" s="1"/>
      <c r="AO261" s="1"/>
      <c r="AP261" s="1"/>
      <c r="AR261" s="1"/>
      <c r="AV261" s="64"/>
      <c r="AX261" s="1"/>
      <c r="BA261" s="64"/>
      <c r="BD261" s="1"/>
      <c r="BE261" s="179"/>
      <c r="BF261" s="179"/>
      <c r="BG261" s="179"/>
      <c r="BH261" s="179"/>
      <c r="BI261" s="1"/>
      <c r="BJ261" s="179"/>
      <c r="BK261" s="179"/>
    </row>
    <row r="262" spans="2:65" x14ac:dyDescent="0.2">
      <c r="B262" s="1" t="s">
        <v>12</v>
      </c>
      <c r="D262" s="172">
        <f>SUM(D236:D260)</f>
        <v>97246518.423480049</v>
      </c>
      <c r="E262" s="166">
        <v>1659.7174943080554</v>
      </c>
      <c r="F262" s="171">
        <f>VLOOKUP(B262,'2018-19'!$B$12:$AMX470,33,FALSE)</f>
        <v>2.5486443052915808E-2</v>
      </c>
      <c r="G262" s="171">
        <f>VLOOKUP(B262,'2018-19'!$B$12:$AMX470,34,FALSE)</f>
        <v>1.8162052357029168E-2</v>
      </c>
      <c r="I262" s="175">
        <f>SUM(I236:I260)</f>
        <v>97246569.278791666</v>
      </c>
      <c r="J262" s="175">
        <v>1659.7183622614975</v>
      </c>
      <c r="K262" s="171">
        <f t="shared" ref="K262:L262" si="82">D262/I262-1</f>
        <v>-5.2295224395315643E-7</v>
      </c>
      <c r="L262" s="170">
        <f t="shared" si="82"/>
        <v>-5.2295224406417873E-7</v>
      </c>
      <c r="N262" s="172">
        <f>SUM(N236:N260)</f>
        <v>73508656</v>
      </c>
      <c r="O262" s="172">
        <f>SUM(O236:O260)</f>
        <v>7755210</v>
      </c>
      <c r="P262" s="172">
        <f>SUM(P236:P260)</f>
        <v>15885992</v>
      </c>
      <c r="R262" s="172">
        <f>SUM(R236:R260)</f>
        <v>15885992</v>
      </c>
      <c r="S262" s="172">
        <f>SUM(S236:S260)</f>
        <v>96660.423480058176</v>
      </c>
      <c r="U262" s="171">
        <v>-5.3937298234774111E-4</v>
      </c>
      <c r="V262" s="171">
        <v>-7.2060423734240375E-3</v>
      </c>
      <c r="AA262" s="172">
        <f>SUM(AA236:AA260)</f>
        <v>21727.827935442518</v>
      </c>
      <c r="AB262" s="172">
        <f>SUM(AB236:AB260)</f>
        <v>0</v>
      </c>
      <c r="AC262" s="172">
        <f>SUM(AC236:AC260)</f>
        <v>74932.595544615659</v>
      </c>
      <c r="AE262" s="172">
        <f>SUM(AE236:AE260)</f>
        <v>0</v>
      </c>
      <c r="AF262" s="172">
        <f>SUM(AF236:AF260)</f>
        <v>1242.6628694138326</v>
      </c>
      <c r="AG262" s="172">
        <f>SUM(AG236:AG260)</f>
        <v>73689.932675201824</v>
      </c>
      <c r="AI262" s="172">
        <f>SUM(AI236:AI260)</f>
        <v>66726.859276329618</v>
      </c>
      <c r="AJ262" s="172">
        <f>SUM(AJ236:AJ260)</f>
        <v>6963.0733988722168</v>
      </c>
      <c r="AK262" s="172">
        <f>SUM(AK236:AK260)</f>
        <v>0</v>
      </c>
      <c r="AM262" s="172">
        <f>SUM(AM236:AM260)</f>
        <v>73597110</v>
      </c>
      <c r="AN262" s="172">
        <f>SUM(AN236:AN260)</f>
        <v>7763415</v>
      </c>
      <c r="AO262" s="172">
        <f>SUM(AO236:AO260)</f>
        <v>15885992</v>
      </c>
      <c r="AP262" s="172"/>
      <c r="AQ262" s="172">
        <f>SUM(AQ236:AQ260)</f>
        <v>97246517</v>
      </c>
      <c r="AR262" s="1"/>
      <c r="AS262" s="175">
        <v>1256.0903256771121</v>
      </c>
      <c r="AT262" s="175">
        <v>132.499095082899</v>
      </c>
      <c r="AU262" s="175">
        <v>271.128049253347</v>
      </c>
      <c r="AV262" s="175"/>
      <c r="AW262" s="175">
        <v>1659.717470013358</v>
      </c>
      <c r="AX262" s="1"/>
      <c r="AY262" s="171">
        <v>6.6329205212412035E-4</v>
      </c>
      <c r="AZ262" s="171">
        <v>-6.1556679254947122E-3</v>
      </c>
      <c r="BA262" s="171">
        <v>-4.7290929741095056E-5</v>
      </c>
      <c r="BB262" s="171">
        <f t="shared" ref="BB262" si="83">SUM(AM262:AO262)/I262-1</f>
        <v>-5.3759008722398249E-7</v>
      </c>
      <c r="BC262" s="171"/>
      <c r="BD262" s="1"/>
      <c r="BE262" s="179">
        <f>AM262/'2017-18 disagg'!AM262-1</f>
        <v>2.1454070318438045E-2</v>
      </c>
      <c r="BF262" s="179">
        <f>AN262/'2017-18 disagg'!AN262-1</f>
        <v>2.4850808549938153E-2</v>
      </c>
      <c r="BG262" s="179">
        <f>AO262/'2017-18 disagg'!AO262-1</f>
        <v>4.4913408167746027E-2</v>
      </c>
      <c r="BH262" s="179">
        <f>AQ262/'2017-18 disagg'!AQ262-1</f>
        <v>2.5486428041997966E-2</v>
      </c>
      <c r="BI262" s="1"/>
      <c r="BJ262" s="179">
        <f>AS262/'2017-18 disagg'!AS262-1</f>
        <v>1.4158480269833351E-2</v>
      </c>
      <c r="BK262" s="179">
        <f>AT262/'2017-18 disagg'!AT262-1</f>
        <v>1.7530957782854184E-2</v>
      </c>
      <c r="BL262" s="179">
        <f>AU262/'2017-18 disagg'!AU262-1</f>
        <v>3.7450263143608442E-2</v>
      </c>
      <c r="BM262" s="179">
        <f>AW262/'2017-18 disagg'!AW262-1</f>
        <v>1.8162037453324675E-2</v>
      </c>
    </row>
    <row r="263" spans="2:65" ht="15" x14ac:dyDescent="0.25">
      <c r="B263"/>
      <c r="D263" s="1"/>
      <c r="N263" s="1"/>
      <c r="O263" s="1"/>
      <c r="P263" s="1"/>
      <c r="R263" s="1"/>
      <c r="S263" s="1"/>
      <c r="AA263" s="1"/>
      <c r="AB263" s="1"/>
      <c r="AC263" s="1"/>
      <c r="AE263" s="1"/>
      <c r="AF263" s="1"/>
      <c r="AG263" s="1"/>
      <c r="AI263" s="1"/>
      <c r="AJ263" s="1"/>
      <c r="AK263" s="1"/>
      <c r="AM263" s="1"/>
      <c r="AN263" s="1"/>
      <c r="AO263" s="1"/>
      <c r="AP263" s="1"/>
      <c r="AR263" s="1"/>
      <c r="AV263" s="64"/>
      <c r="AX263" s="1"/>
      <c r="BA263" s="64"/>
      <c r="BD263" s="1"/>
      <c r="BE263" s="179"/>
      <c r="BF263" s="179"/>
      <c r="BG263" s="179"/>
      <c r="BH263" s="179"/>
      <c r="BI263" s="1"/>
      <c r="BJ263" s="179"/>
      <c r="BK263" s="179"/>
    </row>
    <row r="264" spans="2:65" ht="15" x14ac:dyDescent="0.25">
      <c r="B264" s="174" t="s">
        <v>541</v>
      </c>
      <c r="D264" s="1"/>
      <c r="N264" s="1"/>
      <c r="O264" s="1"/>
      <c r="P264" s="1"/>
      <c r="R264" s="1"/>
      <c r="S264" s="1"/>
      <c r="AA264" s="1"/>
      <c r="AB264" s="1"/>
      <c r="AC264" s="1"/>
      <c r="AE264" s="1"/>
      <c r="AF264" s="1"/>
      <c r="AG264" s="1"/>
      <c r="AI264" s="1"/>
      <c r="AJ264" s="1"/>
      <c r="AK264" s="1"/>
      <c r="AM264" s="1"/>
      <c r="AN264" s="1"/>
      <c r="AO264" s="1"/>
      <c r="AP264" s="1"/>
      <c r="AR264" s="1"/>
      <c r="AV264" s="64"/>
      <c r="AX264" s="1"/>
      <c r="BA264" s="64"/>
      <c r="BD264" s="1"/>
      <c r="BE264" s="179"/>
      <c r="BF264" s="179"/>
      <c r="BG264" s="179"/>
      <c r="BH264" s="179"/>
      <c r="BI264" s="1"/>
      <c r="BJ264" s="179"/>
      <c r="BK264" s="179"/>
    </row>
    <row r="265" spans="2:65" ht="15" x14ac:dyDescent="0.25">
      <c r="B265" t="s">
        <v>542</v>
      </c>
      <c r="D265" s="55">
        <v>7161686.1250521597</v>
      </c>
      <c r="E265" s="166">
        <v>1506.7042757547761</v>
      </c>
      <c r="F265" s="171">
        <f>VLOOKUP(B265,'2018-19'!$B$12:$AMX473,33,FALSE)</f>
        <v>2.6385972012653136E-2</v>
      </c>
      <c r="G265" s="171">
        <f>VLOOKUP(B265,'2018-19'!$B$12:$AMX473,34,FALSE)</f>
        <v>1.8277893541055468E-2</v>
      </c>
      <c r="I265" s="175">
        <v>7270202.0166671826</v>
      </c>
      <c r="J265" s="175">
        <v>1529.5342846421743</v>
      </c>
      <c r="K265" s="171">
        <f t="shared" ref="K265:L274" si="84">D265/I265-1</f>
        <v>-1.4926117784106463E-2</v>
      </c>
      <c r="L265" s="170">
        <f t="shared" si="84"/>
        <v>-1.4926117784106574E-2</v>
      </c>
      <c r="N265" s="55">
        <v>5400053</v>
      </c>
      <c r="O265" s="55">
        <v>581651</v>
      </c>
      <c r="P265" s="55">
        <v>1171409</v>
      </c>
      <c r="R265" s="55">
        <v>1171409</v>
      </c>
      <c r="S265" s="55">
        <v>8573.1250521600596</v>
      </c>
      <c r="U265" s="171">
        <v>-2.5843381487217099E-2</v>
      </c>
      <c r="V265" s="171">
        <v>-1.4141795717815375E-2</v>
      </c>
      <c r="AA265" s="55">
        <v>1299.1898540496768</v>
      </c>
      <c r="AB265" s="55">
        <v>0</v>
      </c>
      <c r="AC265" s="55">
        <v>7273.9351981103828</v>
      </c>
      <c r="AE265" s="55">
        <v>0</v>
      </c>
      <c r="AF265" s="55">
        <v>0</v>
      </c>
      <c r="AG265" s="55">
        <v>7273.9351981103828</v>
      </c>
      <c r="AI265" s="55">
        <v>6576.5267973735263</v>
      </c>
      <c r="AJ265" s="55">
        <v>697.40840073685706</v>
      </c>
      <c r="AK265" s="55">
        <v>0</v>
      </c>
      <c r="AM265" s="55">
        <v>5407929</v>
      </c>
      <c r="AN265" s="55">
        <v>582349</v>
      </c>
      <c r="AO265" s="55">
        <v>1171409</v>
      </c>
      <c r="AP265" s="55"/>
      <c r="AQ265" s="55">
        <v>7161687</v>
      </c>
      <c r="AR265" s="1"/>
      <c r="AS265" s="175">
        <v>1137.7418117746547</v>
      </c>
      <c r="AT265" s="175">
        <v>122.51692031185291</v>
      </c>
      <c r="AU265" s="175">
        <v>246.44572774330737</v>
      </c>
      <c r="AV265" s="175"/>
      <c r="AW265" s="175">
        <v>1506.7044598298151</v>
      </c>
      <c r="AX265" s="1"/>
      <c r="AY265" s="171">
        <v>-2.4422569964180796E-2</v>
      </c>
      <c r="AZ265" s="171">
        <v>-1.2958734007977424E-2</v>
      </c>
      <c r="BA265" s="171">
        <v>3.035673288163232E-2</v>
      </c>
      <c r="BB265" s="171">
        <f t="shared" ref="BB265:BB274" si="85">SUM(AM265:AO265)/I265-1</f>
        <v>-1.492599743699119E-2</v>
      </c>
      <c r="BC265" s="171"/>
      <c r="BD265" s="1"/>
      <c r="BE265" s="179">
        <f>AM265/'2017-18 disagg'!AM265-1</f>
        <v>2.2416125044948609E-2</v>
      </c>
      <c r="BF265" s="179">
        <f>AN265/'2017-18 disagg'!AN265-1</f>
        <v>2.5460916726830929E-2</v>
      </c>
      <c r="BG265" s="179">
        <f>AO265/'2017-18 disagg'!AO265-1</f>
        <v>4.5598416172464296E-2</v>
      </c>
      <c r="BH265" s="179">
        <f>AQ265/'2017-18 disagg'!AQ265-1</f>
        <v>2.6386097406893239E-2</v>
      </c>
      <c r="BI265" s="1"/>
      <c r="BJ265" s="179">
        <f>AS265/'2017-18 disagg'!AS265-1</f>
        <v>1.4339406930577336E-2</v>
      </c>
      <c r="BK265" s="179">
        <f>AT265/'2017-18 disagg'!AT265-1</f>
        <v>1.7360145857882259E-2</v>
      </c>
      <c r="BL265" s="179">
        <f>AU265/'2017-18 disagg'!AU265-1</f>
        <v>3.7338566331102552E-2</v>
      </c>
      <c r="BM265" s="179">
        <f>AW265/'2017-18 disagg'!AW265-1</f>
        <v>1.8278017944726388E-2</v>
      </c>
    </row>
    <row r="266" spans="2:65" ht="15" x14ac:dyDescent="0.25">
      <c r="B266" t="s">
        <v>543</v>
      </c>
      <c r="D266" s="55">
        <v>10730841.171641471</v>
      </c>
      <c r="E266" s="166">
        <v>1538.6845817012834</v>
      </c>
      <c r="F266" s="171">
        <f>VLOOKUP(B266,'2018-19'!$B$12:$AMX474,33,FALSE)</f>
        <v>2.7615521470306881E-2</v>
      </c>
      <c r="G266" s="171">
        <f>VLOOKUP(B266,'2018-19'!$B$12:$AMX474,34,FALSE)</f>
        <v>1.9666905931697176E-2</v>
      </c>
      <c r="I266" s="175">
        <v>10903651.890986806</v>
      </c>
      <c r="J266" s="175">
        <v>1563.4637378882258</v>
      </c>
      <c r="K266" s="171">
        <f t="shared" si="84"/>
        <v>-1.5848884490542448E-2</v>
      </c>
      <c r="L266" s="170">
        <f t="shared" si="84"/>
        <v>-1.5848884490542559E-2</v>
      </c>
      <c r="N266" s="55">
        <v>8114740</v>
      </c>
      <c r="O266" s="55">
        <v>865520</v>
      </c>
      <c r="P266" s="55">
        <v>1722470</v>
      </c>
      <c r="R266" s="55">
        <v>1722470</v>
      </c>
      <c r="S266" s="55">
        <v>28111.171641470923</v>
      </c>
      <c r="U266" s="171">
        <v>-2.0933588050230045E-2</v>
      </c>
      <c r="V266" s="171">
        <v>-1.9798550087226641E-3</v>
      </c>
      <c r="AA266" s="55">
        <v>5269.3250913239317</v>
      </c>
      <c r="AB266" s="55">
        <v>0</v>
      </c>
      <c r="AC266" s="55">
        <v>22841.846550146991</v>
      </c>
      <c r="AE266" s="55">
        <v>0</v>
      </c>
      <c r="AF266" s="55">
        <v>213.23484377630555</v>
      </c>
      <c r="AG266" s="55">
        <v>22628.611706370684</v>
      </c>
      <c r="AI266" s="55">
        <v>20513.225100190215</v>
      </c>
      <c r="AJ266" s="55">
        <v>2115.3866061804692</v>
      </c>
      <c r="AK266" s="55">
        <v>0</v>
      </c>
      <c r="AM266" s="55">
        <v>8140523</v>
      </c>
      <c r="AN266" s="55">
        <v>867847</v>
      </c>
      <c r="AO266" s="55">
        <v>1722470</v>
      </c>
      <c r="AP266" s="55"/>
      <c r="AQ266" s="55">
        <v>10730840</v>
      </c>
      <c r="AR266" s="1"/>
      <c r="AS266" s="175">
        <v>1167.2614501262487</v>
      </c>
      <c r="AT266" s="175">
        <v>124.43971323558874</v>
      </c>
      <c r="AU266" s="175">
        <v>246.98325033894747</v>
      </c>
      <c r="AV266" s="175"/>
      <c r="AW266" s="175">
        <v>1538.6844137007849</v>
      </c>
      <c r="AX266" s="1"/>
      <c r="AY266" s="171">
        <v>-1.7822795923889467E-2</v>
      </c>
      <c r="AZ266" s="171">
        <v>7.0337920584728764E-4</v>
      </c>
      <c r="BA266" s="171">
        <v>-1.4702344293642367E-2</v>
      </c>
      <c r="BB266" s="171">
        <f t="shared" si="85"/>
        <v>-1.5848991944584667E-2</v>
      </c>
      <c r="BC266" s="171"/>
      <c r="BD266" s="1"/>
      <c r="BE266" s="179">
        <f>AM266/'2017-18 disagg'!AM266-1</f>
        <v>2.4220503778426217E-2</v>
      </c>
      <c r="BF266" s="179">
        <f>AN266/'2017-18 disagg'!AN266-1</f>
        <v>2.4872901622017496E-2</v>
      </c>
      <c r="BG266" s="179">
        <f>AO266/'2017-18 disagg'!AO266-1</f>
        <v>4.5401246856155097E-2</v>
      </c>
      <c r="BH266" s="179">
        <f>AQ266/'2017-18 disagg'!AQ266-1</f>
        <v>2.7615409270625335E-2</v>
      </c>
      <c r="BI266" s="1"/>
      <c r="BJ266" s="179">
        <f>AS266/'2017-18 disagg'!AS266-1</f>
        <v>1.6298148732983186E-2</v>
      </c>
      <c r="BK266" s="179">
        <f>AT266/'2017-18 disagg'!AT266-1</f>
        <v>1.6945500273235492E-2</v>
      </c>
      <c r="BL266" s="179">
        <f>AU266/'2017-18 disagg'!AU266-1</f>
        <v>3.731505856760764E-2</v>
      </c>
      <c r="BM266" s="179">
        <f>AW266/'2017-18 disagg'!AW266-1</f>
        <v>1.9666794599881188E-2</v>
      </c>
    </row>
    <row r="267" spans="2:65" ht="15" x14ac:dyDescent="0.25">
      <c r="B267" t="s">
        <v>544</v>
      </c>
      <c r="D267" s="55">
        <v>11174592.887972301</v>
      </c>
      <c r="E267" s="166">
        <v>1604.7994691768438</v>
      </c>
      <c r="F267" s="171">
        <f>VLOOKUP(B267,'2018-19'!$B$12:$AMX475,33,FALSE)</f>
        <v>2.6055777595184848E-2</v>
      </c>
      <c r="G267" s="171">
        <f>VLOOKUP(B267,'2018-19'!$B$12:$AMX475,34,FALSE)</f>
        <v>1.8371562867452118E-2</v>
      </c>
      <c r="I267" s="175">
        <v>11333693.210935093</v>
      </c>
      <c r="J267" s="175">
        <v>1627.6480969878282</v>
      </c>
      <c r="K267" s="171">
        <f t="shared" si="84"/>
        <v>-1.4037818035279814E-2</v>
      </c>
      <c r="L267" s="170">
        <f t="shared" si="84"/>
        <v>-1.4037818035279703E-2</v>
      </c>
      <c r="N267" s="55">
        <v>8522024</v>
      </c>
      <c r="O267" s="55">
        <v>908936</v>
      </c>
      <c r="P267" s="55">
        <v>1726406</v>
      </c>
      <c r="R267" s="55">
        <v>1726406</v>
      </c>
      <c r="S267" s="55">
        <v>17226.887972302065</v>
      </c>
      <c r="U267" s="171">
        <v>-1.5073234889486642E-2</v>
      </c>
      <c r="V267" s="171">
        <v>5.764136447919066E-3</v>
      </c>
      <c r="AA267" s="55">
        <v>7468.8869568863302</v>
      </c>
      <c r="AB267" s="55">
        <v>0</v>
      </c>
      <c r="AC267" s="55">
        <v>9758.0010154157353</v>
      </c>
      <c r="AE267" s="55">
        <v>0</v>
      </c>
      <c r="AF267" s="55">
        <v>0</v>
      </c>
      <c r="AG267" s="55">
        <v>9758.0010154157353</v>
      </c>
      <c r="AI267" s="55">
        <v>8861.3033437617887</v>
      </c>
      <c r="AJ267" s="55">
        <v>896.6976716539483</v>
      </c>
      <c r="AK267" s="55">
        <v>0</v>
      </c>
      <c r="AM267" s="55">
        <v>8538353</v>
      </c>
      <c r="AN267" s="55">
        <v>909833</v>
      </c>
      <c r="AO267" s="55">
        <v>1726406</v>
      </c>
      <c r="AP267" s="55"/>
      <c r="AQ267" s="55">
        <v>11174592</v>
      </c>
      <c r="AR267" s="1"/>
      <c r="AS267" s="175">
        <v>1226.20524071109</v>
      </c>
      <c r="AT267" s="175">
        <v>130.66243487144339</v>
      </c>
      <c r="AU267" s="175">
        <v>247.93166607132198</v>
      </c>
      <c r="AV267" s="175"/>
      <c r="AW267" s="175">
        <v>1604.7993416538554</v>
      </c>
      <c r="AX267" s="1"/>
      <c r="AY267" s="171">
        <v>-1.3186022515115359E-2</v>
      </c>
      <c r="AZ267" s="171">
        <v>6.7566930529978642E-3</v>
      </c>
      <c r="BA267" s="171">
        <v>-2.8756936467605576E-2</v>
      </c>
      <c r="BB267" s="171">
        <f t="shared" si="85"/>
        <v>-1.4037896383289006E-2</v>
      </c>
      <c r="BC267" s="171"/>
      <c r="BD267" s="1"/>
      <c r="BE267" s="179">
        <f>AM267/'2017-18 disagg'!AM267-1</f>
        <v>2.271830833239008E-2</v>
      </c>
      <c r="BF267" s="179">
        <f>AN267/'2017-18 disagg'!AN267-1</f>
        <v>2.1943239166255735E-2</v>
      </c>
      <c r="BG267" s="179">
        <f>AO267/'2017-18 disagg'!AO267-1</f>
        <v>4.5139910475699319E-2</v>
      </c>
      <c r="BH267" s="179">
        <f>AQ267/'2017-18 disagg'!AQ267-1</f>
        <v>2.6055696061197953E-2</v>
      </c>
      <c r="BI267" s="1"/>
      <c r="BJ267" s="179">
        <f>AS267/'2017-18 disagg'!AS267-1</f>
        <v>1.5059088181972102E-2</v>
      </c>
      <c r="BK267" s="179">
        <f>AT267/'2017-18 disagg'!AT267-1</f>
        <v>1.4289823571527194E-2</v>
      </c>
      <c r="BL267" s="179">
        <f>AU267/'2017-18 disagg'!AU267-1</f>
        <v>3.7312773132891719E-2</v>
      </c>
      <c r="BM267" s="179">
        <f>AW267/'2017-18 disagg'!AW267-1</f>
        <v>1.8371481944079671E-2</v>
      </c>
    </row>
    <row r="268" spans="2:65" ht="15" x14ac:dyDescent="0.25">
      <c r="B268" t="s">
        <v>545</v>
      </c>
      <c r="D268" s="55">
        <v>8849957.4306700472</v>
      </c>
      <c r="E268" s="166">
        <v>1613.6741729789214</v>
      </c>
      <c r="F268" s="171">
        <f>VLOOKUP(B268,'2018-19'!$B$12:$AMX476,33,FALSE)</f>
        <v>2.6340123176488817E-2</v>
      </c>
      <c r="G268" s="171">
        <f>VLOOKUP(B268,'2018-19'!$B$12:$AMX476,34,FALSE)</f>
        <v>1.8230521143765666E-2</v>
      </c>
      <c r="I268" s="175">
        <v>8897125.6733464673</v>
      </c>
      <c r="J268" s="175">
        <v>1622.2746860986754</v>
      </c>
      <c r="K268" s="171">
        <f t="shared" si="84"/>
        <v>-5.3015147147718045E-3</v>
      </c>
      <c r="L268" s="170">
        <f t="shared" si="84"/>
        <v>-5.3015147147718045E-3</v>
      </c>
      <c r="N268" s="55">
        <v>6692615</v>
      </c>
      <c r="O268" s="55">
        <v>717800</v>
      </c>
      <c r="P268" s="55">
        <v>1429878</v>
      </c>
      <c r="R268" s="55">
        <v>1429878</v>
      </c>
      <c r="S268" s="55">
        <v>9664.4306700477027</v>
      </c>
      <c r="U268" s="171">
        <v>-5.2890236323720474E-3</v>
      </c>
      <c r="V268" s="171">
        <v>1.3642560288980921E-2</v>
      </c>
      <c r="AA268" s="55">
        <v>3846.2189065950806</v>
      </c>
      <c r="AB268" s="55">
        <v>0</v>
      </c>
      <c r="AC268" s="55">
        <v>5818.2117634526221</v>
      </c>
      <c r="AE268" s="55">
        <v>0</v>
      </c>
      <c r="AF268" s="55">
        <v>0</v>
      </c>
      <c r="AG268" s="55">
        <v>5818.2117634526221</v>
      </c>
      <c r="AI268" s="55">
        <v>5265.8519049096039</v>
      </c>
      <c r="AJ268" s="55">
        <v>552.35985854301862</v>
      </c>
      <c r="AK268" s="55">
        <v>0</v>
      </c>
      <c r="AM268" s="55">
        <v>6701728</v>
      </c>
      <c r="AN268" s="55">
        <v>718352</v>
      </c>
      <c r="AO268" s="55">
        <v>1429878</v>
      </c>
      <c r="AP268" s="55"/>
      <c r="AQ268" s="55">
        <v>8849958</v>
      </c>
      <c r="AR268" s="1"/>
      <c r="AS268" s="175">
        <v>1221.9725883032752</v>
      </c>
      <c r="AT268" s="175">
        <v>130.98210681675448</v>
      </c>
      <c r="AU268" s="175">
        <v>260.71958166877414</v>
      </c>
      <c r="AV268" s="175"/>
      <c r="AW268" s="175">
        <v>1613.6742767888038</v>
      </c>
      <c r="AX268" s="1"/>
      <c r="AY268" s="171">
        <v>-3.9345753146907692E-3</v>
      </c>
      <c r="AZ268" s="171">
        <v>1.4422068081234363E-2</v>
      </c>
      <c r="BA268" s="171">
        <v>-2.1158400258655119E-2</v>
      </c>
      <c r="BB268" s="171">
        <f t="shared" si="85"/>
        <v>-5.3014507244479869E-3</v>
      </c>
      <c r="BC268" s="171"/>
      <c r="BD268" s="1"/>
      <c r="BE268" s="179">
        <f>AM268/'2017-18 disagg'!AM268-1</f>
        <v>2.2638428777865371E-2</v>
      </c>
      <c r="BF268" s="179">
        <f>AN268/'2017-18 disagg'!AN268-1</f>
        <v>2.3020933170223801E-2</v>
      </c>
      <c r="BG268" s="179">
        <f>AO268/'2017-18 disagg'!AO268-1</f>
        <v>4.5787457378696494E-2</v>
      </c>
      <c r="BH268" s="179">
        <f>AQ268/'2017-18 disagg'!AQ268-1</f>
        <v>2.6340189202362918E-2</v>
      </c>
      <c r="BI268" s="1"/>
      <c r="BJ268" s="179">
        <f>AS268/'2017-18 disagg'!AS268-1</f>
        <v>1.4558075595247244E-2</v>
      </c>
      <c r="BK268" s="179">
        <f>AT268/'2017-18 disagg'!AT268-1</f>
        <v>1.4937557638261989E-2</v>
      </c>
      <c r="BL268" s="179">
        <f>AU268/'2017-18 disagg'!AU268-1</f>
        <v>3.7524192698069392E-2</v>
      </c>
      <c r="BM268" s="179">
        <f>AW268/'2017-18 disagg'!AW268-1</f>
        <v>1.8230586647937752E-2</v>
      </c>
    </row>
    <row r="269" spans="2:65" ht="15" x14ac:dyDescent="0.25">
      <c r="B269" t="s">
        <v>546</v>
      </c>
      <c r="D269" s="55">
        <v>9491343.8468608521</v>
      </c>
      <c r="E269" s="166">
        <v>1669.6903969321638</v>
      </c>
      <c r="F269" s="171">
        <f>VLOOKUP(B269,'2018-19'!$B$12:$AMX477,33,FALSE)</f>
        <v>2.4876222076709142E-2</v>
      </c>
      <c r="G269" s="171">
        <f>VLOOKUP(B269,'2018-19'!$B$12:$AMX477,34,FALSE)</f>
        <v>1.9089833690216773E-2</v>
      </c>
      <c r="I269" s="175">
        <v>9497778.9700096697</v>
      </c>
      <c r="J269" s="175">
        <v>1670.8224456175785</v>
      </c>
      <c r="K269" s="171">
        <f t="shared" si="84"/>
        <v>-6.7753978789542035E-4</v>
      </c>
      <c r="L269" s="170">
        <f t="shared" si="84"/>
        <v>-6.7753978789542035E-4</v>
      </c>
      <c r="N269" s="55">
        <v>7295696</v>
      </c>
      <c r="O269" s="55">
        <v>740857</v>
      </c>
      <c r="P269" s="55">
        <v>1446522</v>
      </c>
      <c r="R269" s="55">
        <v>1446522</v>
      </c>
      <c r="S269" s="55">
        <v>8268.8468608525873</v>
      </c>
      <c r="U269" s="171">
        <v>-3.9567291715758568E-4</v>
      </c>
      <c r="V269" s="171">
        <v>-2.2307732459894147E-3</v>
      </c>
      <c r="AA269" s="55">
        <v>307.79601464557345</v>
      </c>
      <c r="AB269" s="55">
        <v>0</v>
      </c>
      <c r="AC269" s="55">
        <v>7961.0508462070138</v>
      </c>
      <c r="AE269" s="55">
        <v>0</v>
      </c>
      <c r="AF269" s="55">
        <v>0</v>
      </c>
      <c r="AG269" s="55">
        <v>7961.0508462070138</v>
      </c>
      <c r="AI269" s="55">
        <v>7203.5464560723885</v>
      </c>
      <c r="AJ269" s="55">
        <v>757.50439013462483</v>
      </c>
      <c r="AK269" s="55">
        <v>0</v>
      </c>
      <c r="AM269" s="55">
        <v>7303208</v>
      </c>
      <c r="AN269" s="55">
        <v>741614</v>
      </c>
      <c r="AO269" s="55">
        <v>1446522</v>
      </c>
      <c r="AP269" s="55"/>
      <c r="AQ269" s="55">
        <v>9491344</v>
      </c>
      <c r="AR269" s="1"/>
      <c r="AS269" s="175">
        <v>1284.7597201350161</v>
      </c>
      <c r="AT269" s="175">
        <v>130.46263985473368</v>
      </c>
      <c r="AU269" s="175">
        <v>254.46806388222046</v>
      </c>
      <c r="AV269" s="175"/>
      <c r="AW269" s="175">
        <v>1669.6904238719701</v>
      </c>
      <c r="AX269" s="1"/>
      <c r="AY269" s="171">
        <v>6.3356784411405798E-4</v>
      </c>
      <c r="AZ269" s="171">
        <v>-1.211262996841711E-3</v>
      </c>
      <c r="BA269" s="171">
        <v>-6.9745770766268533E-3</v>
      </c>
      <c r="BB269" s="171">
        <f t="shared" si="85"/>
        <v>-6.7752366421547361E-4</v>
      </c>
      <c r="BC269" s="171"/>
      <c r="BD269" s="1"/>
      <c r="BE269" s="179">
        <f>AM269/'2017-18 disagg'!AM269-1</f>
        <v>2.1457264566960177E-2</v>
      </c>
      <c r="BF269" s="179">
        <f>AN269/'2017-18 disagg'!AN269-1</f>
        <v>2.3537043171028005E-2</v>
      </c>
      <c r="BG269" s="179">
        <f>AO269/'2017-18 disagg'!AO269-1</f>
        <v>4.3205277896572358E-2</v>
      </c>
      <c r="BH269" s="179">
        <f>AQ269/'2017-18 disagg'!AQ269-1</f>
        <v>2.4876238612689061E-2</v>
      </c>
      <c r="BI269" s="1"/>
      <c r="BJ269" s="179">
        <f>AS269/'2017-18 disagg'!AS269-1</f>
        <v>1.5690179405191351E-2</v>
      </c>
      <c r="BK269" s="179">
        <f>AT269/'2017-18 disagg'!AT269-1</f>
        <v>1.7758215706626057E-2</v>
      </c>
      <c r="BL269" s="179">
        <f>AU269/'2017-18 disagg'!AU269-1</f>
        <v>3.7315404783391459E-2</v>
      </c>
      <c r="BM269" s="179">
        <f>AW269/'2017-18 disagg'!AW269-1</f>
        <v>1.9089850132835595E-2</v>
      </c>
    </row>
    <row r="270" spans="2:65" ht="15" x14ac:dyDescent="0.25">
      <c r="B270" t="s">
        <v>547</v>
      </c>
      <c r="D270" s="55">
        <v>7793225.4000519589</v>
      </c>
      <c r="E270" s="166">
        <v>1650.0651922458264</v>
      </c>
      <c r="F270" s="171">
        <f>VLOOKUP(B270,'2018-19'!$B$12:$AMX478,33,FALSE)</f>
        <v>2.4417634833866497E-2</v>
      </c>
      <c r="G270" s="171">
        <f>VLOOKUP(B270,'2018-19'!$B$12:$AMX478,34,FALSE)</f>
        <v>1.7761610828910479E-2</v>
      </c>
      <c r="I270" s="175">
        <v>7804340.8884167187</v>
      </c>
      <c r="J270" s="175">
        <v>1652.418682553624</v>
      </c>
      <c r="K270" s="171">
        <f t="shared" si="84"/>
        <v>-1.4242699702236017E-3</v>
      </c>
      <c r="L270" s="170">
        <f t="shared" si="84"/>
        <v>-1.4242699702236017E-3</v>
      </c>
      <c r="N270" s="55">
        <v>5997908</v>
      </c>
      <c r="O270" s="55">
        <v>618970</v>
      </c>
      <c r="P270" s="55">
        <v>1169311</v>
      </c>
      <c r="R270" s="55">
        <v>1169311</v>
      </c>
      <c r="S270" s="55">
        <v>7036.400051958306</v>
      </c>
      <c r="U270" s="171">
        <v>4.5653760919199815E-3</v>
      </c>
      <c r="V270" s="171">
        <v>-1.2008679367636832E-2</v>
      </c>
      <c r="AA270" s="55">
        <v>934.83354896781384</v>
      </c>
      <c r="AB270" s="55">
        <v>0</v>
      </c>
      <c r="AC270" s="55">
        <v>6101.5665029904922</v>
      </c>
      <c r="AE270" s="55">
        <v>0</v>
      </c>
      <c r="AF270" s="55">
        <v>0</v>
      </c>
      <c r="AG270" s="55">
        <v>6101.5665029904922</v>
      </c>
      <c r="AI270" s="55">
        <v>5521.4843639227483</v>
      </c>
      <c r="AJ270" s="55">
        <v>580.0821390677437</v>
      </c>
      <c r="AK270" s="55">
        <v>0</v>
      </c>
      <c r="AM270" s="55">
        <v>6004363</v>
      </c>
      <c r="AN270" s="55">
        <v>619550</v>
      </c>
      <c r="AO270" s="55">
        <v>1169311</v>
      </c>
      <c r="AP270" s="55"/>
      <c r="AQ270" s="55">
        <v>7793224</v>
      </c>
      <c r="AR270" s="1"/>
      <c r="AS270" s="175">
        <v>1271.308075837595</v>
      </c>
      <c r="AT270" s="175">
        <v>131.1777649661058</v>
      </c>
      <c r="AU270" s="175">
        <v>247.57905500812228</v>
      </c>
      <c r="AV270" s="175"/>
      <c r="AW270" s="175">
        <v>1650.0648958118231</v>
      </c>
      <c r="AX270" s="1"/>
      <c r="AY270" s="171">
        <v>5.6464979601904552E-3</v>
      </c>
      <c r="AZ270" s="171">
        <v>-1.1082891419970986E-2</v>
      </c>
      <c r="BA270" s="171">
        <v>-3.1384080034290718E-2</v>
      </c>
      <c r="BB270" s="171">
        <f t="shared" si="85"/>
        <v>-1.4244493642273648E-3</v>
      </c>
      <c r="BC270" s="171"/>
      <c r="BD270" s="1"/>
      <c r="BE270" s="179">
        <f>AM270/'2017-18 disagg'!AM270-1</f>
        <v>2.0858843343685152E-2</v>
      </c>
      <c r="BF270" s="179">
        <f>AN270/'2017-18 disagg'!AN270-1</f>
        <v>2.269219531761979E-2</v>
      </c>
      <c r="BG270" s="179">
        <f>AO270/'2017-18 disagg'!AO270-1</f>
        <v>4.4038864702121705E-2</v>
      </c>
      <c r="BH270" s="179">
        <f>AQ270/'2017-18 disagg'!AQ270-1</f>
        <v>2.441745079736779E-2</v>
      </c>
      <c r="BI270" s="1"/>
      <c r="BJ270" s="179">
        <f>AS270/'2017-18 disagg'!AS270-1</f>
        <v>1.422594213628936E-2</v>
      </c>
      <c r="BK270" s="179">
        <f>AT270/'2017-18 disagg'!AT270-1</f>
        <v>1.6047382137671651E-2</v>
      </c>
      <c r="BL270" s="179">
        <f>AU270/'2017-18 disagg'!AU270-1</f>
        <v>3.7255354237963001E-2</v>
      </c>
      <c r="BM270" s="179">
        <f>AW270/'2017-18 disagg'!AW270-1</f>
        <v>1.7761427988165712E-2</v>
      </c>
    </row>
    <row r="271" spans="2:65" ht="15" x14ac:dyDescent="0.25">
      <c r="B271" t="s">
        <v>548</v>
      </c>
      <c r="D271" s="55">
        <v>9390352.1621381007</v>
      </c>
      <c r="E271" s="166">
        <v>1688.267903604567</v>
      </c>
      <c r="F271" s="171">
        <f>VLOOKUP(B271,'2018-19'!$B$12:$AMX479,33,FALSE)</f>
        <v>2.3592671409981447E-2</v>
      </c>
      <c r="G271" s="171">
        <f>VLOOKUP(B271,'2018-19'!$B$12:$AMX479,34,FALSE)</f>
        <v>1.5505388977017587E-2</v>
      </c>
      <c r="I271" s="175">
        <v>9223587.5903259721</v>
      </c>
      <c r="J271" s="175">
        <v>1658.2857187847089</v>
      </c>
      <c r="K271" s="171">
        <f t="shared" si="84"/>
        <v>1.8080228563887468E-2</v>
      </c>
      <c r="L271" s="170">
        <f t="shared" si="84"/>
        <v>1.8080228563887468E-2</v>
      </c>
      <c r="N271" s="55">
        <v>7066162</v>
      </c>
      <c r="O271" s="55">
        <v>749678</v>
      </c>
      <c r="P271" s="55">
        <v>1567718</v>
      </c>
      <c r="R271" s="55">
        <v>1567718</v>
      </c>
      <c r="S271" s="55">
        <v>6794.1621381009463</v>
      </c>
      <c r="U271" s="171">
        <v>2.3648987990395387E-2</v>
      </c>
      <c r="V271" s="171">
        <v>-1.1148682825502298E-2</v>
      </c>
      <c r="AA271" s="55">
        <v>769.97779691863957</v>
      </c>
      <c r="AB271" s="55">
        <v>0</v>
      </c>
      <c r="AC271" s="55">
        <v>6024.1843411823065</v>
      </c>
      <c r="AE271" s="55">
        <v>0</v>
      </c>
      <c r="AF271" s="55">
        <v>862.75510760810846</v>
      </c>
      <c r="AG271" s="55">
        <v>5161.4292335741984</v>
      </c>
      <c r="AI271" s="55">
        <v>4669.9383747295287</v>
      </c>
      <c r="AJ271" s="55">
        <v>491.49085884466882</v>
      </c>
      <c r="AK271" s="55">
        <v>0</v>
      </c>
      <c r="AM271" s="55">
        <v>7071601</v>
      </c>
      <c r="AN271" s="55">
        <v>751033</v>
      </c>
      <c r="AO271" s="55">
        <v>1567718</v>
      </c>
      <c r="AP271" s="55"/>
      <c r="AQ271" s="55">
        <v>9390352</v>
      </c>
      <c r="AR271" s="1"/>
      <c r="AS271" s="175">
        <v>1271.3854378683502</v>
      </c>
      <c r="AT271" s="175">
        <v>135.026342628576</v>
      </c>
      <c r="AU271" s="175">
        <v>281.85609395723742</v>
      </c>
      <c r="AV271" s="175"/>
      <c r="AW271" s="175">
        <v>1688.2678744541636</v>
      </c>
      <c r="AX271" s="1"/>
      <c r="AY271" s="171">
        <v>2.4436915983792717E-2</v>
      </c>
      <c r="AZ271" s="171">
        <v>-9.3613907684171327E-3</v>
      </c>
      <c r="BA271" s="171">
        <v>3.3122987972131757E-3</v>
      </c>
      <c r="BB271" s="171">
        <f t="shared" si="85"/>
        <v>1.8080210985250034E-2</v>
      </c>
      <c r="BC271" s="171"/>
      <c r="BD271" s="1"/>
      <c r="BE271" s="179">
        <f>AM271/'2017-18 disagg'!AM271-1</f>
        <v>1.8294186122194134E-2</v>
      </c>
      <c r="BF271" s="179">
        <f>AN271/'2017-18 disagg'!AN271-1</f>
        <v>2.8392519218182199E-2</v>
      </c>
      <c r="BG271" s="179">
        <f>AO271/'2017-18 disagg'!AO271-1</f>
        <v>4.5800004135922334E-2</v>
      </c>
      <c r="BH271" s="179">
        <f>AQ271/'2017-18 disagg'!AQ271-1</f>
        <v>2.3592653736163927E-2</v>
      </c>
      <c r="BI271" s="1"/>
      <c r="BJ271" s="179">
        <f>AS271/'2017-18 disagg'!AS271-1</f>
        <v>1.024876638343053E-2</v>
      </c>
      <c r="BK271" s="179">
        <f>AT271/'2017-18 disagg'!AT271-1</f>
        <v>2.0267313765696349E-2</v>
      </c>
      <c r="BL271" s="179">
        <f>AU271/'2017-18 disagg'!AU271-1</f>
        <v>3.7537264241358725E-2</v>
      </c>
      <c r="BM271" s="179">
        <f>AW271/'2017-18 disagg'!AW271-1</f>
        <v>1.5505371442838367E-2</v>
      </c>
    </row>
    <row r="272" spans="2:65" ht="15" x14ac:dyDescent="0.25">
      <c r="B272" t="s">
        <v>549</v>
      </c>
      <c r="D272" s="55">
        <v>11410085.231584573</v>
      </c>
      <c r="E272" s="166">
        <v>1732.8505859226027</v>
      </c>
      <c r="F272" s="171">
        <f>VLOOKUP(B272,'2018-19'!$B$12:$AMX480,33,FALSE)</f>
        <v>2.5078131894369138E-2</v>
      </c>
      <c r="G272" s="171">
        <f>VLOOKUP(B272,'2018-19'!$B$12:$AMX480,34,FALSE)</f>
        <v>1.8412786942640036E-2</v>
      </c>
      <c r="I272" s="175">
        <v>11315093.042101655</v>
      </c>
      <c r="J272" s="175">
        <v>1718.4241142650651</v>
      </c>
      <c r="K272" s="171">
        <f t="shared" si="84"/>
        <v>8.3951752875091046E-3</v>
      </c>
      <c r="L272" s="170">
        <f t="shared" si="84"/>
        <v>8.3951752875088825E-3</v>
      </c>
      <c r="N272" s="55">
        <v>8642758</v>
      </c>
      <c r="O272" s="55">
        <v>887618</v>
      </c>
      <c r="P272" s="55">
        <v>1873642</v>
      </c>
      <c r="R272" s="55">
        <v>1873642</v>
      </c>
      <c r="S272" s="55">
        <v>6067.2315845735138</v>
      </c>
      <c r="U272" s="171">
        <v>9.9488026611358471E-3</v>
      </c>
      <c r="V272" s="171">
        <v>-1.4158021265267773E-2</v>
      </c>
      <c r="AA272" s="55">
        <v>1003.5978341499576</v>
      </c>
      <c r="AB272" s="55">
        <v>0</v>
      </c>
      <c r="AC272" s="55">
        <v>5063.6337504235562</v>
      </c>
      <c r="AE272" s="55">
        <v>0</v>
      </c>
      <c r="AF272" s="55">
        <v>7.7609282184857875</v>
      </c>
      <c r="AG272" s="55">
        <v>5055.8728222050704</v>
      </c>
      <c r="AI272" s="55">
        <v>4572.9039892925684</v>
      </c>
      <c r="AJ272" s="55">
        <v>482.96883291250174</v>
      </c>
      <c r="AK272" s="55">
        <v>0</v>
      </c>
      <c r="AM272" s="55">
        <v>8648334</v>
      </c>
      <c r="AN272" s="55">
        <v>888109</v>
      </c>
      <c r="AO272" s="55">
        <v>1873642</v>
      </c>
      <c r="AP272" s="55"/>
      <c r="AQ272" s="55">
        <v>11410085</v>
      </c>
      <c r="AR272" s="1"/>
      <c r="AS272" s="175">
        <v>1313.423198423659</v>
      </c>
      <c r="AT272" s="175">
        <v>134.87718713556129</v>
      </c>
      <c r="AU272" s="175">
        <v>284.55016519261414</v>
      </c>
      <c r="AV272" s="175"/>
      <c r="AW272" s="175">
        <v>1732.8505507518344</v>
      </c>
      <c r="AX272" s="1"/>
      <c r="AY272" s="171">
        <v>1.0600385700211934E-2</v>
      </c>
      <c r="AZ272" s="171">
        <v>-1.3612687110756694E-2</v>
      </c>
      <c r="BA272" s="171">
        <v>8.9032414026504192E-3</v>
      </c>
      <c r="BB272" s="171">
        <f t="shared" si="85"/>
        <v>8.3951548206360194E-3</v>
      </c>
      <c r="BC272" s="171"/>
      <c r="BD272" s="1"/>
      <c r="BE272" s="179">
        <f>AM272/'2017-18 disagg'!AM272-1</f>
        <v>2.1047187016200564E-2</v>
      </c>
      <c r="BF272" s="179">
        <f>AN272/'2017-18 disagg'!AN272-1</f>
        <v>2.4594163991088935E-2</v>
      </c>
      <c r="BG272" s="179">
        <f>AO272/'2017-18 disagg'!AO272-1</f>
        <v>4.4342306508933893E-2</v>
      </c>
      <c r="BH272" s="179">
        <f>AQ272/'2017-18 disagg'!AQ272-1</f>
        <v>2.5078111088890687E-2</v>
      </c>
      <c r="BI272" s="1"/>
      <c r="BJ272" s="179">
        <f>AS272/'2017-18 disagg'!AS272-1</f>
        <v>1.4408052396404525E-2</v>
      </c>
      <c r="BK272" s="179">
        <f>AT272/'2017-18 disagg'!AT272-1</f>
        <v>1.7931965934138372E-2</v>
      </c>
      <c r="BL272" s="179">
        <f>AU272/'2017-18 disagg'!AU272-1</f>
        <v>3.755170050146539E-2</v>
      </c>
      <c r="BM272" s="179">
        <f>AW272/'2017-18 disagg'!AW272-1</f>
        <v>1.8412766272444703E-2</v>
      </c>
    </row>
    <row r="273" spans="2:65" ht="15" x14ac:dyDescent="0.25">
      <c r="B273" t="s">
        <v>550</v>
      </c>
      <c r="D273" s="55">
        <v>10055274.301332442</v>
      </c>
      <c r="E273" s="166">
        <v>1785.2760579349201</v>
      </c>
      <c r="F273" s="171">
        <f>VLOOKUP(B273,'2018-19'!$B$12:$AMX481,33,FALSE)</f>
        <v>2.4404646761440718E-2</v>
      </c>
      <c r="G273" s="171">
        <f>VLOOKUP(B273,'2018-19'!$B$12:$AMX481,34,FALSE)</f>
        <v>1.6800481899446496E-2</v>
      </c>
      <c r="I273" s="175">
        <v>9877733.3355561253</v>
      </c>
      <c r="J273" s="175">
        <v>1753.7543285415111</v>
      </c>
      <c r="K273" s="171">
        <f t="shared" si="84"/>
        <v>1.7973856931046805E-2</v>
      </c>
      <c r="L273" s="170">
        <f t="shared" si="84"/>
        <v>1.7973856931046805E-2</v>
      </c>
      <c r="N273" s="55">
        <v>7552669</v>
      </c>
      <c r="O273" s="55">
        <v>794974</v>
      </c>
      <c r="P273" s="55">
        <v>1706441</v>
      </c>
      <c r="R273" s="55">
        <v>1706441</v>
      </c>
      <c r="S273" s="55">
        <v>1190.3013324413914</v>
      </c>
      <c r="U273" s="171">
        <v>2.3700062096760455E-2</v>
      </c>
      <c r="V273" s="171">
        <v>-8.7575018099299573E-3</v>
      </c>
      <c r="AA273" s="55">
        <v>0</v>
      </c>
      <c r="AB273" s="55">
        <v>0</v>
      </c>
      <c r="AC273" s="55">
        <v>1190.3013324413914</v>
      </c>
      <c r="AE273" s="55">
        <v>0</v>
      </c>
      <c r="AF273" s="55">
        <v>158.91198981093291</v>
      </c>
      <c r="AG273" s="55">
        <v>1031.3893426304585</v>
      </c>
      <c r="AI273" s="55">
        <v>939.95035874935957</v>
      </c>
      <c r="AJ273" s="55">
        <v>91.438983881099077</v>
      </c>
      <c r="AK273" s="55">
        <v>0</v>
      </c>
      <c r="AM273" s="55">
        <v>7553609</v>
      </c>
      <c r="AN273" s="55">
        <v>795224</v>
      </c>
      <c r="AO273" s="55">
        <v>1706441</v>
      </c>
      <c r="AP273" s="55"/>
      <c r="AQ273" s="55">
        <v>10055274</v>
      </c>
      <c r="AR273" s="1"/>
      <c r="AS273" s="175">
        <v>1341.1148114492289</v>
      </c>
      <c r="AT273" s="175">
        <v>141.18902432200309</v>
      </c>
      <c r="AU273" s="175">
        <v>302.97216866324874</v>
      </c>
      <c r="AV273" s="175"/>
      <c r="AW273" s="175">
        <v>1785.2760044344807</v>
      </c>
      <c r="AX273" s="1"/>
      <c r="AY273" s="171">
        <v>2.3827471103877063E-2</v>
      </c>
      <c r="AZ273" s="171">
        <v>-8.4457801378406971E-3</v>
      </c>
      <c r="BA273" s="171">
        <v>5.0176058877975382E-3</v>
      </c>
      <c r="BB273" s="171">
        <f t="shared" si="85"/>
        <v>1.7973826424813044E-2</v>
      </c>
      <c r="BC273" s="171"/>
      <c r="BD273" s="1"/>
      <c r="BE273" s="179">
        <f>AM273/'2017-18 disagg'!AM273-1</f>
        <v>1.9619168590756297E-2</v>
      </c>
      <c r="BF273" s="179">
        <f>AN273/'2017-18 disagg'!AN273-1</f>
        <v>2.5427302209527936E-2</v>
      </c>
      <c r="BG273" s="179">
        <f>AO273/'2017-18 disagg'!AO273-1</f>
        <v>4.5642189888814411E-2</v>
      </c>
      <c r="BH273" s="179">
        <f>AQ273/'2017-18 disagg'!AQ273-1</f>
        <v>2.4404616062491558E-2</v>
      </c>
      <c r="BI273" s="1"/>
      <c r="BJ273" s="179">
        <f>AS273/'2017-18 disagg'!AS273-1</f>
        <v>1.2050526376056192E-2</v>
      </c>
      <c r="BK273" s="179">
        <f>AT273/'2017-18 disagg'!AT273-1</f>
        <v>1.7815546166989105E-2</v>
      </c>
      <c r="BL273" s="179">
        <f>AU273/'2017-18 disagg'!AU273-1</f>
        <v>3.7880378554095762E-2</v>
      </c>
      <c r="BM273" s="179">
        <f>AW273/'2017-18 disagg'!AW273-1</f>
        <v>1.680045142837594E-2</v>
      </c>
    </row>
    <row r="274" spans="2:65" ht="15" x14ac:dyDescent="0.25">
      <c r="B274" t="s">
        <v>551</v>
      </c>
      <c r="D274" s="55">
        <v>11189159.866176151</v>
      </c>
      <c r="E274" s="166">
        <v>1795.761813169609</v>
      </c>
      <c r="F274" s="171">
        <f>VLOOKUP(B274,'2018-19'!$B$12:$AMX482,33,FALSE)</f>
        <v>2.5875914537675238E-2</v>
      </c>
      <c r="G274" s="171">
        <f>VLOOKUP(B274,'2018-19'!$B$12:$AMX482,34,FALSE)</f>
        <v>1.9263747802470643E-2</v>
      </c>
      <c r="I274" s="175">
        <v>11123362.660445968</v>
      </c>
      <c r="J274" s="175">
        <v>1785.2019399640521</v>
      </c>
      <c r="K274" s="171">
        <f t="shared" si="84"/>
        <v>5.9152261540615925E-3</v>
      </c>
      <c r="L274" s="170">
        <f t="shared" si="84"/>
        <v>5.9152261540615925E-3</v>
      </c>
      <c r="N274" s="55">
        <v>8224031</v>
      </c>
      <c r="O274" s="55">
        <v>889206</v>
      </c>
      <c r="P274" s="55">
        <v>2072195</v>
      </c>
      <c r="R274" s="55">
        <v>2072195</v>
      </c>
      <c r="S274" s="55">
        <v>3727.866176150681</v>
      </c>
      <c r="U274" s="171">
        <v>-5.485272661216456E-4</v>
      </c>
      <c r="V274" s="171">
        <v>-2.5957502190140258E-2</v>
      </c>
      <c r="AA274" s="55">
        <v>828.00193190551363</v>
      </c>
      <c r="AB274" s="55">
        <v>0</v>
      </c>
      <c r="AC274" s="55">
        <v>2899.8642442451674</v>
      </c>
      <c r="AE274" s="55">
        <v>0</v>
      </c>
      <c r="AF274" s="55">
        <v>0</v>
      </c>
      <c r="AG274" s="55">
        <v>2899.8642442451674</v>
      </c>
      <c r="AI274" s="55">
        <v>2602.1285873278816</v>
      </c>
      <c r="AJ274" s="55">
        <v>297.73565691728561</v>
      </c>
      <c r="AK274" s="55">
        <v>0</v>
      </c>
      <c r="AM274" s="55">
        <v>8227462</v>
      </c>
      <c r="AN274" s="55">
        <v>889504</v>
      </c>
      <c r="AO274" s="55">
        <v>2072195</v>
      </c>
      <c r="AP274" s="55"/>
      <c r="AQ274" s="55">
        <v>11189161</v>
      </c>
      <c r="AR274" s="1"/>
      <c r="AS274" s="175">
        <v>1320.435337023494</v>
      </c>
      <c r="AT274" s="175">
        <v>142.75757384522055</v>
      </c>
      <c r="AU274" s="175">
        <v>332.5690842696568</v>
      </c>
      <c r="AV274" s="175"/>
      <c r="AW274" s="175">
        <v>1795.7619951383713</v>
      </c>
      <c r="AX274" s="1"/>
      <c r="AY274" s="171">
        <v>-1.3156410013293041E-4</v>
      </c>
      <c r="AZ274" s="171">
        <v>-2.5631070897113251E-2</v>
      </c>
      <c r="BA274" s="171">
        <v>4.5551688770420373E-2</v>
      </c>
      <c r="BB274" s="171">
        <f t="shared" si="85"/>
        <v>5.9153280858141866E-3</v>
      </c>
      <c r="BC274" s="171"/>
      <c r="BD274" s="1"/>
      <c r="BE274" s="179">
        <f>AM274/'2017-18 disagg'!AM274-1</f>
        <v>2.1090344604534961E-2</v>
      </c>
      <c r="BF274" s="179">
        <f>AN274/'2017-18 disagg'!AN274-1</f>
        <v>2.8268886191549658E-2</v>
      </c>
      <c r="BG274" s="179">
        <f>AO274/'2017-18 disagg'!AO274-1</f>
        <v>4.426522042152703E-2</v>
      </c>
      <c r="BH274" s="179">
        <f>AQ274/'2017-18 disagg'!AQ274-1</f>
        <v>2.5876018492091202E-2</v>
      </c>
      <c r="BI274" s="1"/>
      <c r="BJ274" s="179">
        <f>AS274/'2017-18 disagg'!AS274-1</f>
        <v>1.4509022717008824E-2</v>
      </c>
      <c r="BK274" s="179">
        <f>AT274/'2017-18 disagg'!AT274-1</f>
        <v>2.164129582923402E-2</v>
      </c>
      <c r="BL274" s="179">
        <f>AU274/'2017-18 disagg'!AU274-1</f>
        <v>3.7534527503062076E-2</v>
      </c>
      <c r="BM274" s="179">
        <f>AW274/'2017-18 disagg'!AW274-1</f>
        <v>1.9263851086860129E-2</v>
      </c>
    </row>
    <row r="275" spans="2:65" ht="15" x14ac:dyDescent="0.25">
      <c r="B275"/>
      <c r="D275" s="1"/>
      <c r="N275" s="1"/>
      <c r="O275" s="1"/>
      <c r="P275" s="1"/>
      <c r="R275" s="1"/>
      <c r="S275" s="1"/>
      <c r="AA275" s="1"/>
      <c r="AB275" s="1"/>
      <c r="AC275" s="1"/>
      <c r="AE275" s="1"/>
      <c r="AF275" s="1"/>
      <c r="AG275" s="1"/>
      <c r="AI275" s="1"/>
      <c r="AJ275" s="1"/>
      <c r="AK275" s="1"/>
      <c r="AM275" s="1"/>
      <c r="AN275" s="1"/>
      <c r="AO275" s="1"/>
      <c r="AP275" s="1"/>
      <c r="AR275" s="1"/>
      <c r="AV275" s="64"/>
      <c r="AX275" s="1"/>
      <c r="BA275" s="64"/>
      <c r="BD275" s="1"/>
      <c r="BE275" s="179"/>
      <c r="BF275" s="179"/>
      <c r="BG275" s="179"/>
      <c r="BH275" s="179"/>
      <c r="BI275" s="1"/>
      <c r="BJ275" s="179"/>
      <c r="BK275" s="179"/>
    </row>
    <row r="276" spans="2:65" ht="15" x14ac:dyDescent="0.25">
      <c r="B276" t="s">
        <v>12</v>
      </c>
      <c r="D276" s="172">
        <f>SUM(D265:D274)</f>
        <v>97246518.423480064</v>
      </c>
      <c r="E276" s="166">
        <v>1659.7174943080556</v>
      </c>
      <c r="F276" s="171">
        <f>VLOOKUP(B276,'2018-19'!$B$12:$AMX484,33,FALSE)</f>
        <v>2.5486443052915808E-2</v>
      </c>
      <c r="G276" s="171">
        <f>VLOOKUP(B276,'2018-19'!$B$12:$AMX484,34,FALSE)</f>
        <v>1.8162052357029168E-2</v>
      </c>
      <c r="I276" s="175">
        <f>SUM(I265:I274)</f>
        <v>97246569.278791666</v>
      </c>
      <c r="J276" s="175">
        <v>1659.7183622614975</v>
      </c>
      <c r="K276" s="171">
        <f t="shared" ref="K276:L276" si="86">D276/I276-1</f>
        <v>-5.2295224373111182E-7</v>
      </c>
      <c r="L276" s="170">
        <f t="shared" si="86"/>
        <v>-5.2295224395315643E-7</v>
      </c>
      <c r="N276" s="172">
        <f>SUM(N265:N274)</f>
        <v>73508656</v>
      </c>
      <c r="O276" s="172">
        <f>SUM(O265:O274)</f>
        <v>7755210</v>
      </c>
      <c r="P276" s="172">
        <f>SUM(P265:P274)</f>
        <v>15885992</v>
      </c>
      <c r="R276" s="172">
        <f>SUM(R265:R274)</f>
        <v>15885992</v>
      </c>
      <c r="S276" s="172">
        <f>SUM(S265:S274)</f>
        <v>96660.423480058176</v>
      </c>
      <c r="U276" s="171">
        <v>-5.3937298234774111E-4</v>
      </c>
      <c r="V276" s="171">
        <v>-7.2060423734240375E-3</v>
      </c>
      <c r="AA276" s="172">
        <f>SUM(AA265:AA274)</f>
        <v>21727.827935442518</v>
      </c>
      <c r="AB276" s="172">
        <f>SUM(AB265:AB274)</f>
        <v>0</v>
      </c>
      <c r="AC276" s="172">
        <f>SUM(AC265:AC274)</f>
        <v>74932.595544615659</v>
      </c>
      <c r="AE276" s="172">
        <f>SUM(AE265:AE274)</f>
        <v>0</v>
      </c>
      <c r="AF276" s="172">
        <f>SUM(AF265:AF274)</f>
        <v>1242.6628694138328</v>
      </c>
      <c r="AG276" s="172">
        <f>SUM(AG265:AG274)</f>
        <v>73689.932675201824</v>
      </c>
      <c r="AI276" s="172">
        <f>SUM(AI265:AI274)</f>
        <v>66726.859276329618</v>
      </c>
      <c r="AJ276" s="172">
        <f>SUM(AJ265:AJ274)</f>
        <v>6963.0733988722177</v>
      </c>
      <c r="AK276" s="172">
        <f>SUM(AK265:AK274)</f>
        <v>0</v>
      </c>
      <c r="AM276" s="172">
        <f>SUM(AM265:AM274)</f>
        <v>73597110</v>
      </c>
      <c r="AN276" s="172">
        <f>SUM(AN265:AN274)</f>
        <v>7763415</v>
      </c>
      <c r="AO276" s="172">
        <f>SUM(AO265:AO274)</f>
        <v>15885992</v>
      </c>
      <c r="AP276" s="172"/>
      <c r="AQ276" s="172">
        <f>SUM(AQ265:AQ274)</f>
        <v>97246517</v>
      </c>
      <c r="AR276" s="1"/>
      <c r="AS276" s="175">
        <v>1256.0903256771121</v>
      </c>
      <c r="AT276" s="175">
        <v>132.499095082899</v>
      </c>
      <c r="AU276" s="175">
        <v>271.128049253347</v>
      </c>
      <c r="AV276" s="175"/>
      <c r="AW276" s="175">
        <v>1659.717470013358</v>
      </c>
      <c r="AX276" s="1"/>
      <c r="AY276" s="171">
        <v>6.6329205212412035E-4</v>
      </c>
      <c r="AZ276" s="171">
        <v>-6.1556679254947122E-3</v>
      </c>
      <c r="BA276" s="171">
        <v>-4.7290929741095056E-5</v>
      </c>
      <c r="BB276" s="171">
        <f t="shared" ref="BB276" si="87">SUM(AM276:AO276)/I276-1</f>
        <v>-5.3759008722398249E-7</v>
      </c>
      <c r="BC276" s="171"/>
      <c r="BD276" s="1"/>
      <c r="BE276" s="179">
        <f>AM276/'2017-18 disagg'!AM276-1</f>
        <v>2.1454070318438045E-2</v>
      </c>
      <c r="BF276" s="179">
        <f>AN276/'2017-18 disagg'!AN276-1</f>
        <v>2.4850808549938153E-2</v>
      </c>
      <c r="BG276" s="179">
        <f>AO276/'2017-18 disagg'!AO276-1</f>
        <v>4.4913408167746027E-2</v>
      </c>
      <c r="BH276" s="179">
        <f>AQ276/'2017-18 disagg'!AQ276-1</f>
        <v>2.5486428041997966E-2</v>
      </c>
      <c r="BI276" s="1"/>
      <c r="BJ276" s="179">
        <f>AS276/'2017-18 disagg'!AS276-1</f>
        <v>1.4158480269833351E-2</v>
      </c>
      <c r="BK276" s="179">
        <f>AT276/'2017-18 disagg'!AT276-1</f>
        <v>1.7530957782854184E-2</v>
      </c>
      <c r="BL276" s="179">
        <f>AU276/'2017-18 disagg'!AU276-1</f>
        <v>3.7450263143608442E-2</v>
      </c>
      <c r="BM276" s="179">
        <f>AW276/'2017-18 disagg'!AW276-1</f>
        <v>1.8162037453324675E-2</v>
      </c>
    </row>
    <row r="277" spans="2:65" ht="15" x14ac:dyDescent="0.25">
      <c r="B277"/>
      <c r="D277" s="1"/>
      <c r="N277" s="1"/>
      <c r="O277" s="1"/>
      <c r="P277" s="1"/>
      <c r="R277" s="1"/>
      <c r="S277" s="1"/>
      <c r="AA277" s="1"/>
      <c r="AB277" s="1"/>
      <c r="AC277" s="1"/>
      <c r="AE277" s="1"/>
      <c r="AF277" s="1"/>
      <c r="AG277" s="1"/>
      <c r="AI277" s="1"/>
      <c r="AJ277" s="1"/>
      <c r="AK277" s="1"/>
      <c r="AM277" s="1"/>
      <c r="AN277" s="1"/>
      <c r="AO277" s="1"/>
      <c r="AP277" s="1"/>
      <c r="AR277" s="1"/>
      <c r="AV277" s="64"/>
      <c r="AX277" s="1"/>
      <c r="BA277" s="64"/>
      <c r="BD277" s="1"/>
      <c r="BE277" s="179"/>
      <c r="BF277" s="179"/>
      <c r="BG277" s="179"/>
      <c r="BH277" s="179"/>
      <c r="BI277" s="1"/>
      <c r="BJ277" s="179"/>
      <c r="BK277" s="179"/>
    </row>
    <row r="278" spans="2:65" ht="15" x14ac:dyDescent="0.25">
      <c r="B278" s="174" t="s">
        <v>552</v>
      </c>
      <c r="D278" s="1"/>
      <c r="N278" s="1"/>
      <c r="O278" s="1"/>
      <c r="P278" s="1"/>
      <c r="R278" s="1"/>
      <c r="S278" s="1"/>
      <c r="AA278" s="1"/>
      <c r="AB278" s="1"/>
      <c r="AC278" s="1"/>
      <c r="AE278" s="1"/>
      <c r="AF278" s="1"/>
      <c r="AG278" s="1"/>
      <c r="AI278" s="1"/>
      <c r="AJ278" s="1"/>
      <c r="AK278" s="1"/>
      <c r="AM278" s="1"/>
      <c r="AN278" s="1"/>
      <c r="AO278" s="1"/>
      <c r="AP278" s="1"/>
      <c r="AR278" s="1"/>
      <c r="AV278" s="64"/>
      <c r="AX278" s="1"/>
      <c r="BA278" s="64"/>
      <c r="BD278" s="1"/>
      <c r="BE278" s="179"/>
      <c r="BF278" s="179"/>
      <c r="BG278" s="179"/>
      <c r="BH278" s="179"/>
      <c r="BI278" s="1"/>
      <c r="BJ278" s="179"/>
      <c r="BK278" s="179"/>
    </row>
    <row r="279" spans="2:65" ht="15" x14ac:dyDescent="0.25">
      <c r="B279" t="s">
        <v>553</v>
      </c>
      <c r="D279" s="55">
        <v>10048821.137591036</v>
      </c>
      <c r="E279" s="166">
        <v>1669.6874218117118</v>
      </c>
      <c r="F279" s="171">
        <f>VLOOKUP(B279,'2018-19'!$B$12:$AMX487,33,FALSE)</f>
        <v>2.8649997741928779E-2</v>
      </c>
      <c r="G279" s="171">
        <f>VLOOKUP(B279,'2018-19'!$B$12:$AMX487,34,FALSE)</f>
        <v>1.6738116203639963E-2</v>
      </c>
      <c r="I279" s="175">
        <v>9922863.2877799962</v>
      </c>
      <c r="J279" s="175">
        <v>1648.75857507155</v>
      </c>
      <c r="K279" s="171">
        <f t="shared" ref="K279:L288" si="88">D279/I279-1</f>
        <v>1.2693700009568598E-2</v>
      </c>
      <c r="L279" s="170">
        <f t="shared" si="88"/>
        <v>1.2693700009568376E-2</v>
      </c>
      <c r="N279" s="55">
        <v>7186557</v>
      </c>
      <c r="O279" s="55">
        <v>817484</v>
      </c>
      <c r="P279" s="55">
        <v>2042414</v>
      </c>
      <c r="R279" s="55">
        <v>2042414</v>
      </c>
      <c r="S279" s="55">
        <v>2366.1375910359493</v>
      </c>
      <c r="U279" s="171">
        <v>1.9793326861394345E-2</v>
      </c>
      <c r="V279" s="171">
        <v>-4.1373970031365781E-2</v>
      </c>
      <c r="AA279" s="55">
        <v>1152.4904879186943</v>
      </c>
      <c r="AB279" s="55">
        <v>0</v>
      </c>
      <c r="AC279" s="55">
        <v>1213.647103117255</v>
      </c>
      <c r="AE279" s="55">
        <v>0</v>
      </c>
      <c r="AF279" s="55">
        <v>579.01562494446989</v>
      </c>
      <c r="AG279" s="55">
        <v>634.63147817278514</v>
      </c>
      <c r="AI279" s="55">
        <v>572.31660823851212</v>
      </c>
      <c r="AJ279" s="55">
        <v>62.314869934272977</v>
      </c>
      <c r="AK279" s="55">
        <v>0</v>
      </c>
      <c r="AM279" s="55">
        <v>7188281</v>
      </c>
      <c r="AN279" s="55">
        <v>818125</v>
      </c>
      <c r="AO279" s="55">
        <v>2042414</v>
      </c>
      <c r="AP279" s="55"/>
      <c r="AQ279" s="55">
        <v>10048820</v>
      </c>
      <c r="AR279" s="1"/>
      <c r="AS279" s="175">
        <v>1194.3871033040746</v>
      </c>
      <c r="AT279" s="175">
        <v>135.93763917835795</v>
      </c>
      <c r="AU279" s="175">
        <v>339.36249030994867</v>
      </c>
      <c r="AV279" s="175"/>
      <c r="AW279" s="175">
        <v>1669.6872327923813</v>
      </c>
      <c r="AX279" s="1"/>
      <c r="AY279" s="171">
        <v>2.0037967472400275E-2</v>
      </c>
      <c r="AZ279" s="171">
        <v>-4.0622298701761927E-2</v>
      </c>
      <c r="BA279" s="171">
        <v>9.5841829012179858E-3</v>
      </c>
      <c r="BB279" s="171">
        <f t="shared" ref="BB279:BB288" si="89">SUM(AM279:AO279)/I279-1</f>
        <v>1.2693585366143179E-2</v>
      </c>
      <c r="BC279" s="171"/>
      <c r="BD279" s="1"/>
      <c r="BE279" s="179">
        <f>AM279/'2017-18 disagg'!AM279-1</f>
        <v>2.2158994683075584E-2</v>
      </c>
      <c r="BF279" s="179">
        <f>AN279/'2017-18 disagg'!AN279-1</f>
        <v>3.4756433038848122E-2</v>
      </c>
      <c r="BG279" s="179">
        <f>AO279/'2017-18 disagg'!AO279-1</f>
        <v>4.9627231740213995E-2</v>
      </c>
      <c r="BH279" s="179">
        <f>AQ279/'2017-18 disagg'!AQ279-1</f>
        <v>2.8649881292148294E-2</v>
      </c>
      <c r="BI279" s="1"/>
      <c r="BJ279" s="179">
        <f>AS279/'2017-18 disagg'!AS279-1</f>
        <v>1.0322279683134372E-2</v>
      </c>
      <c r="BK279" s="179">
        <f>AT279/'2017-18 disagg'!AT279-1</f>
        <v>2.2773838299725124E-2</v>
      </c>
      <c r="BL279" s="179">
        <f>AU279/'2017-18 disagg'!AU279-1</f>
        <v>3.7472431495915171E-2</v>
      </c>
      <c r="BM279" s="179">
        <f>AW279/'2017-18 disagg'!AW279-1</f>
        <v>1.6738001102360789E-2</v>
      </c>
    </row>
    <row r="280" spans="2:65" ht="15" x14ac:dyDescent="0.25">
      <c r="B280" t="s">
        <v>554</v>
      </c>
      <c r="D280" s="55">
        <v>10645905.204727314</v>
      </c>
      <c r="E280" s="166">
        <v>1614.3398787997469</v>
      </c>
      <c r="F280" s="171">
        <f>VLOOKUP(B280,'2018-19'!$B$12:$AMX488,33,FALSE)</f>
        <v>2.8692843527846401E-2</v>
      </c>
      <c r="G280" s="171">
        <f>VLOOKUP(B280,'2018-19'!$B$12:$AMX488,34,FALSE)</f>
        <v>1.8213542088833856E-2</v>
      </c>
      <c r="I280" s="175">
        <v>10710650.610998582</v>
      </c>
      <c r="J280" s="175">
        <v>1624.1578406642193</v>
      </c>
      <c r="K280" s="171">
        <f t="shared" si="88"/>
        <v>-6.0449554954935536E-3</v>
      </c>
      <c r="L280" s="170">
        <f t="shared" si="88"/>
        <v>-6.0449554954937756E-3</v>
      </c>
      <c r="N280" s="55">
        <v>7781019</v>
      </c>
      <c r="O280" s="55">
        <v>859200</v>
      </c>
      <c r="P280" s="55">
        <v>1993671</v>
      </c>
      <c r="R280" s="55">
        <v>1993671</v>
      </c>
      <c r="S280" s="55">
        <v>12015.204727314063</v>
      </c>
      <c r="U280" s="171">
        <v>-8.8636992389622415E-3</v>
      </c>
      <c r="V280" s="171">
        <v>-3.4060998243375717E-2</v>
      </c>
      <c r="AA280" s="55">
        <v>0</v>
      </c>
      <c r="AB280" s="55">
        <v>0</v>
      </c>
      <c r="AC280" s="55">
        <v>12015.204727314063</v>
      </c>
      <c r="AE280" s="55">
        <v>0</v>
      </c>
      <c r="AF280" s="55">
        <v>0</v>
      </c>
      <c r="AG280" s="55">
        <v>12015.204727314063</v>
      </c>
      <c r="AI280" s="55">
        <v>10817.568353589906</v>
      </c>
      <c r="AJ280" s="55">
        <v>1197.6363737241579</v>
      </c>
      <c r="AK280" s="55">
        <v>0</v>
      </c>
      <c r="AM280" s="55">
        <v>7791836</v>
      </c>
      <c r="AN280" s="55">
        <v>860397</v>
      </c>
      <c r="AO280" s="55">
        <v>1993671</v>
      </c>
      <c r="AP280" s="55"/>
      <c r="AQ280" s="55">
        <v>10645904</v>
      </c>
      <c r="AR280" s="1"/>
      <c r="AS280" s="175">
        <v>1181.5502150330951</v>
      </c>
      <c r="AT280" s="175">
        <v>130.47018191397123</v>
      </c>
      <c r="AU280" s="175">
        <v>302.31929916841756</v>
      </c>
      <c r="AV280" s="175"/>
      <c r="AW280" s="175">
        <v>1614.339696115484</v>
      </c>
      <c r="AX280" s="1"/>
      <c r="AY280" s="171">
        <v>-7.4858435409704827E-3</v>
      </c>
      <c r="AZ280" s="171">
        <v>-3.27152941173251E-2</v>
      </c>
      <c r="BA280" s="171">
        <v>1.1733758374953052E-2</v>
      </c>
      <c r="BB280" s="171">
        <f t="shared" si="89"/>
        <v>-6.0450679748711433E-3</v>
      </c>
      <c r="BC280" s="171"/>
      <c r="BD280" s="1"/>
      <c r="BE280" s="179">
        <f>AM280/'2017-18 disagg'!AM280-1</f>
        <v>2.3450809360148428E-2</v>
      </c>
      <c r="BF280" s="179">
        <f>AN280/'2017-18 disagg'!AN280-1</f>
        <v>3.2920555839010879E-2</v>
      </c>
      <c r="BG280" s="179">
        <f>AO280/'2017-18 disagg'!AO280-1</f>
        <v>4.7816487280383457E-2</v>
      </c>
      <c r="BH280" s="179">
        <f>AQ280/'2017-18 disagg'!AQ280-1</f>
        <v>2.869272711741977E-2</v>
      </c>
      <c r="BI280" s="1"/>
      <c r="BJ280" s="179">
        <f>AS280/'2017-18 disagg'!AS280-1</f>
        <v>1.3024908561125592E-2</v>
      </c>
      <c r="BK280" s="179">
        <f>AT280/'2017-18 disagg'!AT280-1</f>
        <v>2.2398186664099651E-2</v>
      </c>
      <c r="BL280" s="179">
        <f>AU280/'2017-18 disagg'!AU280-1</f>
        <v>3.7142373144115615E-2</v>
      </c>
      <c r="BM280" s="179">
        <f>AW280/'2017-18 disagg'!AW280-1</f>
        <v>1.821342686428129E-2</v>
      </c>
    </row>
    <row r="281" spans="2:65" ht="15" x14ac:dyDescent="0.25">
      <c r="B281" t="s">
        <v>555</v>
      </c>
      <c r="D281" s="55">
        <v>10050426.009335442</v>
      </c>
      <c r="E281" s="166">
        <v>1713.910953545656</v>
      </c>
      <c r="F281" s="171">
        <f>VLOOKUP(B281,'2018-19'!$B$12:$AMX489,33,FALSE)</f>
        <v>2.5581825596584284E-2</v>
      </c>
      <c r="G281" s="171">
        <f>VLOOKUP(B281,'2018-19'!$B$12:$AMX489,34,FALSE)</f>
        <v>1.8311988302080584E-2</v>
      </c>
      <c r="I281" s="175">
        <v>10002837.786961609</v>
      </c>
      <c r="J281" s="175">
        <v>1705.7956780826537</v>
      </c>
      <c r="K281" s="171">
        <f t="shared" si="88"/>
        <v>4.7574721681342691E-3</v>
      </c>
      <c r="L281" s="170">
        <f t="shared" si="88"/>
        <v>4.7574721681344911E-3</v>
      </c>
      <c r="N281" s="55">
        <v>7559756</v>
      </c>
      <c r="O281" s="55">
        <v>797647</v>
      </c>
      <c r="P281" s="55">
        <v>1688323</v>
      </c>
      <c r="R281" s="55">
        <v>1688323</v>
      </c>
      <c r="S281" s="55">
        <v>4700.0093354430282</v>
      </c>
      <c r="U281" s="171">
        <v>4.2975499538333573E-4</v>
      </c>
      <c r="V281" s="171">
        <v>-1.8093940752456739E-2</v>
      </c>
      <c r="AA281" s="55">
        <v>0</v>
      </c>
      <c r="AB281" s="55">
        <v>0</v>
      </c>
      <c r="AC281" s="55">
        <v>4700.0093354430282</v>
      </c>
      <c r="AE281" s="55">
        <v>0</v>
      </c>
      <c r="AF281" s="55">
        <v>0</v>
      </c>
      <c r="AG281" s="55">
        <v>4700.0093354430282</v>
      </c>
      <c r="AI281" s="55">
        <v>4241.3096066168073</v>
      </c>
      <c r="AJ281" s="55">
        <v>458.69972882622119</v>
      </c>
      <c r="AK281" s="55">
        <v>0</v>
      </c>
      <c r="AM281" s="55">
        <v>7563997</v>
      </c>
      <c r="AN281" s="55">
        <v>798105</v>
      </c>
      <c r="AO281" s="55">
        <v>1688323</v>
      </c>
      <c r="AP281" s="55"/>
      <c r="AQ281" s="55">
        <v>10050425</v>
      </c>
      <c r="AR281" s="1"/>
      <c r="AS281" s="175">
        <v>1289.8972937908025</v>
      </c>
      <c r="AT281" s="175">
        <v>136.10178317903993</v>
      </c>
      <c r="AU281" s="175">
        <v>287.91170445265499</v>
      </c>
      <c r="AV281" s="175"/>
      <c r="AW281" s="175">
        <v>1713.9107814224974</v>
      </c>
      <c r="AX281" s="1"/>
      <c r="AY281" s="171">
        <v>9.9099302885119478E-4</v>
      </c>
      <c r="AZ281" s="171">
        <v>-1.7530141258275234E-2</v>
      </c>
      <c r="BA281" s="171">
        <v>3.3255715823693688E-2</v>
      </c>
      <c r="BB281" s="171">
        <f t="shared" si="89"/>
        <v>4.75737126322473E-3</v>
      </c>
      <c r="BC281" s="171"/>
      <c r="BD281" s="1"/>
      <c r="BE281" s="179">
        <f>AM281/'2017-18 disagg'!AM281-1</f>
        <v>2.1118973502330052E-2</v>
      </c>
      <c r="BF281" s="179">
        <f>AN281/'2017-18 disagg'!AN281-1</f>
        <v>2.8682016673283073E-2</v>
      </c>
      <c r="BG281" s="179">
        <f>AO281/'2017-18 disagg'!AO281-1</f>
        <v>4.4546198096666378E-2</v>
      </c>
      <c r="BH281" s="179">
        <f>AQ281/'2017-18 disagg'!AQ281-1</f>
        <v>2.5581722600344747E-2</v>
      </c>
      <c r="BI281" s="1"/>
      <c r="BJ281" s="179">
        <f>AS281/'2017-18 disagg'!AS281-1</f>
        <v>1.3880771137175563E-2</v>
      </c>
      <c r="BK281" s="179">
        <f>AT281/'2017-18 disagg'!AT281-1</f>
        <v>2.1390203672748909E-2</v>
      </c>
      <c r="BL281" s="179">
        <f>AU281/'2017-18 disagg'!AU281-1</f>
        <v>3.7141931838010622E-2</v>
      </c>
      <c r="BM281" s="179">
        <f>AW281/'2017-18 disagg'!AW281-1</f>
        <v>1.8311886035929925E-2</v>
      </c>
    </row>
    <row r="282" spans="2:65" ht="15" x14ac:dyDescent="0.25">
      <c r="B282" t="s">
        <v>556</v>
      </c>
      <c r="D282" s="55">
        <v>12541477.282573873</v>
      </c>
      <c r="E282" s="166">
        <v>1605.6673078657291</v>
      </c>
      <c r="F282" s="171">
        <f>VLOOKUP(B282,'2018-19'!$B$12:$AMX490,33,FALSE)</f>
        <v>2.6535206179854942E-2</v>
      </c>
      <c r="G282" s="171">
        <f>VLOOKUP(B282,'2018-19'!$B$12:$AMX490,34,FALSE)</f>
        <v>1.9282432797895765E-2</v>
      </c>
      <c r="I282" s="175">
        <v>12609087.471602401</v>
      </c>
      <c r="J282" s="175">
        <v>1614.3233431760643</v>
      </c>
      <c r="K282" s="171">
        <f t="shared" si="88"/>
        <v>-5.362020779124288E-3</v>
      </c>
      <c r="L282" s="170">
        <f t="shared" si="88"/>
        <v>-5.362020779124177E-3</v>
      </c>
      <c r="N282" s="55">
        <v>9462241</v>
      </c>
      <c r="O282" s="55">
        <v>1002624</v>
      </c>
      <c r="P282" s="55">
        <v>2050560</v>
      </c>
      <c r="R282" s="55">
        <v>2050560</v>
      </c>
      <c r="S282" s="55">
        <v>26052.282573873847</v>
      </c>
      <c r="U282" s="171">
        <v>-8.5818831438572163E-3</v>
      </c>
      <c r="V282" s="171">
        <v>-1.3825735196042022E-2</v>
      </c>
      <c r="AA282" s="55">
        <v>5534.1196624155273</v>
      </c>
      <c r="AB282" s="55">
        <v>0</v>
      </c>
      <c r="AC282" s="55">
        <v>20518.162911458319</v>
      </c>
      <c r="AE282" s="55">
        <v>0</v>
      </c>
      <c r="AF282" s="55">
        <v>0</v>
      </c>
      <c r="AG282" s="55">
        <v>20518.162911458319</v>
      </c>
      <c r="AI282" s="55">
        <v>18600.606839392243</v>
      </c>
      <c r="AJ282" s="55">
        <v>1917.5560720660776</v>
      </c>
      <c r="AK282" s="55">
        <v>0</v>
      </c>
      <c r="AM282" s="55">
        <v>9486374</v>
      </c>
      <c r="AN282" s="55">
        <v>1004542</v>
      </c>
      <c r="AO282" s="55">
        <v>2050560</v>
      </c>
      <c r="AP282" s="55"/>
      <c r="AQ282" s="55">
        <v>12541476</v>
      </c>
      <c r="AR282" s="1"/>
      <c r="AS282" s="175">
        <v>1214.5268263693263</v>
      </c>
      <c r="AT282" s="175">
        <v>128.61006821096191</v>
      </c>
      <c r="AU282" s="175">
        <v>262.53024907935168</v>
      </c>
      <c r="AV282" s="175"/>
      <c r="AW282" s="175">
        <v>1605.6671436596398</v>
      </c>
      <c r="AX282" s="1"/>
      <c r="AY282" s="171">
        <v>-6.0533179324988584E-3</v>
      </c>
      <c r="AZ282" s="171">
        <v>-1.1939203216063565E-2</v>
      </c>
      <c r="BA282" s="171">
        <v>1.1232183680176533E-3</v>
      </c>
      <c r="BB282" s="171">
        <f t="shared" si="89"/>
        <v>-5.3621224973394721E-3</v>
      </c>
      <c r="BC282" s="171"/>
      <c r="BD282" s="1"/>
      <c r="BE282" s="179">
        <f>AM282/'2017-18 disagg'!AM282-1</f>
        <v>2.2955197385582382E-2</v>
      </c>
      <c r="BF282" s="179">
        <f>AN282/'2017-18 disagg'!AN282-1</f>
        <v>2.4456408117393913E-2</v>
      </c>
      <c r="BG282" s="179">
        <f>AO282/'2017-18 disagg'!AO282-1</f>
        <v>4.4483348605791839E-2</v>
      </c>
      <c r="BH282" s="179">
        <f>AQ282/'2017-18 disagg'!AQ282-1</f>
        <v>2.6535101199619548E-2</v>
      </c>
      <c r="BI282" s="1"/>
      <c r="BJ282" s="179">
        <f>AS282/'2017-18 disagg'!AS282-1</f>
        <v>1.5727717819494114E-2</v>
      </c>
      <c r="BK282" s="179">
        <f>AT282/'2017-18 disagg'!AT282-1</f>
        <v>1.721832205561924E-2</v>
      </c>
      <c r="BL282" s="179">
        <f>AU282/'2017-18 disagg'!AU282-1</f>
        <v>3.710376631473844E-2</v>
      </c>
      <c r="BM282" s="179">
        <f>AW282/'2017-18 disagg'!AW282-1</f>
        <v>1.9282328559376616E-2</v>
      </c>
    </row>
    <row r="283" spans="2:65" ht="15" x14ac:dyDescent="0.25">
      <c r="B283" t="s">
        <v>557</v>
      </c>
      <c r="D283" s="55">
        <v>8884372.1258299276</v>
      </c>
      <c r="E283" s="166">
        <v>1649.1494265276588</v>
      </c>
      <c r="F283" s="171">
        <f>VLOOKUP(B283,'2018-19'!$B$12:$AMX491,33,FALSE)</f>
        <v>2.6531934312325589E-2</v>
      </c>
      <c r="G283" s="171">
        <f>VLOOKUP(B283,'2018-19'!$B$12:$AMX491,34,FALSE)</f>
        <v>1.9079498314487742E-2</v>
      </c>
      <c r="I283" s="175">
        <v>8957121.4809981082</v>
      </c>
      <c r="J283" s="175">
        <v>1662.6534260964131</v>
      </c>
      <c r="K283" s="171">
        <f t="shared" si="88"/>
        <v>-8.1219569615654796E-3</v>
      </c>
      <c r="L283" s="170">
        <f t="shared" si="88"/>
        <v>-8.1219569615653686E-3</v>
      </c>
      <c r="N283" s="55">
        <v>6773741</v>
      </c>
      <c r="O283" s="55">
        <v>692286</v>
      </c>
      <c r="P283" s="55">
        <v>1400681</v>
      </c>
      <c r="R283" s="55">
        <v>1400681</v>
      </c>
      <c r="S283" s="55">
        <v>17664.125829929253</v>
      </c>
      <c r="U283" s="171">
        <v>-8.1684417908611806E-3</v>
      </c>
      <c r="V283" s="171">
        <v>-1.9222523189234342E-2</v>
      </c>
      <c r="AA283" s="55">
        <v>635.56759180314839</v>
      </c>
      <c r="AB283" s="55">
        <v>0</v>
      </c>
      <c r="AC283" s="55">
        <v>17028.558238126105</v>
      </c>
      <c r="AE283" s="55">
        <v>0</v>
      </c>
      <c r="AF283" s="55">
        <v>283.73948266363857</v>
      </c>
      <c r="AG283" s="55">
        <v>16744.818755462467</v>
      </c>
      <c r="AI283" s="55">
        <v>15174.650048145417</v>
      </c>
      <c r="AJ283" s="55">
        <v>1570.1687073170497</v>
      </c>
      <c r="AK283" s="55">
        <v>0</v>
      </c>
      <c r="AM283" s="55">
        <v>6789552</v>
      </c>
      <c r="AN283" s="55">
        <v>694140</v>
      </c>
      <c r="AO283" s="55">
        <v>1400681</v>
      </c>
      <c r="AP283" s="55"/>
      <c r="AQ283" s="55">
        <v>8884373</v>
      </c>
      <c r="AR283" s="1"/>
      <c r="AS283" s="175">
        <v>1260.3013053253619</v>
      </c>
      <c r="AT283" s="175">
        <v>128.84878826740655</v>
      </c>
      <c r="AU283" s="175">
        <v>259.99949520151449</v>
      </c>
      <c r="AV283" s="175"/>
      <c r="AW283" s="175">
        <v>1649.1495887942831</v>
      </c>
      <c r="AX283" s="1"/>
      <c r="AY283" s="171">
        <v>-5.8533475516742151E-3</v>
      </c>
      <c r="AZ283" s="171">
        <v>-1.659591880606448E-2</v>
      </c>
      <c r="BA283" s="171">
        <v>-1.4811841745148713E-2</v>
      </c>
      <c r="BB283" s="171">
        <f t="shared" si="89"/>
        <v>-8.1218593665877137E-3</v>
      </c>
      <c r="BC283" s="171"/>
      <c r="BD283" s="1"/>
      <c r="BE283" s="179">
        <f>AM283/'2017-18 disagg'!AM283-1</f>
        <v>2.2891995364592299E-2</v>
      </c>
      <c r="BF283" s="179">
        <f>AN283/'2017-18 disagg'!AN283-1</f>
        <v>2.6307501918394038E-2</v>
      </c>
      <c r="BG283" s="179">
        <f>AO283/'2017-18 disagg'!AO283-1</f>
        <v>4.4665325172994486E-2</v>
      </c>
      <c r="BH283" s="179">
        <f>AQ283/'2017-18 disagg'!AQ283-1</f>
        <v>2.6532035317042846E-2</v>
      </c>
      <c r="BI283" s="1"/>
      <c r="BJ283" s="179">
        <f>AS283/'2017-18 disagg'!AS283-1</f>
        <v>1.5465984664533972E-2</v>
      </c>
      <c r="BK283" s="179">
        <f>AT283/'2017-18 disagg'!AT283-1</f>
        <v>1.8856695259104495E-2</v>
      </c>
      <c r="BL283" s="179">
        <f>AU283/'2017-18 disagg'!AU283-1</f>
        <v>3.7081244040411354E-2</v>
      </c>
      <c r="BM283" s="179">
        <f>AW283/'2017-18 disagg'!AW283-1</f>
        <v>1.9079598585929336E-2</v>
      </c>
    </row>
    <row r="284" spans="2:65" ht="15" x14ac:dyDescent="0.25">
      <c r="B284" t="s">
        <v>558</v>
      </c>
      <c r="D284" s="55">
        <v>8685324.6037643794</v>
      </c>
      <c r="E284" s="166">
        <v>1667.4962212626942</v>
      </c>
      <c r="F284" s="171">
        <f>VLOOKUP(B284,'2018-19'!$B$12:$AMX492,33,FALSE)</f>
        <v>2.2677343846995157E-2</v>
      </c>
      <c r="G284" s="171">
        <f>VLOOKUP(B284,'2018-19'!$B$12:$AMX492,34,FALSE)</f>
        <v>1.6710895726813391E-2</v>
      </c>
      <c r="I284" s="175">
        <v>8610879.0868654512</v>
      </c>
      <c r="J284" s="175">
        <v>1653.2034200396856</v>
      </c>
      <c r="K284" s="171">
        <f t="shared" si="88"/>
        <v>8.6455187847758186E-3</v>
      </c>
      <c r="L284" s="170">
        <f t="shared" si="88"/>
        <v>8.6455187847758186E-3</v>
      </c>
      <c r="N284" s="55">
        <v>6703229</v>
      </c>
      <c r="O284" s="55">
        <v>688397</v>
      </c>
      <c r="P284" s="55">
        <v>1287111</v>
      </c>
      <c r="R284" s="55">
        <v>1287111</v>
      </c>
      <c r="S284" s="55">
        <v>6587.60376437995</v>
      </c>
      <c r="U284" s="171">
        <v>1.0743667891962128E-2</v>
      </c>
      <c r="V284" s="171">
        <v>8.6536131109140602E-3</v>
      </c>
      <c r="AA284" s="55">
        <v>1244.7620732382929</v>
      </c>
      <c r="AB284" s="55">
        <v>0</v>
      </c>
      <c r="AC284" s="55">
        <v>5342.8416911416571</v>
      </c>
      <c r="AE284" s="55">
        <v>0</v>
      </c>
      <c r="AF284" s="55">
        <v>0</v>
      </c>
      <c r="AG284" s="55">
        <v>5342.8416911416571</v>
      </c>
      <c r="AI284" s="55">
        <v>4849.5472039183232</v>
      </c>
      <c r="AJ284" s="55">
        <v>493.29448722333325</v>
      </c>
      <c r="AK284" s="55">
        <v>0</v>
      </c>
      <c r="AM284" s="55">
        <v>6709324</v>
      </c>
      <c r="AN284" s="55">
        <v>688890</v>
      </c>
      <c r="AO284" s="55">
        <v>1287111</v>
      </c>
      <c r="AP284" s="55"/>
      <c r="AQ284" s="55">
        <v>8685325</v>
      </c>
      <c r="AR284" s="1"/>
      <c r="AS284" s="175">
        <v>1288.1236945799492</v>
      </c>
      <c r="AT284" s="175">
        <v>132.26005063389115</v>
      </c>
      <c r="AU284" s="175">
        <v>247.11255212216503</v>
      </c>
      <c r="AV284" s="175"/>
      <c r="AW284" s="175">
        <v>1667.4962973360052</v>
      </c>
      <c r="AX284" s="1"/>
      <c r="AY284" s="171">
        <v>1.1662699996609405E-2</v>
      </c>
      <c r="AZ284" s="171">
        <v>9.3759669725139716E-3</v>
      </c>
      <c r="BA284" s="171">
        <v>-7.1735443016871514E-3</v>
      </c>
      <c r="BB284" s="171">
        <f t="shared" si="89"/>
        <v>8.6455648004748475E-3</v>
      </c>
      <c r="BC284" s="171"/>
      <c r="BD284" s="1"/>
      <c r="BE284" s="179">
        <f>AM284/'2017-18 disagg'!AM284-1</f>
        <v>1.9004758821620227E-2</v>
      </c>
      <c r="BF284" s="179">
        <f>AN284/'2017-18 disagg'!AN284-1</f>
        <v>2.0774371360410049E-2</v>
      </c>
      <c r="BG284" s="179">
        <f>AO284/'2017-18 disagg'!AO284-1</f>
        <v>4.3319561405855245E-2</v>
      </c>
      <c r="BH284" s="179">
        <f>AQ284/'2017-18 disagg'!AQ284-1</f>
        <v>2.2677390502844119E-2</v>
      </c>
      <c r="BI284" s="1"/>
      <c r="BJ284" s="179">
        <f>AS284/'2017-18 disagg'!AS284-1</f>
        <v>1.3059737095748369E-2</v>
      </c>
      <c r="BK284" s="179">
        <f>AT284/'2017-18 disagg'!AT284-1</f>
        <v>1.4819025458033153E-2</v>
      </c>
      <c r="BL284" s="179">
        <f>AU284/'2017-18 disagg'!AU284-1</f>
        <v>3.7232683591115867E-2</v>
      </c>
      <c r="BM284" s="179">
        <f>AW284/'2017-18 disagg'!AW284-1</f>
        <v>1.6710942110465199E-2</v>
      </c>
    </row>
    <row r="285" spans="2:65" ht="15" x14ac:dyDescent="0.25">
      <c r="B285" t="s">
        <v>559</v>
      </c>
      <c r="D285" s="55">
        <v>7946044.6526782187</v>
      </c>
      <c r="E285" s="166">
        <v>1650.6010803093163</v>
      </c>
      <c r="F285" s="171">
        <f>VLOOKUP(B285,'2018-19'!$B$12:$AMX493,33,FALSE)</f>
        <v>2.4446784785286946E-2</v>
      </c>
      <c r="G285" s="171">
        <f>VLOOKUP(B285,'2018-19'!$B$12:$AMX493,34,FALSE)</f>
        <v>1.8709139619106363E-2</v>
      </c>
      <c r="I285" s="175">
        <v>7954985.9686068129</v>
      </c>
      <c r="J285" s="175">
        <v>1652.4584252370407</v>
      </c>
      <c r="K285" s="171">
        <f t="shared" si="88"/>
        <v>-1.1239889000281833E-3</v>
      </c>
      <c r="L285" s="170">
        <f t="shared" si="88"/>
        <v>-1.1239889000281833E-3</v>
      </c>
      <c r="N285" s="55">
        <v>6102390</v>
      </c>
      <c r="O285" s="55">
        <v>618251</v>
      </c>
      <c r="P285" s="55">
        <v>1217613</v>
      </c>
      <c r="R285" s="55">
        <v>1217613</v>
      </c>
      <c r="S285" s="55">
        <v>7790.6526782195433</v>
      </c>
      <c r="U285" s="171">
        <v>-1.0703138810339574E-3</v>
      </c>
      <c r="V285" s="171">
        <v>-1.8729945879830678E-3</v>
      </c>
      <c r="AA285" s="55">
        <v>5000.524132606457</v>
      </c>
      <c r="AB285" s="55">
        <v>0</v>
      </c>
      <c r="AC285" s="55">
        <v>2790.1285456130863</v>
      </c>
      <c r="AE285" s="55">
        <v>0</v>
      </c>
      <c r="AF285" s="55">
        <v>158.91198981093291</v>
      </c>
      <c r="AG285" s="55">
        <v>2631.2165558021534</v>
      </c>
      <c r="AI285" s="55">
        <v>2390.3272112123423</v>
      </c>
      <c r="AJ285" s="55">
        <v>240.8893445898114</v>
      </c>
      <c r="AK285" s="55">
        <v>0</v>
      </c>
      <c r="AM285" s="55">
        <v>6109781</v>
      </c>
      <c r="AN285" s="55">
        <v>618651</v>
      </c>
      <c r="AO285" s="55">
        <v>1217613</v>
      </c>
      <c r="AP285" s="55"/>
      <c r="AQ285" s="55">
        <v>7946045</v>
      </c>
      <c r="AR285" s="1"/>
      <c r="AS285" s="175">
        <v>1269.1611436709261</v>
      </c>
      <c r="AT285" s="175">
        <v>128.50997616660271</v>
      </c>
      <c r="AU285" s="175">
        <v>252.93003261959589</v>
      </c>
      <c r="AV285" s="175"/>
      <c r="AW285" s="175">
        <v>1650.6011524571247</v>
      </c>
      <c r="AX285" s="1"/>
      <c r="AY285" s="171">
        <v>1.3955459838244089E-4</v>
      </c>
      <c r="AZ285" s="171">
        <v>-1.2272199719051136E-3</v>
      </c>
      <c r="BA285" s="171">
        <v>-7.3642610783075657E-3</v>
      </c>
      <c r="BB285" s="171">
        <f t="shared" si="89"/>
        <v>-1.1239452391365035E-3</v>
      </c>
      <c r="BC285" s="171"/>
      <c r="BD285" s="1"/>
      <c r="BE285" s="179">
        <f>AM285/'2017-18 disagg'!AM285-1</f>
        <v>2.0989011191008933E-2</v>
      </c>
      <c r="BF285" s="179">
        <f>AN285/'2017-18 disagg'!AN285-1</f>
        <v>2.2545044635552181E-2</v>
      </c>
      <c r="BG285" s="179">
        <f>AO285/'2017-18 disagg'!AO285-1</f>
        <v>4.3160117714085011E-2</v>
      </c>
      <c r="BH285" s="179">
        <f>AQ285/'2017-18 disagg'!AQ285-1</f>
        <v>2.4446829563877781E-2</v>
      </c>
      <c r="BI285" s="1"/>
      <c r="BJ285" s="179">
        <f>AS285/'2017-18 disagg'!AS285-1</f>
        <v>1.5270732065352455E-2</v>
      </c>
      <c r="BK285" s="179">
        <f>AT285/'2017-18 disagg'!AT285-1</f>
        <v>1.6818050593802258E-2</v>
      </c>
      <c r="BL285" s="179">
        <f>AU285/'2017-18 disagg'!AU285-1</f>
        <v>3.731766430816319E-2</v>
      </c>
      <c r="BM285" s="179">
        <f>AW285/'2017-18 disagg'!AW285-1</f>
        <v>1.87091841469047E-2</v>
      </c>
    </row>
    <row r="286" spans="2:65" ht="15" x14ac:dyDescent="0.25">
      <c r="B286" t="s">
        <v>560</v>
      </c>
      <c r="D286" s="55">
        <v>8510331.3417323232</v>
      </c>
      <c r="E286" s="166">
        <v>1649.8006399456513</v>
      </c>
      <c r="F286" s="171">
        <f>VLOOKUP(B286,'2018-19'!$B$12:$AMX494,33,FALSE)</f>
        <v>2.3790760922685061E-2</v>
      </c>
      <c r="G286" s="171">
        <f>VLOOKUP(B286,'2018-19'!$B$12:$AMX494,34,FALSE)</f>
        <v>1.8913001320933986E-2</v>
      </c>
      <c r="I286" s="175">
        <v>8588457.7140342183</v>
      </c>
      <c r="J286" s="175">
        <v>1664.9461065373273</v>
      </c>
      <c r="K286" s="171">
        <f t="shared" si="88"/>
        <v>-9.0966707764340571E-3</v>
      </c>
      <c r="L286" s="170">
        <f t="shared" si="88"/>
        <v>-9.0966707764341681E-3</v>
      </c>
      <c r="N286" s="55">
        <v>6574534</v>
      </c>
      <c r="O286" s="55">
        <v>677035</v>
      </c>
      <c r="P286" s="55">
        <v>1252181</v>
      </c>
      <c r="R286" s="55">
        <v>1252181</v>
      </c>
      <c r="S286" s="55">
        <v>6581.3417323241883</v>
      </c>
      <c r="U286" s="171">
        <v>-1.1191737461331397E-2</v>
      </c>
      <c r="V286" s="171">
        <v>3.5071796145265122E-3</v>
      </c>
      <c r="AA286" s="55">
        <v>3316.5291178378684</v>
      </c>
      <c r="AB286" s="55">
        <v>0</v>
      </c>
      <c r="AC286" s="55">
        <v>3264.8126144863199</v>
      </c>
      <c r="AE286" s="55">
        <v>0</v>
      </c>
      <c r="AF286" s="55">
        <v>0</v>
      </c>
      <c r="AG286" s="55">
        <v>3264.8126144863199</v>
      </c>
      <c r="AI286" s="55">
        <v>2962.3461282457438</v>
      </c>
      <c r="AJ286" s="55">
        <v>302.46648624057627</v>
      </c>
      <c r="AK286" s="55">
        <v>0</v>
      </c>
      <c r="AM286" s="55">
        <v>6580814</v>
      </c>
      <c r="AN286" s="55">
        <v>677337</v>
      </c>
      <c r="AO286" s="55">
        <v>1252181</v>
      </c>
      <c r="AP286" s="55"/>
      <c r="AQ286" s="55">
        <v>8510332</v>
      </c>
      <c r="AR286" s="1"/>
      <c r="AS286" s="175">
        <v>1275.7471727714535</v>
      </c>
      <c r="AT286" s="175">
        <v>131.30758030290752</v>
      </c>
      <c r="AU286" s="175">
        <v>242.74601448211899</v>
      </c>
      <c r="AV286" s="175"/>
      <c r="AW286" s="175">
        <v>1649.80076755648</v>
      </c>
      <c r="AX286" s="1"/>
      <c r="AY286" s="171">
        <v>-1.024722703842651E-2</v>
      </c>
      <c r="AZ286" s="171">
        <v>3.9548066474621724E-3</v>
      </c>
      <c r="BA286" s="171">
        <v>-1.0009653555996589E-2</v>
      </c>
      <c r="BB286" s="171">
        <f t="shared" si="89"/>
        <v>-9.0965941308128739E-3</v>
      </c>
      <c r="BC286" s="171"/>
      <c r="BD286" s="1"/>
      <c r="BE286" s="179">
        <f>AM286/'2017-18 disagg'!AM286-1</f>
        <v>2.0843258047957836E-2</v>
      </c>
      <c r="BF286" s="179">
        <f>AN286/'2017-18 disagg'!AN286-1</f>
        <v>1.9232389745935663E-2</v>
      </c>
      <c r="BG286" s="179">
        <f>AO286/'2017-18 disagg'!AO286-1</f>
        <v>4.2125929205601986E-2</v>
      </c>
      <c r="BH286" s="179">
        <f>AQ286/'2017-18 disagg'!AQ286-1</f>
        <v>2.379084011212429E-2</v>
      </c>
      <c r="BI286" s="1"/>
      <c r="BJ286" s="179">
        <f>AS286/'2017-18 disagg'!AS286-1</f>
        <v>1.5979541560285693E-2</v>
      </c>
      <c r="BK286" s="179">
        <f>AT286/'2017-18 disagg'!AT286-1</f>
        <v>1.4376348096352798E-2</v>
      </c>
      <c r="BL286" s="179">
        <f>AU286/'2017-18 disagg'!AU286-1</f>
        <v>3.716081333286736E-2</v>
      </c>
      <c r="BM286" s="179">
        <f>AW286/'2017-18 disagg'!AW286-1</f>
        <v>1.8913080133082127E-2</v>
      </c>
    </row>
    <row r="287" spans="2:65" ht="15" x14ac:dyDescent="0.25">
      <c r="B287" t="s">
        <v>561</v>
      </c>
      <c r="D287" s="55">
        <v>9983604.9677554704</v>
      </c>
      <c r="E287" s="166">
        <v>1672.099698621204</v>
      </c>
      <c r="F287" s="171">
        <f>VLOOKUP(B287,'2018-19'!$B$12:$AMX495,33,FALSE)</f>
        <v>2.389384965122443E-2</v>
      </c>
      <c r="G287" s="171">
        <f>VLOOKUP(B287,'2018-19'!$B$12:$AMX495,34,FALSE)</f>
        <v>1.8512427512973995E-2</v>
      </c>
      <c r="I287" s="175">
        <v>9958454.3483035285</v>
      </c>
      <c r="J287" s="175">
        <v>1667.8873581548539</v>
      </c>
      <c r="K287" s="171">
        <f t="shared" si="88"/>
        <v>2.5255545260622903E-3</v>
      </c>
      <c r="L287" s="170">
        <f t="shared" si="88"/>
        <v>2.5255545260622903E-3</v>
      </c>
      <c r="N287" s="55">
        <v>7647912</v>
      </c>
      <c r="O287" s="55">
        <v>805963</v>
      </c>
      <c r="P287" s="55">
        <v>1522190</v>
      </c>
      <c r="R287" s="55">
        <v>1522190</v>
      </c>
      <c r="S287" s="55">
        <v>7539.9677554713853</v>
      </c>
      <c r="U287" s="171">
        <v>-6.6712519713341134E-4</v>
      </c>
      <c r="V287" s="171">
        <v>3.131120252570585E-2</v>
      </c>
      <c r="AA287" s="55">
        <v>2727.876767937385</v>
      </c>
      <c r="AB287" s="55">
        <v>0</v>
      </c>
      <c r="AC287" s="55">
        <v>4812.0909875340003</v>
      </c>
      <c r="AE287" s="55">
        <v>0</v>
      </c>
      <c r="AF287" s="55">
        <v>0</v>
      </c>
      <c r="AG287" s="55">
        <v>4812.0909875340003</v>
      </c>
      <c r="AI287" s="55">
        <v>4366.1572152905983</v>
      </c>
      <c r="AJ287" s="55">
        <v>445.93377224340179</v>
      </c>
      <c r="AK287" s="55">
        <v>0</v>
      </c>
      <c r="AM287" s="55">
        <v>7655006</v>
      </c>
      <c r="AN287" s="55">
        <v>806409</v>
      </c>
      <c r="AO287" s="55">
        <v>1522190</v>
      </c>
      <c r="AP287" s="55"/>
      <c r="AQ287" s="55">
        <v>9983605</v>
      </c>
      <c r="AR287" s="1"/>
      <c r="AS287" s="175">
        <v>1282.0953219687747</v>
      </c>
      <c r="AT287" s="175">
        <v>135.06105762601854</v>
      </c>
      <c r="AU287" s="175">
        <v>254.94332442687167</v>
      </c>
      <c r="AV287" s="175"/>
      <c r="AW287" s="175">
        <v>1672.0997040216648</v>
      </c>
      <c r="AX287" s="1"/>
      <c r="AY287" s="171">
        <v>2.5982942967872624E-4</v>
      </c>
      <c r="AZ287" s="171">
        <v>3.1881904650153725E-2</v>
      </c>
      <c r="BA287" s="171">
        <v>-1.1505209290338936E-3</v>
      </c>
      <c r="BB287" s="171">
        <f t="shared" si="89"/>
        <v>2.5255577639673454E-3</v>
      </c>
      <c r="BC287" s="171"/>
      <c r="BD287" s="1"/>
      <c r="BE287" s="179">
        <f>AM287/'2017-18 disagg'!AM287-1</f>
        <v>2.0768318576541933E-2</v>
      </c>
      <c r="BF287" s="179">
        <f>AN287/'2017-18 disagg'!AN287-1</f>
        <v>1.8791335822168298E-2</v>
      </c>
      <c r="BG287" s="179">
        <f>AO287/'2017-18 disagg'!AO287-1</f>
        <v>4.2716588427016644E-2</v>
      </c>
      <c r="BH287" s="179">
        <f>AQ287/'2017-18 disagg'!AQ287-1</f>
        <v>2.3893852958143613E-2</v>
      </c>
      <c r="BI287" s="1"/>
      <c r="BJ287" s="179">
        <f>AS287/'2017-18 disagg'!AS287-1</f>
        <v>1.5403323729191731E-2</v>
      </c>
      <c r="BK287" s="179">
        <f>AT287/'2017-18 disagg'!AT287-1</f>
        <v>1.3436731679640435E-2</v>
      </c>
      <c r="BL287" s="179">
        <f>AU287/'2017-18 disagg'!AU287-1</f>
        <v>3.7236236987466809E-2</v>
      </c>
      <c r="BM287" s="179">
        <f>AW287/'2017-18 disagg'!AW287-1</f>
        <v>1.8512430802512636E-2</v>
      </c>
    </row>
    <row r="288" spans="2:65" ht="15" x14ac:dyDescent="0.25">
      <c r="B288" t="s">
        <v>562</v>
      </c>
      <c r="D288" s="55">
        <v>9950211.0974920671</v>
      </c>
      <c r="E288" s="166">
        <v>1725.8269584076536</v>
      </c>
      <c r="F288" s="171">
        <f>VLOOKUP(B288,'2018-19'!$B$12:$AMX496,33,FALSE)</f>
        <v>2.2881643949965058E-2</v>
      </c>
      <c r="G288" s="171">
        <f>VLOOKUP(B288,'2018-19'!$B$12:$AMX496,34,FALSE)</f>
        <v>1.7125706031258403E-2</v>
      </c>
      <c r="I288" s="175">
        <v>9931231.5226409454</v>
      </c>
      <c r="J288" s="175">
        <v>1722.5350220239684</v>
      </c>
      <c r="K288" s="171">
        <f t="shared" si="88"/>
        <v>1.9110998276350433E-3</v>
      </c>
      <c r="L288" s="170">
        <f t="shared" si="88"/>
        <v>1.9110998276350433E-3</v>
      </c>
      <c r="N288" s="55">
        <v>7717277</v>
      </c>
      <c r="O288" s="55">
        <v>796323</v>
      </c>
      <c r="P288" s="55">
        <v>1431248</v>
      </c>
      <c r="R288" s="55">
        <v>1431248</v>
      </c>
      <c r="S288" s="55">
        <v>5363.0974920669687</v>
      </c>
      <c r="U288" s="171">
        <v>5.1685236246536981E-3</v>
      </c>
      <c r="V288" s="171">
        <v>2.5803607307866239E-2</v>
      </c>
      <c r="AA288" s="55">
        <v>2115.9581016851444</v>
      </c>
      <c r="AB288" s="55">
        <v>0</v>
      </c>
      <c r="AC288" s="55">
        <v>3247.1393903818243</v>
      </c>
      <c r="AE288" s="55">
        <v>0</v>
      </c>
      <c r="AF288" s="55">
        <v>220.99577199479134</v>
      </c>
      <c r="AG288" s="55">
        <v>3026.1436183870333</v>
      </c>
      <c r="AI288" s="55">
        <v>2752.0300616797185</v>
      </c>
      <c r="AJ288" s="55">
        <v>274.11355670731484</v>
      </c>
      <c r="AK288" s="55">
        <v>0</v>
      </c>
      <c r="AM288" s="55">
        <v>7722145</v>
      </c>
      <c r="AN288" s="55">
        <v>796819</v>
      </c>
      <c r="AO288" s="55">
        <v>1431248</v>
      </c>
      <c r="AP288" s="55"/>
      <c r="AQ288" s="55">
        <v>9950212</v>
      </c>
      <c r="AR288" s="1"/>
      <c r="AS288" s="175">
        <v>1339.3772139258369</v>
      </c>
      <c r="AT288" s="175">
        <v>138.20528003853482</v>
      </c>
      <c r="AU288" s="175">
        <v>248.2446209799125</v>
      </c>
      <c r="AV288" s="175"/>
      <c r="AW288" s="175">
        <v>1725.8271149442844</v>
      </c>
      <c r="AX288" s="1"/>
      <c r="AY288" s="171">
        <v>5.8025763317166579E-3</v>
      </c>
      <c r="AZ288" s="171">
        <v>2.6442542249121015E-2</v>
      </c>
      <c r="BA288" s="171">
        <v>-3.1202258961530394E-2</v>
      </c>
      <c r="BB288" s="171">
        <f t="shared" si="89"/>
        <v>1.9111907033668718E-3</v>
      </c>
      <c r="BC288" s="171"/>
      <c r="BD288" s="1"/>
      <c r="BE288" s="179">
        <f>AM288/'2017-18 disagg'!AM288-1</f>
        <v>1.9717334169304435E-2</v>
      </c>
      <c r="BF288" s="179">
        <f>AN288/'2017-18 disagg'!AN288-1</f>
        <v>1.7890584481115468E-2</v>
      </c>
      <c r="BG288" s="179">
        <f>AO288/'2017-18 disagg'!AO288-1</f>
        <v>4.3195839018530746E-2</v>
      </c>
      <c r="BH288" s="179">
        <f>AQ288/'2017-18 disagg'!AQ288-1</f>
        <v>2.2881736727775381E-2</v>
      </c>
      <c r="BI288" s="1"/>
      <c r="BJ288" s="179">
        <f>AS288/'2017-18 disagg'!AS288-1</f>
        <v>1.3979202387564449E-2</v>
      </c>
      <c r="BK288" s="179">
        <f>AT288/'2017-18 disagg'!AT288-1</f>
        <v>1.2162732146524302E-2</v>
      </c>
      <c r="BL288" s="179">
        <f>AU288/'2017-18 disagg'!AU288-1</f>
        <v>3.7325589491658429E-2</v>
      </c>
      <c r="BM288" s="179">
        <f>AW288/'2017-18 disagg'!AW288-1</f>
        <v>1.7125798286991456E-2</v>
      </c>
    </row>
    <row r="289" spans="2:65" ht="15" x14ac:dyDescent="0.25">
      <c r="B289"/>
      <c r="D289" s="1"/>
      <c r="N289" s="1"/>
      <c r="O289" s="1"/>
      <c r="P289" s="1"/>
      <c r="R289" s="1"/>
      <c r="S289" s="1"/>
      <c r="AA289" s="1"/>
      <c r="AB289" s="1"/>
      <c r="AC289" s="1"/>
      <c r="AE289" s="1"/>
      <c r="AF289" s="1"/>
      <c r="AG289" s="1"/>
      <c r="AI289" s="1"/>
      <c r="AJ289" s="1"/>
      <c r="AK289" s="1"/>
      <c r="AM289" s="1"/>
      <c r="AN289" s="1"/>
      <c r="AO289" s="1"/>
      <c r="AP289" s="1"/>
      <c r="AR289" s="1"/>
      <c r="AV289" s="64"/>
      <c r="AX289" s="1"/>
      <c r="BA289" s="64"/>
      <c r="BD289" s="1"/>
      <c r="BE289" s="179"/>
      <c r="BF289" s="179"/>
      <c r="BG289" s="179"/>
      <c r="BH289" s="179"/>
      <c r="BI289" s="1"/>
      <c r="BJ289" s="179"/>
      <c r="BK289" s="179"/>
    </row>
    <row r="290" spans="2:65" ht="15" x14ac:dyDescent="0.25">
      <c r="B290" t="s">
        <v>12</v>
      </c>
      <c r="D290" s="172">
        <f>SUM(D279:D288)</f>
        <v>97246518.423480049</v>
      </c>
      <c r="E290" s="166">
        <v>1659.7174943080554</v>
      </c>
      <c r="F290" s="171">
        <f>VLOOKUP(B290,'2018-19'!$B$12:$AMX498,33,FALSE)</f>
        <v>2.5486443052915808E-2</v>
      </c>
      <c r="G290" s="171">
        <f>VLOOKUP(B290,'2018-19'!$B$12:$AMX498,34,FALSE)</f>
        <v>1.8162052357029168E-2</v>
      </c>
      <c r="I290" s="175">
        <f>SUM(I279:I288)</f>
        <v>97246569.278791651</v>
      </c>
      <c r="J290" s="175">
        <v>1659.7183622614971</v>
      </c>
      <c r="K290" s="171">
        <f t="shared" ref="K290:L290" si="90">D290/I290-1</f>
        <v>-5.2295224373111182E-7</v>
      </c>
      <c r="L290" s="170">
        <f t="shared" si="90"/>
        <v>-5.2295224384213412E-7</v>
      </c>
      <c r="N290" s="172">
        <f>SUM(N279:N288)</f>
        <v>73508656</v>
      </c>
      <c r="O290" s="172">
        <f>SUM(O279:O288)</f>
        <v>7755210</v>
      </c>
      <c r="P290" s="172">
        <f>SUM(P279:P288)</f>
        <v>15885992</v>
      </c>
      <c r="R290" s="172">
        <f>SUM(R279:R288)</f>
        <v>15885992</v>
      </c>
      <c r="S290" s="172">
        <f>SUM(S279:S288)</f>
        <v>96660.423480058176</v>
      </c>
      <c r="U290" s="171">
        <v>-5.3937298234774111E-4</v>
      </c>
      <c r="V290" s="171">
        <v>-7.2060423734240375E-3</v>
      </c>
      <c r="AA290" s="172">
        <f>SUM(AA279:AA288)</f>
        <v>21727.827935442518</v>
      </c>
      <c r="AB290" s="172">
        <f>SUM(AB279:AB288)</f>
        <v>0</v>
      </c>
      <c r="AC290" s="172">
        <f>SUM(AC279:AC288)</f>
        <v>74932.595544615659</v>
      </c>
      <c r="AE290" s="172">
        <f>SUM(AE279:AE288)</f>
        <v>0</v>
      </c>
      <c r="AF290" s="172">
        <f>SUM(AF279:AF288)</f>
        <v>1242.6628694138328</v>
      </c>
      <c r="AG290" s="172">
        <f>SUM(AG279:AG288)</f>
        <v>73689.932675201839</v>
      </c>
      <c r="AI290" s="172">
        <f>SUM(AI279:AI288)</f>
        <v>66726.859276329618</v>
      </c>
      <c r="AJ290" s="172">
        <f>SUM(AJ279:AJ288)</f>
        <v>6963.0733988722168</v>
      </c>
      <c r="AK290" s="172">
        <f>SUM(AK279:AK288)</f>
        <v>0</v>
      </c>
      <c r="AM290" s="172">
        <f>SUM(AM279:AM288)</f>
        <v>73597110</v>
      </c>
      <c r="AN290" s="172">
        <f>SUM(AN279:AN288)</f>
        <v>7763415</v>
      </c>
      <c r="AO290" s="172">
        <f>SUM(AO279:AO288)</f>
        <v>15885992</v>
      </c>
      <c r="AP290" s="172"/>
      <c r="AQ290" s="172">
        <f>SUM(AQ279:AQ288)</f>
        <v>97246517</v>
      </c>
      <c r="AR290" s="1"/>
      <c r="AS290" s="175">
        <v>1256.0903256771121</v>
      </c>
      <c r="AT290" s="175">
        <v>132.499095082899</v>
      </c>
      <c r="AU290" s="175">
        <v>271.128049253347</v>
      </c>
      <c r="AV290" s="175"/>
      <c r="AW290" s="175">
        <v>1659.717470013358</v>
      </c>
      <c r="AX290" s="1"/>
      <c r="AY290" s="171">
        <v>6.6329205212412035E-4</v>
      </c>
      <c r="AZ290" s="171">
        <v>-6.1556679254947122E-3</v>
      </c>
      <c r="BA290" s="171">
        <v>-4.7290929741095056E-5</v>
      </c>
      <c r="BB290" s="171">
        <f t="shared" ref="BB290" si="91">SUM(AM290:AO290)/I290-1</f>
        <v>-5.3759008711296019E-7</v>
      </c>
      <c r="BC290" s="171"/>
      <c r="BD290" s="1"/>
      <c r="BE290" s="179">
        <f>AM290/'2017-18 disagg'!AM290-1</f>
        <v>2.1454070318438045E-2</v>
      </c>
      <c r="BF290" s="179">
        <f>AN290/'2017-18 disagg'!AN290-1</f>
        <v>2.4850808549938153E-2</v>
      </c>
      <c r="BG290" s="179">
        <f>AO290/'2017-18 disagg'!AO290-1</f>
        <v>4.4913408167746027E-2</v>
      </c>
      <c r="BH290" s="179">
        <f>AQ290/'2017-18 disagg'!AQ290-1</f>
        <v>2.5486428041997966E-2</v>
      </c>
      <c r="BI290" s="1"/>
      <c r="BJ290" s="179">
        <f>AS290/'2017-18 disagg'!AS290-1</f>
        <v>1.4158480269833351E-2</v>
      </c>
      <c r="BK290" s="179">
        <f>AT290/'2017-18 disagg'!AT290-1</f>
        <v>1.7530957782854184E-2</v>
      </c>
      <c r="BL290" s="179">
        <f>AU290/'2017-18 disagg'!AU290-1</f>
        <v>3.7450263143608442E-2</v>
      </c>
      <c r="BM290" s="179">
        <f>AW290/'2017-18 disagg'!AW290-1</f>
        <v>1.8162037453324675E-2</v>
      </c>
    </row>
    <row r="291" spans="2:65" ht="15" x14ac:dyDescent="0.25">
      <c r="B291"/>
      <c r="D291" s="1"/>
      <c r="N291" s="1"/>
      <c r="O291" s="1"/>
      <c r="P291" s="1"/>
      <c r="R291" s="1"/>
      <c r="S291" s="1"/>
      <c r="AA291" s="1"/>
      <c r="AB291" s="1"/>
      <c r="AC291" s="1"/>
      <c r="AE291" s="1"/>
      <c r="AF291" s="1"/>
      <c r="AG291" s="1"/>
      <c r="AI291" s="1"/>
      <c r="AJ291" s="1"/>
      <c r="AK291" s="1"/>
      <c r="AM291" s="1"/>
      <c r="AN291" s="1"/>
      <c r="AO291" s="1"/>
      <c r="AP291" s="1"/>
      <c r="AR291" s="1"/>
      <c r="AV291" s="64"/>
      <c r="AX291" s="1"/>
      <c r="BA291" s="64"/>
      <c r="BD291" s="1"/>
      <c r="BE291" s="179"/>
      <c r="BF291" s="179"/>
      <c r="BG291" s="179"/>
      <c r="BH291" s="179"/>
      <c r="BI291" s="1"/>
      <c r="BJ291" s="179"/>
      <c r="BK291" s="179"/>
    </row>
    <row r="292" spans="2:65" ht="15" x14ac:dyDescent="0.25">
      <c r="B292" s="174" t="s">
        <v>563</v>
      </c>
      <c r="D292" s="1"/>
      <c r="N292" s="1"/>
      <c r="O292" s="1"/>
      <c r="P292" s="1"/>
      <c r="R292" s="1"/>
      <c r="S292" s="1"/>
      <c r="AA292" s="1"/>
      <c r="AB292" s="1"/>
      <c r="AC292" s="1"/>
      <c r="AE292" s="1"/>
      <c r="AF292" s="1"/>
      <c r="AG292" s="1"/>
      <c r="AI292" s="1"/>
      <c r="AJ292" s="1"/>
      <c r="AK292" s="1"/>
      <c r="AM292" s="1"/>
      <c r="AN292" s="1"/>
      <c r="AO292" s="1"/>
      <c r="AP292" s="1"/>
      <c r="AR292" s="1"/>
      <c r="AV292" s="64"/>
      <c r="AX292" s="1"/>
      <c r="BA292" s="64"/>
      <c r="BD292" s="1"/>
      <c r="BE292" s="179"/>
      <c r="BF292" s="179"/>
      <c r="BG292" s="179"/>
      <c r="BH292" s="179"/>
      <c r="BI292" s="1"/>
      <c r="BJ292" s="179"/>
      <c r="BK292" s="179"/>
    </row>
    <row r="293" spans="2:65" ht="15" x14ac:dyDescent="0.25">
      <c r="B293"/>
      <c r="D293" s="1"/>
      <c r="N293" s="1"/>
      <c r="O293" s="1"/>
      <c r="P293" s="1"/>
      <c r="R293" s="1"/>
      <c r="S293" s="1"/>
      <c r="AA293" s="1"/>
      <c r="AB293" s="1"/>
      <c r="AC293" s="1"/>
      <c r="AE293" s="1"/>
      <c r="AF293" s="1"/>
      <c r="AG293" s="1"/>
      <c r="AI293" s="1"/>
      <c r="AJ293" s="1"/>
      <c r="AK293" s="1"/>
      <c r="AM293" s="1"/>
      <c r="AN293" s="1"/>
      <c r="AO293" s="1"/>
      <c r="AP293" s="1"/>
      <c r="AR293" s="1"/>
      <c r="AV293" s="64"/>
      <c r="AX293" s="1"/>
      <c r="BA293" s="64"/>
      <c r="BD293" s="1"/>
      <c r="BE293" s="179"/>
      <c r="BF293" s="179"/>
      <c r="BG293" s="179"/>
      <c r="BH293" s="179"/>
      <c r="BI293" s="1"/>
      <c r="BJ293" s="179"/>
      <c r="BK293" s="179"/>
    </row>
    <row r="294" spans="2:65" ht="15" x14ac:dyDescent="0.25">
      <c r="B294" t="s">
        <v>564</v>
      </c>
      <c r="D294" s="55">
        <v>6743647.4343809169</v>
      </c>
      <c r="E294" s="166">
        <v>1900.0359466385498</v>
      </c>
      <c r="F294" s="171">
        <f>VLOOKUP(B294,'2018-19'!$B$12:$AMX502,33,FALSE)</f>
        <v>2.0906273418703547E-2</v>
      </c>
      <c r="G294" s="171">
        <f>VLOOKUP(B294,'2018-19'!$B$12:$AMX502,34,FALSE)</f>
        <v>1.7976721288186281E-2</v>
      </c>
      <c r="I294" s="175">
        <v>6552299.1784869311</v>
      </c>
      <c r="J294" s="175">
        <v>1846.123198669017</v>
      </c>
      <c r="K294" s="171">
        <f t="shared" ref="K294:L305" si="92">D294/I294-1</f>
        <v>2.9203223278057466E-2</v>
      </c>
      <c r="L294" s="170">
        <f t="shared" si="92"/>
        <v>2.9203223278057466E-2</v>
      </c>
      <c r="N294" s="55">
        <v>5253327</v>
      </c>
      <c r="O294" s="55">
        <v>507159</v>
      </c>
      <c r="P294" s="55">
        <v>982141</v>
      </c>
      <c r="R294" s="55">
        <v>982141</v>
      </c>
      <c r="S294" s="55">
        <v>1020.4343809170532</v>
      </c>
      <c r="U294" s="171">
        <v>3.1713380265369739E-2</v>
      </c>
      <c r="V294" s="171">
        <v>1.5985227486214004E-2</v>
      </c>
      <c r="AA294" s="55">
        <v>0</v>
      </c>
      <c r="AB294" s="55">
        <v>0</v>
      </c>
      <c r="AC294" s="55">
        <v>1020.4343809170532</v>
      </c>
      <c r="AE294" s="55">
        <v>0</v>
      </c>
      <c r="AF294" s="55">
        <v>158.91198981093291</v>
      </c>
      <c r="AG294" s="55">
        <v>861.52239110612027</v>
      </c>
      <c r="AI294" s="55">
        <v>787.7518441655435</v>
      </c>
      <c r="AJ294" s="55">
        <v>73.770546940576892</v>
      </c>
      <c r="AK294" s="55">
        <v>0</v>
      </c>
      <c r="AM294" s="55">
        <v>5254115</v>
      </c>
      <c r="AN294" s="55">
        <v>507392</v>
      </c>
      <c r="AO294" s="55">
        <v>982141</v>
      </c>
      <c r="AP294" s="55"/>
      <c r="AQ294" s="55">
        <v>6743648</v>
      </c>
      <c r="AR294" s="1"/>
      <c r="AS294" s="175">
        <v>1480.3572495318726</v>
      </c>
      <c r="AT294" s="175">
        <v>142.95869533774498</v>
      </c>
      <c r="AU294" s="175">
        <v>276.7201611332228</v>
      </c>
      <c r="AV294" s="175"/>
      <c r="AW294" s="175">
        <v>1900.0361060028406</v>
      </c>
      <c r="AX294" s="1"/>
      <c r="AY294" s="171">
        <v>3.1868137458982204E-2</v>
      </c>
      <c r="AZ294" s="171">
        <v>1.6451993447193392E-2</v>
      </c>
      <c r="BA294" s="171">
        <v>2.1709386798166586E-2</v>
      </c>
      <c r="BB294" s="171">
        <f t="shared" ref="BB294:BB305" si="93">SUM(AM294:AO294)/I294-1</f>
        <v>2.9203309601814498E-2</v>
      </c>
      <c r="BC294" s="171"/>
      <c r="BD294" s="1"/>
      <c r="BE294" s="179">
        <f>AM294/'2017-18 disagg'!AM294-1</f>
        <v>1.755544916711016E-2</v>
      </c>
      <c r="BF294" s="179">
        <f>AN294/'2017-18 disagg'!AN294-1</f>
        <v>1.8984253091242076E-2</v>
      </c>
      <c r="BG294" s="179">
        <f>AO294/'2017-18 disagg'!AO294-1</f>
        <v>4.0246022053862518E-2</v>
      </c>
      <c r="BH294" s="179">
        <f>AQ294/'2017-18 disagg'!AQ294-1</f>
        <v>2.0906359046559242E-2</v>
      </c>
      <c r="BI294" s="1"/>
      <c r="BJ294" s="179">
        <f>AS294/'2017-18 disagg'!AS294-1</f>
        <v>1.463551242889749E-2</v>
      </c>
      <c r="BK294" s="179">
        <f>AT294/'2017-18 disagg'!AT294-1</f>
        <v>1.6060216313986908E-2</v>
      </c>
      <c r="BL294" s="179">
        <f>AU294/'2017-18 disagg'!AU294-1</f>
        <v>3.7260973348103299E-2</v>
      </c>
      <c r="BM294" s="179">
        <f>AW294/'2017-18 disagg'!AW294-1</f>
        <v>1.7976806670327861E-2</v>
      </c>
    </row>
    <row r="295" spans="2:65" ht="15" x14ac:dyDescent="0.25">
      <c r="B295" t="s">
        <v>565</v>
      </c>
      <c r="D295" s="55">
        <v>7758945.3449929543</v>
      </c>
      <c r="E295" s="166">
        <v>1727.4301157640987</v>
      </c>
      <c r="F295" s="171">
        <f>VLOOKUP(B295,'2018-19'!$B$12:$AMX503,33,FALSE)</f>
        <v>2.400487378981131E-2</v>
      </c>
      <c r="G295" s="171">
        <f>VLOOKUP(B295,'2018-19'!$B$12:$AMX503,34,FALSE)</f>
        <v>1.7924623007256946E-2</v>
      </c>
      <c r="I295" s="175">
        <v>7584828.7829145305</v>
      </c>
      <c r="J295" s="175">
        <v>1688.6652863170559</v>
      </c>
      <c r="K295" s="171">
        <f t="shared" si="92"/>
        <v>2.2955898816152009E-2</v>
      </c>
      <c r="L295" s="170">
        <f t="shared" si="92"/>
        <v>2.2955898816152009E-2</v>
      </c>
      <c r="N295" s="55">
        <v>5822579</v>
      </c>
      <c r="O295" s="55">
        <v>602948</v>
      </c>
      <c r="P295" s="55">
        <v>1332808</v>
      </c>
      <c r="R295" s="55">
        <v>1332808</v>
      </c>
      <c r="S295" s="55">
        <v>610.3449929546332</v>
      </c>
      <c r="U295" s="171">
        <v>2.0922180812616764E-2</v>
      </c>
      <c r="V295" s="171">
        <v>-3.5164807281146793E-2</v>
      </c>
      <c r="AA295" s="55">
        <v>610.3449929546332</v>
      </c>
      <c r="AB295" s="55">
        <v>0</v>
      </c>
      <c r="AC295" s="55">
        <v>0</v>
      </c>
      <c r="AE295" s="55">
        <v>0</v>
      </c>
      <c r="AF295" s="55">
        <v>0</v>
      </c>
      <c r="AG295" s="55">
        <v>0</v>
      </c>
      <c r="AI295" s="55">
        <v>0</v>
      </c>
      <c r="AJ295" s="55">
        <v>0</v>
      </c>
      <c r="AK295" s="55">
        <v>0</v>
      </c>
      <c r="AM295" s="55">
        <v>5823189</v>
      </c>
      <c r="AN295" s="55">
        <v>602948</v>
      </c>
      <c r="AO295" s="55">
        <v>1332808</v>
      </c>
      <c r="AP295" s="55"/>
      <c r="AQ295" s="55">
        <v>7758945</v>
      </c>
      <c r="AR295" s="1"/>
      <c r="AS295" s="175">
        <v>1296.4586810600044</v>
      </c>
      <c r="AT295" s="175">
        <v>134.23867383108595</v>
      </c>
      <c r="AU295" s="175">
        <v>296.73268406473193</v>
      </c>
      <c r="AV295" s="175"/>
      <c r="AW295" s="175">
        <v>1727.4300389558223</v>
      </c>
      <c r="AX295" s="1"/>
      <c r="AY295" s="171">
        <v>2.1029137288483435E-2</v>
      </c>
      <c r="AZ295" s="171">
        <v>-3.5164807281146793E-2</v>
      </c>
      <c r="BA295" s="171">
        <v>6.0603145620400145E-2</v>
      </c>
      <c r="BB295" s="171">
        <f t="shared" si="93"/>
        <v>2.2955853331545262E-2</v>
      </c>
      <c r="BC295" s="171"/>
      <c r="BD295" s="1"/>
      <c r="BE295" s="179">
        <f>AM295/'2017-18 disagg'!AM295-1</f>
        <v>1.9278850799083092E-2</v>
      </c>
      <c r="BF295" s="179">
        <f>AN295/'2017-18 disagg'!AN295-1</f>
        <v>2.7495982536174246E-2</v>
      </c>
      <c r="BG295" s="179">
        <f>AO295/'2017-18 disagg'!AO295-1</f>
        <v>4.3540625650838827E-2</v>
      </c>
      <c r="BH295" s="179">
        <f>AQ295/'2017-18 disagg'!AQ295-1</f>
        <v>2.4004828258563204E-2</v>
      </c>
      <c r="BI295" s="1"/>
      <c r="BJ295" s="179">
        <f>AS295/'2017-18 disagg'!AS295-1</f>
        <v>1.3226661801900352E-2</v>
      </c>
      <c r="BK295" s="179">
        <f>AT295/'2017-18 disagg'!AT295-1</f>
        <v>2.1395002539110752E-2</v>
      </c>
      <c r="BL295" s="179">
        <f>AU295/'2017-18 disagg'!AU295-1</f>
        <v>3.7344377109307603E-2</v>
      </c>
      <c r="BM295" s="179">
        <f>AW295/'2017-18 disagg'!AW295-1</f>
        <v>1.7924577746360359E-2</v>
      </c>
    </row>
    <row r="296" spans="2:65" ht="15" x14ac:dyDescent="0.25">
      <c r="B296" t="s">
        <v>566</v>
      </c>
      <c r="D296" s="55">
        <v>7543907.289727536</v>
      </c>
      <c r="E296" s="166">
        <v>1734.6884377606289</v>
      </c>
      <c r="F296" s="171">
        <f>VLOOKUP(B296,'2018-19'!$B$12:$AMX504,33,FALSE)</f>
        <v>2.2280720831615586E-2</v>
      </c>
      <c r="G296" s="171">
        <f>VLOOKUP(B296,'2018-19'!$B$12:$AMX504,34,FALSE)</f>
        <v>1.7786395079261164E-2</v>
      </c>
      <c r="I296" s="175">
        <v>7444404.9514582157</v>
      </c>
      <c r="J296" s="175">
        <v>1711.8083109116453</v>
      </c>
      <c r="K296" s="171">
        <f t="shared" si="92"/>
        <v>1.33660566449747E-2</v>
      </c>
      <c r="L296" s="170">
        <f t="shared" si="92"/>
        <v>1.33660566449747E-2</v>
      </c>
      <c r="N296" s="55">
        <v>5847531</v>
      </c>
      <c r="O296" s="55">
        <v>597521</v>
      </c>
      <c r="P296" s="55">
        <v>1097155</v>
      </c>
      <c r="R296" s="55">
        <v>1097155</v>
      </c>
      <c r="S296" s="55">
        <v>1700.289727536845</v>
      </c>
      <c r="U296" s="171">
        <v>1.3616735771764032E-2</v>
      </c>
      <c r="V296" s="171">
        <v>2.9224628282422449E-2</v>
      </c>
      <c r="AA296" s="55">
        <v>674.54031827754807</v>
      </c>
      <c r="AB296" s="55">
        <v>0</v>
      </c>
      <c r="AC296" s="55">
        <v>1025.749409259297</v>
      </c>
      <c r="AE296" s="55">
        <v>0</v>
      </c>
      <c r="AF296" s="55">
        <v>0</v>
      </c>
      <c r="AG296" s="55">
        <v>1025.749409259297</v>
      </c>
      <c r="AI296" s="55">
        <v>927.95486776258201</v>
      </c>
      <c r="AJ296" s="55">
        <v>97.794541496714857</v>
      </c>
      <c r="AK296" s="55">
        <v>0</v>
      </c>
      <c r="AM296" s="55">
        <v>5849134</v>
      </c>
      <c r="AN296" s="55">
        <v>597619</v>
      </c>
      <c r="AO296" s="55">
        <v>1097155</v>
      </c>
      <c r="AP296" s="55"/>
      <c r="AQ296" s="55">
        <v>7543908</v>
      </c>
      <c r="AR296" s="1"/>
      <c r="AS296" s="175">
        <v>1344.9827431639922</v>
      </c>
      <c r="AT296" s="175">
        <v>137.41987138385304</v>
      </c>
      <c r="AU296" s="175">
        <v>252.28598653682576</v>
      </c>
      <c r="AV296" s="175"/>
      <c r="AW296" s="175">
        <v>1734.6886010846708</v>
      </c>
      <c r="AX296" s="1"/>
      <c r="AY296" s="171">
        <v>1.3894601357674174E-2</v>
      </c>
      <c r="AZ296" s="171">
        <v>2.9393432414112519E-2</v>
      </c>
      <c r="BA296" s="171">
        <v>2.0832823638909925E-3</v>
      </c>
      <c r="BB296" s="171">
        <f t="shared" si="93"/>
        <v>1.3366152055214853E-2</v>
      </c>
      <c r="BC296" s="171"/>
      <c r="BD296" s="1"/>
      <c r="BE296" s="179">
        <f>AM296/'2017-18 disagg'!AM296-1</f>
        <v>1.9137177007648942E-2</v>
      </c>
      <c r="BF296" s="179">
        <f>AN296/'2017-18 disagg'!AN296-1</f>
        <v>1.8048665812641307E-2</v>
      </c>
      <c r="BG296" s="179">
        <f>AO296/'2017-18 disagg'!AO296-1</f>
        <v>4.1771311753261431E-2</v>
      </c>
      <c r="BH296" s="179">
        <f>AQ296/'2017-18 disagg'!AQ296-1</f>
        <v>2.2280817081187454E-2</v>
      </c>
      <c r="BI296" s="1"/>
      <c r="BJ296" s="179">
        <f>AS296/'2017-18 disagg'!AS296-1</f>
        <v>1.4656671441544811E-2</v>
      </c>
      <c r="BK296" s="179">
        <f>AT296/'2017-18 disagg'!AT296-1</f>
        <v>1.3572945746053611E-2</v>
      </c>
      <c r="BL296" s="179">
        <f>AU296/'2017-18 disagg'!AU296-1</f>
        <v>3.7191298123866234E-2</v>
      </c>
      <c r="BM296" s="179">
        <f>AW296/'2017-18 disagg'!AW296-1</f>
        <v>1.778649090568396E-2</v>
      </c>
    </row>
    <row r="297" spans="2:65" ht="15" x14ac:dyDescent="0.25">
      <c r="B297" t="s">
        <v>567</v>
      </c>
      <c r="D297" s="55">
        <v>22210495.48420459</v>
      </c>
      <c r="E297" s="166">
        <v>1615.7203930666901</v>
      </c>
      <c r="F297" s="171">
        <f>VLOOKUP(B297,'2018-19'!$B$12:$AMX505,33,FALSE)</f>
        <v>2.4784016208509785E-2</v>
      </c>
      <c r="G297" s="171">
        <f>VLOOKUP(B297,'2018-19'!$B$12:$AMX505,34,FALSE)</f>
        <v>1.8561716505189674E-2</v>
      </c>
      <c r="I297" s="175">
        <v>22424742.867205694</v>
      </c>
      <c r="J297" s="175">
        <v>1631.3059916015015</v>
      </c>
      <c r="K297" s="171">
        <f t="shared" si="92"/>
        <v>-9.5540619693982309E-3</v>
      </c>
      <c r="L297" s="170">
        <f t="shared" si="92"/>
        <v>-9.5540619693982309E-3</v>
      </c>
      <c r="N297" s="55">
        <v>17007665</v>
      </c>
      <c r="O297" s="55">
        <v>1790218</v>
      </c>
      <c r="P297" s="55">
        <v>3387071</v>
      </c>
      <c r="R297" s="55">
        <v>3387071</v>
      </c>
      <c r="S297" s="55">
        <v>25541.484204590612</v>
      </c>
      <c r="U297" s="171">
        <v>-1.2624478747220502E-2</v>
      </c>
      <c r="V297" s="171">
        <v>8.3701319493907356E-3</v>
      </c>
      <c r="AA297" s="55">
        <v>5281.4072649568116</v>
      </c>
      <c r="AB297" s="55">
        <v>0</v>
      </c>
      <c r="AC297" s="55">
        <v>20260.0769396338</v>
      </c>
      <c r="AE297" s="55">
        <v>0</v>
      </c>
      <c r="AF297" s="55">
        <v>213.23484377630555</v>
      </c>
      <c r="AG297" s="55">
        <v>20046.842095857493</v>
      </c>
      <c r="AI297" s="55">
        <v>18166.039797164707</v>
      </c>
      <c r="AJ297" s="55">
        <v>1880.8022986927876</v>
      </c>
      <c r="AK297" s="55">
        <v>0</v>
      </c>
      <c r="AM297" s="55">
        <v>17031113</v>
      </c>
      <c r="AN297" s="55">
        <v>1792312</v>
      </c>
      <c r="AO297" s="55">
        <v>3387071</v>
      </c>
      <c r="AP297" s="55"/>
      <c r="AQ297" s="55">
        <v>22210496</v>
      </c>
      <c r="AR297" s="1"/>
      <c r="AS297" s="175">
        <v>1238.9420402751848</v>
      </c>
      <c r="AT297" s="175">
        <v>130.3831808343763</v>
      </c>
      <c r="AU297" s="175">
        <v>246.39520947908164</v>
      </c>
      <c r="AV297" s="175"/>
      <c r="AW297" s="175">
        <v>1615.7204305886428</v>
      </c>
      <c r="AX297" s="1"/>
      <c r="AY297" s="171">
        <v>-1.1263211270330808E-2</v>
      </c>
      <c r="AZ297" s="171">
        <v>9.5496123569733804E-3</v>
      </c>
      <c r="BA297" s="171">
        <v>-1.0860924235793101E-2</v>
      </c>
      <c r="BB297" s="171">
        <f t="shared" si="93"/>
        <v>-9.5540389682243765E-3</v>
      </c>
      <c r="BC297" s="171"/>
      <c r="BD297" s="1"/>
      <c r="BE297" s="179">
        <f>AM297/'2017-18 disagg'!AM297-1</f>
        <v>2.1514827281408522E-2</v>
      </c>
      <c r="BF297" s="179">
        <f>AN297/'2017-18 disagg'!AN297-1</f>
        <v>2.1092834908003733E-2</v>
      </c>
      <c r="BG297" s="179">
        <f>AO297/'2017-18 disagg'!AO297-1</f>
        <v>4.3573760046536236E-2</v>
      </c>
      <c r="BH297" s="179">
        <f>AQ297/'2017-18 disagg'!AQ297-1</f>
        <v>2.4784040007118424E-2</v>
      </c>
      <c r="BI297" s="1"/>
      <c r="BJ297" s="179">
        <f>AS297/'2017-18 disagg'!AS297-1</f>
        <v>1.5312377490820817E-2</v>
      </c>
      <c r="BK297" s="179">
        <f>AT297/'2017-18 disagg'!AT297-1</f>
        <v>1.4892947377344257E-2</v>
      </c>
      <c r="BL297" s="179">
        <f>AU297/'2017-18 disagg'!AU297-1</f>
        <v>3.7237372481130571E-2</v>
      </c>
      <c r="BM297" s="179">
        <f>AW297/'2017-18 disagg'!AW297-1</f>
        <v>1.8561740159297679E-2</v>
      </c>
    </row>
    <row r="298" spans="2:65" ht="15" x14ac:dyDescent="0.25">
      <c r="B298" t="s">
        <v>568</v>
      </c>
      <c r="D298" s="55">
        <v>12764821.758432072</v>
      </c>
      <c r="E298" s="166">
        <v>1693.3198679672987</v>
      </c>
      <c r="F298" s="171">
        <f>VLOOKUP(B298,'2018-19'!$B$12:$AMX506,33,FALSE)</f>
        <v>2.5076850392507621E-2</v>
      </c>
      <c r="G298" s="171">
        <f>VLOOKUP(B298,'2018-19'!$B$12:$AMX506,34,FALSE)</f>
        <v>1.8330146311387185E-2</v>
      </c>
      <c r="I298" s="175">
        <v>12814015.37171437</v>
      </c>
      <c r="J298" s="175">
        <v>1699.8456561313983</v>
      </c>
      <c r="K298" s="171">
        <f t="shared" si="92"/>
        <v>-3.8390474691397669E-3</v>
      </c>
      <c r="L298" s="170">
        <f t="shared" si="92"/>
        <v>-3.8390474691398779E-3</v>
      </c>
      <c r="N298" s="55">
        <v>9540751</v>
      </c>
      <c r="O298" s="55">
        <v>1028464</v>
      </c>
      <c r="P298" s="55">
        <v>2189563</v>
      </c>
      <c r="R298" s="55">
        <v>2189563</v>
      </c>
      <c r="S298" s="55">
        <v>6043.7584320725</v>
      </c>
      <c r="U298" s="171">
        <v>-6.2489906408452756E-3</v>
      </c>
      <c r="V298" s="171">
        <v>-2.1047390648741393E-2</v>
      </c>
      <c r="AA298" s="55">
        <v>1298.5204999768466</v>
      </c>
      <c r="AB298" s="55">
        <v>0</v>
      </c>
      <c r="AC298" s="55">
        <v>4745.2379320956534</v>
      </c>
      <c r="AE298" s="55">
        <v>0</v>
      </c>
      <c r="AF298" s="55">
        <v>283.73948266363857</v>
      </c>
      <c r="AG298" s="55">
        <v>4461.4984494320142</v>
      </c>
      <c r="AI298" s="55">
        <v>4017.6306135132986</v>
      </c>
      <c r="AJ298" s="55">
        <v>443.86783591871557</v>
      </c>
      <c r="AK298" s="55">
        <v>0</v>
      </c>
      <c r="AM298" s="55">
        <v>9546068</v>
      </c>
      <c r="AN298" s="55">
        <v>1029192</v>
      </c>
      <c r="AO298" s="55">
        <v>2189563</v>
      </c>
      <c r="AP298" s="55"/>
      <c r="AQ298" s="55">
        <v>12764823</v>
      </c>
      <c r="AR298" s="1"/>
      <c r="AS298" s="175">
        <v>1266.3354734811728</v>
      </c>
      <c r="AT298" s="175">
        <v>136.5276612970948</v>
      </c>
      <c r="AU298" s="175">
        <v>290.45689788946163</v>
      </c>
      <c r="AV298" s="175"/>
      <c r="AW298" s="175">
        <v>1693.3200326677293</v>
      </c>
      <c r="AX298" s="1"/>
      <c r="AY298" s="171">
        <v>-5.6951795082873513E-3</v>
      </c>
      <c r="AZ298" s="171">
        <v>-2.0354437371224887E-2</v>
      </c>
      <c r="BA298" s="171">
        <v>1.2424081704016432E-2</v>
      </c>
      <c r="BB298" s="171">
        <f t="shared" si="93"/>
        <v>-3.838950577736755E-3</v>
      </c>
      <c r="BC298" s="171"/>
      <c r="BD298" s="1"/>
      <c r="BE298" s="179">
        <f>AM298/'2017-18 disagg'!AM298-1</f>
        <v>2.0705766069719411E-2</v>
      </c>
      <c r="BF298" s="179">
        <f>AN298/'2017-18 disagg'!AN298-1</f>
        <v>2.6008296256715413E-2</v>
      </c>
      <c r="BG298" s="179">
        <f>AO298/'2017-18 disagg'!AO298-1</f>
        <v>4.4126237643828503E-2</v>
      </c>
      <c r="BH298" s="179">
        <f>AQ298/'2017-18 disagg'!AQ298-1</f>
        <v>2.5076950096409867E-2</v>
      </c>
      <c r="BI298" s="1"/>
      <c r="BJ298" s="179">
        <f>AS298/'2017-18 disagg'!AS298-1</f>
        <v>1.3987830965703774E-2</v>
      </c>
      <c r="BK298" s="179">
        <f>AT298/'2017-18 disagg'!AT298-1</f>
        <v>1.9255461718536093E-2</v>
      </c>
      <c r="BL298" s="179">
        <f>AU298/'2017-18 disagg'!AU298-1</f>
        <v>3.72541570324878E-2</v>
      </c>
      <c r="BM298" s="179">
        <f>AW298/'2017-18 disagg'!AW298-1</f>
        <v>1.8330245359072572E-2</v>
      </c>
    </row>
    <row r="299" spans="2:65" ht="15" x14ac:dyDescent="0.25">
      <c r="B299" t="s">
        <v>569</v>
      </c>
      <c r="D299" s="55">
        <v>6835292.7609282183</v>
      </c>
      <c r="E299" s="166">
        <v>1747.9404445102632</v>
      </c>
      <c r="F299" s="171">
        <f>VLOOKUP(B299,'2018-19'!$B$12:$AMX507,33,FALSE)</f>
        <v>2.2051252131594756E-2</v>
      </c>
      <c r="G299" s="171">
        <f>VLOOKUP(B299,'2018-19'!$B$12:$AMX507,34,FALSE)</f>
        <v>1.7715063461552605E-2</v>
      </c>
      <c r="I299" s="175">
        <v>6753587.483559005</v>
      </c>
      <c r="J299" s="175">
        <v>1727.046539327454</v>
      </c>
      <c r="K299" s="171">
        <f t="shared" si="92"/>
        <v>1.2098055673094743E-2</v>
      </c>
      <c r="L299" s="170">
        <f t="shared" si="92"/>
        <v>1.2098055673094743E-2</v>
      </c>
      <c r="N299" s="55">
        <v>5297475</v>
      </c>
      <c r="O299" s="55">
        <v>542239</v>
      </c>
      <c r="P299" s="55">
        <v>995571</v>
      </c>
      <c r="R299" s="55">
        <v>995571</v>
      </c>
      <c r="S299" s="55">
        <v>7.7609282184857875</v>
      </c>
      <c r="U299" s="171">
        <v>1.5717325317489372E-2</v>
      </c>
      <c r="V299" s="171">
        <v>2.7725015519971752E-2</v>
      </c>
      <c r="AA299" s="55">
        <v>0</v>
      </c>
      <c r="AB299" s="55">
        <v>0</v>
      </c>
      <c r="AC299" s="55">
        <v>7.7609282184857875</v>
      </c>
      <c r="AE299" s="55">
        <v>0</v>
      </c>
      <c r="AF299" s="55">
        <v>7.7609282184857875</v>
      </c>
      <c r="AG299" s="55">
        <v>0</v>
      </c>
      <c r="AI299" s="55">
        <v>0</v>
      </c>
      <c r="AJ299" s="55">
        <v>0</v>
      </c>
      <c r="AK299" s="55">
        <v>0</v>
      </c>
      <c r="AM299" s="55">
        <v>5297475</v>
      </c>
      <c r="AN299" s="55">
        <v>542247</v>
      </c>
      <c r="AO299" s="55">
        <v>995571</v>
      </c>
      <c r="AP299" s="55"/>
      <c r="AQ299" s="55">
        <v>6835293</v>
      </c>
      <c r="AR299" s="1"/>
      <c r="AS299" s="175">
        <v>1354.6853266054641</v>
      </c>
      <c r="AT299" s="175">
        <v>138.66494023961096</v>
      </c>
      <c r="AU299" s="175">
        <v>254.59023880130221</v>
      </c>
      <c r="AV299" s="175"/>
      <c r="AW299" s="175">
        <v>1747.9405056463772</v>
      </c>
      <c r="AX299" s="1"/>
      <c r="AY299" s="171">
        <v>1.5717325317489372E-2</v>
      </c>
      <c r="AZ299" s="171">
        <v>2.774017820676522E-2</v>
      </c>
      <c r="BA299" s="171">
        <v>-1.4749729350049257E-2</v>
      </c>
      <c r="BB299" s="171">
        <f t="shared" si="93"/>
        <v>1.2098091072322736E-2</v>
      </c>
      <c r="BC299" s="171"/>
      <c r="BD299" s="1"/>
      <c r="BE299" s="179">
        <f>AM299/'2017-18 disagg'!AM299-1</f>
        <v>1.893251913236349E-2</v>
      </c>
      <c r="BF299" s="179">
        <f>AN299/'2017-18 disagg'!AN299-1</f>
        <v>1.7251632582998555E-2</v>
      </c>
      <c r="BG299" s="179">
        <f>AO299/'2017-18 disagg'!AO299-1</f>
        <v>4.1694089186929739E-2</v>
      </c>
      <c r="BH299" s="179">
        <f>AQ299/'2017-18 disagg'!AQ299-1</f>
        <v>2.2051287878946502E-2</v>
      </c>
      <c r="BI299" s="1"/>
      <c r="BJ299" s="179">
        <f>AS299/'2017-18 disagg'!AS299-1</f>
        <v>1.4609562102777751E-2</v>
      </c>
      <c r="BK299" s="179">
        <f>AT299/'2017-18 disagg'!AT299-1</f>
        <v>1.2935806938649819E-2</v>
      </c>
      <c r="BL299" s="179">
        <f>AU299/'2017-18 disagg'!AU299-1</f>
        <v>3.7274563162416063E-2</v>
      </c>
      <c r="BM299" s="179">
        <f>AW299/'2017-18 disagg'!AW299-1</f>
        <v>1.7715099057241446E-2</v>
      </c>
    </row>
    <row r="300" spans="2:65" ht="15" x14ac:dyDescent="0.25">
      <c r="B300" t="s">
        <v>570</v>
      </c>
      <c r="D300" s="55">
        <v>4020176.9859154182</v>
      </c>
      <c r="E300" s="166">
        <v>1595.1333109966752</v>
      </c>
      <c r="F300" s="171">
        <f>VLOOKUP(B300,'2018-19'!$B$12:$AMX508,33,FALSE)</f>
        <v>3.0366270347343294E-2</v>
      </c>
      <c r="G300" s="171">
        <f>VLOOKUP(B300,'2018-19'!$B$12:$AMX508,34,FALSE)</f>
        <v>1.9899651099913429E-2</v>
      </c>
      <c r="I300" s="175">
        <v>4120329.6908402876</v>
      </c>
      <c r="J300" s="175">
        <v>1634.872087764908</v>
      </c>
      <c r="K300" s="171">
        <f t="shared" si="92"/>
        <v>-2.4306963869302534E-2</v>
      </c>
      <c r="L300" s="170">
        <f t="shared" si="92"/>
        <v>-2.4306963869302534E-2</v>
      </c>
      <c r="N300" s="55">
        <v>3046682</v>
      </c>
      <c r="O300" s="55">
        <v>311911</v>
      </c>
      <c r="P300" s="55">
        <v>647471</v>
      </c>
      <c r="R300" s="55">
        <v>647471</v>
      </c>
      <c r="S300" s="55">
        <v>14112.985915418307</v>
      </c>
      <c r="U300" s="171">
        <v>-1.8005072578719861E-2</v>
      </c>
      <c r="V300" s="171">
        <v>-2.9711599817724754E-2</v>
      </c>
      <c r="AA300" s="55">
        <v>0</v>
      </c>
      <c r="AB300" s="55">
        <v>0</v>
      </c>
      <c r="AC300" s="55">
        <v>14112.985915418307</v>
      </c>
      <c r="AE300" s="55">
        <v>0</v>
      </c>
      <c r="AF300" s="55">
        <v>0</v>
      </c>
      <c r="AG300" s="55">
        <v>14112.985915418307</v>
      </c>
      <c r="AI300" s="55">
        <v>12798.531540106933</v>
      </c>
      <c r="AJ300" s="55">
        <v>1314.454375311373</v>
      </c>
      <c r="AK300" s="55">
        <v>0</v>
      </c>
      <c r="AM300" s="55">
        <v>3059480</v>
      </c>
      <c r="AN300" s="55">
        <v>313225</v>
      </c>
      <c r="AO300" s="55">
        <v>647471</v>
      </c>
      <c r="AP300" s="55"/>
      <c r="AQ300" s="55">
        <v>4020176</v>
      </c>
      <c r="AR300" s="1"/>
      <c r="AS300" s="175">
        <v>1213.9461718790074</v>
      </c>
      <c r="AT300" s="175">
        <v>124.28199879940449</v>
      </c>
      <c r="AU300" s="175">
        <v>256.90474912490771</v>
      </c>
      <c r="AV300" s="175"/>
      <c r="AW300" s="175">
        <v>1595.1329198033195</v>
      </c>
      <c r="AX300" s="1"/>
      <c r="AY300" s="171">
        <v>-1.3880070008337575E-2</v>
      </c>
      <c r="AZ300" s="171">
        <v>-2.5624026895193941E-2</v>
      </c>
      <c r="BA300" s="171">
        <v>-7.0158451567966962E-2</v>
      </c>
      <c r="BB300" s="171">
        <f t="shared" si="93"/>
        <v>-2.4307203150013557E-2</v>
      </c>
      <c r="BC300" s="171"/>
      <c r="BD300" s="1"/>
      <c r="BE300" s="179">
        <f>AM300/'2017-18 disagg'!AM300-1</f>
        <v>2.6732813816668921E-2</v>
      </c>
      <c r="BF300" s="179">
        <f>AN300/'2017-18 disagg'!AN300-1</f>
        <v>3.016240536220538E-2</v>
      </c>
      <c r="BG300" s="179">
        <f>AO300/'2017-18 disagg'!AO300-1</f>
        <v>4.798955038829944E-2</v>
      </c>
      <c r="BH300" s="179">
        <f>AQ300/'2017-18 disagg'!AQ300-1</f>
        <v>3.0366017658470135E-2</v>
      </c>
      <c r="BI300" s="1"/>
      <c r="BJ300" s="179">
        <f>AS300/'2017-18 disagg'!AS300-1</f>
        <v>1.6303103780218819E-2</v>
      </c>
      <c r="BK300" s="179">
        <f>AT300/'2017-18 disagg'!AT300-1</f>
        <v>1.9697857006689246E-2</v>
      </c>
      <c r="BL300" s="179">
        <f>AU300/'2017-18 disagg'!AU300-1</f>
        <v>3.7343911148282727E-2</v>
      </c>
      <c r="BM300" s="179">
        <f>AW300/'2017-18 disagg'!AW300-1</f>
        <v>1.9899400977892778E-2</v>
      </c>
    </row>
    <row r="301" spans="2:65" ht="15" x14ac:dyDescent="0.25">
      <c r="B301" t="s">
        <v>571</v>
      </c>
      <c r="D301" s="55">
        <v>13531050.233267069</v>
      </c>
      <c r="E301" s="166">
        <v>1537.5915294836736</v>
      </c>
      <c r="F301" s="171">
        <f>VLOOKUP(B301,'2018-19'!$B$12:$AMX509,33,FALSE)</f>
        <v>2.7479818253236754E-2</v>
      </c>
      <c r="G301" s="171">
        <f>VLOOKUP(B301,'2018-19'!$B$12:$AMX509,34,FALSE)</f>
        <v>1.9368061898935363E-2</v>
      </c>
      <c r="I301" s="175">
        <v>13806771.530289637</v>
      </c>
      <c r="J301" s="175">
        <v>1568.92292826585</v>
      </c>
      <c r="K301" s="171">
        <f t="shared" si="92"/>
        <v>-1.997000503830193E-2</v>
      </c>
      <c r="L301" s="170">
        <f t="shared" si="92"/>
        <v>-1.997000503830193E-2</v>
      </c>
      <c r="N301" s="55">
        <v>10217861</v>
      </c>
      <c r="O301" s="55">
        <v>1108857</v>
      </c>
      <c r="P301" s="55">
        <v>2169737</v>
      </c>
      <c r="R301" s="55">
        <v>2169737</v>
      </c>
      <c r="S301" s="55">
        <v>34595.233267070551</v>
      </c>
      <c r="U301" s="171">
        <v>-2.6151770031626942E-2</v>
      </c>
      <c r="V301" s="171">
        <v>-4.8168536712227539E-3</v>
      </c>
      <c r="AA301" s="55">
        <v>13863.014859276678</v>
      </c>
      <c r="AB301" s="55">
        <v>0</v>
      </c>
      <c r="AC301" s="55">
        <v>20732.218407793873</v>
      </c>
      <c r="AE301" s="55">
        <v>0</v>
      </c>
      <c r="AF301" s="55">
        <v>0</v>
      </c>
      <c r="AG301" s="55">
        <v>20732.218407793873</v>
      </c>
      <c r="AI301" s="55">
        <v>18805.764917246339</v>
      </c>
      <c r="AJ301" s="55">
        <v>1926.4534905475348</v>
      </c>
      <c r="AK301" s="55">
        <v>0</v>
      </c>
      <c r="AM301" s="55">
        <v>10250530</v>
      </c>
      <c r="AN301" s="55">
        <v>1110783</v>
      </c>
      <c r="AO301" s="55">
        <v>2169737</v>
      </c>
      <c r="AP301" s="55"/>
      <c r="AQ301" s="55">
        <v>13531050</v>
      </c>
      <c r="AR301" s="1"/>
      <c r="AS301" s="175">
        <v>1164.8118829659211</v>
      </c>
      <c r="AT301" s="175">
        <v>126.22305751961457</v>
      </c>
      <c r="AU301" s="175">
        <v>246.55656249099596</v>
      </c>
      <c r="AV301" s="175"/>
      <c r="AW301" s="175">
        <v>1537.5915029765315</v>
      </c>
      <c r="AX301" s="1"/>
      <c r="AY301" s="171">
        <v>-2.3038139123471413E-2</v>
      </c>
      <c r="AZ301" s="171">
        <v>-3.0882964814055169E-3</v>
      </c>
      <c r="BA301" s="171">
        <v>-1.3888368841316612E-2</v>
      </c>
      <c r="BB301" s="171">
        <f t="shared" si="93"/>
        <v>-1.9970021933422455E-2</v>
      </c>
      <c r="BC301" s="171"/>
      <c r="BD301" s="1"/>
      <c r="BE301" s="179">
        <f>AM301/'2017-18 disagg'!AM301-1</f>
        <v>2.4061503652164085E-2</v>
      </c>
      <c r="BF301" s="179">
        <f>AN301/'2017-18 disagg'!AN301-1</f>
        <v>2.4500585213872883E-2</v>
      </c>
      <c r="BG301" s="179">
        <f>AO301/'2017-18 disagg'!AO301-1</f>
        <v>4.5523868540999324E-2</v>
      </c>
      <c r="BH301" s="179">
        <f>AQ301/'2017-18 disagg'!AQ301-1</f>
        <v>2.7479800540110233E-2</v>
      </c>
      <c r="BI301" s="1"/>
      <c r="BJ301" s="179">
        <f>AS301/'2017-18 disagg'!AS301-1</f>
        <v>1.5976734236869516E-2</v>
      </c>
      <c r="BK301" s="179">
        <f>AT301/'2017-18 disagg'!AT301-1</f>
        <v>1.6412349333753573E-2</v>
      </c>
      <c r="BL301" s="179">
        <f>AU301/'2017-18 disagg'!AU301-1</f>
        <v>3.7269657865961925E-2</v>
      </c>
      <c r="BM301" s="179">
        <f>AW301/'2017-18 disagg'!AW301-1</f>
        <v>1.9368044325650313E-2</v>
      </c>
    </row>
    <row r="302" spans="2:65" ht="15" x14ac:dyDescent="0.25">
      <c r="B302" t="s">
        <v>572</v>
      </c>
      <c r="D302" s="55">
        <v>5675220.2474988094</v>
      </c>
      <c r="E302" s="166">
        <v>1582.226365418147</v>
      </c>
      <c r="F302" s="171">
        <f>VLOOKUP(B302,'2018-19'!$B$12:$AMX510,33,FALSE)</f>
        <v>3.2473205403583894E-2</v>
      </c>
      <c r="G302" s="171">
        <f>VLOOKUP(B302,'2018-19'!$B$12:$AMX510,34,FALSE)</f>
        <v>1.9345944901629331E-2</v>
      </c>
      <c r="I302" s="175">
        <v>5804231.3915962009</v>
      </c>
      <c r="J302" s="175">
        <v>1618.194103183675</v>
      </c>
      <c r="K302" s="171">
        <f t="shared" si="92"/>
        <v>-2.2227084930518726E-2</v>
      </c>
      <c r="L302" s="170">
        <f t="shared" si="92"/>
        <v>-2.2227084930518615E-2</v>
      </c>
      <c r="N302" s="55">
        <v>4132746</v>
      </c>
      <c r="O302" s="55">
        <v>448557</v>
      </c>
      <c r="P302" s="55">
        <v>1084601</v>
      </c>
      <c r="R302" s="55">
        <v>1084601</v>
      </c>
      <c r="S302" s="55">
        <v>9316.2474988092436</v>
      </c>
      <c r="U302" s="171">
        <v>-2.4323683283234976E-2</v>
      </c>
      <c r="V302" s="171">
        <v>-4.3059169469923386E-2</v>
      </c>
      <c r="AA302" s="55">
        <v>0</v>
      </c>
      <c r="AB302" s="55">
        <v>0</v>
      </c>
      <c r="AC302" s="55">
        <v>9316.2474988092436</v>
      </c>
      <c r="AE302" s="55">
        <v>0</v>
      </c>
      <c r="AF302" s="55">
        <v>0</v>
      </c>
      <c r="AG302" s="55">
        <v>9316.2474988092436</v>
      </c>
      <c r="AI302" s="55">
        <v>8399.6455143190487</v>
      </c>
      <c r="AJ302" s="55">
        <v>916.60198449019595</v>
      </c>
      <c r="AK302" s="55">
        <v>0</v>
      </c>
      <c r="AM302" s="55">
        <v>4141144</v>
      </c>
      <c r="AN302" s="55">
        <v>449473</v>
      </c>
      <c r="AO302" s="55">
        <v>1084601</v>
      </c>
      <c r="AP302" s="55"/>
      <c r="AQ302" s="55">
        <v>5675218</v>
      </c>
      <c r="AR302" s="1"/>
      <c r="AS302" s="175">
        <v>1154.5326760984956</v>
      </c>
      <c r="AT302" s="175">
        <v>125.31108928451151</v>
      </c>
      <c r="AU302" s="175">
        <v>302.38197344238802</v>
      </c>
      <c r="AV302" s="175"/>
      <c r="AW302" s="175">
        <v>1582.2257388253952</v>
      </c>
      <c r="AX302" s="1"/>
      <c r="AY302" s="171">
        <v>-2.23410475955379E-2</v>
      </c>
      <c r="AZ302" s="171">
        <v>-4.1104996865849563E-2</v>
      </c>
      <c r="BA302" s="171">
        <v>-1.3743691561292626E-2</v>
      </c>
      <c r="BB302" s="171">
        <f t="shared" si="93"/>
        <v>-2.222747214781895E-2</v>
      </c>
      <c r="BC302" s="171"/>
      <c r="BD302" s="1"/>
      <c r="BE302" s="179">
        <f>AM302/'2017-18 disagg'!AM302-1</f>
        <v>2.711325979183643E-2</v>
      </c>
      <c r="BF302" s="179">
        <f>AN302/'2017-18 disagg'!AN302-1</f>
        <v>3.9200680665313348E-2</v>
      </c>
      <c r="BG302" s="179">
        <f>AO302/'2017-18 disagg'!AO302-1</f>
        <v>5.0585153887432677E-2</v>
      </c>
      <c r="BH302" s="179">
        <f>AQ302/'2017-18 disagg'!AQ302-1</f>
        <v>3.2472796523893122E-2</v>
      </c>
      <c r="BI302" s="1"/>
      <c r="BJ302" s="179">
        <f>AS302/'2017-18 disagg'!AS302-1</f>
        <v>1.405414769504465E-2</v>
      </c>
      <c r="BK302" s="179">
        <f>AT302/'2017-18 disagg'!AT302-1</f>
        <v>2.5987884461493804E-2</v>
      </c>
      <c r="BL302" s="179">
        <f>AU302/'2017-18 disagg'!AU302-1</f>
        <v>3.7227611122751192E-2</v>
      </c>
      <c r="BM302" s="179">
        <f>AW302/'2017-18 disagg'!AW302-1</f>
        <v>1.9345541220591844E-2</v>
      </c>
    </row>
    <row r="303" spans="2:65" ht="15" x14ac:dyDescent="0.25">
      <c r="B303" t="s">
        <v>573</v>
      </c>
      <c r="D303" s="55">
        <v>4114533</v>
      </c>
      <c r="E303" s="166">
        <v>1685.6990037398446</v>
      </c>
      <c r="F303" s="171">
        <f>VLOOKUP(B303,'2018-19'!$B$12:$AMX511,33,FALSE)</f>
        <v>3.0549298783763668E-2</v>
      </c>
      <c r="G303" s="171">
        <f>VLOOKUP(B303,'2018-19'!$B$12:$AMX511,34,FALSE)</f>
        <v>1.8021439246445725E-2</v>
      </c>
      <c r="I303" s="175">
        <v>4093969.4007833153</v>
      </c>
      <c r="J303" s="175">
        <v>1677.2742229171192</v>
      </c>
      <c r="K303" s="171">
        <f t="shared" si="92"/>
        <v>5.0229000765735776E-3</v>
      </c>
      <c r="L303" s="170">
        <f t="shared" si="92"/>
        <v>5.0229000765735776E-3</v>
      </c>
      <c r="N303" s="55">
        <v>2925345</v>
      </c>
      <c r="O303" s="55">
        <v>335063</v>
      </c>
      <c r="P303" s="55">
        <v>854125</v>
      </c>
      <c r="R303" s="55">
        <v>854125</v>
      </c>
      <c r="S303" s="55">
        <v>0</v>
      </c>
      <c r="U303" s="171">
        <v>1.5152847040638573E-2</v>
      </c>
      <c r="V303" s="171">
        <v>-4.5988556805103609E-2</v>
      </c>
      <c r="AA303" s="55">
        <v>0</v>
      </c>
      <c r="AB303" s="55">
        <v>0</v>
      </c>
      <c r="AC303" s="55">
        <v>0</v>
      </c>
      <c r="AE303" s="55">
        <v>0</v>
      </c>
      <c r="AF303" s="55">
        <v>0</v>
      </c>
      <c r="AG303" s="55">
        <v>0</v>
      </c>
      <c r="AI303" s="55">
        <v>0</v>
      </c>
      <c r="AJ303" s="55">
        <v>0</v>
      </c>
      <c r="AK303" s="55">
        <v>0</v>
      </c>
      <c r="AM303" s="55">
        <v>2925345</v>
      </c>
      <c r="AN303" s="55">
        <v>335063</v>
      </c>
      <c r="AO303" s="55">
        <v>854125</v>
      </c>
      <c r="AP303" s="55"/>
      <c r="AQ303" s="55">
        <v>4114533</v>
      </c>
      <c r="AR303" s="1"/>
      <c r="AS303" s="175">
        <v>1198.4959537559514</v>
      </c>
      <c r="AT303" s="175">
        <v>137.27326170189511</v>
      </c>
      <c r="AU303" s="175">
        <v>349.92978828199819</v>
      </c>
      <c r="AV303" s="175"/>
      <c r="AW303" s="175">
        <v>1685.6990037398446</v>
      </c>
      <c r="AX303" s="1"/>
      <c r="AY303" s="171">
        <v>1.5152847040638573E-2</v>
      </c>
      <c r="AZ303" s="171">
        <v>-4.5988556805103609E-2</v>
      </c>
      <c r="BA303" s="171">
        <v>-8.0715164368861947E-3</v>
      </c>
      <c r="BB303" s="171">
        <f t="shared" si="93"/>
        <v>5.0229000765735776E-3</v>
      </c>
      <c r="BC303" s="171"/>
      <c r="BD303" s="1"/>
      <c r="BE303" s="179">
        <f>AM303/'2017-18 disagg'!AM303-1</f>
        <v>2.4520090833570318E-2</v>
      </c>
      <c r="BF303" s="179">
        <f>AN303/'2017-18 disagg'!AN303-1</f>
        <v>3.4815775657061732E-2</v>
      </c>
      <c r="BG303" s="179">
        <f>AO303/'2017-18 disagg'!AO303-1</f>
        <v>5.0014690678242157E-2</v>
      </c>
      <c r="BH303" s="179">
        <f>AQ303/'2017-18 disagg'!AQ303-1</f>
        <v>3.0549298783763668E-2</v>
      </c>
      <c r="BI303" s="1"/>
      <c r="BJ303" s="179">
        <f>AS303/'2017-18 disagg'!AS303-1</f>
        <v>1.2065525286564682E-2</v>
      </c>
      <c r="BK303" s="179">
        <f>AT303/'2017-18 disagg'!AT303-1</f>
        <v>2.2236050747508784E-2</v>
      </c>
      <c r="BL303" s="179">
        <f>AU303/'2017-18 disagg'!AU303-1</f>
        <v>3.7250200350159801E-2</v>
      </c>
      <c r="BM303" s="179">
        <f>AW303/'2017-18 disagg'!AW303-1</f>
        <v>1.8021439246445725E-2</v>
      </c>
    </row>
    <row r="304" spans="2:65" ht="15" x14ac:dyDescent="0.25">
      <c r="B304" t="s">
        <v>574</v>
      </c>
      <c r="D304" s="55">
        <v>2722003.8685075259</v>
      </c>
      <c r="E304" s="166">
        <v>1549.8868024156163</v>
      </c>
      <c r="F304" s="171">
        <f>VLOOKUP(B304,'2018-19'!$B$12:$AMX512,33,FALSE)</f>
        <v>3.0865269852848431E-2</v>
      </c>
      <c r="G304" s="171">
        <f>VLOOKUP(B304,'2018-19'!$B$12:$AMX512,34,FALSE)</f>
        <v>1.8269451430978245E-2</v>
      </c>
      <c r="I304" s="175">
        <v>2758240.960761399</v>
      </c>
      <c r="J304" s="175">
        <v>1570.5199071999195</v>
      </c>
      <c r="K304" s="171">
        <f t="shared" si="92"/>
        <v>-1.3137754376568389E-2</v>
      </c>
      <c r="L304" s="170">
        <f t="shared" si="92"/>
        <v>-1.3137754376568167E-2</v>
      </c>
      <c r="N304" s="55">
        <v>2027850</v>
      </c>
      <c r="O304" s="55">
        <v>218262</v>
      </c>
      <c r="P304" s="55">
        <v>472759</v>
      </c>
      <c r="R304" s="55">
        <v>472759</v>
      </c>
      <c r="S304" s="55">
        <v>3132.8685075254762</v>
      </c>
      <c r="U304" s="171">
        <v>-1.6428494656213544E-2</v>
      </c>
      <c r="V304" s="171">
        <v>-2.7340224904168875E-2</v>
      </c>
      <c r="AA304" s="55">
        <v>0</v>
      </c>
      <c r="AB304" s="55">
        <v>0</v>
      </c>
      <c r="AC304" s="55">
        <v>3132.8685075254762</v>
      </c>
      <c r="AE304" s="55">
        <v>0</v>
      </c>
      <c r="AF304" s="55">
        <v>0</v>
      </c>
      <c r="AG304" s="55">
        <v>3132.8685075254762</v>
      </c>
      <c r="AI304" s="55">
        <v>2823.5401820511584</v>
      </c>
      <c r="AJ304" s="55">
        <v>309.32832547431821</v>
      </c>
      <c r="AK304" s="55">
        <v>0</v>
      </c>
      <c r="AM304" s="55">
        <v>2030673</v>
      </c>
      <c r="AN304" s="55">
        <v>218571</v>
      </c>
      <c r="AO304" s="55">
        <v>472759</v>
      </c>
      <c r="AP304" s="55"/>
      <c r="AQ304" s="55">
        <v>2722003</v>
      </c>
      <c r="AR304" s="1"/>
      <c r="AS304" s="175">
        <v>1156.2486442928525</v>
      </c>
      <c r="AT304" s="175">
        <v>124.45254476310714</v>
      </c>
      <c r="AU304" s="175">
        <v>269.18511883855484</v>
      </c>
      <c r="AV304" s="175"/>
      <c r="AW304" s="175">
        <v>1549.8863078945146</v>
      </c>
      <c r="AX304" s="1"/>
      <c r="AY304" s="171">
        <v>-1.5059250205398333E-2</v>
      </c>
      <c r="AZ304" s="171">
        <v>-2.5963201553770743E-2</v>
      </c>
      <c r="BA304" s="171">
        <v>1.3472708869544103E-3</v>
      </c>
      <c r="BB304" s="171">
        <f t="shared" si="93"/>
        <v>-1.3138069253889828E-2</v>
      </c>
      <c r="BC304" s="171"/>
      <c r="BD304" s="1"/>
      <c r="BE304" s="179">
        <f>AM304/'2017-18 disagg'!AM304-1</f>
        <v>2.5952025608976026E-2</v>
      </c>
      <c r="BF304" s="179">
        <f>AN304/'2017-18 disagg'!AN304-1</f>
        <v>3.5626291150995915E-2</v>
      </c>
      <c r="BG304" s="179">
        <f>AO304/'2017-18 disagg'!AO304-1</f>
        <v>5.023481270521124E-2</v>
      </c>
      <c r="BH304" s="179">
        <f>AQ304/'2017-18 disagg'!AQ304-1</f>
        <v>3.0864940935518392E-2</v>
      </c>
      <c r="BI304" s="1"/>
      <c r="BJ304" s="179">
        <f>AS304/'2017-18 disagg'!AS304-1</f>
        <v>1.3416240572813987E-2</v>
      </c>
      <c r="BK304" s="179">
        <f>AT304/'2017-18 disagg'!AT304-1</f>
        <v>2.2972299307702171E-2</v>
      </c>
      <c r="BL304" s="179">
        <f>AU304/'2017-18 disagg'!AU304-1</f>
        <v>3.7402323932890891E-2</v>
      </c>
      <c r="BM304" s="179">
        <f>AW304/'2017-18 disagg'!AW304-1</f>
        <v>1.8269126532585611E-2</v>
      </c>
    </row>
    <row r="305" spans="2:65" ht="15" x14ac:dyDescent="0.25">
      <c r="B305" t="s">
        <v>575</v>
      </c>
      <c r="D305" s="55">
        <v>3326424.0156249446</v>
      </c>
      <c r="E305" s="166">
        <v>1748.1699019485859</v>
      </c>
      <c r="F305" s="171">
        <f>VLOOKUP(B305,'2018-19'!$B$12:$AMX513,33,FALSE)</f>
        <v>2.2512076038933015E-2</v>
      </c>
      <c r="G305" s="171">
        <f>VLOOKUP(B305,'2018-19'!$B$12:$AMX513,34,FALSE)</f>
        <v>1.1212187674277008E-2</v>
      </c>
      <c r="I305" s="175">
        <v>3089147.6691820621</v>
      </c>
      <c r="J305" s="175">
        <v>1623.4716177408695</v>
      </c>
      <c r="K305" s="171">
        <f t="shared" si="92"/>
        <v>7.6809648437980993E-2</v>
      </c>
      <c r="L305" s="170">
        <f t="shared" si="92"/>
        <v>7.6809648437980993E-2</v>
      </c>
      <c r="N305" s="55">
        <v>2388844</v>
      </c>
      <c r="O305" s="55">
        <v>264011</v>
      </c>
      <c r="P305" s="55">
        <v>672990</v>
      </c>
      <c r="R305" s="55">
        <v>672990</v>
      </c>
      <c r="S305" s="55">
        <v>579.01562494446989</v>
      </c>
      <c r="U305" s="171">
        <v>0.10140508989897867</v>
      </c>
      <c r="V305" s="171">
        <v>-3.3843640707197586E-2</v>
      </c>
      <c r="AA305" s="55">
        <v>0</v>
      </c>
      <c r="AB305" s="55">
        <v>0</v>
      </c>
      <c r="AC305" s="55">
        <v>579.01562494446989</v>
      </c>
      <c r="AE305" s="55">
        <v>0</v>
      </c>
      <c r="AF305" s="55">
        <v>579.01562494446989</v>
      </c>
      <c r="AG305" s="55">
        <v>0</v>
      </c>
      <c r="AI305" s="55">
        <v>0</v>
      </c>
      <c r="AJ305" s="55">
        <v>0</v>
      </c>
      <c r="AK305" s="55">
        <v>0</v>
      </c>
      <c r="AM305" s="55">
        <v>2388844</v>
      </c>
      <c r="AN305" s="55">
        <v>264590</v>
      </c>
      <c r="AO305" s="55">
        <v>672990</v>
      </c>
      <c r="AP305" s="55"/>
      <c r="AQ305" s="55">
        <v>3326424</v>
      </c>
      <c r="AR305" s="1"/>
      <c r="AS305" s="175">
        <v>1255.4338116951969</v>
      </c>
      <c r="AT305" s="175">
        <v>139.05271011268721</v>
      </c>
      <c r="AU305" s="175">
        <v>353.68337192916351</v>
      </c>
      <c r="AV305" s="175"/>
      <c r="AW305" s="175">
        <v>1748.1698937370477</v>
      </c>
      <c r="AX305" s="1"/>
      <c r="AY305" s="171">
        <v>0.10140508989897867</v>
      </c>
      <c r="AZ305" s="171">
        <v>-3.1724772432653925E-2</v>
      </c>
      <c r="BA305" s="171">
        <v>4.0197853270707018E-2</v>
      </c>
      <c r="BB305" s="171">
        <f t="shared" si="93"/>
        <v>7.6809643379969428E-2</v>
      </c>
      <c r="BC305" s="171"/>
      <c r="BD305" s="1"/>
      <c r="BE305" s="179">
        <f>AM305/'2017-18 disagg'!AM305-1</f>
        <v>1.40873530506751E-2</v>
      </c>
      <c r="BF305" s="179">
        <f>AN305/'2017-18 disagg'!AN305-1</f>
        <v>3.2284493689405558E-2</v>
      </c>
      <c r="BG305" s="179">
        <f>AO305/'2017-18 disagg'!AO305-1</f>
        <v>4.9555998465411033E-2</v>
      </c>
      <c r="BH305" s="179">
        <f>AQ305/'2017-18 disagg'!AQ305-1</f>
        <v>2.2512071235969211E-2</v>
      </c>
      <c r="BI305" s="1"/>
      <c r="BJ305" s="179">
        <f>AS305/'2017-18 disagg'!AS305-1</f>
        <v>2.8805671847582648E-3</v>
      </c>
      <c r="BK305" s="179">
        <f>AT305/'2017-18 disagg'!AT305-1</f>
        <v>2.0876609310725991E-2</v>
      </c>
      <c r="BL305" s="179">
        <f>AU305/'2017-18 disagg'!AU305-1</f>
        <v>3.7957244873123352E-2</v>
      </c>
      <c r="BM305" s="179">
        <f>AW305/'2017-18 disagg'!AW305-1</f>
        <v>1.121218292439119E-2</v>
      </c>
    </row>
    <row r="306" spans="2:65" ht="15" x14ac:dyDescent="0.25">
      <c r="B306"/>
      <c r="D306" s="1"/>
      <c r="N306" s="1"/>
      <c r="O306" s="1"/>
      <c r="P306" s="1"/>
      <c r="R306" s="1"/>
      <c r="S306" s="1"/>
      <c r="AA306" s="1"/>
      <c r="AB306" s="1"/>
      <c r="AC306" s="1"/>
      <c r="AE306" s="1"/>
      <c r="AF306" s="1"/>
      <c r="AG306" s="1"/>
      <c r="AI306" s="1"/>
      <c r="AJ306" s="1"/>
      <c r="AK306" s="1"/>
      <c r="AM306" s="1"/>
      <c r="AN306" s="1"/>
      <c r="AO306" s="1"/>
      <c r="AP306" s="1"/>
      <c r="AR306" s="1"/>
      <c r="AV306" s="64"/>
      <c r="AX306" s="1"/>
      <c r="BA306" s="64"/>
      <c r="BD306" s="1"/>
      <c r="BE306" s="179"/>
      <c r="BF306" s="179"/>
      <c r="BG306" s="179"/>
      <c r="BH306" s="179"/>
      <c r="BI306" s="1"/>
      <c r="BJ306" s="179"/>
      <c r="BK306" s="179"/>
    </row>
    <row r="307" spans="2:65" ht="15" x14ac:dyDescent="0.25">
      <c r="B307" t="s">
        <v>12</v>
      </c>
      <c r="D307" s="172">
        <f>SUM(D294:D305)</f>
        <v>97246518.423480049</v>
      </c>
      <c r="E307" s="166">
        <v>1659.7174943080554</v>
      </c>
      <c r="F307" s="171">
        <f>VLOOKUP(B307,'2018-19'!$B$12:$AMX515,33,FALSE)</f>
        <v>2.5486443052915808E-2</v>
      </c>
      <c r="G307" s="171">
        <f>VLOOKUP(B307,'2018-19'!$B$12:$AMX515,34,FALSE)</f>
        <v>1.8162052357029168E-2</v>
      </c>
      <c r="I307" s="175">
        <f>SUM(I294:I305)</f>
        <v>97246569.278791636</v>
      </c>
      <c r="J307" s="175">
        <v>1659.7183622614968</v>
      </c>
      <c r="K307" s="171">
        <f t="shared" ref="K307:L307" si="94">D307/I307-1</f>
        <v>-5.2295224362008952E-7</v>
      </c>
      <c r="L307" s="170">
        <f t="shared" si="94"/>
        <v>-5.2295224373111182E-7</v>
      </c>
      <c r="N307" s="172">
        <f>SUM(N294:N305)</f>
        <v>73508656</v>
      </c>
      <c r="O307" s="172">
        <f>SUM(O294:O305)</f>
        <v>7755210</v>
      </c>
      <c r="P307" s="172">
        <f>SUM(P294:P305)</f>
        <v>15885992</v>
      </c>
      <c r="R307" s="172">
        <f>SUM(R294:R305)</f>
        <v>15885992</v>
      </c>
      <c r="S307" s="172">
        <f>SUM(S294:S305)</f>
        <v>96660.423480058176</v>
      </c>
      <c r="U307" s="171">
        <v>-5.3937298234774111E-4</v>
      </c>
      <c r="V307" s="171">
        <v>-7.2060423734240375E-3</v>
      </c>
      <c r="AA307" s="172">
        <f>SUM(AA294:AA305)</f>
        <v>21727.827935442518</v>
      </c>
      <c r="AB307" s="172">
        <f>SUM(AB294:AB305)</f>
        <v>0</v>
      </c>
      <c r="AC307" s="172">
        <f>SUM(AC294:AC305)</f>
        <v>74932.595544615659</v>
      </c>
      <c r="AE307" s="172">
        <f>SUM(AE294:AE305)</f>
        <v>0</v>
      </c>
      <c r="AF307" s="172">
        <f>SUM(AF294:AF305)</f>
        <v>1242.6628694138326</v>
      </c>
      <c r="AG307" s="172">
        <f>SUM(AG294:AG305)</f>
        <v>73689.932675201824</v>
      </c>
      <c r="AI307" s="172">
        <f>SUM(AI294:AI305)</f>
        <v>66726.859276329604</v>
      </c>
      <c r="AJ307" s="172">
        <f>SUM(AJ294:AJ305)</f>
        <v>6963.0733988722168</v>
      </c>
      <c r="AK307" s="172">
        <f>SUM(AK294:AK305)</f>
        <v>0</v>
      </c>
      <c r="AM307" s="172">
        <f>SUM(AM294:AM305)</f>
        <v>73597110</v>
      </c>
      <c r="AN307" s="172">
        <f>SUM(AN294:AN305)</f>
        <v>7763415</v>
      </c>
      <c r="AO307" s="172">
        <f>SUM(AO294:AO305)</f>
        <v>15885992</v>
      </c>
      <c r="AP307" s="172"/>
      <c r="AQ307" s="172">
        <f>SUM(AQ294:AQ305)</f>
        <v>97246517</v>
      </c>
      <c r="AR307" s="1"/>
      <c r="AS307" s="175">
        <v>1256.0903256771121</v>
      </c>
      <c r="AT307" s="175">
        <v>132.499095082899</v>
      </c>
      <c r="AU307" s="175">
        <v>271.128049253347</v>
      </c>
      <c r="AV307" s="175"/>
      <c r="AW307" s="175">
        <v>1659.717470013358</v>
      </c>
      <c r="AX307" s="1"/>
      <c r="AY307" s="171">
        <v>6.6329205212412035E-4</v>
      </c>
      <c r="AZ307" s="171">
        <v>-6.1556679254947122E-3</v>
      </c>
      <c r="BA307" s="171">
        <v>-4.7290929741095056E-5</v>
      </c>
      <c r="BB307" s="171">
        <f t="shared" ref="BB307" si="95">SUM(AM307:AO307)/I307-1</f>
        <v>-5.3759008700193789E-7</v>
      </c>
      <c r="BC307" s="171"/>
      <c r="BD307" s="1"/>
      <c r="BE307" s="179">
        <f>AM307/'2017-18 disagg'!AM307-1</f>
        <v>2.1454070318438045E-2</v>
      </c>
      <c r="BF307" s="179">
        <f>AN307/'2017-18 disagg'!AN307-1</f>
        <v>2.4850808549938153E-2</v>
      </c>
      <c r="BG307" s="179">
        <f>AO307/'2017-18 disagg'!AO307-1</f>
        <v>4.4913408167746027E-2</v>
      </c>
      <c r="BH307" s="179">
        <f>AQ307/'2017-18 disagg'!AQ307-1</f>
        <v>2.5486428041997966E-2</v>
      </c>
      <c r="BI307" s="1"/>
      <c r="BJ307" s="179">
        <f>AS307/'2017-18 disagg'!AS307-1</f>
        <v>1.4158480269833351E-2</v>
      </c>
      <c r="BK307" s="179">
        <f>AT307/'2017-18 disagg'!AT307-1</f>
        <v>1.7530957782854184E-2</v>
      </c>
      <c r="BL307" s="179">
        <f>AU307/'2017-18 disagg'!AU307-1</f>
        <v>3.7450263143608442E-2</v>
      </c>
      <c r="BM307" s="179">
        <f>AW307/'2017-18 disagg'!AW307-1</f>
        <v>1.8162037453324675E-2</v>
      </c>
    </row>
    <row r="308" spans="2:65" ht="15" x14ac:dyDescent="0.25">
      <c r="B308"/>
      <c r="D308" s="1"/>
      <c r="N308" s="1"/>
      <c r="O308" s="1"/>
      <c r="P308" s="1"/>
      <c r="R308" s="1"/>
      <c r="S308" s="1"/>
      <c r="AA308" s="1"/>
      <c r="AB308" s="1"/>
      <c r="AC308" s="1"/>
      <c r="AE308" s="1"/>
      <c r="AF308" s="1"/>
      <c r="AG308" s="1"/>
      <c r="AI308" s="1"/>
      <c r="AJ308" s="1"/>
      <c r="AK308" s="1"/>
      <c r="AM308" s="1"/>
      <c r="AN308" s="1"/>
      <c r="AO308" s="1"/>
      <c r="AP308" s="1"/>
      <c r="AR308" s="1"/>
      <c r="AV308" s="64"/>
      <c r="AX308" s="1"/>
      <c r="BA308" s="64"/>
      <c r="BD308" s="1"/>
      <c r="BE308" s="179"/>
      <c r="BF308" s="179"/>
      <c r="BG308" s="179"/>
      <c r="BH308" s="179"/>
      <c r="BI308" s="1"/>
      <c r="BJ308" s="179"/>
      <c r="BK308" s="179"/>
    </row>
    <row r="309" spans="2:65" x14ac:dyDescent="0.2">
      <c r="B309" s="43" t="s">
        <v>576</v>
      </c>
      <c r="D309" s="1"/>
      <c r="N309" s="1"/>
      <c r="O309" s="1"/>
      <c r="P309" s="1"/>
      <c r="R309" s="1"/>
      <c r="S309" s="1"/>
      <c r="AA309" s="1"/>
      <c r="AB309" s="1"/>
      <c r="AC309" s="1"/>
      <c r="AE309" s="1"/>
      <c r="AF309" s="1"/>
      <c r="AG309" s="1"/>
      <c r="AI309" s="1"/>
      <c r="AJ309" s="1"/>
      <c r="AK309" s="1"/>
      <c r="AM309" s="1"/>
      <c r="AN309" s="1"/>
      <c r="AO309" s="1"/>
      <c r="AP309" s="1"/>
      <c r="AR309" s="1"/>
      <c r="AV309" s="64"/>
      <c r="AX309" s="1"/>
      <c r="BA309" s="64"/>
      <c r="BD309" s="1"/>
      <c r="BE309" s="179"/>
      <c r="BF309" s="179"/>
      <c r="BG309" s="179"/>
      <c r="BH309" s="179"/>
      <c r="BI309" s="1"/>
      <c r="BJ309" s="179"/>
      <c r="BK309" s="179"/>
    </row>
    <row r="310" spans="2:65" ht="15" x14ac:dyDescent="0.25">
      <c r="B310"/>
      <c r="D310" s="1"/>
      <c r="N310" s="1"/>
      <c r="O310" s="1"/>
      <c r="P310" s="1"/>
      <c r="R310" s="1"/>
      <c r="S310" s="1"/>
      <c r="AA310" s="1"/>
      <c r="AB310" s="1"/>
      <c r="AC310" s="1"/>
      <c r="AE310" s="1"/>
      <c r="AF310" s="1"/>
      <c r="AG310" s="1"/>
      <c r="AI310" s="1"/>
      <c r="AJ310" s="1"/>
      <c r="AK310" s="1"/>
      <c r="AM310" s="1"/>
      <c r="AN310" s="1"/>
      <c r="AO310" s="1"/>
      <c r="AP310" s="1"/>
      <c r="AR310" s="1"/>
      <c r="AV310" s="64"/>
      <c r="AX310" s="1"/>
      <c r="BA310" s="64"/>
      <c r="BD310" s="1"/>
      <c r="BE310" s="179"/>
      <c r="BF310" s="179"/>
      <c r="BG310" s="179"/>
      <c r="BH310" s="179"/>
      <c r="BI310" s="1"/>
      <c r="BJ310" s="179"/>
      <c r="BK310" s="179"/>
    </row>
    <row r="311" spans="2:65" ht="15" x14ac:dyDescent="0.25">
      <c r="B311" t="s">
        <v>577</v>
      </c>
      <c r="D311" s="55">
        <v>6075390.4343809169</v>
      </c>
      <c r="E311" s="166">
        <v>1857.1708857469512</v>
      </c>
      <c r="F311" s="171">
        <f>VLOOKUP(B311,'2018-19'!$B$12:$AMX519,33,FALSE)</f>
        <v>2.0850293377874252E-2</v>
      </c>
      <c r="G311" s="171">
        <f>VLOOKUP(B311,'2018-19'!$B$12:$AMX519,34,FALSE)</f>
        <v>1.8188376718130783E-2</v>
      </c>
      <c r="I311" s="175">
        <v>5888709.9348348314</v>
      </c>
      <c r="J311" s="175">
        <v>1800.104991391963</v>
      </c>
      <c r="K311" s="171">
        <f t="shared" ref="K311:L323" si="96">D311/I311-1</f>
        <v>3.1701425543440687E-2</v>
      </c>
      <c r="L311" s="170">
        <f t="shared" si="96"/>
        <v>3.1701425543440687E-2</v>
      </c>
      <c r="N311" s="55">
        <v>4765007</v>
      </c>
      <c r="O311" s="55">
        <v>458897</v>
      </c>
      <c r="P311" s="55">
        <v>850466</v>
      </c>
      <c r="R311" s="55">
        <v>850466</v>
      </c>
      <c r="S311" s="55">
        <v>1020.4343809170532</v>
      </c>
      <c r="U311" s="171">
        <v>3.988729552221959E-2</v>
      </c>
      <c r="V311" s="171">
        <v>2.0013392772912253E-2</v>
      </c>
      <c r="AA311" s="55">
        <v>0</v>
      </c>
      <c r="AB311" s="55">
        <v>0</v>
      </c>
      <c r="AC311" s="55">
        <v>1020.4343809170532</v>
      </c>
      <c r="AE311" s="55">
        <v>0</v>
      </c>
      <c r="AF311" s="55">
        <v>158.91198981093291</v>
      </c>
      <c r="AG311" s="55">
        <v>861.52239110612027</v>
      </c>
      <c r="AI311" s="55">
        <v>787.7518441655435</v>
      </c>
      <c r="AJ311" s="55">
        <v>73.770546940576892</v>
      </c>
      <c r="AK311" s="55">
        <v>0</v>
      </c>
      <c r="AM311" s="55">
        <v>4765795</v>
      </c>
      <c r="AN311" s="55">
        <v>459130</v>
      </c>
      <c r="AO311" s="55">
        <v>850466</v>
      </c>
      <c r="AP311" s="55"/>
      <c r="AQ311" s="55">
        <v>6075391</v>
      </c>
      <c r="AR311" s="1"/>
      <c r="AS311" s="175">
        <v>1456.8439373625704</v>
      </c>
      <c r="AT311" s="175">
        <v>140.35029978445925</v>
      </c>
      <c r="AU311" s="175">
        <v>259.97682150260255</v>
      </c>
      <c r="AV311" s="175"/>
      <c r="AW311" s="175">
        <v>1857.1710586496322</v>
      </c>
      <c r="AX311" s="1"/>
      <c r="AY311" s="171">
        <v>4.0059264039552511E-2</v>
      </c>
      <c r="AZ311" s="171">
        <v>2.0531293566589337E-2</v>
      </c>
      <c r="BA311" s="171">
        <v>-7.1408712507896599E-3</v>
      </c>
      <c r="BB311" s="171">
        <f t="shared" ref="BB311:BB323" si="97">SUM(AM311:AO311)/I311-1</f>
        <v>3.1701521594883042E-2</v>
      </c>
      <c r="BC311" s="171"/>
      <c r="BD311" s="1"/>
      <c r="BE311" s="179">
        <f>AM311/'2017-18 disagg'!AM311-1</f>
        <v>1.7728369298815716E-2</v>
      </c>
      <c r="BF311" s="179">
        <f>AN311/'2017-18 disagg'!AN311-1</f>
        <v>1.8514410449350427E-2</v>
      </c>
      <c r="BG311" s="179">
        <f>AO311/'2017-18 disagg'!AO311-1</f>
        <v>4.0016239821068389E-2</v>
      </c>
      <c r="BH311" s="179">
        <f>AQ311/'2017-18 disagg'!AQ311-1</f>
        <v>2.0850388419075827E-2</v>
      </c>
      <c r="BI311" s="1"/>
      <c r="BJ311" s="179">
        <f>AS311/'2017-18 disagg'!AS311-1</f>
        <v>1.507459320754756E-2</v>
      </c>
      <c r="BK311" s="179">
        <f>AT311/'2017-18 disagg'!AT311-1</f>
        <v>1.585858471765289E-2</v>
      </c>
      <c r="BL311" s="179">
        <f>AU311/'2017-18 disagg'!AU311-1</f>
        <v>3.7304347026265949E-2</v>
      </c>
      <c r="BM311" s="179">
        <f>AW311/'2017-18 disagg'!AW311-1</f>
        <v>1.8188471511507709E-2</v>
      </c>
    </row>
    <row r="312" spans="2:65" ht="15" x14ac:dyDescent="0.25">
      <c r="B312" t="s">
        <v>578</v>
      </c>
      <c r="D312" s="55">
        <v>8214379.9105524318</v>
      </c>
      <c r="E312" s="166">
        <v>1808.5180203361047</v>
      </c>
      <c r="F312" s="171">
        <f>VLOOKUP(B312,'2018-19'!$B$12:$AMX520,33,FALSE)</f>
        <v>2.4546815601880656E-2</v>
      </c>
      <c r="G312" s="171">
        <f>VLOOKUP(B312,'2018-19'!$B$12:$AMX520,34,FALSE)</f>
        <v>1.9640636801826927E-2</v>
      </c>
      <c r="I312" s="175">
        <v>8219197.6446609441</v>
      </c>
      <c r="J312" s="175">
        <v>1809.5787162190936</v>
      </c>
      <c r="K312" s="171">
        <f t="shared" si="96"/>
        <v>-5.8615625475821886E-4</v>
      </c>
      <c r="L312" s="170">
        <f t="shared" si="96"/>
        <v>-5.8615625475810784E-4</v>
      </c>
      <c r="N312" s="55">
        <v>6165840</v>
      </c>
      <c r="O312" s="55">
        <v>622506</v>
      </c>
      <c r="P312" s="55">
        <v>1423876</v>
      </c>
      <c r="R312" s="55">
        <v>1423876</v>
      </c>
      <c r="S312" s="55">
        <v>2157.9105524324696</v>
      </c>
      <c r="U312" s="171">
        <v>-9.3571862812756867E-3</v>
      </c>
      <c r="V312" s="171">
        <v>-2.2665653398374452E-2</v>
      </c>
      <c r="AA312" s="55">
        <v>0</v>
      </c>
      <c r="AB312" s="55">
        <v>0</v>
      </c>
      <c r="AC312" s="55">
        <v>2157.9105524324696</v>
      </c>
      <c r="AE312" s="55">
        <v>0</v>
      </c>
      <c r="AF312" s="55">
        <v>0</v>
      </c>
      <c r="AG312" s="55">
        <v>2157.9105524324696</v>
      </c>
      <c r="AI312" s="55">
        <v>1949.2975097726737</v>
      </c>
      <c r="AJ312" s="55">
        <v>208.6130426597955</v>
      </c>
      <c r="AK312" s="55">
        <v>0</v>
      </c>
      <c r="AM312" s="55">
        <v>6167789</v>
      </c>
      <c r="AN312" s="55">
        <v>622715</v>
      </c>
      <c r="AO312" s="55">
        <v>1423876</v>
      </c>
      <c r="AP312" s="55"/>
      <c r="AQ312" s="55">
        <v>8214380</v>
      </c>
      <c r="AR312" s="1"/>
      <c r="AS312" s="175">
        <v>1357.930564886746</v>
      </c>
      <c r="AT312" s="175">
        <v>137.09997727118258</v>
      </c>
      <c r="AU312" s="175">
        <v>313.48749787138962</v>
      </c>
      <c r="AV312" s="175"/>
      <c r="AW312" s="175">
        <v>1808.5180400293182</v>
      </c>
      <c r="AX312" s="1"/>
      <c r="AY312" s="171">
        <v>-9.0440476263742298E-3</v>
      </c>
      <c r="AZ312" s="171">
        <v>-2.2337523423017203E-2</v>
      </c>
      <c r="BA312" s="171">
        <v>4.8374436935584075E-2</v>
      </c>
      <c r="BB312" s="171">
        <f t="shared" si="97"/>
        <v>-5.8614537199663808E-4</v>
      </c>
      <c r="BC312" s="171"/>
      <c r="BD312" s="1"/>
      <c r="BE312" s="179">
        <f>AM312/'2017-18 disagg'!AM312-1</f>
        <v>2.036988019177266E-2</v>
      </c>
      <c r="BF312" s="179">
        <f>AN312/'2017-18 disagg'!AN312-1</f>
        <v>2.5847370371895773E-2</v>
      </c>
      <c r="BG312" s="179">
        <f>AO312/'2017-18 disagg'!AO312-1</f>
        <v>4.2453669368447855E-2</v>
      </c>
      <c r="BH312" s="179">
        <f>AQ312/'2017-18 disagg'!AQ312-1</f>
        <v>2.4546826758318652E-2</v>
      </c>
      <c r="BI312" s="1"/>
      <c r="BJ312" s="179">
        <f>AS312/'2017-18 disagg'!AS312-1</f>
        <v>1.5483703202906041E-2</v>
      </c>
      <c r="BK312" s="179">
        <f>AT312/'2017-18 disagg'!AT312-1</f>
        <v>2.0934963692213593E-2</v>
      </c>
      <c r="BL312" s="179">
        <f>AU312/'2017-18 disagg'!AU312-1</f>
        <v>3.7461741215619515E-2</v>
      </c>
      <c r="BM312" s="179">
        <f>AW312/'2017-18 disagg'!AW312-1</f>
        <v>1.9640647904840769E-2</v>
      </c>
    </row>
    <row r="313" spans="2:65" ht="15" x14ac:dyDescent="0.25">
      <c r="B313" t="s">
        <v>579</v>
      </c>
      <c r="D313" s="55">
        <v>4842320.4920044839</v>
      </c>
      <c r="E313" s="166">
        <v>1867.3792580145898</v>
      </c>
      <c r="F313" s="171">
        <f>VLOOKUP(B313,'2018-19'!$B$12:$AMX521,33,FALSE)</f>
        <v>2.2152451484636959E-2</v>
      </c>
      <c r="G313" s="171">
        <f>VLOOKUP(B313,'2018-19'!$B$12:$AMX521,34,FALSE)</f>
        <v>1.9234070935737035E-2</v>
      </c>
      <c r="I313" s="175">
        <v>4758138.6134894555</v>
      </c>
      <c r="J313" s="175">
        <v>1834.9155881482038</v>
      </c>
      <c r="K313" s="171">
        <f t="shared" si="96"/>
        <v>1.7692187082648303E-2</v>
      </c>
      <c r="L313" s="170">
        <f t="shared" si="96"/>
        <v>1.7692187082648525E-2</v>
      </c>
      <c r="N313" s="55">
        <v>3733275</v>
      </c>
      <c r="O313" s="55">
        <v>363689</v>
      </c>
      <c r="P313" s="55">
        <v>744794</v>
      </c>
      <c r="R313" s="55">
        <v>744794</v>
      </c>
      <c r="S313" s="55">
        <v>562.4920044845785</v>
      </c>
      <c r="U313" s="171">
        <v>1.0912961449087932E-2</v>
      </c>
      <c r="V313" s="171">
        <v>2.4934252431867421E-3</v>
      </c>
      <c r="AA313" s="55">
        <v>0</v>
      </c>
      <c r="AB313" s="55">
        <v>0</v>
      </c>
      <c r="AC313" s="55">
        <v>562.4920044845785</v>
      </c>
      <c r="AE313" s="55">
        <v>0</v>
      </c>
      <c r="AF313" s="55">
        <v>0</v>
      </c>
      <c r="AG313" s="55">
        <v>562.4920044845785</v>
      </c>
      <c r="AI313" s="55">
        <v>512.02272936981285</v>
      </c>
      <c r="AJ313" s="55">
        <v>50.469275114765637</v>
      </c>
      <c r="AK313" s="55">
        <v>0</v>
      </c>
      <c r="AM313" s="55">
        <v>3733787</v>
      </c>
      <c r="AN313" s="55">
        <v>363739</v>
      </c>
      <c r="AO313" s="55">
        <v>744794</v>
      </c>
      <c r="AP313" s="55"/>
      <c r="AQ313" s="55">
        <v>4842320</v>
      </c>
      <c r="AR313" s="1"/>
      <c r="AS313" s="175">
        <v>1439.8874277646769</v>
      </c>
      <c r="AT313" s="175">
        <v>140.27131517885081</v>
      </c>
      <c r="AU313" s="175">
        <v>287.22032533579574</v>
      </c>
      <c r="AV313" s="175"/>
      <c r="AW313" s="175">
        <v>1867.3790682793235</v>
      </c>
      <c r="AX313" s="1"/>
      <c r="AY313" s="171">
        <v>1.1051603107219865E-2</v>
      </c>
      <c r="AZ313" s="171">
        <v>2.6312481392933851E-3</v>
      </c>
      <c r="BA313" s="171">
        <v>6.0385407468649399E-2</v>
      </c>
      <c r="BB313" s="171">
        <f t="shared" si="97"/>
        <v>1.7692083679926363E-2</v>
      </c>
      <c r="BC313" s="171"/>
      <c r="BD313" s="1"/>
      <c r="BE313" s="179">
        <f>AM313/'2017-18 disagg'!AM313-1</f>
        <v>1.8635490750322115E-2</v>
      </c>
      <c r="BF313" s="179">
        <f>AN313/'2017-18 disagg'!AN313-1</f>
        <v>2.2129240383967019E-2</v>
      </c>
      <c r="BG313" s="179">
        <f>AO313/'2017-18 disagg'!AO313-1</f>
        <v>4.0167143134464567E-2</v>
      </c>
      <c r="BH313" s="179">
        <f>AQ313/'2017-18 disagg'!AQ313-1</f>
        <v>2.215234762872953E-2</v>
      </c>
      <c r="BI313" s="1"/>
      <c r="BJ313" s="179">
        <f>AS313/'2017-18 disagg'!AS313-1</f>
        <v>1.5727151589850275E-2</v>
      </c>
      <c r="BK313" s="179">
        <f>AT313/'2017-18 disagg'!AT313-1</f>
        <v>1.9210926105831749E-2</v>
      </c>
      <c r="BL313" s="179">
        <f>AU313/'2017-18 disagg'!AU313-1</f>
        <v>3.7197328256342033E-2</v>
      </c>
      <c r="BM313" s="179">
        <f>AW313/'2017-18 disagg'!AW313-1</f>
        <v>1.9233967376351968E-2</v>
      </c>
    </row>
    <row r="314" spans="2:65" ht="15" x14ac:dyDescent="0.25">
      <c r="B314" t="s">
        <v>580</v>
      </c>
      <c r="D314" s="55">
        <v>9789933.682089556</v>
      </c>
      <c r="E314" s="166">
        <v>1684.0951778809858</v>
      </c>
      <c r="F314" s="171">
        <f>VLOOKUP(B314,'2018-19'!$B$12:$AMX522,33,FALSE)</f>
        <v>2.2520853935985796E-2</v>
      </c>
      <c r="G314" s="171">
        <f>VLOOKUP(B314,'2018-19'!$B$12:$AMX522,34,FALSE)</f>
        <v>1.7446528373801229E-2</v>
      </c>
      <c r="I314" s="175">
        <v>9533985.9883725625</v>
      </c>
      <c r="J314" s="175">
        <v>1640.0662507425798</v>
      </c>
      <c r="K314" s="171">
        <f t="shared" si="96"/>
        <v>2.6845822306550637E-2</v>
      </c>
      <c r="L314" s="170">
        <f t="shared" si="96"/>
        <v>2.6845822306550637E-2</v>
      </c>
      <c r="N314" s="55">
        <v>7527426</v>
      </c>
      <c r="O314" s="55">
        <v>786681</v>
      </c>
      <c r="P314" s="55">
        <v>1474443</v>
      </c>
      <c r="R314" s="55">
        <v>1474443</v>
      </c>
      <c r="S314" s="55">
        <v>1383.682089555834</v>
      </c>
      <c r="U314" s="171">
        <v>2.5948827873221392E-2</v>
      </c>
      <c r="V314" s="171">
        <v>7.7230141508992656E-3</v>
      </c>
      <c r="AA314" s="55">
        <v>828.00193190551363</v>
      </c>
      <c r="AB314" s="55">
        <v>0</v>
      </c>
      <c r="AC314" s="55">
        <v>555.68015765032033</v>
      </c>
      <c r="AE314" s="55">
        <v>0</v>
      </c>
      <c r="AF314" s="55">
        <v>283.73948266363857</v>
      </c>
      <c r="AG314" s="55">
        <v>271.94067498668176</v>
      </c>
      <c r="AI314" s="55">
        <v>245.15885880933675</v>
      </c>
      <c r="AJ314" s="55">
        <v>26.781816177345018</v>
      </c>
      <c r="AK314" s="55">
        <v>0</v>
      </c>
      <c r="AM314" s="55">
        <v>7528499</v>
      </c>
      <c r="AN314" s="55">
        <v>786992</v>
      </c>
      <c r="AO314" s="55">
        <v>1474443</v>
      </c>
      <c r="AP314" s="55"/>
      <c r="AQ314" s="55">
        <v>9789934</v>
      </c>
      <c r="AR314" s="1"/>
      <c r="AS314" s="175">
        <v>1295.0760724536071</v>
      </c>
      <c r="AT314" s="175">
        <v>135.38083865222129</v>
      </c>
      <c r="AU314" s="175">
        <v>253.63832146311157</v>
      </c>
      <c r="AV314" s="175"/>
      <c r="AW314" s="175">
        <v>1684.09523256894</v>
      </c>
      <c r="AX314" s="1"/>
      <c r="AY314" s="171">
        <v>2.6095072166065769E-2</v>
      </c>
      <c r="AZ314" s="171">
        <v>8.12139908380205E-3</v>
      </c>
      <c r="BA314" s="171">
        <v>4.1056034034630429E-2</v>
      </c>
      <c r="BB314" s="171">
        <f t="shared" si="97"/>
        <v>2.6845855651517203E-2</v>
      </c>
      <c r="BC314" s="171"/>
      <c r="BD314" s="1"/>
      <c r="BE314" s="179">
        <f>AM314/'2017-18 disagg'!AM314-1</f>
        <v>1.8839293084991882E-2</v>
      </c>
      <c r="BF314" s="179">
        <f>AN314/'2017-18 disagg'!AN314-1</f>
        <v>2.1202825659311753E-2</v>
      </c>
      <c r="BG314" s="179">
        <f>AO314/'2017-18 disagg'!AO314-1</f>
        <v>4.247332734715803E-2</v>
      </c>
      <c r="BH314" s="179">
        <f>AQ314/'2017-18 disagg'!AQ314-1</f>
        <v>2.2520887140506707E-2</v>
      </c>
      <c r="BI314" s="1"/>
      <c r="BJ314" s="179">
        <f>AS314/'2017-18 disagg'!AS314-1</f>
        <v>1.3783237505529788E-2</v>
      </c>
      <c r="BK314" s="179">
        <f>AT314/'2017-18 disagg'!AT314-1</f>
        <v>1.6135040897298003E-2</v>
      </c>
      <c r="BL314" s="179">
        <f>AU314/'2017-18 disagg'!AU314-1</f>
        <v>3.7299986351234882E-2</v>
      </c>
      <c r="BM314" s="179">
        <f>AW314/'2017-18 disagg'!AW314-1</f>
        <v>1.7446561413542616E-2</v>
      </c>
    </row>
    <row r="315" spans="2:65" ht="15" x14ac:dyDescent="0.25">
      <c r="B315" t="s">
        <v>581</v>
      </c>
      <c r="D315" s="55">
        <v>7458364.4296729174</v>
      </c>
      <c r="E315" s="166">
        <v>1662.0032383314563</v>
      </c>
      <c r="F315" s="171">
        <f>VLOOKUP(B315,'2018-19'!$B$12:$AMX523,33,FALSE)</f>
        <v>2.4918459843644714E-2</v>
      </c>
      <c r="G315" s="171">
        <f>VLOOKUP(B315,'2018-19'!$B$12:$AMX523,34,FALSE)</f>
        <v>1.8448909593821394E-2</v>
      </c>
      <c r="I315" s="175">
        <v>7532250.0805361187</v>
      </c>
      <c r="J315" s="175">
        <v>1678.4677316072632</v>
      </c>
      <c r="K315" s="171">
        <f t="shared" si="96"/>
        <v>-9.8092402765711517E-3</v>
      </c>
      <c r="L315" s="170">
        <f t="shared" si="96"/>
        <v>-9.8092402765711517E-3</v>
      </c>
      <c r="N315" s="55">
        <v>5551309</v>
      </c>
      <c r="O315" s="55">
        <v>606046</v>
      </c>
      <c r="P315" s="55">
        <v>1298559</v>
      </c>
      <c r="R315" s="55">
        <v>1298559</v>
      </c>
      <c r="S315" s="55">
        <v>2450.4296729177586</v>
      </c>
      <c r="U315" s="171">
        <v>-1.8276915596386223E-2</v>
      </c>
      <c r="V315" s="171">
        <v>-1.3490738164144589E-2</v>
      </c>
      <c r="AA315" s="55">
        <v>147.64032268046867</v>
      </c>
      <c r="AB315" s="55">
        <v>0</v>
      </c>
      <c r="AC315" s="55">
        <v>2302.7893502372899</v>
      </c>
      <c r="AE315" s="55">
        <v>0</v>
      </c>
      <c r="AF315" s="55">
        <v>0</v>
      </c>
      <c r="AG315" s="55">
        <v>2302.7893502372899</v>
      </c>
      <c r="AI315" s="55">
        <v>2068.4724528685683</v>
      </c>
      <c r="AJ315" s="55">
        <v>234.31689736872156</v>
      </c>
      <c r="AK315" s="55">
        <v>0</v>
      </c>
      <c r="AM315" s="55">
        <v>5553526</v>
      </c>
      <c r="AN315" s="55">
        <v>606280</v>
      </c>
      <c r="AO315" s="55">
        <v>1298559</v>
      </c>
      <c r="AP315" s="55"/>
      <c r="AQ315" s="55">
        <v>7458365</v>
      </c>
      <c r="AR315" s="1"/>
      <c r="AS315" s="175">
        <v>1237.5338163199294</v>
      </c>
      <c r="AT315" s="175">
        <v>135.10191582040792</v>
      </c>
      <c r="AU315" s="175">
        <v>289.36763328137675</v>
      </c>
      <c r="AV315" s="175"/>
      <c r="AW315" s="175">
        <v>1662.0033654217141</v>
      </c>
      <c r="AX315" s="1"/>
      <c r="AY315" s="171">
        <v>-1.7884849494837374E-2</v>
      </c>
      <c r="AZ315" s="171">
        <v>-1.3109837758449983E-2</v>
      </c>
      <c r="BA315" s="171">
        <v>2.794478169567105E-2</v>
      </c>
      <c r="BB315" s="171">
        <f t="shared" si="97"/>
        <v>-9.8091645585484111E-3</v>
      </c>
      <c r="BC315" s="171"/>
      <c r="BD315" s="1"/>
      <c r="BE315" s="179">
        <f>AM315/'2017-18 disagg'!AM315-1</f>
        <v>2.0456253069760955E-2</v>
      </c>
      <c r="BF315" s="179">
        <f>AN315/'2017-18 disagg'!AN315-1</f>
        <v>2.5793734719602002E-2</v>
      </c>
      <c r="BG315" s="179">
        <f>AO315/'2017-18 disagg'!AO315-1</f>
        <v>4.4027245581678143E-2</v>
      </c>
      <c r="BH315" s="179">
        <f>AQ315/'2017-18 disagg'!AQ315-1</f>
        <v>2.4918538217229225E-2</v>
      </c>
      <c r="BI315" s="1"/>
      <c r="BJ315" s="179">
        <f>AS315/'2017-18 disagg'!AS315-1</f>
        <v>1.4014869422530829E-2</v>
      </c>
      <c r="BK315" s="179">
        <f>AT315/'2017-18 disagg'!AT315-1</f>
        <v>1.9318659508511971E-2</v>
      </c>
      <c r="BL315" s="179">
        <f>AU315/'2017-18 disagg'!AU315-1</f>
        <v>3.7437075736844072E-2</v>
      </c>
      <c r="BM315" s="179">
        <f>AW315/'2017-18 disagg'!AW315-1</f>
        <v>1.8448987472691636E-2</v>
      </c>
    </row>
    <row r="316" spans="2:65" ht="15" x14ac:dyDescent="0.25">
      <c r="B316" t="s">
        <v>582</v>
      </c>
      <c r="D316" s="55">
        <v>6202820.1174311312</v>
      </c>
      <c r="E316" s="166">
        <v>1653.7135577870956</v>
      </c>
      <c r="F316" s="171">
        <f>VLOOKUP(B316,'2018-19'!$B$12:$AMX524,33,FALSE)</f>
        <v>2.3177990532835313E-2</v>
      </c>
      <c r="G316" s="171">
        <f>VLOOKUP(B316,'2018-19'!$B$12:$AMX524,34,FALSE)</f>
        <v>1.8288855150000671E-2</v>
      </c>
      <c r="I316" s="175">
        <v>6221789.3216157109</v>
      </c>
      <c r="J316" s="175">
        <v>1658.7708751921768</v>
      </c>
      <c r="K316" s="171">
        <f t="shared" si="96"/>
        <v>-3.0488342185867046E-3</v>
      </c>
      <c r="L316" s="170">
        <f t="shared" si="96"/>
        <v>-3.0488342185869266E-3</v>
      </c>
      <c r="N316" s="55">
        <v>4750462</v>
      </c>
      <c r="O316" s="55">
        <v>492952</v>
      </c>
      <c r="P316" s="55">
        <v>956973</v>
      </c>
      <c r="R316" s="55">
        <v>956973</v>
      </c>
      <c r="S316" s="55">
        <v>2433.1174311306677</v>
      </c>
      <c r="U316" s="171">
        <v>-3.2721327434556136E-3</v>
      </c>
      <c r="V316" s="171">
        <v>8.8757919682642683E-3</v>
      </c>
      <c r="AA316" s="55">
        <v>1789.0178844236652</v>
      </c>
      <c r="AB316" s="55">
        <v>0</v>
      </c>
      <c r="AC316" s="55">
        <v>644.09954670700245</v>
      </c>
      <c r="AE316" s="55">
        <v>0</v>
      </c>
      <c r="AF316" s="55">
        <v>0</v>
      </c>
      <c r="AG316" s="55">
        <v>644.09954670700245</v>
      </c>
      <c r="AI316" s="55">
        <v>584.0187672466775</v>
      </c>
      <c r="AJ316" s="55">
        <v>60.080779460324933</v>
      </c>
      <c r="AK316" s="55">
        <v>0</v>
      </c>
      <c r="AM316" s="55">
        <v>4752836</v>
      </c>
      <c r="AN316" s="55">
        <v>493012</v>
      </c>
      <c r="AO316" s="55">
        <v>956973</v>
      </c>
      <c r="AP316" s="55"/>
      <c r="AQ316" s="55">
        <v>6202821</v>
      </c>
      <c r="AR316" s="1"/>
      <c r="AS316" s="175">
        <v>1267.1380408164569</v>
      </c>
      <c r="AT316" s="175">
        <v>131.44031474660667</v>
      </c>
      <c r="AU316" s="175">
        <v>255.13543752282789</v>
      </c>
      <c r="AV316" s="175"/>
      <c r="AW316" s="175">
        <v>1653.7137930858914</v>
      </c>
      <c r="AX316" s="1"/>
      <c r="AY316" s="171">
        <v>-2.7740270946015055E-3</v>
      </c>
      <c r="AZ316" s="171">
        <v>8.9985879961089754E-3</v>
      </c>
      <c r="BA316" s="171">
        <v>-1.0488902977286108E-2</v>
      </c>
      <c r="BB316" s="171">
        <f t="shared" si="97"/>
        <v>-3.0486923672923272E-3</v>
      </c>
      <c r="BC316" s="171"/>
      <c r="BD316" s="1"/>
      <c r="BE316" s="179">
        <f>AM316/'2017-18 disagg'!AM316-1</f>
        <v>1.9887965099873339E-2</v>
      </c>
      <c r="BF316" s="179">
        <f>AN316/'2017-18 disagg'!AN316-1</f>
        <v>1.8870342088240788E-2</v>
      </c>
      <c r="BG316" s="179">
        <f>AO316/'2017-18 disagg'!AO316-1</f>
        <v>4.2145464524672382E-2</v>
      </c>
      <c r="BH316" s="179">
        <f>AQ316/'2017-18 disagg'!AQ316-1</f>
        <v>2.3178136115815873E-2</v>
      </c>
      <c r="BI316" s="1"/>
      <c r="BJ316" s="179">
        <f>AS316/'2017-18 disagg'!AS316-1</f>
        <v>1.5014550715636732E-2</v>
      </c>
      <c r="BK316" s="179">
        <f>AT316/'2017-18 disagg'!AT316-1</f>
        <v>1.4001790295575356E-2</v>
      </c>
      <c r="BL316" s="179">
        <f>AU316/'2017-18 disagg'!AU316-1</f>
        <v>3.7165695303859936E-2</v>
      </c>
      <c r="BM316" s="179">
        <f>AW316/'2017-18 disagg'!AW316-1</f>
        <v>1.8289000037330139E-2</v>
      </c>
    </row>
    <row r="317" spans="2:65" ht="15" x14ac:dyDescent="0.25">
      <c r="B317" t="s">
        <v>583</v>
      </c>
      <c r="D317" s="55">
        <v>7608291.1573861362</v>
      </c>
      <c r="E317" s="166">
        <v>1546.795388140079</v>
      </c>
      <c r="F317" s="171">
        <f>VLOOKUP(B317,'2018-19'!$B$12:$AMX525,33,FALSE)</f>
        <v>2.9194171989801454E-2</v>
      </c>
      <c r="G317" s="171">
        <f>VLOOKUP(B317,'2018-19'!$B$12:$AMX525,34,FALSE)</f>
        <v>2.015767652573186E-2</v>
      </c>
      <c r="I317" s="175">
        <v>7795926.3511372628</v>
      </c>
      <c r="J317" s="175">
        <v>1584.9423578528842</v>
      </c>
      <c r="K317" s="171">
        <f t="shared" si="96"/>
        <v>-2.406836407885693E-2</v>
      </c>
      <c r="L317" s="170">
        <f t="shared" si="96"/>
        <v>-2.406836407885693E-2</v>
      </c>
      <c r="N317" s="55">
        <v>5798084</v>
      </c>
      <c r="O317" s="55">
        <v>617216</v>
      </c>
      <c r="P317" s="55">
        <v>1165700</v>
      </c>
      <c r="R317" s="55">
        <v>1165700</v>
      </c>
      <c r="S317" s="55">
        <v>27291.157386137085</v>
      </c>
      <c r="U317" s="171">
        <v>-1.9709979912020281E-2</v>
      </c>
      <c r="V317" s="171">
        <v>-1.4537005718668228E-2</v>
      </c>
      <c r="AA317" s="55">
        <v>1003.5978341499576</v>
      </c>
      <c r="AB317" s="55">
        <v>0</v>
      </c>
      <c r="AC317" s="55">
        <v>26287.559551987128</v>
      </c>
      <c r="AE317" s="55">
        <v>0</v>
      </c>
      <c r="AF317" s="55">
        <v>0</v>
      </c>
      <c r="AG317" s="55">
        <v>26287.559551987128</v>
      </c>
      <c r="AI317" s="55">
        <v>23809.571078871591</v>
      </c>
      <c r="AJ317" s="55">
        <v>2477.9884731155375</v>
      </c>
      <c r="AK317" s="55">
        <v>0</v>
      </c>
      <c r="AM317" s="55">
        <v>5822897</v>
      </c>
      <c r="AN317" s="55">
        <v>619694</v>
      </c>
      <c r="AO317" s="55">
        <v>1165700</v>
      </c>
      <c r="AP317" s="55"/>
      <c r="AQ317" s="55">
        <v>7608291</v>
      </c>
      <c r="AR317" s="1"/>
      <c r="AS317" s="175">
        <v>1183.8177639233566</v>
      </c>
      <c r="AT317" s="175">
        <v>125.9862170663023</v>
      </c>
      <c r="AU317" s="175">
        <v>236.99137515320237</v>
      </c>
      <c r="AV317" s="175"/>
      <c r="AW317" s="175">
        <v>1546.7953561428612</v>
      </c>
      <c r="AX317" s="1"/>
      <c r="AY317" s="171">
        <v>-1.5514811944732698E-2</v>
      </c>
      <c r="AZ317" s="171">
        <v>-1.0580566968167449E-2</v>
      </c>
      <c r="BA317" s="171">
        <v>-7.1113674880512012E-2</v>
      </c>
      <c r="BB317" s="171">
        <f t="shared" si="97"/>
        <v>-2.4068384267110332E-2</v>
      </c>
      <c r="BC317" s="171"/>
      <c r="BD317" s="1"/>
      <c r="BE317" s="179">
        <f>AM317/'2017-18 disagg'!AM317-1</f>
        <v>2.5910919475932159E-2</v>
      </c>
      <c r="BF317" s="179">
        <f>AN317/'2017-18 disagg'!AN317-1</f>
        <v>2.8092394829791534E-2</v>
      </c>
      <c r="BG317" s="179">
        <f>AO317/'2017-18 disagg'!AO317-1</f>
        <v>4.6520187955277237E-2</v>
      </c>
      <c r="BH317" s="179">
        <f>AQ317/'2017-18 disagg'!AQ317-1</f>
        <v>2.9194150699752175E-2</v>
      </c>
      <c r="BI317" s="1"/>
      <c r="BJ317" s="179">
        <f>AS317/'2017-18 disagg'!AS317-1</f>
        <v>1.6903251513277207E-2</v>
      </c>
      <c r="BK317" s="179">
        <f>AT317/'2017-18 disagg'!AT317-1</f>
        <v>1.9065573151854531E-2</v>
      </c>
      <c r="BL317" s="179">
        <f>AU317/'2017-18 disagg'!AU317-1</f>
        <v>3.733156719848485E-2</v>
      </c>
      <c r="BM317" s="179">
        <f>AW317/'2017-18 disagg'!AW317-1</f>
        <v>2.015765542261283E-2</v>
      </c>
    </row>
    <row r="318" spans="2:65" ht="15" x14ac:dyDescent="0.25">
      <c r="B318" t="s">
        <v>584</v>
      </c>
      <c r="D318" s="55">
        <v>7159737.705179722</v>
      </c>
      <c r="E318" s="166">
        <v>1578.3641771917892</v>
      </c>
      <c r="F318" s="171">
        <f>VLOOKUP(B318,'2018-19'!$B$12:$AMX526,33,FALSE)</f>
        <v>2.70089885483904E-2</v>
      </c>
      <c r="G318" s="171">
        <f>VLOOKUP(B318,'2018-19'!$B$12:$AMX526,34,FALSE)</f>
        <v>1.9221812658107629E-2</v>
      </c>
      <c r="I318" s="175">
        <v>7316124.1693849005</v>
      </c>
      <c r="J318" s="175">
        <v>1612.8395732276756</v>
      </c>
      <c r="K318" s="171">
        <f t="shared" si="96"/>
        <v>-2.1375589121299221E-2</v>
      </c>
      <c r="L318" s="170">
        <f t="shared" si="96"/>
        <v>-2.1375589121299221E-2</v>
      </c>
      <c r="N318" s="55">
        <v>5519236</v>
      </c>
      <c r="O318" s="55">
        <v>609973</v>
      </c>
      <c r="P318" s="55">
        <v>1007766</v>
      </c>
      <c r="R318" s="55">
        <v>1007766</v>
      </c>
      <c r="S318" s="55">
        <v>22762.705179723038</v>
      </c>
      <c r="U318" s="171">
        <v>-8.2482276815796229E-3</v>
      </c>
      <c r="V318" s="171">
        <v>3.9715082764967047E-2</v>
      </c>
      <c r="AA318" s="55">
        <v>13133.265393274996</v>
      </c>
      <c r="AB318" s="55">
        <v>0</v>
      </c>
      <c r="AC318" s="55">
        <v>9629.4397864480416</v>
      </c>
      <c r="AE318" s="55">
        <v>0</v>
      </c>
      <c r="AF318" s="55">
        <v>220.99577199479134</v>
      </c>
      <c r="AG318" s="55">
        <v>9408.4440144532491</v>
      </c>
      <c r="AI318" s="55">
        <v>8537.8946667810378</v>
      </c>
      <c r="AJ318" s="55">
        <v>870.54934767221312</v>
      </c>
      <c r="AK318" s="55">
        <v>0</v>
      </c>
      <c r="AM318" s="55">
        <v>5540908</v>
      </c>
      <c r="AN318" s="55">
        <v>611065</v>
      </c>
      <c r="AO318" s="55">
        <v>1007766</v>
      </c>
      <c r="AP318" s="55"/>
      <c r="AQ318" s="55">
        <v>7159739</v>
      </c>
      <c r="AR318" s="1"/>
      <c r="AS318" s="175">
        <v>1221.4931686657189</v>
      </c>
      <c r="AT318" s="175">
        <v>134.70927925724766</v>
      </c>
      <c r="AU318" s="175">
        <v>222.16201471195282</v>
      </c>
      <c r="AV318" s="175"/>
      <c r="AW318" s="175">
        <v>1578.3644626349196</v>
      </c>
      <c r="AX318" s="1"/>
      <c r="AY318" s="171">
        <v>-4.3539849984102208E-3</v>
      </c>
      <c r="AZ318" s="171">
        <v>4.1576425595517552E-2</v>
      </c>
      <c r="BA318" s="171">
        <v>-0.13445396038577417</v>
      </c>
      <c r="BB318" s="171">
        <f t="shared" si="97"/>
        <v>-2.1375412139573946E-2</v>
      </c>
      <c r="BC318" s="171"/>
      <c r="BD318" s="1"/>
      <c r="BE318" s="179">
        <f>AM318/'2017-18 disagg'!AM318-1</f>
        <v>2.4607065634559611E-2</v>
      </c>
      <c r="BF318" s="179">
        <f>AN318/'2017-18 disagg'!AN318-1</f>
        <v>1.9369292723044662E-2</v>
      </c>
      <c r="BG318" s="179">
        <f>AO318/'2017-18 disagg'!AO318-1</f>
        <v>4.5232353719059759E-2</v>
      </c>
      <c r="BH318" s="179">
        <f>AQ318/'2017-18 disagg'!AQ318-1</f>
        <v>2.7009174280342885E-2</v>
      </c>
      <c r="BI318" s="1"/>
      <c r="BJ318" s="179">
        <f>AS318/'2017-18 disagg'!AS318-1</f>
        <v>1.6838102044669068E-2</v>
      </c>
      <c r="BK318" s="179">
        <f>AT318/'2017-18 disagg'!AT318-1</f>
        <v>1.1640043935448929E-2</v>
      </c>
      <c r="BL318" s="179">
        <f>AU318/'2017-18 disagg'!AU318-1</f>
        <v>3.7307001287500974E-2</v>
      </c>
      <c r="BM318" s="179">
        <f>AW318/'2017-18 disagg'!AW318-1</f>
        <v>1.9221996981769518E-2</v>
      </c>
    </row>
    <row r="319" spans="2:65" ht="15" x14ac:dyDescent="0.25">
      <c r="B319" t="s">
        <v>516</v>
      </c>
      <c r="D319" s="55">
        <v>16036499.709685687</v>
      </c>
      <c r="E319" s="166">
        <v>1646.9039519921689</v>
      </c>
      <c r="F319" s="171">
        <f>VLOOKUP(B319,'2018-19'!$B$12:$AMX527,33,FALSE)</f>
        <v>2.9761181299210904E-2</v>
      </c>
      <c r="G319" s="171">
        <f>VLOOKUP(B319,'2018-19'!$B$12:$AMX527,34,FALSE)</f>
        <v>1.7066658737112661E-2</v>
      </c>
      <c r="I319" s="175">
        <v>15951933.864206355</v>
      </c>
      <c r="J319" s="175">
        <v>1638.2192746844798</v>
      </c>
      <c r="K319" s="171">
        <f t="shared" si="96"/>
        <v>5.3012911286627329E-3</v>
      </c>
      <c r="L319" s="170">
        <f t="shared" si="96"/>
        <v>5.3012911286627329E-3</v>
      </c>
      <c r="N319" s="55">
        <v>11632726</v>
      </c>
      <c r="O319" s="55">
        <v>1274306</v>
      </c>
      <c r="P319" s="55">
        <v>3115404</v>
      </c>
      <c r="R319" s="55">
        <v>3115404</v>
      </c>
      <c r="S319" s="55">
        <v>14063.709685687383</v>
      </c>
      <c r="U319" s="171">
        <v>1.1713641197144131E-2</v>
      </c>
      <c r="V319" s="171">
        <v>-3.9366744324315972E-2</v>
      </c>
      <c r="AA319" s="55">
        <v>0</v>
      </c>
      <c r="AB319" s="55">
        <v>0</v>
      </c>
      <c r="AC319" s="55">
        <v>14063.709685687383</v>
      </c>
      <c r="AE319" s="55">
        <v>0</v>
      </c>
      <c r="AF319" s="55">
        <v>579.01562494446989</v>
      </c>
      <c r="AG319" s="55">
        <v>13484.694060742913</v>
      </c>
      <c r="AI319" s="55">
        <v>12199.816831444568</v>
      </c>
      <c r="AJ319" s="55">
        <v>1284.877229298346</v>
      </c>
      <c r="AK319" s="55">
        <v>0</v>
      </c>
      <c r="AM319" s="55">
        <v>11644924</v>
      </c>
      <c r="AN319" s="55">
        <v>1276169</v>
      </c>
      <c r="AO319" s="55">
        <v>3115404</v>
      </c>
      <c r="AP319" s="55"/>
      <c r="AQ319" s="55">
        <v>16036497</v>
      </c>
      <c r="AR319" s="1"/>
      <c r="AS319" s="175">
        <v>1195.9013315521299</v>
      </c>
      <c r="AT319" s="175">
        <v>131.05900960672221</v>
      </c>
      <c r="AU319" s="175">
        <v>319.94333255612759</v>
      </c>
      <c r="AV319" s="175"/>
      <c r="AW319" s="175">
        <v>1646.9036737149797</v>
      </c>
      <c r="AX319" s="1"/>
      <c r="AY319" s="171">
        <v>1.2774517469423152E-2</v>
      </c>
      <c r="AZ319" s="171">
        <v>-3.7962325169635824E-2</v>
      </c>
      <c r="BA319" s="171">
        <v>-3.824546561772002E-3</v>
      </c>
      <c r="BB319" s="171">
        <f t="shared" si="97"/>
        <v>5.3011212630083016E-3</v>
      </c>
      <c r="BC319" s="171"/>
      <c r="BD319" s="1"/>
      <c r="BE319" s="179">
        <f>AM319/'2017-18 disagg'!AM319-1</f>
        <v>2.3779083823833203E-2</v>
      </c>
      <c r="BF319" s="179">
        <f>AN319/'2017-18 disagg'!AN319-1</f>
        <v>3.5604328187916146E-2</v>
      </c>
      <c r="BG319" s="179">
        <f>AO319/'2017-18 disagg'!AO319-1</f>
        <v>5.027165301771519E-2</v>
      </c>
      <c r="BH319" s="179">
        <f>AQ319/'2017-18 disagg'!AQ319-1</f>
        <v>2.9761007300571185E-2</v>
      </c>
      <c r="BI319" s="1"/>
      <c r="BJ319" s="179">
        <f>AS319/'2017-18 disagg'!AS319-1</f>
        <v>1.1158306390944839E-2</v>
      </c>
      <c r="BK319" s="179">
        <f>AT319/'2017-18 disagg'!AT319-1</f>
        <v>2.2837773429072339E-2</v>
      </c>
      <c r="BL319" s="179">
        <f>AU319/'2017-18 disagg'!AU319-1</f>
        <v>3.7324284795168472E-2</v>
      </c>
      <c r="BM319" s="179">
        <f>AW319/'2017-18 disagg'!AW319-1</f>
        <v>1.7066486883465348E-2</v>
      </c>
    </row>
    <row r="320" spans="2:65" ht="15" x14ac:dyDescent="0.25">
      <c r="B320" t="s">
        <v>585</v>
      </c>
      <c r="D320" s="55">
        <v>7870636.5284574609</v>
      </c>
      <c r="E320" s="166">
        <v>1628.5359579602973</v>
      </c>
      <c r="F320" s="171">
        <f>VLOOKUP(B320,'2018-19'!$B$12:$AMX528,33,FALSE)</f>
        <v>2.6673685632304212E-2</v>
      </c>
      <c r="G320" s="171">
        <f>VLOOKUP(B320,'2018-19'!$B$12:$AMX528,34,FALSE)</f>
        <v>1.8322107647873898E-2</v>
      </c>
      <c r="I320" s="175">
        <v>7952492.7917270698</v>
      </c>
      <c r="J320" s="175">
        <v>1645.4730719582358</v>
      </c>
      <c r="K320" s="171">
        <f t="shared" si="96"/>
        <v>-1.0293157807670483E-2</v>
      </c>
      <c r="L320" s="170">
        <f t="shared" si="96"/>
        <v>-1.0293157807670483E-2</v>
      </c>
      <c r="N320" s="55">
        <v>5961558</v>
      </c>
      <c r="O320" s="55">
        <v>613965</v>
      </c>
      <c r="P320" s="55">
        <v>1283208</v>
      </c>
      <c r="R320" s="55">
        <v>1283208</v>
      </c>
      <c r="S320" s="55">
        <v>11905.528457461507</v>
      </c>
      <c r="U320" s="171">
        <v>-8.4078870876693745E-3</v>
      </c>
      <c r="V320" s="171">
        <v>-3.024395837125482E-2</v>
      </c>
      <c r="AA320" s="55">
        <v>2887.9387175800512</v>
      </c>
      <c r="AB320" s="55">
        <v>0</v>
      </c>
      <c r="AC320" s="55">
        <v>9017.5897398814559</v>
      </c>
      <c r="AE320" s="55">
        <v>0</v>
      </c>
      <c r="AF320" s="55">
        <v>0</v>
      </c>
      <c r="AG320" s="55">
        <v>9017.5897398814559</v>
      </c>
      <c r="AI320" s="55">
        <v>8178.0646317730898</v>
      </c>
      <c r="AJ320" s="55">
        <v>839.52510810836532</v>
      </c>
      <c r="AK320" s="55">
        <v>0</v>
      </c>
      <c r="AM320" s="55">
        <v>5972623</v>
      </c>
      <c r="AN320" s="55">
        <v>614805</v>
      </c>
      <c r="AO320" s="55">
        <v>1283208</v>
      </c>
      <c r="AP320" s="55"/>
      <c r="AQ320" s="55">
        <v>7870636</v>
      </c>
      <c r="AR320" s="1"/>
      <c r="AS320" s="175">
        <v>1235.8125398972011</v>
      </c>
      <c r="AT320" s="175">
        <v>127.21106431654881</v>
      </c>
      <c r="AU320" s="175">
        <v>265.51224440189975</v>
      </c>
      <c r="AV320" s="175"/>
      <c r="AW320" s="175">
        <v>1628.5358486156497</v>
      </c>
      <c r="AX320" s="1"/>
      <c r="AY320" s="171">
        <v>-6.5674341843553474E-3</v>
      </c>
      <c r="AZ320" s="171">
        <v>-2.8917180664108422E-2</v>
      </c>
      <c r="BA320" s="171">
        <v>-1.8408426259372446E-2</v>
      </c>
      <c r="BB320" s="171">
        <f t="shared" si="97"/>
        <v>-1.0293224259470546E-2</v>
      </c>
      <c r="BC320" s="171"/>
      <c r="BD320" s="1"/>
      <c r="BE320" s="179">
        <f>AM320/'2017-18 disagg'!AM320-1</f>
        <v>2.2526973783102422E-2</v>
      </c>
      <c r="BF320" s="179">
        <f>AN320/'2017-18 disagg'!AN320-1</f>
        <v>2.7936986704475641E-2</v>
      </c>
      <c r="BG320" s="179">
        <f>AO320/'2017-18 disagg'!AO320-1</f>
        <v>4.5797358465347493E-2</v>
      </c>
      <c r="BH320" s="179">
        <f>AQ320/'2017-18 disagg'!AQ320-1</f>
        <v>2.6673616698442704E-2</v>
      </c>
      <c r="BI320" s="1"/>
      <c r="BJ320" s="179">
        <f>AS320/'2017-18 disagg'!AS320-1</f>
        <v>1.4209127633695973E-2</v>
      </c>
      <c r="BK320" s="179">
        <f>AT320/'2017-18 disagg'!AT320-1</f>
        <v>1.9575132273331963E-2</v>
      </c>
      <c r="BL320" s="179">
        <f>AU320/'2017-18 disagg'!AU320-1</f>
        <v>3.7290217085021116E-2</v>
      </c>
      <c r="BM320" s="179">
        <f>AW320/'2017-18 disagg'!AW320-1</f>
        <v>1.8322039274761392E-2</v>
      </c>
    </row>
    <row r="321" spans="2:65" ht="15" x14ac:dyDescent="0.25">
      <c r="B321" t="s">
        <v>586</v>
      </c>
      <c r="D321" s="55">
        <v>5755751.7692846972</v>
      </c>
      <c r="E321" s="166">
        <v>1487.7341069993329</v>
      </c>
      <c r="F321" s="171">
        <f>VLOOKUP(B321,'2018-19'!$B$12:$AMX529,33,FALSE)</f>
        <v>2.5728754912732077E-2</v>
      </c>
      <c r="G321" s="171">
        <f>VLOOKUP(B321,'2018-19'!$B$12:$AMX529,34,FALSE)</f>
        <v>1.8397944841040959E-2</v>
      </c>
      <c r="I321" s="175">
        <v>5839906.3637914602</v>
      </c>
      <c r="J321" s="175">
        <v>1509.486202212426</v>
      </c>
      <c r="K321" s="171">
        <f t="shared" si="96"/>
        <v>-1.4410264354328906E-2</v>
      </c>
      <c r="L321" s="170">
        <f t="shared" si="96"/>
        <v>-1.4410264354328906E-2</v>
      </c>
      <c r="N321" s="55">
        <v>4313401</v>
      </c>
      <c r="O321" s="55">
        <v>483758</v>
      </c>
      <c r="P321" s="55">
        <v>952231</v>
      </c>
      <c r="R321" s="55">
        <v>952231</v>
      </c>
      <c r="S321" s="55">
        <v>6361.7692846964346</v>
      </c>
      <c r="U321" s="171">
        <v>-2.836443637661501E-2</v>
      </c>
      <c r="V321" s="171">
        <v>-8.8123960019195202E-3</v>
      </c>
      <c r="AA321" s="55">
        <v>330.2286828198994</v>
      </c>
      <c r="AB321" s="55">
        <v>0</v>
      </c>
      <c r="AC321" s="55">
        <v>6031.5406018765352</v>
      </c>
      <c r="AE321" s="55">
        <v>0</v>
      </c>
      <c r="AF321" s="55">
        <v>0</v>
      </c>
      <c r="AG321" s="55">
        <v>6031.5406018765352</v>
      </c>
      <c r="AI321" s="55">
        <v>5448.6556309901271</v>
      </c>
      <c r="AJ321" s="55">
        <v>582.88497088640804</v>
      </c>
      <c r="AK321" s="55">
        <v>0</v>
      </c>
      <c r="AM321" s="55">
        <v>4319179</v>
      </c>
      <c r="AN321" s="55">
        <v>484340</v>
      </c>
      <c r="AO321" s="55">
        <v>952231</v>
      </c>
      <c r="AP321" s="55"/>
      <c r="AQ321" s="55">
        <v>5755750</v>
      </c>
      <c r="AR321" s="1"/>
      <c r="AS321" s="175">
        <v>1116.4119249940904</v>
      </c>
      <c r="AT321" s="175">
        <v>125.19114205538548</v>
      </c>
      <c r="AU321" s="175">
        <v>246.13058262902459</v>
      </c>
      <c r="AV321" s="175"/>
      <c r="AW321" s="175">
        <v>1487.7336496785006</v>
      </c>
      <c r="AX321" s="1"/>
      <c r="AY321" s="171">
        <v>-2.7062885631248257E-2</v>
      </c>
      <c r="AZ321" s="171">
        <v>-7.619917147767552E-3</v>
      </c>
      <c r="BA321" s="171">
        <v>4.3509269919590698E-2</v>
      </c>
      <c r="BB321" s="171">
        <f t="shared" si="97"/>
        <v>-1.4410567318895007E-2</v>
      </c>
      <c r="BC321" s="171"/>
      <c r="BD321" s="1"/>
      <c r="BE321" s="179">
        <f>AM321/'2017-18 disagg'!AM321-1</f>
        <v>2.194137153092024E-2</v>
      </c>
      <c r="BF321" s="179">
        <f>AN321/'2017-18 disagg'!AN321-1</f>
        <v>2.2943036303769704E-2</v>
      </c>
      <c r="BG321" s="179">
        <f>AO321/'2017-18 disagg'!AO321-1</f>
        <v>4.4736114524453141E-2</v>
      </c>
      <c r="BH321" s="179">
        <f>AQ321/'2017-18 disagg'!AQ321-1</f>
        <v>2.5728439609664422E-2</v>
      </c>
      <c r="BI321" s="1"/>
      <c r="BJ321" s="179">
        <f>AS321/'2017-18 disagg'!AS321-1</f>
        <v>1.4637629617460624E-2</v>
      </c>
      <c r="BK321" s="179">
        <f>AT321/'2017-18 disagg'!AT321-1</f>
        <v>1.5632135563797833E-2</v>
      </c>
      <c r="BL321" s="179">
        <f>AU321/'2017-18 disagg'!AU321-1</f>
        <v>3.7269460212644434E-2</v>
      </c>
      <c r="BM321" s="179">
        <f>AW321/'2017-18 disagg'!AW321-1</f>
        <v>1.839763179142162E-2</v>
      </c>
    </row>
    <row r="322" spans="2:65" ht="15" x14ac:dyDescent="0.25">
      <c r="B322" t="s">
        <v>537</v>
      </c>
      <c r="D322" s="55">
        <v>4668138.1776513029</v>
      </c>
      <c r="E322" s="166">
        <v>1614.6267301147675</v>
      </c>
      <c r="F322" s="171">
        <f>VLOOKUP(B322,'2018-19'!$B$12:$AMX530,33,FALSE)</f>
        <v>2.3674104454495914E-2</v>
      </c>
      <c r="G322" s="171">
        <f>VLOOKUP(B322,'2018-19'!$B$12:$AMX530,34,FALSE)</f>
        <v>1.739008949607701E-2</v>
      </c>
      <c r="I322" s="175">
        <v>4692327.4412362501</v>
      </c>
      <c r="J322" s="175">
        <v>1622.9933701069233</v>
      </c>
      <c r="K322" s="171">
        <f t="shared" si="96"/>
        <v>-5.1550672641409445E-3</v>
      </c>
      <c r="L322" s="170">
        <f t="shared" si="96"/>
        <v>-5.1550672641408335E-3</v>
      </c>
      <c r="N322" s="55">
        <v>3560924</v>
      </c>
      <c r="O322" s="55">
        <v>373045</v>
      </c>
      <c r="P322" s="55">
        <v>730880</v>
      </c>
      <c r="R322" s="55">
        <v>730880</v>
      </c>
      <c r="S322" s="55">
        <v>3289.1776513028308</v>
      </c>
      <c r="U322" s="171">
        <v>-2.0141648382105304E-2</v>
      </c>
      <c r="V322" s="171">
        <v>-1.5022287346292407E-2</v>
      </c>
      <c r="AA322" s="55">
        <v>629.82746499642963</v>
      </c>
      <c r="AB322" s="55">
        <v>0</v>
      </c>
      <c r="AC322" s="55">
        <v>2659.3501863064012</v>
      </c>
      <c r="AE322" s="55">
        <v>0</v>
      </c>
      <c r="AF322" s="55">
        <v>0</v>
      </c>
      <c r="AG322" s="55">
        <v>2659.3501863064012</v>
      </c>
      <c r="AI322" s="55">
        <v>2406.1342742365837</v>
      </c>
      <c r="AJ322" s="55">
        <v>253.21591206981748</v>
      </c>
      <c r="AK322" s="55">
        <v>0</v>
      </c>
      <c r="AM322" s="55">
        <v>3563960</v>
      </c>
      <c r="AN322" s="55">
        <v>373298</v>
      </c>
      <c r="AO322" s="55">
        <v>730880</v>
      </c>
      <c r="AP322" s="55"/>
      <c r="AQ322" s="55">
        <v>4668138</v>
      </c>
      <c r="AR322" s="1"/>
      <c r="AS322" s="175">
        <v>1232.7109571454655</v>
      </c>
      <c r="AT322" s="175">
        <v>129.11719965445403</v>
      </c>
      <c r="AU322" s="175">
        <v>252.79851186839298</v>
      </c>
      <c r="AV322" s="175"/>
      <c r="AW322" s="175">
        <v>1614.6266686683125</v>
      </c>
      <c r="AX322" s="1"/>
      <c r="AY322" s="171">
        <v>-1.9306233204608669E-2</v>
      </c>
      <c r="AZ322" s="171">
        <v>-1.4354273135402607E-2</v>
      </c>
      <c r="BA322" s="171">
        <v>7.5659075801580933E-2</v>
      </c>
      <c r="BB322" s="171">
        <f t="shared" si="97"/>
        <v>-5.1551051240953383E-3</v>
      </c>
      <c r="BC322" s="171"/>
      <c r="BD322" s="1"/>
      <c r="BE322" s="179">
        <f>AM322/'2017-18 disagg'!AM322-1</f>
        <v>1.9729293740840426E-2</v>
      </c>
      <c r="BF322" s="179">
        <f>AN322/'2017-18 disagg'!AN322-1</f>
        <v>2.3025738840656063E-2</v>
      </c>
      <c r="BG322" s="179">
        <f>AO322/'2017-18 disagg'!AO322-1</f>
        <v>4.3699787798560097E-2</v>
      </c>
      <c r="BH322" s="179">
        <f>AQ322/'2017-18 disagg'!AQ322-1</f>
        <v>2.3674065497414576E-2</v>
      </c>
      <c r="BI322" s="1"/>
      <c r="BJ322" s="179">
        <f>AS322/'2017-18 disagg'!AS322-1</f>
        <v>1.3469494740825594E-2</v>
      </c>
      <c r="BK322" s="179">
        <f>AT322/'2017-18 disagg'!AT322-1</f>
        <v>1.6745703995828087E-2</v>
      </c>
      <c r="BL322" s="179">
        <f>AU322/'2017-18 disagg'!AU322-1</f>
        <v>3.7292841437325253E-2</v>
      </c>
      <c r="BM322" s="179">
        <f>AW322/'2017-18 disagg'!AW322-1</f>
        <v>1.7390050778141042E-2</v>
      </c>
    </row>
    <row r="323" spans="2:65" ht="15" x14ac:dyDescent="0.25">
      <c r="B323" t="s">
        <v>587</v>
      </c>
      <c r="D323" s="55">
        <v>5564254.3097036118</v>
      </c>
      <c r="E323" s="166">
        <v>1661.4913575535302</v>
      </c>
      <c r="F323" s="171">
        <f>VLOOKUP(B323,'2018-19'!$B$12:$AMX531,33,FALSE)</f>
        <v>2.376601901711406E-2</v>
      </c>
      <c r="G323" s="171">
        <f>VLOOKUP(B323,'2018-19'!$B$12:$AMX531,34,FALSE)</f>
        <v>1.6621439337789257E-2</v>
      </c>
      <c r="I323" s="175">
        <v>5543786.7137987306</v>
      </c>
      <c r="J323" s="175">
        <v>1655.3797149482396</v>
      </c>
      <c r="K323" s="171">
        <f t="shared" si="96"/>
        <v>3.6919883396553388E-3</v>
      </c>
      <c r="L323" s="170">
        <f t="shared" si="96"/>
        <v>3.6919883396551167E-3</v>
      </c>
      <c r="N323" s="55">
        <v>4229408</v>
      </c>
      <c r="O323" s="55">
        <v>452176</v>
      </c>
      <c r="P323" s="55">
        <v>881692</v>
      </c>
      <c r="R323" s="55">
        <v>881692</v>
      </c>
      <c r="S323" s="55">
        <v>978.30970361153595</v>
      </c>
      <c r="U323" s="171">
        <v>3.5824095322389837E-4</v>
      </c>
      <c r="V323" s="171">
        <v>3.0362473110193688E-2</v>
      </c>
      <c r="AA323" s="55">
        <v>978.30970361153595</v>
      </c>
      <c r="AB323" s="55">
        <v>0</v>
      </c>
      <c r="AC323" s="55">
        <v>0</v>
      </c>
      <c r="AE323" s="55">
        <v>0</v>
      </c>
      <c r="AF323" s="55">
        <v>0</v>
      </c>
      <c r="AG323" s="55">
        <v>0</v>
      </c>
      <c r="AI323" s="55">
        <v>0</v>
      </c>
      <c r="AJ323" s="55">
        <v>0</v>
      </c>
      <c r="AK323" s="55">
        <v>0</v>
      </c>
      <c r="AM323" s="55">
        <v>4230387</v>
      </c>
      <c r="AN323" s="55">
        <v>452176</v>
      </c>
      <c r="AO323" s="55">
        <v>881692</v>
      </c>
      <c r="AP323" s="55"/>
      <c r="AQ323" s="55">
        <v>5564255</v>
      </c>
      <c r="AR323" s="1"/>
      <c r="AS323" s="175">
        <v>1263.1973753157238</v>
      </c>
      <c r="AT323" s="175">
        <v>135.02016160241669</v>
      </c>
      <c r="AU323" s="175">
        <v>263.27402675851431</v>
      </c>
      <c r="AV323" s="175"/>
      <c r="AW323" s="175">
        <v>1661.4915636766548</v>
      </c>
      <c r="AX323" s="1"/>
      <c r="AY323" s="171">
        <v>5.8979835272121584E-4</v>
      </c>
      <c r="AZ323" s="171">
        <v>3.0362473110193688E-2</v>
      </c>
      <c r="BA323" s="171">
        <v>5.3019907582145809E-3</v>
      </c>
      <c r="BB323" s="171">
        <f t="shared" si="97"/>
        <v>3.6921128567812822E-3</v>
      </c>
      <c r="BC323" s="171"/>
      <c r="BD323" s="1"/>
      <c r="BE323" s="179">
        <f>AM323/'2017-18 disagg'!AM323-1</f>
        <v>2.0318150957093772E-2</v>
      </c>
      <c r="BF323" s="179">
        <f>AN323/'2017-18 disagg'!AN323-1</f>
        <v>1.6246878841749801E-2</v>
      </c>
      <c r="BG323" s="179">
        <f>AO323/'2017-18 disagg'!AO323-1</f>
        <v>4.4668669845211895E-2</v>
      </c>
      <c r="BH323" s="179">
        <f>AQ323/'2017-18 disagg'!AQ323-1</f>
        <v>2.3766146024606138E-2</v>
      </c>
      <c r="BI323" s="1"/>
      <c r="BJ323" s="179">
        <f>AS323/'2017-18 disagg'!AS323-1</f>
        <v>1.3197632994627506E-2</v>
      </c>
      <c r="BK323" s="179">
        <f>AT323/'2017-18 disagg'!AT323-1</f>
        <v>9.154773160491958E-3</v>
      </c>
      <c r="BL323" s="179">
        <f>AU323/'2017-18 disagg'!AU323-1</f>
        <v>3.7378216351386273E-2</v>
      </c>
      <c r="BM323" s="179">
        <f>AW323/'2017-18 disagg'!AW323-1</f>
        <v>1.6621565458931231E-2</v>
      </c>
    </row>
    <row r="324" spans="2:65" ht="15" x14ac:dyDescent="0.25">
      <c r="B324"/>
      <c r="D324" s="1"/>
      <c r="N324" s="1"/>
      <c r="O324" s="1"/>
      <c r="P324" s="1"/>
      <c r="R324" s="1"/>
      <c r="S324" s="1"/>
      <c r="AA324" s="1"/>
      <c r="AB324" s="1"/>
      <c r="AC324" s="1"/>
      <c r="AE324" s="1"/>
      <c r="AF324" s="1"/>
      <c r="AG324" s="1"/>
      <c r="AI324" s="1"/>
      <c r="AJ324" s="1"/>
      <c r="AK324" s="1"/>
      <c r="AM324" s="1"/>
      <c r="AN324" s="1"/>
      <c r="AO324" s="1"/>
      <c r="AP324" s="1"/>
      <c r="AR324" s="1"/>
      <c r="AV324" s="64"/>
      <c r="AX324" s="1"/>
      <c r="BA324" s="64"/>
      <c r="BD324" s="1"/>
      <c r="BE324" s="179"/>
      <c r="BF324" s="179"/>
      <c r="BG324" s="179"/>
      <c r="BH324" s="179"/>
      <c r="BI324" s="1"/>
      <c r="BJ324" s="179"/>
      <c r="BK324" s="179"/>
    </row>
    <row r="325" spans="2:65" ht="15" x14ac:dyDescent="0.25">
      <c r="B325" t="s">
        <v>12</v>
      </c>
      <c r="D325" s="172">
        <f>SUM(D311:D323)</f>
        <v>97246518.423480064</v>
      </c>
      <c r="E325" s="166">
        <v>1659.7174943080556</v>
      </c>
      <c r="F325" s="171">
        <f>VLOOKUP(B325,'2018-19'!$B$12:$AMX533,33,FALSE)</f>
        <v>2.5486443052915808E-2</v>
      </c>
      <c r="G325" s="171">
        <f>VLOOKUP(B325,'2018-19'!$B$12:$AMX533,34,FALSE)</f>
        <v>1.8162052357029168E-2</v>
      </c>
      <c r="I325" s="175">
        <f>SUM(I311:I323)</f>
        <v>97246569.278791666</v>
      </c>
      <c r="J325" s="175">
        <v>1659.7183622614975</v>
      </c>
      <c r="K325" s="171">
        <f t="shared" ref="K325:L325" si="98">D325/I325-1</f>
        <v>-5.2295224373111182E-7</v>
      </c>
      <c r="L325" s="170">
        <f t="shared" si="98"/>
        <v>-5.2295224395315643E-7</v>
      </c>
      <c r="N325" s="172">
        <f>SUM(N311:N323)</f>
        <v>73508656</v>
      </c>
      <c r="O325" s="172">
        <f>SUM(O311:O323)</f>
        <v>7755210</v>
      </c>
      <c r="P325" s="172">
        <f>SUM(P311:P323)</f>
        <v>15885992</v>
      </c>
      <c r="R325" s="172">
        <f>SUM(R311:R323)</f>
        <v>15885992</v>
      </c>
      <c r="S325" s="172">
        <f>SUM(S311:S323)</f>
        <v>96660.423480058176</v>
      </c>
      <c r="U325" s="171">
        <v>-5.3937298234774111E-4</v>
      </c>
      <c r="V325" s="171">
        <v>-7.2060423734240375E-3</v>
      </c>
      <c r="AA325" s="172">
        <f>SUM(AA311:AA323)</f>
        <v>21727.827935442518</v>
      </c>
      <c r="AB325" s="172">
        <f>SUM(AB311:AB323)</f>
        <v>0</v>
      </c>
      <c r="AC325" s="172">
        <f>SUM(AC311:AC323)</f>
        <v>74932.595544615659</v>
      </c>
      <c r="AE325" s="172">
        <f>SUM(AE311:AE323)</f>
        <v>0</v>
      </c>
      <c r="AF325" s="172">
        <f>SUM(AF311:AF323)</f>
        <v>1242.6628694138326</v>
      </c>
      <c r="AG325" s="172">
        <f>SUM(AG311:AG323)</f>
        <v>73689.932675201824</v>
      </c>
      <c r="AI325" s="172">
        <f>SUM(AI311:AI323)</f>
        <v>66726.859276329618</v>
      </c>
      <c r="AJ325" s="172">
        <f>SUM(AJ311:AJ323)</f>
        <v>6963.0733988722168</v>
      </c>
      <c r="AK325" s="172">
        <f>SUM(AK311:AK323)</f>
        <v>0</v>
      </c>
      <c r="AM325" s="172">
        <f>SUM(AM311:AM323)</f>
        <v>73597110</v>
      </c>
      <c r="AN325" s="172">
        <f>SUM(AN311:AN323)</f>
        <v>7763415</v>
      </c>
      <c r="AO325" s="172">
        <f>SUM(AO311:AO323)</f>
        <v>15885992</v>
      </c>
      <c r="AP325" s="172"/>
      <c r="AQ325" s="172">
        <f>SUM(AQ311:AQ323)</f>
        <v>97246517</v>
      </c>
      <c r="AR325" s="1"/>
      <c r="AS325" s="175">
        <v>1256.0903256771121</v>
      </c>
      <c r="AT325" s="175">
        <v>132.499095082899</v>
      </c>
      <c r="AU325" s="175">
        <v>271.128049253347</v>
      </c>
      <c r="AV325" s="175"/>
      <c r="AW325" s="175">
        <v>1659.717470013358</v>
      </c>
      <c r="AX325" s="1"/>
      <c r="AY325" s="171">
        <v>6.6329205212412035E-4</v>
      </c>
      <c r="AZ325" s="171">
        <v>-6.1556679254947122E-3</v>
      </c>
      <c r="BA325" s="171">
        <v>-4.7290929741095056E-5</v>
      </c>
      <c r="BB325" s="171">
        <f t="shared" ref="BB325" si="99">SUM(AM325:AO325)/I325-1</f>
        <v>-5.3759008722398249E-7</v>
      </c>
      <c r="BC325" s="171"/>
      <c r="BD325" s="1"/>
      <c r="BE325" s="179">
        <f>AM325/'2017-18 disagg'!AM325-1</f>
        <v>2.1454070318438045E-2</v>
      </c>
      <c r="BF325" s="179">
        <f>AN325/'2017-18 disagg'!AN325-1</f>
        <v>2.4850808549938153E-2</v>
      </c>
      <c r="BG325" s="179">
        <f>AO325/'2017-18 disagg'!AO325-1</f>
        <v>4.4913408167746027E-2</v>
      </c>
      <c r="BH325" s="179">
        <f>AQ325/'2017-18 disagg'!AQ325-1</f>
        <v>2.5486428041997966E-2</v>
      </c>
      <c r="BI325" s="1"/>
      <c r="BJ325" s="179">
        <f>AS325/'2017-18 disagg'!AS325-1</f>
        <v>1.4158480269833351E-2</v>
      </c>
      <c r="BK325" s="179">
        <f>AT325/'2017-18 disagg'!AT325-1</f>
        <v>1.7530957782854184E-2</v>
      </c>
      <c r="BL325" s="179">
        <f>AU325/'2017-18 disagg'!AU325-1</f>
        <v>3.7450263143608442E-2</v>
      </c>
      <c r="BM325" s="179">
        <f>AW325/'2017-18 disagg'!AW325-1</f>
        <v>1.8162037453324675E-2</v>
      </c>
    </row>
  </sheetData>
  <mergeCells count="9">
    <mergeCell ref="AS6:AW7"/>
    <mergeCell ref="AY6:BC7"/>
    <mergeCell ref="BE6:BH7"/>
    <mergeCell ref="BJ6:BM7"/>
    <mergeCell ref="I9:L9"/>
    <mergeCell ref="AA6:AC7"/>
    <mergeCell ref="AE6:AG7"/>
    <mergeCell ref="AI6:AK7"/>
    <mergeCell ref="AM6:AQ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Q325"/>
  <sheetViews>
    <sheetView zoomScaleNormal="10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5703125" style="1" customWidth="1"/>
    <col min="2" max="2" width="47.28515625" style="1" customWidth="1"/>
    <col min="3" max="3" width="4.7109375" style="1" customWidth="1"/>
    <col min="4" max="4" width="12.140625" style="11" bestFit="1" customWidth="1"/>
    <col min="5" max="5" width="11.28515625" style="75" customWidth="1"/>
    <col min="6" max="6" width="4.7109375" style="1" customWidth="1"/>
    <col min="7" max="7" width="12.28515625" style="11" customWidth="1"/>
    <col min="8" max="8" width="12.28515625" style="75" customWidth="1"/>
    <col min="9" max="9" width="3.140625" style="150" customWidth="1"/>
    <col min="10" max="10" width="11.140625" style="53" customWidth="1"/>
    <col min="11" max="11" width="11.140625" style="119" customWidth="1"/>
    <col min="12" max="12" width="13.28515625" style="64" customWidth="1"/>
    <col min="13" max="13" width="13.42578125" style="53" bestFit="1" customWidth="1"/>
    <col min="14" max="14" width="13.42578125" style="54" bestFit="1" customWidth="1"/>
    <col min="15" max="15" width="12.140625" style="54" bestFit="1" customWidth="1"/>
    <col min="16" max="16" width="10.5703125" style="52" customWidth="1"/>
    <col min="17" max="18" width="13.85546875" style="52" customWidth="1"/>
    <col min="19" max="19" width="12" style="52" customWidth="1"/>
    <col min="20" max="20" width="13" style="53" bestFit="1" customWidth="1"/>
    <col min="21" max="21" width="13" style="54" bestFit="1" customWidth="1"/>
    <col min="22" max="22" width="12.5703125" style="119" customWidth="1"/>
    <col min="23" max="23" width="10.5703125" style="53" customWidth="1"/>
    <col min="24" max="25" width="13" style="54" bestFit="1" customWidth="1"/>
    <col min="26" max="26" width="12" style="139" customWidth="1"/>
    <col min="27" max="29" width="12" style="54" customWidth="1"/>
    <col min="30" max="30" width="13" style="54" bestFit="1" customWidth="1"/>
    <col min="31" max="31" width="13" style="119" bestFit="1" customWidth="1"/>
    <col min="32" max="32" width="13.28515625" style="64" customWidth="1"/>
    <col min="33" max="35" width="11.140625" style="64" customWidth="1"/>
    <col min="36" max="36" width="5.7109375" style="64" customWidth="1"/>
    <col min="37" max="37" width="12.85546875" style="64" customWidth="1"/>
    <col min="38" max="38" width="11.140625" style="64" customWidth="1"/>
    <col min="39" max="39" width="13.140625" style="64" bestFit="1" customWidth="1"/>
    <col min="40" max="40" width="11.140625" style="52" customWidth="1"/>
    <col min="41" max="41" width="9.140625" style="1"/>
    <col min="42" max="43" width="11.140625" style="64" customWidth="1"/>
    <col min="44" max="16384" width="9.140625" style="1"/>
  </cols>
  <sheetData>
    <row r="1" spans="1:43" x14ac:dyDescent="0.2">
      <c r="A1" s="321" t="s">
        <v>616</v>
      </c>
    </row>
    <row r="2" spans="1:43" x14ac:dyDescent="0.2">
      <c r="A2" s="279" t="s">
        <v>949</v>
      </c>
    </row>
    <row r="3" spans="1:43" x14ac:dyDescent="0.2">
      <c r="A3" s="354" t="s">
        <v>966</v>
      </c>
    </row>
    <row r="4" spans="1:43" x14ac:dyDescent="0.2">
      <c r="B4" s="1" t="s">
        <v>64</v>
      </c>
      <c r="D4" s="59" t="s">
        <v>59</v>
      </c>
      <c r="E4" s="69"/>
      <c r="G4" s="83" t="s">
        <v>60</v>
      </c>
      <c r="H4" s="76"/>
      <c r="I4" s="149"/>
      <c r="J4" s="125"/>
      <c r="K4" s="111">
        <f>MIN(K12:K220)</f>
        <v>-3.0925773607578089E-2</v>
      </c>
      <c r="L4" s="6"/>
      <c r="M4" s="102"/>
      <c r="N4" s="18"/>
      <c r="O4" s="111"/>
      <c r="P4" s="4"/>
      <c r="Q4" s="5"/>
      <c r="R4" s="5"/>
      <c r="S4" s="148"/>
      <c r="T4" s="120"/>
      <c r="U4" s="144"/>
      <c r="V4" s="110"/>
      <c r="W4" s="125"/>
      <c r="X4" s="129"/>
      <c r="Y4" s="129"/>
      <c r="Z4" s="134"/>
      <c r="AA4" s="129"/>
      <c r="AB4" s="129"/>
      <c r="AC4" s="129"/>
      <c r="AD4" s="129"/>
      <c r="AE4" s="140"/>
      <c r="AF4" s="6"/>
      <c r="AG4" s="7"/>
      <c r="AH4" s="7"/>
      <c r="AI4" s="7"/>
      <c r="AJ4" s="7"/>
      <c r="AK4" s="7" t="s">
        <v>1</v>
      </c>
      <c r="AL4" s="8">
        <f>MIN(AM12:AM220)</f>
        <v>-3.1312262836333815E-2</v>
      </c>
      <c r="AM4" s="228" t="s">
        <v>2</v>
      </c>
      <c r="AN4" s="9">
        <f>COUNTIF(AN12:AN220,"&lt;-5%")</f>
        <v>0</v>
      </c>
      <c r="AP4" s="7"/>
      <c r="AQ4" s="7"/>
    </row>
    <row r="5" spans="1:43" s="11" customFormat="1" x14ac:dyDescent="0.2">
      <c r="B5" s="12">
        <v>4</v>
      </c>
      <c r="D5" s="13"/>
      <c r="E5" s="69"/>
      <c r="G5" s="84"/>
      <c r="H5" s="77"/>
      <c r="I5" s="150"/>
      <c r="J5" s="125"/>
      <c r="K5" s="9">
        <f>COUNTIF(K12:K220,"&lt;-5%")</f>
        <v>0</v>
      </c>
      <c r="L5" s="20"/>
      <c r="M5" s="103"/>
      <c r="N5" s="97"/>
      <c r="O5" s="126"/>
      <c r="P5" s="17"/>
      <c r="Q5" s="18"/>
      <c r="R5" s="18"/>
      <c r="S5" s="155"/>
      <c r="T5" s="102"/>
      <c r="U5" s="18"/>
      <c r="V5" s="111"/>
      <c r="W5" s="130"/>
      <c r="X5" s="18"/>
      <c r="Y5" s="18"/>
      <c r="Z5" s="135"/>
      <c r="AA5" s="157"/>
      <c r="AB5" s="18"/>
      <c r="AC5" s="18"/>
      <c r="AD5" s="18"/>
      <c r="AE5" s="111"/>
      <c r="AF5" s="20"/>
      <c r="AG5" s="21"/>
      <c r="AH5" s="21"/>
      <c r="AI5" s="21"/>
      <c r="AJ5" s="21"/>
      <c r="AK5" s="7" t="s">
        <v>610</v>
      </c>
      <c r="AL5" s="8">
        <f>MAX(AM12:AM220)</f>
        <v>0.17624086320551213</v>
      </c>
      <c r="AM5" s="228" t="s">
        <v>14</v>
      </c>
      <c r="AN5" s="9">
        <f>COUNTIF(AN12:AN220,"&lt;-2.5%")</f>
        <v>11</v>
      </c>
      <c r="AP5" s="21"/>
      <c r="AQ5" s="21"/>
    </row>
    <row r="6" spans="1:43" s="11" customFormat="1" x14ac:dyDescent="0.2">
      <c r="B6" s="12"/>
      <c r="D6" s="23"/>
      <c r="E6" s="70"/>
      <c r="F6" s="14"/>
      <c r="G6" s="85"/>
      <c r="H6" s="78"/>
      <c r="I6" s="149"/>
      <c r="J6" s="104"/>
      <c r="K6" s="127"/>
      <c r="L6" s="28"/>
      <c r="M6" s="104"/>
      <c r="N6" s="26"/>
      <c r="O6" s="127"/>
      <c r="P6" s="26"/>
      <c r="Q6" s="27"/>
      <c r="R6" s="27"/>
      <c r="S6" s="27"/>
      <c r="T6" s="121"/>
      <c r="U6" s="145"/>
      <c r="V6" s="112"/>
      <c r="W6" s="104"/>
      <c r="X6" s="27"/>
      <c r="Y6" s="27"/>
      <c r="Z6" s="136"/>
      <c r="AA6" s="27"/>
      <c r="AB6" s="27"/>
      <c r="AC6" s="27"/>
      <c r="AD6" s="27"/>
      <c r="AE6" s="113"/>
      <c r="AF6" s="28"/>
      <c r="AG6" s="25"/>
      <c r="AH6" s="25"/>
      <c r="AI6" s="25"/>
      <c r="AJ6" s="25"/>
      <c r="AK6" s="28"/>
      <c r="AL6" s="28"/>
      <c r="AM6" s="28"/>
      <c r="AN6" s="29"/>
      <c r="AP6" s="25"/>
      <c r="AQ6" s="25"/>
    </row>
    <row r="7" spans="1:43" s="11" customFormat="1" x14ac:dyDescent="0.2">
      <c r="B7" s="12"/>
      <c r="D7" s="23"/>
      <c r="E7" s="70"/>
      <c r="F7" s="14"/>
      <c r="G7" s="85"/>
      <c r="H7" s="78"/>
      <c r="I7" s="149"/>
      <c r="J7" s="104"/>
      <c r="K7" s="127"/>
      <c r="L7" s="28">
        <f>AK8-L8</f>
        <v>88772.828704446554</v>
      </c>
      <c r="M7" s="104"/>
      <c r="N7" s="26"/>
      <c r="O7" s="147">
        <f>AK8-O8</f>
        <v>69253.399665266275</v>
      </c>
      <c r="P7" s="26"/>
      <c r="Q7" s="27"/>
      <c r="R7" s="27"/>
      <c r="S7" s="147">
        <f>AK8-S8</f>
        <v>-18095.421189397573</v>
      </c>
      <c r="T7" s="122"/>
      <c r="U7" s="27"/>
      <c r="V7" s="147">
        <f>AK8-V8</f>
        <v>-26480.187604174018</v>
      </c>
      <c r="W7" s="104"/>
      <c r="X7" s="27"/>
      <c r="Y7" s="27"/>
      <c r="Z7" s="147">
        <f>AK8-Z8</f>
        <v>32.173786878585815</v>
      </c>
      <c r="AA7" s="27"/>
      <c r="AB7" s="27"/>
      <c r="AC7" s="29">
        <f>AK8-AC8</f>
        <v>32.173786878585815</v>
      </c>
      <c r="AD7" s="27"/>
      <c r="AE7" s="113"/>
      <c r="AF7" s="28">
        <f>AK8-AF8</f>
        <v>32.173786878585815</v>
      </c>
      <c r="AG7" s="25"/>
      <c r="AH7" s="25"/>
      <c r="AI7" s="25"/>
      <c r="AJ7" s="25"/>
      <c r="AK7" s="25">
        <f>AK8/D8-1</f>
        <v>2.6653569800391352E-2</v>
      </c>
      <c r="AL7" s="28"/>
      <c r="AM7" s="28"/>
      <c r="AN7" s="29"/>
      <c r="AP7" s="25"/>
      <c r="AQ7" s="25"/>
    </row>
    <row r="8" spans="1:43" s="30" customFormat="1" x14ac:dyDescent="0.2">
      <c r="B8" s="31"/>
      <c r="D8" s="32">
        <f>+D222</f>
        <v>97246517</v>
      </c>
      <c r="E8" s="71">
        <f>E222</f>
        <v>1659.717470013358</v>
      </c>
      <c r="F8" s="33"/>
      <c r="G8" s="86">
        <f t="shared" ref="G8:H8" si="0">G222</f>
        <v>97246569.278791681</v>
      </c>
      <c r="H8" s="79">
        <f t="shared" si="0"/>
        <v>1648.2796250138683</v>
      </c>
      <c r="I8" s="151"/>
      <c r="J8" s="123">
        <f>+J222</f>
        <v>-5.375900874460271E-7</v>
      </c>
      <c r="K8" s="105">
        <f>+K222</f>
        <v>6.9392625049244927E-3</v>
      </c>
      <c r="L8" s="101">
        <f>L222</f>
        <v>99749711</v>
      </c>
      <c r="M8" s="123"/>
      <c r="N8" s="36"/>
      <c r="O8" s="101">
        <f>O222</f>
        <v>99769230.42903918</v>
      </c>
      <c r="P8" s="105"/>
      <c r="Q8" s="35">
        <f>Q222</f>
        <v>2.6839647633794872E-2</v>
      </c>
      <c r="R8" s="35"/>
      <c r="S8" s="100">
        <f>S222</f>
        <v>99856579.249893844</v>
      </c>
      <c r="T8" s="123">
        <f t="shared" ref="T8:AI8" si="1">+T222</f>
        <v>2.6925869399606617E-2</v>
      </c>
      <c r="U8" s="36"/>
      <c r="V8" s="114">
        <f t="shared" si="1"/>
        <v>99864964.016308621</v>
      </c>
      <c r="W8" s="123"/>
      <c r="X8" s="36">
        <f>X222</f>
        <v>2.665323895268723E-2</v>
      </c>
      <c r="Y8" s="36"/>
      <c r="Z8" s="137">
        <f>Z222</f>
        <v>99838451.654917568</v>
      </c>
      <c r="AA8" s="133"/>
      <c r="AB8" s="133">
        <f>AB222</f>
        <v>97303935.346355006</v>
      </c>
      <c r="AC8" s="133">
        <f>AC222</f>
        <v>99838451.654917568</v>
      </c>
      <c r="AD8" s="36">
        <f>AD222</f>
        <v>2.665323895268723E-2</v>
      </c>
      <c r="AE8" s="105"/>
      <c r="AF8" s="101">
        <f>AF222</f>
        <v>99838451.654917568</v>
      </c>
      <c r="AG8" s="34">
        <f t="shared" si="1"/>
        <v>1692.2107060040184</v>
      </c>
      <c r="AH8" s="35">
        <f t="shared" si="1"/>
        <v>2.665323895268723E-2</v>
      </c>
      <c r="AI8" s="35">
        <f t="shared" si="1"/>
        <v>1.9577570627366425E-2</v>
      </c>
      <c r="AJ8" s="65"/>
      <c r="AK8" s="34">
        <f>+AK222</f>
        <v>99838483.828704447</v>
      </c>
      <c r="AL8" s="34">
        <f>+AL222</f>
        <v>1692.2112513332549</v>
      </c>
      <c r="AM8" s="35">
        <f>+AM222</f>
        <v>-3.2225836821275777E-7</v>
      </c>
      <c r="AN8" s="36">
        <f>+AN222</f>
        <v>-3.2225836821275777E-7</v>
      </c>
      <c r="AP8" s="101">
        <f>AP222</f>
        <v>135</v>
      </c>
      <c r="AQ8" s="101">
        <f>AQ222</f>
        <v>0</v>
      </c>
    </row>
    <row r="9" spans="1:43" s="38" customFormat="1" x14ac:dyDescent="0.2">
      <c r="D9" s="373" t="s">
        <v>57</v>
      </c>
      <c r="E9" s="373"/>
      <c r="G9" s="375"/>
      <c r="H9" s="376"/>
      <c r="I9" s="152"/>
      <c r="J9" s="95"/>
      <c r="K9" s="96"/>
      <c r="L9" s="39"/>
      <c r="M9" s="370" t="s">
        <v>36</v>
      </c>
      <c r="N9" s="371"/>
      <c r="O9" s="372"/>
      <c r="P9" s="371" t="s">
        <v>951</v>
      </c>
      <c r="Q9" s="371"/>
      <c r="R9" s="371"/>
      <c r="S9" s="372"/>
      <c r="T9" s="367" t="s">
        <v>39</v>
      </c>
      <c r="U9" s="368"/>
      <c r="V9" s="369"/>
      <c r="W9" s="370" t="s">
        <v>40</v>
      </c>
      <c r="X9" s="371"/>
      <c r="Y9" s="371"/>
      <c r="Z9" s="372"/>
      <c r="AA9" s="163"/>
      <c r="AB9" s="164"/>
      <c r="AC9" s="164"/>
      <c r="AD9" s="164"/>
      <c r="AE9" s="165"/>
      <c r="AF9" s="39"/>
      <c r="AG9" s="40"/>
      <c r="AH9" s="40"/>
      <c r="AI9" s="40"/>
      <c r="AJ9" s="41"/>
      <c r="AK9" s="374" t="s">
        <v>3</v>
      </c>
      <c r="AL9" s="374"/>
      <c r="AM9" s="374"/>
      <c r="AN9" s="374"/>
      <c r="AP9" s="40"/>
      <c r="AQ9" s="40"/>
    </row>
    <row r="10" spans="1:43" ht="63.75" x14ac:dyDescent="0.2">
      <c r="A10" s="44" t="s">
        <v>67</v>
      </c>
      <c r="B10" s="45" t="s">
        <v>68</v>
      </c>
      <c r="C10" s="43"/>
      <c r="D10" s="67" t="s">
        <v>4</v>
      </c>
      <c r="E10" s="72" t="s">
        <v>5</v>
      </c>
      <c r="F10" s="46"/>
      <c r="G10" s="87" t="s">
        <v>15</v>
      </c>
      <c r="H10" s="80" t="s">
        <v>16</v>
      </c>
      <c r="I10" s="153"/>
      <c r="J10" s="128" t="s">
        <v>8</v>
      </c>
      <c r="K10" s="115" t="s">
        <v>9</v>
      </c>
      <c r="L10" s="50" t="s">
        <v>488</v>
      </c>
      <c r="M10" s="128" t="s">
        <v>44</v>
      </c>
      <c r="N10" s="98" t="s">
        <v>46</v>
      </c>
      <c r="O10" s="106" t="s">
        <v>35</v>
      </c>
      <c r="P10" s="49" t="s">
        <v>34</v>
      </c>
      <c r="Q10" s="49" t="s">
        <v>45</v>
      </c>
      <c r="R10" s="49" t="s">
        <v>48</v>
      </c>
      <c r="S10" s="49" t="s">
        <v>37</v>
      </c>
      <c r="T10" s="124" t="s">
        <v>47</v>
      </c>
      <c r="U10" s="47" t="s">
        <v>49</v>
      </c>
      <c r="V10" s="115" t="s">
        <v>38</v>
      </c>
      <c r="W10" s="128" t="s">
        <v>34</v>
      </c>
      <c r="X10" s="98" t="s">
        <v>51</v>
      </c>
      <c r="Y10" s="98" t="s">
        <v>52</v>
      </c>
      <c r="Z10" s="138" t="s">
        <v>50</v>
      </c>
      <c r="AA10" s="98" t="s">
        <v>41</v>
      </c>
      <c r="AB10" s="98" t="s">
        <v>42</v>
      </c>
      <c r="AC10" s="98" t="s">
        <v>43</v>
      </c>
      <c r="AD10" s="98" t="s">
        <v>53</v>
      </c>
      <c r="AE10" s="115" t="s">
        <v>54</v>
      </c>
      <c r="AF10" s="50" t="s">
        <v>487</v>
      </c>
      <c r="AG10" s="50" t="s">
        <v>5</v>
      </c>
      <c r="AH10" s="50" t="s">
        <v>10</v>
      </c>
      <c r="AI10" s="50" t="s">
        <v>11</v>
      </c>
      <c r="AJ10" s="48"/>
      <c r="AK10" s="48" t="s">
        <v>6</v>
      </c>
      <c r="AL10" s="48" t="s">
        <v>7</v>
      </c>
      <c r="AM10" s="48" t="s">
        <v>8</v>
      </c>
      <c r="AN10" s="49" t="s">
        <v>9</v>
      </c>
      <c r="AP10" s="50" t="s">
        <v>511</v>
      </c>
      <c r="AQ10" s="50" t="s">
        <v>512</v>
      </c>
    </row>
    <row r="11" spans="1:43" x14ac:dyDescent="0.2">
      <c r="D11" s="13"/>
      <c r="E11" s="69"/>
      <c r="G11" s="84"/>
      <c r="H11" s="77"/>
      <c r="J11" s="125"/>
      <c r="K11" s="116"/>
      <c r="L11" s="3"/>
      <c r="M11" s="125"/>
      <c r="N11" s="15"/>
      <c r="O11" s="107"/>
      <c r="P11" s="4"/>
      <c r="Q11" s="4"/>
      <c r="R11" s="4"/>
      <c r="S11" s="4"/>
      <c r="T11" s="125"/>
      <c r="U11" s="15"/>
      <c r="V11" s="116"/>
      <c r="W11" s="125"/>
      <c r="X11" s="15"/>
      <c r="Y11" s="15"/>
      <c r="Z11" s="107"/>
      <c r="AA11" s="15"/>
      <c r="AB11" s="15"/>
      <c r="AC11" s="15"/>
      <c r="AD11" s="15"/>
      <c r="AE11" s="116"/>
      <c r="AF11" s="3"/>
      <c r="AG11" s="3"/>
      <c r="AH11" s="3"/>
      <c r="AI11" s="3"/>
      <c r="AJ11" s="3"/>
      <c r="AK11" s="3"/>
      <c r="AL11" s="3"/>
      <c r="AM11" s="3"/>
      <c r="AN11" s="4"/>
      <c r="AP11" s="3"/>
      <c r="AQ11" s="3"/>
    </row>
    <row r="12" spans="1:43" x14ac:dyDescent="0.2">
      <c r="A12" s="156" t="s">
        <v>69</v>
      </c>
      <c r="B12" s="156" t="s">
        <v>70</v>
      </c>
      <c r="D12" s="68">
        <f>VLOOKUP(A12,'2018-19 disagg'!A12:AZ220,43,FALSE)</f>
        <v>193261</v>
      </c>
      <c r="E12" s="73">
        <v>1792.2877671610017</v>
      </c>
      <c r="F12" s="55"/>
      <c r="G12" s="88">
        <v>191073.03667632141</v>
      </c>
      <c r="H12" s="81">
        <v>1768.6578678882265</v>
      </c>
      <c r="I12" s="90"/>
      <c r="J12" s="103">
        <f>D12/G12-1</f>
        <v>1.1450926628569835E-2</v>
      </c>
      <c r="K12" s="126">
        <f>E12/H12-1</f>
        <v>1.3360356291513442E-2</v>
      </c>
      <c r="L12" s="56">
        <v>197854</v>
      </c>
      <c r="M12" s="103">
        <v>1.5479473065477922E-2</v>
      </c>
      <c r="N12" s="97">
        <f>INDEX('Pace of change parameters'!$E$22:$I$22,1,$B$5)</f>
        <v>1.356605044543624E-2</v>
      </c>
      <c r="O12" s="108">
        <f>MAX(IF(INDEX('Pace of change parameters'!$E$30:$I$30,1,$B$5)=1,(1+M12)*D12,D12),L12)</f>
        <v>197854</v>
      </c>
      <c r="P12" s="94">
        <f>IF(K12&lt;INDEX('Pace of change parameters'!$E$18:$I$18,1,$B$5),1,IF(K12&gt;INDEX('Pace of change parameters'!$E$19:$I$19,1,$B$5),0,(K12-INDEX('Pace of change parameters'!$E$19:$I$19,1,$B$5))/(INDEX('Pace of change parameters'!$E$18:$I$18,1,$B$5)-INDEX('Pace of change parameters'!$E$19:$I$19,1,$B$5))))</f>
        <v>0</v>
      </c>
      <c r="Q12" s="57">
        <v>1.5479473065477922E-2</v>
      </c>
      <c r="R12" s="57">
        <v>1.356605044543624E-2</v>
      </c>
      <c r="S12" s="9">
        <f>MAX(IF(INDEX('Pace of change parameters'!$E$31:$I$31,1,$B$5)=1,D12*(1+Q12),D12),L12)</f>
        <v>197854</v>
      </c>
      <c r="T12" s="103">
        <f>IF(Q12&lt;INDEX('Pace of change parameters'!$E$24:$I$24,1,$B$5),INDEX('Pace of change parameters'!$E$24:$I$24,1,$B$5),Q12)</f>
        <v>2.0738822378003872E-2</v>
      </c>
      <c r="U12" s="132">
        <v>1.8815489800933838E-2</v>
      </c>
      <c r="V12" s="117">
        <f>MAX(D12*(1+T12),L12)</f>
        <v>197854</v>
      </c>
      <c r="W12" s="131">
        <f>IF(J12&gt;INDEX('Pace of change parameters'!$E$26:$I$26,1,$B$5),0,IF(J12&lt;INDEX('Pace of change parameters'!$E$25:$I$25,1,$B$5),1,(J12-INDEX('Pace of change parameters'!$E$26:$I$26,1,$B$5))/(INDEX('Pace of change parameters'!$E$25:$I$25,1,$B$5)-INDEX('Pace of change parameters'!$E$26:$I$26,1,$B$5))))</f>
        <v>1</v>
      </c>
      <c r="X12" s="132">
        <f>MIN(T12, T12+(INDEX('Pace of change parameters'!$E$27:$I$27,1,$B$5)-T12)*(1-W12))</f>
        <v>2.0738822378003872E-2</v>
      </c>
      <c r="Y12" s="132">
        <v>1.8815489800933838E-2</v>
      </c>
      <c r="Z12" s="108">
        <f>MAX(D12*(1+X12),L12)</f>
        <v>197854</v>
      </c>
      <c r="AA12" s="97">
        <f>MIN(VLOOKUP(A12,'2018-19 disagg'!$A$12:$BB$220,54,FALSE),-2.5%)</f>
        <v>-2.5000000000000001E-2</v>
      </c>
      <c r="AB12" s="99">
        <f t="shared" ref="AB12:AB75" si="2">(1+AA12)*AK12</f>
        <v>191170.44356377941</v>
      </c>
      <c r="AC12" s="99">
        <f>MAX(IF(INDEX('Pace of change parameters'!$E$29:$I$29,1,$B$5)=1,MAX(AB12,Z12),Z12),L12)</f>
        <v>197854</v>
      </c>
      <c r="AD12" s="97">
        <f t="shared" ref="AD12:AD75" si="3">AC12/D12-1</f>
        <v>2.3765788234563656E-2</v>
      </c>
      <c r="AE12" s="146">
        <v>2.1836752080913513E-2</v>
      </c>
      <c r="AF12" s="56">
        <f>AC12</f>
        <v>197854</v>
      </c>
      <c r="AG12" s="56">
        <v>1831.4255107901508</v>
      </c>
      <c r="AH12" s="16">
        <f t="shared" ref="AH12:AH75" si="4">AF12/D12 - 1</f>
        <v>2.3765788234563656E-2</v>
      </c>
      <c r="AI12" s="16">
        <f t="shared" ref="AI12:AI75" si="5">AG12/E12 - 1</f>
        <v>2.1836752080913735E-2</v>
      </c>
      <c r="AJ12" s="56"/>
      <c r="AK12" s="56">
        <v>196072.24980900451</v>
      </c>
      <c r="AL12" s="56">
        <v>1814.9328305630927</v>
      </c>
      <c r="AM12" s="16">
        <f>AF12/AK12-1</f>
        <v>9.0872124573013746E-3</v>
      </c>
      <c r="AN12" s="58">
        <f>AG12/AL12-1</f>
        <v>9.0872124573013746E-3</v>
      </c>
      <c r="AP12" s="56">
        <f t="shared" ref="AP12:AP75" si="6">IF(AF12=L12,1,0)</f>
        <v>1</v>
      </c>
      <c r="AQ12" s="56">
        <f t="shared" ref="AQ12:AQ75" si="7">IF(AB12=AF12,1,0)</f>
        <v>0</v>
      </c>
    </row>
    <row r="13" spans="1:43" x14ac:dyDescent="0.2">
      <c r="A13" s="156" t="s">
        <v>71</v>
      </c>
      <c r="B13" s="156" t="s">
        <v>72</v>
      </c>
      <c r="D13" s="68">
        <f>VLOOKUP(A13,'2018-19 disagg'!A13:AZ221,43,FALSE)</f>
        <v>572510</v>
      </c>
      <c r="E13" s="73">
        <v>1951.2220501288493</v>
      </c>
      <c r="F13" s="55"/>
      <c r="G13" s="88">
        <v>550222.53127899708</v>
      </c>
      <c r="H13" s="81">
        <v>1867.5748266124103</v>
      </c>
      <c r="I13" s="90"/>
      <c r="J13" s="103">
        <f t="shared" ref="J13:K76" si="8">D13/G13-1</f>
        <v>4.0506281466146987E-2</v>
      </c>
      <c r="K13" s="126">
        <f t="shared" si="8"/>
        <v>4.4789222003043694E-2</v>
      </c>
      <c r="L13" s="56">
        <v>585676</v>
      </c>
      <c r="M13" s="103">
        <v>1.7738099381227501E-2</v>
      </c>
      <c r="N13" s="97">
        <f>INDEX('Pace of change parameters'!$E$22:$I$22,1,$B$5)</f>
        <v>1.356605044543624E-2</v>
      </c>
      <c r="O13" s="108">
        <f>MAX(IF(INDEX('Pace of change parameters'!$E$30:$I$30,1,$B$5)=1,(1+M13)*D13,D13),L13)</f>
        <v>585676</v>
      </c>
      <c r="P13" s="94">
        <f>IF(K13&lt;INDEX('Pace of change parameters'!$E$18:$I$18,1,$B$5),1,IF(K13&gt;INDEX('Pace of change parameters'!$E$19:$I$19,1,$B$5),0,(K13-INDEX('Pace of change parameters'!$E$19:$I$19,1,$B$5))/(INDEX('Pace of change parameters'!$E$18:$I$18,1,$B$5)-INDEX('Pace of change parameters'!$E$19:$I$19,1,$B$5))))</f>
        <v>0</v>
      </c>
      <c r="Q13" s="57">
        <v>1.7738099381227501E-2</v>
      </c>
      <c r="R13" s="57">
        <v>1.356605044543624E-2</v>
      </c>
      <c r="S13" s="9">
        <f>MAX(IF(INDEX('Pace of change parameters'!$E$31:$I$31,1,$B$5)=1,D13*(1+Q13),D13),L13)</f>
        <v>585676</v>
      </c>
      <c r="T13" s="103">
        <f>IF(Q13&lt;INDEX('Pace of change parameters'!$E$24:$I$24,1,$B$5),INDEX('Pace of change parameters'!$E$24:$I$24,1,$B$5),Q13)</f>
        <v>2.0738822378003872E-2</v>
      </c>
      <c r="U13" s="132">
        <v>1.6554472474809678E-2</v>
      </c>
      <c r="V13" s="117">
        <f t="shared" ref="V13:V76" si="9">MAX(D13*(1+T13),L13)</f>
        <v>585676</v>
      </c>
      <c r="W13" s="131">
        <f>IF(J13&gt;INDEX('Pace of change parameters'!$E$26:$I$26,1,$B$5),0,IF(J13&lt;INDEX('Pace of change parameters'!$E$25:$I$25,1,$B$5),1,(J13-INDEX('Pace of change parameters'!$E$26:$I$26,1,$B$5))/(INDEX('Pace of change parameters'!$E$25:$I$25,1,$B$5)-INDEX('Pace of change parameters'!$E$26:$I$26,1,$B$5))))</f>
        <v>1</v>
      </c>
      <c r="X13" s="132">
        <f>MIN(T13, T13+(INDEX('Pace of change parameters'!$E$27:$I$27,1,$B$5)-T13)*(1-W13))</f>
        <v>2.0738822378003872E-2</v>
      </c>
      <c r="Y13" s="132">
        <v>1.6554472474809678E-2</v>
      </c>
      <c r="Z13" s="108">
        <f t="shared" ref="Z13:Z76" si="10">MAX(D13*(1+X13),L13)</f>
        <v>585676</v>
      </c>
      <c r="AA13" s="97">
        <f>MIN(VLOOKUP(A13,'2018-19 disagg'!$A$12:$BB$220,54,FALSE),-2.5%)</f>
        <v>-2.5000000000000001E-2</v>
      </c>
      <c r="AB13" s="99">
        <f t="shared" si="2"/>
        <v>550343.23507349193</v>
      </c>
      <c r="AC13" s="99">
        <f>MAX(IF(INDEX('Pace of change parameters'!$E$29:$I$29,1,$B$5)=1,MAX(AB13,Z13),Z13),L13)</f>
        <v>585676</v>
      </c>
      <c r="AD13" s="97">
        <f t="shared" si="3"/>
        <v>2.2996978218721154E-2</v>
      </c>
      <c r="AE13" s="146">
        <v>1.880337137930943E-2</v>
      </c>
      <c r="AF13" s="56">
        <f t="shared" ref="AF13:AF76" si="11">AC13</f>
        <v>585676</v>
      </c>
      <c r="AG13" s="56">
        <v>1987.9116029809193</v>
      </c>
      <c r="AH13" s="16">
        <f t="shared" si="4"/>
        <v>2.2996978218721154E-2</v>
      </c>
      <c r="AI13" s="16">
        <f t="shared" si="5"/>
        <v>1.8803371379309208E-2</v>
      </c>
      <c r="AJ13" s="56"/>
      <c r="AK13" s="56">
        <v>564454.60007537634</v>
      </c>
      <c r="AL13" s="56">
        <v>1915.8815605314119</v>
      </c>
      <c r="AM13" s="16">
        <f t="shared" ref="AM13:AN76" si="12">AF13/AK13-1</f>
        <v>3.7596291928154724E-2</v>
      </c>
      <c r="AN13" s="58">
        <f t="shared" si="12"/>
        <v>3.7596291928154724E-2</v>
      </c>
      <c r="AP13" s="56">
        <f t="shared" si="6"/>
        <v>1</v>
      </c>
      <c r="AQ13" s="56">
        <f t="shared" si="7"/>
        <v>0</v>
      </c>
    </row>
    <row r="14" spans="1:43" x14ac:dyDescent="0.2">
      <c r="A14" s="156" t="s">
        <v>73</v>
      </c>
      <c r="B14" s="156" t="s">
        <v>74</v>
      </c>
      <c r="D14" s="68">
        <f>VLOOKUP(A14,'2018-19 disagg'!A14:AZ222,43,FALSE)</f>
        <v>939791</v>
      </c>
      <c r="E14" s="73">
        <v>1828.4417797942924</v>
      </c>
      <c r="F14" s="55"/>
      <c r="G14" s="88">
        <v>915291.61716041155</v>
      </c>
      <c r="H14" s="81">
        <v>1776.2916870974809</v>
      </c>
      <c r="I14" s="90"/>
      <c r="J14" s="103">
        <f t="shared" si="8"/>
        <v>2.6766751033506786E-2</v>
      </c>
      <c r="K14" s="126">
        <f t="shared" si="8"/>
        <v>2.9358969067758478E-2</v>
      </c>
      <c r="L14" s="56">
        <v>962620</v>
      </c>
      <c r="M14" s="103">
        <v>1.6124941442077434E-2</v>
      </c>
      <c r="N14" s="97">
        <f>INDEX('Pace of change parameters'!$E$22:$I$22,1,$B$5)</f>
        <v>1.356605044543624E-2</v>
      </c>
      <c r="O14" s="108">
        <f>MAX(IF(INDEX('Pace of change parameters'!$E$30:$I$30,1,$B$5)=1,(1+M14)*D14,D14),L14)</f>
        <v>962620</v>
      </c>
      <c r="P14" s="94">
        <f>IF(K14&lt;INDEX('Pace of change parameters'!$E$18:$I$18,1,$B$5),1,IF(K14&gt;INDEX('Pace of change parameters'!$E$19:$I$19,1,$B$5),0,(K14-INDEX('Pace of change parameters'!$E$19:$I$19,1,$B$5))/(INDEX('Pace of change parameters'!$E$18:$I$18,1,$B$5)-INDEX('Pace of change parameters'!$E$19:$I$19,1,$B$5))))</f>
        <v>0</v>
      </c>
      <c r="Q14" s="57">
        <v>1.6124941442077434E-2</v>
      </c>
      <c r="R14" s="57">
        <v>1.356605044543624E-2</v>
      </c>
      <c r="S14" s="9">
        <f>MAX(IF(INDEX('Pace of change parameters'!$E$31:$I$31,1,$B$5)=1,D14*(1+Q14),D14),L14)</f>
        <v>962620</v>
      </c>
      <c r="T14" s="103">
        <f>IF(Q14&lt;INDEX('Pace of change parameters'!$E$24:$I$24,1,$B$5),INDEX('Pace of change parameters'!$E$24:$I$24,1,$B$5),Q14)</f>
        <v>2.0738822378003872E-2</v>
      </c>
      <c r="U14" s="132">
        <v>1.8168312319665647E-2</v>
      </c>
      <c r="V14" s="117">
        <f t="shared" si="9"/>
        <v>962620</v>
      </c>
      <c r="W14" s="131">
        <f>IF(J14&gt;INDEX('Pace of change parameters'!$E$26:$I$26,1,$B$5),0,IF(J14&lt;INDEX('Pace of change parameters'!$E$25:$I$25,1,$B$5),1,(J14-INDEX('Pace of change parameters'!$E$26:$I$26,1,$B$5))/(INDEX('Pace of change parameters'!$E$25:$I$25,1,$B$5)-INDEX('Pace of change parameters'!$E$26:$I$26,1,$B$5))))</f>
        <v>1</v>
      </c>
      <c r="X14" s="132">
        <f>MIN(T14, T14+(INDEX('Pace of change parameters'!$E$27:$I$27,1,$B$5)-T14)*(1-W14))</f>
        <v>2.0738822378003872E-2</v>
      </c>
      <c r="Y14" s="132">
        <v>1.8168312319665647E-2</v>
      </c>
      <c r="Z14" s="108">
        <f t="shared" si="10"/>
        <v>962620</v>
      </c>
      <c r="AA14" s="97">
        <f>MIN(VLOOKUP(A14,'2018-19 disagg'!$A$12:$BB$220,54,FALSE),-2.5%)</f>
        <v>-2.5000000000000001E-2</v>
      </c>
      <c r="AB14" s="99">
        <f t="shared" si="2"/>
        <v>916030.55217729427</v>
      </c>
      <c r="AC14" s="99">
        <f>MAX(IF(INDEX('Pace of change parameters'!$E$29:$I$29,1,$B$5)=1,MAX(AB14,Z14),Z14),L14)</f>
        <v>962620</v>
      </c>
      <c r="AD14" s="97">
        <f t="shared" si="3"/>
        <v>2.4291571211045859E-2</v>
      </c>
      <c r="AE14" s="146">
        <v>2.1712114322813614E-2</v>
      </c>
      <c r="AF14" s="56">
        <f t="shared" si="11"/>
        <v>962620</v>
      </c>
      <c r="AG14" s="56">
        <v>1868.1411167497947</v>
      </c>
      <c r="AH14" s="16">
        <f t="shared" si="4"/>
        <v>2.4291571211045859E-2</v>
      </c>
      <c r="AI14" s="16">
        <f t="shared" si="5"/>
        <v>2.1712114322813614E-2</v>
      </c>
      <c r="AJ14" s="56"/>
      <c r="AK14" s="56">
        <v>939518.51505363523</v>
      </c>
      <c r="AL14" s="56">
        <v>1823.3084373059016</v>
      </c>
      <c r="AM14" s="16">
        <f t="shared" si="12"/>
        <v>2.4588642561286678E-2</v>
      </c>
      <c r="AN14" s="58">
        <f t="shared" si="12"/>
        <v>2.4588642561286678E-2</v>
      </c>
      <c r="AP14" s="56">
        <f t="shared" si="6"/>
        <v>1</v>
      </c>
      <c r="AQ14" s="56">
        <f t="shared" si="7"/>
        <v>0</v>
      </c>
    </row>
    <row r="15" spans="1:43" x14ac:dyDescent="0.2">
      <c r="A15" s="156" t="s">
        <v>75</v>
      </c>
      <c r="B15" s="156" t="s">
        <v>76</v>
      </c>
      <c r="D15" s="68">
        <f>VLOOKUP(A15,'2018-19 disagg'!A15:AZ223,43,FALSE)</f>
        <v>529682</v>
      </c>
      <c r="E15" s="73">
        <v>1771.9367808160894</v>
      </c>
      <c r="F15" s="55"/>
      <c r="G15" s="88">
        <v>532937.69586641272</v>
      </c>
      <c r="H15" s="81">
        <v>1774.0961075637072</v>
      </c>
      <c r="I15" s="90"/>
      <c r="J15" s="103">
        <f t="shared" si="8"/>
        <v>-6.1089615008745879E-3</v>
      </c>
      <c r="K15" s="126">
        <f t="shared" si="8"/>
        <v>-1.2171419228145242E-3</v>
      </c>
      <c r="L15" s="56">
        <v>542643</v>
      </c>
      <c r="M15" s="103">
        <v>1.8554708212904725E-2</v>
      </c>
      <c r="N15" s="97">
        <f>INDEX('Pace of change parameters'!$E$22:$I$22,1,$B$5)</f>
        <v>1.356605044543624E-2</v>
      </c>
      <c r="O15" s="108">
        <f>MAX(IF(INDEX('Pace of change parameters'!$E$30:$I$30,1,$B$5)=1,(1+M15)*D15,D15),L15)</f>
        <v>542643</v>
      </c>
      <c r="P15" s="94">
        <f>IF(K15&lt;INDEX('Pace of change parameters'!$E$18:$I$18,1,$B$5),1,IF(K15&gt;INDEX('Pace of change parameters'!$E$19:$I$19,1,$B$5),0,(K15-INDEX('Pace of change parameters'!$E$19:$I$19,1,$B$5))/(INDEX('Pace of change parameters'!$E$18:$I$18,1,$B$5)-INDEX('Pace of change parameters'!$E$19:$I$19,1,$B$5))))</f>
        <v>9.3931896544490093E-2</v>
      </c>
      <c r="Q15" s="57">
        <v>1.9752240176214686E-2</v>
      </c>
      <c r="R15" s="57">
        <v>1.4757717159602057E-2</v>
      </c>
      <c r="S15" s="9">
        <f>MAX(IF(INDEX('Pace of change parameters'!$E$31:$I$31,1,$B$5)=1,D15*(1+Q15),D15),L15)</f>
        <v>542643</v>
      </c>
      <c r="T15" s="103">
        <f>IF(Q15&lt;INDEX('Pace of change parameters'!$E$24:$I$24,1,$B$5),INDEX('Pace of change parameters'!$E$24:$I$24,1,$B$5),Q15)</f>
        <v>2.0738822378003872E-2</v>
      </c>
      <c r="U15" s="132">
        <v>1.5739467297954279E-2</v>
      </c>
      <c r="V15" s="117">
        <f t="shared" si="9"/>
        <v>542643</v>
      </c>
      <c r="W15" s="131">
        <f>IF(J15&gt;INDEX('Pace of change parameters'!$E$26:$I$26,1,$B$5),0,IF(J15&lt;INDEX('Pace of change parameters'!$E$25:$I$25,1,$B$5),1,(J15-INDEX('Pace of change parameters'!$E$26:$I$26,1,$B$5))/(INDEX('Pace of change parameters'!$E$25:$I$25,1,$B$5)-INDEX('Pace of change parameters'!$E$26:$I$26,1,$B$5))))</f>
        <v>1</v>
      </c>
      <c r="X15" s="132">
        <f>MIN(T15, T15+(INDEX('Pace of change parameters'!$E$27:$I$27,1,$B$5)-T15)*(1-W15))</f>
        <v>2.0738822378003872E-2</v>
      </c>
      <c r="Y15" s="132">
        <v>1.5739467297954279E-2</v>
      </c>
      <c r="Z15" s="108">
        <f t="shared" si="10"/>
        <v>542643</v>
      </c>
      <c r="AA15" s="97">
        <f>MIN(VLOOKUP(A15,'2018-19 disagg'!$A$12:$BB$220,54,FALSE),-2.5%)</f>
        <v>-2.5000000000000001E-2</v>
      </c>
      <c r="AB15" s="99">
        <f t="shared" si="2"/>
        <v>533183.28712916118</v>
      </c>
      <c r="AC15" s="99">
        <f>MAX(IF(INDEX('Pace of change parameters'!$E$29:$I$29,1,$B$5)=1,MAX(AB15,Z15),Z15),L15)</f>
        <v>542643</v>
      </c>
      <c r="AD15" s="97">
        <f t="shared" si="3"/>
        <v>2.4469398620304172E-2</v>
      </c>
      <c r="AE15" s="146">
        <v>1.9451771995291578E-2</v>
      </c>
      <c r="AF15" s="56">
        <f t="shared" si="11"/>
        <v>542643</v>
      </c>
      <c r="AG15" s="56">
        <v>1806.4040910665951</v>
      </c>
      <c r="AH15" s="16">
        <f t="shared" si="4"/>
        <v>2.4469398620304172E-2</v>
      </c>
      <c r="AI15" s="16">
        <f t="shared" si="5"/>
        <v>1.94517719952918E-2</v>
      </c>
      <c r="AJ15" s="56"/>
      <c r="AK15" s="56">
        <v>546854.65346580639</v>
      </c>
      <c r="AL15" s="56">
        <v>1820.42426280158</v>
      </c>
      <c r="AM15" s="16">
        <f t="shared" si="12"/>
        <v>-7.7015957331882934E-3</v>
      </c>
      <c r="AN15" s="58">
        <f t="shared" si="12"/>
        <v>-7.7015957331881824E-3</v>
      </c>
      <c r="AP15" s="56">
        <f t="shared" si="6"/>
        <v>1</v>
      </c>
      <c r="AQ15" s="56">
        <f t="shared" si="7"/>
        <v>0</v>
      </c>
    </row>
    <row r="16" spans="1:43" x14ac:dyDescent="0.2">
      <c r="A16" s="156" t="s">
        <v>77</v>
      </c>
      <c r="B16" s="156" t="s">
        <v>78</v>
      </c>
      <c r="D16" s="68">
        <f>VLOOKUP(A16,'2018-19 disagg'!A16:AZ224,43,FALSE)</f>
        <v>447836</v>
      </c>
      <c r="E16" s="73">
        <v>1761.7136491288522</v>
      </c>
      <c r="F16" s="55"/>
      <c r="G16" s="88">
        <v>428641.01083041116</v>
      </c>
      <c r="H16" s="81">
        <v>1680.501042318632</v>
      </c>
      <c r="I16" s="90"/>
      <c r="J16" s="103">
        <f t="shared" si="8"/>
        <v>4.4781037475630558E-2</v>
      </c>
      <c r="K16" s="126">
        <f t="shared" si="8"/>
        <v>4.8326424539534285E-2</v>
      </c>
      <c r="L16" s="56">
        <v>457723</v>
      </c>
      <c r="M16" s="103">
        <v>1.7005511762942183E-2</v>
      </c>
      <c r="N16" s="97">
        <f>INDEX('Pace of change parameters'!$E$22:$I$22,1,$B$5)</f>
        <v>1.356605044543624E-2</v>
      </c>
      <c r="O16" s="108">
        <f>MAX(IF(INDEX('Pace of change parameters'!$E$30:$I$30,1,$B$5)=1,(1+M16)*D16,D16),L16)</f>
        <v>457723</v>
      </c>
      <c r="P16" s="94">
        <f>IF(K16&lt;INDEX('Pace of change parameters'!$E$18:$I$18,1,$B$5),1,IF(K16&gt;INDEX('Pace of change parameters'!$E$19:$I$19,1,$B$5),0,(K16-INDEX('Pace of change parameters'!$E$19:$I$19,1,$B$5))/(INDEX('Pace of change parameters'!$E$18:$I$18,1,$B$5)-INDEX('Pace of change parameters'!$E$19:$I$19,1,$B$5))))</f>
        <v>0</v>
      </c>
      <c r="Q16" s="57">
        <v>1.7005511762942183E-2</v>
      </c>
      <c r="R16" s="57">
        <v>1.356605044543624E-2</v>
      </c>
      <c r="S16" s="9">
        <f>MAX(IF(INDEX('Pace of change parameters'!$E$31:$I$31,1,$B$5)=1,D16*(1+Q16),D16),L16)</f>
        <v>457723</v>
      </c>
      <c r="T16" s="103">
        <f>IF(Q16&lt;INDEX('Pace of change parameters'!$E$24:$I$24,1,$B$5),INDEX('Pace of change parameters'!$E$24:$I$24,1,$B$5),Q16)</f>
        <v>2.0738822378003872E-2</v>
      </c>
      <c r="U16" s="132">
        <v>1.7286735192399538E-2</v>
      </c>
      <c r="V16" s="117">
        <f t="shared" si="9"/>
        <v>457723</v>
      </c>
      <c r="W16" s="131">
        <f>IF(J16&gt;INDEX('Pace of change parameters'!$E$26:$I$26,1,$B$5),0,IF(J16&lt;INDEX('Pace of change parameters'!$E$25:$I$25,1,$B$5),1,(J16-INDEX('Pace of change parameters'!$E$26:$I$26,1,$B$5))/(INDEX('Pace of change parameters'!$E$25:$I$25,1,$B$5)-INDEX('Pace of change parameters'!$E$26:$I$26,1,$B$5))))</f>
        <v>1</v>
      </c>
      <c r="X16" s="132">
        <f>MIN(T16, T16+(INDEX('Pace of change parameters'!$E$27:$I$27,1,$B$5)-T16)*(1-W16))</f>
        <v>2.0738822378003872E-2</v>
      </c>
      <c r="Y16" s="132">
        <v>1.7286735192399538E-2</v>
      </c>
      <c r="Z16" s="108">
        <f t="shared" si="10"/>
        <v>457723</v>
      </c>
      <c r="AA16" s="97">
        <f>MIN(VLOOKUP(A16,'2018-19 disagg'!$A$12:$BB$220,54,FALSE),-2.5%)</f>
        <v>-2.5000000000000001E-2</v>
      </c>
      <c r="AB16" s="99">
        <f t="shared" si="2"/>
        <v>428835.56106228748</v>
      </c>
      <c r="AC16" s="99">
        <f>MAX(IF(INDEX('Pace of change parameters'!$E$29:$I$29,1,$B$5)=1,MAX(AB16,Z16),Z16),L16)</f>
        <v>457723</v>
      </c>
      <c r="AD16" s="97">
        <f t="shared" si="3"/>
        <v>2.2077278289373892E-2</v>
      </c>
      <c r="AE16" s="146">
        <v>1.8620664513422591E-2</v>
      </c>
      <c r="AF16" s="56">
        <f t="shared" si="11"/>
        <v>457723</v>
      </c>
      <c r="AG16" s="56">
        <v>1794.5179279579982</v>
      </c>
      <c r="AH16" s="16">
        <f t="shared" si="4"/>
        <v>2.2077278289373892E-2</v>
      </c>
      <c r="AI16" s="16">
        <f t="shared" si="5"/>
        <v>1.8620664513422591E-2</v>
      </c>
      <c r="AJ16" s="56"/>
      <c r="AK16" s="56">
        <v>439831.34467926924</v>
      </c>
      <c r="AL16" s="56">
        <v>1724.3731106036234</v>
      </c>
      <c r="AM16" s="16">
        <f t="shared" si="12"/>
        <v>4.0678445356771009E-2</v>
      </c>
      <c r="AN16" s="58">
        <f t="shared" si="12"/>
        <v>4.0678445356771009E-2</v>
      </c>
      <c r="AP16" s="56">
        <f t="shared" si="6"/>
        <v>1</v>
      </c>
      <c r="AQ16" s="56">
        <f t="shared" si="7"/>
        <v>0</v>
      </c>
    </row>
    <row r="17" spans="1:43" x14ac:dyDescent="0.2">
      <c r="A17" s="156" t="s">
        <v>79</v>
      </c>
      <c r="B17" s="156" t="s">
        <v>80</v>
      </c>
      <c r="D17" s="68">
        <f>VLOOKUP(A17,'2018-19 disagg'!A17:AZ225,43,FALSE)</f>
        <v>408800</v>
      </c>
      <c r="E17" s="73">
        <v>1852.5021744958572</v>
      </c>
      <c r="F17" s="55"/>
      <c r="G17" s="88">
        <v>398055.76994863822</v>
      </c>
      <c r="H17" s="81">
        <v>1793.2405253620163</v>
      </c>
      <c r="I17" s="90"/>
      <c r="J17" s="103">
        <f t="shared" si="8"/>
        <v>2.6991770657533998E-2</v>
      </c>
      <c r="K17" s="126">
        <f t="shared" si="8"/>
        <v>3.304723950618782E-2</v>
      </c>
      <c r="L17" s="56">
        <v>418926</v>
      </c>
      <c r="M17" s="103">
        <v>1.9542356994217913E-2</v>
      </c>
      <c r="N17" s="97">
        <f>INDEX('Pace of change parameters'!$E$22:$I$22,1,$B$5)</f>
        <v>1.356605044543624E-2</v>
      </c>
      <c r="O17" s="108">
        <f>MAX(IF(INDEX('Pace of change parameters'!$E$30:$I$30,1,$B$5)=1,(1+M17)*D17,D17),L17)</f>
        <v>418926</v>
      </c>
      <c r="P17" s="94">
        <f>IF(K17&lt;INDEX('Pace of change parameters'!$E$18:$I$18,1,$B$5),1,IF(K17&gt;INDEX('Pace of change parameters'!$E$19:$I$19,1,$B$5),0,(K17-INDEX('Pace of change parameters'!$E$19:$I$19,1,$B$5))/(INDEX('Pace of change parameters'!$E$18:$I$18,1,$B$5)-INDEX('Pace of change parameters'!$E$19:$I$19,1,$B$5))))</f>
        <v>0</v>
      </c>
      <c r="Q17" s="57">
        <v>1.9542356994217913E-2</v>
      </c>
      <c r="R17" s="57">
        <v>1.356605044543624E-2</v>
      </c>
      <c r="S17" s="9">
        <f>MAX(IF(INDEX('Pace of change parameters'!$E$31:$I$31,1,$B$5)=1,D17*(1+Q17),D17),L17)</f>
        <v>418926</v>
      </c>
      <c r="T17" s="103">
        <f>IF(Q17&lt;INDEX('Pace of change parameters'!$E$24:$I$24,1,$B$5),INDEX('Pace of change parameters'!$E$24:$I$24,1,$B$5),Q17)</f>
        <v>2.0738822378003872E-2</v>
      </c>
      <c r="U17" s="132">
        <v>1.4755502443402957E-2</v>
      </c>
      <c r="V17" s="117">
        <f t="shared" si="9"/>
        <v>418926</v>
      </c>
      <c r="W17" s="131">
        <f>IF(J17&gt;INDEX('Pace of change parameters'!$E$26:$I$26,1,$B$5),0,IF(J17&lt;INDEX('Pace of change parameters'!$E$25:$I$25,1,$B$5),1,(J17-INDEX('Pace of change parameters'!$E$26:$I$26,1,$B$5))/(INDEX('Pace of change parameters'!$E$25:$I$25,1,$B$5)-INDEX('Pace of change parameters'!$E$26:$I$26,1,$B$5))))</f>
        <v>1</v>
      </c>
      <c r="X17" s="132">
        <f>MIN(T17, T17+(INDEX('Pace of change parameters'!$E$27:$I$27,1,$B$5)-T17)*(1-W17))</f>
        <v>2.0738822378003872E-2</v>
      </c>
      <c r="Y17" s="132">
        <v>1.4755502443402957E-2</v>
      </c>
      <c r="Z17" s="108">
        <f t="shared" si="10"/>
        <v>418926</v>
      </c>
      <c r="AA17" s="97">
        <f>MIN(VLOOKUP(A17,'2018-19 disagg'!$A$12:$BB$220,54,FALSE),-2.5%)</f>
        <v>-2.5000000000000001E-2</v>
      </c>
      <c r="AB17" s="99">
        <f t="shared" si="2"/>
        <v>398348.65227656101</v>
      </c>
      <c r="AC17" s="99">
        <f>MAX(IF(INDEX('Pace of change parameters'!$E$29:$I$29,1,$B$5)=1,MAX(AB17,Z17),Z17),L17)</f>
        <v>418926</v>
      </c>
      <c r="AD17" s="97">
        <f t="shared" si="3"/>
        <v>2.4770058708414977E-2</v>
      </c>
      <c r="AE17" s="146">
        <v>1.8763108657894101E-2</v>
      </c>
      <c r="AF17" s="56">
        <f t="shared" si="11"/>
        <v>418926</v>
      </c>
      <c r="AG17" s="56">
        <v>1887.260874084908</v>
      </c>
      <c r="AH17" s="16">
        <f t="shared" si="4"/>
        <v>2.4770058708414977E-2</v>
      </c>
      <c r="AI17" s="16">
        <f t="shared" si="5"/>
        <v>1.8763108657894101E-2</v>
      </c>
      <c r="AJ17" s="56"/>
      <c r="AK17" s="56">
        <v>408562.72028365231</v>
      </c>
      <c r="AL17" s="56">
        <v>1840.5743176623878</v>
      </c>
      <c r="AM17" s="16">
        <f t="shared" si="12"/>
        <v>2.53652112683036E-2</v>
      </c>
      <c r="AN17" s="58">
        <f t="shared" si="12"/>
        <v>2.53652112683036E-2</v>
      </c>
      <c r="AP17" s="56">
        <f t="shared" si="6"/>
        <v>1</v>
      </c>
      <c r="AQ17" s="56">
        <f t="shared" si="7"/>
        <v>0</v>
      </c>
    </row>
    <row r="18" spans="1:43" x14ac:dyDescent="0.2">
      <c r="A18" s="156" t="s">
        <v>81</v>
      </c>
      <c r="B18" s="156" t="s">
        <v>82</v>
      </c>
      <c r="D18" s="68">
        <f>VLOOKUP(A18,'2018-19 disagg'!A18:AZ226,43,FALSE)</f>
        <v>598987</v>
      </c>
      <c r="E18" s="73">
        <v>1847.2474920499276</v>
      </c>
      <c r="F18" s="55"/>
      <c r="G18" s="88">
        <v>578165.40239765367</v>
      </c>
      <c r="H18" s="81">
        <v>1779.7180740612882</v>
      </c>
      <c r="I18" s="90"/>
      <c r="J18" s="103">
        <f t="shared" si="8"/>
        <v>3.601321960117132E-2</v>
      </c>
      <c r="K18" s="126">
        <f t="shared" si="8"/>
        <v>3.794388503036239E-2</v>
      </c>
      <c r="L18" s="56">
        <v>613106</v>
      </c>
      <c r="M18" s="103">
        <v>1.5454884387680723E-2</v>
      </c>
      <c r="N18" s="97">
        <f>INDEX('Pace of change parameters'!$E$22:$I$22,1,$B$5)</f>
        <v>1.356605044543624E-2</v>
      </c>
      <c r="O18" s="108">
        <f>MAX(IF(INDEX('Pace of change parameters'!$E$30:$I$30,1,$B$5)=1,(1+M18)*D18,D18),L18)</f>
        <v>613106</v>
      </c>
      <c r="P18" s="94">
        <f>IF(K18&lt;INDEX('Pace of change parameters'!$E$18:$I$18,1,$B$5),1,IF(K18&gt;INDEX('Pace of change parameters'!$E$19:$I$19,1,$B$5),0,(K18-INDEX('Pace of change parameters'!$E$19:$I$19,1,$B$5))/(INDEX('Pace of change parameters'!$E$18:$I$18,1,$B$5)-INDEX('Pace of change parameters'!$E$19:$I$19,1,$B$5))))</f>
        <v>0</v>
      </c>
      <c r="Q18" s="57">
        <v>1.5454884387680723E-2</v>
      </c>
      <c r="R18" s="57">
        <v>1.356605044543624E-2</v>
      </c>
      <c r="S18" s="9">
        <f>MAX(IF(INDEX('Pace of change parameters'!$E$31:$I$31,1,$B$5)=1,D18*(1+Q18),D18),L18)</f>
        <v>613106</v>
      </c>
      <c r="T18" s="103">
        <f>IF(Q18&lt;INDEX('Pace of change parameters'!$E$24:$I$24,1,$B$5),INDEX('Pace of change parameters'!$E$24:$I$24,1,$B$5),Q18)</f>
        <v>2.0738822378003872E-2</v>
      </c>
      <c r="U18" s="132">
        <v>1.8840159853930283E-2</v>
      </c>
      <c r="V18" s="117">
        <f t="shared" si="9"/>
        <v>613106</v>
      </c>
      <c r="W18" s="131">
        <f>IF(J18&gt;INDEX('Pace of change parameters'!$E$26:$I$26,1,$B$5),0,IF(J18&lt;INDEX('Pace of change parameters'!$E$25:$I$25,1,$B$5),1,(J18-INDEX('Pace of change parameters'!$E$26:$I$26,1,$B$5))/(INDEX('Pace of change parameters'!$E$25:$I$25,1,$B$5)-INDEX('Pace of change parameters'!$E$26:$I$26,1,$B$5))))</f>
        <v>1</v>
      </c>
      <c r="X18" s="132">
        <f>MIN(T18, T18+(INDEX('Pace of change parameters'!$E$27:$I$27,1,$B$5)-T18)*(1-W18))</f>
        <v>2.0738822378003872E-2</v>
      </c>
      <c r="Y18" s="132">
        <v>1.8840159853930283E-2</v>
      </c>
      <c r="Z18" s="108">
        <f t="shared" si="10"/>
        <v>613106</v>
      </c>
      <c r="AA18" s="97">
        <f>MIN(VLOOKUP(A18,'2018-19 disagg'!$A$12:$BB$220,54,FALSE),-2.5%)</f>
        <v>-2.5000000000000001E-2</v>
      </c>
      <c r="AB18" s="99">
        <f t="shared" si="2"/>
        <v>578546.45203511731</v>
      </c>
      <c r="AC18" s="99">
        <f>MAX(IF(INDEX('Pace of change parameters'!$E$29:$I$29,1,$B$5)=1,MAX(AB18,Z18),Z18),L18)</f>
        <v>613106</v>
      </c>
      <c r="AD18" s="97">
        <f t="shared" si="3"/>
        <v>2.357146315362435E-2</v>
      </c>
      <c r="AE18" s="146">
        <v>2.1667531672627804E-2</v>
      </c>
      <c r="AF18" s="56">
        <f t="shared" si="11"/>
        <v>613106</v>
      </c>
      <c r="AG18" s="56">
        <v>1887.2727855911019</v>
      </c>
      <c r="AH18" s="16">
        <f t="shared" si="4"/>
        <v>2.357146315362435E-2</v>
      </c>
      <c r="AI18" s="16">
        <f t="shared" si="5"/>
        <v>2.1667531672627804E-2</v>
      </c>
      <c r="AJ18" s="56"/>
      <c r="AK18" s="56">
        <v>593380.9764462742</v>
      </c>
      <c r="AL18" s="56">
        <v>1826.5548996984662</v>
      </c>
      <c r="AM18" s="16">
        <f t="shared" si="12"/>
        <v>3.3241752494085564E-2</v>
      </c>
      <c r="AN18" s="58">
        <f t="shared" si="12"/>
        <v>3.3241752494085564E-2</v>
      </c>
      <c r="AP18" s="56">
        <f t="shared" si="6"/>
        <v>1</v>
      </c>
      <c r="AQ18" s="56">
        <f t="shared" si="7"/>
        <v>0</v>
      </c>
    </row>
    <row r="19" spans="1:43" x14ac:dyDescent="0.2">
      <c r="A19" s="156" t="s">
        <v>83</v>
      </c>
      <c r="B19" s="156" t="s">
        <v>84</v>
      </c>
      <c r="D19" s="68">
        <f>VLOOKUP(A19,'2018-19 disagg'!A19:AZ227,43,FALSE)</f>
        <v>568970</v>
      </c>
      <c r="E19" s="73">
        <v>1929.0531977204089</v>
      </c>
      <c r="F19" s="55"/>
      <c r="G19" s="88">
        <v>557355.3959020481</v>
      </c>
      <c r="H19" s="81">
        <v>1886.733719794963</v>
      </c>
      <c r="I19" s="90"/>
      <c r="J19" s="103">
        <f t="shared" si="8"/>
        <v>2.0838775731513826E-2</v>
      </c>
      <c r="K19" s="126">
        <f t="shared" si="8"/>
        <v>2.2430021513605514E-2</v>
      </c>
      <c r="L19" s="56">
        <v>582593</v>
      </c>
      <c r="M19" s="103">
        <v>1.5145959771947437E-2</v>
      </c>
      <c r="N19" s="97">
        <f>INDEX('Pace of change parameters'!$E$22:$I$22,1,$B$5)</f>
        <v>1.356605044543624E-2</v>
      </c>
      <c r="O19" s="108">
        <f>MAX(IF(INDEX('Pace of change parameters'!$E$30:$I$30,1,$B$5)=1,(1+M19)*D19,D19),L19)</f>
        <v>582593</v>
      </c>
      <c r="P19" s="94">
        <f>IF(K19&lt;INDEX('Pace of change parameters'!$E$18:$I$18,1,$B$5),1,IF(K19&gt;INDEX('Pace of change parameters'!$E$19:$I$19,1,$B$5),0,(K19-INDEX('Pace of change parameters'!$E$19:$I$19,1,$B$5))/(INDEX('Pace of change parameters'!$E$18:$I$18,1,$B$5)-INDEX('Pace of change parameters'!$E$19:$I$19,1,$B$5))))</f>
        <v>0</v>
      </c>
      <c r="Q19" s="57">
        <v>1.5145959771947437E-2</v>
      </c>
      <c r="R19" s="57">
        <v>1.356605044543624E-2</v>
      </c>
      <c r="S19" s="9">
        <f>MAX(IF(INDEX('Pace of change parameters'!$E$31:$I$31,1,$B$5)=1,D19*(1+Q19),D19),L19)</f>
        <v>582593</v>
      </c>
      <c r="T19" s="103">
        <f>IF(Q19&lt;INDEX('Pace of change parameters'!$E$24:$I$24,1,$B$5),INDEX('Pace of change parameters'!$E$24:$I$24,1,$B$5),Q19)</f>
        <v>2.0738822378003872E-2</v>
      </c>
      <c r="U19" s="132">
        <v>1.9150208671882885E-2</v>
      </c>
      <c r="V19" s="117">
        <f t="shared" si="9"/>
        <v>582593</v>
      </c>
      <c r="W19" s="131">
        <f>IF(J19&gt;INDEX('Pace of change parameters'!$E$26:$I$26,1,$B$5),0,IF(J19&lt;INDEX('Pace of change parameters'!$E$25:$I$25,1,$B$5),1,(J19-INDEX('Pace of change parameters'!$E$26:$I$26,1,$B$5))/(INDEX('Pace of change parameters'!$E$25:$I$25,1,$B$5)-INDEX('Pace of change parameters'!$E$26:$I$26,1,$B$5))))</f>
        <v>1</v>
      </c>
      <c r="X19" s="132">
        <f>MIN(T19, T19+(INDEX('Pace of change parameters'!$E$27:$I$27,1,$B$5)-T19)*(1-W19))</f>
        <v>2.0738822378003872E-2</v>
      </c>
      <c r="Y19" s="132">
        <v>1.9150208671882885E-2</v>
      </c>
      <c r="Z19" s="108">
        <f t="shared" si="10"/>
        <v>582593</v>
      </c>
      <c r="AA19" s="97">
        <f>MIN(VLOOKUP(A19,'2018-19 disagg'!$A$12:$BB$220,54,FALSE),-2.5%)</f>
        <v>-2.5000000000000001E-2</v>
      </c>
      <c r="AB19" s="99">
        <f t="shared" si="2"/>
        <v>557855.18874406547</v>
      </c>
      <c r="AC19" s="99">
        <f>MAX(IF(INDEX('Pace of change parameters'!$E$29:$I$29,1,$B$5)=1,MAX(AB19,Z19),Z19),L19)</f>
        <v>582593</v>
      </c>
      <c r="AD19" s="97">
        <f t="shared" si="3"/>
        <v>2.3943265901541277E-2</v>
      </c>
      <c r="AE19" s="146">
        <v>2.2349665001056396E-2</v>
      </c>
      <c r="AF19" s="56">
        <f t="shared" si="11"/>
        <v>582593</v>
      </c>
      <c r="AG19" s="56">
        <v>1972.1668904586768</v>
      </c>
      <c r="AH19" s="16">
        <f t="shared" si="4"/>
        <v>2.3943265901541277E-2</v>
      </c>
      <c r="AI19" s="16">
        <f t="shared" si="5"/>
        <v>2.2349665001056396E-2</v>
      </c>
      <c r="AJ19" s="56"/>
      <c r="AK19" s="56">
        <v>572159.16794263129</v>
      </c>
      <c r="AL19" s="56">
        <v>1936.8467645317448</v>
      </c>
      <c r="AM19" s="16">
        <f t="shared" si="12"/>
        <v>1.8235890713569569E-2</v>
      </c>
      <c r="AN19" s="58">
        <f t="shared" si="12"/>
        <v>1.8235890713569791E-2</v>
      </c>
      <c r="AP19" s="56">
        <f t="shared" si="6"/>
        <v>1</v>
      </c>
      <c r="AQ19" s="56">
        <f t="shared" si="7"/>
        <v>0</v>
      </c>
    </row>
    <row r="20" spans="1:43" x14ac:dyDescent="0.2">
      <c r="A20" s="156" t="s">
        <v>85</v>
      </c>
      <c r="B20" s="156" t="s">
        <v>86</v>
      </c>
      <c r="D20" s="68">
        <f>VLOOKUP(A20,'2018-19 disagg'!A20:AZ228,43,FALSE)</f>
        <v>311117</v>
      </c>
      <c r="E20" s="73">
        <v>1987.9158941732319</v>
      </c>
      <c r="F20" s="55"/>
      <c r="G20" s="88">
        <v>296449.23860466742</v>
      </c>
      <c r="H20" s="81">
        <v>1888.9873780181856</v>
      </c>
      <c r="I20" s="90"/>
      <c r="J20" s="103">
        <f t="shared" si="8"/>
        <v>4.9478155060782347E-2</v>
      </c>
      <c r="K20" s="126">
        <f t="shared" si="8"/>
        <v>5.2371189615272318E-2</v>
      </c>
      <c r="L20" s="56">
        <v>316528</v>
      </c>
      <c r="M20" s="103">
        <v>1.6360088218453805E-2</v>
      </c>
      <c r="N20" s="97">
        <f>INDEX('Pace of change parameters'!$E$22:$I$22,1,$B$5)</f>
        <v>1.356605044543624E-2</v>
      </c>
      <c r="O20" s="108">
        <f>MAX(IF(INDEX('Pace of change parameters'!$E$30:$I$30,1,$B$5)=1,(1+M20)*D20,D20),L20)</f>
        <v>316528</v>
      </c>
      <c r="P20" s="94">
        <f>IF(K20&lt;INDEX('Pace of change parameters'!$E$18:$I$18,1,$B$5),1,IF(K20&gt;INDEX('Pace of change parameters'!$E$19:$I$19,1,$B$5),0,(K20-INDEX('Pace of change parameters'!$E$19:$I$19,1,$B$5))/(INDEX('Pace of change parameters'!$E$18:$I$18,1,$B$5)-INDEX('Pace of change parameters'!$E$19:$I$19,1,$B$5))))</f>
        <v>0</v>
      </c>
      <c r="Q20" s="57">
        <v>1.6360088218453805E-2</v>
      </c>
      <c r="R20" s="57">
        <v>1.356605044543624E-2</v>
      </c>
      <c r="S20" s="9">
        <f>MAX(IF(INDEX('Pace of change parameters'!$E$31:$I$31,1,$B$5)=1,D20*(1+Q20),D20),L20)</f>
        <v>316528</v>
      </c>
      <c r="T20" s="103">
        <f>IF(Q20&lt;INDEX('Pace of change parameters'!$E$24:$I$24,1,$B$5),INDEX('Pace of change parameters'!$E$24:$I$24,1,$B$5),Q20)</f>
        <v>2.0738822378003872E-2</v>
      </c>
      <c r="U20" s="132">
        <v>1.7932747189525422E-2</v>
      </c>
      <c r="V20" s="117">
        <f t="shared" si="9"/>
        <v>317569.20020177739</v>
      </c>
      <c r="W20" s="131">
        <f>IF(J20&gt;INDEX('Pace of change parameters'!$E$26:$I$26,1,$B$5),0,IF(J20&lt;INDEX('Pace of change parameters'!$E$25:$I$25,1,$B$5),1,(J20-INDEX('Pace of change parameters'!$E$26:$I$26,1,$B$5))/(INDEX('Pace of change parameters'!$E$25:$I$25,1,$B$5)-INDEX('Pace of change parameters'!$E$26:$I$26,1,$B$5))))</f>
        <v>1</v>
      </c>
      <c r="X20" s="132">
        <f>MIN(T20, T20+(INDEX('Pace of change parameters'!$E$27:$I$27,1,$B$5)-T20)*(1-W20))</f>
        <v>2.0738822378003872E-2</v>
      </c>
      <c r="Y20" s="132">
        <v>1.7932747189525422E-2</v>
      </c>
      <c r="Z20" s="108">
        <f t="shared" si="10"/>
        <v>317569.20020177739</v>
      </c>
      <c r="AA20" s="97">
        <f>MIN(VLOOKUP(A20,'2018-19 disagg'!$A$12:$BB$220,54,FALSE),-2.5%)</f>
        <v>-2.5000000000000001E-2</v>
      </c>
      <c r="AB20" s="99">
        <f t="shared" si="2"/>
        <v>296565.55438560311</v>
      </c>
      <c r="AC20" s="99">
        <f>MAX(IF(INDEX('Pace of change parameters'!$E$29:$I$29,1,$B$5)=1,MAX(AB20,Z20),Z20),L20)</f>
        <v>317569.20020177739</v>
      </c>
      <c r="AD20" s="97">
        <f t="shared" si="3"/>
        <v>2.0738822378003841E-2</v>
      </c>
      <c r="AE20" s="146">
        <v>1.7932747189525422E-2</v>
      </c>
      <c r="AF20" s="56">
        <f t="shared" si="11"/>
        <v>317569.20020177739</v>
      </c>
      <c r="AG20" s="56">
        <v>2023.5646873374799</v>
      </c>
      <c r="AH20" s="16">
        <f t="shared" si="4"/>
        <v>2.0738822378003841E-2</v>
      </c>
      <c r="AI20" s="16">
        <f t="shared" si="5"/>
        <v>1.7932747189525422E-2</v>
      </c>
      <c r="AJ20" s="56"/>
      <c r="AK20" s="56">
        <v>304169.79936984938</v>
      </c>
      <c r="AL20" s="56">
        <v>1938.1831253417261</v>
      </c>
      <c r="AM20" s="16">
        <f t="shared" si="12"/>
        <v>4.4052370944412056E-2</v>
      </c>
      <c r="AN20" s="58">
        <f t="shared" si="12"/>
        <v>4.4052370944412278E-2</v>
      </c>
      <c r="AP20" s="56">
        <f t="shared" si="6"/>
        <v>0</v>
      </c>
      <c r="AQ20" s="56">
        <f t="shared" si="7"/>
        <v>0</v>
      </c>
    </row>
    <row r="21" spans="1:43" x14ac:dyDescent="0.2">
      <c r="A21" s="156" t="s">
        <v>87</v>
      </c>
      <c r="B21" s="156" t="s">
        <v>88</v>
      </c>
      <c r="D21" s="68">
        <f>VLOOKUP(A21,'2018-19 disagg'!A21:AZ229,43,FALSE)</f>
        <v>552429</v>
      </c>
      <c r="E21" s="73">
        <v>1938.9274452392119</v>
      </c>
      <c r="F21" s="55"/>
      <c r="G21" s="88">
        <v>501374.32704615279</v>
      </c>
      <c r="H21" s="81">
        <v>1758.0788129430907</v>
      </c>
      <c r="I21" s="90"/>
      <c r="J21" s="103">
        <f t="shared" si="8"/>
        <v>0.10182945196782578</v>
      </c>
      <c r="K21" s="126">
        <f t="shared" si="8"/>
        <v>0.10286719284977552</v>
      </c>
      <c r="L21" s="56">
        <v>555857</v>
      </c>
      <c r="M21" s="103">
        <v>1.4520661819478642E-2</v>
      </c>
      <c r="N21" s="97">
        <f>INDEX('Pace of change parameters'!$E$22:$I$22,1,$B$5)</f>
        <v>1.356605044543624E-2</v>
      </c>
      <c r="O21" s="108">
        <f>MAX(IF(INDEX('Pace of change parameters'!$E$30:$I$30,1,$B$5)=1,(1+M21)*D21,D21),L21)</f>
        <v>560450.63468827272</v>
      </c>
      <c r="P21" s="94">
        <f>IF(K21&lt;INDEX('Pace of change parameters'!$E$18:$I$18,1,$B$5),1,IF(K21&gt;INDEX('Pace of change parameters'!$E$19:$I$19,1,$B$5),0,(K21-INDEX('Pace of change parameters'!$E$19:$I$19,1,$B$5))/(INDEX('Pace of change parameters'!$E$18:$I$18,1,$B$5)-INDEX('Pace of change parameters'!$E$19:$I$19,1,$B$5))))</f>
        <v>0</v>
      </c>
      <c r="Q21" s="57">
        <v>1.4520661819478642E-2</v>
      </c>
      <c r="R21" s="57">
        <v>1.356605044543624E-2</v>
      </c>
      <c r="S21" s="9">
        <f>MAX(IF(INDEX('Pace of change parameters'!$E$31:$I$31,1,$B$5)=1,D21*(1+Q21),D21),L21)</f>
        <v>560450.63468827272</v>
      </c>
      <c r="T21" s="103">
        <f>IF(Q21&lt;INDEX('Pace of change parameters'!$E$24:$I$24,1,$B$5),INDEX('Pace of change parameters'!$E$24:$I$24,1,$B$5),Q21)</f>
        <v>2.0738822378003872E-2</v>
      </c>
      <c r="U21" s="132">
        <v>1.9778360037078002E-2</v>
      </c>
      <c r="V21" s="117">
        <f t="shared" si="9"/>
        <v>563885.72690745827</v>
      </c>
      <c r="W21" s="131">
        <f>IF(J21&gt;INDEX('Pace of change parameters'!$E$26:$I$26,1,$B$5),0,IF(J21&lt;INDEX('Pace of change parameters'!$E$25:$I$25,1,$B$5),1,(J21-INDEX('Pace of change parameters'!$E$26:$I$26,1,$B$5))/(INDEX('Pace of change parameters'!$E$25:$I$25,1,$B$5)-INDEX('Pace of change parameters'!$E$26:$I$26,1,$B$5))))</f>
        <v>0</v>
      </c>
      <c r="X21" s="132">
        <f>MIN(T21, T21+(INDEX('Pace of change parameters'!$E$27:$I$27,1,$B$5)-T21)*(1-W21))</f>
        <v>1.3882237800387151E-4</v>
      </c>
      <c r="Y21" s="132">
        <v>-8.0225643033815519E-4</v>
      </c>
      <c r="Z21" s="108">
        <f t="shared" si="10"/>
        <v>555857</v>
      </c>
      <c r="AA21" s="97">
        <f>MIN(VLOOKUP(A21,'2018-19 disagg'!$A$12:$BB$220,54,FALSE),-2.5%)</f>
        <v>-2.5000000000000001E-2</v>
      </c>
      <c r="AB21" s="99">
        <f t="shared" si="2"/>
        <v>501574.63157396496</v>
      </c>
      <c r="AC21" s="99">
        <f>MAX(IF(INDEX('Pace of change parameters'!$E$29:$I$29,1,$B$5)=1,MAX(AB21,Z21),Z21),L21)</f>
        <v>555857</v>
      </c>
      <c r="AD21" s="97">
        <f t="shared" si="3"/>
        <v>6.2053223129125978E-3</v>
      </c>
      <c r="AE21" s="146">
        <v>5.2585352424756593E-3</v>
      </c>
      <c r="AF21" s="56">
        <f t="shared" si="11"/>
        <v>555857</v>
      </c>
      <c r="AG21" s="56">
        <v>1949.1233635426056</v>
      </c>
      <c r="AH21" s="16">
        <f t="shared" si="4"/>
        <v>6.2053223129125978E-3</v>
      </c>
      <c r="AI21" s="16">
        <f t="shared" si="5"/>
        <v>5.2585352424756593E-3</v>
      </c>
      <c r="AJ21" s="56"/>
      <c r="AK21" s="56">
        <v>514435.51956304099</v>
      </c>
      <c r="AL21" s="56">
        <v>1803.8781381119645</v>
      </c>
      <c r="AM21" s="16">
        <f t="shared" si="12"/>
        <v>8.0518313494647886E-2</v>
      </c>
      <c r="AN21" s="58">
        <f t="shared" si="12"/>
        <v>8.0518313494647886E-2</v>
      </c>
      <c r="AP21" s="56">
        <f t="shared" si="6"/>
        <v>1</v>
      </c>
      <c r="AQ21" s="56">
        <f t="shared" si="7"/>
        <v>0</v>
      </c>
    </row>
    <row r="22" spans="1:43" x14ac:dyDescent="0.2">
      <c r="A22" s="156" t="s">
        <v>89</v>
      </c>
      <c r="B22" s="156" t="s">
        <v>90</v>
      </c>
      <c r="D22" s="68">
        <f>VLOOKUP(A22,'2018-19 disagg'!A22:AZ230,43,FALSE)</f>
        <v>299463</v>
      </c>
      <c r="E22" s="73">
        <v>1738.7507340949787</v>
      </c>
      <c r="F22" s="55"/>
      <c r="G22" s="88">
        <v>302537.80750491581</v>
      </c>
      <c r="H22" s="81">
        <v>1753.5272467784444</v>
      </c>
      <c r="I22" s="90"/>
      <c r="J22" s="103">
        <f t="shared" si="8"/>
        <v>-1.0163382653805453E-2</v>
      </c>
      <c r="K22" s="126">
        <f t="shared" si="8"/>
        <v>-8.4267368588727409E-3</v>
      </c>
      <c r="L22" s="56">
        <v>306647</v>
      </c>
      <c r="M22" s="103">
        <v>1.5344328990143818E-2</v>
      </c>
      <c r="N22" s="97">
        <f>INDEX('Pace of change parameters'!$E$22:$I$22,1,$B$5)</f>
        <v>1.356605044543624E-2</v>
      </c>
      <c r="O22" s="108">
        <f>MAX(IF(INDEX('Pace of change parameters'!$E$30:$I$30,1,$B$5)=1,(1+M22)*D22,D22),L22)</f>
        <v>306647</v>
      </c>
      <c r="P22" s="94">
        <f>IF(K22&lt;INDEX('Pace of change parameters'!$E$18:$I$18,1,$B$5),1,IF(K22&gt;INDEX('Pace of change parameters'!$E$19:$I$19,1,$B$5),0,(K22-INDEX('Pace of change parameters'!$E$19:$I$19,1,$B$5))/(INDEX('Pace of change parameters'!$E$18:$I$18,1,$B$5)-INDEX('Pace of change parameters'!$E$19:$I$19,1,$B$5))))</f>
        <v>0.32088587008246078</v>
      </c>
      <c r="Q22" s="57">
        <v>1.9422388917840872E-2</v>
      </c>
      <c r="R22" s="57">
        <v>1.7636968040954493E-2</v>
      </c>
      <c r="S22" s="9">
        <f>MAX(IF(INDEX('Pace of change parameters'!$E$31:$I$31,1,$B$5)=1,D22*(1+Q22),D22),L22)</f>
        <v>306647</v>
      </c>
      <c r="T22" s="103">
        <f>IF(Q22&lt;INDEX('Pace of change parameters'!$E$24:$I$24,1,$B$5),INDEX('Pace of change parameters'!$E$24:$I$24,1,$B$5),Q22)</f>
        <v>2.0738822378003872E-2</v>
      </c>
      <c r="U22" s="132">
        <v>1.8951095893737779E-2</v>
      </c>
      <c r="V22" s="117">
        <f t="shared" si="9"/>
        <v>306647</v>
      </c>
      <c r="W22" s="131">
        <f>IF(J22&gt;INDEX('Pace of change parameters'!$E$26:$I$26,1,$B$5),0,IF(J22&lt;INDEX('Pace of change parameters'!$E$25:$I$25,1,$B$5),1,(J22-INDEX('Pace of change parameters'!$E$26:$I$26,1,$B$5))/(INDEX('Pace of change parameters'!$E$25:$I$25,1,$B$5)-INDEX('Pace of change parameters'!$E$26:$I$26,1,$B$5))))</f>
        <v>1</v>
      </c>
      <c r="X22" s="132">
        <f>MIN(T22, T22+(INDEX('Pace of change parameters'!$E$27:$I$27,1,$B$5)-T22)*(1-W22))</f>
        <v>2.0738822378003872E-2</v>
      </c>
      <c r="Y22" s="132">
        <v>1.8951095893737779E-2</v>
      </c>
      <c r="Z22" s="108">
        <f t="shared" si="10"/>
        <v>306647</v>
      </c>
      <c r="AA22" s="97">
        <f>MIN(VLOOKUP(A22,'2018-19 disagg'!$A$12:$BB$220,54,FALSE),-2.5%)</f>
        <v>-2.5000000000000001E-2</v>
      </c>
      <c r="AB22" s="99">
        <f t="shared" si="2"/>
        <v>302833.58023419668</v>
      </c>
      <c r="AC22" s="99">
        <f>MAX(IF(INDEX('Pace of change parameters'!$E$29:$I$29,1,$B$5)=1,MAX(AB22,Z22),Z22),L22)</f>
        <v>306647</v>
      </c>
      <c r="AD22" s="97">
        <f t="shared" si="3"/>
        <v>2.3989608065103196E-2</v>
      </c>
      <c r="AE22" s="146">
        <v>2.2196188140419348E-2</v>
      </c>
      <c r="AF22" s="56">
        <f t="shared" si="11"/>
        <v>306647</v>
      </c>
      <c r="AG22" s="56">
        <v>1777.3443725182431</v>
      </c>
      <c r="AH22" s="16">
        <f t="shared" si="4"/>
        <v>2.3989608065103196E-2</v>
      </c>
      <c r="AI22" s="16">
        <f t="shared" si="5"/>
        <v>2.2196188140419348E-2</v>
      </c>
      <c r="AJ22" s="56"/>
      <c r="AK22" s="56">
        <v>310598.54382994532</v>
      </c>
      <c r="AL22" s="56">
        <v>1800.2477571556683</v>
      </c>
      <c r="AM22" s="16">
        <f t="shared" si="12"/>
        <v>-1.2722351435455637E-2</v>
      </c>
      <c r="AN22" s="58">
        <f t="shared" si="12"/>
        <v>-1.2722351435455637E-2</v>
      </c>
      <c r="AP22" s="56">
        <f t="shared" si="6"/>
        <v>1</v>
      </c>
      <c r="AQ22" s="56">
        <f t="shared" si="7"/>
        <v>0</v>
      </c>
    </row>
    <row r="23" spans="1:43" x14ac:dyDescent="0.2">
      <c r="A23" s="156" t="s">
        <v>91</v>
      </c>
      <c r="B23" s="156" t="s">
        <v>92</v>
      </c>
      <c r="D23" s="68">
        <f>VLOOKUP(A23,'2018-19 disagg'!A23:AZ231,43,FALSE)</f>
        <v>344142</v>
      </c>
      <c r="E23" s="73">
        <v>2002.640952228958</v>
      </c>
      <c r="F23" s="55"/>
      <c r="G23" s="88">
        <v>349222.94709024311</v>
      </c>
      <c r="H23" s="81">
        <v>2031.8417825365073</v>
      </c>
      <c r="I23" s="90"/>
      <c r="J23" s="103">
        <f t="shared" si="8"/>
        <v>-1.4549293316999945E-2</v>
      </c>
      <c r="K23" s="126">
        <f t="shared" si="8"/>
        <v>-1.4371606371385681E-2</v>
      </c>
      <c r="L23" s="56">
        <v>352406</v>
      </c>
      <c r="M23" s="103">
        <v>1.3748806878062014E-2</v>
      </c>
      <c r="N23" s="97">
        <f>INDEX('Pace of change parameters'!$E$22:$I$22,1,$B$5)</f>
        <v>1.356605044543624E-2</v>
      </c>
      <c r="O23" s="108">
        <f>MAX(IF(INDEX('Pace of change parameters'!$E$30:$I$30,1,$B$5)=1,(1+M23)*D23,D23),L23)</f>
        <v>352406</v>
      </c>
      <c r="P23" s="94">
        <f>IF(K23&lt;INDEX('Pace of change parameters'!$E$18:$I$18,1,$B$5),1,IF(K23&gt;INDEX('Pace of change parameters'!$E$19:$I$19,1,$B$5),0,(K23-INDEX('Pace of change parameters'!$E$19:$I$19,1,$B$5))/(INDEX('Pace of change parameters'!$E$18:$I$18,1,$B$5)-INDEX('Pace of change parameters'!$E$19:$I$19,1,$B$5))))</f>
        <v>0.50802700214267882</v>
      </c>
      <c r="Q23" s="57">
        <v>2.0195051980075096E-2</v>
      </c>
      <c r="R23" s="57">
        <v>2.001113343238603E-2</v>
      </c>
      <c r="S23" s="9">
        <f>MAX(IF(INDEX('Pace of change parameters'!$E$31:$I$31,1,$B$5)=1,D23*(1+Q23),D23),L23)</f>
        <v>352406</v>
      </c>
      <c r="T23" s="103">
        <f>IF(Q23&lt;INDEX('Pace of change parameters'!$E$24:$I$24,1,$B$5),INDEX('Pace of change parameters'!$E$24:$I$24,1,$B$5),Q23)</f>
        <v>2.0738822378003872E-2</v>
      </c>
      <c r="U23" s="132">
        <v>2.0554805800568898E-2</v>
      </c>
      <c r="V23" s="117">
        <f t="shared" si="9"/>
        <v>352406</v>
      </c>
      <c r="W23" s="131">
        <f>IF(J23&gt;INDEX('Pace of change parameters'!$E$26:$I$26,1,$B$5),0,IF(J23&lt;INDEX('Pace of change parameters'!$E$25:$I$25,1,$B$5),1,(J23-INDEX('Pace of change parameters'!$E$26:$I$26,1,$B$5))/(INDEX('Pace of change parameters'!$E$25:$I$25,1,$B$5)-INDEX('Pace of change parameters'!$E$26:$I$26,1,$B$5))))</f>
        <v>1</v>
      </c>
      <c r="X23" s="132">
        <f>MIN(T23, T23+(INDEX('Pace of change parameters'!$E$27:$I$27,1,$B$5)-T23)*(1-W23))</f>
        <v>2.0738822378003872E-2</v>
      </c>
      <c r="Y23" s="132">
        <v>2.0554805800568898E-2</v>
      </c>
      <c r="Z23" s="108">
        <f t="shared" si="10"/>
        <v>352406</v>
      </c>
      <c r="AA23" s="97">
        <f>MIN(VLOOKUP(A23,'2018-19 disagg'!$A$12:$BB$220,54,FALSE),-2.5%)</f>
        <v>-2.5000000000000001E-2</v>
      </c>
      <c r="AB23" s="99">
        <f t="shared" si="2"/>
        <v>349492.82963990443</v>
      </c>
      <c r="AC23" s="99">
        <f>MAX(IF(INDEX('Pace of change parameters'!$E$29:$I$29,1,$B$5)=1,MAX(AB23,Z23),Z23),L23)</f>
        <v>352406</v>
      </c>
      <c r="AD23" s="97">
        <f t="shared" si="3"/>
        <v>2.4013343329207126E-2</v>
      </c>
      <c r="AE23" s="146">
        <v>2.3828736428248565E-2</v>
      </c>
      <c r="AF23" s="56">
        <f t="shared" si="11"/>
        <v>352406</v>
      </c>
      <c r="AG23" s="56">
        <v>2050.3613556400387</v>
      </c>
      <c r="AH23" s="16">
        <f t="shared" si="4"/>
        <v>2.4013343329207126E-2</v>
      </c>
      <c r="AI23" s="16">
        <f t="shared" si="5"/>
        <v>2.3828736428248565E-2</v>
      </c>
      <c r="AJ23" s="56"/>
      <c r="AK23" s="56">
        <v>358454.18424605584</v>
      </c>
      <c r="AL23" s="56">
        <v>2085.5507770741342</v>
      </c>
      <c r="AM23" s="16">
        <f t="shared" si="12"/>
        <v>-1.6872963162020582E-2</v>
      </c>
      <c r="AN23" s="58">
        <f t="shared" si="12"/>
        <v>-1.6872963162020693E-2</v>
      </c>
      <c r="AP23" s="56">
        <f t="shared" si="6"/>
        <v>1</v>
      </c>
      <c r="AQ23" s="56">
        <f t="shared" si="7"/>
        <v>0</v>
      </c>
    </row>
    <row r="24" spans="1:43" x14ac:dyDescent="0.2">
      <c r="A24" s="156" t="s">
        <v>93</v>
      </c>
      <c r="B24" s="156" t="s">
        <v>94</v>
      </c>
      <c r="D24" s="68">
        <f>VLOOKUP(A24,'2018-19 disagg'!A24:AZ232,43,FALSE)</f>
        <v>535613</v>
      </c>
      <c r="E24" s="73">
        <v>1744.7428820211028</v>
      </c>
      <c r="F24" s="55"/>
      <c r="G24" s="88">
        <v>548506.6173085277</v>
      </c>
      <c r="H24" s="81">
        <v>1776.3205609716813</v>
      </c>
      <c r="I24" s="90"/>
      <c r="J24" s="103">
        <f t="shared" si="8"/>
        <v>-2.3506767104826354E-2</v>
      </c>
      <c r="K24" s="126">
        <f t="shared" si="8"/>
        <v>-1.7777015953305719E-2</v>
      </c>
      <c r="L24" s="56">
        <v>549193</v>
      </c>
      <c r="M24" s="103">
        <v>1.9513333077865402E-2</v>
      </c>
      <c r="N24" s="97">
        <f>INDEX('Pace of change parameters'!$E$22:$I$22,1,$B$5)</f>
        <v>1.356605044543624E-2</v>
      </c>
      <c r="O24" s="108">
        <f>MAX(IF(INDEX('Pace of change parameters'!$E$30:$I$30,1,$B$5)=1,(1+M24)*D24,D24),L24)</f>
        <v>549193</v>
      </c>
      <c r="P24" s="94">
        <f>IF(K24&lt;INDEX('Pace of change parameters'!$E$18:$I$18,1,$B$5),1,IF(K24&gt;INDEX('Pace of change parameters'!$E$19:$I$19,1,$B$5),0,(K24-INDEX('Pace of change parameters'!$E$19:$I$19,1,$B$5))/(INDEX('Pace of change parameters'!$E$18:$I$18,1,$B$5)-INDEX('Pace of change parameters'!$E$19:$I$19,1,$B$5))))</f>
        <v>0.61522737095613023</v>
      </c>
      <c r="Q24" s="57">
        <v>2.7364210934564204E-2</v>
      </c>
      <c r="R24" s="57">
        <v>2.1371130578837549E-2</v>
      </c>
      <c r="S24" s="9">
        <f>MAX(IF(INDEX('Pace of change parameters'!$E$31:$I$31,1,$B$5)=1,D24*(1+Q24),D24),L24)</f>
        <v>550269.62711129477</v>
      </c>
      <c r="T24" s="103">
        <f>IF(Q24&lt;INDEX('Pace of change parameters'!$E$24:$I$24,1,$B$5),INDEX('Pace of change parameters'!$E$24:$I$24,1,$B$5),Q24)</f>
        <v>2.7364210934564204E-2</v>
      </c>
      <c r="U24" s="132">
        <v>2.1371130578837549E-2</v>
      </c>
      <c r="V24" s="117">
        <f t="shared" si="9"/>
        <v>550269.62711129477</v>
      </c>
      <c r="W24" s="131">
        <f>IF(J24&gt;INDEX('Pace of change parameters'!$E$26:$I$26,1,$B$5),0,IF(J24&lt;INDEX('Pace of change parameters'!$E$25:$I$25,1,$B$5),1,(J24-INDEX('Pace of change parameters'!$E$26:$I$26,1,$B$5))/(INDEX('Pace of change parameters'!$E$25:$I$25,1,$B$5)-INDEX('Pace of change parameters'!$E$26:$I$26,1,$B$5))))</f>
        <v>1</v>
      </c>
      <c r="X24" s="132">
        <f>MIN(T24, T24+(INDEX('Pace of change parameters'!$E$27:$I$27,1,$B$5)-T24)*(1-W24))</f>
        <v>2.7364210934564204E-2</v>
      </c>
      <c r="Y24" s="132">
        <v>2.1371130578837549E-2</v>
      </c>
      <c r="Z24" s="108">
        <f t="shared" si="10"/>
        <v>550269.62711129477</v>
      </c>
      <c r="AA24" s="97">
        <f>MIN(VLOOKUP(A24,'2018-19 disagg'!$A$12:$BB$220,54,FALSE),-2.5%)</f>
        <v>-2.5000000000000001E-2</v>
      </c>
      <c r="AB24" s="99">
        <f t="shared" si="2"/>
        <v>548952.46341202711</v>
      </c>
      <c r="AC24" s="99">
        <f>MAX(IF(INDEX('Pace of change parameters'!$E$29:$I$29,1,$B$5)=1,MAX(AB24,Z24),Z24),L24)</f>
        <v>550269.62711129477</v>
      </c>
      <c r="AD24" s="97">
        <f t="shared" si="3"/>
        <v>2.7364210934564204E-2</v>
      </c>
      <c r="AE24" s="146">
        <v>2.1371130578837549E-2</v>
      </c>
      <c r="AF24" s="56">
        <f t="shared" si="11"/>
        <v>550269.62711129477</v>
      </c>
      <c r="AG24" s="56">
        <v>1782.0300099792732</v>
      </c>
      <c r="AH24" s="16">
        <f t="shared" si="4"/>
        <v>2.7364210934564204E-2</v>
      </c>
      <c r="AI24" s="16">
        <f t="shared" si="5"/>
        <v>2.1371130578837549E-2</v>
      </c>
      <c r="AJ24" s="56"/>
      <c r="AK24" s="56">
        <v>563028.16760207911</v>
      </c>
      <c r="AL24" s="56">
        <v>1823.3481218973693</v>
      </c>
      <c r="AM24" s="16">
        <f t="shared" si="12"/>
        <v>-2.2660572285615133E-2</v>
      </c>
      <c r="AN24" s="58">
        <f t="shared" si="12"/>
        <v>-2.2660572285615244E-2</v>
      </c>
      <c r="AP24" s="56">
        <f t="shared" si="6"/>
        <v>0</v>
      </c>
      <c r="AQ24" s="56">
        <f t="shared" si="7"/>
        <v>0</v>
      </c>
    </row>
    <row r="25" spans="1:43" x14ac:dyDescent="0.2">
      <c r="A25" s="156" t="s">
        <v>95</v>
      </c>
      <c r="B25" s="156" t="s">
        <v>96</v>
      </c>
      <c r="D25" s="68">
        <f>VLOOKUP(A25,'2018-19 disagg'!A25:AZ233,43,FALSE)</f>
        <v>349302</v>
      </c>
      <c r="E25" s="73">
        <v>1721.5286423732421</v>
      </c>
      <c r="F25" s="55"/>
      <c r="G25" s="88">
        <v>356025.9361873616</v>
      </c>
      <c r="H25" s="81">
        <v>1745.0865169743383</v>
      </c>
      <c r="I25" s="90"/>
      <c r="J25" s="103">
        <f t="shared" si="8"/>
        <v>-1.8886085264931629E-2</v>
      </c>
      <c r="K25" s="126">
        <f t="shared" si="8"/>
        <v>-1.3499545364628274E-2</v>
      </c>
      <c r="L25" s="56">
        <v>358289</v>
      </c>
      <c r="M25" s="103">
        <v>1.9130759996815128E-2</v>
      </c>
      <c r="N25" s="97">
        <f>INDEX('Pace of change parameters'!$E$22:$I$22,1,$B$5)</f>
        <v>1.356605044543624E-2</v>
      </c>
      <c r="O25" s="108">
        <f>MAX(IF(INDEX('Pace of change parameters'!$E$30:$I$30,1,$B$5)=1,(1+M25)*D25,D25),L25)</f>
        <v>358289</v>
      </c>
      <c r="P25" s="94">
        <f>IF(K25&lt;INDEX('Pace of change parameters'!$E$18:$I$18,1,$B$5),1,IF(K25&gt;INDEX('Pace of change parameters'!$E$19:$I$19,1,$B$5),0,(K25-INDEX('Pace of change parameters'!$E$19:$I$19,1,$B$5))/(INDEX('Pace of change parameters'!$E$18:$I$18,1,$B$5)-INDEX('Pace of change parameters'!$E$19:$I$19,1,$B$5))))</f>
        <v>0.4805750145613451</v>
      </c>
      <c r="Q25" s="57">
        <v>2.5261046329335679E-2</v>
      </c>
      <c r="R25" s="57">
        <v>1.9662863877082604E-2</v>
      </c>
      <c r="S25" s="9">
        <f>MAX(IF(INDEX('Pace of change parameters'!$E$31:$I$31,1,$B$5)=1,D25*(1+Q25),D25),L25)</f>
        <v>358289</v>
      </c>
      <c r="T25" s="103">
        <f>IF(Q25&lt;INDEX('Pace of change parameters'!$E$24:$I$24,1,$B$5),INDEX('Pace of change parameters'!$E$24:$I$24,1,$B$5),Q25)</f>
        <v>2.5261046329335679E-2</v>
      </c>
      <c r="U25" s="132">
        <v>1.9662863877082604E-2</v>
      </c>
      <c r="V25" s="117">
        <f t="shared" si="9"/>
        <v>358289</v>
      </c>
      <c r="W25" s="131">
        <f>IF(J25&gt;INDEX('Pace of change parameters'!$E$26:$I$26,1,$B$5),0,IF(J25&lt;INDEX('Pace of change parameters'!$E$25:$I$25,1,$B$5),1,(J25-INDEX('Pace of change parameters'!$E$26:$I$26,1,$B$5))/(INDEX('Pace of change parameters'!$E$25:$I$25,1,$B$5)-INDEX('Pace of change parameters'!$E$26:$I$26,1,$B$5))))</f>
        <v>1</v>
      </c>
      <c r="X25" s="132">
        <f>MIN(T25, T25+(INDEX('Pace of change parameters'!$E$27:$I$27,1,$B$5)-T25)*(1-W25))</f>
        <v>2.5261046329335679E-2</v>
      </c>
      <c r="Y25" s="132">
        <v>1.9662863877082604E-2</v>
      </c>
      <c r="Z25" s="108">
        <f t="shared" si="10"/>
        <v>358289</v>
      </c>
      <c r="AA25" s="97">
        <f>MIN(VLOOKUP(A25,'2018-19 disagg'!$A$12:$BB$220,54,FALSE),-2.5%)</f>
        <v>-2.5000000000000001E-2</v>
      </c>
      <c r="AB25" s="99">
        <f t="shared" si="2"/>
        <v>356439.63389997632</v>
      </c>
      <c r="AC25" s="99">
        <f>MAX(IF(INDEX('Pace of change parameters'!$E$29:$I$29,1,$B$5)=1,MAX(AB25,Z25),Z25),L25)</f>
        <v>358289</v>
      </c>
      <c r="AD25" s="97">
        <f t="shared" si="3"/>
        <v>2.57284527428987E-2</v>
      </c>
      <c r="AE25" s="146">
        <v>2.0127718134400174E-2</v>
      </c>
      <c r="AF25" s="56">
        <f t="shared" si="11"/>
        <v>358289</v>
      </c>
      <c r="AG25" s="56">
        <v>1756.1790856472271</v>
      </c>
      <c r="AH25" s="16">
        <f t="shared" si="4"/>
        <v>2.57284527428987E-2</v>
      </c>
      <c r="AI25" s="16">
        <f t="shared" si="5"/>
        <v>2.0127718134400174E-2</v>
      </c>
      <c r="AJ25" s="56"/>
      <c r="AK25" s="56">
        <v>365579.11169228342</v>
      </c>
      <c r="AL25" s="56">
        <v>1791.9120880168796</v>
      </c>
      <c r="AM25" s="16">
        <f t="shared" si="12"/>
        <v>-1.9941269780259452E-2</v>
      </c>
      <c r="AN25" s="58">
        <f t="shared" si="12"/>
        <v>-1.9941269780259341E-2</v>
      </c>
      <c r="AP25" s="56">
        <f t="shared" si="6"/>
        <v>1</v>
      </c>
      <c r="AQ25" s="56">
        <f t="shared" si="7"/>
        <v>0</v>
      </c>
    </row>
    <row r="26" spans="1:43" x14ac:dyDescent="0.2">
      <c r="A26" s="156" t="s">
        <v>97</v>
      </c>
      <c r="B26" s="156" t="s">
        <v>98</v>
      </c>
      <c r="D26" s="68">
        <f>VLOOKUP(A26,'2018-19 disagg'!A26:AZ234,43,FALSE)</f>
        <v>403839</v>
      </c>
      <c r="E26" s="73">
        <v>1762.1485864511201</v>
      </c>
      <c r="F26" s="55"/>
      <c r="G26" s="88">
        <v>409081.09441105055</v>
      </c>
      <c r="H26" s="81">
        <v>1776.5830871651262</v>
      </c>
      <c r="I26" s="90"/>
      <c r="J26" s="103">
        <f t="shared" si="8"/>
        <v>-1.281431599423466E-2</v>
      </c>
      <c r="K26" s="126">
        <f t="shared" si="8"/>
        <v>-8.1248666714704987E-3</v>
      </c>
      <c r="L26" s="56">
        <v>414869</v>
      </c>
      <c r="M26" s="103">
        <v>1.8380814988567806E-2</v>
      </c>
      <c r="N26" s="97">
        <f>INDEX('Pace of change parameters'!$E$22:$I$22,1,$B$5)</f>
        <v>1.356605044543624E-2</v>
      </c>
      <c r="O26" s="108">
        <f>MAX(IF(INDEX('Pace of change parameters'!$E$30:$I$30,1,$B$5)=1,(1+M26)*D26,D26),L26)</f>
        <v>414869</v>
      </c>
      <c r="P26" s="94">
        <f>IF(K26&lt;INDEX('Pace of change parameters'!$E$18:$I$18,1,$B$5),1,IF(K26&gt;INDEX('Pace of change parameters'!$E$19:$I$19,1,$B$5),0,(K26-INDEX('Pace of change parameters'!$E$19:$I$19,1,$B$5))/(INDEX('Pace of change parameters'!$E$18:$I$18,1,$B$5)-INDEX('Pace of change parameters'!$E$19:$I$19,1,$B$5))))</f>
        <v>0.31138316720785952</v>
      </c>
      <c r="Q26" s="57">
        <v>2.2349942060885697E-2</v>
      </c>
      <c r="R26" s="57">
        <v>1.75164120304101E-2</v>
      </c>
      <c r="S26" s="9">
        <f>MAX(IF(INDEX('Pace of change parameters'!$E$31:$I$31,1,$B$5)=1,D26*(1+Q26),D26),L26)</f>
        <v>414869</v>
      </c>
      <c r="T26" s="103">
        <f>IF(Q26&lt;INDEX('Pace of change parameters'!$E$24:$I$24,1,$B$5),INDEX('Pace of change parameters'!$E$24:$I$24,1,$B$5),Q26)</f>
        <v>2.2349942060885697E-2</v>
      </c>
      <c r="U26" s="132">
        <v>1.75164120304101E-2</v>
      </c>
      <c r="V26" s="117">
        <f t="shared" si="9"/>
        <v>414869</v>
      </c>
      <c r="W26" s="131">
        <f>IF(J26&gt;INDEX('Pace of change parameters'!$E$26:$I$26,1,$B$5),0,IF(J26&lt;INDEX('Pace of change parameters'!$E$25:$I$25,1,$B$5),1,(J26-INDEX('Pace of change parameters'!$E$26:$I$26,1,$B$5))/(INDEX('Pace of change parameters'!$E$25:$I$25,1,$B$5)-INDEX('Pace of change parameters'!$E$26:$I$26,1,$B$5))))</f>
        <v>1</v>
      </c>
      <c r="X26" s="132">
        <f>MIN(T26, T26+(INDEX('Pace of change parameters'!$E$27:$I$27,1,$B$5)-T26)*(1-W26))</f>
        <v>2.2349942060885697E-2</v>
      </c>
      <c r="Y26" s="132">
        <v>1.75164120304101E-2</v>
      </c>
      <c r="Z26" s="108">
        <f t="shared" si="10"/>
        <v>414869</v>
      </c>
      <c r="AA26" s="97">
        <f>MIN(VLOOKUP(A26,'2018-19 disagg'!$A$12:$BB$220,54,FALSE),-2.5%)</f>
        <v>-2.5000000000000001E-2</v>
      </c>
      <c r="AB26" s="99">
        <f t="shared" si="2"/>
        <v>410201.34218951431</v>
      </c>
      <c r="AC26" s="99">
        <f>MAX(IF(INDEX('Pace of change parameters'!$E$29:$I$29,1,$B$5)=1,MAX(AB26,Z26),Z26),L26)</f>
        <v>414869</v>
      </c>
      <c r="AD26" s="97">
        <f t="shared" si="3"/>
        <v>2.7312864780271395E-2</v>
      </c>
      <c r="AE26" s="146">
        <v>2.2455870733204097E-2</v>
      </c>
      <c r="AF26" s="56">
        <f t="shared" si="11"/>
        <v>414869</v>
      </c>
      <c r="AG26" s="56">
        <v>1801.7191673211646</v>
      </c>
      <c r="AH26" s="16">
        <f t="shared" si="4"/>
        <v>2.7312864780271395E-2</v>
      </c>
      <c r="AI26" s="16">
        <f t="shared" si="5"/>
        <v>2.2455870733204097E-2</v>
      </c>
      <c r="AJ26" s="56"/>
      <c r="AK26" s="56">
        <v>420719.32532257878</v>
      </c>
      <c r="AL26" s="56">
        <v>1827.1263278194294</v>
      </c>
      <c r="AM26" s="16">
        <f t="shared" si="12"/>
        <v>-1.3905530291704937E-2</v>
      </c>
      <c r="AN26" s="58">
        <f t="shared" si="12"/>
        <v>-1.3905530291705048E-2</v>
      </c>
      <c r="AP26" s="56">
        <f t="shared" si="6"/>
        <v>1</v>
      </c>
      <c r="AQ26" s="56">
        <f t="shared" si="7"/>
        <v>0</v>
      </c>
    </row>
    <row r="27" spans="1:43" x14ac:dyDescent="0.2">
      <c r="A27" s="156" t="s">
        <v>99</v>
      </c>
      <c r="B27" s="156" t="s">
        <v>100</v>
      </c>
      <c r="D27" s="68">
        <f>VLOOKUP(A27,'2018-19 disagg'!A27:AZ235,43,FALSE)</f>
        <v>313906</v>
      </c>
      <c r="E27" s="73">
        <v>1719.6828737299327</v>
      </c>
      <c r="F27" s="55"/>
      <c r="G27" s="88">
        <v>306930.48193903838</v>
      </c>
      <c r="H27" s="81">
        <v>1670.9788588437334</v>
      </c>
      <c r="I27" s="90"/>
      <c r="J27" s="103">
        <f t="shared" si="8"/>
        <v>2.2726703509190926E-2</v>
      </c>
      <c r="K27" s="126">
        <f t="shared" si="8"/>
        <v>2.9146996461643537E-2</v>
      </c>
      <c r="L27" s="56">
        <v>321854</v>
      </c>
      <c r="M27" s="103">
        <v>1.992883626905062E-2</v>
      </c>
      <c r="N27" s="97">
        <f>INDEX('Pace of change parameters'!$E$22:$I$22,1,$B$5)</f>
        <v>1.356605044543624E-2</v>
      </c>
      <c r="O27" s="108">
        <f>MAX(IF(INDEX('Pace of change parameters'!$E$30:$I$30,1,$B$5)=1,(1+M27)*D27,D27),L27)</f>
        <v>321854</v>
      </c>
      <c r="P27" s="94">
        <f>IF(K27&lt;INDEX('Pace of change parameters'!$E$18:$I$18,1,$B$5),1,IF(K27&gt;INDEX('Pace of change parameters'!$E$19:$I$19,1,$B$5),0,(K27-INDEX('Pace of change parameters'!$E$19:$I$19,1,$B$5))/(INDEX('Pace of change parameters'!$E$18:$I$18,1,$B$5)-INDEX('Pace of change parameters'!$E$19:$I$19,1,$B$5))))</f>
        <v>0</v>
      </c>
      <c r="Q27" s="57">
        <v>1.992883626905062E-2</v>
      </c>
      <c r="R27" s="57">
        <v>1.356605044543624E-2</v>
      </c>
      <c r="S27" s="9">
        <f>MAX(IF(INDEX('Pace of change parameters'!$E$31:$I$31,1,$B$5)=1,D27*(1+Q27),D27),L27)</f>
        <v>321854</v>
      </c>
      <c r="T27" s="103">
        <f>IF(Q27&lt;INDEX('Pace of change parameters'!$E$24:$I$24,1,$B$5),INDEX('Pace of change parameters'!$E$24:$I$24,1,$B$5),Q27)</f>
        <v>2.0738822378003872E-2</v>
      </c>
      <c r="U27" s="132">
        <v>1.437098348799104E-2</v>
      </c>
      <c r="V27" s="117">
        <f t="shared" si="9"/>
        <v>321854</v>
      </c>
      <c r="W27" s="131">
        <f>IF(J27&gt;INDEX('Pace of change parameters'!$E$26:$I$26,1,$B$5),0,IF(J27&lt;INDEX('Pace of change parameters'!$E$25:$I$25,1,$B$5),1,(J27-INDEX('Pace of change parameters'!$E$26:$I$26,1,$B$5))/(INDEX('Pace of change parameters'!$E$25:$I$25,1,$B$5)-INDEX('Pace of change parameters'!$E$26:$I$26,1,$B$5))))</f>
        <v>1</v>
      </c>
      <c r="X27" s="132">
        <f>MIN(T27, T27+(INDEX('Pace of change parameters'!$E$27:$I$27,1,$B$5)-T27)*(1-W27))</f>
        <v>2.0738822378003872E-2</v>
      </c>
      <c r="Y27" s="132">
        <v>1.437098348799104E-2</v>
      </c>
      <c r="Z27" s="108">
        <f t="shared" si="10"/>
        <v>321854</v>
      </c>
      <c r="AA27" s="97">
        <f>MIN(VLOOKUP(A27,'2018-19 disagg'!$A$12:$BB$220,54,FALSE),-2.5%)</f>
        <v>-2.5000000000000001E-2</v>
      </c>
      <c r="AB27" s="99">
        <f t="shared" si="2"/>
        <v>307194.80219770386</v>
      </c>
      <c r="AC27" s="99">
        <f>MAX(IF(INDEX('Pace of change parameters'!$E$29:$I$29,1,$B$5)=1,MAX(AB27,Z27),Z27),L27)</f>
        <v>321854</v>
      </c>
      <c r="AD27" s="97">
        <f t="shared" si="3"/>
        <v>2.5319681688148687E-2</v>
      </c>
      <c r="AE27" s="146">
        <v>1.8923265287978275E-2</v>
      </c>
      <c r="AF27" s="56">
        <f t="shared" si="11"/>
        <v>321854</v>
      </c>
      <c r="AG27" s="56">
        <v>1752.2248889607172</v>
      </c>
      <c r="AH27" s="16">
        <f t="shared" si="4"/>
        <v>2.5319681688148687E-2</v>
      </c>
      <c r="AI27" s="16">
        <f t="shared" si="5"/>
        <v>1.8923265287978275E-2</v>
      </c>
      <c r="AJ27" s="56"/>
      <c r="AK27" s="56">
        <v>315071.59199764498</v>
      </c>
      <c r="AL27" s="56">
        <v>1715.300370052104</v>
      </c>
      <c r="AM27" s="16">
        <f t="shared" si="12"/>
        <v>2.1526561500999186E-2</v>
      </c>
      <c r="AN27" s="58">
        <f t="shared" si="12"/>
        <v>2.1526561500999186E-2</v>
      </c>
      <c r="AP27" s="56">
        <f t="shared" si="6"/>
        <v>1</v>
      </c>
      <c r="AQ27" s="56">
        <f t="shared" si="7"/>
        <v>0</v>
      </c>
    </row>
    <row r="28" spans="1:43" x14ac:dyDescent="0.2">
      <c r="A28" s="156" t="s">
        <v>101</v>
      </c>
      <c r="B28" s="156" t="s">
        <v>102</v>
      </c>
      <c r="D28" s="68">
        <f>VLOOKUP(A28,'2018-19 disagg'!A28:AZ236,43,FALSE)</f>
        <v>952008</v>
      </c>
      <c r="E28" s="73">
        <v>1824.9711729243113</v>
      </c>
      <c r="F28" s="55"/>
      <c r="G28" s="88">
        <v>913770.63083255489</v>
      </c>
      <c r="H28" s="81">
        <v>1751.3925699711299</v>
      </c>
      <c r="I28" s="90"/>
      <c r="J28" s="103">
        <f t="shared" si="8"/>
        <v>4.1845697243088509E-2</v>
      </c>
      <c r="K28" s="126">
        <f t="shared" si="8"/>
        <v>4.2011485154578532E-2</v>
      </c>
      <c r="L28" s="56">
        <v>973686</v>
      </c>
      <c r="M28" s="103">
        <v>1.3727338243720855E-2</v>
      </c>
      <c r="N28" s="97">
        <f>INDEX('Pace of change parameters'!$E$22:$I$22,1,$B$5)</f>
        <v>1.356605044543624E-2</v>
      </c>
      <c r="O28" s="108">
        <f>MAX(IF(INDEX('Pace of change parameters'!$E$30:$I$30,1,$B$5)=1,(1+M28)*D28,D28),L28)</f>
        <v>973686</v>
      </c>
      <c r="P28" s="94">
        <f>IF(K28&lt;INDEX('Pace of change parameters'!$E$18:$I$18,1,$B$5),1,IF(K28&gt;INDEX('Pace of change parameters'!$E$19:$I$19,1,$B$5),0,(K28-INDEX('Pace of change parameters'!$E$19:$I$19,1,$B$5))/(INDEX('Pace of change parameters'!$E$18:$I$18,1,$B$5)-INDEX('Pace of change parameters'!$E$19:$I$19,1,$B$5))))</f>
        <v>0</v>
      </c>
      <c r="Q28" s="57">
        <v>1.3727338243720855E-2</v>
      </c>
      <c r="R28" s="57">
        <v>1.356605044543624E-2</v>
      </c>
      <c r="S28" s="9">
        <f>MAX(IF(INDEX('Pace of change parameters'!$E$31:$I$31,1,$B$5)=1,D28*(1+Q28),D28),L28)</f>
        <v>973686</v>
      </c>
      <c r="T28" s="103">
        <f>IF(Q28&lt;INDEX('Pace of change parameters'!$E$24:$I$24,1,$B$5),INDEX('Pace of change parameters'!$E$24:$I$24,1,$B$5),Q28)</f>
        <v>2.0738822378003872E-2</v>
      </c>
      <c r="U28" s="132">
        <v>2.057641902645746E-2</v>
      </c>
      <c r="V28" s="117">
        <f t="shared" si="9"/>
        <v>973686</v>
      </c>
      <c r="W28" s="131">
        <f>IF(J28&gt;INDEX('Pace of change parameters'!$E$26:$I$26,1,$B$5),0,IF(J28&lt;INDEX('Pace of change parameters'!$E$25:$I$25,1,$B$5),1,(J28-INDEX('Pace of change parameters'!$E$26:$I$26,1,$B$5))/(INDEX('Pace of change parameters'!$E$25:$I$25,1,$B$5)-INDEX('Pace of change parameters'!$E$26:$I$26,1,$B$5))))</f>
        <v>1</v>
      </c>
      <c r="X28" s="132">
        <f>MIN(T28, T28+(INDEX('Pace of change parameters'!$E$27:$I$27,1,$B$5)-T28)*(1-W28))</f>
        <v>2.0738822378003872E-2</v>
      </c>
      <c r="Y28" s="132">
        <v>2.057641902645746E-2</v>
      </c>
      <c r="Z28" s="108">
        <f t="shared" si="10"/>
        <v>973686</v>
      </c>
      <c r="AA28" s="97">
        <f>MIN(VLOOKUP(A28,'2018-19 disagg'!$A$12:$BB$220,54,FALSE),-2.5%)</f>
        <v>-2.5000000000000001E-2</v>
      </c>
      <c r="AB28" s="99">
        <f t="shared" si="2"/>
        <v>914080.76300969732</v>
      </c>
      <c r="AC28" s="99">
        <f>MAX(IF(INDEX('Pace of change parameters'!$E$29:$I$29,1,$B$5)=1,MAX(AB28,Z28),Z28),L28)</f>
        <v>973686</v>
      </c>
      <c r="AD28" s="97">
        <f t="shared" si="3"/>
        <v>2.2770817051957604E-2</v>
      </c>
      <c r="AE28" s="146">
        <v>2.2608090402484127E-2</v>
      </c>
      <c r="AF28" s="56">
        <f t="shared" si="11"/>
        <v>973686</v>
      </c>
      <c r="AG28" s="56">
        <v>1866.2302861837115</v>
      </c>
      <c r="AH28" s="16">
        <f t="shared" si="4"/>
        <v>2.2770817051957604E-2</v>
      </c>
      <c r="AI28" s="16">
        <f t="shared" si="5"/>
        <v>2.2608090402484127E-2</v>
      </c>
      <c r="AJ28" s="56"/>
      <c r="AK28" s="56">
        <v>937518.73129199725</v>
      </c>
      <c r="AL28" s="56">
        <v>1796.9097329135411</v>
      </c>
      <c r="AM28" s="16">
        <f t="shared" si="12"/>
        <v>3.8577649172044204E-2</v>
      </c>
      <c r="AN28" s="58">
        <f t="shared" si="12"/>
        <v>3.8577649172044204E-2</v>
      </c>
      <c r="AP28" s="56">
        <f t="shared" si="6"/>
        <v>1</v>
      </c>
      <c r="AQ28" s="56">
        <f t="shared" si="7"/>
        <v>0</v>
      </c>
    </row>
    <row r="29" spans="1:43" x14ac:dyDescent="0.2">
      <c r="A29" s="156" t="s">
        <v>103</v>
      </c>
      <c r="B29" s="156" t="s">
        <v>104</v>
      </c>
      <c r="D29" s="68">
        <f>VLOOKUP(A29,'2018-19 disagg'!A29:AZ237,43,FALSE)</f>
        <v>707722</v>
      </c>
      <c r="E29" s="73">
        <v>1878.883724413284</v>
      </c>
      <c r="F29" s="55"/>
      <c r="G29" s="88">
        <v>683202.8141345008</v>
      </c>
      <c r="H29" s="81">
        <v>1809.7469505525851</v>
      </c>
      <c r="I29" s="90"/>
      <c r="J29" s="103">
        <f t="shared" si="8"/>
        <v>3.5888590266655696E-2</v>
      </c>
      <c r="K29" s="126">
        <f t="shared" si="8"/>
        <v>3.8202453574843087E-2</v>
      </c>
      <c r="L29" s="56">
        <v>724575</v>
      </c>
      <c r="M29" s="103">
        <v>1.5830051918747756E-2</v>
      </c>
      <c r="N29" s="97">
        <f>INDEX('Pace of change parameters'!$E$22:$I$22,1,$B$5)</f>
        <v>1.356605044543624E-2</v>
      </c>
      <c r="O29" s="108">
        <f>MAX(IF(INDEX('Pace of change parameters'!$E$30:$I$30,1,$B$5)=1,(1+M29)*D29,D29),L29)</f>
        <v>724575</v>
      </c>
      <c r="P29" s="94">
        <f>IF(K29&lt;INDEX('Pace of change parameters'!$E$18:$I$18,1,$B$5),1,IF(K29&gt;INDEX('Pace of change parameters'!$E$19:$I$19,1,$B$5),0,(K29-INDEX('Pace of change parameters'!$E$19:$I$19,1,$B$5))/(INDEX('Pace of change parameters'!$E$18:$I$18,1,$B$5)-INDEX('Pace of change parameters'!$E$19:$I$19,1,$B$5))))</f>
        <v>0</v>
      </c>
      <c r="Q29" s="57">
        <v>1.5830051918747756E-2</v>
      </c>
      <c r="R29" s="57">
        <v>1.356605044543624E-2</v>
      </c>
      <c r="S29" s="9">
        <f>MAX(IF(INDEX('Pace of change parameters'!$E$31:$I$31,1,$B$5)=1,D29*(1+Q29),D29),L29)</f>
        <v>724575</v>
      </c>
      <c r="T29" s="103">
        <f>IF(Q29&lt;INDEX('Pace of change parameters'!$E$24:$I$24,1,$B$5),INDEX('Pace of change parameters'!$E$24:$I$24,1,$B$5),Q29)</f>
        <v>2.0738822378003872E-2</v>
      </c>
      <c r="U29" s="132">
        <v>1.8463880626315099E-2</v>
      </c>
      <c r="V29" s="117">
        <f t="shared" si="9"/>
        <v>724575</v>
      </c>
      <c r="W29" s="131">
        <f>IF(J29&gt;INDEX('Pace of change parameters'!$E$26:$I$26,1,$B$5),0,IF(J29&lt;INDEX('Pace of change parameters'!$E$25:$I$25,1,$B$5),1,(J29-INDEX('Pace of change parameters'!$E$26:$I$26,1,$B$5))/(INDEX('Pace of change parameters'!$E$25:$I$25,1,$B$5)-INDEX('Pace of change parameters'!$E$26:$I$26,1,$B$5))))</f>
        <v>1</v>
      </c>
      <c r="X29" s="132">
        <f>MIN(T29, T29+(INDEX('Pace of change parameters'!$E$27:$I$27,1,$B$5)-T29)*(1-W29))</f>
        <v>2.0738822378003872E-2</v>
      </c>
      <c r="Y29" s="132">
        <v>1.8463880626315099E-2</v>
      </c>
      <c r="Z29" s="108">
        <f t="shared" si="10"/>
        <v>724575</v>
      </c>
      <c r="AA29" s="97">
        <f>MIN(VLOOKUP(A29,'2018-19 disagg'!$A$12:$BB$220,54,FALSE),-2.5%)</f>
        <v>-2.5000000000000001E-2</v>
      </c>
      <c r="AB29" s="99">
        <f t="shared" si="2"/>
        <v>683804.78167039319</v>
      </c>
      <c r="AC29" s="99">
        <f>MAX(IF(INDEX('Pace of change parameters'!$E$29:$I$29,1,$B$5)=1,MAX(AB29,Z29),Z29),L29)</f>
        <v>724575</v>
      </c>
      <c r="AD29" s="97">
        <f t="shared" si="3"/>
        <v>2.3813022627528824E-2</v>
      </c>
      <c r="AE29" s="146">
        <v>2.1531229342081071E-2</v>
      </c>
      <c r="AF29" s="56">
        <f t="shared" si="11"/>
        <v>724575</v>
      </c>
      <c r="AG29" s="56">
        <v>1919.33840079073</v>
      </c>
      <c r="AH29" s="16">
        <f t="shared" si="4"/>
        <v>2.3813022627528824E-2</v>
      </c>
      <c r="AI29" s="16">
        <f t="shared" si="5"/>
        <v>2.1531229342081071E-2</v>
      </c>
      <c r="AJ29" s="56"/>
      <c r="AK29" s="56">
        <v>701338.23761065968</v>
      </c>
      <c r="AL29" s="56">
        <v>1857.7861662202431</v>
      </c>
      <c r="AM29" s="16">
        <f t="shared" si="12"/>
        <v>3.313203407888321E-2</v>
      </c>
      <c r="AN29" s="58">
        <f t="shared" si="12"/>
        <v>3.313203407888321E-2</v>
      </c>
      <c r="AP29" s="56">
        <f t="shared" si="6"/>
        <v>1</v>
      </c>
      <c r="AQ29" s="56">
        <f t="shared" si="7"/>
        <v>0</v>
      </c>
    </row>
    <row r="30" spans="1:43" x14ac:dyDescent="0.2">
      <c r="A30" s="156" t="s">
        <v>105</v>
      </c>
      <c r="B30" s="156" t="s">
        <v>106</v>
      </c>
      <c r="D30" s="68">
        <f>VLOOKUP(A30,'2018-19 disagg'!A30:AZ238,43,FALSE)</f>
        <v>345062</v>
      </c>
      <c r="E30" s="73">
        <v>1650.3938461054104</v>
      </c>
      <c r="F30" s="55"/>
      <c r="G30" s="88">
        <v>342994.7565052713</v>
      </c>
      <c r="H30" s="81">
        <v>1632.6085554654651</v>
      </c>
      <c r="I30" s="90"/>
      <c r="J30" s="103">
        <f t="shared" si="8"/>
        <v>6.027041100544972E-3</v>
      </c>
      <c r="K30" s="126">
        <f t="shared" si="8"/>
        <v>1.0893787479188344E-2</v>
      </c>
      <c r="L30" s="56">
        <v>353788</v>
      </c>
      <c r="M30" s="103">
        <v>1.8469267460482719E-2</v>
      </c>
      <c r="N30" s="97">
        <f>INDEX('Pace of change parameters'!$E$22:$I$22,1,$B$5)</f>
        <v>1.356605044543624E-2</v>
      </c>
      <c r="O30" s="108">
        <f>MAX(IF(INDEX('Pace of change parameters'!$E$30:$I$30,1,$B$5)=1,(1+M30)*D30,D30),L30)</f>
        <v>353788</v>
      </c>
      <c r="P30" s="94">
        <f>IF(K30&lt;INDEX('Pace of change parameters'!$E$18:$I$18,1,$B$5),1,IF(K30&gt;INDEX('Pace of change parameters'!$E$19:$I$19,1,$B$5),0,(K30-INDEX('Pace of change parameters'!$E$19:$I$19,1,$B$5))/(INDEX('Pace of change parameters'!$E$18:$I$18,1,$B$5)-INDEX('Pace of change parameters'!$E$19:$I$19,1,$B$5))))</f>
        <v>0</v>
      </c>
      <c r="Q30" s="57">
        <v>1.8469267460482719E-2</v>
      </c>
      <c r="R30" s="57">
        <v>1.356605044543624E-2</v>
      </c>
      <c r="S30" s="9">
        <f>MAX(IF(INDEX('Pace of change parameters'!$E$31:$I$31,1,$B$5)=1,D30*(1+Q30),D30),L30)</f>
        <v>353788</v>
      </c>
      <c r="T30" s="103">
        <f>IF(Q30&lt;INDEX('Pace of change parameters'!$E$24:$I$24,1,$B$5),INDEX('Pace of change parameters'!$E$24:$I$24,1,$B$5),Q30)</f>
        <v>2.0738822378003872E-2</v>
      </c>
      <c r="U30" s="132">
        <v>1.5824679043780376E-2</v>
      </c>
      <c r="V30" s="117">
        <f t="shared" si="9"/>
        <v>353788</v>
      </c>
      <c r="W30" s="131">
        <f>IF(J30&gt;INDEX('Pace of change parameters'!$E$26:$I$26,1,$B$5),0,IF(J30&lt;INDEX('Pace of change parameters'!$E$25:$I$25,1,$B$5),1,(J30-INDEX('Pace of change parameters'!$E$26:$I$26,1,$B$5))/(INDEX('Pace of change parameters'!$E$25:$I$25,1,$B$5)-INDEX('Pace of change parameters'!$E$26:$I$26,1,$B$5))))</f>
        <v>1</v>
      </c>
      <c r="X30" s="132">
        <f>MIN(T30, T30+(INDEX('Pace of change parameters'!$E$27:$I$27,1,$B$5)-T30)*(1-W30))</f>
        <v>2.0738822378003872E-2</v>
      </c>
      <c r="Y30" s="132">
        <v>1.5824679043780376E-2</v>
      </c>
      <c r="Z30" s="108">
        <f t="shared" si="10"/>
        <v>353788</v>
      </c>
      <c r="AA30" s="97">
        <f>MIN(VLOOKUP(A30,'2018-19 disagg'!$A$12:$BB$220,54,FALSE),-2.5%)</f>
        <v>-2.5000000000000001E-2</v>
      </c>
      <c r="AB30" s="99">
        <f t="shared" si="2"/>
        <v>343276.99525250681</v>
      </c>
      <c r="AC30" s="99">
        <f>MAX(IF(INDEX('Pace of change parameters'!$E$29:$I$29,1,$B$5)=1,MAX(AB30,Z30),Z30),L30)</f>
        <v>353788</v>
      </c>
      <c r="AD30" s="97">
        <f t="shared" si="3"/>
        <v>2.5288209075470469E-2</v>
      </c>
      <c r="AE30" s="146">
        <v>2.0352163626990105E-2</v>
      </c>
      <c r="AF30" s="56">
        <f t="shared" si="11"/>
        <v>353788</v>
      </c>
      <c r="AG30" s="56">
        <v>1683.9829317103254</v>
      </c>
      <c r="AH30" s="16">
        <f t="shared" si="4"/>
        <v>2.5288209075470469E-2</v>
      </c>
      <c r="AI30" s="16">
        <f t="shared" si="5"/>
        <v>2.0352163626990105E-2</v>
      </c>
      <c r="AJ30" s="56"/>
      <c r="AK30" s="56">
        <v>352078.96948975057</v>
      </c>
      <c r="AL30" s="56">
        <v>1675.8481781035546</v>
      </c>
      <c r="AM30" s="16">
        <f t="shared" si="12"/>
        <v>4.8541113169191519E-3</v>
      </c>
      <c r="AN30" s="58">
        <f t="shared" si="12"/>
        <v>4.8541113169191519E-3</v>
      </c>
      <c r="AP30" s="56">
        <f t="shared" si="6"/>
        <v>1</v>
      </c>
      <c r="AQ30" s="56">
        <f t="shared" si="7"/>
        <v>0</v>
      </c>
    </row>
    <row r="31" spans="1:43" x14ac:dyDescent="0.2">
      <c r="A31" s="156" t="s">
        <v>107</v>
      </c>
      <c r="B31" s="156" t="s">
        <v>108</v>
      </c>
      <c r="D31" s="68">
        <f>VLOOKUP(A31,'2018-19 disagg'!A31:AZ239,43,FALSE)</f>
        <v>287265</v>
      </c>
      <c r="E31" s="73">
        <v>1883.5740951540952</v>
      </c>
      <c r="F31" s="55"/>
      <c r="G31" s="88">
        <v>277543.72023343213</v>
      </c>
      <c r="H31" s="81">
        <v>1812.8274148681728</v>
      </c>
      <c r="I31" s="90"/>
      <c r="J31" s="103">
        <f t="shared" si="8"/>
        <v>3.5026120419484386E-2</v>
      </c>
      <c r="K31" s="126">
        <f t="shared" si="8"/>
        <v>3.9025601502759244E-2</v>
      </c>
      <c r="L31" s="56">
        <v>294189</v>
      </c>
      <c r="M31" s="103">
        <v>1.7482606912400556E-2</v>
      </c>
      <c r="N31" s="97">
        <f>INDEX('Pace of change parameters'!$E$22:$I$22,1,$B$5)</f>
        <v>1.356605044543624E-2</v>
      </c>
      <c r="O31" s="108">
        <f>MAX(IF(INDEX('Pace of change parameters'!$E$30:$I$30,1,$B$5)=1,(1+M31)*D31,D31),L31)</f>
        <v>294189</v>
      </c>
      <c r="P31" s="94">
        <f>IF(K31&lt;INDEX('Pace of change parameters'!$E$18:$I$18,1,$B$5),1,IF(K31&gt;INDEX('Pace of change parameters'!$E$19:$I$19,1,$B$5),0,(K31-INDEX('Pace of change parameters'!$E$19:$I$19,1,$B$5))/(INDEX('Pace of change parameters'!$E$18:$I$18,1,$B$5)-INDEX('Pace of change parameters'!$E$19:$I$19,1,$B$5))))</f>
        <v>0</v>
      </c>
      <c r="Q31" s="57">
        <v>1.7482606912400556E-2</v>
      </c>
      <c r="R31" s="57">
        <v>1.356605044543624E-2</v>
      </c>
      <c r="S31" s="9">
        <f>MAX(IF(INDEX('Pace of change parameters'!$E$31:$I$31,1,$B$5)=1,D31*(1+Q31),D31),L31)</f>
        <v>294189</v>
      </c>
      <c r="T31" s="103">
        <f>IF(Q31&lt;INDEX('Pace of change parameters'!$E$24:$I$24,1,$B$5),INDEX('Pace of change parameters'!$E$24:$I$24,1,$B$5),Q31)</f>
        <v>2.0738822378003872E-2</v>
      </c>
      <c r="U31" s="132">
        <v>1.6809731886720192E-2</v>
      </c>
      <c r="V31" s="117">
        <f t="shared" si="9"/>
        <v>294189</v>
      </c>
      <c r="W31" s="131">
        <f>IF(J31&gt;INDEX('Pace of change parameters'!$E$26:$I$26,1,$B$5),0,IF(J31&lt;INDEX('Pace of change parameters'!$E$25:$I$25,1,$B$5),1,(J31-INDEX('Pace of change parameters'!$E$26:$I$26,1,$B$5))/(INDEX('Pace of change parameters'!$E$25:$I$25,1,$B$5)-INDEX('Pace of change parameters'!$E$26:$I$26,1,$B$5))))</f>
        <v>1</v>
      </c>
      <c r="X31" s="132">
        <f>MIN(T31, T31+(INDEX('Pace of change parameters'!$E$27:$I$27,1,$B$5)-T31)*(1-W31))</f>
        <v>2.0738822378003872E-2</v>
      </c>
      <c r="Y31" s="132">
        <v>1.6809731886720192E-2</v>
      </c>
      <c r="Z31" s="108">
        <f t="shared" si="10"/>
        <v>294189</v>
      </c>
      <c r="AA31" s="97">
        <f>MIN(VLOOKUP(A31,'2018-19 disagg'!$A$12:$BB$220,54,FALSE),-2.5%)</f>
        <v>-2.5000000000000001E-2</v>
      </c>
      <c r="AB31" s="99">
        <f t="shared" si="2"/>
        <v>277663.62334540556</v>
      </c>
      <c r="AC31" s="99">
        <f>MAX(IF(INDEX('Pace of change parameters'!$E$29:$I$29,1,$B$5)=1,MAX(AB31,Z31),Z31),L31)</f>
        <v>294189</v>
      </c>
      <c r="AD31" s="97">
        <f t="shared" si="3"/>
        <v>2.4103179990601076E-2</v>
      </c>
      <c r="AE31" s="146">
        <v>2.0161139207611756E-2</v>
      </c>
      <c r="AF31" s="56">
        <f t="shared" si="11"/>
        <v>294189</v>
      </c>
      <c r="AG31" s="56">
        <v>1921.549094694348</v>
      </c>
      <c r="AH31" s="16">
        <f t="shared" si="4"/>
        <v>2.4103179990601076E-2</v>
      </c>
      <c r="AI31" s="16">
        <f t="shared" si="5"/>
        <v>2.0161139207611534E-2</v>
      </c>
      <c r="AJ31" s="56"/>
      <c r="AK31" s="56">
        <v>284783.20343118522</v>
      </c>
      <c r="AL31" s="56">
        <v>1860.1134193914468</v>
      </c>
      <c r="AM31" s="16">
        <f t="shared" si="12"/>
        <v>3.3027918976575421E-2</v>
      </c>
      <c r="AN31" s="58">
        <f t="shared" si="12"/>
        <v>3.3027918976575421E-2</v>
      </c>
      <c r="AP31" s="56">
        <f t="shared" si="6"/>
        <v>1</v>
      </c>
      <c r="AQ31" s="56">
        <f t="shared" si="7"/>
        <v>0</v>
      </c>
    </row>
    <row r="32" spans="1:43" x14ac:dyDescent="0.2">
      <c r="A32" s="156" t="s">
        <v>109</v>
      </c>
      <c r="B32" s="156" t="s">
        <v>110</v>
      </c>
      <c r="D32" s="68">
        <f>VLOOKUP(A32,'2018-19 disagg'!A32:AZ240,43,FALSE)</f>
        <v>362834</v>
      </c>
      <c r="E32" s="73">
        <v>1709.243675635169</v>
      </c>
      <c r="F32" s="55"/>
      <c r="G32" s="88">
        <v>362025.05881830317</v>
      </c>
      <c r="H32" s="81">
        <v>1701.9556108040065</v>
      </c>
      <c r="I32" s="90"/>
      <c r="J32" s="103">
        <f t="shared" si="8"/>
        <v>2.2344894696995077E-3</v>
      </c>
      <c r="K32" s="126">
        <f t="shared" si="8"/>
        <v>4.2821709243754391E-3</v>
      </c>
      <c r="L32" s="56">
        <v>371715</v>
      </c>
      <c r="M32" s="103">
        <v>1.5636883595155915E-2</v>
      </c>
      <c r="N32" s="97">
        <f>INDEX('Pace of change parameters'!$E$22:$I$22,1,$B$5)</f>
        <v>1.356605044543624E-2</v>
      </c>
      <c r="O32" s="108">
        <f>MAX(IF(INDEX('Pace of change parameters'!$E$30:$I$30,1,$B$5)=1,(1+M32)*D32,D32),L32)</f>
        <v>371715</v>
      </c>
      <c r="P32" s="94">
        <f>IF(K32&lt;INDEX('Pace of change parameters'!$E$18:$I$18,1,$B$5),1,IF(K32&gt;INDEX('Pace of change parameters'!$E$19:$I$19,1,$B$5),0,(K32-INDEX('Pace of change parameters'!$E$19:$I$19,1,$B$5))/(INDEX('Pace of change parameters'!$E$18:$I$18,1,$B$5)-INDEX('Pace of change parameters'!$E$19:$I$19,1,$B$5))))</f>
        <v>0</v>
      </c>
      <c r="Q32" s="57">
        <v>1.5636883595155915E-2</v>
      </c>
      <c r="R32" s="57">
        <v>1.356605044543624E-2</v>
      </c>
      <c r="S32" s="9">
        <f>MAX(IF(INDEX('Pace of change parameters'!$E$31:$I$31,1,$B$5)=1,D32*(1+Q32),D32),L32)</f>
        <v>371715</v>
      </c>
      <c r="T32" s="103">
        <f>IF(Q32&lt;INDEX('Pace of change parameters'!$E$24:$I$24,1,$B$5),INDEX('Pace of change parameters'!$E$24:$I$24,1,$B$5),Q32)</f>
        <v>2.0738822378003872E-2</v>
      </c>
      <c r="U32" s="132">
        <v>1.8657586628565648E-2</v>
      </c>
      <c r="V32" s="117">
        <f t="shared" si="9"/>
        <v>371715</v>
      </c>
      <c r="W32" s="131">
        <f>IF(J32&gt;INDEX('Pace of change parameters'!$E$26:$I$26,1,$B$5),0,IF(J32&lt;INDEX('Pace of change parameters'!$E$25:$I$25,1,$B$5),1,(J32-INDEX('Pace of change parameters'!$E$26:$I$26,1,$B$5))/(INDEX('Pace of change parameters'!$E$25:$I$25,1,$B$5)-INDEX('Pace of change parameters'!$E$26:$I$26,1,$B$5))))</f>
        <v>1</v>
      </c>
      <c r="X32" s="132">
        <f>MIN(T32, T32+(INDEX('Pace of change parameters'!$E$27:$I$27,1,$B$5)-T32)*(1-W32))</f>
        <v>2.0738822378003872E-2</v>
      </c>
      <c r="Y32" s="132">
        <v>1.8657586628565648E-2</v>
      </c>
      <c r="Z32" s="108">
        <f t="shared" si="10"/>
        <v>371715</v>
      </c>
      <c r="AA32" s="97">
        <f>MIN(VLOOKUP(A32,'2018-19 disagg'!$A$12:$BB$220,54,FALSE),-2.5%)</f>
        <v>-2.5000000000000001E-2</v>
      </c>
      <c r="AB32" s="99">
        <f t="shared" si="2"/>
        <v>362386.03833688929</v>
      </c>
      <c r="AC32" s="99">
        <f>MAX(IF(INDEX('Pace of change parameters'!$E$29:$I$29,1,$B$5)=1,MAX(AB32,Z32),Z32),L32)</f>
        <v>371715</v>
      </c>
      <c r="AD32" s="97">
        <f t="shared" si="3"/>
        <v>2.4476757966452878E-2</v>
      </c>
      <c r="AE32" s="146">
        <v>2.2387900752047329E-2</v>
      </c>
      <c r="AF32" s="56">
        <f t="shared" si="11"/>
        <v>371715</v>
      </c>
      <c r="AG32" s="56">
        <v>1747.5100534063536</v>
      </c>
      <c r="AH32" s="16">
        <f t="shared" si="4"/>
        <v>2.4476757966452878E-2</v>
      </c>
      <c r="AI32" s="16">
        <f t="shared" si="5"/>
        <v>2.2387900752047329E-2</v>
      </c>
      <c r="AJ32" s="56"/>
      <c r="AK32" s="56">
        <v>371677.98803783517</v>
      </c>
      <c r="AL32" s="56">
        <v>1747.336052421784</v>
      </c>
      <c r="AM32" s="16">
        <f t="shared" si="12"/>
        <v>9.9580721366399061E-5</v>
      </c>
      <c r="AN32" s="58">
        <f t="shared" si="12"/>
        <v>9.9580721366399061E-5</v>
      </c>
      <c r="AP32" s="56">
        <f t="shared" si="6"/>
        <v>1</v>
      </c>
      <c r="AQ32" s="56">
        <f t="shared" si="7"/>
        <v>0</v>
      </c>
    </row>
    <row r="33" spans="1:43" x14ac:dyDescent="0.2">
      <c r="A33" s="156" t="s">
        <v>111</v>
      </c>
      <c r="B33" s="156" t="s">
        <v>112</v>
      </c>
      <c r="D33" s="68">
        <f>VLOOKUP(A33,'2018-19 disagg'!A33:AZ241,43,FALSE)</f>
        <v>253506</v>
      </c>
      <c r="E33" s="73">
        <v>1937.9619308998053</v>
      </c>
      <c r="F33" s="55"/>
      <c r="G33" s="88">
        <v>244174.59050914441</v>
      </c>
      <c r="H33" s="81">
        <v>1862.6498665663755</v>
      </c>
      <c r="I33" s="90"/>
      <c r="J33" s="103">
        <f t="shared" si="8"/>
        <v>3.8216136541472379E-2</v>
      </c>
      <c r="K33" s="126">
        <f t="shared" si="8"/>
        <v>4.043275426329096E-2</v>
      </c>
      <c r="L33" s="56">
        <v>259557</v>
      </c>
      <c r="M33" s="103">
        <v>1.5730039609710866E-2</v>
      </c>
      <c r="N33" s="97">
        <f>INDEX('Pace of change parameters'!$E$22:$I$22,1,$B$5)</f>
        <v>1.356605044543624E-2</v>
      </c>
      <c r="O33" s="108">
        <f>MAX(IF(INDEX('Pace of change parameters'!$E$30:$I$30,1,$B$5)=1,(1+M33)*D33,D33),L33)</f>
        <v>259557</v>
      </c>
      <c r="P33" s="94">
        <f>IF(K33&lt;INDEX('Pace of change parameters'!$E$18:$I$18,1,$B$5),1,IF(K33&gt;INDEX('Pace of change parameters'!$E$19:$I$19,1,$B$5),0,(K33-INDEX('Pace of change parameters'!$E$19:$I$19,1,$B$5))/(INDEX('Pace of change parameters'!$E$18:$I$18,1,$B$5)-INDEX('Pace of change parameters'!$E$19:$I$19,1,$B$5))))</f>
        <v>0</v>
      </c>
      <c r="Q33" s="57">
        <v>1.5730039609710866E-2</v>
      </c>
      <c r="R33" s="57">
        <v>1.356605044543624E-2</v>
      </c>
      <c r="S33" s="9">
        <f>MAX(IF(INDEX('Pace of change parameters'!$E$31:$I$31,1,$B$5)=1,D33*(1+Q33),D33),L33)</f>
        <v>259557</v>
      </c>
      <c r="T33" s="103">
        <f>IF(Q33&lt;INDEX('Pace of change parameters'!$E$24:$I$24,1,$B$5),INDEX('Pace of change parameters'!$E$24:$I$24,1,$B$5),Q33)</f>
        <v>2.0738822378003872E-2</v>
      </c>
      <c r="U33" s="132">
        <v>1.8564162118837713E-2</v>
      </c>
      <c r="V33" s="117">
        <f t="shared" si="9"/>
        <v>259557</v>
      </c>
      <c r="W33" s="131">
        <f>IF(J33&gt;INDEX('Pace of change parameters'!$E$26:$I$26,1,$B$5),0,IF(J33&lt;INDEX('Pace of change parameters'!$E$25:$I$25,1,$B$5),1,(J33-INDEX('Pace of change parameters'!$E$26:$I$26,1,$B$5))/(INDEX('Pace of change parameters'!$E$25:$I$25,1,$B$5)-INDEX('Pace of change parameters'!$E$26:$I$26,1,$B$5))))</f>
        <v>1</v>
      </c>
      <c r="X33" s="132">
        <f>MIN(T33, T33+(INDEX('Pace of change parameters'!$E$27:$I$27,1,$B$5)-T33)*(1-W33))</f>
        <v>2.0738822378003872E-2</v>
      </c>
      <c r="Y33" s="132">
        <v>1.8564162118837713E-2</v>
      </c>
      <c r="Z33" s="108">
        <f t="shared" si="10"/>
        <v>259557</v>
      </c>
      <c r="AA33" s="97">
        <f>MIN(VLOOKUP(A33,'2018-19 disagg'!$A$12:$BB$220,54,FALSE),-2.5%)</f>
        <v>-2.5000000000000001E-2</v>
      </c>
      <c r="AB33" s="99">
        <f t="shared" si="2"/>
        <v>244289.57255258158</v>
      </c>
      <c r="AC33" s="99">
        <f>MAX(IF(INDEX('Pace of change parameters'!$E$29:$I$29,1,$B$5)=1,MAX(AB33,Z33),Z33),L33)</f>
        <v>259557</v>
      </c>
      <c r="AD33" s="97">
        <f t="shared" si="3"/>
        <v>2.3869257532366017E-2</v>
      </c>
      <c r="AE33" s="146">
        <v>2.1687927954100017E-2</v>
      </c>
      <c r="AF33" s="56">
        <f t="shared" si="11"/>
        <v>259557</v>
      </c>
      <c r="AG33" s="56">
        <v>1979.9923096349489</v>
      </c>
      <c r="AH33" s="16">
        <f t="shared" si="4"/>
        <v>2.3869257532366017E-2</v>
      </c>
      <c r="AI33" s="16">
        <f t="shared" si="5"/>
        <v>2.1687927954100017E-2</v>
      </c>
      <c r="AJ33" s="56"/>
      <c r="AK33" s="56">
        <v>250553.40774623753</v>
      </c>
      <c r="AL33" s="56">
        <v>1911.3097334704128</v>
      </c>
      <c r="AM33" s="16">
        <f t="shared" si="12"/>
        <v>3.5934822578351788E-2</v>
      </c>
      <c r="AN33" s="58">
        <f t="shared" si="12"/>
        <v>3.5934822578351788E-2</v>
      </c>
      <c r="AP33" s="56">
        <f t="shared" si="6"/>
        <v>1</v>
      </c>
      <c r="AQ33" s="56">
        <f t="shared" si="7"/>
        <v>0</v>
      </c>
    </row>
    <row r="34" spans="1:43" x14ac:dyDescent="0.2">
      <c r="A34" s="156" t="s">
        <v>113</v>
      </c>
      <c r="B34" s="156" t="s">
        <v>114</v>
      </c>
      <c r="D34" s="68">
        <f>VLOOKUP(A34,'2018-19 disagg'!A34:AZ242,43,FALSE)</f>
        <v>425633</v>
      </c>
      <c r="E34" s="73">
        <v>1859.1207384013637</v>
      </c>
      <c r="F34" s="55"/>
      <c r="G34" s="88">
        <v>431877.06599525799</v>
      </c>
      <c r="H34" s="81">
        <v>1881.3935480699972</v>
      </c>
      <c r="I34" s="90"/>
      <c r="J34" s="103">
        <f t="shared" si="8"/>
        <v>-1.4457970767372319E-2</v>
      </c>
      <c r="K34" s="126">
        <f t="shared" si="8"/>
        <v>-1.1838463936204024E-2</v>
      </c>
      <c r="L34" s="56">
        <v>436218</v>
      </c>
      <c r="M34" s="103">
        <v>1.6260043308479855E-2</v>
      </c>
      <c r="N34" s="97">
        <f>INDEX('Pace of change parameters'!$E$22:$I$22,1,$B$5)</f>
        <v>1.356605044543624E-2</v>
      </c>
      <c r="O34" s="108">
        <f>MAX(IF(INDEX('Pace of change parameters'!$E$30:$I$30,1,$B$5)=1,(1+M34)*D34,D34),L34)</f>
        <v>436218</v>
      </c>
      <c r="P34" s="94">
        <f>IF(K34&lt;INDEX('Pace of change parameters'!$E$18:$I$18,1,$B$5),1,IF(K34&gt;INDEX('Pace of change parameters'!$E$19:$I$19,1,$B$5),0,(K34-INDEX('Pace of change parameters'!$E$19:$I$19,1,$B$5))/(INDEX('Pace of change parameters'!$E$18:$I$18,1,$B$5)-INDEX('Pace of change parameters'!$E$19:$I$19,1,$B$5))))</f>
        <v>0.42828511008064662</v>
      </c>
      <c r="Q34" s="57">
        <v>2.1707922754385489E-2</v>
      </c>
      <c r="R34" s="57">
        <v>1.8999488166074219E-2</v>
      </c>
      <c r="S34" s="9">
        <f>MAX(IF(INDEX('Pace of change parameters'!$E$31:$I$31,1,$B$5)=1,D34*(1+Q34),D34),L34)</f>
        <v>436218</v>
      </c>
      <c r="T34" s="103">
        <f>IF(Q34&lt;INDEX('Pace of change parameters'!$E$24:$I$24,1,$B$5),INDEX('Pace of change parameters'!$E$24:$I$24,1,$B$5),Q34)</f>
        <v>2.1707922754385489E-2</v>
      </c>
      <c r="U34" s="132">
        <v>1.8999488166074219E-2</v>
      </c>
      <c r="V34" s="117">
        <f t="shared" si="9"/>
        <v>436218</v>
      </c>
      <c r="W34" s="131">
        <f>IF(J34&gt;INDEX('Pace of change parameters'!$E$26:$I$26,1,$B$5),0,IF(J34&lt;INDEX('Pace of change parameters'!$E$25:$I$25,1,$B$5),1,(J34-INDEX('Pace of change parameters'!$E$26:$I$26,1,$B$5))/(INDEX('Pace of change parameters'!$E$25:$I$25,1,$B$5)-INDEX('Pace of change parameters'!$E$26:$I$26,1,$B$5))))</f>
        <v>1</v>
      </c>
      <c r="X34" s="132">
        <f>MIN(T34, T34+(INDEX('Pace of change parameters'!$E$27:$I$27,1,$B$5)-T34)*(1-W34))</f>
        <v>2.1707922754385489E-2</v>
      </c>
      <c r="Y34" s="132">
        <v>1.8999488166074219E-2</v>
      </c>
      <c r="Z34" s="108">
        <f t="shared" si="10"/>
        <v>436218</v>
      </c>
      <c r="AA34" s="97">
        <f>MIN(VLOOKUP(A34,'2018-19 disagg'!$A$12:$BB$220,54,FALSE),-2.5%)</f>
        <v>-2.5000000000000001E-2</v>
      </c>
      <c r="AB34" s="99">
        <f t="shared" si="2"/>
        <v>432329.83628288459</v>
      </c>
      <c r="AC34" s="99">
        <f>MAX(IF(INDEX('Pace of change parameters'!$E$29:$I$29,1,$B$5)=1,MAX(AB34,Z34),Z34),L34)</f>
        <v>436218</v>
      </c>
      <c r="AD34" s="97">
        <f t="shared" si="3"/>
        <v>2.4868842406486236E-2</v>
      </c>
      <c r="AE34" s="146">
        <v>2.2152028570127547E-2</v>
      </c>
      <c r="AF34" s="56">
        <f t="shared" si="11"/>
        <v>436218</v>
      </c>
      <c r="AG34" s="56">
        <v>1900.3040341137478</v>
      </c>
      <c r="AH34" s="16">
        <f t="shared" si="4"/>
        <v>2.4868842406486236E-2</v>
      </c>
      <c r="AI34" s="16">
        <f t="shared" si="5"/>
        <v>2.2152028570127769E-2</v>
      </c>
      <c r="AJ34" s="56"/>
      <c r="AK34" s="56">
        <v>443415.21670039446</v>
      </c>
      <c r="AL34" s="56">
        <v>1931.6573939708614</v>
      </c>
      <c r="AM34" s="16">
        <f t="shared" si="12"/>
        <v>-1.6231325469503344E-2</v>
      </c>
      <c r="AN34" s="58">
        <f t="shared" si="12"/>
        <v>-1.6231325469503344E-2</v>
      </c>
      <c r="AP34" s="56">
        <f t="shared" si="6"/>
        <v>1</v>
      </c>
      <c r="AQ34" s="56">
        <f t="shared" si="7"/>
        <v>0</v>
      </c>
    </row>
    <row r="35" spans="1:43" x14ac:dyDescent="0.2">
      <c r="A35" s="156" t="s">
        <v>115</v>
      </c>
      <c r="B35" s="156" t="s">
        <v>116</v>
      </c>
      <c r="D35" s="68">
        <f>VLOOKUP(A35,'2018-19 disagg'!A35:AZ243,43,FALSE)</f>
        <v>353484</v>
      </c>
      <c r="E35" s="73">
        <v>2171.990588109737</v>
      </c>
      <c r="F35" s="55"/>
      <c r="G35" s="88">
        <v>329640.81068774359</v>
      </c>
      <c r="H35" s="81">
        <v>2023.7333149501919</v>
      </c>
      <c r="I35" s="90"/>
      <c r="J35" s="103">
        <f t="shared" si="8"/>
        <v>7.2330817481340848E-2</v>
      </c>
      <c r="K35" s="126">
        <f t="shared" si="8"/>
        <v>7.3259293635334455E-2</v>
      </c>
      <c r="L35" s="56">
        <v>360350</v>
      </c>
      <c r="M35" s="103">
        <v>1.444364520723429E-2</v>
      </c>
      <c r="N35" s="97">
        <f>INDEX('Pace of change parameters'!$E$22:$I$22,1,$B$5)</f>
        <v>1.356605044543624E-2</v>
      </c>
      <c r="O35" s="108">
        <f>MAX(IF(INDEX('Pace of change parameters'!$E$30:$I$30,1,$B$5)=1,(1+M35)*D35,D35),L35)</f>
        <v>360350</v>
      </c>
      <c r="P35" s="94">
        <f>IF(K35&lt;INDEX('Pace of change parameters'!$E$18:$I$18,1,$B$5),1,IF(K35&gt;INDEX('Pace of change parameters'!$E$19:$I$19,1,$B$5),0,(K35-INDEX('Pace of change parameters'!$E$19:$I$19,1,$B$5))/(INDEX('Pace of change parameters'!$E$18:$I$18,1,$B$5)-INDEX('Pace of change parameters'!$E$19:$I$19,1,$B$5))))</f>
        <v>0</v>
      </c>
      <c r="Q35" s="57">
        <v>1.444364520723429E-2</v>
      </c>
      <c r="R35" s="57">
        <v>1.356605044543624E-2</v>
      </c>
      <c r="S35" s="9">
        <f>MAX(IF(INDEX('Pace of change parameters'!$E$31:$I$31,1,$B$5)=1,D35*(1+Q35),D35),L35)</f>
        <v>360350</v>
      </c>
      <c r="T35" s="103">
        <f>IF(Q35&lt;INDEX('Pace of change parameters'!$E$24:$I$24,1,$B$5),INDEX('Pace of change parameters'!$E$24:$I$24,1,$B$5),Q35)</f>
        <v>2.0738822378003872E-2</v>
      </c>
      <c r="U35" s="132">
        <v>1.9855781661138883E-2</v>
      </c>
      <c r="V35" s="117">
        <f t="shared" si="9"/>
        <v>360814.84188946633</v>
      </c>
      <c r="W35" s="131">
        <f>IF(J35&gt;INDEX('Pace of change parameters'!$E$26:$I$26,1,$B$5),0,IF(J35&lt;INDEX('Pace of change parameters'!$E$25:$I$25,1,$B$5),1,(J35-INDEX('Pace of change parameters'!$E$26:$I$26,1,$B$5))/(INDEX('Pace of change parameters'!$E$25:$I$25,1,$B$5)-INDEX('Pace of change parameters'!$E$26:$I$26,1,$B$5))))</f>
        <v>0.55338365037318316</v>
      </c>
      <c r="X35" s="132">
        <f>MIN(T35, T35+(INDEX('Pace of change parameters'!$E$27:$I$27,1,$B$5)-T35)*(1-W35))</f>
        <v>1.1538525575691445E-2</v>
      </c>
      <c r="Y35" s="132">
        <v>1.0663444031639102E-2</v>
      </c>
      <c r="Z35" s="108">
        <f t="shared" si="10"/>
        <v>360350</v>
      </c>
      <c r="AA35" s="97">
        <f>MIN(VLOOKUP(A35,'2018-19 disagg'!$A$12:$BB$220,54,FALSE),-2.5%)</f>
        <v>-2.5000000000000001E-2</v>
      </c>
      <c r="AB35" s="99">
        <f t="shared" si="2"/>
        <v>329839.74357819447</v>
      </c>
      <c r="AC35" s="99">
        <f>MAX(IF(INDEX('Pace of change parameters'!$E$29:$I$29,1,$B$5)=1,MAX(AB35,Z35),Z35),L35)</f>
        <v>360350</v>
      </c>
      <c r="AD35" s="97">
        <f t="shared" si="3"/>
        <v>1.9423792873227708E-2</v>
      </c>
      <c r="AE35" s="146">
        <v>1.8541889787822674E-2</v>
      </c>
      <c r="AF35" s="56">
        <f t="shared" si="11"/>
        <v>360350</v>
      </c>
      <c r="AG35" s="56">
        <v>2212.2633982146558</v>
      </c>
      <c r="AH35" s="16">
        <f t="shared" si="4"/>
        <v>1.9423792873227708E-2</v>
      </c>
      <c r="AI35" s="16">
        <f t="shared" si="5"/>
        <v>1.8541889787822674E-2</v>
      </c>
      <c r="AJ35" s="56"/>
      <c r="AK35" s="56">
        <v>338297.17290071229</v>
      </c>
      <c r="AL35" s="56">
        <v>2076.8765181843783</v>
      </c>
      <c r="AM35" s="16">
        <f t="shared" si="12"/>
        <v>6.5187736894745107E-2</v>
      </c>
      <c r="AN35" s="58">
        <f t="shared" si="12"/>
        <v>6.5187736894745107E-2</v>
      </c>
      <c r="AP35" s="56">
        <f t="shared" si="6"/>
        <v>1</v>
      </c>
      <c r="AQ35" s="56">
        <f t="shared" si="7"/>
        <v>0</v>
      </c>
    </row>
    <row r="36" spans="1:43" x14ac:dyDescent="0.2">
      <c r="A36" s="156" t="s">
        <v>117</v>
      </c>
      <c r="B36" s="156" t="s">
        <v>118</v>
      </c>
      <c r="D36" s="68">
        <f>VLOOKUP(A36,'2018-19 disagg'!A36:AZ244,43,FALSE)</f>
        <v>279101</v>
      </c>
      <c r="E36" s="73">
        <v>1754.9371245887498</v>
      </c>
      <c r="F36" s="55"/>
      <c r="G36" s="88">
        <v>269350.00506573549</v>
      </c>
      <c r="H36" s="81">
        <v>1690.4929269169113</v>
      </c>
      <c r="I36" s="90"/>
      <c r="J36" s="103">
        <f t="shared" si="8"/>
        <v>3.6201948211899149E-2</v>
      </c>
      <c r="K36" s="126">
        <f t="shared" si="8"/>
        <v>3.8121542329887514E-2</v>
      </c>
      <c r="L36" s="56">
        <v>285777</v>
      </c>
      <c r="M36" s="103">
        <v>1.5443710907265373E-2</v>
      </c>
      <c r="N36" s="97">
        <f>INDEX('Pace of change parameters'!$E$22:$I$22,1,$B$5)</f>
        <v>1.356605044543624E-2</v>
      </c>
      <c r="O36" s="108">
        <f>MAX(IF(INDEX('Pace of change parameters'!$E$30:$I$30,1,$B$5)=1,(1+M36)*D36,D36),L36)</f>
        <v>285777</v>
      </c>
      <c r="P36" s="94">
        <f>IF(K36&lt;INDEX('Pace of change parameters'!$E$18:$I$18,1,$B$5),1,IF(K36&gt;INDEX('Pace of change parameters'!$E$19:$I$19,1,$B$5),0,(K36-INDEX('Pace of change parameters'!$E$19:$I$19,1,$B$5))/(INDEX('Pace of change parameters'!$E$18:$I$18,1,$B$5)-INDEX('Pace of change parameters'!$E$19:$I$19,1,$B$5))))</f>
        <v>0</v>
      </c>
      <c r="Q36" s="57">
        <v>1.5443710907265373E-2</v>
      </c>
      <c r="R36" s="57">
        <v>1.356605044543624E-2</v>
      </c>
      <c r="S36" s="9">
        <f>MAX(IF(INDEX('Pace of change parameters'!$E$31:$I$31,1,$B$5)=1,D36*(1+Q36),D36),L36)</f>
        <v>285777</v>
      </c>
      <c r="T36" s="103">
        <f>IF(Q36&lt;INDEX('Pace of change parameters'!$E$24:$I$24,1,$B$5),INDEX('Pace of change parameters'!$E$24:$I$24,1,$B$5),Q36)</f>
        <v>2.0738822378003872E-2</v>
      </c>
      <c r="U36" s="132">
        <v>1.8851370707324122E-2</v>
      </c>
      <c r="V36" s="117">
        <f t="shared" si="9"/>
        <v>285777</v>
      </c>
      <c r="W36" s="131">
        <f>IF(J36&gt;INDEX('Pace of change parameters'!$E$26:$I$26,1,$B$5),0,IF(J36&lt;INDEX('Pace of change parameters'!$E$25:$I$25,1,$B$5),1,(J36-INDEX('Pace of change parameters'!$E$26:$I$26,1,$B$5))/(INDEX('Pace of change parameters'!$E$25:$I$25,1,$B$5)-INDEX('Pace of change parameters'!$E$26:$I$26,1,$B$5))))</f>
        <v>1</v>
      </c>
      <c r="X36" s="132">
        <f>MIN(T36, T36+(INDEX('Pace of change parameters'!$E$27:$I$27,1,$B$5)-T36)*(1-W36))</f>
        <v>2.0738822378003872E-2</v>
      </c>
      <c r="Y36" s="132">
        <v>1.8851370707324122E-2</v>
      </c>
      <c r="Z36" s="108">
        <f t="shared" si="10"/>
        <v>285777</v>
      </c>
      <c r="AA36" s="97">
        <f>MIN(VLOOKUP(A36,'2018-19 disagg'!$A$12:$BB$220,54,FALSE),-2.5%)</f>
        <v>-2.5000000000000001E-2</v>
      </c>
      <c r="AB36" s="99">
        <f t="shared" si="2"/>
        <v>269514.91613390658</v>
      </c>
      <c r="AC36" s="99">
        <f>MAX(IF(INDEX('Pace of change parameters'!$E$29:$I$29,1,$B$5)=1,MAX(AB36,Z36),Z36),L36)</f>
        <v>285777</v>
      </c>
      <c r="AD36" s="97">
        <f t="shared" si="3"/>
        <v>2.3919656325129601E-2</v>
      </c>
      <c r="AE36" s="146">
        <v>2.2026322963447198E-2</v>
      </c>
      <c r="AF36" s="56">
        <f t="shared" si="11"/>
        <v>285777</v>
      </c>
      <c r="AG36" s="56">
        <v>1793.591936475485</v>
      </c>
      <c r="AH36" s="16">
        <f t="shared" si="4"/>
        <v>2.3919656325129601E-2</v>
      </c>
      <c r="AI36" s="16">
        <f t="shared" si="5"/>
        <v>2.2026322963447198E-2</v>
      </c>
      <c r="AJ36" s="56"/>
      <c r="AK36" s="56">
        <v>276425.55500913493</v>
      </c>
      <c r="AL36" s="56">
        <v>1734.9004521012714</v>
      </c>
      <c r="AM36" s="16">
        <f t="shared" si="12"/>
        <v>3.382988591831193E-2</v>
      </c>
      <c r="AN36" s="58">
        <f t="shared" si="12"/>
        <v>3.3829885918311708E-2</v>
      </c>
      <c r="AP36" s="56">
        <f t="shared" si="6"/>
        <v>1</v>
      </c>
      <c r="AQ36" s="56">
        <f t="shared" si="7"/>
        <v>0</v>
      </c>
    </row>
    <row r="37" spans="1:43" x14ac:dyDescent="0.2">
      <c r="A37" s="156" t="s">
        <v>119</v>
      </c>
      <c r="B37" s="156" t="s">
        <v>120</v>
      </c>
      <c r="D37" s="68">
        <f>VLOOKUP(A37,'2018-19 disagg'!A37:AZ245,43,FALSE)</f>
        <v>1034481</v>
      </c>
      <c r="E37" s="73">
        <v>2030.0310739407075</v>
      </c>
      <c r="F37" s="55"/>
      <c r="G37" s="88">
        <v>986297.51226748759</v>
      </c>
      <c r="H37" s="81">
        <v>1932.1145953355751</v>
      </c>
      <c r="I37" s="90"/>
      <c r="J37" s="103">
        <f t="shared" si="8"/>
        <v>4.8852893912039841E-2</v>
      </c>
      <c r="K37" s="126">
        <f t="shared" si="8"/>
        <v>5.0678401188789746E-2</v>
      </c>
      <c r="L37" s="56">
        <v>1056089</v>
      </c>
      <c r="M37" s="103">
        <v>1.5330141683868703E-2</v>
      </c>
      <c r="N37" s="97">
        <f>INDEX('Pace of change parameters'!$E$22:$I$22,1,$B$5)</f>
        <v>1.356605044543624E-2</v>
      </c>
      <c r="O37" s="108">
        <f>MAX(IF(INDEX('Pace of change parameters'!$E$30:$I$30,1,$B$5)=1,(1+M37)*D37,D37),L37)</f>
        <v>1056089</v>
      </c>
      <c r="P37" s="94">
        <f>IF(K37&lt;INDEX('Pace of change parameters'!$E$18:$I$18,1,$B$5),1,IF(K37&gt;INDEX('Pace of change parameters'!$E$19:$I$19,1,$B$5),0,(K37-INDEX('Pace of change parameters'!$E$19:$I$19,1,$B$5))/(INDEX('Pace of change parameters'!$E$18:$I$18,1,$B$5)-INDEX('Pace of change parameters'!$E$19:$I$19,1,$B$5))))</f>
        <v>0</v>
      </c>
      <c r="Q37" s="57">
        <v>1.5330141683868703E-2</v>
      </c>
      <c r="R37" s="57">
        <v>1.356605044543624E-2</v>
      </c>
      <c r="S37" s="9">
        <f>MAX(IF(INDEX('Pace of change parameters'!$E$31:$I$31,1,$B$5)=1,D37*(1+Q37),D37),L37)</f>
        <v>1056089</v>
      </c>
      <c r="T37" s="103">
        <f>IF(Q37&lt;INDEX('Pace of change parameters'!$E$24:$I$24,1,$B$5),INDEX('Pace of change parameters'!$E$24:$I$24,1,$B$5),Q37)</f>
        <v>2.0738822378003872E-2</v>
      </c>
      <c r="U37" s="132">
        <v>1.8965333795956552E-2</v>
      </c>
      <c r="V37" s="117">
        <f t="shared" si="9"/>
        <v>1056089</v>
      </c>
      <c r="W37" s="131">
        <f>IF(J37&gt;INDEX('Pace of change parameters'!$E$26:$I$26,1,$B$5),0,IF(J37&lt;INDEX('Pace of change parameters'!$E$25:$I$25,1,$B$5),1,(J37-INDEX('Pace of change parameters'!$E$26:$I$26,1,$B$5))/(INDEX('Pace of change parameters'!$E$25:$I$25,1,$B$5)-INDEX('Pace of change parameters'!$E$26:$I$26,1,$B$5))))</f>
        <v>1</v>
      </c>
      <c r="X37" s="132">
        <f>MIN(T37, T37+(INDEX('Pace of change parameters'!$E$27:$I$27,1,$B$5)-T37)*(1-W37))</f>
        <v>2.0738822378003872E-2</v>
      </c>
      <c r="Y37" s="132">
        <v>1.8965333795956552E-2</v>
      </c>
      <c r="Z37" s="108">
        <f t="shared" si="10"/>
        <v>1056089</v>
      </c>
      <c r="AA37" s="97">
        <f>MIN(VLOOKUP(A37,'2018-19 disagg'!$A$12:$BB$220,54,FALSE),-2.5%)</f>
        <v>-2.5000000000000001E-2</v>
      </c>
      <c r="AB37" s="99">
        <f t="shared" si="2"/>
        <v>987212.61894198414</v>
      </c>
      <c r="AC37" s="99">
        <f>MAX(IF(INDEX('Pace of change parameters'!$E$29:$I$29,1,$B$5)=1,MAX(AB37,Z37),Z37),L37)</f>
        <v>1056089</v>
      </c>
      <c r="AD37" s="97">
        <f t="shared" si="3"/>
        <v>2.08877688425404E-2</v>
      </c>
      <c r="AE37" s="146">
        <v>1.9114021472595111E-2</v>
      </c>
      <c r="AF37" s="56">
        <f t="shared" si="11"/>
        <v>1056089</v>
      </c>
      <c r="AG37" s="56">
        <v>2068.8331314780453</v>
      </c>
      <c r="AH37" s="16">
        <f t="shared" si="4"/>
        <v>2.08877688425404E-2</v>
      </c>
      <c r="AI37" s="16">
        <f t="shared" si="5"/>
        <v>1.9114021472594889E-2</v>
      </c>
      <c r="AJ37" s="56"/>
      <c r="AK37" s="56">
        <v>1012525.7630174196</v>
      </c>
      <c r="AL37" s="56">
        <v>1983.4946155158566</v>
      </c>
      <c r="AM37" s="16">
        <f t="shared" si="12"/>
        <v>4.3024324490033683E-2</v>
      </c>
      <c r="AN37" s="58">
        <f t="shared" si="12"/>
        <v>4.3024324490033683E-2</v>
      </c>
      <c r="AP37" s="56">
        <f t="shared" si="6"/>
        <v>1</v>
      </c>
      <c r="AQ37" s="56">
        <f t="shared" si="7"/>
        <v>0</v>
      </c>
    </row>
    <row r="38" spans="1:43" x14ac:dyDescent="0.2">
      <c r="A38" s="156" t="s">
        <v>121</v>
      </c>
      <c r="B38" s="156" t="s">
        <v>122</v>
      </c>
      <c r="D38" s="68">
        <f>VLOOKUP(A38,'2018-19 disagg'!A38:AZ246,43,FALSE)</f>
        <v>418169</v>
      </c>
      <c r="E38" s="73">
        <v>2009.4257807157196</v>
      </c>
      <c r="F38" s="55"/>
      <c r="G38" s="88">
        <v>431482.32613060757</v>
      </c>
      <c r="H38" s="81">
        <v>2060.0862480059336</v>
      </c>
      <c r="I38" s="90"/>
      <c r="J38" s="103">
        <f t="shared" si="8"/>
        <v>-3.085485852919434E-2</v>
      </c>
      <c r="K38" s="126">
        <f t="shared" si="8"/>
        <v>-2.4591430256500679E-2</v>
      </c>
      <c r="L38" s="56">
        <v>429386</v>
      </c>
      <c r="M38" s="103">
        <v>2.011656386695293E-2</v>
      </c>
      <c r="N38" s="97">
        <f>INDEX('Pace of change parameters'!$E$22:$I$22,1,$B$5)</f>
        <v>1.356605044543624E-2</v>
      </c>
      <c r="O38" s="108">
        <f>MAX(IF(INDEX('Pace of change parameters'!$E$30:$I$30,1,$B$5)=1,(1+M38)*D38,D38),L38)</f>
        <v>429386</v>
      </c>
      <c r="P38" s="94">
        <f>IF(K38&lt;INDEX('Pace of change parameters'!$E$18:$I$18,1,$B$5),1,IF(K38&gt;INDEX('Pace of change parameters'!$E$19:$I$19,1,$B$5),0,(K38-INDEX('Pace of change parameters'!$E$19:$I$19,1,$B$5))/(INDEX('Pace of change parameters'!$E$18:$I$18,1,$B$5)-INDEX('Pace of change parameters'!$E$19:$I$19,1,$B$5))))</f>
        <v>0.82974128153785909</v>
      </c>
      <c r="Q38" s="57">
        <v>3.0711105194133559E-2</v>
      </c>
      <c r="R38" s="57">
        <v>2.4092560640080807E-2</v>
      </c>
      <c r="S38" s="9">
        <f>MAX(IF(INDEX('Pace of change parameters'!$E$31:$I$31,1,$B$5)=1,D38*(1+Q38),D38),L38)</f>
        <v>431011.43214792566</v>
      </c>
      <c r="T38" s="103">
        <f>IF(Q38&lt;INDEX('Pace of change parameters'!$E$24:$I$24,1,$B$5),INDEX('Pace of change parameters'!$E$24:$I$24,1,$B$5),Q38)</f>
        <v>3.0711105194133559E-2</v>
      </c>
      <c r="U38" s="132">
        <v>2.4092560640080807E-2</v>
      </c>
      <c r="V38" s="117">
        <f t="shared" si="9"/>
        <v>431011.43214792566</v>
      </c>
      <c r="W38" s="131">
        <f>IF(J38&gt;INDEX('Pace of change parameters'!$E$26:$I$26,1,$B$5),0,IF(J38&lt;INDEX('Pace of change parameters'!$E$25:$I$25,1,$B$5),1,(J38-INDEX('Pace of change parameters'!$E$26:$I$26,1,$B$5))/(INDEX('Pace of change parameters'!$E$25:$I$25,1,$B$5)-INDEX('Pace of change parameters'!$E$26:$I$26,1,$B$5))))</f>
        <v>1</v>
      </c>
      <c r="X38" s="132">
        <f>MIN(T38, T38+(INDEX('Pace of change parameters'!$E$27:$I$27,1,$B$5)-T38)*(1-W38))</f>
        <v>3.0711105194133559E-2</v>
      </c>
      <c r="Y38" s="132">
        <v>2.4092560640080807E-2</v>
      </c>
      <c r="Z38" s="108">
        <f t="shared" si="10"/>
        <v>431011.43214792566</v>
      </c>
      <c r="AA38" s="97">
        <f>MIN(VLOOKUP(A38,'2018-19 disagg'!$A$12:$BB$220,54,FALSE),-2.5%)</f>
        <v>-3.1244369962528551E-2</v>
      </c>
      <c r="AB38" s="99">
        <f t="shared" si="2"/>
        <v>429537.88050300337</v>
      </c>
      <c r="AC38" s="99">
        <f>MAX(IF(INDEX('Pace of change parameters'!$E$29:$I$29,1,$B$5)=1,MAX(AB38,Z38),Z38),L38)</f>
        <v>431011.43214792566</v>
      </c>
      <c r="AD38" s="97">
        <f t="shared" si="3"/>
        <v>3.0711105194133559E-2</v>
      </c>
      <c r="AE38" s="146">
        <v>2.4092560640080807E-2</v>
      </c>
      <c r="AF38" s="56">
        <f t="shared" si="11"/>
        <v>431011.43214792566</v>
      </c>
      <c r="AG38" s="56">
        <v>2057.8379931893551</v>
      </c>
      <c r="AH38" s="16">
        <f t="shared" si="4"/>
        <v>3.0711105194133559E-2</v>
      </c>
      <c r="AI38" s="16">
        <f t="shared" si="5"/>
        <v>2.4092560640081029E-2</v>
      </c>
      <c r="AJ38" s="56"/>
      <c r="AK38" s="56">
        <v>443391.36432826601</v>
      </c>
      <c r="AL38" s="56">
        <v>2116.9452300133389</v>
      </c>
      <c r="AM38" s="16">
        <f t="shared" si="12"/>
        <v>-2.7921004278231298E-2</v>
      </c>
      <c r="AN38" s="58">
        <f t="shared" si="12"/>
        <v>-2.7921004278231298E-2</v>
      </c>
      <c r="AP38" s="56">
        <f t="shared" si="6"/>
        <v>0</v>
      </c>
      <c r="AQ38" s="56">
        <f t="shared" si="7"/>
        <v>0</v>
      </c>
    </row>
    <row r="39" spans="1:43" x14ac:dyDescent="0.2">
      <c r="A39" s="156" t="s">
        <v>123</v>
      </c>
      <c r="B39" s="156" t="s">
        <v>124</v>
      </c>
      <c r="D39" s="68">
        <f>VLOOKUP(A39,'2018-19 disagg'!A39:AZ247,43,FALSE)</f>
        <v>447109</v>
      </c>
      <c r="E39" s="73">
        <v>1781.4106204927411</v>
      </c>
      <c r="F39" s="55"/>
      <c r="G39" s="88">
        <v>440681.88041704969</v>
      </c>
      <c r="H39" s="81">
        <v>1748.4879881674947</v>
      </c>
      <c r="I39" s="90"/>
      <c r="J39" s="103">
        <f t="shared" si="8"/>
        <v>1.4584487968663185E-2</v>
      </c>
      <c r="K39" s="126">
        <f t="shared" si="8"/>
        <v>1.8829201314531918E-2</v>
      </c>
      <c r="L39" s="56">
        <v>457828</v>
      </c>
      <c r="M39" s="103">
        <v>1.7806502958029879E-2</v>
      </c>
      <c r="N39" s="97">
        <f>INDEX('Pace of change parameters'!$E$22:$I$22,1,$B$5)</f>
        <v>1.356605044543624E-2</v>
      </c>
      <c r="O39" s="108">
        <f>MAX(IF(INDEX('Pace of change parameters'!$E$30:$I$30,1,$B$5)=1,(1+M39)*D39,D39),L39)</f>
        <v>457828</v>
      </c>
      <c r="P39" s="94">
        <f>IF(K39&lt;INDEX('Pace of change parameters'!$E$18:$I$18,1,$B$5),1,IF(K39&gt;INDEX('Pace of change parameters'!$E$19:$I$19,1,$B$5),0,(K39-INDEX('Pace of change parameters'!$E$19:$I$19,1,$B$5))/(INDEX('Pace of change parameters'!$E$18:$I$18,1,$B$5)-INDEX('Pace of change parameters'!$E$19:$I$19,1,$B$5))))</f>
        <v>0</v>
      </c>
      <c r="Q39" s="57">
        <v>1.7806502958029879E-2</v>
      </c>
      <c r="R39" s="57">
        <v>1.356605044543624E-2</v>
      </c>
      <c r="S39" s="9">
        <f>MAX(IF(INDEX('Pace of change parameters'!$E$31:$I$31,1,$B$5)=1,D39*(1+Q39),D39),L39)</f>
        <v>457828</v>
      </c>
      <c r="T39" s="103">
        <f>IF(Q39&lt;INDEX('Pace of change parameters'!$E$24:$I$24,1,$B$5),INDEX('Pace of change parameters'!$E$24:$I$24,1,$B$5),Q39)</f>
        <v>2.0738822378003872E-2</v>
      </c>
      <c r="U39" s="132">
        <v>1.6486153043041574E-2</v>
      </c>
      <c r="V39" s="117">
        <f t="shared" si="9"/>
        <v>457828</v>
      </c>
      <c r="W39" s="131">
        <f>IF(J39&gt;INDEX('Pace of change parameters'!$E$26:$I$26,1,$B$5),0,IF(J39&lt;INDEX('Pace of change parameters'!$E$25:$I$25,1,$B$5),1,(J39-INDEX('Pace of change parameters'!$E$26:$I$26,1,$B$5))/(INDEX('Pace of change parameters'!$E$25:$I$25,1,$B$5)-INDEX('Pace of change parameters'!$E$26:$I$26,1,$B$5))))</f>
        <v>1</v>
      </c>
      <c r="X39" s="132">
        <f>MIN(T39, T39+(INDEX('Pace of change parameters'!$E$27:$I$27,1,$B$5)-T39)*(1-W39))</f>
        <v>2.0738822378003872E-2</v>
      </c>
      <c r="Y39" s="132">
        <v>1.6486153043041574E-2</v>
      </c>
      <c r="Z39" s="108">
        <f t="shared" si="10"/>
        <v>457828</v>
      </c>
      <c r="AA39" s="97">
        <f>MIN(VLOOKUP(A39,'2018-19 disagg'!$A$12:$BB$220,54,FALSE),-2.5%)</f>
        <v>-2.5000000000000001E-2</v>
      </c>
      <c r="AB39" s="99">
        <f t="shared" si="2"/>
        <v>441108.63110808405</v>
      </c>
      <c r="AC39" s="99">
        <f>MAX(IF(INDEX('Pace of change parameters'!$E$29:$I$29,1,$B$5)=1,MAX(AB39,Z39),Z39),L39)</f>
        <v>457828</v>
      </c>
      <c r="AD39" s="97">
        <f t="shared" si="3"/>
        <v>2.3974019758045584E-2</v>
      </c>
      <c r="AE39" s="146">
        <v>1.9707871730602067E-2</v>
      </c>
      <c r="AF39" s="56">
        <f t="shared" si="11"/>
        <v>457828</v>
      </c>
      <c r="AG39" s="56">
        <v>1816.5184325009445</v>
      </c>
      <c r="AH39" s="16">
        <f t="shared" si="4"/>
        <v>2.3974019758045584E-2</v>
      </c>
      <c r="AI39" s="16">
        <f t="shared" si="5"/>
        <v>1.9707871730602289E-2</v>
      </c>
      <c r="AJ39" s="56"/>
      <c r="AK39" s="56">
        <v>452419.10882880416</v>
      </c>
      <c r="AL39" s="56">
        <v>1795.0576426150726</v>
      </c>
      <c r="AM39" s="16">
        <f t="shared" si="12"/>
        <v>1.1955487877596704E-2</v>
      </c>
      <c r="AN39" s="58">
        <f t="shared" si="12"/>
        <v>1.1955487877596704E-2</v>
      </c>
      <c r="AP39" s="56">
        <f t="shared" si="6"/>
        <v>1</v>
      </c>
      <c r="AQ39" s="56">
        <f t="shared" si="7"/>
        <v>0</v>
      </c>
    </row>
    <row r="40" spans="1:43" x14ac:dyDescent="0.2">
      <c r="A40" s="156" t="s">
        <v>125</v>
      </c>
      <c r="B40" s="156" t="s">
        <v>126</v>
      </c>
      <c r="D40" s="68">
        <f>VLOOKUP(A40,'2018-19 disagg'!A40:AZ248,43,FALSE)</f>
        <v>519474</v>
      </c>
      <c r="E40" s="73">
        <v>1937.5307727113895</v>
      </c>
      <c r="F40" s="55"/>
      <c r="G40" s="88">
        <v>527636.41023189307</v>
      </c>
      <c r="H40" s="81">
        <v>1949.812912871927</v>
      </c>
      <c r="I40" s="90"/>
      <c r="J40" s="103">
        <f t="shared" si="8"/>
        <v>-1.5469763029252959E-2</v>
      </c>
      <c r="K40" s="126">
        <f t="shared" si="8"/>
        <v>-6.2991377682727334E-3</v>
      </c>
      <c r="L40" s="56">
        <v>534302</v>
      </c>
      <c r="M40" s="103">
        <v>2.3007136231167014E-2</v>
      </c>
      <c r="N40" s="97">
        <f>INDEX('Pace of change parameters'!$E$22:$I$22,1,$B$5)</f>
        <v>1.356605044543624E-2</v>
      </c>
      <c r="O40" s="108">
        <f>MAX(IF(INDEX('Pace of change parameters'!$E$30:$I$30,1,$B$5)=1,(1+M40)*D40,D40),L40)</f>
        <v>534302</v>
      </c>
      <c r="P40" s="94">
        <f>IF(K40&lt;INDEX('Pace of change parameters'!$E$18:$I$18,1,$B$5),1,IF(K40&gt;INDEX('Pace of change parameters'!$E$19:$I$19,1,$B$5),0,(K40-INDEX('Pace of change parameters'!$E$19:$I$19,1,$B$5))/(INDEX('Pace of change parameters'!$E$18:$I$18,1,$B$5)-INDEX('Pace of change parameters'!$E$19:$I$19,1,$B$5))))</f>
        <v>0.25391025328429317</v>
      </c>
      <c r="Q40" s="57">
        <v>2.6258372748498404E-2</v>
      </c>
      <c r="R40" s="57">
        <v>1.6787282086180966E-2</v>
      </c>
      <c r="S40" s="9">
        <f>MAX(IF(INDEX('Pace of change parameters'!$E$31:$I$31,1,$B$5)=1,D40*(1+Q40),D40),L40)</f>
        <v>534302</v>
      </c>
      <c r="T40" s="103">
        <f>IF(Q40&lt;INDEX('Pace of change parameters'!$E$24:$I$24,1,$B$5),INDEX('Pace of change parameters'!$E$24:$I$24,1,$B$5),Q40)</f>
        <v>2.6258372748498404E-2</v>
      </c>
      <c r="U40" s="132">
        <v>1.6787282086180966E-2</v>
      </c>
      <c r="V40" s="117">
        <f t="shared" si="9"/>
        <v>534302</v>
      </c>
      <c r="W40" s="131">
        <f>IF(J40&gt;INDEX('Pace of change parameters'!$E$26:$I$26,1,$B$5),0,IF(J40&lt;INDEX('Pace of change parameters'!$E$25:$I$25,1,$B$5),1,(J40-INDEX('Pace of change parameters'!$E$26:$I$26,1,$B$5))/(INDEX('Pace of change parameters'!$E$25:$I$25,1,$B$5)-INDEX('Pace of change parameters'!$E$26:$I$26,1,$B$5))))</f>
        <v>1</v>
      </c>
      <c r="X40" s="132">
        <f>MIN(T40, T40+(INDEX('Pace of change parameters'!$E$27:$I$27,1,$B$5)-T40)*(1-W40))</f>
        <v>2.6258372748498404E-2</v>
      </c>
      <c r="Y40" s="132">
        <v>1.6787282086180966E-2</v>
      </c>
      <c r="Z40" s="108">
        <f t="shared" si="10"/>
        <v>534302</v>
      </c>
      <c r="AA40" s="97">
        <f>MIN(VLOOKUP(A40,'2018-19 disagg'!$A$12:$BB$220,54,FALSE),-2.5%)</f>
        <v>-2.5000000000000001E-2</v>
      </c>
      <c r="AB40" s="99">
        <f t="shared" si="2"/>
        <v>528284.26919480436</v>
      </c>
      <c r="AC40" s="99">
        <f>MAX(IF(INDEX('Pace of change parameters'!$E$29:$I$29,1,$B$5)=1,MAX(AB40,Z40),Z40),L40)</f>
        <v>534302</v>
      </c>
      <c r="AD40" s="97">
        <f t="shared" si="3"/>
        <v>2.8544258230440711E-2</v>
      </c>
      <c r="AE40" s="146">
        <v>1.9052071683092642E-2</v>
      </c>
      <c r="AF40" s="56">
        <f t="shared" si="11"/>
        <v>534302</v>
      </c>
      <c r="AG40" s="56">
        <v>1974.4447478812849</v>
      </c>
      <c r="AH40" s="16">
        <f t="shared" si="4"/>
        <v>2.8544258230440711E-2</v>
      </c>
      <c r="AI40" s="16">
        <f t="shared" si="5"/>
        <v>1.9052071683092642E-2</v>
      </c>
      <c r="AJ40" s="56"/>
      <c r="AK40" s="56">
        <v>541830.01968697889</v>
      </c>
      <c r="AL40" s="56">
        <v>2002.2635824222421</v>
      </c>
      <c r="AM40" s="16">
        <f t="shared" si="12"/>
        <v>-1.3893692511404043E-2</v>
      </c>
      <c r="AN40" s="58">
        <f t="shared" si="12"/>
        <v>-1.3893692511404154E-2</v>
      </c>
      <c r="AP40" s="56">
        <f t="shared" si="6"/>
        <v>1</v>
      </c>
      <c r="AQ40" s="56">
        <f t="shared" si="7"/>
        <v>0</v>
      </c>
    </row>
    <row r="41" spans="1:43" x14ac:dyDescent="0.2">
      <c r="A41" s="156" t="s">
        <v>127</v>
      </c>
      <c r="B41" s="156" t="s">
        <v>128</v>
      </c>
      <c r="D41" s="68">
        <f>VLOOKUP(A41,'2018-19 disagg'!A41:AZ249,43,FALSE)</f>
        <v>295788</v>
      </c>
      <c r="E41" s="73">
        <v>1625.2740456619358</v>
      </c>
      <c r="F41" s="55"/>
      <c r="G41" s="88">
        <v>299624.02980083146</v>
      </c>
      <c r="H41" s="81">
        <v>1640.6135910005514</v>
      </c>
      <c r="I41" s="90"/>
      <c r="J41" s="103">
        <f t="shared" si="8"/>
        <v>-1.2802810920677365E-2</v>
      </c>
      <c r="K41" s="126">
        <f t="shared" si="8"/>
        <v>-9.3498831307745611E-3</v>
      </c>
      <c r="L41" s="56">
        <v>302916</v>
      </c>
      <c r="M41" s="103">
        <v>1.7111208820278279E-2</v>
      </c>
      <c r="N41" s="97">
        <f>INDEX('Pace of change parameters'!$E$22:$I$22,1,$B$5)</f>
        <v>1.356605044543624E-2</v>
      </c>
      <c r="O41" s="108">
        <f>MAX(IF(INDEX('Pace of change parameters'!$E$30:$I$30,1,$B$5)=1,(1+M41)*D41,D41),L41)</f>
        <v>302916</v>
      </c>
      <c r="P41" s="94">
        <f>IF(K41&lt;INDEX('Pace of change parameters'!$E$18:$I$18,1,$B$5),1,IF(K41&gt;INDEX('Pace of change parameters'!$E$19:$I$19,1,$B$5),0,(K41-INDEX('Pace of change parameters'!$E$19:$I$19,1,$B$5))/(INDEX('Pace of change parameters'!$E$18:$I$18,1,$B$5)-INDEX('Pace of change parameters'!$E$19:$I$19,1,$B$5))))</f>
        <v>0.34994599293583017</v>
      </c>
      <c r="Q41" s="57">
        <v>2.1566325960619803E-2</v>
      </c>
      <c r="R41" s="57">
        <v>1.8005639199398793E-2</v>
      </c>
      <c r="S41" s="9">
        <f>MAX(IF(INDEX('Pace of change parameters'!$E$31:$I$31,1,$B$5)=1,D41*(1+Q41),D41),L41)</f>
        <v>302916</v>
      </c>
      <c r="T41" s="103">
        <f>IF(Q41&lt;INDEX('Pace of change parameters'!$E$24:$I$24,1,$B$5),INDEX('Pace of change parameters'!$E$24:$I$24,1,$B$5),Q41)</f>
        <v>2.1566325960619803E-2</v>
      </c>
      <c r="U41" s="132">
        <v>1.8005639199398793E-2</v>
      </c>
      <c r="V41" s="117">
        <f t="shared" si="9"/>
        <v>302916</v>
      </c>
      <c r="W41" s="131">
        <f>IF(J41&gt;INDEX('Pace of change parameters'!$E$26:$I$26,1,$B$5),0,IF(J41&lt;INDEX('Pace of change parameters'!$E$25:$I$25,1,$B$5),1,(J41-INDEX('Pace of change parameters'!$E$26:$I$26,1,$B$5))/(INDEX('Pace of change parameters'!$E$25:$I$25,1,$B$5)-INDEX('Pace of change parameters'!$E$26:$I$26,1,$B$5))))</f>
        <v>1</v>
      </c>
      <c r="X41" s="132">
        <f>MIN(T41, T41+(INDEX('Pace of change parameters'!$E$27:$I$27,1,$B$5)-T41)*(1-W41))</f>
        <v>2.1566325960619803E-2</v>
      </c>
      <c r="Y41" s="132">
        <v>1.8005639199398793E-2</v>
      </c>
      <c r="Z41" s="108">
        <f t="shared" si="10"/>
        <v>302916</v>
      </c>
      <c r="AA41" s="97">
        <f>MIN(VLOOKUP(A41,'2018-19 disagg'!$A$12:$BB$220,54,FALSE),-2.5%)</f>
        <v>-2.5000000000000001E-2</v>
      </c>
      <c r="AB41" s="99">
        <f t="shared" si="2"/>
        <v>299705.31556420453</v>
      </c>
      <c r="AC41" s="99">
        <f>MAX(IF(INDEX('Pace of change parameters'!$E$29:$I$29,1,$B$5)=1,MAX(AB41,Z41),Z41),L41)</f>
        <v>302916</v>
      </c>
      <c r="AD41" s="97">
        <f t="shared" si="3"/>
        <v>2.4098340703476717E-2</v>
      </c>
      <c r="AE41" s="146">
        <v>2.0528828561910739E-2</v>
      </c>
      <c r="AF41" s="56">
        <f t="shared" si="11"/>
        <v>302916</v>
      </c>
      <c r="AG41" s="56">
        <v>1658.6390179114533</v>
      </c>
      <c r="AH41" s="16">
        <f t="shared" si="4"/>
        <v>2.4098340703476717E-2</v>
      </c>
      <c r="AI41" s="16">
        <f t="shared" si="5"/>
        <v>2.0528828561910961E-2</v>
      </c>
      <c r="AJ41" s="56"/>
      <c r="AK41" s="56">
        <v>307390.067245338</v>
      </c>
      <c r="AL41" s="56">
        <v>1683.1371048460398</v>
      </c>
      <c r="AM41" s="16">
        <f t="shared" si="12"/>
        <v>-1.4555015669283522E-2</v>
      </c>
      <c r="AN41" s="58">
        <f t="shared" si="12"/>
        <v>-1.4555015669283522E-2</v>
      </c>
      <c r="AP41" s="56">
        <f t="shared" si="6"/>
        <v>1</v>
      </c>
      <c r="AQ41" s="56">
        <f t="shared" si="7"/>
        <v>0</v>
      </c>
    </row>
    <row r="42" spans="1:43" x14ac:dyDescent="0.2">
      <c r="A42" s="156" t="s">
        <v>129</v>
      </c>
      <c r="B42" s="156" t="s">
        <v>130</v>
      </c>
      <c r="D42" s="68">
        <f>VLOOKUP(A42,'2018-19 disagg'!A42:AZ250,43,FALSE)</f>
        <v>322006</v>
      </c>
      <c r="E42" s="73">
        <v>1829.1403472191801</v>
      </c>
      <c r="F42" s="55"/>
      <c r="G42" s="88">
        <v>311186.57230624557</v>
      </c>
      <c r="H42" s="81">
        <v>1755.1131218806308</v>
      </c>
      <c r="I42" s="90"/>
      <c r="J42" s="103">
        <f t="shared" si="8"/>
        <v>3.4768298688372612E-2</v>
      </c>
      <c r="K42" s="126">
        <f t="shared" si="8"/>
        <v>4.2178036512670936E-2</v>
      </c>
      <c r="L42" s="56">
        <v>330321</v>
      </c>
      <c r="M42" s="103">
        <v>2.0823963845885363E-2</v>
      </c>
      <c r="N42" s="97">
        <f>INDEX('Pace of change parameters'!$E$22:$I$22,1,$B$5)</f>
        <v>1.356605044543624E-2</v>
      </c>
      <c r="O42" s="108">
        <f>MAX(IF(INDEX('Pace of change parameters'!$E$30:$I$30,1,$B$5)=1,(1+M42)*D42,D42),L42)</f>
        <v>330321</v>
      </c>
      <c r="P42" s="94">
        <f>IF(K42&lt;INDEX('Pace of change parameters'!$E$18:$I$18,1,$B$5),1,IF(K42&gt;INDEX('Pace of change parameters'!$E$19:$I$19,1,$B$5),0,(K42-INDEX('Pace of change parameters'!$E$19:$I$19,1,$B$5))/(INDEX('Pace of change parameters'!$E$18:$I$18,1,$B$5)-INDEX('Pace of change parameters'!$E$19:$I$19,1,$B$5))))</f>
        <v>0</v>
      </c>
      <c r="Q42" s="57">
        <v>2.0823963845885363E-2</v>
      </c>
      <c r="R42" s="57">
        <v>1.356605044543624E-2</v>
      </c>
      <c r="S42" s="9">
        <f>MAX(IF(INDEX('Pace of change parameters'!$E$31:$I$31,1,$B$5)=1,D42*(1+Q42),D42),L42)</f>
        <v>330321</v>
      </c>
      <c r="T42" s="103">
        <f>IF(Q42&lt;INDEX('Pace of change parameters'!$E$24:$I$24,1,$B$5),INDEX('Pace of change parameters'!$E$24:$I$24,1,$B$5),Q42)</f>
        <v>2.0823963845885363E-2</v>
      </c>
      <c r="U42" s="132">
        <v>1.356605044543624E-2</v>
      </c>
      <c r="V42" s="117">
        <f t="shared" si="9"/>
        <v>330321</v>
      </c>
      <c r="W42" s="131">
        <f>IF(J42&gt;INDEX('Pace of change parameters'!$E$26:$I$26,1,$B$5),0,IF(J42&lt;INDEX('Pace of change parameters'!$E$25:$I$25,1,$B$5),1,(J42-INDEX('Pace of change parameters'!$E$26:$I$26,1,$B$5))/(INDEX('Pace of change parameters'!$E$25:$I$25,1,$B$5)-INDEX('Pace of change parameters'!$E$26:$I$26,1,$B$5))))</f>
        <v>1</v>
      </c>
      <c r="X42" s="132">
        <f>MIN(T42, T42+(INDEX('Pace of change parameters'!$E$27:$I$27,1,$B$5)-T42)*(1-W42))</f>
        <v>2.0823963845885363E-2</v>
      </c>
      <c r="Y42" s="132">
        <v>1.356605044543624E-2</v>
      </c>
      <c r="Z42" s="108">
        <f t="shared" si="10"/>
        <v>330321</v>
      </c>
      <c r="AA42" s="97">
        <f>MIN(VLOOKUP(A42,'2018-19 disagg'!$A$12:$BB$220,54,FALSE),-2.5%)</f>
        <v>-2.5000000000000001E-2</v>
      </c>
      <c r="AB42" s="99">
        <f t="shared" si="2"/>
        <v>311443.10630673869</v>
      </c>
      <c r="AC42" s="99">
        <f>MAX(IF(INDEX('Pace of change parameters'!$E$29:$I$29,1,$B$5)=1,MAX(AB42,Z42),Z42),L42)</f>
        <v>330321</v>
      </c>
      <c r="AD42" s="97">
        <f t="shared" si="3"/>
        <v>2.58225002018595E-2</v>
      </c>
      <c r="AE42" s="146">
        <v>1.8529047917836383E-2</v>
      </c>
      <c r="AF42" s="56">
        <f t="shared" si="11"/>
        <v>330321</v>
      </c>
      <c r="AG42" s="56">
        <v>1863.0325763612525</v>
      </c>
      <c r="AH42" s="16">
        <f t="shared" si="4"/>
        <v>2.58225002018595E-2</v>
      </c>
      <c r="AI42" s="16">
        <f t="shared" si="5"/>
        <v>1.8529047917836605E-2</v>
      </c>
      <c r="AJ42" s="56"/>
      <c r="AK42" s="56">
        <v>319428.82698127045</v>
      </c>
      <c r="AL42" s="56">
        <v>1801.5999905999588</v>
      </c>
      <c r="AM42" s="16">
        <f t="shared" si="12"/>
        <v>3.4098904352700243E-2</v>
      </c>
      <c r="AN42" s="58">
        <f t="shared" si="12"/>
        <v>3.4098904352700243E-2</v>
      </c>
      <c r="AP42" s="56">
        <f t="shared" si="6"/>
        <v>1</v>
      </c>
      <c r="AQ42" s="56">
        <f t="shared" si="7"/>
        <v>0</v>
      </c>
    </row>
    <row r="43" spans="1:43" x14ac:dyDescent="0.2">
      <c r="A43" s="156" t="s">
        <v>131</v>
      </c>
      <c r="B43" s="156" t="s">
        <v>132</v>
      </c>
      <c r="D43" s="68">
        <f>VLOOKUP(A43,'2018-19 disagg'!A43:AZ251,43,FALSE)</f>
        <v>321240</v>
      </c>
      <c r="E43" s="73">
        <v>2072.4909721116164</v>
      </c>
      <c r="F43" s="55"/>
      <c r="G43" s="88">
        <v>301873.57666865306</v>
      </c>
      <c r="H43" s="81">
        <v>1946.476441989837</v>
      </c>
      <c r="I43" s="90"/>
      <c r="J43" s="103">
        <f t="shared" si="8"/>
        <v>6.4154085776789271E-2</v>
      </c>
      <c r="K43" s="126">
        <f t="shared" si="8"/>
        <v>6.4739817756518825E-2</v>
      </c>
      <c r="L43" s="56">
        <v>327620</v>
      </c>
      <c r="M43" s="103">
        <v>1.4123937745075699E-2</v>
      </c>
      <c r="N43" s="97">
        <f>INDEX('Pace of change parameters'!$E$22:$I$22,1,$B$5)</f>
        <v>1.356605044543624E-2</v>
      </c>
      <c r="O43" s="108">
        <f>MAX(IF(INDEX('Pace of change parameters'!$E$30:$I$30,1,$B$5)=1,(1+M43)*D43,D43),L43)</f>
        <v>327620</v>
      </c>
      <c r="P43" s="94">
        <f>IF(K43&lt;INDEX('Pace of change parameters'!$E$18:$I$18,1,$B$5),1,IF(K43&gt;INDEX('Pace of change parameters'!$E$19:$I$19,1,$B$5),0,(K43-INDEX('Pace of change parameters'!$E$19:$I$19,1,$B$5))/(INDEX('Pace of change parameters'!$E$18:$I$18,1,$B$5)-INDEX('Pace of change parameters'!$E$19:$I$19,1,$B$5))))</f>
        <v>0</v>
      </c>
      <c r="Q43" s="57">
        <v>1.4123937745075699E-2</v>
      </c>
      <c r="R43" s="57">
        <v>1.356605044543624E-2</v>
      </c>
      <c r="S43" s="9">
        <f>MAX(IF(INDEX('Pace of change parameters'!$E$31:$I$31,1,$B$5)=1,D43*(1+Q43),D43),L43)</f>
        <v>327620</v>
      </c>
      <c r="T43" s="103">
        <f>IF(Q43&lt;INDEX('Pace of change parameters'!$E$24:$I$24,1,$B$5),INDEX('Pace of change parameters'!$E$24:$I$24,1,$B$5),Q43)</f>
        <v>2.0738822378003872E-2</v>
      </c>
      <c r="U43" s="132">
        <v>2.0177296114734844E-2</v>
      </c>
      <c r="V43" s="117">
        <f t="shared" si="9"/>
        <v>327902.13930070994</v>
      </c>
      <c r="W43" s="131">
        <f>IF(J43&gt;INDEX('Pace of change parameters'!$E$26:$I$26,1,$B$5),0,IF(J43&lt;INDEX('Pace of change parameters'!$E$25:$I$25,1,$B$5),1,(J43-INDEX('Pace of change parameters'!$E$26:$I$26,1,$B$5))/(INDEX('Pace of change parameters'!$E$25:$I$25,1,$B$5)-INDEX('Pace of change parameters'!$E$26:$I$26,1,$B$5))))</f>
        <v>0.71691828446421468</v>
      </c>
      <c r="X43" s="132">
        <f>MIN(T43, T43+(INDEX('Pace of change parameters'!$E$27:$I$27,1,$B$5)-T43)*(1-W43))</f>
        <v>1.4907339037966694E-2</v>
      </c>
      <c r="Y43" s="132">
        <v>1.4349020775586308E-2</v>
      </c>
      <c r="Z43" s="108">
        <f t="shared" si="10"/>
        <v>327620</v>
      </c>
      <c r="AA43" s="97">
        <f>MIN(VLOOKUP(A43,'2018-19 disagg'!$A$12:$BB$220,54,FALSE),-2.5%)</f>
        <v>-2.5000000000000001E-2</v>
      </c>
      <c r="AB43" s="99">
        <f t="shared" si="2"/>
        <v>302160.30585920007</v>
      </c>
      <c r="AC43" s="99">
        <f>MAX(IF(INDEX('Pace of change parameters'!$E$29:$I$29,1,$B$5)=1,MAX(AB43,Z43),Z43),L43)</f>
        <v>327620</v>
      </c>
      <c r="AD43" s="97">
        <f t="shared" si="3"/>
        <v>1.9860540405927107E-2</v>
      </c>
      <c r="AE43" s="146">
        <v>1.9299497300918844E-2</v>
      </c>
      <c r="AF43" s="56">
        <f t="shared" si="11"/>
        <v>327620</v>
      </c>
      <c r="AG43" s="56">
        <v>2112.4890060340626</v>
      </c>
      <c r="AH43" s="16">
        <f t="shared" si="4"/>
        <v>1.9860540405927107E-2</v>
      </c>
      <c r="AI43" s="16">
        <f t="shared" si="5"/>
        <v>1.9299497300918622E-2</v>
      </c>
      <c r="AJ43" s="56"/>
      <c r="AK43" s="56">
        <v>309908.00600943598</v>
      </c>
      <c r="AL43" s="56">
        <v>1998.2823257947368</v>
      </c>
      <c r="AM43" s="16">
        <f t="shared" si="12"/>
        <v>5.7152424742537011E-2</v>
      </c>
      <c r="AN43" s="58">
        <f t="shared" si="12"/>
        <v>5.7152424742537233E-2</v>
      </c>
      <c r="AP43" s="56">
        <f t="shared" si="6"/>
        <v>1</v>
      </c>
      <c r="AQ43" s="56">
        <f t="shared" si="7"/>
        <v>0</v>
      </c>
    </row>
    <row r="44" spans="1:43" x14ac:dyDescent="0.2">
      <c r="A44" s="156" t="s">
        <v>133</v>
      </c>
      <c r="B44" s="156" t="s">
        <v>134</v>
      </c>
      <c r="D44" s="68">
        <f>VLOOKUP(A44,'2018-19 disagg'!A44:AZ252,43,FALSE)</f>
        <v>235044</v>
      </c>
      <c r="E44" s="73">
        <v>1887.4145655498114</v>
      </c>
      <c r="F44" s="55"/>
      <c r="G44" s="88">
        <v>228290.22399992117</v>
      </c>
      <c r="H44" s="81">
        <v>1829.0085193077475</v>
      </c>
      <c r="I44" s="90"/>
      <c r="J44" s="103">
        <f t="shared" si="8"/>
        <v>2.9584166512890864E-2</v>
      </c>
      <c r="K44" s="126">
        <f t="shared" si="8"/>
        <v>3.1933173424566474E-2</v>
      </c>
      <c r="L44" s="56">
        <v>240660</v>
      </c>
      <c r="M44" s="103">
        <v>1.5878511859834354E-2</v>
      </c>
      <c r="N44" s="97">
        <f>INDEX('Pace of change parameters'!$E$22:$I$22,1,$B$5)</f>
        <v>1.356605044543624E-2</v>
      </c>
      <c r="O44" s="108">
        <f>MAX(IF(INDEX('Pace of change parameters'!$E$30:$I$30,1,$B$5)=1,(1+M44)*D44,D44),L44)</f>
        <v>240660</v>
      </c>
      <c r="P44" s="94">
        <f>IF(K44&lt;INDEX('Pace of change parameters'!$E$18:$I$18,1,$B$5),1,IF(K44&gt;INDEX('Pace of change parameters'!$E$19:$I$19,1,$B$5),0,(K44-INDEX('Pace of change parameters'!$E$19:$I$19,1,$B$5))/(INDEX('Pace of change parameters'!$E$18:$I$18,1,$B$5)-INDEX('Pace of change parameters'!$E$19:$I$19,1,$B$5))))</f>
        <v>0</v>
      </c>
      <c r="Q44" s="57">
        <v>1.5878511859834354E-2</v>
      </c>
      <c r="R44" s="57">
        <v>1.356605044543624E-2</v>
      </c>
      <c r="S44" s="9">
        <f>MAX(IF(INDEX('Pace of change parameters'!$E$31:$I$31,1,$B$5)=1,D44*(1+Q44),D44),L44)</f>
        <v>240660</v>
      </c>
      <c r="T44" s="103">
        <f>IF(Q44&lt;INDEX('Pace of change parameters'!$E$24:$I$24,1,$B$5),INDEX('Pace of change parameters'!$E$24:$I$24,1,$B$5),Q44)</f>
        <v>2.0738822378003872E-2</v>
      </c>
      <c r="U44" s="132">
        <v>1.8415297356684235E-2</v>
      </c>
      <c r="V44" s="117">
        <f t="shared" si="9"/>
        <v>240660</v>
      </c>
      <c r="W44" s="131">
        <f>IF(J44&gt;INDEX('Pace of change parameters'!$E$26:$I$26,1,$B$5),0,IF(J44&lt;INDEX('Pace of change parameters'!$E$25:$I$25,1,$B$5),1,(J44-INDEX('Pace of change parameters'!$E$26:$I$26,1,$B$5))/(INDEX('Pace of change parameters'!$E$25:$I$25,1,$B$5)-INDEX('Pace of change parameters'!$E$26:$I$26,1,$B$5))))</f>
        <v>1</v>
      </c>
      <c r="X44" s="132">
        <f>MIN(T44, T44+(INDEX('Pace of change parameters'!$E$27:$I$27,1,$B$5)-T44)*(1-W44))</f>
        <v>2.0738822378003872E-2</v>
      </c>
      <c r="Y44" s="132">
        <v>1.8415297356684235E-2</v>
      </c>
      <c r="Z44" s="108">
        <f t="shared" si="10"/>
        <v>240660</v>
      </c>
      <c r="AA44" s="97">
        <f>MIN(VLOOKUP(A44,'2018-19 disagg'!$A$12:$BB$220,54,FALSE),-2.5%)</f>
        <v>-2.5000000000000001E-2</v>
      </c>
      <c r="AB44" s="99">
        <f t="shared" si="2"/>
        <v>228394.09157700726</v>
      </c>
      <c r="AC44" s="99">
        <f>MAX(IF(INDEX('Pace of change parameters'!$E$29:$I$29,1,$B$5)=1,MAX(AB44,Z44),Z44),L44)</f>
        <v>240660</v>
      </c>
      <c r="AD44" s="97">
        <f t="shared" si="3"/>
        <v>2.3893398682799827E-2</v>
      </c>
      <c r="AE44" s="146">
        <v>2.156269284615786E-2</v>
      </c>
      <c r="AF44" s="56">
        <f t="shared" si="11"/>
        <v>240660</v>
      </c>
      <c r="AG44" s="56">
        <v>1928.1123061001267</v>
      </c>
      <c r="AH44" s="16">
        <f t="shared" si="4"/>
        <v>2.3893398682799827E-2</v>
      </c>
      <c r="AI44" s="16">
        <f t="shared" si="5"/>
        <v>2.1562692846158082E-2</v>
      </c>
      <c r="AJ44" s="56"/>
      <c r="AK44" s="56">
        <v>234250.35033539205</v>
      </c>
      <c r="AL44" s="56">
        <v>1876.7596741873822</v>
      </c>
      <c r="AM44" s="16">
        <f t="shared" si="12"/>
        <v>2.7362390943837633E-2</v>
      </c>
      <c r="AN44" s="58">
        <f t="shared" si="12"/>
        <v>2.7362390943837633E-2</v>
      </c>
      <c r="AP44" s="56">
        <f t="shared" si="6"/>
        <v>1</v>
      </c>
      <c r="AQ44" s="56">
        <f t="shared" si="7"/>
        <v>0</v>
      </c>
    </row>
    <row r="45" spans="1:43" x14ac:dyDescent="0.2">
      <c r="A45" s="156" t="s">
        <v>135</v>
      </c>
      <c r="B45" s="156" t="s">
        <v>136</v>
      </c>
      <c r="D45" s="68">
        <f>VLOOKUP(A45,'2018-19 disagg'!A45:AZ253,43,FALSE)</f>
        <v>380870</v>
      </c>
      <c r="E45" s="73">
        <v>1925.1614426402878</v>
      </c>
      <c r="F45" s="55"/>
      <c r="G45" s="88">
        <v>375560.39418563491</v>
      </c>
      <c r="H45" s="81">
        <v>1890.5095527722822</v>
      </c>
      <c r="I45" s="90"/>
      <c r="J45" s="103">
        <f t="shared" si="8"/>
        <v>1.4137821497068215E-2</v>
      </c>
      <c r="K45" s="126">
        <f t="shared" si="8"/>
        <v>1.8329391574452236E-2</v>
      </c>
      <c r="L45" s="56">
        <v>390095</v>
      </c>
      <c r="M45" s="103">
        <v>1.7755257314999273E-2</v>
      </c>
      <c r="N45" s="97">
        <f>INDEX('Pace of change parameters'!$E$22:$I$22,1,$B$5)</f>
        <v>1.356605044543624E-2</v>
      </c>
      <c r="O45" s="108">
        <f>MAX(IF(INDEX('Pace of change parameters'!$E$30:$I$30,1,$B$5)=1,(1+M45)*D45,D45),L45)</f>
        <v>390095</v>
      </c>
      <c r="P45" s="94">
        <f>IF(K45&lt;INDEX('Pace of change parameters'!$E$18:$I$18,1,$B$5),1,IF(K45&gt;INDEX('Pace of change parameters'!$E$19:$I$19,1,$B$5),0,(K45-INDEX('Pace of change parameters'!$E$19:$I$19,1,$B$5))/(INDEX('Pace of change parameters'!$E$18:$I$18,1,$B$5)-INDEX('Pace of change parameters'!$E$19:$I$19,1,$B$5))))</f>
        <v>0</v>
      </c>
      <c r="Q45" s="57">
        <v>1.7755257314999273E-2</v>
      </c>
      <c r="R45" s="57">
        <v>1.356605044543624E-2</v>
      </c>
      <c r="S45" s="9">
        <f>MAX(IF(INDEX('Pace of change parameters'!$E$31:$I$31,1,$B$5)=1,D45*(1+Q45),D45),L45)</f>
        <v>390095</v>
      </c>
      <c r="T45" s="103">
        <f>IF(Q45&lt;INDEX('Pace of change parameters'!$E$24:$I$24,1,$B$5),INDEX('Pace of change parameters'!$E$24:$I$24,1,$B$5),Q45)</f>
        <v>2.0738822378003872E-2</v>
      </c>
      <c r="U45" s="132">
        <v>1.6537334784594959E-2</v>
      </c>
      <c r="V45" s="117">
        <f t="shared" si="9"/>
        <v>390095</v>
      </c>
      <c r="W45" s="131">
        <f>IF(J45&gt;INDEX('Pace of change parameters'!$E$26:$I$26,1,$B$5),0,IF(J45&lt;INDEX('Pace of change parameters'!$E$25:$I$25,1,$B$5),1,(J45-INDEX('Pace of change parameters'!$E$26:$I$26,1,$B$5))/(INDEX('Pace of change parameters'!$E$25:$I$25,1,$B$5)-INDEX('Pace of change parameters'!$E$26:$I$26,1,$B$5))))</f>
        <v>1</v>
      </c>
      <c r="X45" s="132">
        <f>MIN(T45, T45+(INDEX('Pace of change parameters'!$E$27:$I$27,1,$B$5)-T45)*(1-W45))</f>
        <v>2.0738822378003872E-2</v>
      </c>
      <c r="Y45" s="132">
        <v>1.6537334784594959E-2</v>
      </c>
      <c r="Z45" s="108">
        <f t="shared" si="10"/>
        <v>390095</v>
      </c>
      <c r="AA45" s="97">
        <f>MIN(VLOOKUP(A45,'2018-19 disagg'!$A$12:$BB$220,54,FALSE),-2.5%)</f>
        <v>-2.5000000000000001E-2</v>
      </c>
      <c r="AB45" s="99">
        <f t="shared" si="2"/>
        <v>375710.31326209888</v>
      </c>
      <c r="AC45" s="99">
        <f>MAX(IF(INDEX('Pace of change parameters'!$E$29:$I$29,1,$B$5)=1,MAX(AB45,Z45),Z45),L45)</f>
        <v>390095</v>
      </c>
      <c r="AD45" s="97">
        <f t="shared" si="3"/>
        <v>2.4220862761572093E-2</v>
      </c>
      <c r="AE45" s="146">
        <v>2.0005042658072902E-2</v>
      </c>
      <c r="AF45" s="56">
        <f t="shared" si="11"/>
        <v>390095</v>
      </c>
      <c r="AG45" s="56">
        <v>1963.674379423984</v>
      </c>
      <c r="AH45" s="16">
        <f t="shared" si="4"/>
        <v>2.4220862761572093E-2</v>
      </c>
      <c r="AI45" s="16">
        <f t="shared" si="5"/>
        <v>2.0005042658072902E-2</v>
      </c>
      <c r="AJ45" s="56"/>
      <c r="AK45" s="56">
        <v>385343.91103805014</v>
      </c>
      <c r="AL45" s="56">
        <v>1939.7581752456554</v>
      </c>
      <c r="AM45" s="16">
        <f t="shared" si="12"/>
        <v>1.232947719129962E-2</v>
      </c>
      <c r="AN45" s="58">
        <f t="shared" si="12"/>
        <v>1.2329477191299842E-2</v>
      </c>
      <c r="AP45" s="56">
        <f t="shared" si="6"/>
        <v>1</v>
      </c>
      <c r="AQ45" s="56">
        <f t="shared" si="7"/>
        <v>0</v>
      </c>
    </row>
    <row r="46" spans="1:43" x14ac:dyDescent="0.2">
      <c r="A46" s="156" t="s">
        <v>137</v>
      </c>
      <c r="B46" s="156" t="s">
        <v>138</v>
      </c>
      <c r="D46" s="68">
        <f>VLOOKUP(A46,'2018-19 disagg'!A46:AZ254,43,FALSE)</f>
        <v>537376</v>
      </c>
      <c r="E46" s="73">
        <v>1730.4712893623048</v>
      </c>
      <c r="F46" s="55"/>
      <c r="G46" s="88">
        <v>545950.5469951618</v>
      </c>
      <c r="H46" s="81">
        <v>1749.5553504542527</v>
      </c>
      <c r="I46" s="90"/>
      <c r="J46" s="103">
        <f t="shared" si="8"/>
        <v>-1.5705721044433352E-2</v>
      </c>
      <c r="K46" s="126">
        <f t="shared" si="8"/>
        <v>-1.0907949318089805E-2</v>
      </c>
      <c r="L46" s="56">
        <v>550939</v>
      </c>
      <c r="M46" s="103">
        <v>1.8506502344403541E-2</v>
      </c>
      <c r="N46" s="97">
        <f>INDEX('Pace of change parameters'!$E$22:$I$22,1,$B$5)</f>
        <v>1.356605044543624E-2</v>
      </c>
      <c r="O46" s="108">
        <f>MAX(IF(INDEX('Pace of change parameters'!$E$30:$I$30,1,$B$5)=1,(1+M46)*D46,D46),L46)</f>
        <v>550939</v>
      </c>
      <c r="P46" s="94">
        <f>IF(K46&lt;INDEX('Pace of change parameters'!$E$18:$I$18,1,$B$5),1,IF(K46&gt;INDEX('Pace of change parameters'!$E$19:$I$19,1,$B$5),0,(K46-INDEX('Pace of change parameters'!$E$19:$I$19,1,$B$5))/(INDEX('Pace of change parameters'!$E$18:$I$18,1,$B$5)-INDEX('Pace of change parameters'!$E$19:$I$19,1,$B$5))))</f>
        <v>0.39899303585329032</v>
      </c>
      <c r="Q46" s="57">
        <v>2.3592999238841061E-2</v>
      </c>
      <c r="R46" s="57">
        <v>1.8627874357243446E-2</v>
      </c>
      <c r="S46" s="9">
        <f>MAX(IF(INDEX('Pace of change parameters'!$E$31:$I$31,1,$B$5)=1,D46*(1+Q46),D46),L46)</f>
        <v>550939</v>
      </c>
      <c r="T46" s="103">
        <f>IF(Q46&lt;INDEX('Pace of change parameters'!$E$24:$I$24,1,$B$5),INDEX('Pace of change parameters'!$E$24:$I$24,1,$B$5),Q46)</f>
        <v>2.3592999238841061E-2</v>
      </c>
      <c r="U46" s="132">
        <v>1.8627874357243446E-2</v>
      </c>
      <c r="V46" s="117">
        <f t="shared" si="9"/>
        <v>550939</v>
      </c>
      <c r="W46" s="131">
        <f>IF(J46&gt;INDEX('Pace of change parameters'!$E$26:$I$26,1,$B$5),0,IF(J46&lt;INDEX('Pace of change parameters'!$E$25:$I$25,1,$B$5),1,(J46-INDEX('Pace of change parameters'!$E$26:$I$26,1,$B$5))/(INDEX('Pace of change parameters'!$E$25:$I$25,1,$B$5)-INDEX('Pace of change parameters'!$E$26:$I$26,1,$B$5))))</f>
        <v>1</v>
      </c>
      <c r="X46" s="132">
        <f>MIN(T46, T46+(INDEX('Pace of change parameters'!$E$27:$I$27,1,$B$5)-T46)*(1-W46))</f>
        <v>2.3592999238841061E-2</v>
      </c>
      <c r="Y46" s="132">
        <v>1.8627874357243446E-2</v>
      </c>
      <c r="Z46" s="108">
        <f t="shared" si="10"/>
        <v>550939</v>
      </c>
      <c r="AA46" s="97">
        <f>MIN(VLOOKUP(A46,'2018-19 disagg'!$A$12:$BB$220,54,FALSE),-2.5%)</f>
        <v>-2.5000000000000001E-2</v>
      </c>
      <c r="AB46" s="99">
        <f t="shared" si="2"/>
        <v>546259.79877651099</v>
      </c>
      <c r="AC46" s="99">
        <f>MAX(IF(INDEX('Pace of change parameters'!$E$29:$I$29,1,$B$5)=1,MAX(AB46,Z46),Z46),L46)</f>
        <v>550939</v>
      </c>
      <c r="AD46" s="97">
        <f t="shared" si="3"/>
        <v>2.5239311022449806E-2</v>
      </c>
      <c r="AE46" s="146">
        <v>2.0266200404718937E-2</v>
      </c>
      <c r="AF46" s="56">
        <f t="shared" si="11"/>
        <v>550939</v>
      </c>
      <c r="AG46" s="56">
        <v>1765.5413673071337</v>
      </c>
      <c r="AH46" s="16">
        <f t="shared" si="4"/>
        <v>2.5239311022449806E-2</v>
      </c>
      <c r="AI46" s="16">
        <f t="shared" si="5"/>
        <v>2.0266200404718937E-2</v>
      </c>
      <c r="AJ46" s="56"/>
      <c r="AK46" s="56">
        <v>560266.46028360107</v>
      </c>
      <c r="AL46" s="56">
        <v>1795.4321845892864</v>
      </c>
      <c r="AM46" s="16">
        <f t="shared" si="12"/>
        <v>-1.6648257471774452E-2</v>
      </c>
      <c r="AN46" s="58">
        <f t="shared" si="12"/>
        <v>-1.6648257471774341E-2</v>
      </c>
      <c r="AP46" s="56">
        <f t="shared" si="6"/>
        <v>1</v>
      </c>
      <c r="AQ46" s="56">
        <f t="shared" si="7"/>
        <v>0</v>
      </c>
    </row>
    <row r="47" spans="1:43" x14ac:dyDescent="0.2">
      <c r="A47" s="156" t="s">
        <v>139</v>
      </c>
      <c r="B47" s="156" t="s">
        <v>140</v>
      </c>
      <c r="D47" s="68">
        <f>VLOOKUP(A47,'2018-19 disagg'!A47:AZ255,43,FALSE)</f>
        <v>455865</v>
      </c>
      <c r="E47" s="73">
        <v>1837.7560476125191</v>
      </c>
      <c r="F47" s="55"/>
      <c r="G47" s="88">
        <v>454654.61077874224</v>
      </c>
      <c r="H47" s="81">
        <v>1822.2554851132704</v>
      </c>
      <c r="I47" s="90"/>
      <c r="J47" s="103">
        <f t="shared" si="8"/>
        <v>2.6622169720980082E-3</v>
      </c>
      <c r="K47" s="126">
        <f t="shared" si="8"/>
        <v>8.5062509762647842E-3</v>
      </c>
      <c r="L47" s="56">
        <v>467360</v>
      </c>
      <c r="M47" s="103">
        <v>1.9473637630839313E-2</v>
      </c>
      <c r="N47" s="97">
        <f>INDEX('Pace of change parameters'!$E$22:$I$22,1,$B$5)</f>
        <v>1.356605044543624E-2</v>
      </c>
      <c r="O47" s="108">
        <f>MAX(IF(INDEX('Pace of change parameters'!$E$30:$I$30,1,$B$5)=1,(1+M47)*D47,D47),L47)</f>
        <v>467360</v>
      </c>
      <c r="P47" s="94">
        <f>IF(K47&lt;INDEX('Pace of change parameters'!$E$18:$I$18,1,$B$5),1,IF(K47&gt;INDEX('Pace of change parameters'!$E$19:$I$19,1,$B$5),0,(K47-INDEX('Pace of change parameters'!$E$19:$I$19,1,$B$5))/(INDEX('Pace of change parameters'!$E$18:$I$18,1,$B$5)-INDEX('Pace of change parameters'!$E$19:$I$19,1,$B$5))))</f>
        <v>0</v>
      </c>
      <c r="Q47" s="57">
        <v>1.9473637630839313E-2</v>
      </c>
      <c r="R47" s="57">
        <v>1.356605044543624E-2</v>
      </c>
      <c r="S47" s="9">
        <f>MAX(IF(INDEX('Pace of change parameters'!$E$31:$I$31,1,$B$5)=1,D47*(1+Q47),D47),L47)</f>
        <v>467360</v>
      </c>
      <c r="T47" s="103">
        <f>IF(Q47&lt;INDEX('Pace of change parameters'!$E$24:$I$24,1,$B$5),INDEX('Pace of change parameters'!$E$24:$I$24,1,$B$5),Q47)</f>
        <v>2.0738822378003872E-2</v>
      </c>
      <c r="U47" s="132">
        <v>1.4823903772813507E-2</v>
      </c>
      <c r="V47" s="117">
        <f t="shared" si="9"/>
        <v>467360</v>
      </c>
      <c r="W47" s="131">
        <f>IF(J47&gt;INDEX('Pace of change parameters'!$E$26:$I$26,1,$B$5),0,IF(J47&lt;INDEX('Pace of change parameters'!$E$25:$I$25,1,$B$5),1,(J47-INDEX('Pace of change parameters'!$E$26:$I$26,1,$B$5))/(INDEX('Pace of change parameters'!$E$25:$I$25,1,$B$5)-INDEX('Pace of change parameters'!$E$26:$I$26,1,$B$5))))</f>
        <v>1</v>
      </c>
      <c r="X47" s="132">
        <f>MIN(T47, T47+(INDEX('Pace of change parameters'!$E$27:$I$27,1,$B$5)-T47)*(1-W47))</f>
        <v>2.0738822378003872E-2</v>
      </c>
      <c r="Y47" s="132">
        <v>1.4823903772813507E-2</v>
      </c>
      <c r="Z47" s="108">
        <f t="shared" si="10"/>
        <v>467360</v>
      </c>
      <c r="AA47" s="97">
        <f>MIN(VLOOKUP(A47,'2018-19 disagg'!$A$12:$BB$220,54,FALSE),-2.5%)</f>
        <v>-2.5000000000000001E-2</v>
      </c>
      <c r="AB47" s="99">
        <f t="shared" si="2"/>
        <v>454929.01763218158</v>
      </c>
      <c r="AC47" s="99">
        <f>MAX(IF(INDEX('Pace of change parameters'!$E$29:$I$29,1,$B$5)=1,MAX(AB47,Z47),Z47),L47)</f>
        <v>467360</v>
      </c>
      <c r="AD47" s="97">
        <f t="shared" si="3"/>
        <v>2.5215798536847522E-2</v>
      </c>
      <c r="AE47" s="146">
        <v>1.927493700777072E-2</v>
      </c>
      <c r="AF47" s="56">
        <f t="shared" si="11"/>
        <v>467360</v>
      </c>
      <c r="AG47" s="56">
        <v>1873.1786796659001</v>
      </c>
      <c r="AH47" s="16">
        <f t="shared" si="4"/>
        <v>2.5215798536847522E-2</v>
      </c>
      <c r="AI47" s="16">
        <f t="shared" si="5"/>
        <v>1.927493700777072E-2</v>
      </c>
      <c r="AJ47" s="56"/>
      <c r="AK47" s="56">
        <v>466593.86423813499</v>
      </c>
      <c r="AL47" s="56">
        <v>1870.1080078607495</v>
      </c>
      <c r="AM47" s="16">
        <f t="shared" si="12"/>
        <v>1.6419756464565172E-3</v>
      </c>
      <c r="AN47" s="58">
        <f t="shared" si="12"/>
        <v>1.6419756464565172E-3</v>
      </c>
      <c r="AP47" s="56">
        <f t="shared" si="6"/>
        <v>1</v>
      </c>
      <c r="AQ47" s="56">
        <f t="shared" si="7"/>
        <v>0</v>
      </c>
    </row>
    <row r="48" spans="1:43" x14ac:dyDescent="0.2">
      <c r="A48" s="156" t="s">
        <v>141</v>
      </c>
      <c r="B48" s="156" t="s">
        <v>142</v>
      </c>
      <c r="D48" s="68">
        <f>VLOOKUP(A48,'2018-19 disagg'!A48:AZ256,43,FALSE)</f>
        <v>408889</v>
      </c>
      <c r="E48" s="73">
        <v>1675.7192507334958</v>
      </c>
      <c r="F48" s="55"/>
      <c r="G48" s="88">
        <v>403329.0815789589</v>
      </c>
      <c r="H48" s="81">
        <v>1641.4421710400852</v>
      </c>
      <c r="I48" s="90"/>
      <c r="J48" s="103">
        <f t="shared" si="8"/>
        <v>1.3785067020892772E-2</v>
      </c>
      <c r="K48" s="126">
        <f t="shared" si="8"/>
        <v>2.0882295031869003E-2</v>
      </c>
      <c r="L48" s="56">
        <v>419437</v>
      </c>
      <c r="M48" s="103">
        <v>2.0661745182126712E-2</v>
      </c>
      <c r="N48" s="97">
        <f>INDEX('Pace of change parameters'!$E$22:$I$22,1,$B$5)</f>
        <v>1.356605044543624E-2</v>
      </c>
      <c r="O48" s="108">
        <f>MAX(IF(INDEX('Pace of change parameters'!$E$30:$I$30,1,$B$5)=1,(1+M48)*D48,D48),L48)</f>
        <v>419437</v>
      </c>
      <c r="P48" s="94">
        <f>IF(K48&lt;INDEX('Pace of change parameters'!$E$18:$I$18,1,$B$5),1,IF(K48&gt;INDEX('Pace of change parameters'!$E$19:$I$19,1,$B$5),0,(K48-INDEX('Pace of change parameters'!$E$19:$I$19,1,$B$5))/(INDEX('Pace of change parameters'!$E$18:$I$18,1,$B$5)-INDEX('Pace of change parameters'!$E$19:$I$19,1,$B$5))))</f>
        <v>0</v>
      </c>
      <c r="Q48" s="57">
        <v>2.0661745182126712E-2</v>
      </c>
      <c r="R48" s="57">
        <v>1.356605044543624E-2</v>
      </c>
      <c r="S48" s="9">
        <f>MAX(IF(INDEX('Pace of change parameters'!$E$31:$I$31,1,$B$5)=1,D48*(1+Q48),D48),L48)</f>
        <v>419437</v>
      </c>
      <c r="T48" s="103">
        <f>IF(Q48&lt;INDEX('Pace of change parameters'!$E$24:$I$24,1,$B$5),INDEX('Pace of change parameters'!$E$24:$I$24,1,$B$5),Q48)</f>
        <v>2.0738822378003872E-2</v>
      </c>
      <c r="U48" s="132">
        <v>1.3642591796548365E-2</v>
      </c>
      <c r="V48" s="117">
        <f t="shared" si="9"/>
        <v>419437</v>
      </c>
      <c r="W48" s="131">
        <f>IF(J48&gt;INDEX('Pace of change parameters'!$E$26:$I$26,1,$B$5),0,IF(J48&lt;INDEX('Pace of change parameters'!$E$25:$I$25,1,$B$5),1,(J48-INDEX('Pace of change parameters'!$E$26:$I$26,1,$B$5))/(INDEX('Pace of change parameters'!$E$25:$I$25,1,$B$5)-INDEX('Pace of change parameters'!$E$26:$I$26,1,$B$5))))</f>
        <v>1</v>
      </c>
      <c r="X48" s="132">
        <f>MIN(T48, T48+(INDEX('Pace of change parameters'!$E$27:$I$27,1,$B$5)-T48)*(1-W48))</f>
        <v>2.0738822378003872E-2</v>
      </c>
      <c r="Y48" s="132">
        <v>1.3642591796548365E-2</v>
      </c>
      <c r="Z48" s="108">
        <f t="shared" si="10"/>
        <v>419437</v>
      </c>
      <c r="AA48" s="97">
        <f>MIN(VLOOKUP(A48,'2018-19 disagg'!$A$12:$BB$220,54,FALSE),-2.5%)</f>
        <v>-2.5000000000000001E-2</v>
      </c>
      <c r="AB48" s="99">
        <f t="shared" si="2"/>
        <v>403713.00854968897</v>
      </c>
      <c r="AC48" s="99">
        <f>MAX(IF(INDEX('Pace of change parameters'!$E$29:$I$29,1,$B$5)=1,MAX(AB48,Z48),Z48),L48)</f>
        <v>419437</v>
      </c>
      <c r="AD48" s="97">
        <f t="shared" si="3"/>
        <v>2.5796732120453303E-2</v>
      </c>
      <c r="AE48" s="146">
        <v>1.8665338681461918E-2</v>
      </c>
      <c r="AF48" s="56">
        <f t="shared" si="11"/>
        <v>419437</v>
      </c>
      <c r="AG48" s="56">
        <v>1706.9971180834816</v>
      </c>
      <c r="AH48" s="16">
        <f t="shared" si="4"/>
        <v>2.5796732120453303E-2</v>
      </c>
      <c r="AI48" s="16">
        <f t="shared" si="5"/>
        <v>1.8665338681461696E-2</v>
      </c>
      <c r="AJ48" s="56"/>
      <c r="AK48" s="56">
        <v>414064.62415352714</v>
      </c>
      <c r="AL48" s="56">
        <v>1685.1329761809063</v>
      </c>
      <c r="AM48" s="16">
        <f t="shared" si="12"/>
        <v>1.2974727936383434E-2</v>
      </c>
      <c r="AN48" s="58">
        <f t="shared" si="12"/>
        <v>1.2974727936383434E-2</v>
      </c>
      <c r="AP48" s="56">
        <f t="shared" si="6"/>
        <v>1</v>
      </c>
      <c r="AQ48" s="56">
        <f t="shared" si="7"/>
        <v>0</v>
      </c>
    </row>
    <row r="49" spans="1:43" x14ac:dyDescent="0.2">
      <c r="A49" s="156" t="s">
        <v>143</v>
      </c>
      <c r="B49" s="156" t="s">
        <v>144</v>
      </c>
      <c r="D49" s="68">
        <f>VLOOKUP(A49,'2018-19 disagg'!A49:AZ257,43,FALSE)</f>
        <v>171591</v>
      </c>
      <c r="E49" s="73">
        <v>1644.7323473994338</v>
      </c>
      <c r="F49" s="55"/>
      <c r="G49" s="88">
        <v>173118.4043526153</v>
      </c>
      <c r="H49" s="81">
        <v>1656.3300458108088</v>
      </c>
      <c r="I49" s="90"/>
      <c r="J49" s="103">
        <f t="shared" si="8"/>
        <v>-8.8228883481632492E-3</v>
      </c>
      <c r="K49" s="126">
        <f t="shared" si="8"/>
        <v>-7.0020455408074112E-3</v>
      </c>
      <c r="L49" s="56">
        <v>175699</v>
      </c>
      <c r="M49" s="103">
        <v>1.5428022873005487E-2</v>
      </c>
      <c r="N49" s="97">
        <f>INDEX('Pace of change parameters'!$E$22:$I$22,1,$B$5)</f>
        <v>1.356605044543624E-2</v>
      </c>
      <c r="O49" s="108">
        <f>MAX(IF(INDEX('Pace of change parameters'!$E$30:$I$30,1,$B$5)=1,(1+M49)*D49,D49),L49)</f>
        <v>175699</v>
      </c>
      <c r="P49" s="94">
        <f>IF(K49&lt;INDEX('Pace of change parameters'!$E$18:$I$18,1,$B$5),1,IF(K49&gt;INDEX('Pace of change parameters'!$E$19:$I$19,1,$B$5),0,(K49-INDEX('Pace of change parameters'!$E$19:$I$19,1,$B$5))/(INDEX('Pace of change parameters'!$E$18:$I$18,1,$B$5)-INDEX('Pace of change parameters'!$E$19:$I$19,1,$B$5))))</f>
        <v>0.27603739266206934</v>
      </c>
      <c r="Q49" s="57">
        <v>1.8936403654697731E-2</v>
      </c>
      <c r="R49" s="57">
        <v>1.7067997971266013E-2</v>
      </c>
      <c r="S49" s="9">
        <f>MAX(IF(INDEX('Pace of change parameters'!$E$31:$I$31,1,$B$5)=1,D49*(1+Q49),D49),L49)</f>
        <v>175699</v>
      </c>
      <c r="T49" s="103">
        <f>IF(Q49&lt;INDEX('Pace of change parameters'!$E$24:$I$24,1,$B$5),INDEX('Pace of change parameters'!$E$24:$I$24,1,$B$5),Q49)</f>
        <v>2.0738822378003872E-2</v>
      </c>
      <c r="U49" s="132">
        <v>1.8867111631199807E-2</v>
      </c>
      <c r="V49" s="117">
        <f t="shared" si="9"/>
        <v>175699</v>
      </c>
      <c r="W49" s="131">
        <f>IF(J49&gt;INDEX('Pace of change parameters'!$E$26:$I$26,1,$B$5),0,IF(J49&lt;INDEX('Pace of change parameters'!$E$25:$I$25,1,$B$5),1,(J49-INDEX('Pace of change parameters'!$E$26:$I$26,1,$B$5))/(INDEX('Pace of change parameters'!$E$25:$I$25,1,$B$5)-INDEX('Pace of change parameters'!$E$26:$I$26,1,$B$5))))</f>
        <v>1</v>
      </c>
      <c r="X49" s="132">
        <f>MIN(T49, T49+(INDEX('Pace of change parameters'!$E$27:$I$27,1,$B$5)-T49)*(1-W49))</f>
        <v>2.0738822378003872E-2</v>
      </c>
      <c r="Y49" s="132">
        <v>1.8867111631199807E-2</v>
      </c>
      <c r="Z49" s="108">
        <f t="shared" si="10"/>
        <v>175699</v>
      </c>
      <c r="AA49" s="97">
        <f>MIN(VLOOKUP(A49,'2018-19 disagg'!$A$12:$BB$220,54,FALSE),-2.5%)</f>
        <v>-2.5000000000000001E-2</v>
      </c>
      <c r="AB49" s="99">
        <f t="shared" si="2"/>
        <v>173177.99864008266</v>
      </c>
      <c r="AC49" s="99">
        <f>MAX(IF(INDEX('Pace of change parameters'!$E$29:$I$29,1,$B$5)=1,MAX(AB49,Z49),Z49),L49)</f>
        <v>175699</v>
      </c>
      <c r="AD49" s="97">
        <f t="shared" si="3"/>
        <v>2.3940649567867789E-2</v>
      </c>
      <c r="AE49" s="146">
        <v>2.2063067687107418E-2</v>
      </c>
      <c r="AF49" s="56">
        <f t="shared" si="11"/>
        <v>175699</v>
      </c>
      <c r="AG49" s="56">
        <v>1681.0201885072822</v>
      </c>
      <c r="AH49" s="16">
        <f t="shared" si="4"/>
        <v>2.3940649567867789E-2</v>
      </c>
      <c r="AI49" s="16">
        <f t="shared" si="5"/>
        <v>2.2063067687107196E-2</v>
      </c>
      <c r="AJ49" s="56"/>
      <c r="AK49" s="56">
        <v>177618.46014367451</v>
      </c>
      <c r="AL49" s="56">
        <v>1699.3848419916617</v>
      </c>
      <c r="AM49" s="16">
        <f t="shared" si="12"/>
        <v>-1.0806647811955283E-2</v>
      </c>
      <c r="AN49" s="58">
        <f t="shared" si="12"/>
        <v>-1.0806647811955505E-2</v>
      </c>
      <c r="AP49" s="56">
        <f t="shared" si="6"/>
        <v>1</v>
      </c>
      <c r="AQ49" s="56">
        <f t="shared" si="7"/>
        <v>0</v>
      </c>
    </row>
    <row r="50" spans="1:43" x14ac:dyDescent="0.2">
      <c r="A50" s="156" t="s">
        <v>145</v>
      </c>
      <c r="B50" s="156" t="s">
        <v>146</v>
      </c>
      <c r="D50" s="68">
        <f>VLOOKUP(A50,'2018-19 disagg'!A50:AZ258,43,FALSE)</f>
        <v>362082</v>
      </c>
      <c r="E50" s="73">
        <v>1650.803452002561</v>
      </c>
      <c r="F50" s="55"/>
      <c r="G50" s="88">
        <v>368935.47250773391</v>
      </c>
      <c r="H50" s="81">
        <v>1669.8427380895541</v>
      </c>
      <c r="I50" s="90"/>
      <c r="J50" s="103">
        <f t="shared" si="8"/>
        <v>-1.8576344695589664E-2</v>
      </c>
      <c r="K50" s="126">
        <f t="shared" si="8"/>
        <v>-1.1401843810019963E-2</v>
      </c>
      <c r="L50" s="56">
        <v>371320</v>
      </c>
      <c r="M50" s="103">
        <v>2.0975521867081071E-2</v>
      </c>
      <c r="N50" s="97">
        <f>INDEX('Pace of change parameters'!$E$22:$I$22,1,$B$5)</f>
        <v>1.356605044543624E-2</v>
      </c>
      <c r="O50" s="108">
        <f>MAX(IF(INDEX('Pace of change parameters'!$E$30:$I$30,1,$B$5)=1,(1+M50)*D50,D50),L50)</f>
        <v>371320</v>
      </c>
      <c r="P50" s="94">
        <f>IF(K50&lt;INDEX('Pace of change parameters'!$E$18:$I$18,1,$B$5),1,IF(K50&gt;INDEX('Pace of change parameters'!$E$19:$I$19,1,$B$5),0,(K50-INDEX('Pace of change parameters'!$E$19:$I$19,1,$B$5))/(INDEX('Pace of change parameters'!$E$18:$I$18,1,$B$5)-INDEX('Pace of change parameters'!$E$19:$I$19,1,$B$5))))</f>
        <v>0.41454055529733713</v>
      </c>
      <c r="Q50" s="57">
        <v>2.6273034694535902E-2</v>
      </c>
      <c r="R50" s="57">
        <v>1.8825117914446965E-2</v>
      </c>
      <c r="S50" s="9">
        <f>MAX(IF(INDEX('Pace of change parameters'!$E$31:$I$31,1,$B$5)=1,D50*(1+Q50),D50),L50)</f>
        <v>371594.99294826697</v>
      </c>
      <c r="T50" s="103">
        <f>IF(Q50&lt;INDEX('Pace of change parameters'!$E$24:$I$24,1,$B$5),INDEX('Pace of change parameters'!$E$24:$I$24,1,$B$5),Q50)</f>
        <v>2.6273034694535902E-2</v>
      </c>
      <c r="U50" s="132">
        <v>1.8825117914446965E-2</v>
      </c>
      <c r="V50" s="117">
        <f t="shared" si="9"/>
        <v>371594.99294826697</v>
      </c>
      <c r="W50" s="131">
        <f>IF(J50&gt;INDEX('Pace of change parameters'!$E$26:$I$26,1,$B$5),0,IF(J50&lt;INDEX('Pace of change parameters'!$E$25:$I$25,1,$B$5),1,(J50-INDEX('Pace of change parameters'!$E$26:$I$26,1,$B$5))/(INDEX('Pace of change parameters'!$E$25:$I$25,1,$B$5)-INDEX('Pace of change parameters'!$E$26:$I$26,1,$B$5))))</f>
        <v>1</v>
      </c>
      <c r="X50" s="132">
        <f>MIN(T50, T50+(INDEX('Pace of change parameters'!$E$27:$I$27,1,$B$5)-T50)*(1-W50))</f>
        <v>2.6273034694535902E-2</v>
      </c>
      <c r="Y50" s="132">
        <v>1.8825117914446965E-2</v>
      </c>
      <c r="Z50" s="108">
        <f t="shared" si="10"/>
        <v>371594.99294826697</v>
      </c>
      <c r="AA50" s="97">
        <f>MIN(VLOOKUP(A50,'2018-19 disagg'!$A$12:$BB$220,54,FALSE),-2.5%)</f>
        <v>-2.5000000000000001E-2</v>
      </c>
      <c r="AB50" s="99">
        <f t="shared" si="2"/>
        <v>369187.68071504147</v>
      </c>
      <c r="AC50" s="99">
        <f>MAX(IF(INDEX('Pace of change parameters'!$E$29:$I$29,1,$B$5)=1,MAX(AB50,Z50),Z50),L50)</f>
        <v>371594.99294826697</v>
      </c>
      <c r="AD50" s="97">
        <f t="shared" si="3"/>
        <v>2.6273034694535902E-2</v>
      </c>
      <c r="AE50" s="146">
        <v>1.8825117914446965E-2</v>
      </c>
      <c r="AF50" s="56">
        <f t="shared" si="11"/>
        <v>371594.99294826697</v>
      </c>
      <c r="AG50" s="56">
        <v>1681.8800216400857</v>
      </c>
      <c r="AH50" s="16">
        <f t="shared" si="4"/>
        <v>2.6273034694535902E-2</v>
      </c>
      <c r="AI50" s="16">
        <f t="shared" si="5"/>
        <v>1.8825117914447187E-2</v>
      </c>
      <c r="AJ50" s="56"/>
      <c r="AK50" s="56">
        <v>378654.03150260664</v>
      </c>
      <c r="AL50" s="56">
        <v>1713.8300105845917</v>
      </c>
      <c r="AM50" s="16">
        <f t="shared" si="12"/>
        <v>-1.8642449220274804E-2</v>
      </c>
      <c r="AN50" s="58">
        <f t="shared" si="12"/>
        <v>-1.8642449220274693E-2</v>
      </c>
      <c r="AP50" s="56">
        <f t="shared" si="6"/>
        <v>0</v>
      </c>
      <c r="AQ50" s="56">
        <f t="shared" si="7"/>
        <v>0</v>
      </c>
    </row>
    <row r="51" spans="1:43" x14ac:dyDescent="0.2">
      <c r="A51" s="156" t="s">
        <v>147</v>
      </c>
      <c r="B51" s="156" t="s">
        <v>148</v>
      </c>
      <c r="D51" s="68">
        <f>VLOOKUP(A51,'2018-19 disagg'!A51:AZ259,43,FALSE)</f>
        <v>441916</v>
      </c>
      <c r="E51" s="73">
        <v>1690.0697369874208</v>
      </c>
      <c r="F51" s="55"/>
      <c r="G51" s="88">
        <v>441954.00099893915</v>
      </c>
      <c r="H51" s="81">
        <v>1685.6108687935844</v>
      </c>
      <c r="I51" s="90"/>
      <c r="J51" s="103">
        <f t="shared" si="8"/>
        <v>-8.5984059094990073E-5</v>
      </c>
      <c r="K51" s="126">
        <f t="shared" si="8"/>
        <v>2.6452535851455572E-3</v>
      </c>
      <c r="L51" s="56">
        <v>452478</v>
      </c>
      <c r="M51" s="103">
        <v>1.6334578246595122E-2</v>
      </c>
      <c r="N51" s="97">
        <f>INDEX('Pace of change parameters'!$E$22:$I$22,1,$B$5)</f>
        <v>1.356605044543624E-2</v>
      </c>
      <c r="O51" s="108">
        <f>MAX(IF(INDEX('Pace of change parameters'!$E$30:$I$30,1,$B$5)=1,(1+M51)*D51,D51),L51)</f>
        <v>452478</v>
      </c>
      <c r="P51" s="94">
        <f>IF(K51&lt;INDEX('Pace of change parameters'!$E$18:$I$18,1,$B$5),1,IF(K51&gt;INDEX('Pace of change parameters'!$E$19:$I$19,1,$B$5),0,(K51-INDEX('Pace of change parameters'!$E$19:$I$19,1,$B$5))/(INDEX('Pace of change parameters'!$E$18:$I$18,1,$B$5)-INDEX('Pace of change parameters'!$E$19:$I$19,1,$B$5))))</f>
        <v>0</v>
      </c>
      <c r="Q51" s="57">
        <v>1.6334578246595122E-2</v>
      </c>
      <c r="R51" s="57">
        <v>1.356605044543624E-2</v>
      </c>
      <c r="S51" s="9">
        <f>MAX(IF(INDEX('Pace of change parameters'!$E$31:$I$31,1,$B$5)=1,D51*(1+Q51),D51),L51)</f>
        <v>452478</v>
      </c>
      <c r="T51" s="103">
        <f>IF(Q51&lt;INDEX('Pace of change parameters'!$E$24:$I$24,1,$B$5),INDEX('Pace of change parameters'!$E$24:$I$24,1,$B$5),Q51)</f>
        <v>2.0738822378003872E-2</v>
      </c>
      <c r="U51" s="132">
        <v>1.7958297275383561E-2</v>
      </c>
      <c r="V51" s="117">
        <f t="shared" si="9"/>
        <v>452478</v>
      </c>
      <c r="W51" s="131">
        <f>IF(J51&gt;INDEX('Pace of change parameters'!$E$26:$I$26,1,$B$5),0,IF(J51&lt;INDEX('Pace of change parameters'!$E$25:$I$25,1,$B$5),1,(J51-INDEX('Pace of change parameters'!$E$26:$I$26,1,$B$5))/(INDEX('Pace of change parameters'!$E$25:$I$25,1,$B$5)-INDEX('Pace of change parameters'!$E$26:$I$26,1,$B$5))))</f>
        <v>1</v>
      </c>
      <c r="X51" s="132">
        <f>MIN(T51, T51+(INDEX('Pace of change parameters'!$E$27:$I$27,1,$B$5)-T51)*(1-W51))</f>
        <v>2.0738822378003872E-2</v>
      </c>
      <c r="Y51" s="132">
        <v>1.7958297275383561E-2</v>
      </c>
      <c r="Z51" s="108">
        <f t="shared" si="10"/>
        <v>452478</v>
      </c>
      <c r="AA51" s="97">
        <f>MIN(VLOOKUP(A51,'2018-19 disagg'!$A$12:$BB$220,54,FALSE),-2.5%)</f>
        <v>-2.5000000000000001E-2</v>
      </c>
      <c r="AB51" s="99">
        <f t="shared" si="2"/>
        <v>442129.40222321061</v>
      </c>
      <c r="AC51" s="99">
        <f>MAX(IF(INDEX('Pace of change parameters'!$E$29:$I$29,1,$B$5)=1,MAX(AB51,Z51),Z51),L51)</f>
        <v>452478</v>
      </c>
      <c r="AD51" s="97">
        <f t="shared" si="3"/>
        <v>2.3900469772536015E-2</v>
      </c>
      <c r="AE51" s="146">
        <v>2.1111332241591008E-2</v>
      </c>
      <c r="AF51" s="56">
        <f t="shared" si="11"/>
        <v>452478</v>
      </c>
      <c r="AG51" s="56">
        <v>1725.7493607164204</v>
      </c>
      <c r="AH51" s="16">
        <f t="shared" si="4"/>
        <v>2.3900469772536015E-2</v>
      </c>
      <c r="AI51" s="16">
        <f t="shared" si="5"/>
        <v>2.1111332241590786E-2</v>
      </c>
      <c r="AJ51" s="56"/>
      <c r="AK51" s="56">
        <v>453466.05356226728</v>
      </c>
      <c r="AL51" s="56">
        <v>1729.5177932223905</v>
      </c>
      <c r="AM51" s="16">
        <f t="shared" si="12"/>
        <v>-2.1788920129863776E-3</v>
      </c>
      <c r="AN51" s="58">
        <f t="shared" si="12"/>
        <v>-2.1788920129863776E-3</v>
      </c>
      <c r="AP51" s="56">
        <f t="shared" si="6"/>
        <v>1</v>
      </c>
      <c r="AQ51" s="56">
        <f t="shared" si="7"/>
        <v>0</v>
      </c>
    </row>
    <row r="52" spans="1:43" x14ac:dyDescent="0.2">
      <c r="A52" s="156" t="s">
        <v>149</v>
      </c>
      <c r="B52" s="156" t="s">
        <v>150</v>
      </c>
      <c r="D52" s="68">
        <f>VLOOKUP(A52,'2018-19 disagg'!A52:AZ260,43,FALSE)</f>
        <v>194626</v>
      </c>
      <c r="E52" s="73">
        <v>1735.6750726555617</v>
      </c>
      <c r="F52" s="55"/>
      <c r="G52" s="88">
        <v>190441.88604629881</v>
      </c>
      <c r="H52" s="81">
        <v>1697.5415979243978</v>
      </c>
      <c r="I52" s="90"/>
      <c r="J52" s="103">
        <f t="shared" si="8"/>
        <v>2.1970555115611301E-2</v>
      </c>
      <c r="K52" s="126">
        <f t="shared" si="8"/>
        <v>2.2463941253510367E-2</v>
      </c>
      <c r="L52" s="56">
        <v>199236</v>
      </c>
      <c r="M52" s="103">
        <v>1.4055379063204532E-2</v>
      </c>
      <c r="N52" s="97">
        <f>INDEX('Pace of change parameters'!$E$22:$I$22,1,$B$5)</f>
        <v>1.356605044543624E-2</v>
      </c>
      <c r="O52" s="108">
        <f>MAX(IF(INDEX('Pace of change parameters'!$E$30:$I$30,1,$B$5)=1,(1+M52)*D52,D52),L52)</f>
        <v>199236</v>
      </c>
      <c r="P52" s="94">
        <f>IF(K52&lt;INDEX('Pace of change parameters'!$E$18:$I$18,1,$B$5),1,IF(K52&gt;INDEX('Pace of change parameters'!$E$19:$I$19,1,$B$5),0,(K52-INDEX('Pace of change parameters'!$E$19:$I$19,1,$B$5))/(INDEX('Pace of change parameters'!$E$18:$I$18,1,$B$5)-INDEX('Pace of change parameters'!$E$19:$I$19,1,$B$5))))</f>
        <v>0</v>
      </c>
      <c r="Q52" s="57">
        <v>1.4055379063204532E-2</v>
      </c>
      <c r="R52" s="57">
        <v>1.356605044543624E-2</v>
      </c>
      <c r="S52" s="9">
        <f>MAX(IF(INDEX('Pace of change parameters'!$E$31:$I$31,1,$B$5)=1,D52*(1+Q52),D52),L52)</f>
        <v>199236</v>
      </c>
      <c r="T52" s="103">
        <f>IF(Q52&lt;INDEX('Pace of change parameters'!$E$24:$I$24,1,$B$5),INDEX('Pace of change parameters'!$E$24:$I$24,1,$B$5),Q52)</f>
        <v>2.0738822378003872E-2</v>
      </c>
      <c r="U52" s="132">
        <v>2.0246268689744662E-2</v>
      </c>
      <c r="V52" s="117">
        <f t="shared" si="9"/>
        <v>199236</v>
      </c>
      <c r="W52" s="131">
        <f>IF(J52&gt;INDEX('Pace of change parameters'!$E$26:$I$26,1,$B$5),0,IF(J52&lt;INDEX('Pace of change parameters'!$E$25:$I$25,1,$B$5),1,(J52-INDEX('Pace of change parameters'!$E$26:$I$26,1,$B$5))/(INDEX('Pace of change parameters'!$E$25:$I$25,1,$B$5)-INDEX('Pace of change parameters'!$E$26:$I$26,1,$B$5))))</f>
        <v>1</v>
      </c>
      <c r="X52" s="132">
        <f>MIN(T52, T52+(INDEX('Pace of change parameters'!$E$27:$I$27,1,$B$5)-T52)*(1-W52))</f>
        <v>2.0738822378003872E-2</v>
      </c>
      <c r="Y52" s="132">
        <v>2.0246268689744662E-2</v>
      </c>
      <c r="Z52" s="108">
        <f t="shared" si="10"/>
        <v>199236</v>
      </c>
      <c r="AA52" s="97">
        <f>MIN(VLOOKUP(A52,'2018-19 disagg'!$A$12:$BB$220,54,FALSE),-2.5%)</f>
        <v>-2.5000000000000001E-2</v>
      </c>
      <c r="AB52" s="99">
        <f t="shared" si="2"/>
        <v>190555.81997674823</v>
      </c>
      <c r="AC52" s="99">
        <f>MAX(IF(INDEX('Pace of change parameters'!$E$29:$I$29,1,$B$5)=1,MAX(AB52,Z52),Z52),L52)</f>
        <v>199236</v>
      </c>
      <c r="AD52" s="97">
        <f t="shared" si="3"/>
        <v>2.3686455047116084E-2</v>
      </c>
      <c r="AE52" s="146">
        <v>2.3192478989773724E-2</v>
      </c>
      <c r="AF52" s="56">
        <f t="shared" si="11"/>
        <v>199236</v>
      </c>
      <c r="AG52" s="56">
        <v>1775.9296803111995</v>
      </c>
      <c r="AH52" s="16">
        <f t="shared" si="4"/>
        <v>2.3686455047116084E-2</v>
      </c>
      <c r="AI52" s="16">
        <f t="shared" si="5"/>
        <v>2.3192478989773502E-2</v>
      </c>
      <c r="AJ52" s="56"/>
      <c r="AK52" s="56">
        <v>195441.8666428187</v>
      </c>
      <c r="AL52" s="56">
        <v>1742.1099186211582</v>
      </c>
      <c r="AM52" s="16">
        <f t="shared" si="12"/>
        <v>1.9413104379090385E-2</v>
      </c>
      <c r="AN52" s="58">
        <f t="shared" si="12"/>
        <v>1.9413104379090385E-2</v>
      </c>
      <c r="AP52" s="56">
        <f t="shared" si="6"/>
        <v>1</v>
      </c>
      <c r="AQ52" s="56">
        <f t="shared" si="7"/>
        <v>0</v>
      </c>
    </row>
    <row r="53" spans="1:43" x14ac:dyDescent="0.2">
      <c r="A53" s="156" t="s">
        <v>151</v>
      </c>
      <c r="B53" s="156" t="s">
        <v>152</v>
      </c>
      <c r="D53" s="68">
        <f>VLOOKUP(A53,'2018-19 disagg'!A53:AZ261,43,FALSE)</f>
        <v>602046</v>
      </c>
      <c r="E53" s="73">
        <v>1830.1495564003537</v>
      </c>
      <c r="F53" s="55"/>
      <c r="G53" s="88">
        <v>599312.13813560142</v>
      </c>
      <c r="H53" s="81">
        <v>1811.7436857608047</v>
      </c>
      <c r="I53" s="90"/>
      <c r="J53" s="103">
        <f t="shared" si="8"/>
        <v>4.5616661009124648E-3</v>
      </c>
      <c r="K53" s="126">
        <f t="shared" si="8"/>
        <v>1.0159202311125881E-2</v>
      </c>
      <c r="L53" s="56">
        <v>616886</v>
      </c>
      <c r="M53" s="103">
        <v>1.9213760148347969E-2</v>
      </c>
      <c r="N53" s="97">
        <f>INDEX('Pace of change parameters'!$E$22:$I$22,1,$B$5)</f>
        <v>1.356605044543624E-2</v>
      </c>
      <c r="O53" s="108">
        <f>MAX(IF(INDEX('Pace of change parameters'!$E$30:$I$30,1,$B$5)=1,(1+M53)*D53,D53),L53)</f>
        <v>616886</v>
      </c>
      <c r="P53" s="94">
        <f>IF(K53&lt;INDEX('Pace of change parameters'!$E$18:$I$18,1,$B$5),1,IF(K53&gt;INDEX('Pace of change parameters'!$E$19:$I$19,1,$B$5),0,(K53-INDEX('Pace of change parameters'!$E$19:$I$19,1,$B$5))/(INDEX('Pace of change parameters'!$E$18:$I$18,1,$B$5)-INDEX('Pace of change parameters'!$E$19:$I$19,1,$B$5))))</f>
        <v>0</v>
      </c>
      <c r="Q53" s="57">
        <v>1.9213760148347969E-2</v>
      </c>
      <c r="R53" s="57">
        <v>1.356605044543624E-2</v>
      </c>
      <c r="S53" s="9">
        <f>MAX(IF(INDEX('Pace of change parameters'!$E$31:$I$31,1,$B$5)=1,D53*(1+Q53),D53),L53)</f>
        <v>616886</v>
      </c>
      <c r="T53" s="103">
        <f>IF(Q53&lt;INDEX('Pace of change parameters'!$E$24:$I$24,1,$B$5),INDEX('Pace of change parameters'!$E$24:$I$24,1,$B$5),Q53)</f>
        <v>2.0738822378003872E-2</v>
      </c>
      <c r="U53" s="132">
        <v>1.5082661936798747E-2</v>
      </c>
      <c r="V53" s="117">
        <f t="shared" si="9"/>
        <v>616886</v>
      </c>
      <c r="W53" s="131">
        <f>IF(J53&gt;INDEX('Pace of change parameters'!$E$26:$I$26,1,$B$5),0,IF(J53&lt;INDEX('Pace of change parameters'!$E$25:$I$25,1,$B$5),1,(J53-INDEX('Pace of change parameters'!$E$26:$I$26,1,$B$5))/(INDEX('Pace of change parameters'!$E$25:$I$25,1,$B$5)-INDEX('Pace of change parameters'!$E$26:$I$26,1,$B$5))))</f>
        <v>1</v>
      </c>
      <c r="X53" s="132">
        <f>MIN(T53, T53+(INDEX('Pace of change parameters'!$E$27:$I$27,1,$B$5)-T53)*(1-W53))</f>
        <v>2.0738822378003872E-2</v>
      </c>
      <c r="Y53" s="132">
        <v>1.5082661936798747E-2</v>
      </c>
      <c r="Z53" s="108">
        <f t="shared" si="10"/>
        <v>616886</v>
      </c>
      <c r="AA53" s="97">
        <f>MIN(VLOOKUP(A53,'2018-19 disagg'!$A$12:$BB$220,54,FALSE),-2.5%)</f>
        <v>-2.5000000000000001E-2</v>
      </c>
      <c r="AB53" s="99">
        <f t="shared" si="2"/>
        <v>599733.5057353439</v>
      </c>
      <c r="AC53" s="99">
        <f>MAX(IF(INDEX('Pace of change parameters'!$E$29:$I$29,1,$B$5)=1,MAX(AB53,Z53),Z53),L53)</f>
        <v>616886</v>
      </c>
      <c r="AD53" s="97">
        <f t="shared" si="3"/>
        <v>2.4649279290951176E-2</v>
      </c>
      <c r="AE53" s="146">
        <v>1.8971450063164141E-2</v>
      </c>
      <c r="AF53" s="56">
        <f t="shared" si="11"/>
        <v>616886</v>
      </c>
      <c r="AG53" s="56">
        <v>1864.870147317725</v>
      </c>
      <c r="AH53" s="16">
        <f t="shared" si="4"/>
        <v>2.4649279290951176E-2</v>
      </c>
      <c r="AI53" s="16">
        <f t="shared" si="5"/>
        <v>1.8971450063164141E-2</v>
      </c>
      <c r="AJ53" s="56"/>
      <c r="AK53" s="56">
        <v>615111.28793368605</v>
      </c>
      <c r="AL53" s="56">
        <v>1859.5051243595876</v>
      </c>
      <c r="AM53" s="16">
        <f t="shared" si="12"/>
        <v>2.8851885847773762E-3</v>
      </c>
      <c r="AN53" s="58">
        <f t="shared" si="12"/>
        <v>2.8851885847773762E-3</v>
      </c>
      <c r="AP53" s="56">
        <f t="shared" si="6"/>
        <v>1</v>
      </c>
      <c r="AQ53" s="56">
        <f t="shared" si="7"/>
        <v>0</v>
      </c>
    </row>
    <row r="54" spans="1:43" x14ac:dyDescent="0.2">
      <c r="A54" s="156" t="s">
        <v>153</v>
      </c>
      <c r="B54" s="156" t="s">
        <v>154</v>
      </c>
      <c r="D54" s="68">
        <f>VLOOKUP(A54,'2018-19 disagg'!A54:AZ262,43,FALSE)</f>
        <v>647256</v>
      </c>
      <c r="E54" s="73">
        <v>1924.1887381194226</v>
      </c>
      <c r="F54" s="55"/>
      <c r="G54" s="88">
        <v>646243.74441928219</v>
      </c>
      <c r="H54" s="81">
        <v>1917.3230684401276</v>
      </c>
      <c r="I54" s="90"/>
      <c r="J54" s="103">
        <f t="shared" si="8"/>
        <v>1.5663680916979672E-3</v>
      </c>
      <c r="K54" s="126">
        <f t="shared" si="8"/>
        <v>3.5808621886976866E-3</v>
      </c>
      <c r="L54" s="56">
        <v>662702</v>
      </c>
      <c r="M54" s="103">
        <v>1.5604680026650941E-2</v>
      </c>
      <c r="N54" s="97">
        <f>INDEX('Pace of change parameters'!$E$22:$I$22,1,$B$5)</f>
        <v>1.356605044543624E-2</v>
      </c>
      <c r="O54" s="108">
        <f>MAX(IF(INDEX('Pace of change parameters'!$E$30:$I$30,1,$B$5)=1,(1+M54)*D54,D54),L54)</f>
        <v>662702</v>
      </c>
      <c r="P54" s="94">
        <f>IF(K54&lt;INDEX('Pace of change parameters'!$E$18:$I$18,1,$B$5),1,IF(K54&gt;INDEX('Pace of change parameters'!$E$19:$I$19,1,$B$5),0,(K54-INDEX('Pace of change parameters'!$E$19:$I$19,1,$B$5))/(INDEX('Pace of change parameters'!$E$18:$I$18,1,$B$5)-INDEX('Pace of change parameters'!$E$19:$I$19,1,$B$5))))</f>
        <v>0</v>
      </c>
      <c r="Q54" s="57">
        <v>1.5604680026650941E-2</v>
      </c>
      <c r="R54" s="57">
        <v>1.356605044543624E-2</v>
      </c>
      <c r="S54" s="9">
        <f>MAX(IF(INDEX('Pace of change parameters'!$E$31:$I$31,1,$B$5)=1,D54*(1+Q54),D54),L54)</f>
        <v>662702</v>
      </c>
      <c r="T54" s="103">
        <f>IF(Q54&lt;INDEX('Pace of change parameters'!$E$24:$I$24,1,$B$5),INDEX('Pace of change parameters'!$E$24:$I$24,1,$B$5),Q54)</f>
        <v>2.0738822378003872E-2</v>
      </c>
      <c r="U54" s="132">
        <v>1.8689887000963745E-2</v>
      </c>
      <c r="V54" s="117">
        <f t="shared" si="9"/>
        <v>662702</v>
      </c>
      <c r="W54" s="131">
        <f>IF(J54&gt;INDEX('Pace of change parameters'!$E$26:$I$26,1,$B$5),0,IF(J54&lt;INDEX('Pace of change parameters'!$E$25:$I$25,1,$B$5),1,(J54-INDEX('Pace of change parameters'!$E$26:$I$26,1,$B$5))/(INDEX('Pace of change parameters'!$E$25:$I$25,1,$B$5)-INDEX('Pace of change parameters'!$E$26:$I$26,1,$B$5))))</f>
        <v>1</v>
      </c>
      <c r="X54" s="132">
        <f>MIN(T54, T54+(INDEX('Pace of change parameters'!$E$27:$I$27,1,$B$5)-T54)*(1-W54))</f>
        <v>2.0738822378003872E-2</v>
      </c>
      <c r="Y54" s="132">
        <v>1.8689887000963745E-2</v>
      </c>
      <c r="Z54" s="108">
        <f t="shared" si="10"/>
        <v>662702</v>
      </c>
      <c r="AA54" s="97">
        <f>MIN(VLOOKUP(A54,'2018-19 disagg'!$A$12:$BB$220,54,FALSE),-2.5%)</f>
        <v>-2.5000000000000001E-2</v>
      </c>
      <c r="AB54" s="99">
        <f t="shared" si="2"/>
        <v>646425.53628263134</v>
      </c>
      <c r="AC54" s="99">
        <f>MAX(IF(INDEX('Pace of change parameters'!$E$29:$I$29,1,$B$5)=1,MAX(AB54,Z54),Z54),L54)</f>
        <v>662702</v>
      </c>
      <c r="AD54" s="97">
        <f t="shared" si="3"/>
        <v>2.3863818952624571E-2</v>
      </c>
      <c r="AE54" s="146">
        <v>2.1808610750553736E-2</v>
      </c>
      <c r="AF54" s="56">
        <f t="shared" si="11"/>
        <v>662702</v>
      </c>
      <c r="AG54" s="56">
        <v>1966.1526213196682</v>
      </c>
      <c r="AH54" s="16">
        <f t="shared" si="4"/>
        <v>2.3863818952624571E-2</v>
      </c>
      <c r="AI54" s="16">
        <f t="shared" si="5"/>
        <v>2.1808610750553736E-2</v>
      </c>
      <c r="AJ54" s="56"/>
      <c r="AK54" s="56">
        <v>663000.55003346805</v>
      </c>
      <c r="AL54" s="56">
        <v>1967.0383813308017</v>
      </c>
      <c r="AM54" s="16">
        <f t="shared" si="12"/>
        <v>-4.5030133602907974E-4</v>
      </c>
      <c r="AN54" s="58">
        <f t="shared" si="12"/>
        <v>-4.5030133602896871E-4</v>
      </c>
      <c r="AP54" s="56">
        <f t="shared" si="6"/>
        <v>1</v>
      </c>
      <c r="AQ54" s="56">
        <f t="shared" si="7"/>
        <v>0</v>
      </c>
    </row>
    <row r="55" spans="1:43" x14ac:dyDescent="0.2">
      <c r="A55" s="156" t="s">
        <v>155</v>
      </c>
      <c r="B55" s="156" t="s">
        <v>156</v>
      </c>
      <c r="D55" s="68">
        <f>VLOOKUP(A55,'2018-19 disagg'!A55:AZ263,43,FALSE)</f>
        <v>265263</v>
      </c>
      <c r="E55" s="73">
        <v>1649.2431763533707</v>
      </c>
      <c r="F55" s="55"/>
      <c r="G55" s="88">
        <v>269312.04406509845</v>
      </c>
      <c r="H55" s="81">
        <v>1664.9497323265828</v>
      </c>
      <c r="I55" s="90"/>
      <c r="J55" s="103">
        <f t="shared" si="8"/>
        <v>-1.5034767862516119E-2</v>
      </c>
      <c r="K55" s="126">
        <f t="shared" si="8"/>
        <v>-9.4336517603230696E-3</v>
      </c>
      <c r="L55" s="56">
        <v>271803</v>
      </c>
      <c r="M55" s="103">
        <v>1.9329808333079068E-2</v>
      </c>
      <c r="N55" s="97">
        <f>INDEX('Pace of change parameters'!$E$22:$I$22,1,$B$5)</f>
        <v>1.356605044543624E-2</v>
      </c>
      <c r="O55" s="108">
        <f>MAX(IF(INDEX('Pace of change parameters'!$E$30:$I$30,1,$B$5)=1,(1+M55)*D55,D55),L55)</f>
        <v>271803</v>
      </c>
      <c r="P55" s="94">
        <f>IF(K55&lt;INDEX('Pace of change parameters'!$E$18:$I$18,1,$B$5),1,IF(K55&gt;INDEX('Pace of change parameters'!$E$19:$I$19,1,$B$5),0,(K55-INDEX('Pace of change parameters'!$E$19:$I$19,1,$B$5))/(INDEX('Pace of change parameters'!$E$18:$I$18,1,$B$5)-INDEX('Pace of change parameters'!$E$19:$I$19,1,$B$5))))</f>
        <v>0.35258298204582572</v>
      </c>
      <c r="Q55" s="57">
        <v>2.3828287705196294E-2</v>
      </c>
      <c r="R55" s="57">
        <v>1.8039093353563684E-2</v>
      </c>
      <c r="S55" s="9">
        <f>MAX(IF(INDEX('Pace of change parameters'!$E$31:$I$31,1,$B$5)=1,D55*(1+Q55),D55),L55)</f>
        <v>271803</v>
      </c>
      <c r="T55" s="103">
        <f>IF(Q55&lt;INDEX('Pace of change parameters'!$E$24:$I$24,1,$B$5),INDEX('Pace of change parameters'!$E$24:$I$24,1,$B$5),Q55)</f>
        <v>2.3828287705196294E-2</v>
      </c>
      <c r="U55" s="132">
        <v>1.8039093353563684E-2</v>
      </c>
      <c r="V55" s="117">
        <f t="shared" si="9"/>
        <v>271803</v>
      </c>
      <c r="W55" s="131">
        <f>IF(J55&gt;INDEX('Pace of change parameters'!$E$26:$I$26,1,$B$5),0,IF(J55&lt;INDEX('Pace of change parameters'!$E$25:$I$25,1,$B$5),1,(J55-INDEX('Pace of change parameters'!$E$26:$I$26,1,$B$5))/(INDEX('Pace of change parameters'!$E$25:$I$25,1,$B$5)-INDEX('Pace of change parameters'!$E$26:$I$26,1,$B$5))))</f>
        <v>1</v>
      </c>
      <c r="X55" s="132">
        <f>MIN(T55, T55+(INDEX('Pace of change parameters'!$E$27:$I$27,1,$B$5)-T55)*(1-W55))</f>
        <v>2.3828287705196294E-2</v>
      </c>
      <c r="Y55" s="132">
        <v>1.8039093353563684E-2</v>
      </c>
      <c r="Z55" s="108">
        <f t="shared" si="10"/>
        <v>271803</v>
      </c>
      <c r="AA55" s="97">
        <f>MIN(VLOOKUP(A55,'2018-19 disagg'!$A$12:$BB$220,54,FALSE),-2.5%)</f>
        <v>-2.5000000000000001E-2</v>
      </c>
      <c r="AB55" s="99">
        <f t="shared" si="2"/>
        <v>269395.07289737969</v>
      </c>
      <c r="AC55" s="99">
        <f>MAX(IF(INDEX('Pace of change parameters'!$E$29:$I$29,1,$B$5)=1,MAX(AB55,Z55),Z55),L55)</f>
        <v>271803</v>
      </c>
      <c r="AD55" s="97">
        <f t="shared" si="3"/>
        <v>2.465477658022408E-2</v>
      </c>
      <c r="AE55" s="146">
        <v>1.886090888171843E-2</v>
      </c>
      <c r="AF55" s="56">
        <f t="shared" si="11"/>
        <v>271803</v>
      </c>
      <c r="AG55" s="56">
        <v>1680.3494016263678</v>
      </c>
      <c r="AH55" s="16">
        <f t="shared" si="4"/>
        <v>2.465477658022408E-2</v>
      </c>
      <c r="AI55" s="16">
        <f t="shared" si="5"/>
        <v>1.8860908881718652E-2</v>
      </c>
      <c r="AJ55" s="56"/>
      <c r="AK55" s="56">
        <v>276302.63886910741</v>
      </c>
      <c r="AL55" s="56">
        <v>1708.1672162981683</v>
      </c>
      <c r="AM55" s="16">
        <f t="shared" si="12"/>
        <v>-1.6285182391033937E-2</v>
      </c>
      <c r="AN55" s="58">
        <f t="shared" si="12"/>
        <v>-1.6285182391034048E-2</v>
      </c>
      <c r="AP55" s="56">
        <f t="shared" si="6"/>
        <v>1</v>
      </c>
      <c r="AQ55" s="56">
        <f t="shared" si="7"/>
        <v>0</v>
      </c>
    </row>
    <row r="56" spans="1:43" x14ac:dyDescent="0.2">
      <c r="A56" s="156" t="s">
        <v>157</v>
      </c>
      <c r="B56" s="156" t="s">
        <v>158</v>
      </c>
      <c r="D56" s="68">
        <f>VLOOKUP(A56,'2018-19 disagg'!A56:AZ264,43,FALSE)</f>
        <v>483514</v>
      </c>
      <c r="E56" s="73">
        <v>1856.5020561116205</v>
      </c>
      <c r="F56" s="55"/>
      <c r="G56" s="88">
        <v>461367.15966443525</v>
      </c>
      <c r="H56" s="81">
        <v>1760.4788117246812</v>
      </c>
      <c r="I56" s="90"/>
      <c r="J56" s="103">
        <f t="shared" si="8"/>
        <v>4.8002637100726275E-2</v>
      </c>
      <c r="K56" s="126">
        <f t="shared" si="8"/>
        <v>5.4543822821058852E-2</v>
      </c>
      <c r="L56" s="56">
        <v>494862</v>
      </c>
      <c r="M56" s="103">
        <v>1.9892297671425307E-2</v>
      </c>
      <c r="N56" s="97">
        <f>INDEX('Pace of change parameters'!$E$22:$I$22,1,$B$5)</f>
        <v>1.356605044543624E-2</v>
      </c>
      <c r="O56" s="108">
        <f>MAX(IF(INDEX('Pace of change parameters'!$E$30:$I$30,1,$B$5)=1,(1+M56)*D56,D56),L56)</f>
        <v>494862</v>
      </c>
      <c r="P56" s="94">
        <f>IF(K56&lt;INDEX('Pace of change parameters'!$E$18:$I$18,1,$B$5),1,IF(K56&gt;INDEX('Pace of change parameters'!$E$19:$I$19,1,$B$5),0,(K56-INDEX('Pace of change parameters'!$E$19:$I$19,1,$B$5))/(INDEX('Pace of change parameters'!$E$18:$I$18,1,$B$5)-INDEX('Pace of change parameters'!$E$19:$I$19,1,$B$5))))</f>
        <v>0</v>
      </c>
      <c r="Q56" s="57">
        <v>1.9892297671425307E-2</v>
      </c>
      <c r="R56" s="57">
        <v>1.356605044543624E-2</v>
      </c>
      <c r="S56" s="9">
        <f>MAX(IF(INDEX('Pace of change parameters'!$E$31:$I$31,1,$B$5)=1,D56*(1+Q56),D56),L56)</f>
        <v>494862</v>
      </c>
      <c r="T56" s="103">
        <f>IF(Q56&lt;INDEX('Pace of change parameters'!$E$24:$I$24,1,$B$5),INDEX('Pace of change parameters'!$E$24:$I$24,1,$B$5),Q56)</f>
        <v>2.0738822378003872E-2</v>
      </c>
      <c r="U56" s="132">
        <v>1.440732427936009E-2</v>
      </c>
      <c r="V56" s="117">
        <f t="shared" si="9"/>
        <v>494862</v>
      </c>
      <c r="W56" s="131">
        <f>IF(J56&gt;INDEX('Pace of change parameters'!$E$26:$I$26,1,$B$5),0,IF(J56&lt;INDEX('Pace of change parameters'!$E$25:$I$25,1,$B$5),1,(J56-INDEX('Pace of change parameters'!$E$26:$I$26,1,$B$5))/(INDEX('Pace of change parameters'!$E$25:$I$25,1,$B$5)-INDEX('Pace of change parameters'!$E$26:$I$26,1,$B$5))))</f>
        <v>1</v>
      </c>
      <c r="X56" s="132">
        <f>MIN(T56, T56+(INDEX('Pace of change parameters'!$E$27:$I$27,1,$B$5)-T56)*(1-W56))</f>
        <v>2.0738822378003872E-2</v>
      </c>
      <c r="Y56" s="132">
        <v>1.440732427936009E-2</v>
      </c>
      <c r="Z56" s="108">
        <f t="shared" si="10"/>
        <v>494862</v>
      </c>
      <c r="AA56" s="97">
        <f>MIN(VLOOKUP(A56,'2018-19 disagg'!$A$12:$BB$220,54,FALSE),-2.5%)</f>
        <v>-2.5000000000000001E-2</v>
      </c>
      <c r="AB56" s="99">
        <f t="shared" si="2"/>
        <v>461591.49573810567</v>
      </c>
      <c r="AC56" s="99">
        <f>MAX(IF(INDEX('Pace of change parameters'!$E$29:$I$29,1,$B$5)=1,MAX(AB56,Z56),Z56),L56)</f>
        <v>494862</v>
      </c>
      <c r="AD56" s="97">
        <f t="shared" si="3"/>
        <v>2.3469847822400247E-2</v>
      </c>
      <c r="AE56" s="146">
        <v>1.7121409560387102E-2</v>
      </c>
      <c r="AF56" s="56">
        <f t="shared" si="11"/>
        <v>494862</v>
      </c>
      <c r="AG56" s="56">
        <v>1888.2879881640081</v>
      </c>
      <c r="AH56" s="16">
        <f t="shared" si="4"/>
        <v>2.3469847822400247E-2</v>
      </c>
      <c r="AI56" s="16">
        <f t="shared" si="5"/>
        <v>1.712140956038688E-2</v>
      </c>
      <c r="AJ56" s="56"/>
      <c r="AK56" s="56">
        <v>473427.17511600582</v>
      </c>
      <c r="AL56" s="56">
        <v>1806.4972619477194</v>
      </c>
      <c r="AM56" s="16">
        <f t="shared" si="12"/>
        <v>4.5275865034029694E-2</v>
      </c>
      <c r="AN56" s="58">
        <f t="shared" si="12"/>
        <v>4.5275865034029472E-2</v>
      </c>
      <c r="AP56" s="56">
        <f t="shared" si="6"/>
        <v>1</v>
      </c>
      <c r="AQ56" s="56">
        <f t="shared" si="7"/>
        <v>0</v>
      </c>
    </row>
    <row r="57" spans="1:43" x14ac:dyDescent="0.2">
      <c r="A57" s="156" t="s">
        <v>159</v>
      </c>
      <c r="B57" s="156" t="s">
        <v>160</v>
      </c>
      <c r="D57" s="68">
        <f>VLOOKUP(A57,'2018-19 disagg'!A57:AZ265,43,FALSE)</f>
        <v>204970</v>
      </c>
      <c r="E57" s="73">
        <v>1773.1050873386848</v>
      </c>
      <c r="F57" s="55"/>
      <c r="G57" s="88">
        <v>200364.16302989773</v>
      </c>
      <c r="H57" s="81">
        <v>1726.1280164553459</v>
      </c>
      <c r="I57" s="90"/>
      <c r="J57" s="103">
        <f t="shared" si="8"/>
        <v>2.2987329173306259E-2</v>
      </c>
      <c r="K57" s="126">
        <f t="shared" si="8"/>
        <v>2.7215287878709971E-2</v>
      </c>
      <c r="L57" s="56">
        <v>209707</v>
      </c>
      <c r="M57" s="103">
        <v>1.7755071447236537E-2</v>
      </c>
      <c r="N57" s="97">
        <f>INDEX('Pace of change parameters'!$E$22:$I$22,1,$B$5)</f>
        <v>1.356605044543624E-2</v>
      </c>
      <c r="O57" s="108">
        <f>MAX(IF(INDEX('Pace of change parameters'!$E$30:$I$30,1,$B$5)=1,(1+M57)*D57,D57),L57)</f>
        <v>209707</v>
      </c>
      <c r="P57" s="94">
        <f>IF(K57&lt;INDEX('Pace of change parameters'!$E$18:$I$18,1,$B$5),1,IF(K57&gt;INDEX('Pace of change parameters'!$E$19:$I$19,1,$B$5),0,(K57-INDEX('Pace of change parameters'!$E$19:$I$19,1,$B$5))/(INDEX('Pace of change parameters'!$E$18:$I$18,1,$B$5)-INDEX('Pace of change parameters'!$E$19:$I$19,1,$B$5))))</f>
        <v>0</v>
      </c>
      <c r="Q57" s="57">
        <v>1.7755071447236537E-2</v>
      </c>
      <c r="R57" s="57">
        <v>1.356605044543624E-2</v>
      </c>
      <c r="S57" s="9">
        <f>MAX(IF(INDEX('Pace of change parameters'!$E$31:$I$31,1,$B$5)=1,D57*(1+Q57),D57),L57)</f>
        <v>209707</v>
      </c>
      <c r="T57" s="103">
        <f>IF(Q57&lt;INDEX('Pace of change parameters'!$E$24:$I$24,1,$B$5),INDEX('Pace of change parameters'!$E$24:$I$24,1,$B$5),Q57)</f>
        <v>2.0738822378003872E-2</v>
      </c>
      <c r="U57" s="132">
        <v>1.6537520429968255E-2</v>
      </c>
      <c r="V57" s="117">
        <f t="shared" si="9"/>
        <v>209707</v>
      </c>
      <c r="W57" s="131">
        <f>IF(J57&gt;INDEX('Pace of change parameters'!$E$26:$I$26,1,$B$5),0,IF(J57&lt;INDEX('Pace of change parameters'!$E$25:$I$25,1,$B$5),1,(J57-INDEX('Pace of change parameters'!$E$26:$I$26,1,$B$5))/(INDEX('Pace of change parameters'!$E$25:$I$25,1,$B$5)-INDEX('Pace of change parameters'!$E$26:$I$26,1,$B$5))))</f>
        <v>1</v>
      </c>
      <c r="X57" s="132">
        <f>MIN(T57, T57+(INDEX('Pace of change parameters'!$E$27:$I$27,1,$B$5)-T57)*(1-W57))</f>
        <v>2.0738822378003872E-2</v>
      </c>
      <c r="Y57" s="132">
        <v>1.6537520429968255E-2</v>
      </c>
      <c r="Z57" s="108">
        <f t="shared" si="10"/>
        <v>209707</v>
      </c>
      <c r="AA57" s="97">
        <f>MIN(VLOOKUP(A57,'2018-19 disagg'!$A$12:$BB$220,54,FALSE),-2.5%)</f>
        <v>-2.5000000000000001E-2</v>
      </c>
      <c r="AB57" s="99">
        <f t="shared" si="2"/>
        <v>200481.67460593482</v>
      </c>
      <c r="AC57" s="99">
        <f>MAX(IF(INDEX('Pace of change parameters'!$E$29:$I$29,1,$B$5)=1,MAX(AB57,Z57),Z57),L57)</f>
        <v>209707</v>
      </c>
      <c r="AD57" s="97">
        <f t="shared" si="3"/>
        <v>2.3110699126701384E-2</v>
      </c>
      <c r="AE57" s="146">
        <v>1.8899634671170062E-2</v>
      </c>
      <c r="AF57" s="56">
        <f t="shared" si="11"/>
        <v>209707</v>
      </c>
      <c r="AG57" s="56">
        <v>1806.6161257229792</v>
      </c>
      <c r="AH57" s="16">
        <f t="shared" si="4"/>
        <v>2.3110699126701384E-2</v>
      </c>
      <c r="AI57" s="16">
        <f t="shared" si="5"/>
        <v>1.8899634671170062E-2</v>
      </c>
      <c r="AJ57" s="56"/>
      <c r="AK57" s="56">
        <v>205622.23036506135</v>
      </c>
      <c r="AL57" s="56">
        <v>1771.4260238554034</v>
      </c>
      <c r="AM57" s="16">
        <f t="shared" si="12"/>
        <v>1.9865408655895589E-2</v>
      </c>
      <c r="AN57" s="58">
        <f t="shared" si="12"/>
        <v>1.9865408655895589E-2</v>
      </c>
      <c r="AP57" s="56">
        <f t="shared" si="6"/>
        <v>1</v>
      </c>
      <c r="AQ57" s="56">
        <f t="shared" si="7"/>
        <v>0</v>
      </c>
    </row>
    <row r="58" spans="1:43" x14ac:dyDescent="0.2">
      <c r="A58" s="156" t="s">
        <v>161</v>
      </c>
      <c r="B58" s="156" t="s">
        <v>162</v>
      </c>
      <c r="D58" s="68">
        <f>VLOOKUP(A58,'2018-19 disagg'!A58:AZ266,43,FALSE)</f>
        <v>184816</v>
      </c>
      <c r="E58" s="73">
        <v>1480.2396069647318</v>
      </c>
      <c r="F58" s="55"/>
      <c r="G58" s="88">
        <v>190283.44075363164</v>
      </c>
      <c r="H58" s="81">
        <v>1517.5163689898802</v>
      </c>
      <c r="I58" s="90"/>
      <c r="J58" s="103">
        <f t="shared" si="8"/>
        <v>-2.8733140056630413E-2</v>
      </c>
      <c r="K58" s="126">
        <f t="shared" si="8"/>
        <v>-2.4564322854692677E-2</v>
      </c>
      <c r="L58" s="56">
        <v>189338</v>
      </c>
      <c r="M58" s="103">
        <v>1.7916421863074516E-2</v>
      </c>
      <c r="N58" s="97">
        <f>INDEX('Pace of change parameters'!$E$22:$I$22,1,$B$5)</f>
        <v>1.356605044543624E-2</v>
      </c>
      <c r="O58" s="108">
        <f>MAX(IF(INDEX('Pace of change parameters'!$E$30:$I$30,1,$B$5)=1,(1+M58)*D58,D58),L58)</f>
        <v>189338</v>
      </c>
      <c r="P58" s="94">
        <f>IF(K58&lt;INDEX('Pace of change parameters'!$E$18:$I$18,1,$B$5),1,IF(K58&gt;INDEX('Pace of change parameters'!$E$19:$I$19,1,$B$5),0,(K58-INDEX('Pace of change parameters'!$E$19:$I$19,1,$B$5))/(INDEX('Pace of change parameters'!$E$18:$I$18,1,$B$5)-INDEX('Pace of change parameters'!$E$19:$I$19,1,$B$5))))</f>
        <v>0.82888795585074637</v>
      </c>
      <c r="Q58" s="57">
        <v>2.8477241175834056E-2</v>
      </c>
      <c r="R58" s="57">
        <v>2.408173492639798E-2</v>
      </c>
      <c r="S58" s="9">
        <f>MAX(IF(INDEX('Pace of change parameters'!$E$31:$I$31,1,$B$5)=1,D58*(1+Q58),D58),L58)</f>
        <v>190079.04980515296</v>
      </c>
      <c r="T58" s="103">
        <f>IF(Q58&lt;INDEX('Pace of change parameters'!$E$24:$I$24,1,$B$5),INDEX('Pace of change parameters'!$E$24:$I$24,1,$B$5),Q58)</f>
        <v>2.8477241175834056E-2</v>
      </c>
      <c r="U58" s="132">
        <v>2.408173492639798E-2</v>
      </c>
      <c r="V58" s="117">
        <f t="shared" si="9"/>
        <v>190079.04980515296</v>
      </c>
      <c r="W58" s="131">
        <f>IF(J58&gt;INDEX('Pace of change parameters'!$E$26:$I$26,1,$B$5),0,IF(J58&lt;INDEX('Pace of change parameters'!$E$25:$I$25,1,$B$5),1,(J58-INDEX('Pace of change parameters'!$E$26:$I$26,1,$B$5))/(INDEX('Pace of change parameters'!$E$25:$I$25,1,$B$5)-INDEX('Pace of change parameters'!$E$26:$I$26,1,$B$5))))</f>
        <v>1</v>
      </c>
      <c r="X58" s="132">
        <f>MIN(T58, T58+(INDEX('Pace of change parameters'!$E$27:$I$27,1,$B$5)-T58)*(1-W58))</f>
        <v>2.8477241175834056E-2</v>
      </c>
      <c r="Y58" s="132">
        <v>2.408173492639798E-2</v>
      </c>
      <c r="Z58" s="108">
        <f t="shared" si="10"/>
        <v>190079.04980515296</v>
      </c>
      <c r="AA58" s="97">
        <f>MIN(VLOOKUP(A58,'2018-19 disagg'!$A$12:$BB$220,54,FALSE),-2.5%)</f>
        <v>-3.1206131869883857E-2</v>
      </c>
      <c r="AB58" s="99">
        <f t="shared" si="2"/>
        <v>189269.24457124888</v>
      </c>
      <c r="AC58" s="99">
        <f>MAX(IF(INDEX('Pace of change parameters'!$E$29:$I$29,1,$B$5)=1,MAX(AB58,Z58),Z58),L58)</f>
        <v>190079.04980515296</v>
      </c>
      <c r="AD58" s="97">
        <f t="shared" si="3"/>
        <v>2.8477241175834056E-2</v>
      </c>
      <c r="AE58" s="146">
        <v>2.408173492639798E-2</v>
      </c>
      <c r="AF58" s="56">
        <f t="shared" si="11"/>
        <v>190079.04980515296</v>
      </c>
      <c r="AG58" s="56">
        <v>1515.8863448072118</v>
      </c>
      <c r="AH58" s="16">
        <f t="shared" si="4"/>
        <v>2.8477241175834056E-2</v>
      </c>
      <c r="AI58" s="16">
        <f t="shared" si="5"/>
        <v>2.4081734926397758E-2</v>
      </c>
      <c r="AJ58" s="56"/>
      <c r="AK58" s="56">
        <v>195365.85727628556</v>
      </c>
      <c r="AL58" s="56">
        <v>1558.0487991194041</v>
      </c>
      <c r="AM58" s="16">
        <f t="shared" si="12"/>
        <v>-2.7061061460990188E-2</v>
      </c>
      <c r="AN58" s="58">
        <f t="shared" si="12"/>
        <v>-2.7061061460990299E-2</v>
      </c>
      <c r="AP58" s="56">
        <f t="shared" si="6"/>
        <v>0</v>
      </c>
      <c r="AQ58" s="56">
        <f t="shared" si="7"/>
        <v>0</v>
      </c>
    </row>
    <row r="59" spans="1:43" x14ac:dyDescent="0.2">
      <c r="A59" s="156" t="s">
        <v>163</v>
      </c>
      <c r="B59" s="156" t="s">
        <v>164</v>
      </c>
      <c r="D59" s="68">
        <f>VLOOKUP(A59,'2018-19 disagg'!A59:AZ267,43,FALSE)</f>
        <v>576728</v>
      </c>
      <c r="E59" s="73">
        <v>1666.845601222414</v>
      </c>
      <c r="F59" s="55"/>
      <c r="G59" s="88">
        <v>583772.02836425288</v>
      </c>
      <c r="H59" s="81">
        <v>1676.991058584357</v>
      </c>
      <c r="I59" s="90"/>
      <c r="J59" s="103">
        <f t="shared" si="8"/>
        <v>-1.2066402674329013E-2</v>
      </c>
      <c r="K59" s="126">
        <f t="shared" si="8"/>
        <v>-6.0497981250462463E-3</v>
      </c>
      <c r="L59" s="56">
        <v>590531</v>
      </c>
      <c r="M59" s="103">
        <v>1.973875894185384E-2</v>
      </c>
      <c r="N59" s="97">
        <f>INDEX('Pace of change parameters'!$E$22:$I$22,1,$B$5)</f>
        <v>1.356605044543624E-2</v>
      </c>
      <c r="O59" s="108">
        <f>MAX(IF(INDEX('Pace of change parameters'!$E$30:$I$30,1,$B$5)=1,(1+M59)*D59,D59),L59)</f>
        <v>590531</v>
      </c>
      <c r="P59" s="94">
        <f>IF(K59&lt;INDEX('Pace of change parameters'!$E$18:$I$18,1,$B$5),1,IF(K59&gt;INDEX('Pace of change parameters'!$E$19:$I$19,1,$B$5),0,(K59-INDEX('Pace of change parameters'!$E$19:$I$19,1,$B$5))/(INDEX('Pace of change parameters'!$E$18:$I$18,1,$B$5)-INDEX('Pace of change parameters'!$E$19:$I$19,1,$B$5))))</f>
        <v>0.24606118224872534</v>
      </c>
      <c r="Q59" s="57">
        <v>2.2879424523737812E-2</v>
      </c>
      <c r="R59" s="57">
        <v>1.6687704870833597E-2</v>
      </c>
      <c r="S59" s="9">
        <f>MAX(IF(INDEX('Pace of change parameters'!$E$31:$I$31,1,$B$5)=1,D59*(1+Q59),D59),L59)</f>
        <v>590531</v>
      </c>
      <c r="T59" s="103">
        <f>IF(Q59&lt;INDEX('Pace of change parameters'!$E$24:$I$24,1,$B$5),INDEX('Pace of change parameters'!$E$24:$I$24,1,$B$5),Q59)</f>
        <v>2.2879424523737812E-2</v>
      </c>
      <c r="U59" s="132">
        <v>1.6687704870833597E-2</v>
      </c>
      <c r="V59" s="117">
        <f t="shared" si="9"/>
        <v>590531</v>
      </c>
      <c r="W59" s="131">
        <f>IF(J59&gt;INDEX('Pace of change parameters'!$E$26:$I$26,1,$B$5),0,IF(J59&lt;INDEX('Pace of change parameters'!$E$25:$I$25,1,$B$5),1,(J59-INDEX('Pace of change parameters'!$E$26:$I$26,1,$B$5))/(INDEX('Pace of change parameters'!$E$25:$I$25,1,$B$5)-INDEX('Pace of change parameters'!$E$26:$I$26,1,$B$5))))</f>
        <v>1</v>
      </c>
      <c r="X59" s="132">
        <f>MIN(T59, T59+(INDEX('Pace of change parameters'!$E$27:$I$27,1,$B$5)-T59)*(1-W59))</f>
        <v>2.2879424523737812E-2</v>
      </c>
      <c r="Y59" s="132">
        <v>1.6687704870833597E-2</v>
      </c>
      <c r="Z59" s="108">
        <f t="shared" si="10"/>
        <v>590531</v>
      </c>
      <c r="AA59" s="97">
        <f>MIN(VLOOKUP(A59,'2018-19 disagg'!$A$12:$BB$220,54,FALSE),-2.5%)</f>
        <v>-2.5000000000000001E-2</v>
      </c>
      <c r="AB59" s="99">
        <f t="shared" si="2"/>
        <v>584003.76001552644</v>
      </c>
      <c r="AC59" s="99">
        <f>MAX(IF(INDEX('Pace of change parameters'!$E$29:$I$29,1,$B$5)=1,MAX(AB59,Z59),Z59),L59)</f>
        <v>590531</v>
      </c>
      <c r="AD59" s="97">
        <f t="shared" si="3"/>
        <v>2.3933292644019444E-2</v>
      </c>
      <c r="AE59" s="146">
        <v>1.7735193689903728E-2</v>
      </c>
      <c r="AF59" s="56">
        <f t="shared" si="11"/>
        <v>590531</v>
      </c>
      <c r="AG59" s="56">
        <v>1696.4074308112577</v>
      </c>
      <c r="AH59" s="16">
        <f t="shared" si="4"/>
        <v>2.3933292644019444E-2</v>
      </c>
      <c r="AI59" s="16">
        <f t="shared" si="5"/>
        <v>1.7735193689903728E-2</v>
      </c>
      <c r="AJ59" s="56"/>
      <c r="AK59" s="56">
        <v>598978.21540053992</v>
      </c>
      <c r="AL59" s="56">
        <v>1720.6735895313573</v>
      </c>
      <c r="AM59" s="16">
        <f t="shared" si="12"/>
        <v>-1.4102708885482929E-2</v>
      </c>
      <c r="AN59" s="58">
        <f t="shared" si="12"/>
        <v>-1.4102708885482929E-2</v>
      </c>
      <c r="AP59" s="56">
        <f t="shared" si="6"/>
        <v>1</v>
      </c>
      <c r="AQ59" s="56">
        <f t="shared" si="7"/>
        <v>0</v>
      </c>
    </row>
    <row r="60" spans="1:43" x14ac:dyDescent="0.2">
      <c r="A60" s="156" t="s">
        <v>165</v>
      </c>
      <c r="B60" s="156" t="s">
        <v>166</v>
      </c>
      <c r="D60" s="68">
        <f>VLOOKUP(A60,'2018-19 disagg'!A60:AZ268,43,FALSE)</f>
        <v>359664</v>
      </c>
      <c r="E60" s="73">
        <v>1618.5826050019648</v>
      </c>
      <c r="F60" s="55"/>
      <c r="G60" s="88">
        <v>345580.15227344807</v>
      </c>
      <c r="H60" s="81">
        <v>1545.4231519239909</v>
      </c>
      <c r="I60" s="90"/>
      <c r="J60" s="103">
        <f t="shared" si="8"/>
        <v>4.0754214713719428E-2</v>
      </c>
      <c r="K60" s="126">
        <f t="shared" si="8"/>
        <v>4.7339431266377296E-2</v>
      </c>
      <c r="L60" s="56">
        <v>367315</v>
      </c>
      <c r="M60" s="103">
        <v>1.9979237957188589E-2</v>
      </c>
      <c r="N60" s="97">
        <f>INDEX('Pace of change parameters'!$E$22:$I$22,1,$B$5)</f>
        <v>1.356605044543624E-2</v>
      </c>
      <c r="O60" s="108">
        <f>MAX(IF(INDEX('Pace of change parameters'!$E$30:$I$30,1,$B$5)=1,(1+M60)*D60,D60),L60)</f>
        <v>367315</v>
      </c>
      <c r="P60" s="94">
        <f>IF(K60&lt;INDEX('Pace of change parameters'!$E$18:$I$18,1,$B$5),1,IF(K60&gt;INDEX('Pace of change parameters'!$E$19:$I$19,1,$B$5),0,(K60-INDEX('Pace of change parameters'!$E$19:$I$19,1,$B$5))/(INDEX('Pace of change parameters'!$E$18:$I$18,1,$B$5)-INDEX('Pace of change parameters'!$E$19:$I$19,1,$B$5))))</f>
        <v>0</v>
      </c>
      <c r="Q60" s="57">
        <v>1.9979237957188589E-2</v>
      </c>
      <c r="R60" s="57">
        <v>1.356605044543624E-2</v>
      </c>
      <c r="S60" s="9">
        <f>MAX(IF(INDEX('Pace of change parameters'!$E$31:$I$31,1,$B$5)=1,D60*(1+Q60),D60),L60)</f>
        <v>367315</v>
      </c>
      <c r="T60" s="103">
        <f>IF(Q60&lt;INDEX('Pace of change parameters'!$E$24:$I$24,1,$B$5),INDEX('Pace of change parameters'!$E$24:$I$24,1,$B$5),Q60)</f>
        <v>2.0738822378003872E-2</v>
      </c>
      <c r="U60" s="132">
        <v>1.4320858928526192E-2</v>
      </c>
      <c r="V60" s="117">
        <f t="shared" si="9"/>
        <v>367315</v>
      </c>
      <c r="W60" s="131">
        <f>IF(J60&gt;INDEX('Pace of change parameters'!$E$26:$I$26,1,$B$5),0,IF(J60&lt;INDEX('Pace of change parameters'!$E$25:$I$25,1,$B$5),1,(J60-INDEX('Pace of change parameters'!$E$26:$I$26,1,$B$5))/(INDEX('Pace of change parameters'!$E$25:$I$25,1,$B$5)-INDEX('Pace of change parameters'!$E$26:$I$26,1,$B$5))))</f>
        <v>1</v>
      </c>
      <c r="X60" s="132">
        <f>MIN(T60, T60+(INDEX('Pace of change parameters'!$E$27:$I$27,1,$B$5)-T60)*(1-W60))</f>
        <v>2.0738822378003872E-2</v>
      </c>
      <c r="Y60" s="132">
        <v>1.4320858928526192E-2</v>
      </c>
      <c r="Z60" s="108">
        <f t="shared" si="10"/>
        <v>367315</v>
      </c>
      <c r="AA60" s="97">
        <f>MIN(VLOOKUP(A60,'2018-19 disagg'!$A$12:$BB$220,54,FALSE),-2.5%)</f>
        <v>-2.5000000000000001E-2</v>
      </c>
      <c r="AB60" s="99">
        <f t="shared" si="2"/>
        <v>345728.85862569051</v>
      </c>
      <c r="AC60" s="99">
        <f>MAX(IF(INDEX('Pace of change parameters'!$E$29:$I$29,1,$B$5)=1,MAX(AB60,Z60),Z60),L60)</f>
        <v>367315</v>
      </c>
      <c r="AD60" s="97">
        <f t="shared" si="3"/>
        <v>2.127263223453002E-2</v>
      </c>
      <c r="AE60" s="146">
        <v>1.4851312419963625E-2</v>
      </c>
      <c r="AF60" s="56">
        <f t="shared" si="11"/>
        <v>367315</v>
      </c>
      <c r="AG60" s="56">
        <v>1642.6206809463677</v>
      </c>
      <c r="AH60" s="16">
        <f t="shared" si="4"/>
        <v>2.127263223453002E-2</v>
      </c>
      <c r="AI60" s="16">
        <f t="shared" si="5"/>
        <v>1.4851312419963625E-2</v>
      </c>
      <c r="AJ60" s="56"/>
      <c r="AK60" s="56">
        <v>354593.70115455438</v>
      </c>
      <c r="AL60" s="56">
        <v>1585.7314480753221</v>
      </c>
      <c r="AM60" s="16">
        <f t="shared" si="12"/>
        <v>3.5875704514843898E-2</v>
      </c>
      <c r="AN60" s="58">
        <f t="shared" si="12"/>
        <v>3.5875704514843676E-2</v>
      </c>
      <c r="AP60" s="56">
        <f t="shared" si="6"/>
        <v>1</v>
      </c>
      <c r="AQ60" s="56">
        <f t="shared" si="7"/>
        <v>0</v>
      </c>
    </row>
    <row r="61" spans="1:43" x14ac:dyDescent="0.2">
      <c r="A61" s="156" t="s">
        <v>167</v>
      </c>
      <c r="B61" s="156" t="s">
        <v>168</v>
      </c>
      <c r="D61" s="68">
        <f>VLOOKUP(A61,'2018-19 disagg'!A61:AZ269,43,FALSE)</f>
        <v>582113</v>
      </c>
      <c r="E61" s="73">
        <v>1841.1938457682979</v>
      </c>
      <c r="F61" s="55"/>
      <c r="G61" s="88">
        <v>551540.15712530527</v>
      </c>
      <c r="H61" s="81">
        <v>1740.2869322369027</v>
      </c>
      <c r="I61" s="90"/>
      <c r="J61" s="103">
        <f t="shared" si="8"/>
        <v>5.5431762274653185E-2</v>
      </c>
      <c r="K61" s="126">
        <f t="shared" si="8"/>
        <v>5.7982917450108751E-2</v>
      </c>
      <c r="L61" s="56">
        <v>594204</v>
      </c>
      <c r="M61" s="103">
        <v>1.6016009189985914E-2</v>
      </c>
      <c r="N61" s="97">
        <f>INDEX('Pace of change parameters'!$E$22:$I$22,1,$B$5)</f>
        <v>1.356605044543624E-2</v>
      </c>
      <c r="O61" s="108">
        <f>MAX(IF(INDEX('Pace of change parameters'!$E$30:$I$30,1,$B$5)=1,(1+M61)*D61,D61),L61)</f>
        <v>594204</v>
      </c>
      <c r="P61" s="94">
        <f>IF(K61&lt;INDEX('Pace of change parameters'!$E$18:$I$18,1,$B$5),1,IF(K61&gt;INDEX('Pace of change parameters'!$E$19:$I$19,1,$B$5),0,(K61-INDEX('Pace of change parameters'!$E$19:$I$19,1,$B$5))/(INDEX('Pace of change parameters'!$E$18:$I$18,1,$B$5)-INDEX('Pace of change parameters'!$E$19:$I$19,1,$B$5))))</f>
        <v>0</v>
      </c>
      <c r="Q61" s="57">
        <v>1.6016009189985914E-2</v>
      </c>
      <c r="R61" s="57">
        <v>1.356605044543624E-2</v>
      </c>
      <c r="S61" s="9">
        <f>MAX(IF(INDEX('Pace of change parameters'!$E$31:$I$31,1,$B$5)=1,D61*(1+Q61),D61),L61)</f>
        <v>594204</v>
      </c>
      <c r="T61" s="103">
        <f>IF(Q61&lt;INDEX('Pace of change parameters'!$E$24:$I$24,1,$B$5),INDEX('Pace of change parameters'!$E$24:$I$24,1,$B$5),Q61)</f>
        <v>2.0738822378003872E-2</v>
      </c>
      <c r="U61" s="132">
        <v>1.8277475331139881E-2</v>
      </c>
      <c r="V61" s="117">
        <f t="shared" si="9"/>
        <v>594204</v>
      </c>
      <c r="W61" s="131">
        <f>IF(J61&gt;INDEX('Pace of change parameters'!$E$26:$I$26,1,$B$5),0,IF(J61&lt;INDEX('Pace of change parameters'!$E$25:$I$25,1,$B$5),1,(J61-INDEX('Pace of change parameters'!$E$26:$I$26,1,$B$5))/(INDEX('Pace of change parameters'!$E$25:$I$25,1,$B$5)-INDEX('Pace of change parameters'!$E$26:$I$26,1,$B$5))))</f>
        <v>0.89136475450693642</v>
      </c>
      <c r="X61" s="132">
        <f>MIN(T61, T61+(INDEX('Pace of change parameters'!$E$27:$I$27,1,$B$5)-T61)*(1-W61))</f>
        <v>1.8500936320846761E-2</v>
      </c>
      <c r="Y61" s="132">
        <v>1.6044985575286663E-2</v>
      </c>
      <c r="Z61" s="108">
        <f t="shared" si="10"/>
        <v>594204</v>
      </c>
      <c r="AA61" s="97">
        <f>MIN(VLOOKUP(A61,'2018-19 disagg'!$A$12:$BB$220,54,FALSE),-2.5%)</f>
        <v>-2.5000000000000001E-2</v>
      </c>
      <c r="AB61" s="99">
        <f t="shared" si="2"/>
        <v>551888.64167427691</v>
      </c>
      <c r="AC61" s="99">
        <f>MAX(IF(INDEX('Pace of change parameters'!$E$29:$I$29,1,$B$5)=1,MAX(AB61,Z61),Z61),L61)</f>
        <v>594204</v>
      </c>
      <c r="AD61" s="97">
        <f t="shared" si="3"/>
        <v>2.0770881255014029E-2</v>
      </c>
      <c r="AE61" s="146">
        <v>1.8309456903338628E-2</v>
      </c>
      <c r="AF61" s="56">
        <f t="shared" si="11"/>
        <v>594204</v>
      </c>
      <c r="AG61" s="56">
        <v>1874.905105138085</v>
      </c>
      <c r="AH61" s="16">
        <f t="shared" si="4"/>
        <v>2.0770881255014029E-2</v>
      </c>
      <c r="AI61" s="16">
        <f t="shared" si="5"/>
        <v>1.8309456903338628E-2</v>
      </c>
      <c r="AJ61" s="56"/>
      <c r="AK61" s="56">
        <v>566039.63248643791</v>
      </c>
      <c r="AL61" s="56">
        <v>1786.0374495279532</v>
      </c>
      <c r="AM61" s="16">
        <f t="shared" si="12"/>
        <v>4.9756882552277615E-2</v>
      </c>
      <c r="AN61" s="58">
        <f t="shared" si="12"/>
        <v>4.9756882552277615E-2</v>
      </c>
      <c r="AP61" s="56">
        <f t="shared" si="6"/>
        <v>1</v>
      </c>
      <c r="AQ61" s="56">
        <f t="shared" si="7"/>
        <v>0</v>
      </c>
    </row>
    <row r="62" spans="1:43" x14ac:dyDescent="0.2">
      <c r="A62" s="156" t="s">
        <v>169</v>
      </c>
      <c r="B62" s="156" t="s">
        <v>170</v>
      </c>
      <c r="D62" s="68">
        <f>VLOOKUP(A62,'2018-19 disagg'!A62:AZ270,43,FALSE)</f>
        <v>504302</v>
      </c>
      <c r="E62" s="73">
        <v>1649.6683162373702</v>
      </c>
      <c r="F62" s="55"/>
      <c r="G62" s="88">
        <v>502550.67118841421</v>
      </c>
      <c r="H62" s="81">
        <v>1636.1908243408641</v>
      </c>
      <c r="I62" s="90"/>
      <c r="J62" s="103">
        <f t="shared" si="8"/>
        <v>3.4848800568594296E-3</v>
      </c>
      <c r="K62" s="126">
        <f t="shared" si="8"/>
        <v>8.2371149477233896E-3</v>
      </c>
      <c r="L62" s="56">
        <v>516784</v>
      </c>
      <c r="M62" s="103">
        <v>1.8366027051809342E-2</v>
      </c>
      <c r="N62" s="97">
        <f>INDEX('Pace of change parameters'!$E$22:$I$22,1,$B$5)</f>
        <v>1.356605044543624E-2</v>
      </c>
      <c r="O62" s="108">
        <f>MAX(IF(INDEX('Pace of change parameters'!$E$30:$I$30,1,$B$5)=1,(1+M62)*D62,D62),L62)</f>
        <v>516784</v>
      </c>
      <c r="P62" s="94">
        <f>IF(K62&lt;INDEX('Pace of change parameters'!$E$18:$I$18,1,$B$5),1,IF(K62&gt;INDEX('Pace of change parameters'!$E$19:$I$19,1,$B$5),0,(K62-INDEX('Pace of change parameters'!$E$19:$I$19,1,$B$5))/(INDEX('Pace of change parameters'!$E$18:$I$18,1,$B$5)-INDEX('Pace of change parameters'!$E$19:$I$19,1,$B$5))))</f>
        <v>0</v>
      </c>
      <c r="Q62" s="57">
        <v>1.8366027051809342E-2</v>
      </c>
      <c r="R62" s="57">
        <v>1.356605044543624E-2</v>
      </c>
      <c r="S62" s="9">
        <f>MAX(IF(INDEX('Pace of change parameters'!$E$31:$I$31,1,$B$5)=1,D62*(1+Q62),D62),L62)</f>
        <v>516784</v>
      </c>
      <c r="T62" s="103">
        <f>IF(Q62&lt;INDEX('Pace of change parameters'!$E$24:$I$24,1,$B$5),INDEX('Pace of change parameters'!$E$24:$I$24,1,$B$5),Q62)</f>
        <v>2.0738822378003872E-2</v>
      </c>
      <c r="U62" s="132">
        <v>1.5927661814433725E-2</v>
      </c>
      <c r="V62" s="117">
        <f t="shared" si="9"/>
        <v>516784</v>
      </c>
      <c r="W62" s="131">
        <f>IF(J62&gt;INDEX('Pace of change parameters'!$E$26:$I$26,1,$B$5),0,IF(J62&lt;INDEX('Pace of change parameters'!$E$25:$I$25,1,$B$5),1,(J62-INDEX('Pace of change parameters'!$E$26:$I$26,1,$B$5))/(INDEX('Pace of change parameters'!$E$25:$I$25,1,$B$5)-INDEX('Pace of change parameters'!$E$26:$I$26,1,$B$5))))</f>
        <v>1</v>
      </c>
      <c r="X62" s="132">
        <f>MIN(T62, T62+(INDEX('Pace of change parameters'!$E$27:$I$27,1,$B$5)-T62)*(1-W62))</f>
        <v>2.0738822378003872E-2</v>
      </c>
      <c r="Y62" s="132">
        <v>1.5927661814433725E-2</v>
      </c>
      <c r="Z62" s="108">
        <f t="shared" si="10"/>
        <v>516784</v>
      </c>
      <c r="AA62" s="97">
        <f>MIN(VLOOKUP(A62,'2018-19 disagg'!$A$12:$BB$220,54,FALSE),-2.5%)</f>
        <v>-2.5000000000000001E-2</v>
      </c>
      <c r="AB62" s="99">
        <f t="shared" si="2"/>
        <v>502851.27241202374</v>
      </c>
      <c r="AC62" s="99">
        <f>MAX(IF(INDEX('Pace of change parameters'!$E$29:$I$29,1,$B$5)=1,MAX(AB62,Z62),Z62),L62)</f>
        <v>516784</v>
      </c>
      <c r="AD62" s="97">
        <f t="shared" si="3"/>
        <v>2.4751042034336646E-2</v>
      </c>
      <c r="AE62" s="146">
        <v>1.9920970234552415E-2</v>
      </c>
      <c r="AF62" s="56">
        <f t="shared" si="11"/>
        <v>516784</v>
      </c>
      <c r="AG62" s="56">
        <v>1682.5313096620187</v>
      </c>
      <c r="AH62" s="16">
        <f t="shared" si="4"/>
        <v>2.4751042034336646E-2</v>
      </c>
      <c r="AI62" s="16">
        <f t="shared" si="5"/>
        <v>1.9920970234552193E-2</v>
      </c>
      <c r="AJ62" s="56"/>
      <c r="AK62" s="56">
        <v>515744.89478156285</v>
      </c>
      <c r="AL62" s="56">
        <v>1679.1482191173159</v>
      </c>
      <c r="AM62" s="16">
        <f t="shared" si="12"/>
        <v>2.0147658831934923E-3</v>
      </c>
      <c r="AN62" s="58">
        <f t="shared" si="12"/>
        <v>2.0147658831934923E-3</v>
      </c>
      <c r="AP62" s="56">
        <f t="shared" si="6"/>
        <v>1</v>
      </c>
      <c r="AQ62" s="56">
        <f t="shared" si="7"/>
        <v>0</v>
      </c>
    </row>
    <row r="63" spans="1:43" x14ac:dyDescent="0.2">
      <c r="A63" s="156" t="s">
        <v>171</v>
      </c>
      <c r="B63" s="156" t="s">
        <v>172</v>
      </c>
      <c r="D63" s="68">
        <f>VLOOKUP(A63,'2018-19 disagg'!A63:AZ271,43,FALSE)</f>
        <v>384226</v>
      </c>
      <c r="E63" s="73">
        <v>1540.0052410008748</v>
      </c>
      <c r="F63" s="55"/>
      <c r="G63" s="88">
        <v>373174.46297710226</v>
      </c>
      <c r="H63" s="81">
        <v>1486.4322325893329</v>
      </c>
      <c r="I63" s="90"/>
      <c r="J63" s="103">
        <f t="shared" si="8"/>
        <v>2.9614933816025424E-2</v>
      </c>
      <c r="K63" s="126">
        <f t="shared" si="8"/>
        <v>3.6041339280041607E-2</v>
      </c>
      <c r="L63" s="56">
        <v>393625</v>
      </c>
      <c r="M63" s="103">
        <v>1.989228580857616E-2</v>
      </c>
      <c r="N63" s="97">
        <f>INDEX('Pace of change parameters'!$E$22:$I$22,1,$B$5)</f>
        <v>1.356605044543624E-2</v>
      </c>
      <c r="O63" s="108">
        <f>MAX(IF(INDEX('Pace of change parameters'!$E$30:$I$30,1,$B$5)=1,(1+M63)*D63,D63),L63)</f>
        <v>393625</v>
      </c>
      <c r="P63" s="94">
        <f>IF(K63&lt;INDEX('Pace of change parameters'!$E$18:$I$18,1,$B$5),1,IF(K63&gt;INDEX('Pace of change parameters'!$E$19:$I$19,1,$B$5),0,(K63-INDEX('Pace of change parameters'!$E$19:$I$19,1,$B$5))/(INDEX('Pace of change parameters'!$E$18:$I$18,1,$B$5)-INDEX('Pace of change parameters'!$E$19:$I$19,1,$B$5))))</f>
        <v>0</v>
      </c>
      <c r="Q63" s="57">
        <v>1.989228580857616E-2</v>
      </c>
      <c r="R63" s="57">
        <v>1.356605044543624E-2</v>
      </c>
      <c r="S63" s="9">
        <f>MAX(IF(INDEX('Pace of change parameters'!$E$31:$I$31,1,$B$5)=1,D63*(1+Q63),D63),L63)</f>
        <v>393625</v>
      </c>
      <c r="T63" s="103">
        <f>IF(Q63&lt;INDEX('Pace of change parameters'!$E$24:$I$24,1,$B$5),INDEX('Pace of change parameters'!$E$24:$I$24,1,$B$5),Q63)</f>
        <v>2.0738822378003872E-2</v>
      </c>
      <c r="U63" s="132">
        <v>1.4407336078410937E-2</v>
      </c>
      <c r="V63" s="117">
        <f t="shared" si="9"/>
        <v>393625</v>
      </c>
      <c r="W63" s="131">
        <f>IF(J63&gt;INDEX('Pace of change parameters'!$E$26:$I$26,1,$B$5),0,IF(J63&lt;INDEX('Pace of change parameters'!$E$25:$I$25,1,$B$5),1,(J63-INDEX('Pace of change parameters'!$E$26:$I$26,1,$B$5))/(INDEX('Pace of change parameters'!$E$25:$I$25,1,$B$5)-INDEX('Pace of change parameters'!$E$26:$I$26,1,$B$5))))</f>
        <v>1</v>
      </c>
      <c r="X63" s="132">
        <f>MIN(T63, T63+(INDEX('Pace of change parameters'!$E$27:$I$27,1,$B$5)-T63)*(1-W63))</f>
        <v>2.0738822378003872E-2</v>
      </c>
      <c r="Y63" s="132">
        <v>1.4407336078410937E-2</v>
      </c>
      <c r="Z63" s="108">
        <f t="shared" si="10"/>
        <v>393625</v>
      </c>
      <c r="AA63" s="97">
        <f>MIN(VLOOKUP(A63,'2018-19 disagg'!$A$12:$BB$220,54,FALSE),-2.5%)</f>
        <v>-2.5000000000000001E-2</v>
      </c>
      <c r="AB63" s="99">
        <f t="shared" si="2"/>
        <v>373321.44369976816</v>
      </c>
      <c r="AC63" s="99">
        <f>MAX(IF(INDEX('Pace of change parameters'!$E$29:$I$29,1,$B$5)=1,MAX(AB63,Z63),Z63),L63)</f>
        <v>393625</v>
      </c>
      <c r="AD63" s="97">
        <f t="shared" si="3"/>
        <v>2.4462165496348609E-2</v>
      </c>
      <c r="AE63" s="146">
        <v>1.8107583870678567E-2</v>
      </c>
      <c r="AF63" s="56">
        <f t="shared" si="11"/>
        <v>393625</v>
      </c>
      <c r="AG63" s="56">
        <v>1567.8910150635825</v>
      </c>
      <c r="AH63" s="16">
        <f t="shared" si="4"/>
        <v>2.4462165496348609E-2</v>
      </c>
      <c r="AI63" s="16">
        <f t="shared" si="5"/>
        <v>1.8107583870678345E-2</v>
      </c>
      <c r="AJ63" s="56"/>
      <c r="AK63" s="56">
        <v>382893.78841001866</v>
      </c>
      <c r="AL63" s="56">
        <v>1525.1463463238483</v>
      </c>
      <c r="AM63" s="16">
        <f t="shared" si="12"/>
        <v>2.8026601409605334E-2</v>
      </c>
      <c r="AN63" s="58">
        <f t="shared" si="12"/>
        <v>2.8026601409605112E-2</v>
      </c>
      <c r="AP63" s="56">
        <f t="shared" si="6"/>
        <v>1</v>
      </c>
      <c r="AQ63" s="56">
        <f t="shared" si="7"/>
        <v>0</v>
      </c>
    </row>
    <row r="64" spans="1:43" x14ac:dyDescent="0.2">
      <c r="A64" s="156" t="s">
        <v>173</v>
      </c>
      <c r="B64" s="156" t="s">
        <v>174</v>
      </c>
      <c r="D64" s="68">
        <f>VLOOKUP(A64,'2018-19 disagg'!A64:AZ272,43,FALSE)</f>
        <v>248219</v>
      </c>
      <c r="E64" s="73">
        <v>1720.8344319649277</v>
      </c>
      <c r="F64" s="55"/>
      <c r="G64" s="88">
        <v>232121.52932361697</v>
      </c>
      <c r="H64" s="81">
        <v>1606.3632864339406</v>
      </c>
      <c r="I64" s="90"/>
      <c r="J64" s="103">
        <f t="shared" si="8"/>
        <v>6.9349321983573686E-2</v>
      </c>
      <c r="K64" s="126">
        <f t="shared" si="8"/>
        <v>7.1261056884030394E-2</v>
      </c>
      <c r="L64" s="56">
        <v>253019</v>
      </c>
      <c r="M64" s="103">
        <v>1.5378058507460768E-2</v>
      </c>
      <c r="N64" s="97">
        <f>INDEX('Pace of change parameters'!$E$22:$I$22,1,$B$5)</f>
        <v>1.356605044543624E-2</v>
      </c>
      <c r="O64" s="108">
        <f>MAX(IF(INDEX('Pace of change parameters'!$E$30:$I$30,1,$B$5)=1,(1+M64)*D64,D64),L64)</f>
        <v>253019</v>
      </c>
      <c r="P64" s="94">
        <f>IF(K64&lt;INDEX('Pace of change parameters'!$E$18:$I$18,1,$B$5),1,IF(K64&gt;INDEX('Pace of change parameters'!$E$19:$I$19,1,$B$5),0,(K64-INDEX('Pace of change parameters'!$E$19:$I$19,1,$B$5))/(INDEX('Pace of change parameters'!$E$18:$I$18,1,$B$5)-INDEX('Pace of change parameters'!$E$19:$I$19,1,$B$5))))</f>
        <v>0</v>
      </c>
      <c r="Q64" s="57">
        <v>1.5378058507460768E-2</v>
      </c>
      <c r="R64" s="57">
        <v>1.356605044543624E-2</v>
      </c>
      <c r="S64" s="9">
        <f>MAX(IF(INDEX('Pace of change parameters'!$E$31:$I$31,1,$B$5)=1,D64*(1+Q64),D64),L64)</f>
        <v>253019</v>
      </c>
      <c r="T64" s="103">
        <f>IF(Q64&lt;INDEX('Pace of change parameters'!$E$24:$I$24,1,$B$5),INDEX('Pace of change parameters'!$E$24:$I$24,1,$B$5),Q64)</f>
        <v>2.0738822378003872E-2</v>
      </c>
      <c r="U64" s="132">
        <v>1.891724768484071E-2</v>
      </c>
      <c r="V64" s="117">
        <f t="shared" si="9"/>
        <v>253366.76975184574</v>
      </c>
      <c r="W64" s="131">
        <f>IF(J64&gt;INDEX('Pace of change parameters'!$E$26:$I$26,1,$B$5),0,IF(J64&lt;INDEX('Pace of change parameters'!$E$25:$I$25,1,$B$5),1,(J64-INDEX('Pace of change parameters'!$E$26:$I$26,1,$B$5))/(INDEX('Pace of change parameters'!$E$25:$I$25,1,$B$5)-INDEX('Pace of change parameters'!$E$26:$I$26,1,$B$5))))</f>
        <v>0.61301356032852639</v>
      </c>
      <c r="X64" s="132">
        <f>MIN(T64, T64+(INDEX('Pace of change parameters'!$E$27:$I$27,1,$B$5)-T64)*(1-W64))</f>
        <v>1.2766901720771516E-2</v>
      </c>
      <c r="Y64" s="132">
        <v>1.0959553437544622E-2</v>
      </c>
      <c r="Z64" s="108">
        <f t="shared" si="10"/>
        <v>253019</v>
      </c>
      <c r="AA64" s="97">
        <f>MIN(VLOOKUP(A64,'2018-19 disagg'!$A$12:$BB$220,54,FALSE),-2.5%)</f>
        <v>-2.5000000000000001E-2</v>
      </c>
      <c r="AB64" s="99">
        <f t="shared" si="2"/>
        <v>232271.59321929328</v>
      </c>
      <c r="AC64" s="99">
        <f>MAX(IF(INDEX('Pace of change parameters'!$E$29:$I$29,1,$B$5)=1,MAX(AB64,Z64),Z64),L64)</f>
        <v>253019</v>
      </c>
      <c r="AD64" s="97">
        <f t="shared" si="3"/>
        <v>1.9337762218041288E-2</v>
      </c>
      <c r="AE64" s="146">
        <v>1.751868780768806E-2</v>
      </c>
      <c r="AF64" s="56">
        <f t="shared" si="11"/>
        <v>253019</v>
      </c>
      <c r="AG64" s="56">
        <v>1750.9811931472414</v>
      </c>
      <c r="AH64" s="16">
        <f t="shared" si="4"/>
        <v>1.9337762218041288E-2</v>
      </c>
      <c r="AI64" s="16">
        <f t="shared" si="5"/>
        <v>1.751868780768806E-2</v>
      </c>
      <c r="AJ64" s="56"/>
      <c r="AK64" s="56">
        <v>238227.27509671106</v>
      </c>
      <c r="AL64" s="56">
        <v>1648.6172121028667</v>
      </c>
      <c r="AM64" s="16">
        <f t="shared" si="12"/>
        <v>6.2090811798456214E-2</v>
      </c>
      <c r="AN64" s="58">
        <f t="shared" si="12"/>
        <v>6.2090811798456214E-2</v>
      </c>
      <c r="AP64" s="56">
        <f t="shared" si="6"/>
        <v>1</v>
      </c>
      <c r="AQ64" s="56">
        <f t="shared" si="7"/>
        <v>0</v>
      </c>
    </row>
    <row r="65" spans="1:43" x14ac:dyDescent="0.2">
      <c r="A65" s="156" t="s">
        <v>175</v>
      </c>
      <c r="B65" s="156" t="s">
        <v>176</v>
      </c>
      <c r="D65" s="68">
        <f>VLOOKUP(A65,'2018-19 disagg'!A65:AZ273,43,FALSE)</f>
        <v>254312</v>
      </c>
      <c r="E65" s="73">
        <v>1556.8012907701113</v>
      </c>
      <c r="F65" s="55"/>
      <c r="G65" s="88">
        <v>248006.11620823521</v>
      </c>
      <c r="H65" s="81">
        <v>1513.4815955848937</v>
      </c>
      <c r="I65" s="90"/>
      <c r="J65" s="103">
        <f t="shared" si="8"/>
        <v>2.5426323705944887E-2</v>
      </c>
      <c r="K65" s="126">
        <f t="shared" si="8"/>
        <v>2.86225450719646E-2</v>
      </c>
      <c r="L65" s="56">
        <v>260372</v>
      </c>
      <c r="M65" s="103">
        <v>1.672530371543024E-2</v>
      </c>
      <c r="N65" s="97">
        <f>INDEX('Pace of change parameters'!$E$22:$I$22,1,$B$5)</f>
        <v>1.356605044543624E-2</v>
      </c>
      <c r="O65" s="108">
        <f>MAX(IF(INDEX('Pace of change parameters'!$E$30:$I$30,1,$B$5)=1,(1+M65)*D65,D65),L65)</f>
        <v>260372</v>
      </c>
      <c r="P65" s="94">
        <f>IF(K65&lt;INDEX('Pace of change parameters'!$E$18:$I$18,1,$B$5),1,IF(K65&gt;INDEX('Pace of change parameters'!$E$19:$I$19,1,$B$5),0,(K65-INDEX('Pace of change parameters'!$E$19:$I$19,1,$B$5))/(INDEX('Pace of change parameters'!$E$18:$I$18,1,$B$5)-INDEX('Pace of change parameters'!$E$19:$I$19,1,$B$5))))</f>
        <v>0</v>
      </c>
      <c r="Q65" s="57">
        <v>1.672530371543024E-2</v>
      </c>
      <c r="R65" s="57">
        <v>1.356605044543624E-2</v>
      </c>
      <c r="S65" s="9">
        <f>MAX(IF(INDEX('Pace of change parameters'!$E$31:$I$31,1,$B$5)=1,D65*(1+Q65),D65),L65)</f>
        <v>260372</v>
      </c>
      <c r="T65" s="103">
        <f>IF(Q65&lt;INDEX('Pace of change parameters'!$E$24:$I$24,1,$B$5),INDEX('Pace of change parameters'!$E$24:$I$24,1,$B$5),Q65)</f>
        <v>2.0738822378003872E-2</v>
      </c>
      <c r="U65" s="132">
        <v>1.7567097969628076E-2</v>
      </c>
      <c r="V65" s="117">
        <f t="shared" si="9"/>
        <v>260372</v>
      </c>
      <c r="W65" s="131">
        <f>IF(J65&gt;INDEX('Pace of change parameters'!$E$26:$I$26,1,$B$5),0,IF(J65&lt;INDEX('Pace of change parameters'!$E$25:$I$25,1,$B$5),1,(J65-INDEX('Pace of change parameters'!$E$26:$I$26,1,$B$5))/(INDEX('Pace of change parameters'!$E$25:$I$25,1,$B$5)-INDEX('Pace of change parameters'!$E$26:$I$26,1,$B$5))))</f>
        <v>1</v>
      </c>
      <c r="X65" s="132">
        <f>MIN(T65, T65+(INDEX('Pace of change parameters'!$E$27:$I$27,1,$B$5)-T65)*(1-W65))</f>
        <v>2.0738822378003872E-2</v>
      </c>
      <c r="Y65" s="132">
        <v>1.7567097969628076E-2</v>
      </c>
      <c r="Z65" s="108">
        <f t="shared" si="10"/>
        <v>260372</v>
      </c>
      <c r="AA65" s="97">
        <f>MIN(VLOOKUP(A65,'2018-19 disagg'!$A$12:$BB$220,54,FALSE),-2.5%)</f>
        <v>-2.5000000000000001E-2</v>
      </c>
      <c r="AB65" s="99">
        <f t="shared" si="2"/>
        <v>248171.24067571986</v>
      </c>
      <c r="AC65" s="99">
        <f>MAX(IF(INDEX('Pace of change parameters'!$E$29:$I$29,1,$B$5)=1,MAX(AB65,Z65),Z65),L65)</f>
        <v>260372</v>
      </c>
      <c r="AD65" s="97">
        <f t="shared" si="3"/>
        <v>2.3828997451948775E-2</v>
      </c>
      <c r="AE65" s="146">
        <v>2.064767099504361E-2</v>
      </c>
      <c r="AF65" s="56">
        <f t="shared" si="11"/>
        <v>260372</v>
      </c>
      <c r="AG65" s="56">
        <v>1588.9456116265919</v>
      </c>
      <c r="AH65" s="16">
        <f t="shared" si="4"/>
        <v>2.3828997451948775E-2</v>
      </c>
      <c r="AI65" s="16">
        <f t="shared" si="5"/>
        <v>2.064767099504361E-2</v>
      </c>
      <c r="AJ65" s="56"/>
      <c r="AK65" s="56">
        <v>254534.60582125114</v>
      </c>
      <c r="AL65" s="56">
        <v>1553.3223423670033</v>
      </c>
      <c r="AM65" s="16">
        <f t="shared" si="12"/>
        <v>2.293359741758727E-2</v>
      </c>
      <c r="AN65" s="58">
        <f t="shared" si="12"/>
        <v>2.293359741758727E-2</v>
      </c>
      <c r="AP65" s="56">
        <f t="shared" si="6"/>
        <v>1</v>
      </c>
      <c r="AQ65" s="56">
        <f t="shared" si="7"/>
        <v>0</v>
      </c>
    </row>
    <row r="66" spans="1:43" x14ac:dyDescent="0.2">
      <c r="A66" s="156" t="s">
        <v>177</v>
      </c>
      <c r="B66" s="156" t="s">
        <v>178</v>
      </c>
      <c r="D66" s="68">
        <f>VLOOKUP(A66,'2018-19 disagg'!A66:AZ274,43,FALSE)</f>
        <v>519955</v>
      </c>
      <c r="E66" s="73">
        <v>1770.4925811533092</v>
      </c>
      <c r="F66" s="55"/>
      <c r="G66" s="88">
        <v>508700.66586239717</v>
      </c>
      <c r="H66" s="81">
        <v>1728.1224258370255</v>
      </c>
      <c r="I66" s="90"/>
      <c r="J66" s="103">
        <f t="shared" si="8"/>
        <v>2.2123686664579978E-2</v>
      </c>
      <c r="K66" s="126">
        <f t="shared" si="8"/>
        <v>2.4518028747738452E-2</v>
      </c>
      <c r="L66" s="56">
        <v>532487</v>
      </c>
      <c r="M66" s="103">
        <v>1.5940346120514093E-2</v>
      </c>
      <c r="N66" s="97">
        <f>INDEX('Pace of change parameters'!$E$22:$I$22,1,$B$5)</f>
        <v>1.356605044543624E-2</v>
      </c>
      <c r="O66" s="108">
        <f>MAX(IF(INDEX('Pace of change parameters'!$E$30:$I$30,1,$B$5)=1,(1+M66)*D66,D66),L66)</f>
        <v>532487</v>
      </c>
      <c r="P66" s="94">
        <f>IF(K66&lt;INDEX('Pace of change parameters'!$E$18:$I$18,1,$B$5),1,IF(K66&gt;INDEX('Pace of change parameters'!$E$19:$I$19,1,$B$5),0,(K66-INDEX('Pace of change parameters'!$E$19:$I$19,1,$B$5))/(INDEX('Pace of change parameters'!$E$18:$I$18,1,$B$5)-INDEX('Pace of change parameters'!$E$19:$I$19,1,$B$5))))</f>
        <v>0</v>
      </c>
      <c r="Q66" s="57">
        <v>1.5940346120514093E-2</v>
      </c>
      <c r="R66" s="57">
        <v>1.356605044543624E-2</v>
      </c>
      <c r="S66" s="9">
        <f>MAX(IF(INDEX('Pace of change parameters'!$E$31:$I$31,1,$B$5)=1,D66*(1+Q66),D66),L66)</f>
        <v>532487</v>
      </c>
      <c r="T66" s="103">
        <f>IF(Q66&lt;INDEX('Pace of change parameters'!$E$24:$I$24,1,$B$5),INDEX('Pace of change parameters'!$E$24:$I$24,1,$B$5),Q66)</f>
        <v>2.0738822378003872E-2</v>
      </c>
      <c r="U66" s="132">
        <v>1.8353312460408056E-2</v>
      </c>
      <c r="V66" s="117">
        <f t="shared" si="9"/>
        <v>532487</v>
      </c>
      <c r="W66" s="131">
        <f>IF(J66&gt;INDEX('Pace of change parameters'!$E$26:$I$26,1,$B$5),0,IF(J66&lt;INDEX('Pace of change parameters'!$E$25:$I$25,1,$B$5),1,(J66-INDEX('Pace of change parameters'!$E$26:$I$26,1,$B$5))/(INDEX('Pace of change parameters'!$E$25:$I$25,1,$B$5)-INDEX('Pace of change parameters'!$E$26:$I$26,1,$B$5))))</f>
        <v>1</v>
      </c>
      <c r="X66" s="132">
        <f>MIN(T66, T66+(INDEX('Pace of change parameters'!$E$27:$I$27,1,$B$5)-T66)*(1-W66))</f>
        <v>2.0738822378003872E-2</v>
      </c>
      <c r="Y66" s="132">
        <v>1.8353312460408056E-2</v>
      </c>
      <c r="Z66" s="108">
        <f t="shared" si="10"/>
        <v>532487</v>
      </c>
      <c r="AA66" s="97">
        <f>MIN(VLOOKUP(A66,'2018-19 disagg'!$A$12:$BB$220,54,FALSE),-2.5%)</f>
        <v>-2.5000000000000001E-2</v>
      </c>
      <c r="AB66" s="99">
        <f t="shared" si="2"/>
        <v>509172.68378699839</v>
      </c>
      <c r="AC66" s="99">
        <f>MAX(IF(INDEX('Pace of change parameters'!$E$29:$I$29,1,$B$5)=1,MAX(AB66,Z66),Z66),L66)</f>
        <v>532487</v>
      </c>
      <c r="AD66" s="97">
        <f t="shared" si="3"/>
        <v>2.4102085757421232E-2</v>
      </c>
      <c r="AE66" s="146">
        <v>2.1708715750671237E-2</v>
      </c>
      <c r="AF66" s="56">
        <f t="shared" si="11"/>
        <v>532487</v>
      </c>
      <c r="AG66" s="56">
        <v>1808.9277013362387</v>
      </c>
      <c r="AH66" s="16">
        <f t="shared" si="4"/>
        <v>2.4102085757421232E-2</v>
      </c>
      <c r="AI66" s="16">
        <f t="shared" si="5"/>
        <v>2.1708715750671237E-2</v>
      </c>
      <c r="AJ66" s="56"/>
      <c r="AK66" s="56">
        <v>522228.39362769068</v>
      </c>
      <c r="AL66" s="56">
        <v>1774.0778791922712</v>
      </c>
      <c r="AM66" s="16">
        <f t="shared" si="12"/>
        <v>1.9643907718320808E-2</v>
      </c>
      <c r="AN66" s="58">
        <f t="shared" si="12"/>
        <v>1.9643907718320808E-2</v>
      </c>
      <c r="AP66" s="56">
        <f t="shared" si="6"/>
        <v>1</v>
      </c>
      <c r="AQ66" s="56">
        <f t="shared" si="7"/>
        <v>0</v>
      </c>
    </row>
    <row r="67" spans="1:43" x14ac:dyDescent="0.2">
      <c r="A67" s="156" t="s">
        <v>179</v>
      </c>
      <c r="B67" s="156" t="s">
        <v>180</v>
      </c>
      <c r="D67" s="68">
        <f>VLOOKUP(A67,'2018-19 disagg'!A67:AZ275,43,FALSE)</f>
        <v>349085</v>
      </c>
      <c r="E67" s="73">
        <v>1611.3423766506539</v>
      </c>
      <c r="F67" s="55"/>
      <c r="G67" s="88">
        <v>338771.12270375562</v>
      </c>
      <c r="H67" s="81">
        <v>1552.0154937735604</v>
      </c>
      <c r="I67" s="90"/>
      <c r="J67" s="103">
        <f t="shared" si="8"/>
        <v>3.044497185571382E-2</v>
      </c>
      <c r="K67" s="126">
        <f t="shared" si="8"/>
        <v>3.8225702716953247E-2</v>
      </c>
      <c r="L67" s="56">
        <v>358304</v>
      </c>
      <c r="M67" s="103">
        <v>2.1219331177548817E-2</v>
      </c>
      <c r="N67" s="97">
        <f>INDEX('Pace of change parameters'!$E$22:$I$22,1,$B$5)</f>
        <v>1.356605044543624E-2</v>
      </c>
      <c r="O67" s="108">
        <f>MAX(IF(INDEX('Pace of change parameters'!$E$30:$I$30,1,$B$5)=1,(1+M67)*D67,D67),L67)</f>
        <v>358304</v>
      </c>
      <c r="P67" s="94">
        <f>IF(K67&lt;INDEX('Pace of change parameters'!$E$18:$I$18,1,$B$5),1,IF(K67&gt;INDEX('Pace of change parameters'!$E$19:$I$19,1,$B$5),0,(K67-INDEX('Pace of change parameters'!$E$19:$I$19,1,$B$5))/(INDEX('Pace of change parameters'!$E$18:$I$18,1,$B$5)-INDEX('Pace of change parameters'!$E$19:$I$19,1,$B$5))))</f>
        <v>0</v>
      </c>
      <c r="Q67" s="57">
        <v>2.1219331177548817E-2</v>
      </c>
      <c r="R67" s="57">
        <v>1.356605044543624E-2</v>
      </c>
      <c r="S67" s="9">
        <f>MAX(IF(INDEX('Pace of change parameters'!$E$31:$I$31,1,$B$5)=1,D67*(1+Q67),D67),L67)</f>
        <v>358304</v>
      </c>
      <c r="T67" s="103">
        <f>IF(Q67&lt;INDEX('Pace of change parameters'!$E$24:$I$24,1,$B$5),INDEX('Pace of change parameters'!$E$24:$I$24,1,$B$5),Q67)</f>
        <v>2.1219331177548817E-2</v>
      </c>
      <c r="U67" s="132">
        <v>1.356605044543624E-2</v>
      </c>
      <c r="V67" s="117">
        <f t="shared" si="9"/>
        <v>358304</v>
      </c>
      <c r="W67" s="131">
        <f>IF(J67&gt;INDEX('Pace of change parameters'!$E$26:$I$26,1,$B$5),0,IF(J67&lt;INDEX('Pace of change parameters'!$E$25:$I$25,1,$B$5),1,(J67-INDEX('Pace of change parameters'!$E$26:$I$26,1,$B$5))/(INDEX('Pace of change parameters'!$E$25:$I$25,1,$B$5)-INDEX('Pace of change parameters'!$E$26:$I$26,1,$B$5))))</f>
        <v>1</v>
      </c>
      <c r="X67" s="132">
        <f>MIN(T67, T67+(INDEX('Pace of change parameters'!$E$27:$I$27,1,$B$5)-T67)*(1-W67))</f>
        <v>2.1219331177548817E-2</v>
      </c>
      <c r="Y67" s="132">
        <v>1.356605044543624E-2</v>
      </c>
      <c r="Z67" s="108">
        <f t="shared" si="10"/>
        <v>358304</v>
      </c>
      <c r="AA67" s="97">
        <f>MIN(VLOOKUP(A67,'2018-19 disagg'!$A$12:$BB$220,54,FALSE),-2.5%)</f>
        <v>-2.5000000000000001E-2</v>
      </c>
      <c r="AB67" s="99">
        <f t="shared" si="2"/>
        <v>339083.78571785818</v>
      </c>
      <c r="AC67" s="99">
        <f>MAX(IF(INDEX('Pace of change parameters'!$E$29:$I$29,1,$B$5)=1,MAX(AB67,Z67),Z67),L67)</f>
        <v>358304</v>
      </c>
      <c r="AD67" s="97">
        <f t="shared" si="3"/>
        <v>2.6409040778033965E-2</v>
      </c>
      <c r="AE67" s="146">
        <v>1.8716867025315498E-2</v>
      </c>
      <c r="AF67" s="56">
        <f t="shared" si="11"/>
        <v>358304</v>
      </c>
      <c r="AG67" s="56">
        <v>1641.5016576466803</v>
      </c>
      <c r="AH67" s="16">
        <f t="shared" si="4"/>
        <v>2.6409040778033965E-2</v>
      </c>
      <c r="AI67" s="16">
        <f t="shared" si="5"/>
        <v>1.871686702531572E-2</v>
      </c>
      <c r="AJ67" s="56"/>
      <c r="AK67" s="56">
        <v>347778.24176190584</v>
      </c>
      <c r="AL67" s="56">
        <v>1593.2798973654114</v>
      </c>
      <c r="AM67" s="16">
        <f t="shared" si="12"/>
        <v>3.0265718133396735E-2</v>
      </c>
      <c r="AN67" s="58">
        <f t="shared" si="12"/>
        <v>3.0265718133396735E-2</v>
      </c>
      <c r="AP67" s="56">
        <f t="shared" si="6"/>
        <v>1</v>
      </c>
      <c r="AQ67" s="56">
        <f t="shared" si="7"/>
        <v>0</v>
      </c>
    </row>
    <row r="68" spans="1:43" x14ac:dyDescent="0.2">
      <c r="A68" s="156" t="s">
        <v>181</v>
      </c>
      <c r="B68" s="156" t="s">
        <v>182</v>
      </c>
      <c r="D68" s="68">
        <f>VLOOKUP(A68,'2018-19 disagg'!A68:AZ276,43,FALSE)</f>
        <v>511921</v>
      </c>
      <c r="E68" s="73">
        <v>1836.8286841835757</v>
      </c>
      <c r="F68" s="55"/>
      <c r="G68" s="88">
        <v>507121.80905714602</v>
      </c>
      <c r="H68" s="81">
        <v>1807.8856546918239</v>
      </c>
      <c r="I68" s="90"/>
      <c r="J68" s="103">
        <f t="shared" si="8"/>
        <v>9.4635861781939834E-3</v>
      </c>
      <c r="K68" s="126">
        <f t="shared" si="8"/>
        <v>1.600932526713672E-2</v>
      </c>
      <c r="L68" s="56">
        <v>525219</v>
      </c>
      <c r="M68" s="103">
        <v>2.0138391445614356E-2</v>
      </c>
      <c r="N68" s="97">
        <f>INDEX('Pace of change parameters'!$E$22:$I$22,1,$B$5)</f>
        <v>1.356605044543624E-2</v>
      </c>
      <c r="O68" s="108">
        <f>MAX(IF(INDEX('Pace of change parameters'!$E$30:$I$30,1,$B$5)=1,(1+M68)*D68,D68),L68)</f>
        <v>525219</v>
      </c>
      <c r="P68" s="94">
        <f>IF(K68&lt;INDEX('Pace of change parameters'!$E$18:$I$18,1,$B$5),1,IF(K68&gt;INDEX('Pace of change parameters'!$E$19:$I$19,1,$B$5),0,(K68-INDEX('Pace of change parameters'!$E$19:$I$19,1,$B$5))/(INDEX('Pace of change parameters'!$E$18:$I$18,1,$B$5)-INDEX('Pace of change parameters'!$E$19:$I$19,1,$B$5))))</f>
        <v>0</v>
      </c>
      <c r="Q68" s="57">
        <v>2.0138391445614356E-2</v>
      </c>
      <c r="R68" s="57">
        <v>1.356605044543624E-2</v>
      </c>
      <c r="S68" s="9">
        <f>MAX(IF(INDEX('Pace of change parameters'!$E$31:$I$31,1,$B$5)=1,D68*(1+Q68),D68),L68)</f>
        <v>525219</v>
      </c>
      <c r="T68" s="103">
        <f>IF(Q68&lt;INDEX('Pace of change parameters'!$E$24:$I$24,1,$B$5),INDEX('Pace of change parameters'!$E$24:$I$24,1,$B$5),Q68)</f>
        <v>2.0738822378003872E-2</v>
      </c>
      <c r="U68" s="132">
        <v>1.4162613043031236E-2</v>
      </c>
      <c r="V68" s="117">
        <f t="shared" si="9"/>
        <v>525219</v>
      </c>
      <c r="W68" s="131">
        <f>IF(J68&gt;INDEX('Pace of change parameters'!$E$26:$I$26,1,$B$5),0,IF(J68&lt;INDEX('Pace of change parameters'!$E$25:$I$25,1,$B$5),1,(J68-INDEX('Pace of change parameters'!$E$26:$I$26,1,$B$5))/(INDEX('Pace of change parameters'!$E$25:$I$25,1,$B$5)-INDEX('Pace of change parameters'!$E$26:$I$26,1,$B$5))))</f>
        <v>1</v>
      </c>
      <c r="X68" s="132">
        <f>MIN(T68, T68+(INDEX('Pace of change parameters'!$E$27:$I$27,1,$B$5)-T68)*(1-W68))</f>
        <v>2.0738822378003872E-2</v>
      </c>
      <c r="Y68" s="132">
        <v>1.4162613043031236E-2</v>
      </c>
      <c r="Z68" s="108">
        <f t="shared" si="10"/>
        <v>525219</v>
      </c>
      <c r="AA68" s="97">
        <f>MIN(VLOOKUP(A68,'2018-19 disagg'!$A$12:$BB$220,54,FALSE),-2.5%)</f>
        <v>-2.5000000000000001E-2</v>
      </c>
      <c r="AB68" s="99">
        <f t="shared" si="2"/>
        <v>507577.54464922549</v>
      </c>
      <c r="AC68" s="99">
        <f>MAX(IF(INDEX('Pace of change parameters'!$E$29:$I$29,1,$B$5)=1,MAX(AB68,Z68),Z68),L68)</f>
        <v>525219</v>
      </c>
      <c r="AD68" s="97">
        <f t="shared" si="3"/>
        <v>2.597666436813495E-2</v>
      </c>
      <c r="AE68" s="146">
        <v>1.9366709725709086E-2</v>
      </c>
      <c r="AF68" s="56">
        <f t="shared" si="11"/>
        <v>525219</v>
      </c>
      <c r="AG68" s="56">
        <v>1872.4020121260151</v>
      </c>
      <c r="AH68" s="16">
        <f t="shared" si="4"/>
        <v>2.597666436813495E-2</v>
      </c>
      <c r="AI68" s="16">
        <f t="shared" si="5"/>
        <v>1.9366709725709086E-2</v>
      </c>
      <c r="AJ68" s="56"/>
      <c r="AK68" s="56">
        <v>520592.35348638514</v>
      </c>
      <c r="AL68" s="56">
        <v>1855.9080500997209</v>
      </c>
      <c r="AM68" s="16">
        <f t="shared" si="12"/>
        <v>8.8872732813503053E-3</v>
      </c>
      <c r="AN68" s="58">
        <f t="shared" si="12"/>
        <v>8.8872732813503053E-3</v>
      </c>
      <c r="AP68" s="56">
        <f t="shared" si="6"/>
        <v>1</v>
      </c>
      <c r="AQ68" s="56">
        <f t="shared" si="7"/>
        <v>0</v>
      </c>
    </row>
    <row r="69" spans="1:43" x14ac:dyDescent="0.2">
      <c r="A69" s="156" t="s">
        <v>183</v>
      </c>
      <c r="B69" s="156" t="s">
        <v>184</v>
      </c>
      <c r="D69" s="68">
        <f>VLOOKUP(A69,'2018-19 disagg'!A69:AZ277,43,FALSE)</f>
        <v>561627</v>
      </c>
      <c r="E69" s="73">
        <v>1504.3387939315517</v>
      </c>
      <c r="F69" s="55"/>
      <c r="G69" s="88">
        <v>545221.87410035753</v>
      </c>
      <c r="H69" s="81">
        <v>1453.8384014782687</v>
      </c>
      <c r="I69" s="90"/>
      <c r="J69" s="103">
        <f t="shared" si="8"/>
        <v>3.0088898994949043E-2</v>
      </c>
      <c r="K69" s="126">
        <f t="shared" si="8"/>
        <v>3.4735904899701353E-2</v>
      </c>
      <c r="L69" s="56">
        <v>575681</v>
      </c>
      <c r="M69" s="103">
        <v>1.813851737122496E-2</v>
      </c>
      <c r="N69" s="97">
        <f>INDEX('Pace of change parameters'!$E$22:$I$22,1,$B$5)</f>
        <v>1.356605044543624E-2</v>
      </c>
      <c r="O69" s="108">
        <f>MAX(IF(INDEX('Pace of change parameters'!$E$30:$I$30,1,$B$5)=1,(1+M69)*D69,D69),L69)</f>
        <v>575681</v>
      </c>
      <c r="P69" s="94">
        <f>IF(K69&lt;INDEX('Pace of change parameters'!$E$18:$I$18,1,$B$5),1,IF(K69&gt;INDEX('Pace of change parameters'!$E$19:$I$19,1,$B$5),0,(K69-INDEX('Pace of change parameters'!$E$19:$I$19,1,$B$5))/(INDEX('Pace of change parameters'!$E$18:$I$18,1,$B$5)-INDEX('Pace of change parameters'!$E$19:$I$19,1,$B$5))))</f>
        <v>0</v>
      </c>
      <c r="Q69" s="57">
        <v>1.813851737122496E-2</v>
      </c>
      <c r="R69" s="57">
        <v>1.356605044543624E-2</v>
      </c>
      <c r="S69" s="9">
        <f>MAX(IF(INDEX('Pace of change parameters'!$E$31:$I$31,1,$B$5)=1,D69*(1+Q69),D69),L69)</f>
        <v>575681</v>
      </c>
      <c r="T69" s="103">
        <f>IF(Q69&lt;INDEX('Pace of change parameters'!$E$24:$I$24,1,$B$5),INDEX('Pace of change parameters'!$E$24:$I$24,1,$B$5),Q69)</f>
        <v>2.0738822378003872E-2</v>
      </c>
      <c r="U69" s="132">
        <v>1.6154677464949474E-2</v>
      </c>
      <c r="V69" s="117">
        <f t="shared" si="9"/>
        <v>575681</v>
      </c>
      <c r="W69" s="131">
        <f>IF(J69&gt;INDEX('Pace of change parameters'!$E$26:$I$26,1,$B$5),0,IF(J69&lt;INDEX('Pace of change parameters'!$E$25:$I$25,1,$B$5),1,(J69-INDEX('Pace of change parameters'!$E$26:$I$26,1,$B$5))/(INDEX('Pace of change parameters'!$E$25:$I$25,1,$B$5)-INDEX('Pace of change parameters'!$E$26:$I$26,1,$B$5))))</f>
        <v>1</v>
      </c>
      <c r="X69" s="132">
        <f>MIN(T69, T69+(INDEX('Pace of change parameters'!$E$27:$I$27,1,$B$5)-T69)*(1-W69))</f>
        <v>2.0738822378003872E-2</v>
      </c>
      <c r="Y69" s="132">
        <v>1.6154677464949474E-2</v>
      </c>
      <c r="Z69" s="108">
        <f t="shared" si="10"/>
        <v>575681</v>
      </c>
      <c r="AA69" s="97">
        <f>MIN(VLOOKUP(A69,'2018-19 disagg'!$A$12:$BB$220,54,FALSE),-2.5%)</f>
        <v>-2.5000000000000001E-2</v>
      </c>
      <c r="AB69" s="99">
        <f t="shared" si="2"/>
        <v>545529.50638288911</v>
      </c>
      <c r="AC69" s="99">
        <f>MAX(IF(INDEX('Pace of change parameters'!$E$29:$I$29,1,$B$5)=1,MAX(AB69,Z69),Z69),L69)</f>
        <v>575681</v>
      </c>
      <c r="AD69" s="97">
        <f t="shared" si="3"/>
        <v>2.5023725711192712E-2</v>
      </c>
      <c r="AE69" s="146">
        <v>2.0420337268464372E-2</v>
      </c>
      <c r="AF69" s="56">
        <f t="shared" si="11"/>
        <v>575681</v>
      </c>
      <c r="AG69" s="56">
        <v>1535.0578994696691</v>
      </c>
      <c r="AH69" s="16">
        <f t="shared" si="4"/>
        <v>2.5023725711192712E-2</v>
      </c>
      <c r="AI69" s="16">
        <f t="shared" si="5"/>
        <v>2.0420337268464595E-2</v>
      </c>
      <c r="AJ69" s="56"/>
      <c r="AK69" s="56">
        <v>559517.44244398887</v>
      </c>
      <c r="AL69" s="56">
        <v>1491.9576465346452</v>
      </c>
      <c r="AM69" s="16">
        <f t="shared" si="12"/>
        <v>2.888838904719071E-2</v>
      </c>
      <c r="AN69" s="58">
        <f t="shared" si="12"/>
        <v>2.888838904719071E-2</v>
      </c>
      <c r="AP69" s="56">
        <f t="shared" si="6"/>
        <v>1</v>
      </c>
      <c r="AQ69" s="56">
        <f t="shared" si="7"/>
        <v>0</v>
      </c>
    </row>
    <row r="70" spans="1:43" x14ac:dyDescent="0.2">
      <c r="A70" s="156" t="s">
        <v>185</v>
      </c>
      <c r="B70" s="156" t="s">
        <v>186</v>
      </c>
      <c r="D70" s="68">
        <f>VLOOKUP(A70,'2018-19 disagg'!A70:AZ278,43,FALSE)</f>
        <v>301130</v>
      </c>
      <c r="E70" s="73">
        <v>1775.5817908502829</v>
      </c>
      <c r="F70" s="55"/>
      <c r="G70" s="88">
        <v>290899.09272870957</v>
      </c>
      <c r="H70" s="81">
        <v>1712.8665856962041</v>
      </c>
      <c r="I70" s="90"/>
      <c r="J70" s="103">
        <f t="shared" si="8"/>
        <v>3.5169952492191792E-2</v>
      </c>
      <c r="K70" s="126">
        <f t="shared" si="8"/>
        <v>3.661417980699766E-2</v>
      </c>
      <c r="L70" s="56">
        <v>307875</v>
      </c>
      <c r="M70" s="103">
        <v>1.4980136868529392E-2</v>
      </c>
      <c r="N70" s="97">
        <f>INDEX('Pace of change parameters'!$E$22:$I$22,1,$B$5)</f>
        <v>1.356605044543624E-2</v>
      </c>
      <c r="O70" s="108">
        <f>MAX(IF(INDEX('Pace of change parameters'!$E$30:$I$30,1,$B$5)=1,(1+M70)*D70,D70),L70)</f>
        <v>307875</v>
      </c>
      <c r="P70" s="94">
        <f>IF(K70&lt;INDEX('Pace of change parameters'!$E$18:$I$18,1,$B$5),1,IF(K70&gt;INDEX('Pace of change parameters'!$E$19:$I$19,1,$B$5),0,(K70-INDEX('Pace of change parameters'!$E$19:$I$19,1,$B$5))/(INDEX('Pace of change parameters'!$E$18:$I$18,1,$B$5)-INDEX('Pace of change parameters'!$E$19:$I$19,1,$B$5))))</f>
        <v>0</v>
      </c>
      <c r="Q70" s="57">
        <v>1.4980136868529392E-2</v>
      </c>
      <c r="R70" s="57">
        <v>1.356605044543624E-2</v>
      </c>
      <c r="S70" s="9">
        <f>MAX(IF(INDEX('Pace of change parameters'!$E$31:$I$31,1,$B$5)=1,D70*(1+Q70),D70),L70)</f>
        <v>307875</v>
      </c>
      <c r="T70" s="103">
        <f>IF(Q70&lt;INDEX('Pace of change parameters'!$E$24:$I$24,1,$B$5),INDEX('Pace of change parameters'!$E$24:$I$24,1,$B$5),Q70)</f>
        <v>2.0738822378003872E-2</v>
      </c>
      <c r="U70" s="132">
        <v>1.9316712862933016E-2</v>
      </c>
      <c r="V70" s="117">
        <f t="shared" si="9"/>
        <v>307875</v>
      </c>
      <c r="W70" s="131">
        <f>IF(J70&gt;INDEX('Pace of change parameters'!$E$26:$I$26,1,$B$5),0,IF(J70&lt;INDEX('Pace of change parameters'!$E$25:$I$25,1,$B$5),1,(J70-INDEX('Pace of change parameters'!$E$26:$I$26,1,$B$5))/(INDEX('Pace of change parameters'!$E$25:$I$25,1,$B$5)-INDEX('Pace of change parameters'!$E$26:$I$26,1,$B$5))))</f>
        <v>1</v>
      </c>
      <c r="X70" s="132">
        <f>MIN(T70, T70+(INDEX('Pace of change parameters'!$E$27:$I$27,1,$B$5)-T70)*(1-W70))</f>
        <v>2.0738822378003872E-2</v>
      </c>
      <c r="Y70" s="132">
        <v>1.9316712862933016E-2</v>
      </c>
      <c r="Z70" s="108">
        <f t="shared" si="10"/>
        <v>307875</v>
      </c>
      <c r="AA70" s="97">
        <f>MIN(VLOOKUP(A70,'2018-19 disagg'!$A$12:$BB$220,54,FALSE),-2.5%)</f>
        <v>-2.5000000000000001E-2</v>
      </c>
      <c r="AB70" s="99">
        <f t="shared" si="2"/>
        <v>291126.92232650402</v>
      </c>
      <c r="AC70" s="99">
        <f>MAX(IF(INDEX('Pace of change parameters'!$E$29:$I$29,1,$B$5)=1,MAX(AB70,Z70),Z70),L70)</f>
        <v>307875</v>
      </c>
      <c r="AD70" s="97">
        <f t="shared" si="3"/>
        <v>2.2398963902633406E-2</v>
      </c>
      <c r="AE70" s="146">
        <v>2.0974541452062345E-2</v>
      </c>
      <c r="AF70" s="56">
        <f t="shared" si="11"/>
        <v>307875</v>
      </c>
      <c r="AG70" s="56">
        <v>1812.8238047239995</v>
      </c>
      <c r="AH70" s="16">
        <f t="shared" si="4"/>
        <v>2.2398963902633406E-2</v>
      </c>
      <c r="AI70" s="16">
        <f t="shared" si="5"/>
        <v>2.0974541452062567E-2</v>
      </c>
      <c r="AJ70" s="56"/>
      <c r="AK70" s="56">
        <v>298591.71520667081</v>
      </c>
      <c r="AL70" s="56">
        <v>1758.1621411937374</v>
      </c>
      <c r="AM70" s="16">
        <f t="shared" si="12"/>
        <v>3.1090228966680344E-2</v>
      </c>
      <c r="AN70" s="58">
        <f t="shared" si="12"/>
        <v>3.1090228966680344E-2</v>
      </c>
      <c r="AP70" s="56">
        <f t="shared" si="6"/>
        <v>1</v>
      </c>
      <c r="AQ70" s="56">
        <f t="shared" si="7"/>
        <v>0</v>
      </c>
    </row>
    <row r="71" spans="1:43" x14ac:dyDescent="0.2">
      <c r="A71" s="156" t="s">
        <v>187</v>
      </c>
      <c r="B71" s="156" t="s">
        <v>188</v>
      </c>
      <c r="D71" s="68">
        <f>VLOOKUP(A71,'2018-19 disagg'!A71:AZ279,43,FALSE)</f>
        <v>320178</v>
      </c>
      <c r="E71" s="73">
        <v>1651.1556467840289</v>
      </c>
      <c r="F71" s="55"/>
      <c r="G71" s="88">
        <v>306941.70039212448</v>
      </c>
      <c r="H71" s="81">
        <v>1572.6453600336931</v>
      </c>
      <c r="I71" s="90"/>
      <c r="J71" s="103">
        <f t="shared" si="8"/>
        <v>4.312317156960388E-2</v>
      </c>
      <c r="K71" s="126">
        <f t="shared" si="8"/>
        <v>4.9922435626970518E-2</v>
      </c>
      <c r="L71" s="56">
        <v>328143</v>
      </c>
      <c r="M71" s="103">
        <v>2.0172655882252144E-2</v>
      </c>
      <c r="N71" s="97">
        <f>INDEX('Pace of change parameters'!$E$22:$I$22,1,$B$5)</f>
        <v>1.356605044543624E-2</v>
      </c>
      <c r="O71" s="108">
        <f>MAX(IF(INDEX('Pace of change parameters'!$E$30:$I$30,1,$B$5)=1,(1+M71)*D71,D71),L71)</f>
        <v>328143</v>
      </c>
      <c r="P71" s="94">
        <f>IF(K71&lt;INDEX('Pace of change parameters'!$E$18:$I$18,1,$B$5),1,IF(K71&gt;INDEX('Pace of change parameters'!$E$19:$I$19,1,$B$5),0,(K71-INDEX('Pace of change parameters'!$E$19:$I$19,1,$B$5))/(INDEX('Pace of change parameters'!$E$18:$I$18,1,$B$5)-INDEX('Pace of change parameters'!$E$19:$I$19,1,$B$5))))</f>
        <v>0</v>
      </c>
      <c r="Q71" s="57">
        <v>2.0172655882252144E-2</v>
      </c>
      <c r="R71" s="57">
        <v>1.356605044543624E-2</v>
      </c>
      <c r="S71" s="9">
        <f>MAX(IF(INDEX('Pace of change parameters'!$E$31:$I$31,1,$B$5)=1,D71*(1+Q71),D71),L71)</f>
        <v>328143</v>
      </c>
      <c r="T71" s="103">
        <f>IF(Q71&lt;INDEX('Pace of change parameters'!$E$24:$I$24,1,$B$5),INDEX('Pace of change parameters'!$E$24:$I$24,1,$B$5),Q71)</f>
        <v>2.0738822378003872E-2</v>
      </c>
      <c r="U71" s="132">
        <v>1.4128550465099421E-2</v>
      </c>
      <c r="V71" s="117">
        <f t="shared" si="9"/>
        <v>328143</v>
      </c>
      <c r="W71" s="131">
        <f>IF(J71&gt;INDEX('Pace of change parameters'!$E$26:$I$26,1,$B$5),0,IF(J71&lt;INDEX('Pace of change parameters'!$E$25:$I$25,1,$B$5),1,(J71-INDEX('Pace of change parameters'!$E$26:$I$26,1,$B$5))/(INDEX('Pace of change parameters'!$E$25:$I$25,1,$B$5)-INDEX('Pace of change parameters'!$E$26:$I$26,1,$B$5))))</f>
        <v>1</v>
      </c>
      <c r="X71" s="132">
        <f>MIN(T71, T71+(INDEX('Pace of change parameters'!$E$27:$I$27,1,$B$5)-T71)*(1-W71))</f>
        <v>2.0738822378003872E-2</v>
      </c>
      <c r="Y71" s="132">
        <v>1.4128550465099421E-2</v>
      </c>
      <c r="Z71" s="108">
        <f t="shared" si="10"/>
        <v>328143</v>
      </c>
      <c r="AA71" s="97">
        <f>MIN(VLOOKUP(A71,'2018-19 disagg'!$A$12:$BB$220,54,FALSE),-2.5%)</f>
        <v>-2.5000000000000001E-2</v>
      </c>
      <c r="AB71" s="99">
        <f t="shared" si="2"/>
        <v>307189.35741640953</v>
      </c>
      <c r="AC71" s="99">
        <f>MAX(IF(INDEX('Pace of change parameters'!$E$29:$I$29,1,$B$5)=1,MAX(AB71,Z71),Z71),L71)</f>
        <v>328143</v>
      </c>
      <c r="AD71" s="97">
        <f t="shared" si="3"/>
        <v>2.4876787287071656E-2</v>
      </c>
      <c r="AE71" s="146">
        <v>1.8239718045981679E-2</v>
      </c>
      <c r="AF71" s="56">
        <f t="shared" si="11"/>
        <v>328143</v>
      </c>
      <c r="AG71" s="56">
        <v>1681.2722602313995</v>
      </c>
      <c r="AH71" s="16">
        <f t="shared" si="4"/>
        <v>2.4876787287071656E-2</v>
      </c>
      <c r="AI71" s="16">
        <f t="shared" si="5"/>
        <v>1.8239718045981235E-2</v>
      </c>
      <c r="AJ71" s="56"/>
      <c r="AK71" s="56">
        <v>315066.00760657387</v>
      </c>
      <c r="AL71" s="56">
        <v>1614.2710304068282</v>
      </c>
      <c r="AM71" s="16">
        <f t="shared" si="12"/>
        <v>4.1505564160242647E-2</v>
      </c>
      <c r="AN71" s="58">
        <f t="shared" si="12"/>
        <v>4.1505564160242425E-2</v>
      </c>
      <c r="AP71" s="56">
        <f t="shared" si="6"/>
        <v>1</v>
      </c>
      <c r="AQ71" s="56">
        <f t="shared" si="7"/>
        <v>0</v>
      </c>
    </row>
    <row r="72" spans="1:43" x14ac:dyDescent="0.2">
      <c r="A72" s="156" t="s">
        <v>189</v>
      </c>
      <c r="B72" s="156" t="s">
        <v>190</v>
      </c>
      <c r="D72" s="68">
        <f>VLOOKUP(A72,'2018-19 disagg'!A72:AZ280,43,FALSE)</f>
        <v>287293</v>
      </c>
      <c r="E72" s="73">
        <v>1649.476517420401</v>
      </c>
      <c r="F72" s="55"/>
      <c r="G72" s="88">
        <v>288325.6954160824</v>
      </c>
      <c r="H72" s="81">
        <v>1647.6451752108301</v>
      </c>
      <c r="I72" s="90"/>
      <c r="J72" s="103">
        <f t="shared" si="8"/>
        <v>-3.5816974778890565E-3</v>
      </c>
      <c r="K72" s="126">
        <f t="shared" si="8"/>
        <v>1.1114906517033507E-3</v>
      </c>
      <c r="L72" s="56">
        <v>294334</v>
      </c>
      <c r="M72" s="103">
        <v>1.8340005464596354E-2</v>
      </c>
      <c r="N72" s="97">
        <f>INDEX('Pace of change parameters'!$E$22:$I$22,1,$B$5)</f>
        <v>1.356605044543624E-2</v>
      </c>
      <c r="O72" s="108">
        <f>MAX(IF(INDEX('Pace of change parameters'!$E$30:$I$30,1,$B$5)=1,(1+M72)*D72,D72),L72)</f>
        <v>294334</v>
      </c>
      <c r="P72" s="94">
        <f>IF(K72&lt;INDEX('Pace of change parameters'!$E$18:$I$18,1,$B$5),1,IF(K72&gt;INDEX('Pace of change parameters'!$E$19:$I$19,1,$B$5),0,(K72-INDEX('Pace of change parameters'!$E$19:$I$19,1,$B$5))/(INDEX('Pace of change parameters'!$E$18:$I$18,1,$B$5)-INDEX('Pace of change parameters'!$E$19:$I$19,1,$B$5))))</f>
        <v>2.0627859301901953E-2</v>
      </c>
      <c r="Q72" s="57">
        <v>1.8602933337598326E-2</v>
      </c>
      <c r="R72" s="57">
        <v>1.3827745718488993E-2</v>
      </c>
      <c r="S72" s="9">
        <f>MAX(IF(INDEX('Pace of change parameters'!$E$31:$I$31,1,$B$5)=1,D72*(1+Q72),D72),L72)</f>
        <v>294334</v>
      </c>
      <c r="T72" s="103">
        <f>IF(Q72&lt;INDEX('Pace of change parameters'!$E$24:$I$24,1,$B$5),INDEX('Pace of change parameters'!$E$24:$I$24,1,$B$5),Q72)</f>
        <v>2.0738822378003872E-2</v>
      </c>
      <c r="U72" s="132">
        <v>1.5953621759159597E-2</v>
      </c>
      <c r="V72" s="117">
        <f t="shared" si="9"/>
        <v>294334</v>
      </c>
      <c r="W72" s="131">
        <f>IF(J72&gt;INDEX('Pace of change parameters'!$E$26:$I$26,1,$B$5),0,IF(J72&lt;INDEX('Pace of change parameters'!$E$25:$I$25,1,$B$5),1,(J72-INDEX('Pace of change parameters'!$E$26:$I$26,1,$B$5))/(INDEX('Pace of change parameters'!$E$25:$I$25,1,$B$5)-INDEX('Pace of change parameters'!$E$26:$I$26,1,$B$5))))</f>
        <v>1</v>
      </c>
      <c r="X72" s="132">
        <f>MIN(T72, T72+(INDEX('Pace of change parameters'!$E$27:$I$27,1,$B$5)-T72)*(1-W72))</f>
        <v>2.0738822378003872E-2</v>
      </c>
      <c r="Y72" s="132">
        <v>1.5953621759159597E-2</v>
      </c>
      <c r="Z72" s="108">
        <f t="shared" si="10"/>
        <v>294334</v>
      </c>
      <c r="AA72" s="97">
        <f>MIN(VLOOKUP(A72,'2018-19 disagg'!$A$12:$BB$220,54,FALSE),-2.5%)</f>
        <v>-2.5000000000000001E-2</v>
      </c>
      <c r="AB72" s="99">
        <f t="shared" si="2"/>
        <v>288499.85702633217</v>
      </c>
      <c r="AC72" s="99">
        <f>MAX(IF(INDEX('Pace of change parameters'!$E$29:$I$29,1,$B$5)=1,MAX(AB72,Z72),Z72),L72)</f>
        <v>294334</v>
      </c>
      <c r="AD72" s="97">
        <f t="shared" si="3"/>
        <v>2.4508080600641247E-2</v>
      </c>
      <c r="AE72" s="146">
        <v>1.9705209784108835E-2</v>
      </c>
      <c r="AF72" s="56">
        <f t="shared" si="11"/>
        <v>294334</v>
      </c>
      <c r="AG72" s="56">
        <v>1681.9797982301311</v>
      </c>
      <c r="AH72" s="16">
        <f t="shared" si="4"/>
        <v>2.4508080600641247E-2</v>
      </c>
      <c r="AI72" s="16">
        <f t="shared" si="5"/>
        <v>1.9705209784108835E-2</v>
      </c>
      <c r="AJ72" s="56"/>
      <c r="AK72" s="56">
        <v>295897.28925777657</v>
      </c>
      <c r="AL72" s="56">
        <v>1690.9132580083774</v>
      </c>
      <c r="AM72" s="16">
        <f t="shared" si="12"/>
        <v>-5.2832158810846019E-3</v>
      </c>
      <c r="AN72" s="58">
        <f t="shared" si="12"/>
        <v>-5.2832158810846019E-3</v>
      </c>
      <c r="AP72" s="56">
        <f t="shared" si="6"/>
        <v>1</v>
      </c>
      <c r="AQ72" s="56">
        <f t="shared" si="7"/>
        <v>0</v>
      </c>
    </row>
    <row r="73" spans="1:43" x14ac:dyDescent="0.2">
      <c r="A73" s="156" t="s">
        <v>191</v>
      </c>
      <c r="B73" s="156" t="s">
        <v>192</v>
      </c>
      <c r="D73" s="68">
        <f>VLOOKUP(A73,'2018-19 disagg'!A73:AZ281,43,FALSE)</f>
        <v>467204</v>
      </c>
      <c r="E73" s="73">
        <v>1782.6299254633209</v>
      </c>
      <c r="F73" s="55"/>
      <c r="G73" s="88">
        <v>445457.23181673588</v>
      </c>
      <c r="H73" s="81">
        <v>1693.4600442879143</v>
      </c>
      <c r="I73" s="90"/>
      <c r="J73" s="103">
        <f t="shared" si="8"/>
        <v>4.8818981105263282E-2</v>
      </c>
      <c r="K73" s="126">
        <f t="shared" si="8"/>
        <v>5.2655438477086536E-2</v>
      </c>
      <c r="L73" s="56">
        <v>477093</v>
      </c>
      <c r="M73" s="103">
        <v>1.727355671306996E-2</v>
      </c>
      <c r="N73" s="97">
        <f>INDEX('Pace of change parameters'!$E$22:$I$22,1,$B$5)</f>
        <v>1.356605044543624E-2</v>
      </c>
      <c r="O73" s="108">
        <f>MAX(IF(INDEX('Pace of change parameters'!$E$30:$I$30,1,$B$5)=1,(1+M73)*D73,D73),L73)</f>
        <v>477093</v>
      </c>
      <c r="P73" s="94">
        <f>IF(K73&lt;INDEX('Pace of change parameters'!$E$18:$I$18,1,$B$5),1,IF(K73&gt;INDEX('Pace of change parameters'!$E$19:$I$19,1,$B$5),0,(K73-INDEX('Pace of change parameters'!$E$19:$I$19,1,$B$5))/(INDEX('Pace of change parameters'!$E$18:$I$18,1,$B$5)-INDEX('Pace of change parameters'!$E$19:$I$19,1,$B$5))))</f>
        <v>0</v>
      </c>
      <c r="Q73" s="57">
        <v>1.727355671306996E-2</v>
      </c>
      <c r="R73" s="57">
        <v>1.356605044543624E-2</v>
      </c>
      <c r="S73" s="9">
        <f>MAX(IF(INDEX('Pace of change parameters'!$E$31:$I$31,1,$B$5)=1,D73*(1+Q73),D73),L73)</f>
        <v>477093</v>
      </c>
      <c r="T73" s="103">
        <f>IF(Q73&lt;INDEX('Pace of change parameters'!$E$24:$I$24,1,$B$5),INDEX('Pace of change parameters'!$E$24:$I$24,1,$B$5),Q73)</f>
        <v>2.0738822378003872E-2</v>
      </c>
      <c r="U73" s="132">
        <v>1.7018686769828317E-2</v>
      </c>
      <c r="V73" s="117">
        <f t="shared" si="9"/>
        <v>477093</v>
      </c>
      <c r="W73" s="131">
        <f>IF(J73&gt;INDEX('Pace of change parameters'!$E$26:$I$26,1,$B$5),0,IF(J73&lt;INDEX('Pace of change parameters'!$E$25:$I$25,1,$B$5),1,(J73-INDEX('Pace of change parameters'!$E$26:$I$26,1,$B$5))/(INDEX('Pace of change parameters'!$E$25:$I$25,1,$B$5)-INDEX('Pace of change parameters'!$E$26:$I$26,1,$B$5))))</f>
        <v>1</v>
      </c>
      <c r="X73" s="132">
        <f>MIN(T73, T73+(INDEX('Pace of change parameters'!$E$27:$I$27,1,$B$5)-T73)*(1-W73))</f>
        <v>2.0738822378003872E-2</v>
      </c>
      <c r="Y73" s="132">
        <v>1.7018686769828317E-2</v>
      </c>
      <c r="Z73" s="108">
        <f t="shared" si="10"/>
        <v>477093</v>
      </c>
      <c r="AA73" s="97">
        <f>MIN(VLOOKUP(A73,'2018-19 disagg'!$A$12:$BB$220,54,FALSE),-2.5%)</f>
        <v>-2.5000000000000001E-2</v>
      </c>
      <c r="AB73" s="99">
        <f t="shared" si="2"/>
        <v>445737.30757239542</v>
      </c>
      <c r="AC73" s="99">
        <f>MAX(IF(INDEX('Pace of change parameters'!$E$29:$I$29,1,$B$5)=1,MAX(AB73,Z73),Z73),L73)</f>
        <v>477093</v>
      </c>
      <c r="AD73" s="97">
        <f t="shared" si="3"/>
        <v>2.1166342753914824E-2</v>
      </c>
      <c r="AE73" s="146">
        <v>1.7444649025543768E-2</v>
      </c>
      <c r="AF73" s="56">
        <f t="shared" si="11"/>
        <v>477093</v>
      </c>
      <c r="AG73" s="56">
        <v>1813.7272788554594</v>
      </c>
      <c r="AH73" s="16">
        <f t="shared" si="4"/>
        <v>2.1166342753914824E-2</v>
      </c>
      <c r="AI73" s="16">
        <f t="shared" si="5"/>
        <v>1.7444649025543546E-2</v>
      </c>
      <c r="AJ73" s="56"/>
      <c r="AK73" s="56">
        <v>457166.46930502093</v>
      </c>
      <c r="AL73" s="56">
        <v>1737.9741399612938</v>
      </c>
      <c r="AM73" s="16">
        <f t="shared" si="12"/>
        <v>4.358703455498647E-2</v>
      </c>
      <c r="AN73" s="58">
        <f t="shared" si="12"/>
        <v>4.358703455498647E-2</v>
      </c>
      <c r="AP73" s="56">
        <f t="shared" si="6"/>
        <v>1</v>
      </c>
      <c r="AQ73" s="56">
        <f t="shared" si="7"/>
        <v>0</v>
      </c>
    </row>
    <row r="74" spans="1:43" x14ac:dyDescent="0.2">
      <c r="A74" s="156" t="s">
        <v>193</v>
      </c>
      <c r="B74" s="156" t="s">
        <v>194</v>
      </c>
      <c r="D74" s="68">
        <f>VLOOKUP(A74,'2018-19 disagg'!A74:AZ282,43,FALSE)</f>
        <v>206416</v>
      </c>
      <c r="E74" s="73">
        <v>1729.6651733306649</v>
      </c>
      <c r="F74" s="55"/>
      <c r="G74" s="88">
        <v>201446.61370114586</v>
      </c>
      <c r="H74" s="81">
        <v>1686.1532480860096</v>
      </c>
      <c r="I74" s="90"/>
      <c r="J74" s="103">
        <f t="shared" si="8"/>
        <v>2.4668502525569513E-2</v>
      </c>
      <c r="K74" s="126">
        <f t="shared" si="8"/>
        <v>2.58054392707463E-2</v>
      </c>
      <c r="L74" s="56">
        <v>211216</v>
      </c>
      <c r="M74" s="103">
        <v>1.4690668293622977E-2</v>
      </c>
      <c r="N74" s="97">
        <f>INDEX('Pace of change parameters'!$E$22:$I$22,1,$B$5)</f>
        <v>1.356605044543624E-2</v>
      </c>
      <c r="O74" s="108">
        <f>MAX(IF(INDEX('Pace of change parameters'!$E$30:$I$30,1,$B$5)=1,(1+M74)*D74,D74),L74)</f>
        <v>211216</v>
      </c>
      <c r="P74" s="94">
        <f>IF(K74&lt;INDEX('Pace of change parameters'!$E$18:$I$18,1,$B$5),1,IF(K74&gt;INDEX('Pace of change parameters'!$E$19:$I$19,1,$B$5),0,(K74-INDEX('Pace of change parameters'!$E$19:$I$19,1,$B$5))/(INDEX('Pace of change parameters'!$E$18:$I$18,1,$B$5)-INDEX('Pace of change parameters'!$E$19:$I$19,1,$B$5))))</f>
        <v>0</v>
      </c>
      <c r="Q74" s="57">
        <v>1.4690668293622977E-2</v>
      </c>
      <c r="R74" s="57">
        <v>1.356605044543624E-2</v>
      </c>
      <c r="S74" s="9">
        <f>MAX(IF(INDEX('Pace of change parameters'!$E$31:$I$31,1,$B$5)=1,D74*(1+Q74),D74),L74)</f>
        <v>211216</v>
      </c>
      <c r="T74" s="103">
        <f>IF(Q74&lt;INDEX('Pace of change parameters'!$E$24:$I$24,1,$B$5),INDEX('Pace of change parameters'!$E$24:$I$24,1,$B$5),Q74)</f>
        <v>2.0738822378003872E-2</v>
      </c>
      <c r="U74" s="132">
        <v>1.9607501144988104E-2</v>
      </c>
      <c r="V74" s="117">
        <f t="shared" si="9"/>
        <v>211216</v>
      </c>
      <c r="W74" s="131">
        <f>IF(J74&gt;INDEX('Pace of change parameters'!$E$26:$I$26,1,$B$5),0,IF(J74&lt;INDEX('Pace of change parameters'!$E$25:$I$25,1,$B$5),1,(J74-INDEX('Pace of change parameters'!$E$26:$I$26,1,$B$5))/(INDEX('Pace of change parameters'!$E$25:$I$25,1,$B$5)-INDEX('Pace of change parameters'!$E$26:$I$26,1,$B$5))))</f>
        <v>1</v>
      </c>
      <c r="X74" s="132">
        <f>MIN(T74, T74+(INDEX('Pace of change parameters'!$E$27:$I$27,1,$B$5)-T74)*(1-W74))</f>
        <v>2.0738822378003872E-2</v>
      </c>
      <c r="Y74" s="132">
        <v>1.9607501144988104E-2</v>
      </c>
      <c r="Z74" s="108">
        <f t="shared" si="10"/>
        <v>211216</v>
      </c>
      <c r="AA74" s="97">
        <f>MIN(VLOOKUP(A74,'2018-19 disagg'!$A$12:$BB$220,54,FALSE),-2.5%)</f>
        <v>-2.5000000000000001E-2</v>
      </c>
      <c r="AB74" s="99">
        <f t="shared" si="2"/>
        <v>201474.05161144421</v>
      </c>
      <c r="AC74" s="99">
        <f>MAX(IF(INDEX('Pace of change parameters'!$E$29:$I$29,1,$B$5)=1,MAX(AB74,Z74),Z74),L74)</f>
        <v>211216</v>
      </c>
      <c r="AD74" s="97">
        <f t="shared" si="3"/>
        <v>2.325401131695215E-2</v>
      </c>
      <c r="AE74" s="146">
        <v>2.2119902410351999E-2</v>
      </c>
      <c r="AF74" s="56">
        <f t="shared" si="11"/>
        <v>211216</v>
      </c>
      <c r="AG74" s="56">
        <v>1767.9251981673237</v>
      </c>
      <c r="AH74" s="16">
        <f t="shared" si="4"/>
        <v>2.325401131695215E-2</v>
      </c>
      <c r="AI74" s="16">
        <f t="shared" si="5"/>
        <v>2.2119902410351999E-2</v>
      </c>
      <c r="AJ74" s="56"/>
      <c r="AK74" s="56">
        <v>206640.05293481459</v>
      </c>
      <c r="AL74" s="56">
        <v>1729.6234969608759</v>
      </c>
      <c r="AM74" s="16">
        <f t="shared" si="12"/>
        <v>2.2144531034498538E-2</v>
      </c>
      <c r="AN74" s="58">
        <f t="shared" si="12"/>
        <v>2.2144531034498538E-2</v>
      </c>
      <c r="AP74" s="56">
        <f t="shared" si="6"/>
        <v>1</v>
      </c>
      <c r="AQ74" s="56">
        <f t="shared" si="7"/>
        <v>0</v>
      </c>
    </row>
    <row r="75" spans="1:43" x14ac:dyDescent="0.2">
      <c r="A75" s="156" t="s">
        <v>195</v>
      </c>
      <c r="B75" s="156" t="s">
        <v>196</v>
      </c>
      <c r="D75" s="68">
        <f>VLOOKUP(A75,'2018-19 disagg'!A75:AZ283,43,FALSE)</f>
        <v>1034819</v>
      </c>
      <c r="E75" s="73">
        <v>1739.4849528646193</v>
      </c>
      <c r="F75" s="55"/>
      <c r="G75" s="88">
        <v>974207.69423086755</v>
      </c>
      <c r="H75" s="81">
        <v>1629.5913517966746</v>
      </c>
      <c r="I75" s="90"/>
      <c r="J75" s="103">
        <f t="shared" si="8"/>
        <v>6.2215999861287008E-2</v>
      </c>
      <c r="K75" s="126">
        <f t="shared" si="8"/>
        <v>6.7436293735103403E-2</v>
      </c>
      <c r="L75" s="56">
        <v>1059595</v>
      </c>
      <c r="M75" s="103">
        <v>1.8547252615747745E-2</v>
      </c>
      <c r="N75" s="97">
        <f>INDEX('Pace of change parameters'!$E$22:$I$22,1,$B$5)</f>
        <v>1.356605044543624E-2</v>
      </c>
      <c r="O75" s="108">
        <f>MAX(IF(INDEX('Pace of change parameters'!$E$30:$I$30,1,$B$5)=1,(1+M75)*D75,D75),L75)</f>
        <v>1059595</v>
      </c>
      <c r="P75" s="94">
        <f>IF(K75&lt;INDEX('Pace of change parameters'!$E$18:$I$18,1,$B$5),1,IF(K75&gt;INDEX('Pace of change parameters'!$E$19:$I$19,1,$B$5),0,(K75-INDEX('Pace of change parameters'!$E$19:$I$19,1,$B$5))/(INDEX('Pace of change parameters'!$E$18:$I$18,1,$B$5)-INDEX('Pace of change parameters'!$E$19:$I$19,1,$B$5))))</f>
        <v>0</v>
      </c>
      <c r="Q75" s="57">
        <v>1.8547252615747745E-2</v>
      </c>
      <c r="R75" s="57">
        <v>1.356605044543624E-2</v>
      </c>
      <c r="S75" s="9">
        <f>MAX(IF(INDEX('Pace of change parameters'!$E$31:$I$31,1,$B$5)=1,D75*(1+Q75),D75),L75)</f>
        <v>1059595</v>
      </c>
      <c r="T75" s="103">
        <f>IF(Q75&lt;INDEX('Pace of change parameters'!$E$24:$I$24,1,$B$5),INDEX('Pace of change parameters'!$E$24:$I$24,1,$B$5),Q75)</f>
        <v>2.0738822378003872E-2</v>
      </c>
      <c r="U75" s="132">
        <v>1.5746902342587799E-2</v>
      </c>
      <c r="V75" s="117">
        <f t="shared" si="9"/>
        <v>1059595</v>
      </c>
      <c r="W75" s="131">
        <f>IF(J75&gt;INDEX('Pace of change parameters'!$E$26:$I$26,1,$B$5),0,IF(J75&lt;INDEX('Pace of change parameters'!$E$25:$I$25,1,$B$5),1,(J75-INDEX('Pace of change parameters'!$E$26:$I$26,1,$B$5))/(INDEX('Pace of change parameters'!$E$25:$I$25,1,$B$5)-INDEX('Pace of change parameters'!$E$26:$I$26,1,$B$5))))</f>
        <v>0.75568000277425995</v>
      </c>
      <c r="X75" s="132">
        <f>MIN(T75, T75+(INDEX('Pace of change parameters'!$E$27:$I$27,1,$B$5)-T75)*(1-W75))</f>
        <v>1.5705830435153625E-2</v>
      </c>
      <c r="Y75" s="132">
        <v>1.0738524231177049E-2</v>
      </c>
      <c r="Z75" s="108">
        <f t="shared" si="10"/>
        <v>1059595</v>
      </c>
      <c r="AA75" s="97">
        <f>MIN(VLOOKUP(A75,'2018-19 disagg'!$A$12:$BB$220,54,FALSE),-2.5%)</f>
        <v>-2.5000000000000001E-2</v>
      </c>
      <c r="AB75" s="99">
        <f t="shared" si="2"/>
        <v>975488.79578932177</v>
      </c>
      <c r="AC75" s="99">
        <f>MAX(IF(INDEX('Pace of change parameters'!$E$29:$I$29,1,$B$5)=1,MAX(AB75,Z75),Z75),L75)</f>
        <v>1059595</v>
      </c>
      <c r="AD75" s="97">
        <f t="shared" si="3"/>
        <v>2.39423512710919E-2</v>
      </c>
      <c r="AE75" s="146">
        <v>1.8934764387590119E-2</v>
      </c>
      <c r="AF75" s="56">
        <f t="shared" si="11"/>
        <v>1059595</v>
      </c>
      <c r="AG75" s="56">
        <v>1772.4216906028694</v>
      </c>
      <c r="AH75" s="16">
        <f t="shared" si="4"/>
        <v>2.39423512710919E-2</v>
      </c>
      <c r="AI75" s="16">
        <f t="shared" si="5"/>
        <v>1.8934764387590119E-2</v>
      </c>
      <c r="AJ75" s="56"/>
      <c r="AK75" s="56">
        <v>1000501.329014689</v>
      </c>
      <c r="AL75" s="56">
        <v>1673.5736361747956</v>
      </c>
      <c r="AM75" s="16">
        <f t="shared" si="12"/>
        <v>5.9064060458078105E-2</v>
      </c>
      <c r="AN75" s="58">
        <f t="shared" si="12"/>
        <v>5.9064060458078105E-2</v>
      </c>
      <c r="AP75" s="56">
        <f t="shared" si="6"/>
        <v>1</v>
      </c>
      <c r="AQ75" s="56">
        <f t="shared" si="7"/>
        <v>0</v>
      </c>
    </row>
    <row r="76" spans="1:43" x14ac:dyDescent="0.2">
      <c r="A76" s="156" t="s">
        <v>197</v>
      </c>
      <c r="B76" s="156" t="s">
        <v>198</v>
      </c>
      <c r="D76" s="68">
        <f>VLOOKUP(A76,'2018-19 disagg'!A76:AZ284,43,FALSE)</f>
        <v>529621</v>
      </c>
      <c r="E76" s="73">
        <v>1475.6088473996647</v>
      </c>
      <c r="F76" s="55"/>
      <c r="G76" s="88">
        <v>519760.1856477001</v>
      </c>
      <c r="H76" s="81">
        <v>1439.6908283999032</v>
      </c>
      <c r="I76" s="90"/>
      <c r="J76" s="103">
        <f t="shared" si="8"/>
        <v>1.8971853990724208E-2</v>
      </c>
      <c r="K76" s="126">
        <f t="shared" si="8"/>
        <v>2.4948425239105898E-2</v>
      </c>
      <c r="L76" s="56">
        <v>542877</v>
      </c>
      <c r="M76" s="103">
        <v>1.9510915057450173E-2</v>
      </c>
      <c r="N76" s="97">
        <f>INDEX('Pace of change parameters'!$E$22:$I$22,1,$B$5)</f>
        <v>1.356605044543624E-2</v>
      </c>
      <c r="O76" s="108">
        <f>MAX(IF(INDEX('Pace of change parameters'!$E$30:$I$30,1,$B$5)=1,(1+M76)*D76,D76),L76)</f>
        <v>542877</v>
      </c>
      <c r="P76" s="94">
        <f>IF(K76&lt;INDEX('Pace of change parameters'!$E$18:$I$18,1,$B$5),1,IF(K76&gt;INDEX('Pace of change parameters'!$E$19:$I$19,1,$B$5),0,(K76-INDEX('Pace of change parameters'!$E$19:$I$19,1,$B$5))/(INDEX('Pace of change parameters'!$E$18:$I$18,1,$B$5)-INDEX('Pace of change parameters'!$E$19:$I$19,1,$B$5))))</f>
        <v>0</v>
      </c>
      <c r="Q76" s="57">
        <v>1.9510915057450173E-2</v>
      </c>
      <c r="R76" s="57">
        <v>1.356605044543624E-2</v>
      </c>
      <c r="S76" s="9">
        <f>MAX(IF(INDEX('Pace of change parameters'!$E$31:$I$31,1,$B$5)=1,D76*(1+Q76),D76),L76)</f>
        <v>542877</v>
      </c>
      <c r="T76" s="103">
        <f>IF(Q76&lt;INDEX('Pace of change parameters'!$E$24:$I$24,1,$B$5),INDEX('Pace of change parameters'!$E$24:$I$24,1,$B$5),Q76)</f>
        <v>2.0738822378003872E-2</v>
      </c>
      <c r="U76" s="132">
        <v>1.4786797722218914E-2</v>
      </c>
      <c r="V76" s="117">
        <f t="shared" si="9"/>
        <v>542877</v>
      </c>
      <c r="W76" s="131">
        <f>IF(J76&gt;INDEX('Pace of change parameters'!$E$26:$I$26,1,$B$5),0,IF(J76&lt;INDEX('Pace of change parameters'!$E$25:$I$25,1,$B$5),1,(J76-INDEX('Pace of change parameters'!$E$26:$I$26,1,$B$5))/(INDEX('Pace of change parameters'!$E$25:$I$25,1,$B$5)-INDEX('Pace of change parameters'!$E$26:$I$26,1,$B$5))))</f>
        <v>1</v>
      </c>
      <c r="X76" s="132">
        <f>MIN(T76, T76+(INDEX('Pace of change parameters'!$E$27:$I$27,1,$B$5)-T76)*(1-W76))</f>
        <v>2.0738822378003872E-2</v>
      </c>
      <c r="Y76" s="132">
        <v>1.4786797722218914E-2</v>
      </c>
      <c r="Z76" s="108">
        <f t="shared" si="10"/>
        <v>542877</v>
      </c>
      <c r="AA76" s="97">
        <f>MIN(VLOOKUP(A76,'2018-19 disagg'!$A$12:$BB$220,54,FALSE),-2.5%)</f>
        <v>-2.5000000000000001E-2</v>
      </c>
      <c r="AB76" s="99">
        <f t="shared" ref="AB76:AB139" si="13">(1+AA76)*AK76</f>
        <v>520065.31102674705</v>
      </c>
      <c r="AC76" s="99">
        <f>MAX(IF(INDEX('Pace of change parameters'!$E$29:$I$29,1,$B$5)=1,MAX(AB76,Z76),Z76),L76)</f>
        <v>542877</v>
      </c>
      <c r="AD76" s="97">
        <f t="shared" ref="AD76:AD139" si="14">AC76/D76-1</f>
        <v>2.5029219007554504E-2</v>
      </c>
      <c r="AE76" s="146">
        <v>1.9052176643064467E-2</v>
      </c>
      <c r="AF76" s="56">
        <f t="shared" si="11"/>
        <v>542877</v>
      </c>
      <c r="AG76" s="56">
        <v>1503.7224078163918</v>
      </c>
      <c r="AH76" s="16">
        <f t="shared" ref="AH76:AH139" si="15">AF76/D76 - 1</f>
        <v>2.5029219007554504E-2</v>
      </c>
      <c r="AI76" s="16">
        <f t="shared" ref="AI76:AI139" si="16">AG76/E76 - 1</f>
        <v>1.9052176643064467E-2</v>
      </c>
      <c r="AJ76" s="56"/>
      <c r="AK76" s="56">
        <v>533400.31900179188</v>
      </c>
      <c r="AL76" s="56">
        <v>1477.4728198457587</v>
      </c>
      <c r="AM76" s="16">
        <f t="shared" si="12"/>
        <v>1.7766545426787239E-2</v>
      </c>
      <c r="AN76" s="58">
        <f t="shared" si="12"/>
        <v>1.7766545426787239E-2</v>
      </c>
      <c r="AP76" s="56">
        <f t="shared" ref="AP76:AP139" si="17">IF(AF76=L76,1,0)</f>
        <v>1</v>
      </c>
      <c r="AQ76" s="56">
        <f t="shared" ref="AQ76:AQ139" si="18">IF(AB76=AF76,1,0)</f>
        <v>0</v>
      </c>
    </row>
    <row r="77" spans="1:43" x14ac:dyDescent="0.2">
      <c r="A77" s="156" t="s">
        <v>199</v>
      </c>
      <c r="B77" s="156" t="s">
        <v>200</v>
      </c>
      <c r="D77" s="68">
        <f>VLOOKUP(A77,'2018-19 disagg'!A77:AZ285,43,FALSE)</f>
        <v>652558</v>
      </c>
      <c r="E77" s="73">
        <v>1768.4898005761886</v>
      </c>
      <c r="F77" s="55"/>
      <c r="G77" s="88">
        <v>629179.33408586332</v>
      </c>
      <c r="H77" s="81">
        <v>1696.3583953080972</v>
      </c>
      <c r="I77" s="90"/>
      <c r="J77" s="103">
        <f t="shared" ref="J77:K140" si="19">D77/G77-1</f>
        <v>3.7157396385409935E-2</v>
      </c>
      <c r="K77" s="126">
        <f t="shared" si="19"/>
        <v>4.2521324189273457E-2</v>
      </c>
      <c r="L77" s="56">
        <v>667424</v>
      </c>
      <c r="M77" s="103">
        <v>1.8807969500329813E-2</v>
      </c>
      <c r="N77" s="97">
        <f>INDEX('Pace of change parameters'!$E$22:$I$22,1,$B$5)</f>
        <v>1.356605044543624E-2</v>
      </c>
      <c r="O77" s="108">
        <f>MAX(IF(INDEX('Pace of change parameters'!$E$30:$I$30,1,$B$5)=1,(1+M77)*D77,D77),L77)</f>
        <v>667424</v>
      </c>
      <c r="P77" s="94">
        <f>IF(K77&lt;INDEX('Pace of change parameters'!$E$18:$I$18,1,$B$5),1,IF(K77&gt;INDEX('Pace of change parameters'!$E$19:$I$19,1,$B$5),0,(K77-INDEX('Pace of change parameters'!$E$19:$I$19,1,$B$5))/(INDEX('Pace of change parameters'!$E$18:$I$18,1,$B$5)-INDEX('Pace of change parameters'!$E$19:$I$19,1,$B$5))))</f>
        <v>0</v>
      </c>
      <c r="Q77" s="57">
        <v>1.8807969500329813E-2</v>
      </c>
      <c r="R77" s="57">
        <v>1.356605044543624E-2</v>
      </c>
      <c r="S77" s="9">
        <f>MAX(IF(INDEX('Pace of change parameters'!$E$31:$I$31,1,$B$5)=1,D77*(1+Q77),D77),L77)</f>
        <v>667424</v>
      </c>
      <c r="T77" s="103">
        <f>IF(Q77&lt;INDEX('Pace of change parameters'!$E$24:$I$24,1,$B$5),INDEX('Pace of change parameters'!$E$24:$I$24,1,$B$5),Q77)</f>
        <v>2.0738822378003872E-2</v>
      </c>
      <c r="U77" s="132">
        <v>1.5486968796884826E-2</v>
      </c>
      <c r="V77" s="117">
        <f t="shared" ref="V77:V140" si="20">MAX(D77*(1+T77),L77)</f>
        <v>667424</v>
      </c>
      <c r="W77" s="131">
        <f>IF(J77&gt;INDEX('Pace of change parameters'!$E$26:$I$26,1,$B$5),0,IF(J77&lt;INDEX('Pace of change parameters'!$E$25:$I$25,1,$B$5),1,(J77-INDEX('Pace of change parameters'!$E$26:$I$26,1,$B$5))/(INDEX('Pace of change parameters'!$E$25:$I$25,1,$B$5)-INDEX('Pace of change parameters'!$E$26:$I$26,1,$B$5))))</f>
        <v>1</v>
      </c>
      <c r="X77" s="132">
        <f>MIN(T77, T77+(INDEX('Pace of change parameters'!$E$27:$I$27,1,$B$5)-T77)*(1-W77))</f>
        <v>2.0738822378003872E-2</v>
      </c>
      <c r="Y77" s="132">
        <v>1.5486968796884826E-2</v>
      </c>
      <c r="Z77" s="108">
        <f t="shared" ref="Z77:Z140" si="21">MAX(D77*(1+X77),L77)</f>
        <v>667424</v>
      </c>
      <c r="AA77" s="97">
        <f>MIN(VLOOKUP(A77,'2018-19 disagg'!$A$12:$BB$220,54,FALSE),-2.5%)</f>
        <v>-2.5000000000000001E-2</v>
      </c>
      <c r="AB77" s="99">
        <f t="shared" si="13"/>
        <v>629394.51653149747</v>
      </c>
      <c r="AC77" s="99">
        <f>MAX(IF(INDEX('Pace of change parameters'!$E$29:$I$29,1,$B$5)=1,MAX(AB77,Z77),Z77),L77)</f>
        <v>667424</v>
      </c>
      <c r="AD77" s="97">
        <f t="shared" si="14"/>
        <v>2.2781116774294397E-2</v>
      </c>
      <c r="AE77" s="146">
        <v>1.7518755283704612E-2</v>
      </c>
      <c r="AF77" s="56">
        <f t="shared" ref="AF77:AF140" si="22">AC77</f>
        <v>667424</v>
      </c>
      <c r="AG77" s="56">
        <v>1799.4715406142104</v>
      </c>
      <c r="AH77" s="16">
        <f t="shared" si="15"/>
        <v>2.2781116774294397E-2</v>
      </c>
      <c r="AI77" s="16">
        <f t="shared" si="16"/>
        <v>1.7518755283704612E-2</v>
      </c>
      <c r="AJ77" s="56"/>
      <c r="AK77" s="56">
        <v>645532.83746820258</v>
      </c>
      <c r="AL77" s="56">
        <v>1740.4498033573398</v>
      </c>
      <c r="AM77" s="16">
        <f t="shared" ref="AM77:AN140" si="23">AF77/AK77-1</f>
        <v>3.3911772199932022E-2</v>
      </c>
      <c r="AN77" s="58">
        <f t="shared" si="23"/>
        <v>3.3911772199932022E-2</v>
      </c>
      <c r="AP77" s="56">
        <f t="shared" si="17"/>
        <v>1</v>
      </c>
      <c r="AQ77" s="56">
        <f t="shared" si="18"/>
        <v>0</v>
      </c>
    </row>
    <row r="78" spans="1:43" x14ac:dyDescent="0.2">
      <c r="A78" s="156" t="s">
        <v>201</v>
      </c>
      <c r="B78" s="156" t="s">
        <v>202</v>
      </c>
      <c r="D78" s="68">
        <f>VLOOKUP(A78,'2018-19 disagg'!A78:AZ286,43,FALSE)</f>
        <v>1290612</v>
      </c>
      <c r="E78" s="73">
        <v>1759.7022165192629</v>
      </c>
      <c r="F78" s="55"/>
      <c r="G78" s="88">
        <v>1291063.2827543879</v>
      </c>
      <c r="H78" s="81">
        <v>1748.228815681513</v>
      </c>
      <c r="I78" s="90"/>
      <c r="J78" s="103">
        <f t="shared" si="19"/>
        <v>-3.4954348126547963E-4</v>
      </c>
      <c r="K78" s="126">
        <f t="shared" si="19"/>
        <v>6.5628713671999073E-3</v>
      </c>
      <c r="L78" s="56">
        <v>1324852</v>
      </c>
      <c r="M78" s="103">
        <v>2.0574689286455117E-2</v>
      </c>
      <c r="N78" s="97">
        <f>INDEX('Pace of change parameters'!$E$22:$I$22,1,$B$5)</f>
        <v>1.356605044543624E-2</v>
      </c>
      <c r="O78" s="108">
        <f>MAX(IF(INDEX('Pace of change parameters'!$E$30:$I$30,1,$B$5)=1,(1+M78)*D78,D78),L78)</f>
        <v>1324852</v>
      </c>
      <c r="P78" s="94">
        <f>IF(K78&lt;INDEX('Pace of change parameters'!$E$18:$I$18,1,$B$5),1,IF(K78&gt;INDEX('Pace of change parameters'!$E$19:$I$19,1,$B$5),0,(K78-INDEX('Pace of change parameters'!$E$19:$I$19,1,$B$5))/(INDEX('Pace of change parameters'!$E$18:$I$18,1,$B$5)-INDEX('Pace of change parameters'!$E$19:$I$19,1,$B$5))))</f>
        <v>0</v>
      </c>
      <c r="Q78" s="57">
        <v>2.0574689286455117E-2</v>
      </c>
      <c r="R78" s="57">
        <v>1.356605044543624E-2</v>
      </c>
      <c r="S78" s="9">
        <f>MAX(IF(INDEX('Pace of change parameters'!$E$31:$I$31,1,$B$5)=1,D78*(1+Q78),D78),L78)</f>
        <v>1324852</v>
      </c>
      <c r="T78" s="103">
        <f>IF(Q78&lt;INDEX('Pace of change parameters'!$E$24:$I$24,1,$B$5),INDEX('Pace of change parameters'!$E$24:$I$24,1,$B$5),Q78)</f>
        <v>2.0738822378003872E-2</v>
      </c>
      <c r="U78" s="132">
        <v>1.3729056378362969E-2</v>
      </c>
      <c r="V78" s="117">
        <f t="shared" si="20"/>
        <v>1324852</v>
      </c>
      <c r="W78" s="131">
        <f>IF(J78&gt;INDEX('Pace of change parameters'!$E$26:$I$26,1,$B$5),0,IF(J78&lt;INDEX('Pace of change parameters'!$E$25:$I$25,1,$B$5),1,(J78-INDEX('Pace of change parameters'!$E$26:$I$26,1,$B$5))/(INDEX('Pace of change parameters'!$E$25:$I$25,1,$B$5)-INDEX('Pace of change parameters'!$E$26:$I$26,1,$B$5))))</f>
        <v>1</v>
      </c>
      <c r="X78" s="132">
        <f>MIN(T78, T78+(INDEX('Pace of change parameters'!$E$27:$I$27,1,$B$5)-T78)*(1-W78))</f>
        <v>2.0738822378003872E-2</v>
      </c>
      <c r="Y78" s="132">
        <v>1.3729056378362969E-2</v>
      </c>
      <c r="Z78" s="108">
        <f t="shared" si="21"/>
        <v>1324852</v>
      </c>
      <c r="AA78" s="97">
        <f>MIN(VLOOKUP(A78,'2018-19 disagg'!$A$12:$BB$220,54,FALSE),-2.5%)</f>
        <v>-2.5000000000000001E-2</v>
      </c>
      <c r="AB78" s="99">
        <f t="shared" si="13"/>
        <v>1293075.3936635987</v>
      </c>
      <c r="AC78" s="99">
        <f>MAX(IF(INDEX('Pace of change parameters'!$E$29:$I$29,1,$B$5)=1,MAX(AB78,Z78),Z78),L78)</f>
        <v>1324852</v>
      </c>
      <c r="AD78" s="97">
        <f t="shared" si="14"/>
        <v>2.6530049309939852E-2</v>
      </c>
      <c r="AE78" s="146">
        <v>1.9480512954989981E-2</v>
      </c>
      <c r="AF78" s="56">
        <f t="shared" si="22"/>
        <v>1324852</v>
      </c>
      <c r="AG78" s="56">
        <v>1793.9821183450908</v>
      </c>
      <c r="AH78" s="16">
        <f t="shared" si="15"/>
        <v>2.6530049309939852E-2</v>
      </c>
      <c r="AI78" s="16">
        <f t="shared" si="16"/>
        <v>1.9480512954989981E-2</v>
      </c>
      <c r="AJ78" s="56"/>
      <c r="AK78" s="56">
        <v>1326231.1729883065</v>
      </c>
      <c r="AL78" s="56">
        <v>1795.8496565147327</v>
      </c>
      <c r="AM78" s="16">
        <f t="shared" si="23"/>
        <v>-1.0399189948151477E-3</v>
      </c>
      <c r="AN78" s="58">
        <f t="shared" si="23"/>
        <v>-1.0399189948151477E-3</v>
      </c>
      <c r="AP78" s="56">
        <f t="shared" si="17"/>
        <v>1</v>
      </c>
      <c r="AQ78" s="56">
        <f t="shared" si="18"/>
        <v>0</v>
      </c>
    </row>
    <row r="79" spans="1:43" x14ac:dyDescent="0.2">
      <c r="A79" s="156" t="s">
        <v>203</v>
      </c>
      <c r="B79" s="156" t="s">
        <v>204</v>
      </c>
      <c r="D79" s="68">
        <f>VLOOKUP(A79,'2018-19 disagg'!A79:AZ287,43,FALSE)</f>
        <v>495433</v>
      </c>
      <c r="E79" s="73">
        <v>1654.1454136606355</v>
      </c>
      <c r="F79" s="55"/>
      <c r="G79" s="88">
        <v>505701.61945519474</v>
      </c>
      <c r="H79" s="81">
        <v>1677.8272876909436</v>
      </c>
      <c r="I79" s="90"/>
      <c r="J79" s="103">
        <f t="shared" si="19"/>
        <v>-2.0305688295515822E-2</v>
      </c>
      <c r="K79" s="126">
        <f t="shared" si="19"/>
        <v>-1.4114607745413177E-2</v>
      </c>
      <c r="L79" s="56">
        <v>508424</v>
      </c>
      <c r="M79" s="103">
        <v>1.9971180072288597E-2</v>
      </c>
      <c r="N79" s="97">
        <f>INDEX('Pace of change parameters'!$E$22:$I$22,1,$B$5)</f>
        <v>1.356605044543624E-2</v>
      </c>
      <c r="O79" s="108">
        <f>MAX(IF(INDEX('Pace of change parameters'!$E$30:$I$30,1,$B$5)=1,(1+M79)*D79,D79),L79)</f>
        <v>508424</v>
      </c>
      <c r="P79" s="94">
        <f>IF(K79&lt;INDEX('Pace of change parameters'!$E$18:$I$18,1,$B$5),1,IF(K79&gt;INDEX('Pace of change parameters'!$E$19:$I$19,1,$B$5),0,(K79-INDEX('Pace of change parameters'!$E$19:$I$19,1,$B$5))/(INDEX('Pace of change parameters'!$E$18:$I$18,1,$B$5)-INDEX('Pace of change parameters'!$E$19:$I$19,1,$B$5))))</f>
        <v>0.4999368306593211</v>
      </c>
      <c r="Q79" s="57">
        <v>2.6353707585755615E-2</v>
      </c>
      <c r="R79" s="57">
        <v>1.9908497496955446E-2</v>
      </c>
      <c r="S79" s="9">
        <f>MAX(IF(INDEX('Pace of change parameters'!$E$31:$I$31,1,$B$5)=1,D79*(1+Q79),D79),L79)</f>
        <v>508489.49641033367</v>
      </c>
      <c r="T79" s="103">
        <f>IF(Q79&lt;INDEX('Pace of change parameters'!$E$24:$I$24,1,$B$5),INDEX('Pace of change parameters'!$E$24:$I$24,1,$B$5),Q79)</f>
        <v>2.6353707585755615E-2</v>
      </c>
      <c r="U79" s="132">
        <v>1.9908497496955446E-2</v>
      </c>
      <c r="V79" s="117">
        <f t="shared" si="20"/>
        <v>508489.49641033367</v>
      </c>
      <c r="W79" s="131">
        <f>IF(J79&gt;INDEX('Pace of change parameters'!$E$26:$I$26,1,$B$5),0,IF(J79&lt;INDEX('Pace of change parameters'!$E$25:$I$25,1,$B$5),1,(J79-INDEX('Pace of change parameters'!$E$26:$I$26,1,$B$5))/(INDEX('Pace of change parameters'!$E$25:$I$25,1,$B$5)-INDEX('Pace of change parameters'!$E$26:$I$26,1,$B$5))))</f>
        <v>1</v>
      </c>
      <c r="X79" s="132">
        <f>MIN(T79, T79+(INDEX('Pace of change parameters'!$E$27:$I$27,1,$B$5)-T79)*(1-W79))</f>
        <v>2.6353707585755615E-2</v>
      </c>
      <c r="Y79" s="132">
        <v>1.9908497496955446E-2</v>
      </c>
      <c r="Z79" s="108">
        <f t="shared" si="21"/>
        <v>508489.49641033367</v>
      </c>
      <c r="AA79" s="97">
        <f>MIN(VLOOKUP(A79,'2018-19 disagg'!$A$12:$BB$220,54,FALSE),-2.5%)</f>
        <v>-2.5000000000000001E-2</v>
      </c>
      <c r="AB79" s="99">
        <f t="shared" si="13"/>
        <v>506491.66726192104</v>
      </c>
      <c r="AC79" s="99">
        <f>MAX(IF(INDEX('Pace of change parameters'!$E$29:$I$29,1,$B$5)=1,MAX(AB79,Z79),Z79),L79)</f>
        <v>508489.49641033367</v>
      </c>
      <c r="AD79" s="97">
        <f t="shared" si="14"/>
        <v>2.6353707585755615E-2</v>
      </c>
      <c r="AE79" s="146">
        <v>1.9908497496955446E-2</v>
      </c>
      <c r="AF79" s="56">
        <f t="shared" si="22"/>
        <v>508489.49641033367</v>
      </c>
      <c r="AG79" s="56">
        <v>1687.076963488099</v>
      </c>
      <c r="AH79" s="16">
        <f t="shared" si="15"/>
        <v>2.6353707585755615E-2</v>
      </c>
      <c r="AI79" s="16">
        <f t="shared" si="16"/>
        <v>1.9908497496955668E-2</v>
      </c>
      <c r="AJ79" s="56"/>
      <c r="AK79" s="56">
        <v>519478.63308914978</v>
      </c>
      <c r="AL79" s="56">
        <v>1723.5369483458628</v>
      </c>
      <c r="AM79" s="16">
        <f t="shared" si="23"/>
        <v>-2.1154164923911756E-2</v>
      </c>
      <c r="AN79" s="58">
        <f t="shared" si="23"/>
        <v>-2.1154164923911645E-2</v>
      </c>
      <c r="AP79" s="56">
        <f t="shared" si="17"/>
        <v>0</v>
      </c>
      <c r="AQ79" s="56">
        <f t="shared" si="18"/>
        <v>0</v>
      </c>
    </row>
    <row r="80" spans="1:43" x14ac:dyDescent="0.2">
      <c r="A80" s="156" t="s">
        <v>205</v>
      </c>
      <c r="B80" s="156" t="s">
        <v>206</v>
      </c>
      <c r="D80" s="68">
        <f>VLOOKUP(A80,'2018-19 disagg'!A80:AZ288,43,FALSE)</f>
        <v>219626</v>
      </c>
      <c r="E80" s="73">
        <v>1650.9916336882436</v>
      </c>
      <c r="F80" s="55"/>
      <c r="G80" s="88">
        <v>220160.70684251058</v>
      </c>
      <c r="H80" s="81">
        <v>1650.0189535033796</v>
      </c>
      <c r="I80" s="90"/>
      <c r="J80" s="103">
        <f t="shared" si="19"/>
        <v>-2.4287115088755806E-3</v>
      </c>
      <c r="K80" s="126">
        <f t="shared" si="19"/>
        <v>5.8949637081373574E-4</v>
      </c>
      <c r="L80" s="56">
        <v>224814</v>
      </c>
      <c r="M80" s="103">
        <v>1.6632651374445473E-2</v>
      </c>
      <c r="N80" s="97">
        <f>INDEX('Pace of change parameters'!$E$22:$I$22,1,$B$5)</f>
        <v>1.356605044543624E-2</v>
      </c>
      <c r="O80" s="108">
        <f>MAX(IF(INDEX('Pace of change parameters'!$E$30:$I$30,1,$B$5)=1,(1+M80)*D80,D80),L80)</f>
        <v>224814</v>
      </c>
      <c r="P80" s="94">
        <f>IF(K80&lt;INDEX('Pace of change parameters'!$E$18:$I$18,1,$B$5),1,IF(K80&gt;INDEX('Pace of change parameters'!$E$19:$I$19,1,$B$5),0,(K80-INDEX('Pace of change parameters'!$E$19:$I$19,1,$B$5))/(INDEX('Pace of change parameters'!$E$18:$I$18,1,$B$5)-INDEX('Pace of change parameters'!$E$19:$I$19,1,$B$5))))</f>
        <v>3.7059944219666477E-2</v>
      </c>
      <c r="Q80" s="57">
        <v>1.7104234739912405E-2</v>
      </c>
      <c r="R80" s="57">
        <v>1.4036211312831171E-2</v>
      </c>
      <c r="S80" s="9">
        <f>MAX(IF(INDEX('Pace of change parameters'!$E$31:$I$31,1,$B$5)=1,D80*(1+Q80),D80),L80)</f>
        <v>224814</v>
      </c>
      <c r="T80" s="103">
        <f>IF(Q80&lt;INDEX('Pace of change parameters'!$E$24:$I$24,1,$B$5),INDEX('Pace of change parameters'!$E$24:$I$24,1,$B$5),Q80)</f>
        <v>2.0738822378003872E-2</v>
      </c>
      <c r="U80" s="132">
        <v>1.7659835472804364E-2</v>
      </c>
      <c r="V80" s="117">
        <f t="shared" si="20"/>
        <v>224814</v>
      </c>
      <c r="W80" s="131">
        <f>IF(J80&gt;INDEX('Pace of change parameters'!$E$26:$I$26,1,$B$5),0,IF(J80&lt;INDEX('Pace of change parameters'!$E$25:$I$25,1,$B$5),1,(J80-INDEX('Pace of change parameters'!$E$26:$I$26,1,$B$5))/(INDEX('Pace of change parameters'!$E$25:$I$25,1,$B$5)-INDEX('Pace of change parameters'!$E$26:$I$26,1,$B$5))))</f>
        <v>1</v>
      </c>
      <c r="X80" s="132">
        <f>MIN(T80, T80+(INDEX('Pace of change parameters'!$E$27:$I$27,1,$B$5)-T80)*(1-W80))</f>
        <v>2.0738822378003872E-2</v>
      </c>
      <c r="Y80" s="132">
        <v>1.7659835472804364E-2</v>
      </c>
      <c r="Z80" s="108">
        <f t="shared" si="21"/>
        <v>224814</v>
      </c>
      <c r="AA80" s="97">
        <f>MIN(VLOOKUP(A80,'2018-19 disagg'!$A$12:$BB$220,54,FALSE),-2.5%)</f>
        <v>-2.5000000000000001E-2</v>
      </c>
      <c r="AB80" s="99">
        <f t="shared" si="13"/>
        <v>220270.58881932579</v>
      </c>
      <c r="AC80" s="99">
        <f>MAX(IF(INDEX('Pace of change parameters'!$E$29:$I$29,1,$B$5)=1,MAX(AB80,Z80),Z80),L80)</f>
        <v>224814</v>
      </c>
      <c r="AD80" s="97">
        <f t="shared" si="14"/>
        <v>2.3621975540236484E-2</v>
      </c>
      <c r="AE80" s="146">
        <v>2.0534291806193483E-2</v>
      </c>
      <c r="AF80" s="56">
        <f t="shared" si="22"/>
        <v>224814</v>
      </c>
      <c r="AG80" s="56">
        <v>1684.8935776639821</v>
      </c>
      <c r="AH80" s="16">
        <f t="shared" si="15"/>
        <v>2.3621975540236484E-2</v>
      </c>
      <c r="AI80" s="16">
        <f t="shared" si="16"/>
        <v>2.0534291806193483E-2</v>
      </c>
      <c r="AJ80" s="56"/>
      <c r="AK80" s="56">
        <v>225918.55263520594</v>
      </c>
      <c r="AL80" s="56">
        <v>1693.1717704867169</v>
      </c>
      <c r="AM80" s="16">
        <f t="shared" si="23"/>
        <v>-4.8891630294279897E-3</v>
      </c>
      <c r="AN80" s="58">
        <f t="shared" si="23"/>
        <v>-4.8891630294279897E-3</v>
      </c>
      <c r="AP80" s="56">
        <f t="shared" si="17"/>
        <v>1</v>
      </c>
      <c r="AQ80" s="56">
        <f t="shared" si="18"/>
        <v>0</v>
      </c>
    </row>
    <row r="81" spans="1:43" x14ac:dyDescent="0.2">
      <c r="A81" s="156" t="s">
        <v>207</v>
      </c>
      <c r="B81" s="156" t="s">
        <v>208</v>
      </c>
      <c r="D81" s="68">
        <f>VLOOKUP(A81,'2018-19 disagg'!A81:AZ289,43,FALSE)</f>
        <v>813924</v>
      </c>
      <c r="E81" s="73">
        <v>1614.3673205434523</v>
      </c>
      <c r="F81" s="55"/>
      <c r="G81" s="88">
        <v>827435.82936583692</v>
      </c>
      <c r="H81" s="81">
        <v>1623.7975624358335</v>
      </c>
      <c r="I81" s="90"/>
      <c r="J81" s="103">
        <f t="shared" si="19"/>
        <v>-1.6329761035599133E-2</v>
      </c>
      <c r="K81" s="126">
        <f t="shared" si="19"/>
        <v>-5.8075231239016478E-3</v>
      </c>
      <c r="L81" s="56">
        <v>838056</v>
      </c>
      <c r="M81" s="103">
        <v>2.4408081341109833E-2</v>
      </c>
      <c r="N81" s="97">
        <f>INDEX('Pace of change parameters'!$E$22:$I$22,1,$B$5)</f>
        <v>1.356605044543624E-2</v>
      </c>
      <c r="O81" s="108">
        <f>MAX(IF(INDEX('Pace of change parameters'!$E$30:$I$30,1,$B$5)=1,(1+M81)*D81,D81),L81)</f>
        <v>838056</v>
      </c>
      <c r="P81" s="94">
        <f>IF(K81&lt;INDEX('Pace of change parameters'!$E$18:$I$18,1,$B$5),1,IF(K81&gt;INDEX('Pace of change parameters'!$E$19:$I$19,1,$B$5),0,(K81-INDEX('Pace of change parameters'!$E$19:$I$19,1,$B$5))/(INDEX('Pace of change parameters'!$E$18:$I$18,1,$B$5)-INDEX('Pace of change parameters'!$E$19:$I$19,1,$B$5))))</f>
        <v>0.23843450215277728</v>
      </c>
      <c r="Q81" s="57">
        <v>2.7465336999039636E-2</v>
      </c>
      <c r="R81" s="57">
        <v>1.6590949017451839E-2</v>
      </c>
      <c r="S81" s="9">
        <f>MAX(IF(INDEX('Pace of change parameters'!$E$31:$I$31,1,$B$5)=1,D81*(1+Q81),D81),L81)</f>
        <v>838056</v>
      </c>
      <c r="T81" s="103">
        <f>IF(Q81&lt;INDEX('Pace of change parameters'!$E$24:$I$24,1,$B$5),INDEX('Pace of change parameters'!$E$24:$I$24,1,$B$5),Q81)</f>
        <v>2.7465336999039636E-2</v>
      </c>
      <c r="U81" s="132">
        <v>1.6590949017451839E-2</v>
      </c>
      <c r="V81" s="117">
        <f t="shared" si="20"/>
        <v>838056</v>
      </c>
      <c r="W81" s="131">
        <f>IF(J81&gt;INDEX('Pace of change parameters'!$E$26:$I$26,1,$B$5),0,IF(J81&lt;INDEX('Pace of change parameters'!$E$25:$I$25,1,$B$5),1,(J81-INDEX('Pace of change parameters'!$E$26:$I$26,1,$B$5))/(INDEX('Pace of change parameters'!$E$25:$I$25,1,$B$5)-INDEX('Pace of change parameters'!$E$26:$I$26,1,$B$5))))</f>
        <v>1</v>
      </c>
      <c r="X81" s="132">
        <f>MIN(T81, T81+(INDEX('Pace of change parameters'!$E$27:$I$27,1,$B$5)-T81)*(1-W81))</f>
        <v>2.7465336999039636E-2</v>
      </c>
      <c r="Y81" s="132">
        <v>1.6590949017451839E-2</v>
      </c>
      <c r="Z81" s="108">
        <f t="shared" si="21"/>
        <v>838056</v>
      </c>
      <c r="AA81" s="97">
        <f>MIN(VLOOKUP(A81,'2018-19 disagg'!$A$12:$BB$220,54,FALSE),-2.5%)</f>
        <v>-2.5000000000000001E-2</v>
      </c>
      <c r="AB81" s="99">
        <f t="shared" si="13"/>
        <v>828253.11715068098</v>
      </c>
      <c r="AC81" s="99">
        <f>MAX(IF(INDEX('Pace of change parameters'!$E$29:$I$29,1,$B$5)=1,MAX(AB81,Z81),Z81),L81)</f>
        <v>838056</v>
      </c>
      <c r="AD81" s="97">
        <f t="shared" si="14"/>
        <v>2.9648959853745493E-2</v>
      </c>
      <c r="AE81" s="146">
        <v>1.875146105637393E-2</v>
      </c>
      <c r="AF81" s="56">
        <f t="shared" si="22"/>
        <v>838056</v>
      </c>
      <c r="AG81" s="56">
        <v>1644.6390664853059</v>
      </c>
      <c r="AH81" s="16">
        <f t="shared" si="15"/>
        <v>2.9648959853745493E-2</v>
      </c>
      <c r="AI81" s="16">
        <f t="shared" si="16"/>
        <v>1.8751461056374152E-2</v>
      </c>
      <c r="AJ81" s="56"/>
      <c r="AK81" s="56">
        <v>849490.37656480097</v>
      </c>
      <c r="AL81" s="56">
        <v>1667.0784051445073</v>
      </c>
      <c r="AM81" s="16">
        <f t="shared" si="23"/>
        <v>-1.3460277926913955E-2</v>
      </c>
      <c r="AN81" s="58">
        <f t="shared" si="23"/>
        <v>-1.3460277926913955E-2</v>
      </c>
      <c r="AP81" s="56">
        <f t="shared" si="17"/>
        <v>1</v>
      </c>
      <c r="AQ81" s="56">
        <f t="shared" si="18"/>
        <v>0</v>
      </c>
    </row>
    <row r="82" spans="1:43" x14ac:dyDescent="0.2">
      <c r="A82" s="156" t="s">
        <v>209</v>
      </c>
      <c r="B82" s="156" t="s">
        <v>210</v>
      </c>
      <c r="D82" s="68">
        <f>VLOOKUP(A82,'2018-19 disagg'!A82:AZ290,43,FALSE)</f>
        <v>548839</v>
      </c>
      <c r="E82" s="73">
        <v>1724.7524751067238</v>
      </c>
      <c r="F82" s="55"/>
      <c r="G82" s="88">
        <v>557440.52074612724</v>
      </c>
      <c r="H82" s="81">
        <v>1746.4846008192353</v>
      </c>
      <c r="I82" s="90"/>
      <c r="J82" s="103">
        <f t="shared" si="19"/>
        <v>-1.5430383020262339E-2</v>
      </c>
      <c r="K82" s="126">
        <f t="shared" si="19"/>
        <v>-1.2443353753200825E-2</v>
      </c>
      <c r="L82" s="56">
        <v>562265</v>
      </c>
      <c r="M82" s="103">
        <v>1.6641050328194851E-2</v>
      </c>
      <c r="N82" s="97">
        <f>INDEX('Pace of change parameters'!$E$22:$I$22,1,$B$5)</f>
        <v>1.356605044543624E-2</v>
      </c>
      <c r="O82" s="108">
        <f>MAX(IF(INDEX('Pace of change parameters'!$E$30:$I$30,1,$B$5)=1,(1+M82)*D82,D82),L82)</f>
        <v>562265</v>
      </c>
      <c r="P82" s="94">
        <f>IF(K82&lt;INDEX('Pace of change parameters'!$E$18:$I$18,1,$B$5),1,IF(K82&gt;INDEX('Pace of change parameters'!$E$19:$I$19,1,$B$5),0,(K82-INDEX('Pace of change parameters'!$E$19:$I$19,1,$B$5))/(INDEX('Pace of change parameters'!$E$18:$I$18,1,$B$5)-INDEX('Pace of change parameters'!$E$19:$I$19,1,$B$5))))</f>
        <v>0.44732669962036881</v>
      </c>
      <c r="Q82" s="57">
        <v>2.2333276198999608E-2</v>
      </c>
      <c r="R82" s="57">
        <v>1.9241059232709246E-2</v>
      </c>
      <c r="S82" s="9">
        <f>MAX(IF(INDEX('Pace of change parameters'!$E$31:$I$31,1,$B$5)=1,D82*(1+Q82),D82),L82)</f>
        <v>562265</v>
      </c>
      <c r="T82" s="103">
        <f>IF(Q82&lt;INDEX('Pace of change parameters'!$E$24:$I$24,1,$B$5),INDEX('Pace of change parameters'!$E$24:$I$24,1,$B$5),Q82)</f>
        <v>2.2333276198999608E-2</v>
      </c>
      <c r="U82" s="132">
        <v>1.9241059232709246E-2</v>
      </c>
      <c r="V82" s="117">
        <f t="shared" si="20"/>
        <v>562265</v>
      </c>
      <c r="W82" s="131">
        <f>IF(J82&gt;INDEX('Pace of change parameters'!$E$26:$I$26,1,$B$5),0,IF(J82&lt;INDEX('Pace of change parameters'!$E$25:$I$25,1,$B$5),1,(J82-INDEX('Pace of change parameters'!$E$26:$I$26,1,$B$5))/(INDEX('Pace of change parameters'!$E$25:$I$25,1,$B$5)-INDEX('Pace of change parameters'!$E$26:$I$26,1,$B$5))))</f>
        <v>1</v>
      </c>
      <c r="X82" s="132">
        <f>MIN(T82, T82+(INDEX('Pace of change parameters'!$E$27:$I$27,1,$B$5)-T82)*(1-W82))</f>
        <v>2.2333276198999608E-2</v>
      </c>
      <c r="Y82" s="132">
        <v>1.9241059232709246E-2</v>
      </c>
      <c r="Z82" s="108">
        <f t="shared" si="21"/>
        <v>562265</v>
      </c>
      <c r="AA82" s="97">
        <f>MIN(VLOOKUP(A82,'2018-19 disagg'!$A$12:$BB$220,54,FALSE),-2.5%)</f>
        <v>-2.5000000000000001E-2</v>
      </c>
      <c r="AB82" s="99">
        <f t="shared" si="13"/>
        <v>557807.67786584026</v>
      </c>
      <c r="AC82" s="99">
        <f>MAX(IF(INDEX('Pace of change parameters'!$E$29:$I$29,1,$B$5)=1,MAX(AB82,Z82),Z82),L82)</f>
        <v>562265</v>
      </c>
      <c r="AD82" s="97">
        <f t="shared" si="14"/>
        <v>2.4462547304400672E-2</v>
      </c>
      <c r="AE82" s="146">
        <v>2.1363890003640806E-2</v>
      </c>
      <c r="AF82" s="56">
        <f t="shared" si="22"/>
        <v>562265</v>
      </c>
      <c r="AG82" s="56">
        <v>1761.599897268411</v>
      </c>
      <c r="AH82" s="16">
        <f t="shared" si="15"/>
        <v>2.4462547304400672E-2</v>
      </c>
      <c r="AI82" s="16">
        <f t="shared" si="16"/>
        <v>2.1363890003640806E-2</v>
      </c>
      <c r="AJ82" s="56"/>
      <c r="AK82" s="56">
        <v>572110.43883675931</v>
      </c>
      <c r="AL82" s="56">
        <v>1792.4460713027145</v>
      </c>
      <c r="AM82" s="16">
        <f t="shared" si="23"/>
        <v>-1.720898303617302E-2</v>
      </c>
      <c r="AN82" s="58">
        <f t="shared" si="23"/>
        <v>-1.720898303617302E-2</v>
      </c>
      <c r="AP82" s="56">
        <f t="shared" si="17"/>
        <v>1</v>
      </c>
      <c r="AQ82" s="56">
        <f t="shared" si="18"/>
        <v>0</v>
      </c>
    </row>
    <row r="83" spans="1:43" x14ac:dyDescent="0.2">
      <c r="A83" s="156" t="s">
        <v>211</v>
      </c>
      <c r="B83" s="156" t="s">
        <v>212</v>
      </c>
      <c r="D83" s="68">
        <f>VLOOKUP(A83,'2018-19 disagg'!A83:AZ291,43,FALSE)</f>
        <v>211317</v>
      </c>
      <c r="E83" s="73">
        <v>1499.2039015703785</v>
      </c>
      <c r="F83" s="55"/>
      <c r="G83" s="88">
        <v>216250.32722223719</v>
      </c>
      <c r="H83" s="81">
        <v>1524.1810393142166</v>
      </c>
      <c r="I83" s="90"/>
      <c r="J83" s="103">
        <f t="shared" si="19"/>
        <v>-2.2813039340131458E-2</v>
      </c>
      <c r="K83" s="126">
        <f t="shared" si="19"/>
        <v>-1.6387251316993257E-2</v>
      </c>
      <c r="L83" s="56">
        <v>216547</v>
      </c>
      <c r="M83" s="103">
        <v>2.0231060161912451E-2</v>
      </c>
      <c r="N83" s="97">
        <f>INDEX('Pace of change parameters'!$E$22:$I$22,1,$B$5)</f>
        <v>1.356605044543624E-2</v>
      </c>
      <c r="O83" s="108">
        <f>MAX(IF(INDEX('Pace of change parameters'!$E$30:$I$30,1,$B$5)=1,(1+M83)*D83,D83),L83)</f>
        <v>216547</v>
      </c>
      <c r="P83" s="94">
        <f>IF(K83&lt;INDEX('Pace of change parameters'!$E$18:$I$18,1,$B$5),1,IF(K83&gt;INDEX('Pace of change parameters'!$E$19:$I$19,1,$B$5),0,(K83-INDEX('Pace of change parameters'!$E$19:$I$19,1,$B$5))/(INDEX('Pace of change parameters'!$E$18:$I$18,1,$B$5)-INDEX('Pace of change parameters'!$E$19:$I$19,1,$B$5))))</f>
        <v>0.57147836573585697</v>
      </c>
      <c r="Q83" s="57">
        <v>2.752879362595273E-2</v>
      </c>
      <c r="R83" s="57">
        <v>2.0816108959805568E-2</v>
      </c>
      <c r="S83" s="9">
        <f>MAX(IF(INDEX('Pace of change parameters'!$E$31:$I$31,1,$B$5)=1,D83*(1+Q83),D83),L83)</f>
        <v>217134.30208265546</v>
      </c>
      <c r="T83" s="103">
        <f>IF(Q83&lt;INDEX('Pace of change parameters'!$E$24:$I$24,1,$B$5),INDEX('Pace of change parameters'!$E$24:$I$24,1,$B$5),Q83)</f>
        <v>2.752879362595273E-2</v>
      </c>
      <c r="U83" s="132">
        <v>2.0816108959805568E-2</v>
      </c>
      <c r="V83" s="117">
        <f t="shared" si="20"/>
        <v>217134.30208265546</v>
      </c>
      <c r="W83" s="131">
        <f>IF(J83&gt;INDEX('Pace of change parameters'!$E$26:$I$26,1,$B$5),0,IF(J83&lt;INDEX('Pace of change parameters'!$E$25:$I$25,1,$B$5),1,(J83-INDEX('Pace of change parameters'!$E$26:$I$26,1,$B$5))/(INDEX('Pace of change parameters'!$E$25:$I$25,1,$B$5)-INDEX('Pace of change parameters'!$E$26:$I$26,1,$B$5))))</f>
        <v>1</v>
      </c>
      <c r="X83" s="132">
        <f>MIN(T83, T83+(INDEX('Pace of change parameters'!$E$27:$I$27,1,$B$5)-T83)*(1-W83))</f>
        <v>2.752879362595273E-2</v>
      </c>
      <c r="Y83" s="132">
        <v>2.0816108959805568E-2</v>
      </c>
      <c r="Z83" s="108">
        <f t="shared" si="21"/>
        <v>217134.30208265546</v>
      </c>
      <c r="AA83" s="97">
        <f>MIN(VLOOKUP(A83,'2018-19 disagg'!$A$12:$BB$220,54,FALSE),-2.5%)</f>
        <v>-2.5000000000000001E-2</v>
      </c>
      <c r="AB83" s="99">
        <f t="shared" si="13"/>
        <v>216366.04266497676</v>
      </c>
      <c r="AC83" s="99">
        <f>MAX(IF(INDEX('Pace of change parameters'!$E$29:$I$29,1,$B$5)=1,MAX(AB83,Z83),Z83),L83)</f>
        <v>217134.30208265546</v>
      </c>
      <c r="AD83" s="97">
        <f t="shared" si="14"/>
        <v>2.752879362595273E-2</v>
      </c>
      <c r="AE83" s="146">
        <v>2.0816108959805568E-2</v>
      </c>
      <c r="AF83" s="56">
        <f t="shared" si="22"/>
        <v>217134.30208265546</v>
      </c>
      <c r="AG83" s="56">
        <v>1530.411493338433</v>
      </c>
      <c r="AH83" s="16">
        <f t="shared" si="15"/>
        <v>2.752879362595273E-2</v>
      </c>
      <c r="AI83" s="16">
        <f t="shared" si="16"/>
        <v>2.0816108959805568E-2</v>
      </c>
      <c r="AJ83" s="56"/>
      <c r="AK83" s="56">
        <v>221913.88991279667</v>
      </c>
      <c r="AL83" s="56">
        <v>1564.0991054683866</v>
      </c>
      <c r="AM83" s="16">
        <f t="shared" si="23"/>
        <v>-2.1538029151845328E-2</v>
      </c>
      <c r="AN83" s="58">
        <f t="shared" si="23"/>
        <v>-2.1538029151845439E-2</v>
      </c>
      <c r="AP83" s="56">
        <f t="shared" si="17"/>
        <v>0</v>
      </c>
      <c r="AQ83" s="56">
        <f t="shared" si="18"/>
        <v>0</v>
      </c>
    </row>
    <row r="84" spans="1:43" x14ac:dyDescent="0.2">
      <c r="A84" s="156" t="s">
        <v>213</v>
      </c>
      <c r="B84" s="156" t="s">
        <v>214</v>
      </c>
      <c r="D84" s="68">
        <f>VLOOKUP(A84,'2018-19 disagg'!A84:AZ292,43,FALSE)</f>
        <v>307557</v>
      </c>
      <c r="E84" s="73">
        <v>1641.0100401848824</v>
      </c>
      <c r="F84" s="55"/>
      <c r="G84" s="88">
        <v>306672.06070770777</v>
      </c>
      <c r="H84" s="81">
        <v>1627.4409547992191</v>
      </c>
      <c r="I84" s="90"/>
      <c r="J84" s="103">
        <f t="shared" si="19"/>
        <v>2.8856208493530655E-3</v>
      </c>
      <c r="K84" s="126">
        <f t="shared" si="19"/>
        <v>8.3376821417999736E-3</v>
      </c>
      <c r="L84" s="56">
        <v>315146</v>
      </c>
      <c r="M84" s="103">
        <v>1.9076174547416835E-2</v>
      </c>
      <c r="N84" s="97">
        <f>INDEX('Pace of change parameters'!$E$22:$I$22,1,$B$5)</f>
        <v>1.356605044543624E-2</v>
      </c>
      <c r="O84" s="108">
        <f>MAX(IF(INDEX('Pace of change parameters'!$E$30:$I$30,1,$B$5)=1,(1+M84)*D84,D84),L84)</f>
        <v>315146</v>
      </c>
      <c r="P84" s="94">
        <f>IF(K84&lt;INDEX('Pace of change parameters'!$E$18:$I$18,1,$B$5),1,IF(K84&gt;INDEX('Pace of change parameters'!$E$19:$I$19,1,$B$5),0,(K84-INDEX('Pace of change parameters'!$E$19:$I$19,1,$B$5))/(INDEX('Pace of change parameters'!$E$18:$I$18,1,$B$5)-INDEX('Pace of change parameters'!$E$19:$I$19,1,$B$5))))</f>
        <v>0</v>
      </c>
      <c r="Q84" s="57">
        <v>1.9076174547416835E-2</v>
      </c>
      <c r="R84" s="57">
        <v>1.356605044543624E-2</v>
      </c>
      <c r="S84" s="9">
        <f>MAX(IF(INDEX('Pace of change parameters'!$E$31:$I$31,1,$B$5)=1,D84*(1+Q84),D84),L84)</f>
        <v>315146</v>
      </c>
      <c r="T84" s="103">
        <f>IF(Q84&lt;INDEX('Pace of change parameters'!$E$24:$I$24,1,$B$5),INDEX('Pace of change parameters'!$E$24:$I$24,1,$B$5),Q84)</f>
        <v>2.0738822378003872E-2</v>
      </c>
      <c r="U84" s="132">
        <v>1.5219708373096275E-2</v>
      </c>
      <c r="V84" s="117">
        <f t="shared" si="20"/>
        <v>315146</v>
      </c>
      <c r="W84" s="131">
        <f>IF(J84&gt;INDEX('Pace of change parameters'!$E$26:$I$26,1,$B$5),0,IF(J84&lt;INDEX('Pace of change parameters'!$E$25:$I$25,1,$B$5),1,(J84-INDEX('Pace of change parameters'!$E$26:$I$26,1,$B$5))/(INDEX('Pace of change parameters'!$E$25:$I$25,1,$B$5)-INDEX('Pace of change parameters'!$E$26:$I$26,1,$B$5))))</f>
        <v>1</v>
      </c>
      <c r="X84" s="132">
        <f>MIN(T84, T84+(INDEX('Pace of change parameters'!$E$27:$I$27,1,$B$5)-T84)*(1-W84))</f>
        <v>2.0738822378003872E-2</v>
      </c>
      <c r="Y84" s="132">
        <v>1.5219708373096275E-2</v>
      </c>
      <c r="Z84" s="108">
        <f t="shared" si="21"/>
        <v>315146</v>
      </c>
      <c r="AA84" s="97">
        <f>MIN(VLOOKUP(A84,'2018-19 disagg'!$A$12:$BB$220,54,FALSE),-2.5%)</f>
        <v>-2.5000000000000001E-2</v>
      </c>
      <c r="AB84" s="99">
        <f t="shared" si="13"/>
        <v>306939.12462112645</v>
      </c>
      <c r="AC84" s="99">
        <f>MAX(IF(INDEX('Pace of change parameters'!$E$29:$I$29,1,$B$5)=1,MAX(AB84,Z84),Z84),L84)</f>
        <v>315146</v>
      </c>
      <c r="AD84" s="97">
        <f t="shared" si="14"/>
        <v>2.467510087561009E-2</v>
      </c>
      <c r="AE84" s="146">
        <v>1.9134703493106642E-2</v>
      </c>
      <c r="AF84" s="56">
        <f t="shared" si="22"/>
        <v>315146</v>
      </c>
      <c r="AG84" s="56">
        <v>1672.4102807330312</v>
      </c>
      <c r="AH84" s="16">
        <f t="shared" si="15"/>
        <v>2.467510087561009E-2</v>
      </c>
      <c r="AI84" s="16">
        <f t="shared" si="16"/>
        <v>1.9134703493106642E-2</v>
      </c>
      <c r="AJ84" s="56"/>
      <c r="AK84" s="56">
        <v>314809.35858577071</v>
      </c>
      <c r="AL84" s="56">
        <v>1670.62379903224</v>
      </c>
      <c r="AM84" s="16">
        <f t="shared" si="23"/>
        <v>1.06935008457687E-3</v>
      </c>
      <c r="AN84" s="58">
        <f t="shared" si="23"/>
        <v>1.06935008457687E-3</v>
      </c>
      <c r="AP84" s="56">
        <f t="shared" si="17"/>
        <v>1</v>
      </c>
      <c r="AQ84" s="56">
        <f t="shared" si="18"/>
        <v>0</v>
      </c>
    </row>
    <row r="85" spans="1:43" x14ac:dyDescent="0.2">
      <c r="A85" s="156" t="s">
        <v>215</v>
      </c>
      <c r="B85" s="156" t="s">
        <v>216</v>
      </c>
      <c r="D85" s="68">
        <f>VLOOKUP(A85,'2018-19 disagg'!A85:AZ293,43,FALSE)</f>
        <v>377292</v>
      </c>
      <c r="E85" s="73">
        <v>1733.315606699455</v>
      </c>
      <c r="F85" s="55"/>
      <c r="G85" s="88">
        <v>367208.87384494755</v>
      </c>
      <c r="H85" s="81">
        <v>1683.6370894355871</v>
      </c>
      <c r="I85" s="90"/>
      <c r="J85" s="103">
        <f t="shared" si="19"/>
        <v>2.7458830309504023E-2</v>
      </c>
      <c r="K85" s="126">
        <f t="shared" si="19"/>
        <v>2.9506666000403747E-2</v>
      </c>
      <c r="L85" s="56">
        <v>386458</v>
      </c>
      <c r="M85" s="103">
        <v>1.5586196335429126E-2</v>
      </c>
      <c r="N85" s="97">
        <f>INDEX('Pace of change parameters'!$E$22:$I$22,1,$B$5)</f>
        <v>1.356605044543624E-2</v>
      </c>
      <c r="O85" s="108">
        <f>MAX(IF(INDEX('Pace of change parameters'!$E$30:$I$30,1,$B$5)=1,(1+M85)*D85,D85),L85)</f>
        <v>386458</v>
      </c>
      <c r="P85" s="94">
        <f>IF(K85&lt;INDEX('Pace of change parameters'!$E$18:$I$18,1,$B$5),1,IF(K85&gt;INDEX('Pace of change parameters'!$E$19:$I$19,1,$B$5),0,(K85-INDEX('Pace of change parameters'!$E$19:$I$19,1,$B$5))/(INDEX('Pace of change parameters'!$E$18:$I$18,1,$B$5)-INDEX('Pace of change parameters'!$E$19:$I$19,1,$B$5))))</f>
        <v>0</v>
      </c>
      <c r="Q85" s="57">
        <v>1.5586196335429126E-2</v>
      </c>
      <c r="R85" s="57">
        <v>1.356605044543624E-2</v>
      </c>
      <c r="S85" s="9">
        <f>MAX(IF(INDEX('Pace of change parameters'!$E$31:$I$31,1,$B$5)=1,D85*(1+Q85),D85),L85)</f>
        <v>386458</v>
      </c>
      <c r="T85" s="103">
        <f>IF(Q85&lt;INDEX('Pace of change parameters'!$E$24:$I$24,1,$B$5),INDEX('Pace of change parameters'!$E$24:$I$24,1,$B$5),Q85)</f>
        <v>2.0738822378003872E-2</v>
      </c>
      <c r="U85" s="132">
        <v>1.8708427179424225E-2</v>
      </c>
      <c r="V85" s="117">
        <f t="shared" si="20"/>
        <v>386458</v>
      </c>
      <c r="W85" s="131">
        <f>IF(J85&gt;INDEX('Pace of change parameters'!$E$26:$I$26,1,$B$5),0,IF(J85&lt;INDEX('Pace of change parameters'!$E$25:$I$25,1,$B$5),1,(J85-INDEX('Pace of change parameters'!$E$26:$I$26,1,$B$5))/(INDEX('Pace of change parameters'!$E$25:$I$25,1,$B$5)-INDEX('Pace of change parameters'!$E$26:$I$26,1,$B$5))))</f>
        <v>1</v>
      </c>
      <c r="X85" s="132">
        <f>MIN(T85, T85+(INDEX('Pace of change parameters'!$E$27:$I$27,1,$B$5)-T85)*(1-W85))</f>
        <v>2.0738822378003872E-2</v>
      </c>
      <c r="Y85" s="132">
        <v>1.8708427179424225E-2</v>
      </c>
      <c r="Z85" s="108">
        <f t="shared" si="21"/>
        <v>386458</v>
      </c>
      <c r="AA85" s="97">
        <f>MIN(VLOOKUP(A85,'2018-19 disagg'!$A$12:$BB$220,54,FALSE),-2.5%)</f>
        <v>-2.5000000000000001E-2</v>
      </c>
      <c r="AB85" s="99">
        <f t="shared" si="13"/>
        <v>367525.25090190349</v>
      </c>
      <c r="AC85" s="99">
        <f>MAX(IF(INDEX('Pace of change parameters'!$E$29:$I$29,1,$B$5)=1,MAX(AB85,Z85),Z85),L85)</f>
        <v>386458</v>
      </c>
      <c r="AD85" s="97">
        <f t="shared" si="14"/>
        <v>2.4294180634627738E-2</v>
      </c>
      <c r="AE85" s="146">
        <v>2.2256713321051391E-2</v>
      </c>
      <c r="AF85" s="56">
        <f t="shared" si="22"/>
        <v>386458</v>
      </c>
      <c r="AG85" s="56">
        <v>1771.8935152526692</v>
      </c>
      <c r="AH85" s="16">
        <f t="shared" si="15"/>
        <v>2.4294180634627738E-2</v>
      </c>
      <c r="AI85" s="16">
        <f t="shared" si="16"/>
        <v>2.2256713321051613E-2</v>
      </c>
      <c r="AJ85" s="56"/>
      <c r="AK85" s="56">
        <v>376948.97528400359</v>
      </c>
      <c r="AL85" s="56">
        <v>1728.2950408242673</v>
      </c>
      <c r="AM85" s="16">
        <f t="shared" si="23"/>
        <v>2.5226291459824468E-2</v>
      </c>
      <c r="AN85" s="58">
        <f t="shared" si="23"/>
        <v>2.5226291459824246E-2</v>
      </c>
      <c r="AP85" s="56">
        <f t="shared" si="17"/>
        <v>1</v>
      </c>
      <c r="AQ85" s="56">
        <f t="shared" si="18"/>
        <v>0</v>
      </c>
    </row>
    <row r="86" spans="1:43" x14ac:dyDescent="0.2">
      <c r="A86" s="156" t="s">
        <v>217</v>
      </c>
      <c r="B86" s="156" t="s">
        <v>218</v>
      </c>
      <c r="D86" s="68">
        <f>VLOOKUP(A86,'2018-19 disagg'!A86:AZ294,43,FALSE)</f>
        <v>270982</v>
      </c>
      <c r="E86" s="73">
        <v>1535.2155565902249</v>
      </c>
      <c r="F86" s="55"/>
      <c r="G86" s="88">
        <v>273269.35953059059</v>
      </c>
      <c r="H86" s="81">
        <v>1541.5419215956983</v>
      </c>
      <c r="I86" s="90"/>
      <c r="J86" s="103">
        <f t="shared" si="19"/>
        <v>-8.3703476105763119E-3</v>
      </c>
      <c r="K86" s="126">
        <f t="shared" si="19"/>
        <v>-4.1039201833219519E-3</v>
      </c>
      <c r="L86" s="56">
        <v>277638</v>
      </c>
      <c r="M86" s="103">
        <v>1.7926857916788608E-2</v>
      </c>
      <c r="N86" s="97">
        <f>INDEX('Pace of change parameters'!$E$22:$I$22,1,$B$5)</f>
        <v>1.356605044543624E-2</v>
      </c>
      <c r="O86" s="108">
        <f>MAX(IF(INDEX('Pace of change parameters'!$E$30:$I$30,1,$B$5)=1,(1+M86)*D86,D86),L86)</f>
        <v>277638</v>
      </c>
      <c r="P86" s="94">
        <f>IF(K86&lt;INDEX('Pace of change parameters'!$E$18:$I$18,1,$B$5),1,IF(K86&gt;INDEX('Pace of change parameters'!$E$19:$I$19,1,$B$5),0,(K86-INDEX('Pace of change parameters'!$E$19:$I$19,1,$B$5))/(INDEX('Pace of change parameters'!$E$18:$I$18,1,$B$5)-INDEX('Pace of change parameters'!$E$19:$I$19,1,$B$5))))</f>
        <v>0.18480604450368152</v>
      </c>
      <c r="Q86" s="57">
        <v>2.0281486476309452E-2</v>
      </c>
      <c r="R86" s="57">
        <v>1.5910591755824433E-2</v>
      </c>
      <c r="S86" s="9">
        <f>MAX(IF(INDEX('Pace of change parameters'!$E$31:$I$31,1,$B$5)=1,D86*(1+Q86),D86),L86)</f>
        <v>277638</v>
      </c>
      <c r="T86" s="103">
        <f>IF(Q86&lt;INDEX('Pace of change parameters'!$E$24:$I$24,1,$B$5),INDEX('Pace of change parameters'!$E$24:$I$24,1,$B$5),Q86)</f>
        <v>2.0738822378003872E-2</v>
      </c>
      <c r="U86" s="132">
        <v>1.6365968426556909E-2</v>
      </c>
      <c r="V86" s="117">
        <f t="shared" si="20"/>
        <v>277638</v>
      </c>
      <c r="W86" s="131">
        <f>IF(J86&gt;INDEX('Pace of change parameters'!$E$26:$I$26,1,$B$5),0,IF(J86&lt;INDEX('Pace of change parameters'!$E$25:$I$25,1,$B$5),1,(J86-INDEX('Pace of change parameters'!$E$26:$I$26,1,$B$5))/(INDEX('Pace of change parameters'!$E$25:$I$25,1,$B$5)-INDEX('Pace of change parameters'!$E$26:$I$26,1,$B$5))))</f>
        <v>1</v>
      </c>
      <c r="X86" s="132">
        <f>MIN(T86, T86+(INDEX('Pace of change parameters'!$E$27:$I$27,1,$B$5)-T86)*(1-W86))</f>
        <v>2.0738822378003872E-2</v>
      </c>
      <c r="Y86" s="132">
        <v>1.6365968426556909E-2</v>
      </c>
      <c r="Z86" s="108">
        <f t="shared" si="21"/>
        <v>277638</v>
      </c>
      <c r="AA86" s="97">
        <f>MIN(VLOOKUP(A86,'2018-19 disagg'!$A$12:$BB$220,54,FALSE),-2.5%)</f>
        <v>-2.5000000000000001E-2</v>
      </c>
      <c r="AB86" s="99">
        <f t="shared" si="13"/>
        <v>273514.1678406134</v>
      </c>
      <c r="AC86" s="99">
        <f>MAX(IF(INDEX('Pace of change parameters'!$E$29:$I$29,1,$B$5)=1,MAX(AB86,Z86),Z86),L86)</f>
        <v>277638</v>
      </c>
      <c r="AD86" s="97">
        <f t="shared" si="14"/>
        <v>2.4562517067554301E-2</v>
      </c>
      <c r="AE86" s="146">
        <v>2.0173282374956303E-2</v>
      </c>
      <c r="AF86" s="56">
        <f t="shared" si="22"/>
        <v>277638</v>
      </c>
      <c r="AG86" s="56">
        <v>1566.1858935197452</v>
      </c>
      <c r="AH86" s="16">
        <f t="shared" si="15"/>
        <v>2.4562517067554301E-2</v>
      </c>
      <c r="AI86" s="16">
        <f t="shared" si="16"/>
        <v>2.0173282374956303E-2</v>
      </c>
      <c r="AJ86" s="56"/>
      <c r="AK86" s="56">
        <v>280527.35163139837</v>
      </c>
      <c r="AL86" s="56">
        <v>1582.4850376085024</v>
      </c>
      <c r="AM86" s="16">
        <f t="shared" si="23"/>
        <v>-1.0299714500548451E-2</v>
      </c>
      <c r="AN86" s="58">
        <f t="shared" si="23"/>
        <v>-1.0299714500548451E-2</v>
      </c>
      <c r="AP86" s="56">
        <f t="shared" si="17"/>
        <v>1</v>
      </c>
      <c r="AQ86" s="56">
        <f t="shared" si="18"/>
        <v>0</v>
      </c>
    </row>
    <row r="87" spans="1:43" x14ac:dyDescent="0.2">
      <c r="A87" s="156" t="s">
        <v>219</v>
      </c>
      <c r="B87" s="156" t="s">
        <v>220</v>
      </c>
      <c r="D87" s="68">
        <f>VLOOKUP(A87,'2018-19 disagg'!A87:AZ295,43,FALSE)</f>
        <v>957058</v>
      </c>
      <c r="E87" s="73">
        <v>1658.5083933006561</v>
      </c>
      <c r="F87" s="55"/>
      <c r="G87" s="88">
        <v>978561.05974283011</v>
      </c>
      <c r="H87" s="81">
        <v>1682.4150661222568</v>
      </c>
      <c r="I87" s="90"/>
      <c r="J87" s="103">
        <f t="shared" si="19"/>
        <v>-2.1974162499866057E-2</v>
      </c>
      <c r="K87" s="126">
        <f t="shared" si="19"/>
        <v>-1.4209735339985041E-2</v>
      </c>
      <c r="L87" s="56">
        <v>982952</v>
      </c>
      <c r="M87" s="103">
        <v>2.1612626996549977E-2</v>
      </c>
      <c r="N87" s="97">
        <f>INDEX('Pace of change parameters'!$E$22:$I$22,1,$B$5)</f>
        <v>1.356605044543624E-2</v>
      </c>
      <c r="O87" s="108">
        <f>MAX(IF(INDEX('Pace of change parameters'!$E$30:$I$30,1,$B$5)=1,(1+M87)*D87,D87),L87)</f>
        <v>982952</v>
      </c>
      <c r="P87" s="94">
        <f>IF(K87&lt;INDEX('Pace of change parameters'!$E$18:$I$18,1,$B$5),1,IF(K87&gt;INDEX('Pace of change parameters'!$E$19:$I$19,1,$B$5),0,(K87-INDEX('Pace of change parameters'!$E$19:$I$19,1,$B$5))/(INDEX('Pace of change parameters'!$E$18:$I$18,1,$B$5)-INDEX('Pace of change parameters'!$E$19:$I$19,1,$B$5))))</f>
        <v>0.50293139356787164</v>
      </c>
      <c r="Q87" s="57">
        <v>2.8043718072324975E-2</v>
      </c>
      <c r="R87" s="57">
        <v>1.9946488010006647E-2</v>
      </c>
      <c r="S87" s="9">
        <f>MAX(IF(INDEX('Pace of change parameters'!$E$31:$I$31,1,$B$5)=1,D87*(1+Q87),D87),L87)</f>
        <v>983897.46473086323</v>
      </c>
      <c r="T87" s="103">
        <f>IF(Q87&lt;INDEX('Pace of change parameters'!$E$24:$I$24,1,$B$5),INDEX('Pace of change parameters'!$E$24:$I$24,1,$B$5),Q87)</f>
        <v>2.8043718072324975E-2</v>
      </c>
      <c r="U87" s="132">
        <v>1.9946488010006647E-2</v>
      </c>
      <c r="V87" s="117">
        <f t="shared" si="20"/>
        <v>983897.46473086323</v>
      </c>
      <c r="W87" s="131">
        <f>IF(J87&gt;INDEX('Pace of change parameters'!$E$26:$I$26,1,$B$5),0,IF(J87&lt;INDEX('Pace of change parameters'!$E$25:$I$25,1,$B$5),1,(J87-INDEX('Pace of change parameters'!$E$26:$I$26,1,$B$5))/(INDEX('Pace of change parameters'!$E$25:$I$25,1,$B$5)-INDEX('Pace of change parameters'!$E$26:$I$26,1,$B$5))))</f>
        <v>1</v>
      </c>
      <c r="X87" s="132">
        <f>MIN(T87, T87+(INDEX('Pace of change parameters'!$E$27:$I$27,1,$B$5)-T87)*(1-W87))</f>
        <v>2.8043718072324975E-2</v>
      </c>
      <c r="Y87" s="132">
        <v>1.9946488010006647E-2</v>
      </c>
      <c r="Z87" s="108">
        <f t="shared" si="21"/>
        <v>983897.46473086323</v>
      </c>
      <c r="AA87" s="97">
        <f>MIN(VLOOKUP(A87,'2018-19 disagg'!$A$12:$BB$220,54,FALSE),-2.5%)</f>
        <v>-2.5000000000000001E-2</v>
      </c>
      <c r="AB87" s="99">
        <f t="shared" si="13"/>
        <v>979887.56091376452</v>
      </c>
      <c r="AC87" s="99">
        <f>MAX(IF(INDEX('Pace of change parameters'!$E$29:$I$29,1,$B$5)=1,MAX(AB87,Z87),Z87),L87)</f>
        <v>983897.46473086323</v>
      </c>
      <c r="AD87" s="97">
        <f t="shared" si="14"/>
        <v>2.8043718072324975E-2</v>
      </c>
      <c r="AE87" s="146">
        <v>1.9946488010006647E-2</v>
      </c>
      <c r="AF87" s="56">
        <f t="shared" si="22"/>
        <v>983897.46473086323</v>
      </c>
      <c r="AG87" s="56">
        <v>1691.5898110821229</v>
      </c>
      <c r="AH87" s="16">
        <f t="shared" si="15"/>
        <v>2.8043718072324975E-2</v>
      </c>
      <c r="AI87" s="16">
        <f t="shared" si="16"/>
        <v>1.9946488010006647E-2</v>
      </c>
      <c r="AJ87" s="56"/>
      <c r="AK87" s="56">
        <v>1005012.8829884764</v>
      </c>
      <c r="AL87" s="56">
        <v>1727.8930110208344</v>
      </c>
      <c r="AM87" s="16">
        <f t="shared" si="23"/>
        <v>-2.1010097099278036E-2</v>
      </c>
      <c r="AN87" s="58">
        <f t="shared" si="23"/>
        <v>-2.1010097099277925E-2</v>
      </c>
      <c r="AP87" s="56">
        <f t="shared" si="17"/>
        <v>0</v>
      </c>
      <c r="AQ87" s="56">
        <f t="shared" si="18"/>
        <v>0</v>
      </c>
    </row>
    <row r="88" spans="1:43" x14ac:dyDescent="0.2">
      <c r="A88" s="156" t="s">
        <v>221</v>
      </c>
      <c r="B88" s="156" t="s">
        <v>222</v>
      </c>
      <c r="D88" s="68">
        <f>VLOOKUP(A88,'2018-19 disagg'!A88:AZ296,43,FALSE)</f>
        <v>517316</v>
      </c>
      <c r="E88" s="73">
        <v>1681.2534673372118</v>
      </c>
      <c r="F88" s="55"/>
      <c r="G88" s="88">
        <v>523786.11504431011</v>
      </c>
      <c r="H88" s="81">
        <v>1694.8236854209988</v>
      </c>
      <c r="I88" s="90"/>
      <c r="J88" s="103">
        <f t="shared" si="19"/>
        <v>-1.2352589842445028E-2</v>
      </c>
      <c r="K88" s="126">
        <f t="shared" si="19"/>
        <v>-8.006861244930108E-3</v>
      </c>
      <c r="L88" s="56">
        <v>529505</v>
      </c>
      <c r="M88" s="103">
        <v>1.8025823159454113E-2</v>
      </c>
      <c r="N88" s="97">
        <f>INDEX('Pace of change parameters'!$E$22:$I$22,1,$B$5)</f>
        <v>1.356605044543624E-2</v>
      </c>
      <c r="O88" s="108">
        <f>MAX(IF(INDEX('Pace of change parameters'!$E$30:$I$30,1,$B$5)=1,(1+M88)*D88,D88),L88)</f>
        <v>529505</v>
      </c>
      <c r="P88" s="94">
        <f>IF(K88&lt;INDEX('Pace of change parameters'!$E$18:$I$18,1,$B$5),1,IF(K88&gt;INDEX('Pace of change parameters'!$E$19:$I$19,1,$B$5),0,(K88-INDEX('Pace of change parameters'!$E$19:$I$19,1,$B$5))/(INDEX('Pace of change parameters'!$E$18:$I$18,1,$B$5)-INDEX('Pace of change parameters'!$E$19:$I$19,1,$B$5))))</f>
        <v>0.30766842308008091</v>
      </c>
      <c r="Q88" s="57">
        <v>2.1946232202487259E-2</v>
      </c>
      <c r="R88" s="57">
        <v>1.7469284940555108E-2</v>
      </c>
      <c r="S88" s="9">
        <f>MAX(IF(INDEX('Pace of change parameters'!$E$31:$I$31,1,$B$5)=1,D88*(1+Q88),D88),L88)</f>
        <v>529505</v>
      </c>
      <c r="T88" s="103">
        <f>IF(Q88&lt;INDEX('Pace of change parameters'!$E$24:$I$24,1,$B$5),INDEX('Pace of change parameters'!$E$24:$I$24,1,$B$5),Q88)</f>
        <v>2.1946232202487259E-2</v>
      </c>
      <c r="U88" s="132">
        <v>1.7469284940555108E-2</v>
      </c>
      <c r="V88" s="117">
        <f t="shared" si="20"/>
        <v>529505</v>
      </c>
      <c r="W88" s="131">
        <f>IF(J88&gt;INDEX('Pace of change parameters'!$E$26:$I$26,1,$B$5),0,IF(J88&lt;INDEX('Pace of change parameters'!$E$25:$I$25,1,$B$5),1,(J88-INDEX('Pace of change parameters'!$E$26:$I$26,1,$B$5))/(INDEX('Pace of change parameters'!$E$25:$I$25,1,$B$5)-INDEX('Pace of change parameters'!$E$26:$I$26,1,$B$5))))</f>
        <v>1</v>
      </c>
      <c r="X88" s="132">
        <f>MIN(T88, T88+(INDEX('Pace of change parameters'!$E$27:$I$27,1,$B$5)-T88)*(1-W88))</f>
        <v>2.1946232202487259E-2</v>
      </c>
      <c r="Y88" s="132">
        <v>1.7469284940555108E-2</v>
      </c>
      <c r="Z88" s="108">
        <f t="shared" si="21"/>
        <v>529505</v>
      </c>
      <c r="AA88" s="97">
        <f>MIN(VLOOKUP(A88,'2018-19 disagg'!$A$12:$BB$220,54,FALSE),-2.5%)</f>
        <v>-2.5000000000000001E-2</v>
      </c>
      <c r="AB88" s="99">
        <f t="shared" si="13"/>
        <v>524268.68623063975</v>
      </c>
      <c r="AC88" s="99">
        <f>MAX(IF(INDEX('Pace of change parameters'!$E$29:$I$29,1,$B$5)=1,MAX(AB88,Z88),Z88),L88)</f>
        <v>529505</v>
      </c>
      <c r="AD88" s="97">
        <f t="shared" si="14"/>
        <v>2.356200078868631E-2</v>
      </c>
      <c r="AE88" s="146">
        <v>1.9077975159497607E-2</v>
      </c>
      <c r="AF88" s="56">
        <f t="shared" si="22"/>
        <v>529505</v>
      </c>
      <c r="AG88" s="56">
        <v>1713.3283792238904</v>
      </c>
      <c r="AH88" s="16">
        <f t="shared" si="15"/>
        <v>2.356200078868631E-2</v>
      </c>
      <c r="AI88" s="16">
        <f t="shared" si="16"/>
        <v>1.9077975159497607E-2</v>
      </c>
      <c r="AJ88" s="56"/>
      <c r="AK88" s="56">
        <v>537711.47305706644</v>
      </c>
      <c r="AL88" s="56">
        <v>1739.8822043662556</v>
      </c>
      <c r="AM88" s="16">
        <f t="shared" si="23"/>
        <v>-1.5261852253979136E-2</v>
      </c>
      <c r="AN88" s="58">
        <f t="shared" si="23"/>
        <v>-1.5261852253979025E-2</v>
      </c>
      <c r="AP88" s="56">
        <f t="shared" si="17"/>
        <v>1</v>
      </c>
      <c r="AQ88" s="56">
        <f t="shared" si="18"/>
        <v>0</v>
      </c>
    </row>
    <row r="89" spans="1:43" x14ac:dyDescent="0.2">
      <c r="A89" s="156" t="s">
        <v>223</v>
      </c>
      <c r="B89" s="156" t="s">
        <v>224</v>
      </c>
      <c r="D89" s="68">
        <f>VLOOKUP(A89,'2018-19 disagg'!A89:AZ297,43,FALSE)</f>
        <v>400793</v>
      </c>
      <c r="E89" s="73">
        <v>1622.0864531347281</v>
      </c>
      <c r="F89" s="55"/>
      <c r="G89" s="88">
        <v>409787.94871947129</v>
      </c>
      <c r="H89" s="81">
        <v>1649.162019878115</v>
      </c>
      <c r="I89" s="90"/>
      <c r="J89" s="103">
        <f t="shared" si="19"/>
        <v>-2.1950251947572386E-2</v>
      </c>
      <c r="K89" s="126">
        <f t="shared" si="19"/>
        <v>-1.6417772430502575E-2</v>
      </c>
      <c r="L89" s="56">
        <v>410956</v>
      </c>
      <c r="M89" s="103">
        <v>1.9299433051436443E-2</v>
      </c>
      <c r="N89" s="97">
        <f>INDEX('Pace of change parameters'!$E$22:$I$22,1,$B$5)</f>
        <v>1.356605044543624E-2</v>
      </c>
      <c r="O89" s="108">
        <f>MAX(IF(INDEX('Pace of change parameters'!$E$30:$I$30,1,$B$5)=1,(1+M89)*D89,D89),L89)</f>
        <v>410956</v>
      </c>
      <c r="P89" s="94">
        <f>IF(K89&lt;INDEX('Pace of change parameters'!$E$18:$I$18,1,$B$5),1,IF(K89&gt;INDEX('Pace of change parameters'!$E$19:$I$19,1,$B$5),0,(K89-INDEX('Pace of change parameters'!$E$19:$I$19,1,$B$5))/(INDEX('Pace of change parameters'!$E$18:$I$18,1,$B$5)-INDEX('Pace of change parameters'!$E$19:$I$19,1,$B$5))))</f>
        <v>0.57243915313780924</v>
      </c>
      <c r="Q89" s="57">
        <v>2.6602760543243065E-2</v>
      </c>
      <c r="R89" s="57">
        <v>2.082829798620045E-2</v>
      </c>
      <c r="S89" s="9">
        <f>MAX(IF(INDEX('Pace of change parameters'!$E$31:$I$31,1,$B$5)=1,D89*(1+Q89),D89),L89)</f>
        <v>411455.20020640804</v>
      </c>
      <c r="T89" s="103">
        <f>IF(Q89&lt;INDEX('Pace of change parameters'!$E$24:$I$24,1,$B$5),INDEX('Pace of change parameters'!$E$24:$I$24,1,$B$5),Q89)</f>
        <v>2.6602760543243065E-2</v>
      </c>
      <c r="U89" s="132">
        <v>2.082829798620045E-2</v>
      </c>
      <c r="V89" s="117">
        <f t="shared" si="20"/>
        <v>411455.20020640804</v>
      </c>
      <c r="W89" s="131">
        <f>IF(J89&gt;INDEX('Pace of change parameters'!$E$26:$I$26,1,$B$5),0,IF(J89&lt;INDEX('Pace of change parameters'!$E$25:$I$25,1,$B$5),1,(J89-INDEX('Pace of change parameters'!$E$26:$I$26,1,$B$5))/(INDEX('Pace of change parameters'!$E$25:$I$25,1,$B$5)-INDEX('Pace of change parameters'!$E$26:$I$26,1,$B$5))))</f>
        <v>1</v>
      </c>
      <c r="X89" s="132">
        <f>MIN(T89, T89+(INDEX('Pace of change parameters'!$E$27:$I$27,1,$B$5)-T89)*(1-W89))</f>
        <v>2.6602760543243065E-2</v>
      </c>
      <c r="Y89" s="132">
        <v>2.082829798620045E-2</v>
      </c>
      <c r="Z89" s="108">
        <f t="shared" si="21"/>
        <v>411455.20020640804</v>
      </c>
      <c r="AA89" s="97">
        <f>MIN(VLOOKUP(A89,'2018-19 disagg'!$A$12:$BB$220,54,FALSE),-2.5%)</f>
        <v>-2.5000000000000001E-2</v>
      </c>
      <c r="AB89" s="99">
        <f t="shared" si="13"/>
        <v>410111.89870497229</v>
      </c>
      <c r="AC89" s="99">
        <f>MAX(IF(INDEX('Pace of change parameters'!$E$29:$I$29,1,$B$5)=1,MAX(AB89,Z89),Z89),L89)</f>
        <v>411455.20020640804</v>
      </c>
      <c r="AD89" s="97">
        <f t="shared" si="14"/>
        <v>2.6602760543243065E-2</v>
      </c>
      <c r="AE89" s="146">
        <v>2.082829798620045E-2</v>
      </c>
      <c r="AF89" s="56">
        <f t="shared" si="22"/>
        <v>411455.20020640804</v>
      </c>
      <c r="AG89" s="56">
        <v>1655.8717531399968</v>
      </c>
      <c r="AH89" s="16">
        <f t="shared" si="15"/>
        <v>2.6602760543243065E-2</v>
      </c>
      <c r="AI89" s="16">
        <f t="shared" si="16"/>
        <v>2.0828297986200228E-2</v>
      </c>
      <c r="AJ89" s="56"/>
      <c r="AK89" s="56">
        <v>420627.58841535624</v>
      </c>
      <c r="AL89" s="56">
        <v>1692.7853673959655</v>
      </c>
      <c r="AM89" s="16">
        <f t="shared" si="23"/>
        <v>-2.1806435102137756E-2</v>
      </c>
      <c r="AN89" s="58">
        <f t="shared" si="23"/>
        <v>-2.1806435102137867E-2</v>
      </c>
      <c r="AP89" s="56">
        <f t="shared" si="17"/>
        <v>0</v>
      </c>
      <c r="AQ89" s="56">
        <f t="shared" si="18"/>
        <v>0</v>
      </c>
    </row>
    <row r="90" spans="1:43" x14ac:dyDescent="0.2">
      <c r="A90" s="156" t="s">
        <v>225</v>
      </c>
      <c r="B90" s="156" t="s">
        <v>226</v>
      </c>
      <c r="D90" s="68">
        <f>VLOOKUP(A90,'2018-19 disagg'!A90:AZ298,43,FALSE)</f>
        <v>340312</v>
      </c>
      <c r="E90" s="73">
        <v>1551.5235305633603</v>
      </c>
      <c r="F90" s="55"/>
      <c r="G90" s="88">
        <v>348832.76702490647</v>
      </c>
      <c r="H90" s="81">
        <v>1583.6813233733378</v>
      </c>
      <c r="I90" s="90"/>
      <c r="J90" s="103">
        <f t="shared" si="19"/>
        <v>-2.4426509864820423E-2</v>
      </c>
      <c r="K90" s="126">
        <f t="shared" si="19"/>
        <v>-2.0305722076383037E-2</v>
      </c>
      <c r="L90" s="56">
        <v>348759</v>
      </c>
      <c r="M90" s="103">
        <v>1.7847317459847911E-2</v>
      </c>
      <c r="N90" s="97">
        <f>INDEX('Pace of change parameters'!$E$22:$I$22,1,$B$5)</f>
        <v>1.356605044543624E-2</v>
      </c>
      <c r="O90" s="108">
        <f>MAX(IF(INDEX('Pace of change parameters'!$E$30:$I$30,1,$B$5)=1,(1+M90)*D90,D90),L90)</f>
        <v>348759</v>
      </c>
      <c r="P90" s="94">
        <f>IF(K90&lt;INDEX('Pace of change parameters'!$E$18:$I$18,1,$B$5),1,IF(K90&gt;INDEX('Pace of change parameters'!$E$19:$I$19,1,$B$5),0,(K90-INDEX('Pace of change parameters'!$E$19:$I$19,1,$B$5))/(INDEX('Pace of change parameters'!$E$18:$I$18,1,$B$5)-INDEX('Pace of change parameters'!$E$19:$I$19,1,$B$5))))</f>
        <v>0.69482961042063596</v>
      </c>
      <c r="Q90" s="57">
        <v>2.6699505208793273E-2</v>
      </c>
      <c r="R90" s="57">
        <v>2.2381004142903782E-2</v>
      </c>
      <c r="S90" s="9">
        <f>MAX(IF(INDEX('Pace of change parameters'!$E$31:$I$31,1,$B$5)=1,D90*(1+Q90),D90),L90)</f>
        <v>349398.16201661486</v>
      </c>
      <c r="T90" s="103">
        <f>IF(Q90&lt;INDEX('Pace of change parameters'!$E$24:$I$24,1,$B$5),INDEX('Pace of change parameters'!$E$24:$I$24,1,$B$5),Q90)</f>
        <v>2.6699505208793273E-2</v>
      </c>
      <c r="U90" s="132">
        <v>2.2381004142903782E-2</v>
      </c>
      <c r="V90" s="117">
        <f t="shared" si="20"/>
        <v>349398.16201661486</v>
      </c>
      <c r="W90" s="131">
        <f>IF(J90&gt;INDEX('Pace of change parameters'!$E$26:$I$26,1,$B$5),0,IF(J90&lt;INDEX('Pace of change parameters'!$E$25:$I$25,1,$B$5),1,(J90-INDEX('Pace of change parameters'!$E$26:$I$26,1,$B$5))/(INDEX('Pace of change parameters'!$E$25:$I$25,1,$B$5)-INDEX('Pace of change parameters'!$E$26:$I$26,1,$B$5))))</f>
        <v>1</v>
      </c>
      <c r="X90" s="132">
        <f>MIN(T90, T90+(INDEX('Pace of change parameters'!$E$27:$I$27,1,$B$5)-T90)*(1-W90))</f>
        <v>2.6699505208793273E-2</v>
      </c>
      <c r="Y90" s="132">
        <v>2.2381004142903782E-2</v>
      </c>
      <c r="Z90" s="108">
        <f t="shared" si="21"/>
        <v>349398.16201661486</v>
      </c>
      <c r="AA90" s="97">
        <f>MIN(VLOOKUP(A90,'2018-19 disagg'!$A$12:$BB$220,54,FALSE),-2.5%)</f>
        <v>-2.6975457891493138E-2</v>
      </c>
      <c r="AB90" s="99">
        <f t="shared" si="13"/>
        <v>348446.43891225528</v>
      </c>
      <c r="AC90" s="99">
        <f>MAX(IF(INDEX('Pace of change parameters'!$E$29:$I$29,1,$B$5)=1,MAX(AB90,Z90),Z90),L90)</f>
        <v>349398.16201661486</v>
      </c>
      <c r="AD90" s="97">
        <f t="shared" si="14"/>
        <v>2.6699505208793273E-2</v>
      </c>
      <c r="AE90" s="146">
        <v>2.2381004142903782E-2</v>
      </c>
      <c r="AF90" s="56">
        <f t="shared" si="22"/>
        <v>349398.16201661486</v>
      </c>
      <c r="AG90" s="56">
        <v>1586.2481851287116</v>
      </c>
      <c r="AH90" s="16">
        <f t="shared" si="15"/>
        <v>2.6699505208793273E-2</v>
      </c>
      <c r="AI90" s="16">
        <f t="shared" si="16"/>
        <v>2.2381004142903782E-2</v>
      </c>
      <c r="AJ90" s="56"/>
      <c r="AK90" s="56">
        <v>358106.52643682063</v>
      </c>
      <c r="AL90" s="56">
        <v>1625.7836743175012</v>
      </c>
      <c r="AM90" s="16">
        <f t="shared" si="23"/>
        <v>-2.4317804276996702E-2</v>
      </c>
      <c r="AN90" s="58">
        <f t="shared" si="23"/>
        <v>-2.4317804276996702E-2</v>
      </c>
      <c r="AP90" s="56">
        <f t="shared" si="17"/>
        <v>0</v>
      </c>
      <c r="AQ90" s="56">
        <f t="shared" si="18"/>
        <v>0</v>
      </c>
    </row>
    <row r="91" spans="1:43" x14ac:dyDescent="0.2">
      <c r="A91" s="156" t="s">
        <v>227</v>
      </c>
      <c r="B91" s="156" t="s">
        <v>228</v>
      </c>
      <c r="D91" s="68">
        <f>VLOOKUP(A91,'2018-19 disagg'!A91:AZ299,43,FALSE)</f>
        <v>440280</v>
      </c>
      <c r="E91" s="73">
        <v>1561.3718885825699</v>
      </c>
      <c r="F91" s="55"/>
      <c r="G91" s="88">
        <v>440958.83175594948</v>
      </c>
      <c r="H91" s="81">
        <v>1555.0342706978893</v>
      </c>
      <c r="I91" s="90"/>
      <c r="J91" s="103">
        <f t="shared" si="19"/>
        <v>-1.5394447441868797E-3</v>
      </c>
      <c r="K91" s="126">
        <f t="shared" si="19"/>
        <v>4.0755486898924609E-3</v>
      </c>
      <c r="L91" s="56">
        <v>451207</v>
      </c>
      <c r="M91" s="103">
        <v>1.9265991908620883E-2</v>
      </c>
      <c r="N91" s="97">
        <f>INDEX('Pace of change parameters'!$E$22:$I$22,1,$B$5)</f>
        <v>1.356605044543624E-2</v>
      </c>
      <c r="O91" s="108">
        <f>MAX(IF(INDEX('Pace of change parameters'!$E$30:$I$30,1,$B$5)=1,(1+M91)*D91,D91),L91)</f>
        <v>451207</v>
      </c>
      <c r="P91" s="94">
        <f>IF(K91&lt;INDEX('Pace of change parameters'!$E$18:$I$18,1,$B$5),1,IF(K91&gt;INDEX('Pace of change parameters'!$E$19:$I$19,1,$B$5),0,(K91-INDEX('Pace of change parameters'!$E$19:$I$19,1,$B$5))/(INDEX('Pace of change parameters'!$E$18:$I$18,1,$B$5)-INDEX('Pace of change parameters'!$E$19:$I$19,1,$B$5))))</f>
        <v>0</v>
      </c>
      <c r="Q91" s="57">
        <v>1.9265991908620883E-2</v>
      </c>
      <c r="R91" s="57">
        <v>1.356605044543624E-2</v>
      </c>
      <c r="S91" s="9">
        <f>MAX(IF(INDEX('Pace of change parameters'!$E$31:$I$31,1,$B$5)=1,D91*(1+Q91),D91),L91)</f>
        <v>451207</v>
      </c>
      <c r="T91" s="103">
        <f>IF(Q91&lt;INDEX('Pace of change parameters'!$E$24:$I$24,1,$B$5),INDEX('Pace of change parameters'!$E$24:$I$24,1,$B$5),Q91)</f>
        <v>2.0738822378003872E-2</v>
      </c>
      <c r="U91" s="132">
        <v>1.5030644549113514E-2</v>
      </c>
      <c r="V91" s="117">
        <f t="shared" si="20"/>
        <v>451207</v>
      </c>
      <c r="W91" s="131">
        <f>IF(J91&gt;INDEX('Pace of change parameters'!$E$26:$I$26,1,$B$5),0,IF(J91&lt;INDEX('Pace of change parameters'!$E$25:$I$25,1,$B$5),1,(J91-INDEX('Pace of change parameters'!$E$26:$I$26,1,$B$5))/(INDEX('Pace of change parameters'!$E$25:$I$25,1,$B$5)-INDEX('Pace of change parameters'!$E$26:$I$26,1,$B$5))))</f>
        <v>1</v>
      </c>
      <c r="X91" s="132">
        <f>MIN(T91, T91+(INDEX('Pace of change parameters'!$E$27:$I$27,1,$B$5)-T91)*(1-W91))</f>
        <v>2.0738822378003872E-2</v>
      </c>
      <c r="Y91" s="132">
        <v>1.5030644549113514E-2</v>
      </c>
      <c r="Z91" s="108">
        <f t="shared" si="21"/>
        <v>451207</v>
      </c>
      <c r="AA91" s="97">
        <f>MIN(VLOOKUP(A91,'2018-19 disagg'!$A$12:$BB$220,54,FALSE),-2.5%)</f>
        <v>-2.5000000000000001E-2</v>
      </c>
      <c r="AB91" s="99">
        <f t="shared" si="13"/>
        <v>441220.58081107528</v>
      </c>
      <c r="AC91" s="99">
        <f>MAX(IF(INDEX('Pace of change parameters'!$E$29:$I$29,1,$B$5)=1,MAX(AB91,Z91),Z91),L91)</f>
        <v>451207</v>
      </c>
      <c r="AD91" s="97">
        <f t="shared" si="14"/>
        <v>2.4818297447079196E-2</v>
      </c>
      <c r="AE91" s="146">
        <v>1.9087306368969603E-2</v>
      </c>
      <c r="AF91" s="56">
        <f t="shared" si="22"/>
        <v>451207</v>
      </c>
      <c r="AG91" s="56">
        <v>1591.1742721758421</v>
      </c>
      <c r="AH91" s="16">
        <f t="shared" si="15"/>
        <v>2.4818297447079196E-2</v>
      </c>
      <c r="AI91" s="16">
        <f t="shared" si="16"/>
        <v>1.9087306368969603E-2</v>
      </c>
      <c r="AJ91" s="56"/>
      <c r="AK91" s="56">
        <v>452533.92903700029</v>
      </c>
      <c r="AL91" s="56">
        <v>1595.8536662115682</v>
      </c>
      <c r="AM91" s="16">
        <f t="shared" si="23"/>
        <v>-2.9322199991147491E-3</v>
      </c>
      <c r="AN91" s="58">
        <f t="shared" si="23"/>
        <v>-2.9322199991147491E-3</v>
      </c>
      <c r="AP91" s="56">
        <f t="shared" si="17"/>
        <v>1</v>
      </c>
      <c r="AQ91" s="56">
        <f t="shared" si="18"/>
        <v>0</v>
      </c>
    </row>
    <row r="92" spans="1:43" x14ac:dyDescent="0.2">
      <c r="A92" s="156" t="s">
        <v>229</v>
      </c>
      <c r="B92" s="156" t="s">
        <v>230</v>
      </c>
      <c r="D92" s="68">
        <f>VLOOKUP(A92,'2018-19 disagg'!A92:AZ300,43,FALSE)</f>
        <v>469102</v>
      </c>
      <c r="E92" s="73">
        <v>1538.3649624311352</v>
      </c>
      <c r="F92" s="55"/>
      <c r="G92" s="88">
        <v>477334.59711286129</v>
      </c>
      <c r="H92" s="81">
        <v>1558.561496612572</v>
      </c>
      <c r="I92" s="90"/>
      <c r="J92" s="103">
        <f t="shared" si="19"/>
        <v>-1.7247015327729875E-2</v>
      </c>
      <c r="K92" s="126">
        <f t="shared" si="19"/>
        <v>-1.2958445480228176E-2</v>
      </c>
      <c r="L92" s="56">
        <v>479898</v>
      </c>
      <c r="M92" s="103">
        <v>1.798908336437588E-2</v>
      </c>
      <c r="N92" s="97">
        <f>INDEX('Pace of change parameters'!$E$22:$I$22,1,$B$5)</f>
        <v>1.356605044543624E-2</v>
      </c>
      <c r="O92" s="108">
        <f>MAX(IF(INDEX('Pace of change parameters'!$E$30:$I$30,1,$B$5)=1,(1+M92)*D92,D92),L92)</f>
        <v>479898</v>
      </c>
      <c r="P92" s="94">
        <f>IF(K92&lt;INDEX('Pace of change parameters'!$E$18:$I$18,1,$B$5),1,IF(K92&gt;INDEX('Pace of change parameters'!$E$19:$I$19,1,$B$5),0,(K92-INDEX('Pace of change parameters'!$E$19:$I$19,1,$B$5))/(INDEX('Pace of change parameters'!$E$18:$I$18,1,$B$5)-INDEX('Pace of change parameters'!$E$19:$I$19,1,$B$5))))</f>
        <v>0.46354149604405082</v>
      </c>
      <c r="Q92" s="57">
        <v>2.3895463586027565E-2</v>
      </c>
      <c r="R92" s="57">
        <v>1.9446768197245223E-2</v>
      </c>
      <c r="S92" s="9">
        <f>MAX(IF(INDEX('Pace of change parameters'!$E$31:$I$31,1,$B$5)=1,D92*(1+Q92),D92),L92)</f>
        <v>480311.40975913272</v>
      </c>
      <c r="T92" s="103">
        <f>IF(Q92&lt;INDEX('Pace of change parameters'!$E$24:$I$24,1,$B$5),INDEX('Pace of change parameters'!$E$24:$I$24,1,$B$5),Q92)</f>
        <v>2.3895463586027565E-2</v>
      </c>
      <c r="U92" s="132">
        <v>1.9446768197245223E-2</v>
      </c>
      <c r="V92" s="117">
        <f t="shared" si="20"/>
        <v>480311.40975913272</v>
      </c>
      <c r="W92" s="131">
        <f>IF(J92&gt;INDEX('Pace of change parameters'!$E$26:$I$26,1,$B$5),0,IF(J92&lt;INDEX('Pace of change parameters'!$E$25:$I$25,1,$B$5),1,(J92-INDEX('Pace of change parameters'!$E$26:$I$26,1,$B$5))/(INDEX('Pace of change parameters'!$E$25:$I$25,1,$B$5)-INDEX('Pace of change parameters'!$E$26:$I$26,1,$B$5))))</f>
        <v>1</v>
      </c>
      <c r="X92" s="132">
        <f>MIN(T92, T92+(INDEX('Pace of change parameters'!$E$27:$I$27,1,$B$5)-T92)*(1-W92))</f>
        <v>2.3895463586027565E-2</v>
      </c>
      <c r="Y92" s="132">
        <v>1.9446768197245223E-2</v>
      </c>
      <c r="Z92" s="108">
        <f t="shared" si="21"/>
        <v>480311.40975913272</v>
      </c>
      <c r="AA92" s="97">
        <f>MIN(VLOOKUP(A92,'2018-19 disagg'!$A$12:$BB$220,54,FALSE),-2.5%)</f>
        <v>-2.5000000000000001E-2</v>
      </c>
      <c r="AB92" s="99">
        <f t="shared" si="13"/>
        <v>477811.99474076444</v>
      </c>
      <c r="AC92" s="99">
        <f>MAX(IF(INDEX('Pace of change parameters'!$E$29:$I$29,1,$B$5)=1,MAX(AB92,Z92),Z92),L92)</f>
        <v>480311.40975913272</v>
      </c>
      <c r="AD92" s="97">
        <f t="shared" si="14"/>
        <v>2.3895463586027565E-2</v>
      </c>
      <c r="AE92" s="146">
        <v>1.9446768197245223E-2</v>
      </c>
      <c r="AF92" s="56">
        <f t="shared" si="22"/>
        <v>480311.40975913272</v>
      </c>
      <c r="AG92" s="56">
        <v>1568.2811892582972</v>
      </c>
      <c r="AH92" s="16">
        <f t="shared" si="15"/>
        <v>2.3895463586027565E-2</v>
      </c>
      <c r="AI92" s="16">
        <f t="shared" si="16"/>
        <v>1.9446768197245223E-2</v>
      </c>
      <c r="AJ92" s="56"/>
      <c r="AK92" s="56">
        <v>490063.58434950199</v>
      </c>
      <c r="AL92" s="56">
        <v>1600.1233476032519</v>
      </c>
      <c r="AM92" s="16">
        <f t="shared" si="23"/>
        <v>-1.9899814844055563E-2</v>
      </c>
      <c r="AN92" s="58">
        <f t="shared" si="23"/>
        <v>-1.9899814844055341E-2</v>
      </c>
      <c r="AP92" s="56">
        <f t="shared" si="17"/>
        <v>0</v>
      </c>
      <c r="AQ92" s="56">
        <f t="shared" si="18"/>
        <v>0</v>
      </c>
    </row>
    <row r="93" spans="1:43" x14ac:dyDescent="0.2">
      <c r="A93" s="156" t="s">
        <v>231</v>
      </c>
      <c r="B93" s="156" t="s">
        <v>232</v>
      </c>
      <c r="D93" s="68">
        <f>VLOOKUP(A93,'2018-19 disagg'!A93:AZ301,43,FALSE)</f>
        <v>234559</v>
      </c>
      <c r="E93" s="73">
        <v>1582.5971877916961</v>
      </c>
      <c r="F93" s="55"/>
      <c r="G93" s="88">
        <v>235078.72934759036</v>
      </c>
      <c r="H93" s="81">
        <v>1580.3185029948231</v>
      </c>
      <c r="I93" s="90"/>
      <c r="J93" s="103">
        <f t="shared" si="19"/>
        <v>-2.2108735615202768E-3</v>
      </c>
      <c r="K93" s="126">
        <f t="shared" si="19"/>
        <v>1.4419149004170073E-3</v>
      </c>
      <c r="L93" s="56">
        <v>240277</v>
      </c>
      <c r="M93" s="103">
        <v>1.7276596367793218E-2</v>
      </c>
      <c r="N93" s="97">
        <f>INDEX('Pace of change parameters'!$E$22:$I$22,1,$B$5)</f>
        <v>1.356605044543624E-2</v>
      </c>
      <c r="O93" s="108">
        <f>MAX(IF(INDEX('Pace of change parameters'!$E$30:$I$30,1,$B$5)=1,(1+M93)*D93,D93),L93)</f>
        <v>240277</v>
      </c>
      <c r="P93" s="94">
        <f>IF(K93&lt;INDEX('Pace of change parameters'!$E$18:$I$18,1,$B$5),1,IF(K93&gt;INDEX('Pace of change parameters'!$E$19:$I$19,1,$B$5),0,(K93-INDEX('Pace of change parameters'!$E$19:$I$19,1,$B$5))/(INDEX('Pace of change parameters'!$E$18:$I$18,1,$B$5)-INDEX('Pace of change parameters'!$E$19:$I$19,1,$B$5))))</f>
        <v>1.0226290716709873E-2</v>
      </c>
      <c r="Q93" s="57">
        <v>1.7406807120754264E-2</v>
      </c>
      <c r="R93" s="57">
        <v>1.369578625089507E-2</v>
      </c>
      <c r="S93" s="9">
        <f>MAX(IF(INDEX('Pace of change parameters'!$E$31:$I$31,1,$B$5)=1,D93*(1+Q93),D93),L93)</f>
        <v>240277</v>
      </c>
      <c r="T93" s="103">
        <f>IF(Q93&lt;INDEX('Pace of change parameters'!$E$24:$I$24,1,$B$5),INDEX('Pace of change parameters'!$E$24:$I$24,1,$B$5),Q93)</f>
        <v>2.0738822378003872E-2</v>
      </c>
      <c r="U93" s="132">
        <v>1.7015647885747276E-2</v>
      </c>
      <c r="V93" s="117">
        <f t="shared" si="20"/>
        <v>240277</v>
      </c>
      <c r="W93" s="131">
        <f>IF(J93&gt;INDEX('Pace of change parameters'!$E$26:$I$26,1,$B$5),0,IF(J93&lt;INDEX('Pace of change parameters'!$E$25:$I$25,1,$B$5),1,(J93-INDEX('Pace of change parameters'!$E$26:$I$26,1,$B$5))/(INDEX('Pace of change parameters'!$E$25:$I$25,1,$B$5)-INDEX('Pace of change parameters'!$E$26:$I$26,1,$B$5))))</f>
        <v>1</v>
      </c>
      <c r="X93" s="132">
        <f>MIN(T93, T93+(INDEX('Pace of change parameters'!$E$27:$I$27,1,$B$5)-T93)*(1-W93))</f>
        <v>2.0738822378003872E-2</v>
      </c>
      <c r="Y93" s="132">
        <v>1.7015647885747276E-2</v>
      </c>
      <c r="Z93" s="108">
        <f t="shared" si="21"/>
        <v>240277</v>
      </c>
      <c r="AA93" s="97">
        <f>MIN(VLOOKUP(A93,'2018-19 disagg'!$A$12:$BB$220,54,FALSE),-2.5%)</f>
        <v>-2.5000000000000001E-2</v>
      </c>
      <c r="AB93" s="99">
        <f t="shared" si="13"/>
        <v>235291.88711642442</v>
      </c>
      <c r="AC93" s="99">
        <f>MAX(IF(INDEX('Pace of change parameters'!$E$29:$I$29,1,$B$5)=1,MAX(AB93,Z93),Z93),L93)</f>
        <v>240277</v>
      </c>
      <c r="AD93" s="97">
        <f t="shared" si="14"/>
        <v>2.4377661910222947E-2</v>
      </c>
      <c r="AE93" s="146">
        <v>2.0641214645117145E-2</v>
      </c>
      <c r="AF93" s="56">
        <f t="shared" si="22"/>
        <v>240277</v>
      </c>
      <c r="AG93" s="56">
        <v>1615.2639160416634</v>
      </c>
      <c r="AH93" s="16">
        <f t="shared" si="15"/>
        <v>2.4377661910222947E-2</v>
      </c>
      <c r="AI93" s="16">
        <f t="shared" si="16"/>
        <v>2.0641214645117145E-2</v>
      </c>
      <c r="AJ93" s="56"/>
      <c r="AK93" s="56">
        <v>241325.01242710196</v>
      </c>
      <c r="AL93" s="56">
        <v>1622.3091873621022</v>
      </c>
      <c r="AM93" s="16">
        <f t="shared" si="23"/>
        <v>-4.3427426629411015E-3</v>
      </c>
      <c r="AN93" s="58">
        <f t="shared" si="23"/>
        <v>-4.3427426629412125E-3</v>
      </c>
      <c r="AP93" s="56">
        <f t="shared" si="17"/>
        <v>1</v>
      </c>
      <c r="AQ93" s="56">
        <f t="shared" si="18"/>
        <v>0</v>
      </c>
    </row>
    <row r="94" spans="1:43" x14ac:dyDescent="0.2">
      <c r="A94" s="156" t="s">
        <v>233</v>
      </c>
      <c r="B94" s="156" t="s">
        <v>234</v>
      </c>
      <c r="D94" s="68">
        <f>VLOOKUP(A94,'2018-19 disagg'!A94:AZ302,43,FALSE)</f>
        <v>521505</v>
      </c>
      <c r="E94" s="73">
        <v>1812.7101625604885</v>
      </c>
      <c r="F94" s="55"/>
      <c r="G94" s="88">
        <v>513640.09038146271</v>
      </c>
      <c r="H94" s="81">
        <v>1780.0917872549182</v>
      </c>
      <c r="I94" s="90"/>
      <c r="J94" s="103">
        <f t="shared" si="19"/>
        <v>1.5312102317979637E-2</v>
      </c>
      <c r="K94" s="126">
        <f t="shared" si="19"/>
        <v>1.8323985054653269E-2</v>
      </c>
      <c r="L94" s="56">
        <v>534365</v>
      </c>
      <c r="M94" s="103">
        <v>1.6572753589076061E-2</v>
      </c>
      <c r="N94" s="97">
        <f>INDEX('Pace of change parameters'!$E$22:$I$22,1,$B$5)</f>
        <v>1.356605044543624E-2</v>
      </c>
      <c r="O94" s="108">
        <f>MAX(IF(INDEX('Pace of change parameters'!$E$30:$I$30,1,$B$5)=1,(1+M94)*D94,D94),L94)</f>
        <v>534365</v>
      </c>
      <c r="P94" s="94">
        <f>IF(K94&lt;INDEX('Pace of change parameters'!$E$18:$I$18,1,$B$5),1,IF(K94&gt;INDEX('Pace of change parameters'!$E$19:$I$19,1,$B$5),0,(K94-INDEX('Pace of change parameters'!$E$19:$I$19,1,$B$5))/(INDEX('Pace of change parameters'!$E$18:$I$18,1,$B$5)-INDEX('Pace of change parameters'!$E$19:$I$19,1,$B$5))))</f>
        <v>0</v>
      </c>
      <c r="Q94" s="57">
        <v>1.6572753589076061E-2</v>
      </c>
      <c r="R94" s="57">
        <v>1.356605044543624E-2</v>
      </c>
      <c r="S94" s="9">
        <f>MAX(IF(INDEX('Pace of change parameters'!$E$31:$I$31,1,$B$5)=1,D94*(1+Q94),D94),L94)</f>
        <v>534365</v>
      </c>
      <c r="T94" s="103">
        <f>IF(Q94&lt;INDEX('Pace of change parameters'!$E$24:$I$24,1,$B$5),INDEX('Pace of change parameters'!$E$24:$I$24,1,$B$5),Q94)</f>
        <v>2.0738822378003872E-2</v>
      </c>
      <c r="U94" s="132">
        <v>1.7719797310448593E-2</v>
      </c>
      <c r="V94" s="117">
        <f t="shared" si="20"/>
        <v>534365</v>
      </c>
      <c r="W94" s="131">
        <f>IF(J94&gt;INDEX('Pace of change parameters'!$E$26:$I$26,1,$B$5),0,IF(J94&lt;INDEX('Pace of change parameters'!$E$25:$I$25,1,$B$5),1,(J94-INDEX('Pace of change parameters'!$E$26:$I$26,1,$B$5))/(INDEX('Pace of change parameters'!$E$25:$I$25,1,$B$5)-INDEX('Pace of change parameters'!$E$26:$I$26,1,$B$5))))</f>
        <v>1</v>
      </c>
      <c r="X94" s="132">
        <f>MIN(T94, T94+(INDEX('Pace of change parameters'!$E$27:$I$27,1,$B$5)-T94)*(1-W94))</f>
        <v>2.0738822378003872E-2</v>
      </c>
      <c r="Y94" s="132">
        <v>1.7719797310448593E-2</v>
      </c>
      <c r="Z94" s="108">
        <f t="shared" si="21"/>
        <v>534365</v>
      </c>
      <c r="AA94" s="97">
        <f>MIN(VLOOKUP(A94,'2018-19 disagg'!$A$12:$BB$220,54,FALSE),-2.5%)</f>
        <v>-2.5000000000000001E-2</v>
      </c>
      <c r="AB94" s="99">
        <f t="shared" si="13"/>
        <v>514058.44159593858</v>
      </c>
      <c r="AC94" s="99">
        <f>MAX(IF(INDEX('Pace of change parameters'!$E$29:$I$29,1,$B$5)=1,MAX(AB94,Z94),Z94),L94)</f>
        <v>534365</v>
      </c>
      <c r="AD94" s="97">
        <f t="shared" si="14"/>
        <v>2.4659399238741608E-2</v>
      </c>
      <c r="AE94" s="146">
        <v>2.1628778335344379E-2</v>
      </c>
      <c r="AF94" s="56">
        <f t="shared" si="22"/>
        <v>534365</v>
      </c>
      <c r="AG94" s="56">
        <v>1851.9168688527354</v>
      </c>
      <c r="AH94" s="16">
        <f t="shared" si="15"/>
        <v>2.4659399238741608E-2</v>
      </c>
      <c r="AI94" s="16">
        <f t="shared" si="16"/>
        <v>2.1628778335344379E-2</v>
      </c>
      <c r="AJ94" s="56"/>
      <c r="AK94" s="56">
        <v>527239.42727788573</v>
      </c>
      <c r="AL94" s="56">
        <v>1827.2221970004989</v>
      </c>
      <c r="AM94" s="16">
        <f t="shared" si="23"/>
        <v>1.3514870765457099E-2</v>
      </c>
      <c r="AN94" s="58">
        <f t="shared" si="23"/>
        <v>1.3514870765457099E-2</v>
      </c>
      <c r="AP94" s="56">
        <f t="shared" si="17"/>
        <v>1</v>
      </c>
      <c r="AQ94" s="56">
        <f t="shared" si="18"/>
        <v>0</v>
      </c>
    </row>
    <row r="95" spans="1:43" x14ac:dyDescent="0.2">
      <c r="A95" s="156" t="s">
        <v>235</v>
      </c>
      <c r="B95" s="156" t="s">
        <v>236</v>
      </c>
      <c r="D95" s="68">
        <f>VLOOKUP(A95,'2018-19 disagg'!A95:AZ303,43,FALSE)</f>
        <v>283511</v>
      </c>
      <c r="E95" s="73">
        <v>1565.941800221776</v>
      </c>
      <c r="F95" s="55"/>
      <c r="G95" s="88">
        <v>289194.01253894204</v>
      </c>
      <c r="H95" s="81">
        <v>1591.3895062136503</v>
      </c>
      <c r="I95" s="90"/>
      <c r="J95" s="103">
        <f t="shared" si="19"/>
        <v>-1.965121092601041E-2</v>
      </c>
      <c r="K95" s="126">
        <f t="shared" si="19"/>
        <v>-1.5990872060242078E-2</v>
      </c>
      <c r="L95" s="56">
        <v>290480</v>
      </c>
      <c r="M95" s="103">
        <v>1.7350412958877071E-2</v>
      </c>
      <c r="N95" s="97">
        <f>INDEX('Pace of change parameters'!$E$22:$I$22,1,$B$5)</f>
        <v>1.356605044543624E-2</v>
      </c>
      <c r="O95" s="108">
        <f>MAX(IF(INDEX('Pace of change parameters'!$E$30:$I$30,1,$B$5)=1,(1+M95)*D95,D95),L95)</f>
        <v>290480</v>
      </c>
      <c r="P95" s="94">
        <f>IF(K95&lt;INDEX('Pace of change parameters'!$E$18:$I$18,1,$B$5),1,IF(K95&gt;INDEX('Pace of change parameters'!$E$19:$I$19,1,$B$5),0,(K95-INDEX('Pace of change parameters'!$E$19:$I$19,1,$B$5))/(INDEX('Pace of change parameters'!$E$18:$I$18,1,$B$5)-INDEX('Pace of change parameters'!$E$19:$I$19,1,$B$5))))</f>
        <v>0.55900057077711662</v>
      </c>
      <c r="Q95" s="57">
        <v>2.4468650543431725E-2</v>
      </c>
      <c r="R95" s="57">
        <v>2.0657809452763631E-2</v>
      </c>
      <c r="S95" s="9">
        <f>MAX(IF(INDEX('Pace of change parameters'!$E$31:$I$31,1,$B$5)=1,D95*(1+Q95),D95),L95)</f>
        <v>290480</v>
      </c>
      <c r="T95" s="103">
        <f>IF(Q95&lt;INDEX('Pace of change parameters'!$E$24:$I$24,1,$B$5),INDEX('Pace of change parameters'!$E$24:$I$24,1,$B$5),Q95)</f>
        <v>2.4468650543431725E-2</v>
      </c>
      <c r="U95" s="132">
        <v>2.0657809452763631E-2</v>
      </c>
      <c r="V95" s="117">
        <f t="shared" si="20"/>
        <v>290480</v>
      </c>
      <c r="W95" s="131">
        <f>IF(J95&gt;INDEX('Pace of change parameters'!$E$26:$I$26,1,$B$5),0,IF(J95&lt;INDEX('Pace of change parameters'!$E$25:$I$25,1,$B$5),1,(J95-INDEX('Pace of change parameters'!$E$26:$I$26,1,$B$5))/(INDEX('Pace of change parameters'!$E$25:$I$25,1,$B$5)-INDEX('Pace of change parameters'!$E$26:$I$26,1,$B$5))))</f>
        <v>1</v>
      </c>
      <c r="X95" s="132">
        <f>MIN(T95, T95+(INDEX('Pace of change parameters'!$E$27:$I$27,1,$B$5)-T95)*(1-W95))</f>
        <v>2.4468650543431725E-2</v>
      </c>
      <c r="Y95" s="132">
        <v>2.0657809452763631E-2</v>
      </c>
      <c r="Z95" s="108">
        <f t="shared" si="21"/>
        <v>290480</v>
      </c>
      <c r="AA95" s="97">
        <f>MIN(VLOOKUP(A95,'2018-19 disagg'!$A$12:$BB$220,54,FALSE),-2.5%)</f>
        <v>-2.5000000000000001E-2</v>
      </c>
      <c r="AB95" s="99">
        <f t="shared" si="13"/>
        <v>289457.45003184798</v>
      </c>
      <c r="AC95" s="99">
        <f>MAX(IF(INDEX('Pace of change parameters'!$E$29:$I$29,1,$B$5)=1,MAX(AB95,Z95),Z95),L95)</f>
        <v>290480</v>
      </c>
      <c r="AD95" s="97">
        <f t="shared" si="14"/>
        <v>2.4581056819664937E-2</v>
      </c>
      <c r="AE95" s="146">
        <v>2.0769797597650408E-2</v>
      </c>
      <c r="AF95" s="56">
        <f t="shared" si="22"/>
        <v>290480</v>
      </c>
      <c r="AG95" s="56">
        <v>1598.4660944620823</v>
      </c>
      <c r="AH95" s="16">
        <f t="shared" si="15"/>
        <v>2.4581056819664937E-2</v>
      </c>
      <c r="AI95" s="16">
        <f t="shared" si="16"/>
        <v>2.0769797597650186E-2</v>
      </c>
      <c r="AJ95" s="56"/>
      <c r="AK95" s="56">
        <v>296879.4359301005</v>
      </c>
      <c r="AL95" s="56">
        <v>1633.6811913980091</v>
      </c>
      <c r="AM95" s="16">
        <f t="shared" si="23"/>
        <v>-2.1555672625325317E-2</v>
      </c>
      <c r="AN95" s="58">
        <f t="shared" si="23"/>
        <v>-2.1555672625325206E-2</v>
      </c>
      <c r="AP95" s="56">
        <f t="shared" si="17"/>
        <v>1</v>
      </c>
      <c r="AQ95" s="56">
        <f t="shared" si="18"/>
        <v>0</v>
      </c>
    </row>
    <row r="96" spans="1:43" x14ac:dyDescent="0.2">
      <c r="A96" s="156" t="s">
        <v>237</v>
      </c>
      <c r="B96" s="156" t="s">
        <v>238</v>
      </c>
      <c r="D96" s="68">
        <f>VLOOKUP(A96,'2018-19 disagg'!A96:AZ304,43,FALSE)</f>
        <v>502935</v>
      </c>
      <c r="E96" s="73">
        <v>1780.2579332829262</v>
      </c>
      <c r="F96" s="55"/>
      <c r="G96" s="88">
        <v>482228.76458163734</v>
      </c>
      <c r="H96" s="81">
        <v>1698.3424452539639</v>
      </c>
      <c r="I96" s="90"/>
      <c r="J96" s="103">
        <f t="shared" si="19"/>
        <v>4.2938615319487505E-2</v>
      </c>
      <c r="K96" s="126">
        <f t="shared" si="19"/>
        <v>4.8232609541071003E-2</v>
      </c>
      <c r="L96" s="56">
        <v>514351</v>
      </c>
      <c r="M96" s="103">
        <v>1.8710948462859367E-2</v>
      </c>
      <c r="N96" s="97">
        <f>INDEX('Pace of change parameters'!$E$22:$I$22,1,$B$5)</f>
        <v>1.356605044543624E-2</v>
      </c>
      <c r="O96" s="108">
        <f>MAX(IF(INDEX('Pace of change parameters'!$E$30:$I$30,1,$B$5)=1,(1+M96)*D96,D96),L96)</f>
        <v>514351</v>
      </c>
      <c r="P96" s="94">
        <f>IF(K96&lt;INDEX('Pace of change parameters'!$E$18:$I$18,1,$B$5),1,IF(K96&gt;INDEX('Pace of change parameters'!$E$19:$I$19,1,$B$5),0,(K96-INDEX('Pace of change parameters'!$E$19:$I$19,1,$B$5))/(INDEX('Pace of change parameters'!$E$18:$I$18,1,$B$5)-INDEX('Pace of change parameters'!$E$19:$I$19,1,$B$5))))</f>
        <v>0</v>
      </c>
      <c r="Q96" s="57">
        <v>1.8710948462859367E-2</v>
      </c>
      <c r="R96" s="57">
        <v>1.356605044543624E-2</v>
      </c>
      <c r="S96" s="9">
        <f>MAX(IF(INDEX('Pace of change parameters'!$E$31:$I$31,1,$B$5)=1,D96*(1+Q96),D96),L96)</f>
        <v>514351</v>
      </c>
      <c r="T96" s="103">
        <f>IF(Q96&lt;INDEX('Pace of change parameters'!$E$24:$I$24,1,$B$5),INDEX('Pace of change parameters'!$E$24:$I$24,1,$B$5),Q96)</f>
        <v>2.0738822378003872E-2</v>
      </c>
      <c r="U96" s="132">
        <v>1.5583682785675235E-2</v>
      </c>
      <c r="V96" s="117">
        <f t="shared" si="20"/>
        <v>514351</v>
      </c>
      <c r="W96" s="131">
        <f>IF(J96&gt;INDEX('Pace of change parameters'!$E$26:$I$26,1,$B$5),0,IF(J96&lt;INDEX('Pace of change parameters'!$E$25:$I$25,1,$B$5),1,(J96-INDEX('Pace of change parameters'!$E$26:$I$26,1,$B$5))/(INDEX('Pace of change parameters'!$E$25:$I$25,1,$B$5)-INDEX('Pace of change parameters'!$E$26:$I$26,1,$B$5))))</f>
        <v>1</v>
      </c>
      <c r="X96" s="132">
        <f>MIN(T96, T96+(INDEX('Pace of change parameters'!$E$27:$I$27,1,$B$5)-T96)*(1-W96))</f>
        <v>2.0738822378003872E-2</v>
      </c>
      <c r="Y96" s="132">
        <v>1.5583682785675235E-2</v>
      </c>
      <c r="Z96" s="108">
        <f t="shared" si="21"/>
        <v>514351</v>
      </c>
      <c r="AA96" s="97">
        <f>MIN(VLOOKUP(A96,'2018-19 disagg'!$A$12:$BB$220,54,FALSE),-2.5%)</f>
        <v>-2.5000000000000001E-2</v>
      </c>
      <c r="AB96" s="99">
        <f t="shared" si="13"/>
        <v>482728.01369782776</v>
      </c>
      <c r="AC96" s="99">
        <f>MAX(IF(INDEX('Pace of change parameters'!$E$29:$I$29,1,$B$5)=1,MAX(AB96,Z96),Z96),L96)</f>
        <v>514351</v>
      </c>
      <c r="AD96" s="97">
        <f t="shared" si="14"/>
        <v>2.2698758288844489E-2</v>
      </c>
      <c r="AE96" s="146">
        <v>1.7533720235723749E-2</v>
      </c>
      <c r="AF96" s="56">
        <f t="shared" si="22"/>
        <v>514351</v>
      </c>
      <c r="AG96" s="56">
        <v>1811.4724778325367</v>
      </c>
      <c r="AH96" s="16">
        <f t="shared" si="15"/>
        <v>2.2698758288844489E-2</v>
      </c>
      <c r="AI96" s="16">
        <f t="shared" si="16"/>
        <v>1.7533720235723749E-2</v>
      </c>
      <c r="AJ96" s="56"/>
      <c r="AK96" s="56">
        <v>495105.65507469513</v>
      </c>
      <c r="AL96" s="56">
        <v>1743.6930574394903</v>
      </c>
      <c r="AM96" s="16">
        <f t="shared" si="23"/>
        <v>3.8871187852623779E-2</v>
      </c>
      <c r="AN96" s="58">
        <f t="shared" si="23"/>
        <v>3.8871187852623779E-2</v>
      </c>
      <c r="AP96" s="56">
        <f t="shared" si="17"/>
        <v>1</v>
      </c>
      <c r="AQ96" s="56">
        <f t="shared" si="18"/>
        <v>0</v>
      </c>
    </row>
    <row r="97" spans="1:43" x14ac:dyDescent="0.2">
      <c r="A97" s="156" t="s">
        <v>239</v>
      </c>
      <c r="B97" s="156" t="s">
        <v>240</v>
      </c>
      <c r="D97" s="68">
        <f>VLOOKUP(A97,'2018-19 disagg'!A97:AZ305,43,FALSE)</f>
        <v>308576</v>
      </c>
      <c r="E97" s="73">
        <v>1631.5662924454882</v>
      </c>
      <c r="F97" s="55"/>
      <c r="G97" s="88">
        <v>314696.84710247273</v>
      </c>
      <c r="H97" s="81">
        <v>1655.3795364680984</v>
      </c>
      <c r="I97" s="90"/>
      <c r="J97" s="103">
        <f t="shared" si="19"/>
        <v>-1.9449979111101912E-2</v>
      </c>
      <c r="K97" s="126">
        <f t="shared" si="19"/>
        <v>-1.4385368127370901E-2</v>
      </c>
      <c r="L97" s="56">
        <v>316268</v>
      </c>
      <c r="M97" s="103">
        <v>1.8801191583028842E-2</v>
      </c>
      <c r="N97" s="97">
        <f>INDEX('Pace of change parameters'!$E$22:$I$22,1,$B$5)</f>
        <v>1.356605044543624E-2</v>
      </c>
      <c r="O97" s="108">
        <f>MAX(IF(INDEX('Pace of change parameters'!$E$30:$I$30,1,$B$5)=1,(1+M97)*D97,D97),L97)</f>
        <v>316268</v>
      </c>
      <c r="P97" s="94">
        <f>IF(K97&lt;INDEX('Pace of change parameters'!$E$18:$I$18,1,$B$5),1,IF(K97&gt;INDEX('Pace of change parameters'!$E$19:$I$19,1,$B$5),0,(K97-INDEX('Pace of change parameters'!$E$19:$I$19,1,$B$5))/(INDEX('Pace of change parameters'!$E$18:$I$18,1,$B$5)-INDEX('Pace of change parameters'!$E$19:$I$19,1,$B$5))))</f>
        <v>0.50846021444259393</v>
      </c>
      <c r="Q97" s="57">
        <v>2.5285088217994023E-2</v>
      </c>
      <c r="R97" s="57">
        <v>2.0016629378885265E-2</v>
      </c>
      <c r="S97" s="9">
        <f>MAX(IF(INDEX('Pace of change parameters'!$E$31:$I$31,1,$B$5)=1,D97*(1+Q97),D97),L97)</f>
        <v>316378.37138195575</v>
      </c>
      <c r="T97" s="103">
        <f>IF(Q97&lt;INDEX('Pace of change parameters'!$E$24:$I$24,1,$B$5),INDEX('Pace of change parameters'!$E$24:$I$24,1,$B$5),Q97)</f>
        <v>2.5285088217994023E-2</v>
      </c>
      <c r="U97" s="132">
        <v>2.0016629378885265E-2</v>
      </c>
      <c r="V97" s="117">
        <f t="shared" si="20"/>
        <v>316378.37138195575</v>
      </c>
      <c r="W97" s="131">
        <f>IF(J97&gt;INDEX('Pace of change parameters'!$E$26:$I$26,1,$B$5),0,IF(J97&lt;INDEX('Pace of change parameters'!$E$25:$I$25,1,$B$5),1,(J97-INDEX('Pace of change parameters'!$E$26:$I$26,1,$B$5))/(INDEX('Pace of change parameters'!$E$25:$I$25,1,$B$5)-INDEX('Pace of change parameters'!$E$26:$I$26,1,$B$5))))</f>
        <v>1</v>
      </c>
      <c r="X97" s="132">
        <f>MIN(T97, T97+(INDEX('Pace of change parameters'!$E$27:$I$27,1,$B$5)-T97)*(1-W97))</f>
        <v>2.5285088217994023E-2</v>
      </c>
      <c r="Y97" s="132">
        <v>2.0016629378885265E-2</v>
      </c>
      <c r="Z97" s="108">
        <f t="shared" si="21"/>
        <v>316378.37138195575</v>
      </c>
      <c r="AA97" s="97">
        <f>MIN(VLOOKUP(A97,'2018-19 disagg'!$A$12:$BB$220,54,FALSE),-2.5%)</f>
        <v>-2.5000000000000001E-2</v>
      </c>
      <c r="AB97" s="99">
        <f t="shared" si="13"/>
        <v>314897.6934124761</v>
      </c>
      <c r="AC97" s="99">
        <f>MAX(IF(INDEX('Pace of change parameters'!$E$29:$I$29,1,$B$5)=1,MAX(AB97,Z97),Z97),L97)</f>
        <v>316378.37138195575</v>
      </c>
      <c r="AD97" s="97">
        <f t="shared" si="14"/>
        <v>2.5285088217994023E-2</v>
      </c>
      <c r="AE97" s="146">
        <v>2.0016629378885265E-2</v>
      </c>
      <c r="AF97" s="56">
        <f t="shared" si="22"/>
        <v>316378.37138195575</v>
      </c>
      <c r="AG97" s="56">
        <v>1664.2247502284513</v>
      </c>
      <c r="AH97" s="16">
        <f t="shared" si="15"/>
        <v>2.5285088217994023E-2</v>
      </c>
      <c r="AI97" s="16">
        <f t="shared" si="16"/>
        <v>2.0016629378885042E-2</v>
      </c>
      <c r="AJ97" s="56"/>
      <c r="AK97" s="56">
        <v>322971.99324356526</v>
      </c>
      <c r="AL97" s="56">
        <v>1698.9087542196414</v>
      </c>
      <c r="AM97" s="16">
        <f t="shared" si="23"/>
        <v>-2.0415460162321319E-2</v>
      </c>
      <c r="AN97" s="58">
        <f t="shared" si="23"/>
        <v>-2.041546016232143E-2</v>
      </c>
      <c r="AP97" s="56">
        <f t="shared" si="17"/>
        <v>0</v>
      </c>
      <c r="AQ97" s="56">
        <f t="shared" si="18"/>
        <v>0</v>
      </c>
    </row>
    <row r="98" spans="1:43" x14ac:dyDescent="0.2">
      <c r="A98" s="156" t="s">
        <v>241</v>
      </c>
      <c r="B98" s="156" t="s">
        <v>242</v>
      </c>
      <c r="D98" s="68">
        <f>VLOOKUP(A98,'2018-19 disagg'!A98:AZ306,43,FALSE)</f>
        <v>467943</v>
      </c>
      <c r="E98" s="73">
        <v>1727.9228485615477</v>
      </c>
      <c r="F98" s="55"/>
      <c r="G98" s="88">
        <v>474702.09305104084</v>
      </c>
      <c r="H98" s="81">
        <v>1746.5217335719312</v>
      </c>
      <c r="I98" s="90"/>
      <c r="J98" s="103">
        <f t="shared" si="19"/>
        <v>-1.4238599639614602E-2</v>
      </c>
      <c r="K98" s="126">
        <f t="shared" si="19"/>
        <v>-1.0649100238990905E-2</v>
      </c>
      <c r="L98" s="56">
        <v>479643</v>
      </c>
      <c r="M98" s="103">
        <v>1.725679622756604E-2</v>
      </c>
      <c r="N98" s="97">
        <f>INDEX('Pace of change parameters'!$E$22:$I$22,1,$B$5)</f>
        <v>1.356605044543624E-2</v>
      </c>
      <c r="O98" s="108">
        <f>MAX(IF(INDEX('Pace of change parameters'!$E$30:$I$30,1,$B$5)=1,(1+M98)*D98,D98),L98)</f>
        <v>479643</v>
      </c>
      <c r="P98" s="94">
        <f>IF(K98&lt;INDEX('Pace of change parameters'!$E$18:$I$18,1,$B$5),1,IF(K98&gt;INDEX('Pace of change parameters'!$E$19:$I$19,1,$B$5),0,(K98-INDEX('Pace of change parameters'!$E$19:$I$19,1,$B$5))/(INDEX('Pace of change parameters'!$E$18:$I$18,1,$B$5)-INDEX('Pace of change parameters'!$E$19:$I$19,1,$B$5))))</f>
        <v>0.39084461315143754</v>
      </c>
      <c r="Q98" s="57">
        <v>2.2233300633746511E-2</v>
      </c>
      <c r="R98" s="57">
        <v>1.8524499417910123E-2</v>
      </c>
      <c r="S98" s="9">
        <f>MAX(IF(INDEX('Pace of change parameters'!$E$31:$I$31,1,$B$5)=1,D98*(1+Q98),D98),L98)</f>
        <v>479643</v>
      </c>
      <c r="T98" s="103">
        <f>IF(Q98&lt;INDEX('Pace of change parameters'!$E$24:$I$24,1,$B$5),INDEX('Pace of change parameters'!$E$24:$I$24,1,$B$5),Q98)</f>
        <v>2.2233300633746511E-2</v>
      </c>
      <c r="U98" s="132">
        <v>1.8524499417910123E-2</v>
      </c>
      <c r="V98" s="117">
        <f t="shared" si="20"/>
        <v>479643</v>
      </c>
      <c r="W98" s="131">
        <f>IF(J98&gt;INDEX('Pace of change parameters'!$E$26:$I$26,1,$B$5),0,IF(J98&lt;INDEX('Pace of change parameters'!$E$25:$I$25,1,$B$5),1,(J98-INDEX('Pace of change parameters'!$E$26:$I$26,1,$B$5))/(INDEX('Pace of change parameters'!$E$25:$I$25,1,$B$5)-INDEX('Pace of change parameters'!$E$26:$I$26,1,$B$5))))</f>
        <v>1</v>
      </c>
      <c r="X98" s="132">
        <f>MIN(T98, T98+(INDEX('Pace of change parameters'!$E$27:$I$27,1,$B$5)-T98)*(1-W98))</f>
        <v>2.2233300633746511E-2</v>
      </c>
      <c r="Y98" s="132">
        <v>1.8524499417910123E-2</v>
      </c>
      <c r="Z98" s="108">
        <f t="shared" si="21"/>
        <v>479643</v>
      </c>
      <c r="AA98" s="97">
        <f>MIN(VLOOKUP(A98,'2018-19 disagg'!$A$12:$BB$220,54,FALSE),-2.5%)</f>
        <v>-2.5000000000000001E-2</v>
      </c>
      <c r="AB98" s="99">
        <f t="shared" si="13"/>
        <v>475224.87674537109</v>
      </c>
      <c r="AC98" s="99">
        <f>MAX(IF(INDEX('Pace of change parameters'!$E$29:$I$29,1,$B$5)=1,MAX(AB98,Z98),Z98),L98)</f>
        <v>479643</v>
      </c>
      <c r="AD98" s="97">
        <f t="shared" si="14"/>
        <v>2.5003045242689925E-2</v>
      </c>
      <c r="AE98" s="146">
        <v>2.1284195017330143E-2</v>
      </c>
      <c r="AF98" s="56">
        <f t="shared" si="22"/>
        <v>479643</v>
      </c>
      <c r="AG98" s="56">
        <v>1764.7002954452321</v>
      </c>
      <c r="AH98" s="16">
        <f t="shared" si="15"/>
        <v>2.5003045242689925E-2</v>
      </c>
      <c r="AI98" s="16">
        <f t="shared" si="16"/>
        <v>2.1284195017330143E-2</v>
      </c>
      <c r="AJ98" s="56"/>
      <c r="AK98" s="56">
        <v>487410.12999525241</v>
      </c>
      <c r="AL98" s="56">
        <v>1793.2770840096091</v>
      </c>
      <c r="AM98" s="16">
        <f t="shared" si="23"/>
        <v>-1.5935512040605504E-2</v>
      </c>
      <c r="AN98" s="58">
        <f t="shared" si="23"/>
        <v>-1.5935512040605504E-2</v>
      </c>
      <c r="AP98" s="56">
        <f t="shared" si="17"/>
        <v>1</v>
      </c>
      <c r="AQ98" s="56">
        <f t="shared" si="18"/>
        <v>0</v>
      </c>
    </row>
    <row r="99" spans="1:43" x14ac:dyDescent="0.2">
      <c r="A99" s="156" t="s">
        <v>243</v>
      </c>
      <c r="B99" s="156" t="s">
        <v>244</v>
      </c>
      <c r="D99" s="68">
        <f>VLOOKUP(A99,'2018-19 disagg'!A99:AZ307,43,FALSE)</f>
        <v>184331</v>
      </c>
      <c r="E99" s="73">
        <v>1605.5329130151645</v>
      </c>
      <c r="F99" s="55"/>
      <c r="G99" s="88">
        <v>187117.90377517609</v>
      </c>
      <c r="H99" s="81">
        <v>1626.540642423467</v>
      </c>
      <c r="I99" s="90"/>
      <c r="J99" s="103">
        <f t="shared" si="19"/>
        <v>-1.4893838157382211E-2</v>
      </c>
      <c r="K99" s="126">
        <f t="shared" si="19"/>
        <v>-1.2915588372266029E-2</v>
      </c>
      <c r="L99" s="56">
        <v>188675</v>
      </c>
      <c r="M99" s="103">
        <v>1.5601452211418732E-2</v>
      </c>
      <c r="N99" s="97">
        <f>INDEX('Pace of change parameters'!$E$22:$I$22,1,$B$5)</f>
        <v>1.356605044543624E-2</v>
      </c>
      <c r="O99" s="108">
        <f>MAX(IF(INDEX('Pace of change parameters'!$E$30:$I$30,1,$B$5)=1,(1+M99)*D99,D99),L99)</f>
        <v>188675</v>
      </c>
      <c r="P99" s="94">
        <f>IF(K99&lt;INDEX('Pace of change parameters'!$E$18:$I$18,1,$B$5),1,IF(K99&gt;INDEX('Pace of change parameters'!$E$19:$I$19,1,$B$5),0,(K99-INDEX('Pace of change parameters'!$E$19:$I$19,1,$B$5))/(INDEX('Pace of change parameters'!$E$18:$I$18,1,$B$5)-INDEX('Pace of change parameters'!$E$19:$I$19,1,$B$5))))</f>
        <v>0.46219237850934602</v>
      </c>
      <c r="Q99" s="57">
        <v>2.147682943317375E-2</v>
      </c>
      <c r="R99" s="57">
        <v>1.9429652621825833E-2</v>
      </c>
      <c r="S99" s="9">
        <f>MAX(IF(INDEX('Pace of change parameters'!$E$31:$I$31,1,$B$5)=1,D99*(1+Q99),D99),L99)</f>
        <v>188675</v>
      </c>
      <c r="T99" s="103">
        <f>IF(Q99&lt;INDEX('Pace of change parameters'!$E$24:$I$24,1,$B$5),INDEX('Pace of change parameters'!$E$24:$I$24,1,$B$5),Q99)</f>
        <v>2.147682943317375E-2</v>
      </c>
      <c r="U99" s="132">
        <v>1.9429652621825833E-2</v>
      </c>
      <c r="V99" s="117">
        <f t="shared" si="20"/>
        <v>188675</v>
      </c>
      <c r="W99" s="131">
        <f>IF(J99&gt;INDEX('Pace of change parameters'!$E$26:$I$26,1,$B$5),0,IF(J99&lt;INDEX('Pace of change parameters'!$E$25:$I$25,1,$B$5),1,(J99-INDEX('Pace of change parameters'!$E$26:$I$26,1,$B$5))/(INDEX('Pace of change parameters'!$E$25:$I$25,1,$B$5)-INDEX('Pace of change parameters'!$E$26:$I$26,1,$B$5))))</f>
        <v>1</v>
      </c>
      <c r="X99" s="132">
        <f>MIN(T99, T99+(INDEX('Pace of change parameters'!$E$27:$I$27,1,$B$5)-T99)*(1-W99))</f>
        <v>2.147682943317375E-2</v>
      </c>
      <c r="Y99" s="132">
        <v>1.9429652621825833E-2</v>
      </c>
      <c r="Z99" s="108">
        <f t="shared" si="21"/>
        <v>188675</v>
      </c>
      <c r="AA99" s="97">
        <f>MIN(VLOOKUP(A99,'2018-19 disagg'!$A$12:$BB$220,54,FALSE),-2.5%)</f>
        <v>-2.5000000000000001E-2</v>
      </c>
      <c r="AB99" s="99">
        <f t="shared" si="13"/>
        <v>187257.76858683152</v>
      </c>
      <c r="AC99" s="99">
        <f>MAX(IF(INDEX('Pace of change parameters'!$E$29:$I$29,1,$B$5)=1,MAX(AB99,Z99),Z99),L99)</f>
        <v>188675</v>
      </c>
      <c r="AD99" s="97">
        <f t="shared" si="14"/>
        <v>2.3566301924255795E-2</v>
      </c>
      <c r="AE99" s="146">
        <v>2.1514937529295342E-2</v>
      </c>
      <c r="AF99" s="56">
        <f t="shared" si="22"/>
        <v>188675</v>
      </c>
      <c r="AG99" s="56">
        <v>1640.0758533399132</v>
      </c>
      <c r="AH99" s="16">
        <f t="shared" si="15"/>
        <v>2.3566301924255795E-2</v>
      </c>
      <c r="AI99" s="16">
        <f t="shared" si="16"/>
        <v>2.1514937529295342E-2</v>
      </c>
      <c r="AJ99" s="56"/>
      <c r="AK99" s="56">
        <v>192059.24983264771</v>
      </c>
      <c r="AL99" s="56">
        <v>1669.4937753337922</v>
      </c>
      <c r="AM99" s="16">
        <f t="shared" si="23"/>
        <v>-1.7620863538707954E-2</v>
      </c>
      <c r="AN99" s="58">
        <f t="shared" si="23"/>
        <v>-1.7620863538707843E-2</v>
      </c>
      <c r="AP99" s="56">
        <f t="shared" si="17"/>
        <v>1</v>
      </c>
      <c r="AQ99" s="56">
        <f t="shared" si="18"/>
        <v>0</v>
      </c>
    </row>
    <row r="100" spans="1:43" x14ac:dyDescent="0.2">
      <c r="A100" s="156" t="s">
        <v>245</v>
      </c>
      <c r="B100" s="156" t="s">
        <v>246</v>
      </c>
      <c r="D100" s="68">
        <f>VLOOKUP(A100,'2018-19 disagg'!A100:AZ308,43,FALSE)</f>
        <v>124000</v>
      </c>
      <c r="E100" s="73">
        <v>1589.3715168183621</v>
      </c>
      <c r="F100" s="55"/>
      <c r="G100" s="88">
        <v>129426.11133159042</v>
      </c>
      <c r="H100" s="81">
        <v>1636.0566630421852</v>
      </c>
      <c r="I100" s="90"/>
      <c r="J100" s="103">
        <f t="shared" si="19"/>
        <v>-4.1924394357246042E-2</v>
      </c>
      <c r="K100" s="126">
        <f t="shared" si="19"/>
        <v>-2.8535164629942433E-2</v>
      </c>
      <c r="L100" s="56">
        <v>127902</v>
      </c>
      <c r="M100" s="103">
        <v>2.77307662708699E-2</v>
      </c>
      <c r="N100" s="97">
        <f>INDEX('Pace of change parameters'!$E$22:$I$22,1,$B$5)</f>
        <v>1.356605044543624E-2</v>
      </c>
      <c r="O100" s="108">
        <f>MAX(IF(INDEX('Pace of change parameters'!$E$30:$I$30,1,$B$5)=1,(1+M100)*D100,D100),L100)</f>
        <v>127902</v>
      </c>
      <c r="P100" s="94">
        <f>IF(K100&lt;INDEX('Pace of change parameters'!$E$18:$I$18,1,$B$5),1,IF(K100&gt;INDEX('Pace of change parameters'!$E$19:$I$19,1,$B$5),0,(K100-INDEX('Pace of change parameters'!$E$19:$I$19,1,$B$5))/(INDEX('Pace of change parameters'!$E$18:$I$18,1,$B$5)-INDEX('Pace of change parameters'!$E$19:$I$19,1,$B$5))))</f>
        <v>0.95388781051334737</v>
      </c>
      <c r="Q100" s="57">
        <v>4.0001380964790334E-2</v>
      </c>
      <c r="R100" s="57">
        <v>2.566754519486647E-2</v>
      </c>
      <c r="S100" s="9">
        <f>MAX(IF(INDEX('Pace of change parameters'!$E$31:$I$31,1,$B$5)=1,D100*(1+Q100),D100),L100)</f>
        <v>128960.171239634</v>
      </c>
      <c r="T100" s="103">
        <f>IF(Q100&lt;INDEX('Pace of change parameters'!$E$24:$I$24,1,$B$5),INDEX('Pace of change parameters'!$E$24:$I$24,1,$B$5),Q100)</f>
        <v>4.0001380964790334E-2</v>
      </c>
      <c r="U100" s="132">
        <v>2.566754519486647E-2</v>
      </c>
      <c r="V100" s="117">
        <f t="shared" si="20"/>
        <v>128960.171239634</v>
      </c>
      <c r="W100" s="131">
        <f>IF(J100&gt;INDEX('Pace of change parameters'!$E$26:$I$26,1,$B$5),0,IF(J100&lt;INDEX('Pace of change parameters'!$E$25:$I$25,1,$B$5),1,(J100-INDEX('Pace of change parameters'!$E$26:$I$26,1,$B$5))/(INDEX('Pace of change parameters'!$E$25:$I$25,1,$B$5)-INDEX('Pace of change parameters'!$E$26:$I$26,1,$B$5))))</f>
        <v>1</v>
      </c>
      <c r="X100" s="132">
        <f>MIN(T100, T100+(INDEX('Pace of change parameters'!$E$27:$I$27,1,$B$5)-T100)*(1-W100))</f>
        <v>4.0001380964790334E-2</v>
      </c>
      <c r="Y100" s="132">
        <v>2.566754519486647E-2</v>
      </c>
      <c r="Z100" s="108">
        <f t="shared" si="21"/>
        <v>128960.171239634</v>
      </c>
      <c r="AA100" s="97">
        <f>MIN(VLOOKUP(A100,'2018-19 disagg'!$A$12:$BB$220,54,FALSE),-2.5%)</f>
        <v>-3.5136737922157324E-2</v>
      </c>
      <c r="AB100" s="99">
        <f t="shared" si="13"/>
        <v>128076.79696138066</v>
      </c>
      <c r="AC100" s="99">
        <f>MAX(IF(INDEX('Pace of change parameters'!$E$29:$I$29,1,$B$5)=1,MAX(AB100,Z100),Z100),L100)</f>
        <v>128960.171239634</v>
      </c>
      <c r="AD100" s="97">
        <f t="shared" si="14"/>
        <v>4.0001380964790334E-2</v>
      </c>
      <c r="AE100" s="146">
        <v>2.566754519486647E-2</v>
      </c>
      <c r="AF100" s="56">
        <f t="shared" si="22"/>
        <v>128960.171239634</v>
      </c>
      <c r="AG100" s="56">
        <v>1630.1667820577309</v>
      </c>
      <c r="AH100" s="16">
        <f t="shared" si="15"/>
        <v>4.0001380964790334E-2</v>
      </c>
      <c r="AI100" s="16">
        <f t="shared" si="16"/>
        <v>2.566754519486647E-2</v>
      </c>
      <c r="AJ100" s="56"/>
      <c r="AK100" s="56">
        <v>132740.87841790763</v>
      </c>
      <c r="AL100" s="56">
        <v>1677.9581520246365</v>
      </c>
      <c r="AM100" s="16">
        <f t="shared" si="23"/>
        <v>-2.8481860473838716E-2</v>
      </c>
      <c r="AN100" s="58">
        <f t="shared" si="23"/>
        <v>-2.8481860473838605E-2</v>
      </c>
      <c r="AP100" s="56">
        <f t="shared" si="17"/>
        <v>0</v>
      </c>
      <c r="AQ100" s="56">
        <f t="shared" si="18"/>
        <v>0</v>
      </c>
    </row>
    <row r="101" spans="1:43" x14ac:dyDescent="0.2">
      <c r="A101" s="156" t="s">
        <v>247</v>
      </c>
      <c r="B101" s="156" t="s">
        <v>248</v>
      </c>
      <c r="D101" s="68">
        <f>VLOOKUP(A101,'2018-19 disagg'!A101:AZ309,43,FALSE)</f>
        <v>489039</v>
      </c>
      <c r="E101" s="73">
        <v>1484.6566348142496</v>
      </c>
      <c r="F101" s="55"/>
      <c r="G101" s="88">
        <v>496381.60146555316</v>
      </c>
      <c r="H101" s="81">
        <v>1498.5534200037653</v>
      </c>
      <c r="I101" s="90"/>
      <c r="J101" s="103">
        <f t="shared" si="19"/>
        <v>-1.4792251453064176E-2</v>
      </c>
      <c r="K101" s="126">
        <f t="shared" si="19"/>
        <v>-9.2734666672614763E-3</v>
      </c>
      <c r="L101" s="56">
        <v>500929</v>
      </c>
      <c r="M101" s="103">
        <v>1.9243688392208691E-2</v>
      </c>
      <c r="N101" s="97">
        <f>INDEX('Pace of change parameters'!$E$22:$I$22,1,$B$5)</f>
        <v>1.356605044543624E-2</v>
      </c>
      <c r="O101" s="108">
        <f>MAX(IF(INDEX('Pace of change parameters'!$E$30:$I$30,1,$B$5)=1,(1+M101)*D101,D101),L101)</f>
        <v>500929</v>
      </c>
      <c r="P101" s="94">
        <f>IF(K101&lt;INDEX('Pace of change parameters'!$E$18:$I$18,1,$B$5),1,IF(K101&gt;INDEX('Pace of change parameters'!$E$19:$I$19,1,$B$5),0,(K101-INDEX('Pace of change parameters'!$E$19:$I$19,1,$B$5))/(INDEX('Pace of change parameters'!$E$18:$I$18,1,$B$5)-INDEX('Pace of change parameters'!$E$19:$I$19,1,$B$5))))</f>
        <v>0.34754044585699584</v>
      </c>
      <c r="Q101" s="57">
        <v>2.367745723320791E-2</v>
      </c>
      <c r="R101" s="57">
        <v>1.7975121233844371E-2</v>
      </c>
      <c r="S101" s="9">
        <f>MAX(IF(INDEX('Pace of change parameters'!$E$31:$I$31,1,$B$5)=1,D101*(1+Q101),D101),L101)</f>
        <v>500929</v>
      </c>
      <c r="T101" s="103">
        <f>IF(Q101&lt;INDEX('Pace of change parameters'!$E$24:$I$24,1,$B$5),INDEX('Pace of change parameters'!$E$24:$I$24,1,$B$5),Q101)</f>
        <v>2.367745723320791E-2</v>
      </c>
      <c r="U101" s="132">
        <v>1.7975121233844371E-2</v>
      </c>
      <c r="V101" s="117">
        <f t="shared" si="20"/>
        <v>500929</v>
      </c>
      <c r="W101" s="131">
        <f>IF(J101&gt;INDEX('Pace of change parameters'!$E$26:$I$26,1,$B$5),0,IF(J101&lt;INDEX('Pace of change parameters'!$E$25:$I$25,1,$B$5),1,(J101-INDEX('Pace of change parameters'!$E$26:$I$26,1,$B$5))/(INDEX('Pace of change parameters'!$E$25:$I$25,1,$B$5)-INDEX('Pace of change parameters'!$E$26:$I$26,1,$B$5))))</f>
        <v>1</v>
      </c>
      <c r="X101" s="132">
        <f>MIN(T101, T101+(INDEX('Pace of change parameters'!$E$27:$I$27,1,$B$5)-T101)*(1-W101))</f>
        <v>2.367745723320791E-2</v>
      </c>
      <c r="Y101" s="132">
        <v>1.7975121233844371E-2</v>
      </c>
      <c r="Z101" s="108">
        <f t="shared" si="21"/>
        <v>500929</v>
      </c>
      <c r="AA101" s="97">
        <f>MIN(VLOOKUP(A101,'2018-19 disagg'!$A$12:$BB$220,54,FALSE),-2.5%)</f>
        <v>-2.5000000000000001E-2</v>
      </c>
      <c r="AB101" s="99">
        <f t="shared" si="13"/>
        <v>496803.03594344249</v>
      </c>
      <c r="AC101" s="99">
        <f>MAX(IF(INDEX('Pace of change parameters'!$E$29:$I$29,1,$B$5)=1,MAX(AB101,Z101),Z101),L101)</f>
        <v>500929</v>
      </c>
      <c r="AD101" s="97">
        <f t="shared" si="14"/>
        <v>2.4312989352587522E-2</v>
      </c>
      <c r="AE101" s="146">
        <v>1.8607113158353616E-2</v>
      </c>
      <c r="AF101" s="56">
        <f t="shared" si="22"/>
        <v>500929</v>
      </c>
      <c r="AG101" s="56">
        <v>1512.2818088195388</v>
      </c>
      <c r="AH101" s="16">
        <f t="shared" si="15"/>
        <v>2.4312989352587522E-2</v>
      </c>
      <c r="AI101" s="16">
        <f t="shared" si="16"/>
        <v>1.8607113158353616E-2</v>
      </c>
      <c r="AJ101" s="56"/>
      <c r="AK101" s="56">
        <v>509541.57532660768</v>
      </c>
      <c r="AL101" s="56">
        <v>1538.2827810002607</v>
      </c>
      <c r="AM101" s="16">
        <f t="shared" si="23"/>
        <v>-1.6902595869801473E-2</v>
      </c>
      <c r="AN101" s="58">
        <f t="shared" si="23"/>
        <v>-1.6902595869801584E-2</v>
      </c>
      <c r="AP101" s="56">
        <f t="shared" si="17"/>
        <v>1</v>
      </c>
      <c r="AQ101" s="56">
        <f t="shared" si="18"/>
        <v>0</v>
      </c>
    </row>
    <row r="102" spans="1:43" x14ac:dyDescent="0.2">
      <c r="A102" s="156" t="s">
        <v>249</v>
      </c>
      <c r="B102" s="156" t="s">
        <v>250</v>
      </c>
      <c r="D102" s="68">
        <f>VLOOKUP(A102,'2018-19 disagg'!A102:AZ310,43,FALSE)</f>
        <v>165472</v>
      </c>
      <c r="E102" s="73">
        <v>1671.8191277773801</v>
      </c>
      <c r="F102" s="55"/>
      <c r="G102" s="88">
        <v>164820.97611219127</v>
      </c>
      <c r="H102" s="81">
        <v>1655.8861856515553</v>
      </c>
      <c r="I102" s="90"/>
      <c r="J102" s="103">
        <f t="shared" si="19"/>
        <v>3.949884918565072E-3</v>
      </c>
      <c r="K102" s="126">
        <f t="shared" si="19"/>
        <v>9.6220031689893126E-3</v>
      </c>
      <c r="L102" s="56">
        <v>169478</v>
      </c>
      <c r="M102" s="103">
        <v>1.9292498128836488E-2</v>
      </c>
      <c r="N102" s="97">
        <f>INDEX('Pace of change parameters'!$E$22:$I$22,1,$B$5)</f>
        <v>1.356605044543624E-2</v>
      </c>
      <c r="O102" s="108">
        <f>MAX(IF(INDEX('Pace of change parameters'!$E$30:$I$30,1,$B$5)=1,(1+M102)*D102,D102),L102)</f>
        <v>169478</v>
      </c>
      <c r="P102" s="94">
        <f>IF(K102&lt;INDEX('Pace of change parameters'!$E$18:$I$18,1,$B$5),1,IF(K102&gt;INDEX('Pace of change parameters'!$E$19:$I$19,1,$B$5),0,(K102-INDEX('Pace of change parameters'!$E$19:$I$19,1,$B$5))/(INDEX('Pace of change parameters'!$E$18:$I$18,1,$B$5)-INDEX('Pace of change parameters'!$E$19:$I$19,1,$B$5))))</f>
        <v>0</v>
      </c>
      <c r="Q102" s="57">
        <v>1.9292498128836488E-2</v>
      </c>
      <c r="R102" s="57">
        <v>1.356605044543624E-2</v>
      </c>
      <c r="S102" s="9">
        <f>MAX(IF(INDEX('Pace of change parameters'!$E$31:$I$31,1,$B$5)=1,D102*(1+Q102),D102),L102)</f>
        <v>169478</v>
      </c>
      <c r="T102" s="103">
        <f>IF(Q102&lt;INDEX('Pace of change parameters'!$E$24:$I$24,1,$B$5),INDEX('Pace of change parameters'!$E$24:$I$24,1,$B$5),Q102)</f>
        <v>2.0738822378003872E-2</v>
      </c>
      <c r="U102" s="132">
        <v>1.5004249156388205E-2</v>
      </c>
      <c r="V102" s="117">
        <f t="shared" si="20"/>
        <v>169478</v>
      </c>
      <c r="W102" s="131">
        <f>IF(J102&gt;INDEX('Pace of change parameters'!$E$26:$I$26,1,$B$5),0,IF(J102&lt;INDEX('Pace of change parameters'!$E$25:$I$25,1,$B$5),1,(J102-INDEX('Pace of change parameters'!$E$26:$I$26,1,$B$5))/(INDEX('Pace of change parameters'!$E$25:$I$25,1,$B$5)-INDEX('Pace of change parameters'!$E$26:$I$26,1,$B$5))))</f>
        <v>1</v>
      </c>
      <c r="X102" s="132">
        <f>MIN(T102, T102+(INDEX('Pace of change parameters'!$E$27:$I$27,1,$B$5)-T102)*(1-W102))</f>
        <v>2.0738822378003872E-2</v>
      </c>
      <c r="Y102" s="132">
        <v>1.5004249156388205E-2</v>
      </c>
      <c r="Z102" s="108">
        <f t="shared" si="21"/>
        <v>169478</v>
      </c>
      <c r="AA102" s="97">
        <f>MIN(VLOOKUP(A102,'2018-19 disagg'!$A$12:$BB$220,54,FALSE),-2.5%)</f>
        <v>-2.5000000000000001E-2</v>
      </c>
      <c r="AB102" s="99">
        <f t="shared" si="13"/>
        <v>164900.40279086758</v>
      </c>
      <c r="AC102" s="99">
        <f>MAX(IF(INDEX('Pace of change parameters'!$E$29:$I$29,1,$B$5)=1,MAX(AB102,Z102),Z102),L102)</f>
        <v>169478</v>
      </c>
      <c r="AD102" s="97">
        <f t="shared" si="14"/>
        <v>2.4209533939276717E-2</v>
      </c>
      <c r="AE102" s="146">
        <v>1.8455462047538118E-2</v>
      </c>
      <c r="AF102" s="56">
        <f t="shared" si="22"/>
        <v>169478</v>
      </c>
      <c r="AG102" s="56">
        <v>1702.6733222404241</v>
      </c>
      <c r="AH102" s="16">
        <f t="shared" si="15"/>
        <v>2.4209533939276717E-2</v>
      </c>
      <c r="AI102" s="16">
        <f t="shared" si="16"/>
        <v>1.845546204753834E-2</v>
      </c>
      <c r="AJ102" s="56"/>
      <c r="AK102" s="56">
        <v>169128.61824704366</v>
      </c>
      <c r="AL102" s="56">
        <v>1699.1632324940481</v>
      </c>
      <c r="AM102" s="16">
        <f t="shared" si="23"/>
        <v>2.0657754824555674E-3</v>
      </c>
      <c r="AN102" s="58">
        <f t="shared" si="23"/>
        <v>2.0657754824555674E-3</v>
      </c>
      <c r="AP102" s="56">
        <f t="shared" si="17"/>
        <v>1</v>
      </c>
      <c r="AQ102" s="56">
        <f t="shared" si="18"/>
        <v>0</v>
      </c>
    </row>
    <row r="103" spans="1:43" x14ac:dyDescent="0.2">
      <c r="A103" s="156" t="s">
        <v>251</v>
      </c>
      <c r="B103" s="156" t="s">
        <v>252</v>
      </c>
      <c r="D103" s="68">
        <f>VLOOKUP(A103,'2018-19 disagg'!A103:AZ311,43,FALSE)</f>
        <v>184974</v>
      </c>
      <c r="E103" s="73">
        <v>1782.3179942849283</v>
      </c>
      <c r="F103" s="55"/>
      <c r="G103" s="88">
        <v>182686.01327836167</v>
      </c>
      <c r="H103" s="81">
        <v>1752.9374327686091</v>
      </c>
      <c r="I103" s="90"/>
      <c r="J103" s="103">
        <f t="shared" si="19"/>
        <v>1.2524148294549953E-2</v>
      </c>
      <c r="K103" s="126">
        <f t="shared" si="19"/>
        <v>1.6760758808096909E-2</v>
      </c>
      <c r="L103" s="56">
        <v>189390</v>
      </c>
      <c r="M103" s="103">
        <v>1.7807020493137315E-2</v>
      </c>
      <c r="N103" s="97">
        <f>INDEX('Pace of change parameters'!$E$22:$I$22,1,$B$5)</f>
        <v>1.356605044543624E-2</v>
      </c>
      <c r="O103" s="108">
        <f>MAX(IF(INDEX('Pace of change parameters'!$E$30:$I$30,1,$B$5)=1,(1+M103)*D103,D103),L103)</f>
        <v>189390</v>
      </c>
      <c r="P103" s="94">
        <f>IF(K103&lt;INDEX('Pace of change parameters'!$E$18:$I$18,1,$B$5),1,IF(K103&gt;INDEX('Pace of change parameters'!$E$19:$I$19,1,$B$5),0,(K103-INDEX('Pace of change parameters'!$E$19:$I$19,1,$B$5))/(INDEX('Pace of change parameters'!$E$18:$I$18,1,$B$5)-INDEX('Pace of change parameters'!$E$19:$I$19,1,$B$5))))</f>
        <v>0</v>
      </c>
      <c r="Q103" s="57">
        <v>1.7807020493137315E-2</v>
      </c>
      <c r="R103" s="57">
        <v>1.356605044543624E-2</v>
      </c>
      <c r="S103" s="9">
        <f>MAX(IF(INDEX('Pace of change parameters'!$E$31:$I$31,1,$B$5)=1,D103*(1+Q103),D103),L103)</f>
        <v>189390</v>
      </c>
      <c r="T103" s="103">
        <f>IF(Q103&lt;INDEX('Pace of change parameters'!$E$24:$I$24,1,$B$5),INDEX('Pace of change parameters'!$E$24:$I$24,1,$B$5),Q103)</f>
        <v>2.0738822378003872E-2</v>
      </c>
      <c r="U103" s="132">
        <v>1.6485636179569552E-2</v>
      </c>
      <c r="V103" s="117">
        <f t="shared" si="20"/>
        <v>189390</v>
      </c>
      <c r="W103" s="131">
        <f>IF(J103&gt;INDEX('Pace of change parameters'!$E$26:$I$26,1,$B$5),0,IF(J103&lt;INDEX('Pace of change parameters'!$E$25:$I$25,1,$B$5),1,(J103-INDEX('Pace of change parameters'!$E$26:$I$26,1,$B$5))/(INDEX('Pace of change parameters'!$E$25:$I$25,1,$B$5)-INDEX('Pace of change parameters'!$E$26:$I$26,1,$B$5))))</f>
        <v>1</v>
      </c>
      <c r="X103" s="132">
        <f>MIN(T103, T103+(INDEX('Pace of change parameters'!$E$27:$I$27,1,$B$5)-T103)*(1-W103))</f>
        <v>2.0738822378003872E-2</v>
      </c>
      <c r="Y103" s="132">
        <v>1.6485636179569552E-2</v>
      </c>
      <c r="Z103" s="108">
        <f t="shared" si="21"/>
        <v>189390</v>
      </c>
      <c r="AA103" s="97">
        <f>MIN(VLOOKUP(A103,'2018-19 disagg'!$A$12:$BB$220,54,FALSE),-2.5%)</f>
        <v>-2.5000000000000001E-2</v>
      </c>
      <c r="AB103" s="99">
        <f t="shared" si="13"/>
        <v>182715.353983376</v>
      </c>
      <c r="AC103" s="99">
        <f>MAX(IF(INDEX('Pace of change parameters'!$E$29:$I$29,1,$B$5)=1,MAX(AB103,Z103),Z103),L103)</f>
        <v>189390</v>
      </c>
      <c r="AD103" s="97">
        <f t="shared" si="14"/>
        <v>2.3873625482500271E-2</v>
      </c>
      <c r="AE103" s="146">
        <v>1.9607377273484605E-2</v>
      </c>
      <c r="AF103" s="56">
        <f t="shared" si="22"/>
        <v>189390</v>
      </c>
      <c r="AG103" s="56">
        <v>1817.2645756201932</v>
      </c>
      <c r="AH103" s="16">
        <f t="shared" si="15"/>
        <v>2.3873625482500271E-2</v>
      </c>
      <c r="AI103" s="16">
        <f t="shared" si="16"/>
        <v>1.9607377273484605E-2</v>
      </c>
      <c r="AJ103" s="56"/>
      <c r="AK103" s="56">
        <v>187400.36305987282</v>
      </c>
      <c r="AL103" s="56">
        <v>1798.1732997891645</v>
      </c>
      <c r="AM103" s="16">
        <f t="shared" si="23"/>
        <v>1.0617038876768348E-2</v>
      </c>
      <c r="AN103" s="58">
        <f t="shared" si="23"/>
        <v>1.061703887676857E-2</v>
      </c>
      <c r="AP103" s="56">
        <f t="shared" si="17"/>
        <v>1</v>
      </c>
      <c r="AQ103" s="56">
        <f t="shared" si="18"/>
        <v>0</v>
      </c>
    </row>
    <row r="104" spans="1:43" x14ac:dyDescent="0.2">
      <c r="A104" s="156" t="s">
        <v>253</v>
      </c>
      <c r="B104" s="156" t="s">
        <v>254</v>
      </c>
      <c r="D104" s="68">
        <f>VLOOKUP(A104,'2018-19 disagg'!A104:AZ312,43,FALSE)</f>
        <v>596548</v>
      </c>
      <c r="E104" s="73">
        <v>1518.2984194685905</v>
      </c>
      <c r="F104" s="55"/>
      <c r="G104" s="88">
        <v>608434.60968774627</v>
      </c>
      <c r="H104" s="81">
        <v>1540.5072505638921</v>
      </c>
      <c r="I104" s="90"/>
      <c r="J104" s="103">
        <f t="shared" si="19"/>
        <v>-1.9536379914098845E-2</v>
      </c>
      <c r="K104" s="126">
        <f t="shared" si="19"/>
        <v>-1.441657031290966E-2</v>
      </c>
      <c r="L104" s="56">
        <v>611704</v>
      </c>
      <c r="M104" s="103">
        <v>1.8858715150380068E-2</v>
      </c>
      <c r="N104" s="97">
        <f>INDEX('Pace of change parameters'!$E$22:$I$22,1,$B$5)</f>
        <v>1.356605044543624E-2</v>
      </c>
      <c r="O104" s="108">
        <f>MAX(IF(INDEX('Pace of change parameters'!$E$30:$I$30,1,$B$5)=1,(1+M104)*D104,D104),L104)</f>
        <v>611704</v>
      </c>
      <c r="P104" s="94">
        <f>IF(K104&lt;INDEX('Pace of change parameters'!$E$18:$I$18,1,$B$5),1,IF(K104&gt;INDEX('Pace of change parameters'!$E$19:$I$19,1,$B$5),0,(K104-INDEX('Pace of change parameters'!$E$19:$I$19,1,$B$5))/(INDEX('Pace of change parameters'!$E$18:$I$18,1,$B$5)-INDEX('Pace of change parameters'!$E$19:$I$19,1,$B$5))))</f>
        <v>0.50944244160707342</v>
      </c>
      <c r="Q104" s="57">
        <v>2.535550397036257E-2</v>
      </c>
      <c r="R104" s="57">
        <v>2.0029090400760952E-2</v>
      </c>
      <c r="S104" s="9">
        <f>MAX(IF(INDEX('Pace of change parameters'!$E$31:$I$31,1,$B$5)=1,D104*(1+Q104),D104),L104)</f>
        <v>611704</v>
      </c>
      <c r="T104" s="103">
        <f>IF(Q104&lt;INDEX('Pace of change parameters'!$E$24:$I$24,1,$B$5),INDEX('Pace of change parameters'!$E$24:$I$24,1,$B$5),Q104)</f>
        <v>2.535550397036257E-2</v>
      </c>
      <c r="U104" s="132">
        <v>2.0029090400760952E-2</v>
      </c>
      <c r="V104" s="117">
        <f t="shared" si="20"/>
        <v>611704</v>
      </c>
      <c r="W104" s="131">
        <f>IF(J104&gt;INDEX('Pace of change parameters'!$E$26:$I$26,1,$B$5),0,IF(J104&lt;INDEX('Pace of change parameters'!$E$25:$I$25,1,$B$5),1,(J104-INDEX('Pace of change parameters'!$E$26:$I$26,1,$B$5))/(INDEX('Pace of change parameters'!$E$25:$I$25,1,$B$5)-INDEX('Pace of change parameters'!$E$26:$I$26,1,$B$5))))</f>
        <v>1</v>
      </c>
      <c r="X104" s="132">
        <f>MIN(T104, T104+(INDEX('Pace of change parameters'!$E$27:$I$27,1,$B$5)-T104)*(1-W104))</f>
        <v>2.535550397036257E-2</v>
      </c>
      <c r="Y104" s="132">
        <v>2.0029090400760952E-2</v>
      </c>
      <c r="Z104" s="108">
        <f t="shared" si="21"/>
        <v>611704</v>
      </c>
      <c r="AA104" s="97">
        <f>MIN(VLOOKUP(A104,'2018-19 disagg'!$A$12:$BB$220,54,FALSE),-2.5%)</f>
        <v>-2.5000000000000001E-2</v>
      </c>
      <c r="AB104" s="99">
        <f t="shared" si="13"/>
        <v>609209.55493672378</v>
      </c>
      <c r="AC104" s="99">
        <f>MAX(IF(INDEX('Pace of change parameters'!$E$29:$I$29,1,$B$5)=1,MAX(AB104,Z104),Z104),L104)</f>
        <v>611704</v>
      </c>
      <c r="AD104" s="97">
        <f t="shared" si="14"/>
        <v>2.5406170165686692E-2</v>
      </c>
      <c r="AE104" s="146">
        <v>2.0079493400433357E-2</v>
      </c>
      <c r="AF104" s="56">
        <f t="shared" si="22"/>
        <v>611704</v>
      </c>
      <c r="AG104" s="56">
        <v>1548.7850825621983</v>
      </c>
      <c r="AH104" s="16">
        <f t="shared" si="15"/>
        <v>2.5406170165686692E-2</v>
      </c>
      <c r="AI104" s="16">
        <f t="shared" si="16"/>
        <v>2.0079493400433357E-2</v>
      </c>
      <c r="AJ104" s="56"/>
      <c r="AK104" s="56">
        <v>624830.31275561417</v>
      </c>
      <c r="AL104" s="56">
        <v>1582.0198454294366</v>
      </c>
      <c r="AM104" s="16">
        <f t="shared" si="23"/>
        <v>-2.1007804019182008E-2</v>
      </c>
      <c r="AN104" s="58">
        <f t="shared" si="23"/>
        <v>-2.1007804019182008E-2</v>
      </c>
      <c r="AP104" s="56">
        <f t="shared" si="17"/>
        <v>1</v>
      </c>
      <c r="AQ104" s="56">
        <f t="shared" si="18"/>
        <v>0</v>
      </c>
    </row>
    <row r="105" spans="1:43" x14ac:dyDescent="0.2">
      <c r="A105" s="156" t="s">
        <v>255</v>
      </c>
      <c r="B105" s="156" t="s">
        <v>256</v>
      </c>
      <c r="D105" s="68">
        <f>VLOOKUP(A105,'2018-19 disagg'!A105:AZ313,43,FALSE)</f>
        <v>448711</v>
      </c>
      <c r="E105" s="73">
        <v>1789.2498383984059</v>
      </c>
      <c r="F105" s="55"/>
      <c r="G105" s="88">
        <v>457576.45989903487</v>
      </c>
      <c r="H105" s="81">
        <v>1812.4159362388116</v>
      </c>
      <c r="I105" s="90"/>
      <c r="J105" s="103">
        <f t="shared" si="19"/>
        <v>-1.9374816398970873E-2</v>
      </c>
      <c r="K105" s="126">
        <f t="shared" si="19"/>
        <v>-1.2781888184276724E-2</v>
      </c>
      <c r="L105" s="56">
        <v>459588</v>
      </c>
      <c r="M105" s="103">
        <v>2.0380446325928503E-2</v>
      </c>
      <c r="N105" s="97">
        <f>INDEX('Pace of change parameters'!$E$22:$I$22,1,$B$5)</f>
        <v>1.356605044543624E-2</v>
      </c>
      <c r="O105" s="108">
        <f>MAX(IF(INDEX('Pace of change parameters'!$E$30:$I$30,1,$B$5)=1,(1+M105)*D105,D105),L105)</f>
        <v>459588</v>
      </c>
      <c r="P105" s="94">
        <f>IF(K105&lt;INDEX('Pace of change parameters'!$E$18:$I$18,1,$B$5),1,IF(K105&gt;INDEX('Pace of change parameters'!$E$19:$I$19,1,$B$5),0,(K105-INDEX('Pace of change parameters'!$E$19:$I$19,1,$B$5))/(INDEX('Pace of change parameters'!$E$18:$I$18,1,$B$5)-INDEX('Pace of change parameters'!$E$19:$I$19,1,$B$5))))</f>
        <v>0.45798357216223984</v>
      </c>
      <c r="Q105" s="57">
        <v>2.6229716613188181E-2</v>
      </c>
      <c r="R105" s="57">
        <v>1.9376257613157533E-2</v>
      </c>
      <c r="S105" s="9">
        <f>MAX(IF(INDEX('Pace of change parameters'!$E$31:$I$31,1,$B$5)=1,D105*(1+Q105),D105),L105)</f>
        <v>460480.56237122027</v>
      </c>
      <c r="T105" s="103">
        <f>IF(Q105&lt;INDEX('Pace of change parameters'!$E$24:$I$24,1,$B$5),INDEX('Pace of change parameters'!$E$24:$I$24,1,$B$5),Q105)</f>
        <v>2.6229716613188181E-2</v>
      </c>
      <c r="U105" s="132">
        <v>1.9376257613157533E-2</v>
      </c>
      <c r="V105" s="117">
        <f t="shared" si="20"/>
        <v>460480.56237122027</v>
      </c>
      <c r="W105" s="131">
        <f>IF(J105&gt;INDEX('Pace of change parameters'!$E$26:$I$26,1,$B$5),0,IF(J105&lt;INDEX('Pace of change parameters'!$E$25:$I$25,1,$B$5),1,(J105-INDEX('Pace of change parameters'!$E$26:$I$26,1,$B$5))/(INDEX('Pace of change parameters'!$E$25:$I$25,1,$B$5)-INDEX('Pace of change parameters'!$E$26:$I$26,1,$B$5))))</f>
        <v>1</v>
      </c>
      <c r="X105" s="132">
        <f>MIN(T105, T105+(INDEX('Pace of change parameters'!$E$27:$I$27,1,$B$5)-T105)*(1-W105))</f>
        <v>2.6229716613188181E-2</v>
      </c>
      <c r="Y105" s="132">
        <v>1.9376257613157533E-2</v>
      </c>
      <c r="Z105" s="108">
        <f t="shared" si="21"/>
        <v>460480.56237122027</v>
      </c>
      <c r="AA105" s="97">
        <f>MIN(VLOOKUP(A105,'2018-19 disagg'!$A$12:$BB$220,54,FALSE),-2.5%)</f>
        <v>-2.5000000000000001E-2</v>
      </c>
      <c r="AB105" s="99">
        <f t="shared" si="13"/>
        <v>457948.65208565327</v>
      </c>
      <c r="AC105" s="99">
        <f>MAX(IF(INDEX('Pace of change parameters'!$E$29:$I$29,1,$B$5)=1,MAX(AB105,Z105),Z105),L105)</f>
        <v>460480.56237122027</v>
      </c>
      <c r="AD105" s="97">
        <f t="shared" si="14"/>
        <v>2.6229716613188181E-2</v>
      </c>
      <c r="AE105" s="146">
        <v>1.9376257613157533E-2</v>
      </c>
      <c r="AF105" s="56">
        <f t="shared" si="22"/>
        <v>460480.56237122027</v>
      </c>
      <c r="AG105" s="56">
        <v>1823.9188042015141</v>
      </c>
      <c r="AH105" s="16">
        <f t="shared" si="15"/>
        <v>2.6229716613188181E-2</v>
      </c>
      <c r="AI105" s="16">
        <f t="shared" si="16"/>
        <v>1.9376257613157755E-2</v>
      </c>
      <c r="AJ105" s="56"/>
      <c r="AK105" s="56">
        <v>469690.92521605466</v>
      </c>
      <c r="AL105" s="56">
        <v>1860.4001572899203</v>
      </c>
      <c r="AM105" s="16">
        <f t="shared" si="23"/>
        <v>-1.9609411956591827E-2</v>
      </c>
      <c r="AN105" s="58">
        <f t="shared" si="23"/>
        <v>-1.9609411956591827E-2</v>
      </c>
      <c r="AP105" s="56">
        <f t="shared" si="17"/>
        <v>0</v>
      </c>
      <c r="AQ105" s="56">
        <f t="shared" si="18"/>
        <v>0</v>
      </c>
    </row>
    <row r="106" spans="1:43" x14ac:dyDescent="0.2">
      <c r="A106" s="156" t="s">
        <v>257</v>
      </c>
      <c r="B106" s="156" t="s">
        <v>258</v>
      </c>
      <c r="D106" s="68">
        <f>VLOOKUP(A106,'2018-19 disagg'!A106:AZ314,43,FALSE)</f>
        <v>381838</v>
      </c>
      <c r="E106" s="73">
        <v>1603.6403331116824</v>
      </c>
      <c r="F106" s="55"/>
      <c r="G106" s="88">
        <v>384370.83903230104</v>
      </c>
      <c r="H106" s="81">
        <v>1605.8722106627231</v>
      </c>
      <c r="I106" s="90"/>
      <c r="J106" s="103">
        <f t="shared" si="19"/>
        <v>-6.5895712553994956E-3</v>
      </c>
      <c r="K106" s="126">
        <f t="shared" si="19"/>
        <v>-1.3898226373315614E-3</v>
      </c>
      <c r="L106" s="56">
        <v>391357</v>
      </c>
      <c r="M106" s="103">
        <v>1.8871298425150451E-2</v>
      </c>
      <c r="N106" s="97">
        <f>INDEX('Pace of change parameters'!$E$22:$I$22,1,$B$5)</f>
        <v>1.356605044543624E-2</v>
      </c>
      <c r="O106" s="108">
        <f>MAX(IF(INDEX('Pace of change parameters'!$E$30:$I$30,1,$B$5)=1,(1+M106)*D106,D106),L106)</f>
        <v>391357</v>
      </c>
      <c r="P106" s="94">
        <f>IF(K106&lt;INDEX('Pace of change parameters'!$E$18:$I$18,1,$B$5),1,IF(K106&gt;INDEX('Pace of change parameters'!$E$19:$I$19,1,$B$5),0,(K106-INDEX('Pace of change parameters'!$E$19:$I$19,1,$B$5))/(INDEX('Pace of change parameters'!$E$18:$I$18,1,$B$5)-INDEX('Pace of change parameters'!$E$19:$I$19,1,$B$5))))</f>
        <v>9.9367787833889581E-2</v>
      </c>
      <c r="Q106" s="57">
        <v>2.0138525992747347E-2</v>
      </c>
      <c r="R106" s="57">
        <v>1.4826679577584656E-2</v>
      </c>
      <c r="S106" s="9">
        <f>MAX(IF(INDEX('Pace of change parameters'!$E$31:$I$31,1,$B$5)=1,D106*(1+Q106),D106),L106)</f>
        <v>391357</v>
      </c>
      <c r="T106" s="103">
        <f>IF(Q106&lt;INDEX('Pace of change parameters'!$E$24:$I$24,1,$B$5),INDEX('Pace of change parameters'!$E$24:$I$24,1,$B$5),Q106)</f>
        <v>2.0738822378003872E-2</v>
      </c>
      <c r="U106" s="132">
        <v>1.5423850228325042E-2</v>
      </c>
      <c r="V106" s="117">
        <f t="shared" si="20"/>
        <v>391357</v>
      </c>
      <c r="W106" s="131">
        <f>IF(J106&gt;INDEX('Pace of change parameters'!$E$26:$I$26,1,$B$5),0,IF(J106&lt;INDEX('Pace of change parameters'!$E$25:$I$25,1,$B$5),1,(J106-INDEX('Pace of change parameters'!$E$26:$I$26,1,$B$5))/(INDEX('Pace of change parameters'!$E$25:$I$25,1,$B$5)-INDEX('Pace of change parameters'!$E$26:$I$26,1,$B$5))))</f>
        <v>1</v>
      </c>
      <c r="X106" s="132">
        <f>MIN(T106, T106+(INDEX('Pace of change parameters'!$E$27:$I$27,1,$B$5)-T106)*(1-W106))</f>
        <v>2.0738822378003872E-2</v>
      </c>
      <c r="Y106" s="132">
        <v>1.5423850228325042E-2</v>
      </c>
      <c r="Z106" s="108">
        <f t="shared" si="21"/>
        <v>391357</v>
      </c>
      <c r="AA106" s="97">
        <f>MIN(VLOOKUP(A106,'2018-19 disagg'!$A$12:$BB$220,54,FALSE),-2.5%)</f>
        <v>-2.5000000000000001E-2</v>
      </c>
      <c r="AB106" s="99">
        <f t="shared" si="13"/>
        <v>384838.79715335945</v>
      </c>
      <c r="AC106" s="99">
        <f>MAX(IF(INDEX('Pace of change parameters'!$E$29:$I$29,1,$B$5)=1,MAX(AB106,Z106),Z106),L106)</f>
        <v>391357</v>
      </c>
      <c r="AD106" s="97">
        <f t="shared" si="14"/>
        <v>2.4929420330087604E-2</v>
      </c>
      <c r="AE106" s="146">
        <v>1.9592627798037165E-2</v>
      </c>
      <c r="AF106" s="56">
        <f t="shared" si="22"/>
        <v>391357</v>
      </c>
      <c r="AG106" s="56">
        <v>1635.0598612802598</v>
      </c>
      <c r="AH106" s="16">
        <f t="shared" si="15"/>
        <v>2.4929420330087604E-2</v>
      </c>
      <c r="AI106" s="16">
        <f t="shared" si="16"/>
        <v>1.9592627798037165E-2</v>
      </c>
      <c r="AJ106" s="56"/>
      <c r="AK106" s="56">
        <v>394706.45861883019</v>
      </c>
      <c r="AL106" s="56">
        <v>1649.0536453308032</v>
      </c>
      <c r="AM106" s="16">
        <f t="shared" si="23"/>
        <v>-8.4859483438672889E-3</v>
      </c>
      <c r="AN106" s="58">
        <f t="shared" si="23"/>
        <v>-8.4859483438673999E-3</v>
      </c>
      <c r="AP106" s="56">
        <f t="shared" si="17"/>
        <v>1</v>
      </c>
      <c r="AQ106" s="56">
        <f t="shared" si="18"/>
        <v>0</v>
      </c>
    </row>
    <row r="107" spans="1:43" x14ac:dyDescent="0.2">
      <c r="A107" s="156" t="s">
        <v>259</v>
      </c>
      <c r="B107" s="156" t="s">
        <v>260</v>
      </c>
      <c r="D107" s="68">
        <f>VLOOKUP(A107,'2018-19 disagg'!A107:AZ315,43,FALSE)</f>
        <v>339228</v>
      </c>
      <c r="E107" s="73">
        <v>1765.6206081264852</v>
      </c>
      <c r="F107" s="55"/>
      <c r="G107" s="88">
        <v>345295.08485659945</v>
      </c>
      <c r="H107" s="81">
        <v>1788.64394855914</v>
      </c>
      <c r="I107" s="90"/>
      <c r="J107" s="103">
        <f t="shared" si="19"/>
        <v>-1.7570724643008129E-2</v>
      </c>
      <c r="K107" s="126">
        <f t="shared" si="19"/>
        <v>-1.2871952772490869E-2</v>
      </c>
      <c r="L107" s="56">
        <v>347494</v>
      </c>
      <c r="M107" s="103">
        <v>1.8413743573283847E-2</v>
      </c>
      <c r="N107" s="97">
        <f>INDEX('Pace of change parameters'!$E$22:$I$22,1,$B$5)</f>
        <v>1.356605044543624E-2</v>
      </c>
      <c r="O107" s="108">
        <f>MAX(IF(INDEX('Pace of change parameters'!$E$30:$I$30,1,$B$5)=1,(1+M107)*D107,D107),L107)</f>
        <v>347494</v>
      </c>
      <c r="P107" s="94">
        <f>IF(K107&lt;INDEX('Pace of change parameters'!$E$18:$I$18,1,$B$5),1,IF(K107&gt;INDEX('Pace of change parameters'!$E$19:$I$19,1,$B$5),0,(K107-INDEX('Pace of change parameters'!$E$19:$I$19,1,$B$5))/(INDEX('Pace of change parameters'!$E$18:$I$18,1,$B$5)-INDEX('Pace of change parameters'!$E$19:$I$19,1,$B$5))))</f>
        <v>0.46081875449239124</v>
      </c>
      <c r="Q107" s="57">
        <v>2.4287880416322682E-2</v>
      </c>
      <c r="R107" s="57">
        <v>1.9412226144995159E-2</v>
      </c>
      <c r="S107" s="9">
        <f>MAX(IF(INDEX('Pace of change parameters'!$E$31:$I$31,1,$B$5)=1,D107*(1+Q107),D107),L107)</f>
        <v>347494</v>
      </c>
      <c r="T107" s="103">
        <f>IF(Q107&lt;INDEX('Pace of change parameters'!$E$24:$I$24,1,$B$5),INDEX('Pace of change parameters'!$E$24:$I$24,1,$B$5),Q107)</f>
        <v>2.4287880416322682E-2</v>
      </c>
      <c r="U107" s="132">
        <v>1.9412226144995159E-2</v>
      </c>
      <c r="V107" s="117">
        <f t="shared" si="20"/>
        <v>347494</v>
      </c>
      <c r="W107" s="131">
        <f>IF(J107&gt;INDEX('Pace of change parameters'!$E$26:$I$26,1,$B$5),0,IF(J107&lt;INDEX('Pace of change parameters'!$E$25:$I$25,1,$B$5),1,(J107-INDEX('Pace of change parameters'!$E$26:$I$26,1,$B$5))/(INDEX('Pace of change parameters'!$E$25:$I$25,1,$B$5)-INDEX('Pace of change parameters'!$E$26:$I$26,1,$B$5))))</f>
        <v>1</v>
      </c>
      <c r="X107" s="132">
        <f>MIN(T107, T107+(INDEX('Pace of change parameters'!$E$27:$I$27,1,$B$5)-T107)*(1-W107))</f>
        <v>2.4287880416322682E-2</v>
      </c>
      <c r="Y107" s="132">
        <v>1.9412226144995159E-2</v>
      </c>
      <c r="Z107" s="108">
        <f t="shared" si="21"/>
        <v>347494</v>
      </c>
      <c r="AA107" s="97">
        <f>MIN(VLOOKUP(A107,'2018-19 disagg'!$A$12:$BB$220,54,FALSE),-2.5%)</f>
        <v>-2.5000000000000001E-2</v>
      </c>
      <c r="AB107" s="99">
        <f t="shared" si="13"/>
        <v>345561.40031688299</v>
      </c>
      <c r="AC107" s="99">
        <f>MAX(IF(INDEX('Pace of change parameters'!$E$29:$I$29,1,$B$5)=1,MAX(AB107,Z107),Z107),L107)</f>
        <v>347494</v>
      </c>
      <c r="AD107" s="97">
        <f t="shared" si="14"/>
        <v>2.4367092339075747E-2</v>
      </c>
      <c r="AE107" s="146">
        <v>1.9491061015596278E-2</v>
      </c>
      <c r="AF107" s="56">
        <f t="shared" si="22"/>
        <v>347494</v>
      </c>
      <c r="AG107" s="56">
        <v>1800.0344271298727</v>
      </c>
      <c r="AH107" s="16">
        <f t="shared" si="15"/>
        <v>2.4367092339075747E-2</v>
      </c>
      <c r="AI107" s="16">
        <f t="shared" si="16"/>
        <v>1.9491061015596278E-2</v>
      </c>
      <c r="AJ107" s="56"/>
      <c r="AK107" s="56">
        <v>354421.94904295693</v>
      </c>
      <c r="AL107" s="56">
        <v>1835.9215123363049</v>
      </c>
      <c r="AM107" s="16">
        <f t="shared" si="23"/>
        <v>-1.9547178332674942E-2</v>
      </c>
      <c r="AN107" s="58">
        <f t="shared" si="23"/>
        <v>-1.9547178332675053E-2</v>
      </c>
      <c r="AP107" s="56">
        <f t="shared" si="17"/>
        <v>1</v>
      </c>
      <c r="AQ107" s="56">
        <f t="shared" si="18"/>
        <v>0</v>
      </c>
    </row>
    <row r="108" spans="1:43" x14ac:dyDescent="0.2">
      <c r="A108" s="156" t="s">
        <v>261</v>
      </c>
      <c r="B108" s="156" t="s">
        <v>262</v>
      </c>
      <c r="D108" s="68">
        <f>VLOOKUP(A108,'2018-19 disagg'!A108:AZ316,43,FALSE)</f>
        <v>429100</v>
      </c>
      <c r="E108" s="73">
        <v>1458.3059667227842</v>
      </c>
      <c r="F108" s="55"/>
      <c r="G108" s="88">
        <v>443216.78990077577</v>
      </c>
      <c r="H108" s="81">
        <v>1487.42449581141</v>
      </c>
      <c r="I108" s="90"/>
      <c r="J108" s="103">
        <f t="shared" si="19"/>
        <v>-3.1850756159161109E-2</v>
      </c>
      <c r="K108" s="126">
        <f t="shared" si="19"/>
        <v>-1.9576475424886164E-2</v>
      </c>
      <c r="L108" s="56">
        <v>442886</v>
      </c>
      <c r="M108" s="103">
        <v>2.641612942348992E-2</v>
      </c>
      <c r="N108" s="97">
        <f>INDEX('Pace of change parameters'!$E$22:$I$22,1,$B$5)</f>
        <v>1.356605044543624E-2</v>
      </c>
      <c r="O108" s="108">
        <f>MAX(IF(INDEX('Pace of change parameters'!$E$30:$I$30,1,$B$5)=1,(1+M108)*D108,D108),L108)</f>
        <v>442886</v>
      </c>
      <c r="P108" s="94">
        <f>IF(K108&lt;INDEX('Pace of change parameters'!$E$18:$I$18,1,$B$5),1,IF(K108&gt;INDEX('Pace of change parameters'!$E$19:$I$19,1,$B$5),0,(K108-INDEX('Pace of change parameters'!$E$19:$I$19,1,$B$5))/(INDEX('Pace of change parameters'!$E$18:$I$18,1,$B$5)-INDEX('Pace of change parameters'!$E$19:$I$19,1,$B$5))))</f>
        <v>0.67187333802054405</v>
      </c>
      <c r="Q108" s="57">
        <v>3.5047912897091527E-2</v>
      </c>
      <c r="R108" s="57">
        <v>2.2089769464302966E-2</v>
      </c>
      <c r="S108" s="9">
        <f>MAX(IF(INDEX('Pace of change parameters'!$E$31:$I$31,1,$B$5)=1,D108*(1+Q108),D108),L108)</f>
        <v>444139.05942414195</v>
      </c>
      <c r="T108" s="103">
        <f>IF(Q108&lt;INDEX('Pace of change parameters'!$E$24:$I$24,1,$B$5),INDEX('Pace of change parameters'!$E$24:$I$24,1,$B$5),Q108)</f>
        <v>3.5047912897091527E-2</v>
      </c>
      <c r="U108" s="132">
        <v>2.2089769464302966E-2</v>
      </c>
      <c r="V108" s="117">
        <f t="shared" si="20"/>
        <v>444139.05942414195</v>
      </c>
      <c r="W108" s="131">
        <f>IF(J108&gt;INDEX('Pace of change parameters'!$E$26:$I$26,1,$B$5),0,IF(J108&lt;INDEX('Pace of change parameters'!$E$25:$I$25,1,$B$5),1,(J108-INDEX('Pace of change parameters'!$E$26:$I$26,1,$B$5))/(INDEX('Pace of change parameters'!$E$25:$I$25,1,$B$5)-INDEX('Pace of change parameters'!$E$26:$I$26,1,$B$5))))</f>
        <v>1</v>
      </c>
      <c r="X108" s="132">
        <f>MIN(T108, T108+(INDEX('Pace of change parameters'!$E$27:$I$27,1,$B$5)-T108)*(1-W108))</f>
        <v>3.5047912897091527E-2</v>
      </c>
      <c r="Y108" s="132">
        <v>2.2089769464302966E-2</v>
      </c>
      <c r="Z108" s="108">
        <f t="shared" si="21"/>
        <v>444139.05942414195</v>
      </c>
      <c r="AA108" s="97">
        <f>MIN(VLOOKUP(A108,'2018-19 disagg'!$A$12:$BB$220,54,FALSE),-2.5%)</f>
        <v>-2.6257213440338822E-2</v>
      </c>
      <c r="AB108" s="99">
        <f t="shared" si="13"/>
        <v>443266.75554957852</v>
      </c>
      <c r="AC108" s="99">
        <f>MAX(IF(INDEX('Pace of change parameters'!$E$29:$I$29,1,$B$5)=1,MAX(AB108,Z108),Z108),L108)</f>
        <v>444139.05942414195</v>
      </c>
      <c r="AD108" s="97">
        <f t="shared" si="14"/>
        <v>3.5047912897091527E-2</v>
      </c>
      <c r="AE108" s="146">
        <v>2.2089769464302966E-2</v>
      </c>
      <c r="AF108" s="56">
        <f t="shared" si="22"/>
        <v>444139.05942414195</v>
      </c>
      <c r="AG108" s="56">
        <v>1490.5196093361078</v>
      </c>
      <c r="AH108" s="16">
        <f t="shared" si="15"/>
        <v>3.5047912897091527E-2</v>
      </c>
      <c r="AI108" s="16">
        <f t="shared" si="16"/>
        <v>2.2089769464302744E-2</v>
      </c>
      <c r="AJ108" s="56"/>
      <c r="AK108" s="56">
        <v>455219.5525018347</v>
      </c>
      <c r="AL108" s="56">
        <v>1527.7054678256266</v>
      </c>
      <c r="AM108" s="16">
        <f t="shared" si="23"/>
        <v>-2.4340986710249202E-2</v>
      </c>
      <c r="AN108" s="58">
        <f t="shared" si="23"/>
        <v>-2.4340986710249313E-2</v>
      </c>
      <c r="AP108" s="56">
        <f t="shared" si="17"/>
        <v>0</v>
      </c>
      <c r="AQ108" s="56">
        <f t="shared" si="18"/>
        <v>0</v>
      </c>
    </row>
    <row r="109" spans="1:43" x14ac:dyDescent="0.2">
      <c r="A109" s="156" t="s">
        <v>263</v>
      </c>
      <c r="B109" s="156" t="s">
        <v>264</v>
      </c>
      <c r="D109" s="68">
        <f>VLOOKUP(A109,'2018-19 disagg'!A109:AZ317,43,FALSE)</f>
        <v>1045422</v>
      </c>
      <c r="E109" s="73">
        <v>1546.005336867561</v>
      </c>
      <c r="F109" s="55"/>
      <c r="G109" s="88">
        <v>1072504.135713299</v>
      </c>
      <c r="H109" s="81">
        <v>1573.9506610609926</v>
      </c>
      <c r="I109" s="90"/>
      <c r="J109" s="103">
        <f t="shared" si="19"/>
        <v>-2.5251311217823202E-2</v>
      </c>
      <c r="K109" s="126">
        <f t="shared" si="19"/>
        <v>-1.7754892122599175E-2</v>
      </c>
      <c r="L109" s="56">
        <v>1072624</v>
      </c>
      <c r="M109" s="103">
        <v>2.1360999012458803E-2</v>
      </c>
      <c r="N109" s="97">
        <f>INDEX('Pace of change parameters'!$E$22:$I$22,1,$B$5)</f>
        <v>1.356605044543624E-2</v>
      </c>
      <c r="O109" s="108">
        <f>MAX(IF(INDEX('Pace of change parameters'!$E$30:$I$30,1,$B$5)=1,(1+M109)*D109,D109),L109)</f>
        <v>1072624</v>
      </c>
      <c r="P109" s="94">
        <f>IF(K109&lt;INDEX('Pace of change parameters'!$E$18:$I$18,1,$B$5),1,IF(K109&gt;INDEX('Pace of change parameters'!$E$19:$I$19,1,$B$5),0,(K109-INDEX('Pace of change parameters'!$E$19:$I$19,1,$B$5))/(INDEX('Pace of change parameters'!$E$18:$I$18,1,$B$5)-INDEX('Pace of change parameters'!$E$19:$I$19,1,$B$5))))</f>
        <v>0.61453092527044839</v>
      </c>
      <c r="Q109" s="57">
        <v>2.9217201623748856E-2</v>
      </c>
      <c r="R109" s="57">
        <v>2.1362295122806296E-2</v>
      </c>
      <c r="S109" s="9">
        <f>MAX(IF(INDEX('Pace of change parameters'!$E$31:$I$31,1,$B$5)=1,D109*(1+Q109),D109),L109)</f>
        <v>1075966.3053559028</v>
      </c>
      <c r="T109" s="103">
        <f>IF(Q109&lt;INDEX('Pace of change parameters'!$E$24:$I$24,1,$B$5),INDEX('Pace of change parameters'!$E$24:$I$24,1,$B$5),Q109)</f>
        <v>2.9217201623748856E-2</v>
      </c>
      <c r="U109" s="132">
        <v>2.1362295122806296E-2</v>
      </c>
      <c r="V109" s="117">
        <f t="shared" si="20"/>
        <v>1075966.3053559028</v>
      </c>
      <c r="W109" s="131">
        <f>IF(J109&gt;INDEX('Pace of change parameters'!$E$26:$I$26,1,$B$5),0,IF(J109&lt;INDEX('Pace of change parameters'!$E$25:$I$25,1,$B$5),1,(J109-INDEX('Pace of change parameters'!$E$26:$I$26,1,$B$5))/(INDEX('Pace of change parameters'!$E$25:$I$25,1,$B$5)-INDEX('Pace of change parameters'!$E$26:$I$26,1,$B$5))))</f>
        <v>1</v>
      </c>
      <c r="X109" s="132">
        <f>MIN(T109, T109+(INDEX('Pace of change parameters'!$E$27:$I$27,1,$B$5)-T109)*(1-W109))</f>
        <v>2.9217201623748856E-2</v>
      </c>
      <c r="Y109" s="132">
        <v>2.1362295122806296E-2</v>
      </c>
      <c r="Z109" s="108">
        <f t="shared" si="21"/>
        <v>1075966.3053559028</v>
      </c>
      <c r="AA109" s="97">
        <f>MIN(VLOOKUP(A109,'2018-19 disagg'!$A$12:$BB$220,54,FALSE),-2.5%)</f>
        <v>-2.5000000000000001E-2</v>
      </c>
      <c r="AB109" s="99">
        <f t="shared" si="13"/>
        <v>1073431.0357146922</v>
      </c>
      <c r="AC109" s="99">
        <f>MAX(IF(INDEX('Pace of change parameters'!$E$29:$I$29,1,$B$5)=1,MAX(AB109,Z109),Z109),L109)</f>
        <v>1075966.3053559028</v>
      </c>
      <c r="AD109" s="97">
        <f t="shared" si="14"/>
        <v>2.9217201623748856E-2</v>
      </c>
      <c r="AE109" s="146">
        <v>2.1362295122806296E-2</v>
      </c>
      <c r="AF109" s="56">
        <f t="shared" si="22"/>
        <v>1075966.3053559028</v>
      </c>
      <c r="AG109" s="56">
        <v>1579.0315591351591</v>
      </c>
      <c r="AH109" s="16">
        <f t="shared" si="15"/>
        <v>2.9217201623748856E-2</v>
      </c>
      <c r="AI109" s="16">
        <f t="shared" si="16"/>
        <v>2.1362295122806074E-2</v>
      </c>
      <c r="AJ109" s="56"/>
      <c r="AK109" s="56">
        <v>1100954.9084253253</v>
      </c>
      <c r="AL109" s="56">
        <v>1615.7035187206116</v>
      </c>
      <c r="AM109" s="16">
        <f t="shared" si="23"/>
        <v>-2.2697208467114427E-2</v>
      </c>
      <c r="AN109" s="58">
        <f t="shared" si="23"/>
        <v>-2.2697208467114649E-2</v>
      </c>
      <c r="AP109" s="56">
        <f t="shared" si="17"/>
        <v>0</v>
      </c>
      <c r="AQ109" s="56">
        <f t="shared" si="18"/>
        <v>0</v>
      </c>
    </row>
    <row r="110" spans="1:43" x14ac:dyDescent="0.2">
      <c r="A110" s="156" t="s">
        <v>265</v>
      </c>
      <c r="B110" s="156" t="s">
        <v>266</v>
      </c>
      <c r="D110" s="68">
        <f>VLOOKUP(A110,'2018-19 disagg'!A110:AZ318,43,FALSE)</f>
        <v>217721</v>
      </c>
      <c r="E110" s="73">
        <v>1631.4780369992643</v>
      </c>
      <c r="F110" s="55"/>
      <c r="G110" s="88">
        <v>221903.37779966887</v>
      </c>
      <c r="H110" s="81">
        <v>1653.1507202965927</v>
      </c>
      <c r="I110" s="90"/>
      <c r="J110" s="103">
        <f t="shared" si="19"/>
        <v>-1.884774283807733E-2</v>
      </c>
      <c r="K110" s="126">
        <f t="shared" si="19"/>
        <v>-1.3109925810902534E-2</v>
      </c>
      <c r="L110" s="56">
        <v>223019</v>
      </c>
      <c r="M110" s="103">
        <v>1.9493424611842114E-2</v>
      </c>
      <c r="N110" s="97">
        <f>INDEX('Pace of change parameters'!$E$22:$I$22,1,$B$5)</f>
        <v>1.356605044543624E-2</v>
      </c>
      <c r="O110" s="108">
        <f>MAX(IF(INDEX('Pace of change parameters'!$E$30:$I$30,1,$B$5)=1,(1+M110)*D110,D110),L110)</f>
        <v>223019</v>
      </c>
      <c r="P110" s="94">
        <f>IF(K110&lt;INDEX('Pace of change parameters'!$E$18:$I$18,1,$B$5),1,IF(K110&gt;INDEX('Pace of change parameters'!$E$19:$I$19,1,$B$5),0,(K110-INDEX('Pace of change parameters'!$E$19:$I$19,1,$B$5))/(INDEX('Pace of change parameters'!$E$18:$I$18,1,$B$5)-INDEX('Pace of change parameters'!$E$19:$I$19,1,$B$5))))</f>
        <v>0.46831001123308691</v>
      </c>
      <c r="Q110" s="57">
        <v>2.5469382567284926E-2</v>
      </c>
      <c r="R110" s="57">
        <v>1.9507263950400588E-2</v>
      </c>
      <c r="S110" s="9">
        <f>MAX(IF(INDEX('Pace of change parameters'!$E$31:$I$31,1,$B$5)=1,D110*(1+Q110),D110),L110)</f>
        <v>223266.21944193184</v>
      </c>
      <c r="T110" s="103">
        <f>IF(Q110&lt;INDEX('Pace of change parameters'!$E$24:$I$24,1,$B$5),INDEX('Pace of change parameters'!$E$24:$I$24,1,$B$5),Q110)</f>
        <v>2.5469382567284926E-2</v>
      </c>
      <c r="U110" s="132">
        <v>1.9507263950400588E-2</v>
      </c>
      <c r="V110" s="117">
        <f t="shared" si="20"/>
        <v>223266.21944193184</v>
      </c>
      <c r="W110" s="131">
        <f>IF(J110&gt;INDEX('Pace of change parameters'!$E$26:$I$26,1,$B$5),0,IF(J110&lt;INDEX('Pace of change parameters'!$E$25:$I$25,1,$B$5),1,(J110-INDEX('Pace of change parameters'!$E$26:$I$26,1,$B$5))/(INDEX('Pace of change parameters'!$E$25:$I$25,1,$B$5)-INDEX('Pace of change parameters'!$E$26:$I$26,1,$B$5))))</f>
        <v>1</v>
      </c>
      <c r="X110" s="132">
        <f>MIN(T110, T110+(INDEX('Pace of change parameters'!$E$27:$I$27,1,$B$5)-T110)*(1-W110))</f>
        <v>2.5469382567284926E-2</v>
      </c>
      <c r="Y110" s="132">
        <v>1.9507263950400588E-2</v>
      </c>
      <c r="Z110" s="108">
        <f t="shared" si="21"/>
        <v>223266.21944193184</v>
      </c>
      <c r="AA110" s="97">
        <f>MIN(VLOOKUP(A110,'2018-19 disagg'!$A$12:$BB$220,54,FALSE),-2.5%)</f>
        <v>-2.5000000000000001E-2</v>
      </c>
      <c r="AB110" s="99">
        <f t="shared" si="13"/>
        <v>222018.27891174884</v>
      </c>
      <c r="AC110" s="99">
        <f>MAX(IF(INDEX('Pace of change parameters'!$E$29:$I$29,1,$B$5)=1,MAX(AB110,Z110),Z110),L110)</f>
        <v>223266.21944193184</v>
      </c>
      <c r="AD110" s="97">
        <f t="shared" si="14"/>
        <v>2.5469382567284926E-2</v>
      </c>
      <c r="AE110" s="146">
        <v>1.9507263950400588E-2</v>
      </c>
      <c r="AF110" s="56">
        <f t="shared" si="22"/>
        <v>223266.21944193184</v>
      </c>
      <c r="AG110" s="56">
        <v>1663.3037096962905</v>
      </c>
      <c r="AH110" s="16">
        <f t="shared" si="15"/>
        <v>2.5469382567284926E-2</v>
      </c>
      <c r="AI110" s="16">
        <f t="shared" si="16"/>
        <v>1.9507263950400588E-2</v>
      </c>
      <c r="AJ110" s="56"/>
      <c r="AK110" s="56">
        <v>227711.05529410139</v>
      </c>
      <c r="AL110" s="56">
        <v>1696.4171470106512</v>
      </c>
      <c r="AM110" s="16">
        <f t="shared" si="23"/>
        <v>-1.9519631343453248E-2</v>
      </c>
      <c r="AN110" s="58">
        <f t="shared" si="23"/>
        <v>-1.9519631343453248E-2</v>
      </c>
      <c r="AP110" s="56">
        <f t="shared" si="17"/>
        <v>0</v>
      </c>
      <c r="AQ110" s="56">
        <f t="shared" si="18"/>
        <v>0</v>
      </c>
    </row>
    <row r="111" spans="1:43" x14ac:dyDescent="0.2">
      <c r="A111" s="156" t="s">
        <v>267</v>
      </c>
      <c r="B111" s="156" t="s">
        <v>268</v>
      </c>
      <c r="D111" s="68">
        <f>VLOOKUP(A111,'2018-19 disagg'!A111:AZ319,43,FALSE)</f>
        <v>516078</v>
      </c>
      <c r="E111" s="73">
        <v>1753.2441088116243</v>
      </c>
      <c r="F111" s="55"/>
      <c r="G111" s="88">
        <v>486310.37946675159</v>
      </c>
      <c r="H111" s="81">
        <v>1645.7339186564127</v>
      </c>
      <c r="I111" s="90"/>
      <c r="J111" s="103">
        <f t="shared" si="19"/>
        <v>6.1211156064341354E-2</v>
      </c>
      <c r="K111" s="126">
        <f t="shared" si="19"/>
        <v>6.5326593160930591E-2</v>
      </c>
      <c r="L111" s="56">
        <v>526612</v>
      </c>
      <c r="M111" s="103">
        <v>1.7496717118142824E-2</v>
      </c>
      <c r="N111" s="97">
        <f>INDEX('Pace of change parameters'!$E$22:$I$22,1,$B$5)</f>
        <v>1.356605044543624E-2</v>
      </c>
      <c r="O111" s="108">
        <f>MAX(IF(INDEX('Pace of change parameters'!$E$30:$I$30,1,$B$5)=1,(1+M111)*D111,D111),L111)</f>
        <v>526612</v>
      </c>
      <c r="P111" s="94">
        <f>IF(K111&lt;INDEX('Pace of change parameters'!$E$18:$I$18,1,$B$5),1,IF(K111&gt;INDEX('Pace of change parameters'!$E$19:$I$19,1,$B$5),0,(K111-INDEX('Pace of change parameters'!$E$19:$I$19,1,$B$5))/(INDEX('Pace of change parameters'!$E$18:$I$18,1,$B$5)-INDEX('Pace of change parameters'!$E$19:$I$19,1,$B$5))))</f>
        <v>0</v>
      </c>
      <c r="Q111" s="57">
        <v>1.7496717118142824E-2</v>
      </c>
      <c r="R111" s="57">
        <v>1.356605044543624E-2</v>
      </c>
      <c r="S111" s="9">
        <f>MAX(IF(INDEX('Pace of change parameters'!$E$31:$I$31,1,$B$5)=1,D111*(1+Q111),D111),L111)</f>
        <v>526612</v>
      </c>
      <c r="T111" s="103">
        <f>IF(Q111&lt;INDEX('Pace of change parameters'!$E$24:$I$24,1,$B$5),INDEX('Pace of change parameters'!$E$24:$I$24,1,$B$5),Q111)</f>
        <v>2.0738822378003872E-2</v>
      </c>
      <c r="U111" s="132">
        <v>1.6795631207792816E-2</v>
      </c>
      <c r="V111" s="117">
        <f t="shared" si="20"/>
        <v>526780.84997519548</v>
      </c>
      <c r="W111" s="131">
        <f>IF(J111&gt;INDEX('Pace of change parameters'!$E$26:$I$26,1,$B$5),0,IF(J111&lt;INDEX('Pace of change parameters'!$E$25:$I$25,1,$B$5),1,(J111-INDEX('Pace of change parameters'!$E$26:$I$26,1,$B$5))/(INDEX('Pace of change parameters'!$E$25:$I$25,1,$B$5)-INDEX('Pace of change parameters'!$E$26:$I$26,1,$B$5))))</f>
        <v>0.77577687871317302</v>
      </c>
      <c r="X111" s="132">
        <f>MIN(T111, T111+(INDEX('Pace of change parameters'!$E$27:$I$27,1,$B$5)-T111)*(1-W111))</f>
        <v>1.6119826079495237E-2</v>
      </c>
      <c r="Y111" s="132">
        <v>1.2194478440871626E-2</v>
      </c>
      <c r="Z111" s="108">
        <f t="shared" si="21"/>
        <v>526612</v>
      </c>
      <c r="AA111" s="97">
        <f>MIN(VLOOKUP(A111,'2018-19 disagg'!$A$12:$BB$220,54,FALSE),-2.5%)</f>
        <v>-2.5000000000000001E-2</v>
      </c>
      <c r="AB111" s="99">
        <f t="shared" si="13"/>
        <v>486586.94283071771</v>
      </c>
      <c r="AC111" s="99">
        <f>MAX(IF(INDEX('Pace of change parameters'!$E$29:$I$29,1,$B$5)=1,MAX(AB111,Z111),Z111),L111)</f>
        <v>526612</v>
      </c>
      <c r="AD111" s="97">
        <f t="shared" si="14"/>
        <v>2.0411643201221574E-2</v>
      </c>
      <c r="AE111" s="146">
        <v>1.6469715948883135E-2</v>
      </c>
      <c r="AF111" s="56">
        <f t="shared" si="22"/>
        <v>526612</v>
      </c>
      <c r="AG111" s="56">
        <v>1782.1195412728046</v>
      </c>
      <c r="AH111" s="16">
        <f t="shared" si="15"/>
        <v>2.0411643201221574E-2</v>
      </c>
      <c r="AI111" s="16">
        <f t="shared" si="16"/>
        <v>1.6469715948883135E-2</v>
      </c>
      <c r="AJ111" s="56"/>
      <c r="AK111" s="56">
        <v>499063.53110842843</v>
      </c>
      <c r="AL111" s="56">
        <v>1688.8921466372556</v>
      </c>
      <c r="AM111" s="16">
        <f t="shared" si="23"/>
        <v>5.5200324556647029E-2</v>
      </c>
      <c r="AN111" s="58">
        <f t="shared" si="23"/>
        <v>5.5200324556647029E-2</v>
      </c>
      <c r="AP111" s="56">
        <f t="shared" si="17"/>
        <v>1</v>
      </c>
      <c r="AQ111" s="56">
        <f t="shared" si="18"/>
        <v>0</v>
      </c>
    </row>
    <row r="112" spans="1:43" x14ac:dyDescent="0.2">
      <c r="A112" s="156" t="s">
        <v>269</v>
      </c>
      <c r="B112" s="156" t="s">
        <v>270</v>
      </c>
      <c r="D112" s="68">
        <f>VLOOKUP(A112,'2018-19 disagg'!A112:AZ320,43,FALSE)</f>
        <v>601723</v>
      </c>
      <c r="E112" s="73">
        <v>1667.0485823640815</v>
      </c>
      <c r="F112" s="55"/>
      <c r="G112" s="88">
        <v>601830.07233620796</v>
      </c>
      <c r="H112" s="81">
        <v>1660.7462784403444</v>
      </c>
      <c r="I112" s="90"/>
      <c r="J112" s="103">
        <f t="shared" si="19"/>
        <v>-1.7791124293997651E-4</v>
      </c>
      <c r="K112" s="126">
        <f t="shared" si="19"/>
        <v>3.7948625901216282E-3</v>
      </c>
      <c r="L112" s="56">
        <v>617101</v>
      </c>
      <c r="M112" s="103">
        <v>1.7593435645832267E-2</v>
      </c>
      <c r="N112" s="97">
        <f>INDEX('Pace of change parameters'!$E$22:$I$22,1,$B$5)</f>
        <v>1.356605044543624E-2</v>
      </c>
      <c r="O112" s="108">
        <f>MAX(IF(INDEX('Pace of change parameters'!$E$30:$I$30,1,$B$5)=1,(1+M112)*D112,D112),L112)</f>
        <v>617101</v>
      </c>
      <c r="P112" s="94">
        <f>IF(K112&lt;INDEX('Pace of change parameters'!$E$18:$I$18,1,$B$5),1,IF(K112&gt;INDEX('Pace of change parameters'!$E$19:$I$19,1,$B$5),0,(K112-INDEX('Pace of change parameters'!$E$19:$I$19,1,$B$5))/(INDEX('Pace of change parameters'!$E$18:$I$18,1,$B$5)-INDEX('Pace of change parameters'!$E$19:$I$19,1,$B$5))))</f>
        <v>0</v>
      </c>
      <c r="Q112" s="57">
        <v>1.7593435645832267E-2</v>
      </c>
      <c r="R112" s="57">
        <v>1.356605044543624E-2</v>
      </c>
      <c r="S112" s="9">
        <f>MAX(IF(INDEX('Pace of change parameters'!$E$31:$I$31,1,$B$5)=1,D112*(1+Q112),D112),L112)</f>
        <v>617101</v>
      </c>
      <c r="T112" s="103">
        <f>IF(Q112&lt;INDEX('Pace of change parameters'!$E$24:$I$24,1,$B$5),INDEX('Pace of change parameters'!$E$24:$I$24,1,$B$5),Q112)</f>
        <v>2.0738822378003872E-2</v>
      </c>
      <c r="U112" s="132">
        <v>1.6698988508492052E-2</v>
      </c>
      <c r="V112" s="117">
        <f t="shared" si="20"/>
        <v>617101</v>
      </c>
      <c r="W112" s="131">
        <f>IF(J112&gt;INDEX('Pace of change parameters'!$E$26:$I$26,1,$B$5),0,IF(J112&lt;INDEX('Pace of change parameters'!$E$25:$I$25,1,$B$5),1,(J112-INDEX('Pace of change parameters'!$E$26:$I$26,1,$B$5))/(INDEX('Pace of change parameters'!$E$25:$I$25,1,$B$5)-INDEX('Pace of change parameters'!$E$26:$I$26,1,$B$5))))</f>
        <v>1</v>
      </c>
      <c r="X112" s="132">
        <f>MIN(T112, T112+(INDEX('Pace of change parameters'!$E$27:$I$27,1,$B$5)-T112)*(1-W112))</f>
        <v>2.0738822378003872E-2</v>
      </c>
      <c r="Y112" s="132">
        <v>1.6698988508492052E-2</v>
      </c>
      <c r="Z112" s="108">
        <f t="shared" si="21"/>
        <v>617101</v>
      </c>
      <c r="AA112" s="97">
        <f>MIN(VLOOKUP(A112,'2018-19 disagg'!$A$12:$BB$220,54,FALSE),-2.5%)</f>
        <v>-2.5000000000000001E-2</v>
      </c>
      <c r="AB112" s="99">
        <f t="shared" si="13"/>
        <v>602840.07092672877</v>
      </c>
      <c r="AC112" s="99">
        <f>MAX(IF(INDEX('Pace of change parameters'!$E$29:$I$29,1,$B$5)=1,MAX(AB112,Z112),Z112),L112)</f>
        <v>617101</v>
      </c>
      <c r="AD112" s="97">
        <f t="shared" si="14"/>
        <v>2.555660993513631E-2</v>
      </c>
      <c r="AE112" s="146">
        <v>2.1497708444287111E-2</v>
      </c>
      <c r="AF112" s="56">
        <f t="shared" si="22"/>
        <v>617101</v>
      </c>
      <c r="AG112" s="56">
        <v>1702.8863067502068</v>
      </c>
      <c r="AH112" s="16">
        <f t="shared" si="15"/>
        <v>2.555660993513631E-2</v>
      </c>
      <c r="AI112" s="16">
        <f t="shared" si="16"/>
        <v>2.1497708444287111E-2</v>
      </c>
      <c r="AJ112" s="56"/>
      <c r="AK112" s="56">
        <v>618297.50864279876</v>
      </c>
      <c r="AL112" s="56">
        <v>1706.1880647828957</v>
      </c>
      <c r="AM112" s="16">
        <f t="shared" si="23"/>
        <v>-1.9351665275590957E-3</v>
      </c>
      <c r="AN112" s="58">
        <f t="shared" si="23"/>
        <v>-1.9351665275592067E-3</v>
      </c>
      <c r="AP112" s="56">
        <f t="shared" si="17"/>
        <v>1</v>
      </c>
      <c r="AQ112" s="56">
        <f t="shared" si="18"/>
        <v>0</v>
      </c>
    </row>
    <row r="113" spans="1:43" x14ac:dyDescent="0.2">
      <c r="A113" s="156" t="s">
        <v>271</v>
      </c>
      <c r="B113" s="156" t="s">
        <v>272</v>
      </c>
      <c r="D113" s="68">
        <f>VLOOKUP(A113,'2018-19 disagg'!A113:AZ321,43,FALSE)</f>
        <v>247017</v>
      </c>
      <c r="E113" s="73">
        <v>1616.0612690227408</v>
      </c>
      <c r="F113" s="55"/>
      <c r="G113" s="88">
        <v>252399.4621937584</v>
      </c>
      <c r="H113" s="81">
        <v>1641.3583035854394</v>
      </c>
      <c r="I113" s="90"/>
      <c r="J113" s="103">
        <f t="shared" si="19"/>
        <v>-2.1325172989578256E-2</v>
      </c>
      <c r="K113" s="126">
        <f t="shared" si="19"/>
        <v>-1.5412256121919876E-2</v>
      </c>
      <c r="L113" s="56">
        <v>253150</v>
      </c>
      <c r="M113" s="103">
        <v>1.9689771655750699E-2</v>
      </c>
      <c r="N113" s="97">
        <f>INDEX('Pace of change parameters'!$E$22:$I$22,1,$B$5)</f>
        <v>1.356605044543624E-2</v>
      </c>
      <c r="O113" s="108">
        <f>MAX(IF(INDEX('Pace of change parameters'!$E$30:$I$30,1,$B$5)=1,(1+M113)*D113,D113),L113)</f>
        <v>253150</v>
      </c>
      <c r="P113" s="94">
        <f>IF(K113&lt;INDEX('Pace of change parameters'!$E$18:$I$18,1,$B$5),1,IF(K113&gt;INDEX('Pace of change parameters'!$E$19:$I$19,1,$B$5),0,(K113-INDEX('Pace of change parameters'!$E$19:$I$19,1,$B$5))/(INDEX('Pace of change parameters'!$E$18:$I$18,1,$B$5)-INDEX('Pace of change parameters'!$E$19:$I$19,1,$B$5))))</f>
        <v>0.54078606808739649</v>
      </c>
      <c r="Q113" s="57">
        <v>2.6591903006980333E-2</v>
      </c>
      <c r="R113" s="57">
        <v>2.0426731220885896E-2</v>
      </c>
      <c r="S113" s="9">
        <f>MAX(IF(INDEX('Pace of change parameters'!$E$31:$I$31,1,$B$5)=1,D113*(1+Q113),D113),L113)</f>
        <v>253585.65210507525</v>
      </c>
      <c r="T113" s="103">
        <f>IF(Q113&lt;INDEX('Pace of change parameters'!$E$24:$I$24,1,$B$5),INDEX('Pace of change parameters'!$E$24:$I$24,1,$B$5),Q113)</f>
        <v>2.6591903006980333E-2</v>
      </c>
      <c r="U113" s="132">
        <v>2.0426731220885896E-2</v>
      </c>
      <c r="V113" s="117">
        <f t="shared" si="20"/>
        <v>253585.65210507525</v>
      </c>
      <c r="W113" s="131">
        <f>IF(J113&gt;INDEX('Pace of change parameters'!$E$26:$I$26,1,$B$5),0,IF(J113&lt;INDEX('Pace of change parameters'!$E$25:$I$25,1,$B$5),1,(J113-INDEX('Pace of change parameters'!$E$26:$I$26,1,$B$5))/(INDEX('Pace of change parameters'!$E$25:$I$25,1,$B$5)-INDEX('Pace of change parameters'!$E$26:$I$26,1,$B$5))))</f>
        <v>1</v>
      </c>
      <c r="X113" s="132">
        <f>MIN(T113, T113+(INDEX('Pace of change parameters'!$E$27:$I$27,1,$B$5)-T113)*(1-W113))</f>
        <v>2.6591903006980333E-2</v>
      </c>
      <c r="Y113" s="132">
        <v>2.0426731220885896E-2</v>
      </c>
      <c r="Z113" s="108">
        <f t="shared" si="21"/>
        <v>253585.65210507525</v>
      </c>
      <c r="AA113" s="97">
        <f>MIN(VLOOKUP(A113,'2018-19 disagg'!$A$12:$BB$220,54,FALSE),-2.5%)</f>
        <v>-2.5000000000000001E-2</v>
      </c>
      <c r="AB113" s="99">
        <f t="shared" si="13"/>
        <v>252593.84787759089</v>
      </c>
      <c r="AC113" s="99">
        <f>MAX(IF(INDEX('Pace of change parameters'!$E$29:$I$29,1,$B$5)=1,MAX(AB113,Z113),Z113),L113)</f>
        <v>253585.65210507525</v>
      </c>
      <c r="AD113" s="97">
        <f t="shared" si="14"/>
        <v>2.6591903006980333E-2</v>
      </c>
      <c r="AE113" s="146">
        <v>2.0426731220885896E-2</v>
      </c>
      <c r="AF113" s="56">
        <f t="shared" si="22"/>
        <v>253585.65210507525</v>
      </c>
      <c r="AG113" s="56">
        <v>1649.072118201552</v>
      </c>
      <c r="AH113" s="16">
        <f t="shared" si="15"/>
        <v>2.6591903006980333E-2</v>
      </c>
      <c r="AI113" s="16">
        <f t="shared" si="16"/>
        <v>2.0426731220885896E-2</v>
      </c>
      <c r="AJ113" s="56"/>
      <c r="AK113" s="56">
        <v>259070.61320778553</v>
      </c>
      <c r="AL113" s="56">
        <v>1684.7409202367385</v>
      </c>
      <c r="AM113" s="16">
        <f t="shared" si="23"/>
        <v>-2.1171683792291396E-2</v>
      </c>
      <c r="AN113" s="58">
        <f t="shared" si="23"/>
        <v>-2.1171683792291507E-2</v>
      </c>
      <c r="AP113" s="56">
        <f t="shared" si="17"/>
        <v>0</v>
      </c>
      <c r="AQ113" s="56">
        <f t="shared" si="18"/>
        <v>0</v>
      </c>
    </row>
    <row r="114" spans="1:43" x14ac:dyDescent="0.2">
      <c r="A114" s="156" t="s">
        <v>273</v>
      </c>
      <c r="B114" s="156" t="s">
        <v>274</v>
      </c>
      <c r="D114" s="68">
        <f>VLOOKUP(A114,'2018-19 disagg'!A114:AZ322,43,FALSE)</f>
        <v>157587</v>
      </c>
      <c r="E114" s="73">
        <v>1631.4445799858977</v>
      </c>
      <c r="F114" s="55"/>
      <c r="G114" s="88">
        <v>157583.95911748905</v>
      </c>
      <c r="H114" s="81">
        <v>1620.7211046269829</v>
      </c>
      <c r="I114" s="90"/>
      <c r="J114" s="103">
        <f t="shared" si="19"/>
        <v>1.9296903872589866E-5</v>
      </c>
      <c r="K114" s="126">
        <f t="shared" si="19"/>
        <v>6.6164840627425114E-3</v>
      </c>
      <c r="L114" s="56">
        <v>161489</v>
      </c>
      <c r="M114" s="103">
        <v>2.0252606348274638E-2</v>
      </c>
      <c r="N114" s="97">
        <f>INDEX('Pace of change parameters'!$E$22:$I$22,1,$B$5)</f>
        <v>1.356605044543624E-2</v>
      </c>
      <c r="O114" s="108">
        <f>MAX(IF(INDEX('Pace of change parameters'!$E$30:$I$30,1,$B$5)=1,(1+M114)*D114,D114),L114)</f>
        <v>161489</v>
      </c>
      <c r="P114" s="94">
        <f>IF(K114&lt;INDEX('Pace of change parameters'!$E$18:$I$18,1,$B$5),1,IF(K114&gt;INDEX('Pace of change parameters'!$E$19:$I$19,1,$B$5),0,(K114-INDEX('Pace of change parameters'!$E$19:$I$19,1,$B$5))/(INDEX('Pace of change parameters'!$E$18:$I$18,1,$B$5)-INDEX('Pace of change parameters'!$E$19:$I$19,1,$B$5))))</f>
        <v>0</v>
      </c>
      <c r="Q114" s="57">
        <v>2.0252606348274638E-2</v>
      </c>
      <c r="R114" s="57">
        <v>1.356605044543624E-2</v>
      </c>
      <c r="S114" s="9">
        <f>MAX(IF(INDEX('Pace of change parameters'!$E$31:$I$31,1,$B$5)=1,D114*(1+Q114),D114),L114)</f>
        <v>161489</v>
      </c>
      <c r="T114" s="103">
        <f>IF(Q114&lt;INDEX('Pace of change parameters'!$E$24:$I$24,1,$B$5),INDEX('Pace of change parameters'!$E$24:$I$24,1,$B$5),Q114)</f>
        <v>2.0738822378003872E-2</v>
      </c>
      <c r="U114" s="132">
        <v>1.404907990093518E-2</v>
      </c>
      <c r="V114" s="117">
        <f t="shared" si="20"/>
        <v>161489</v>
      </c>
      <c r="W114" s="131">
        <f>IF(J114&gt;INDEX('Pace of change parameters'!$E$26:$I$26,1,$B$5),0,IF(J114&lt;INDEX('Pace of change parameters'!$E$25:$I$25,1,$B$5),1,(J114-INDEX('Pace of change parameters'!$E$26:$I$26,1,$B$5))/(INDEX('Pace of change parameters'!$E$25:$I$25,1,$B$5)-INDEX('Pace of change parameters'!$E$26:$I$26,1,$B$5))))</f>
        <v>1</v>
      </c>
      <c r="X114" s="132">
        <f>MIN(T114, T114+(INDEX('Pace of change parameters'!$E$27:$I$27,1,$B$5)-T114)*(1-W114))</f>
        <v>2.0738822378003872E-2</v>
      </c>
      <c r="Y114" s="132">
        <v>1.404907990093518E-2</v>
      </c>
      <c r="Z114" s="108">
        <f t="shared" si="21"/>
        <v>161489</v>
      </c>
      <c r="AA114" s="97">
        <f>MIN(VLOOKUP(A114,'2018-19 disagg'!$A$12:$BB$220,54,FALSE),-2.5%)</f>
        <v>-2.5000000000000001E-2</v>
      </c>
      <c r="AB114" s="99">
        <f t="shared" si="13"/>
        <v>157704.79354586324</v>
      </c>
      <c r="AC114" s="99">
        <f>MAX(IF(INDEX('Pace of change parameters'!$E$29:$I$29,1,$B$5)=1,MAX(AB114,Z114),Z114),L114)</f>
        <v>161489</v>
      </c>
      <c r="AD114" s="97">
        <f t="shared" si="14"/>
        <v>2.476092571087718E-2</v>
      </c>
      <c r="AE114" s="146">
        <v>1.8044823076907246E-2</v>
      </c>
      <c r="AF114" s="56">
        <f t="shared" si="22"/>
        <v>161489</v>
      </c>
      <c r="AG114" s="56">
        <v>1660.8837087915224</v>
      </c>
      <c r="AH114" s="16">
        <f t="shared" si="15"/>
        <v>2.476092571087718E-2</v>
      </c>
      <c r="AI114" s="16">
        <f t="shared" si="16"/>
        <v>1.8044823076907246E-2</v>
      </c>
      <c r="AJ114" s="56"/>
      <c r="AK114" s="56">
        <v>161748.50620088537</v>
      </c>
      <c r="AL114" s="56">
        <v>1663.5526808043587</v>
      </c>
      <c r="AM114" s="16">
        <f t="shared" si="23"/>
        <v>-1.60438081921499E-3</v>
      </c>
      <c r="AN114" s="58">
        <f t="shared" si="23"/>
        <v>-1.604380819215101E-3</v>
      </c>
      <c r="AP114" s="56">
        <f t="shared" si="17"/>
        <v>1</v>
      </c>
      <c r="AQ114" s="56">
        <f t="shared" si="18"/>
        <v>0</v>
      </c>
    </row>
    <row r="115" spans="1:43" x14ac:dyDescent="0.2">
      <c r="A115" s="156" t="s">
        <v>275</v>
      </c>
      <c r="B115" s="156" t="s">
        <v>276</v>
      </c>
      <c r="D115" s="68">
        <f>VLOOKUP(A115,'2018-19 disagg'!A115:AZ323,43,FALSE)</f>
        <v>185675</v>
      </c>
      <c r="E115" s="73">
        <v>1465.0905748140005</v>
      </c>
      <c r="F115" s="55"/>
      <c r="G115" s="88">
        <v>189099.50523273155</v>
      </c>
      <c r="H115" s="81">
        <v>1482.1121561402615</v>
      </c>
      <c r="I115" s="90"/>
      <c r="J115" s="103">
        <f t="shared" si="19"/>
        <v>-1.8109540945212332E-2</v>
      </c>
      <c r="K115" s="126">
        <f t="shared" si="19"/>
        <v>-1.1484678305715312E-2</v>
      </c>
      <c r="L115" s="56">
        <v>190227</v>
      </c>
      <c r="M115" s="103">
        <v>2.0404629839233746E-2</v>
      </c>
      <c r="N115" s="97">
        <f>INDEX('Pace of change parameters'!$E$22:$I$22,1,$B$5)</f>
        <v>1.356605044543624E-2</v>
      </c>
      <c r="O115" s="108">
        <f>MAX(IF(INDEX('Pace of change parameters'!$E$30:$I$30,1,$B$5)=1,(1+M115)*D115,D115),L115)</f>
        <v>190227</v>
      </c>
      <c r="P115" s="94">
        <f>IF(K115&lt;INDEX('Pace of change parameters'!$E$18:$I$18,1,$B$5),1,IF(K115&gt;INDEX('Pace of change parameters'!$E$19:$I$19,1,$B$5),0,(K115-INDEX('Pace of change parameters'!$E$19:$I$19,1,$B$5))/(INDEX('Pace of change parameters'!$E$18:$I$18,1,$B$5)-INDEX('Pace of change parameters'!$E$19:$I$19,1,$B$5))))</f>
        <v>0.41714813840163179</v>
      </c>
      <c r="Q115" s="57">
        <v>2.5732484786727738E-2</v>
      </c>
      <c r="R115" s="57">
        <v>1.8858199009411658E-2</v>
      </c>
      <c r="S115" s="9">
        <f>MAX(IF(INDEX('Pace of change parameters'!$E$31:$I$31,1,$B$5)=1,D115*(1+Q115),D115),L115)</f>
        <v>190452.87911277567</v>
      </c>
      <c r="T115" s="103">
        <f>IF(Q115&lt;INDEX('Pace of change parameters'!$E$24:$I$24,1,$B$5),INDEX('Pace of change parameters'!$E$24:$I$24,1,$B$5),Q115)</f>
        <v>2.5732484786727738E-2</v>
      </c>
      <c r="U115" s="132">
        <v>1.8858199009411658E-2</v>
      </c>
      <c r="V115" s="117">
        <f t="shared" si="20"/>
        <v>190452.87911277567</v>
      </c>
      <c r="W115" s="131">
        <f>IF(J115&gt;INDEX('Pace of change parameters'!$E$26:$I$26,1,$B$5),0,IF(J115&lt;INDEX('Pace of change parameters'!$E$25:$I$25,1,$B$5),1,(J115-INDEX('Pace of change parameters'!$E$26:$I$26,1,$B$5))/(INDEX('Pace of change parameters'!$E$25:$I$25,1,$B$5)-INDEX('Pace of change parameters'!$E$26:$I$26,1,$B$5))))</f>
        <v>1</v>
      </c>
      <c r="X115" s="132">
        <f>MIN(T115, T115+(INDEX('Pace of change parameters'!$E$27:$I$27,1,$B$5)-T115)*(1-W115))</f>
        <v>2.5732484786727738E-2</v>
      </c>
      <c r="Y115" s="132">
        <v>1.8858199009411658E-2</v>
      </c>
      <c r="Z115" s="108">
        <f t="shared" si="21"/>
        <v>190452.87911277567</v>
      </c>
      <c r="AA115" s="97">
        <f>MIN(VLOOKUP(A115,'2018-19 disagg'!$A$12:$BB$220,54,FALSE),-2.5%)</f>
        <v>-2.5000000000000001E-2</v>
      </c>
      <c r="AB115" s="99">
        <f t="shared" si="13"/>
        <v>189225.40647582326</v>
      </c>
      <c r="AC115" s="99">
        <f>MAX(IF(INDEX('Pace of change parameters'!$E$29:$I$29,1,$B$5)=1,MAX(AB115,Z115),Z115),L115)</f>
        <v>190452.87911277567</v>
      </c>
      <c r="AD115" s="97">
        <f t="shared" si="14"/>
        <v>2.5732484786727738E-2</v>
      </c>
      <c r="AE115" s="146">
        <v>1.8858199009411658E-2</v>
      </c>
      <c r="AF115" s="56">
        <f t="shared" si="22"/>
        <v>190452.87911277567</v>
      </c>
      <c r="AG115" s="56">
        <v>1492.7195444406564</v>
      </c>
      <c r="AH115" s="16">
        <f t="shared" si="15"/>
        <v>2.5732484786727738E-2</v>
      </c>
      <c r="AI115" s="16">
        <f t="shared" si="16"/>
        <v>1.8858199009411658E-2</v>
      </c>
      <c r="AJ115" s="56"/>
      <c r="AK115" s="56">
        <v>194077.33997520333</v>
      </c>
      <c r="AL115" s="56">
        <v>1521.1271148203214</v>
      </c>
      <c r="AM115" s="16">
        <f t="shared" si="23"/>
        <v>-1.8675342844717169E-2</v>
      </c>
      <c r="AN115" s="58">
        <f t="shared" si="23"/>
        <v>-1.8675342844717169E-2</v>
      </c>
      <c r="AP115" s="56">
        <f t="shared" si="17"/>
        <v>0</v>
      </c>
      <c r="AQ115" s="56">
        <f t="shared" si="18"/>
        <v>0</v>
      </c>
    </row>
    <row r="116" spans="1:43" x14ac:dyDescent="0.2">
      <c r="A116" s="156" t="s">
        <v>277</v>
      </c>
      <c r="B116" s="156" t="s">
        <v>278</v>
      </c>
      <c r="D116" s="68">
        <f>VLOOKUP(A116,'2018-19 disagg'!A116:AZ324,43,FALSE)</f>
        <v>261617</v>
      </c>
      <c r="E116" s="73">
        <v>1561.7674482732866</v>
      </c>
      <c r="F116" s="55"/>
      <c r="G116" s="88">
        <v>266848.41669990198</v>
      </c>
      <c r="H116" s="81">
        <v>1579.5579342967587</v>
      </c>
      <c r="I116" s="90"/>
      <c r="J116" s="103">
        <f t="shared" si="19"/>
        <v>-1.9604450963579212E-2</v>
      </c>
      <c r="K116" s="126">
        <f t="shared" si="19"/>
        <v>-1.1262952524367376E-2</v>
      </c>
      <c r="L116" s="56">
        <v>267857</v>
      </c>
      <c r="M116" s="103">
        <v>2.2189773427591986E-2</v>
      </c>
      <c r="N116" s="97">
        <f>INDEX('Pace of change parameters'!$E$22:$I$22,1,$B$5)</f>
        <v>1.356605044543624E-2</v>
      </c>
      <c r="O116" s="108">
        <f>MAX(IF(INDEX('Pace of change parameters'!$E$30:$I$30,1,$B$5)=1,(1+M116)*D116,D116),L116)</f>
        <v>267857</v>
      </c>
      <c r="P116" s="94">
        <f>IF(K116&lt;INDEX('Pace of change parameters'!$E$18:$I$18,1,$B$5),1,IF(K116&gt;INDEX('Pace of change parameters'!$E$19:$I$19,1,$B$5),0,(K116-INDEX('Pace of change parameters'!$E$19:$I$19,1,$B$5))/(INDEX('Pace of change parameters'!$E$18:$I$18,1,$B$5)-INDEX('Pace of change parameters'!$E$19:$I$19,1,$B$5))))</f>
        <v>0.4101683361299332</v>
      </c>
      <c r="Q116" s="57">
        <v>2.7437646530461768E-2</v>
      </c>
      <c r="R116" s="57">
        <v>1.8769649769540875E-2</v>
      </c>
      <c r="S116" s="9">
        <f>MAX(IF(INDEX('Pace of change parameters'!$E$31:$I$31,1,$B$5)=1,D116*(1+Q116),D116),L116)</f>
        <v>268795.15477235982</v>
      </c>
      <c r="T116" s="103">
        <f>IF(Q116&lt;INDEX('Pace of change parameters'!$E$24:$I$24,1,$B$5),INDEX('Pace of change parameters'!$E$24:$I$24,1,$B$5),Q116)</f>
        <v>2.7437646530461768E-2</v>
      </c>
      <c r="U116" s="132">
        <v>1.8769649769540875E-2</v>
      </c>
      <c r="V116" s="117">
        <f t="shared" si="20"/>
        <v>268795.15477235982</v>
      </c>
      <c r="W116" s="131">
        <f>IF(J116&gt;INDEX('Pace of change parameters'!$E$26:$I$26,1,$B$5),0,IF(J116&lt;INDEX('Pace of change parameters'!$E$25:$I$25,1,$B$5),1,(J116-INDEX('Pace of change parameters'!$E$26:$I$26,1,$B$5))/(INDEX('Pace of change parameters'!$E$25:$I$25,1,$B$5)-INDEX('Pace of change parameters'!$E$26:$I$26,1,$B$5))))</f>
        <v>1</v>
      </c>
      <c r="X116" s="132">
        <f>MIN(T116, T116+(INDEX('Pace of change parameters'!$E$27:$I$27,1,$B$5)-T116)*(1-W116))</f>
        <v>2.7437646530461768E-2</v>
      </c>
      <c r="Y116" s="132">
        <v>1.8769649769540875E-2</v>
      </c>
      <c r="Z116" s="108">
        <f t="shared" si="21"/>
        <v>268795.15477235982</v>
      </c>
      <c r="AA116" s="97">
        <f>MIN(VLOOKUP(A116,'2018-19 disagg'!$A$12:$BB$220,54,FALSE),-2.5%)</f>
        <v>-2.5000000000000001E-2</v>
      </c>
      <c r="AB116" s="99">
        <f t="shared" si="13"/>
        <v>266965.76284106896</v>
      </c>
      <c r="AC116" s="99">
        <f>MAX(IF(INDEX('Pace of change parameters'!$E$29:$I$29,1,$B$5)=1,MAX(AB116,Z116),Z116),L116)</f>
        <v>268795.15477235982</v>
      </c>
      <c r="AD116" s="97">
        <f t="shared" si="14"/>
        <v>2.7437646530461768E-2</v>
      </c>
      <c r="AE116" s="146">
        <v>1.8769649769540875E-2</v>
      </c>
      <c r="AF116" s="56">
        <f t="shared" si="22"/>
        <v>268795.15477235982</v>
      </c>
      <c r="AG116" s="56">
        <v>1591.081276298846</v>
      </c>
      <c r="AH116" s="16">
        <f t="shared" si="15"/>
        <v>2.7437646530461768E-2</v>
      </c>
      <c r="AI116" s="16">
        <f t="shared" si="16"/>
        <v>1.8769649769541097E-2</v>
      </c>
      <c r="AJ116" s="56"/>
      <c r="AK116" s="56">
        <v>273811.0388113528</v>
      </c>
      <c r="AL116" s="56">
        <v>1620.7718381889465</v>
      </c>
      <c r="AM116" s="16">
        <f t="shared" si="23"/>
        <v>-1.831877947933569E-2</v>
      </c>
      <c r="AN116" s="58">
        <f t="shared" si="23"/>
        <v>-1.8318779479335467E-2</v>
      </c>
      <c r="AP116" s="56">
        <f t="shared" si="17"/>
        <v>0</v>
      </c>
      <c r="AQ116" s="56">
        <f t="shared" si="18"/>
        <v>0</v>
      </c>
    </row>
    <row r="117" spans="1:43" x14ac:dyDescent="0.2">
      <c r="A117" s="156" t="s">
        <v>279</v>
      </c>
      <c r="B117" s="156" t="s">
        <v>280</v>
      </c>
      <c r="D117" s="68">
        <f>VLOOKUP(A117,'2018-19 disagg'!A117:AZ325,43,FALSE)</f>
        <v>211904</v>
      </c>
      <c r="E117" s="73">
        <v>1566.9379608973184</v>
      </c>
      <c r="F117" s="55"/>
      <c r="G117" s="88">
        <v>212235.41410857096</v>
      </c>
      <c r="H117" s="81">
        <v>1557.4005285392382</v>
      </c>
      <c r="I117" s="90"/>
      <c r="J117" s="103">
        <f t="shared" si="19"/>
        <v>-1.5615400943473912E-3</v>
      </c>
      <c r="K117" s="126">
        <f t="shared" si="19"/>
        <v>6.1239431882214035E-3</v>
      </c>
      <c r="L117" s="56">
        <v>216923</v>
      </c>
      <c r="M117" s="103">
        <v>2.1367978405236521E-2</v>
      </c>
      <c r="N117" s="97">
        <f>INDEX('Pace of change parameters'!$E$22:$I$22,1,$B$5)</f>
        <v>1.356605044543624E-2</v>
      </c>
      <c r="O117" s="108">
        <f>MAX(IF(INDEX('Pace of change parameters'!$E$30:$I$30,1,$B$5)=1,(1+M117)*D117,D117),L117)</f>
        <v>216923</v>
      </c>
      <c r="P117" s="94">
        <f>IF(K117&lt;INDEX('Pace of change parameters'!$E$18:$I$18,1,$B$5),1,IF(K117&gt;INDEX('Pace of change parameters'!$E$19:$I$19,1,$B$5),0,(K117-INDEX('Pace of change parameters'!$E$19:$I$19,1,$B$5))/(INDEX('Pace of change parameters'!$E$18:$I$18,1,$B$5)-INDEX('Pace of change parameters'!$E$19:$I$19,1,$B$5))))</f>
        <v>0</v>
      </c>
      <c r="Q117" s="57">
        <v>2.1367978405236521E-2</v>
      </c>
      <c r="R117" s="57">
        <v>1.356605044543624E-2</v>
      </c>
      <c r="S117" s="9">
        <f>MAX(IF(INDEX('Pace of change parameters'!$E$31:$I$31,1,$B$5)=1,D117*(1+Q117),D117),L117)</f>
        <v>216923</v>
      </c>
      <c r="T117" s="103">
        <f>IF(Q117&lt;INDEX('Pace of change parameters'!$E$24:$I$24,1,$B$5),INDEX('Pace of change parameters'!$E$24:$I$24,1,$B$5),Q117)</f>
        <v>2.1367978405236521E-2</v>
      </c>
      <c r="U117" s="132">
        <v>1.356605044543624E-2</v>
      </c>
      <c r="V117" s="117">
        <f t="shared" si="20"/>
        <v>216923</v>
      </c>
      <c r="W117" s="131">
        <f>IF(J117&gt;INDEX('Pace of change parameters'!$E$26:$I$26,1,$B$5),0,IF(J117&lt;INDEX('Pace of change parameters'!$E$25:$I$25,1,$B$5),1,(J117-INDEX('Pace of change parameters'!$E$26:$I$26,1,$B$5))/(INDEX('Pace of change parameters'!$E$25:$I$25,1,$B$5)-INDEX('Pace of change parameters'!$E$26:$I$26,1,$B$5))))</f>
        <v>1</v>
      </c>
      <c r="X117" s="132">
        <f>MIN(T117, T117+(INDEX('Pace of change parameters'!$E$27:$I$27,1,$B$5)-T117)*(1-W117))</f>
        <v>2.1367978405236521E-2</v>
      </c>
      <c r="Y117" s="132">
        <v>1.356605044543624E-2</v>
      </c>
      <c r="Z117" s="108">
        <f t="shared" si="21"/>
        <v>216923</v>
      </c>
      <c r="AA117" s="97">
        <f>MIN(VLOOKUP(A117,'2018-19 disagg'!$A$12:$BB$220,54,FALSE),-2.5%)</f>
        <v>-2.5000000000000001E-2</v>
      </c>
      <c r="AB117" s="99">
        <f t="shared" si="13"/>
        <v>212417.52101939762</v>
      </c>
      <c r="AC117" s="99">
        <f>MAX(IF(INDEX('Pace of change parameters'!$E$29:$I$29,1,$B$5)=1,MAX(AB117,Z117),Z117),L117)</f>
        <v>216923</v>
      </c>
      <c r="AD117" s="97">
        <f t="shared" si="14"/>
        <v>2.3685253699788689E-2</v>
      </c>
      <c r="AE117" s="146">
        <v>1.5865624759251462E-2</v>
      </c>
      <c r="AF117" s="56">
        <f t="shared" si="22"/>
        <v>216923</v>
      </c>
      <c r="AG117" s="56">
        <v>1591.7984106059419</v>
      </c>
      <c r="AH117" s="16">
        <f t="shared" si="15"/>
        <v>2.3685253699788689E-2</v>
      </c>
      <c r="AI117" s="16">
        <f t="shared" si="16"/>
        <v>1.5865624759251462E-2</v>
      </c>
      <c r="AJ117" s="56"/>
      <c r="AK117" s="56">
        <v>217864.12412245909</v>
      </c>
      <c r="AL117" s="56">
        <v>1598.7044550655578</v>
      </c>
      <c r="AM117" s="16">
        <f t="shared" si="23"/>
        <v>-4.3197755768641377E-3</v>
      </c>
      <c r="AN117" s="58">
        <f t="shared" si="23"/>
        <v>-4.3197755768640267E-3</v>
      </c>
      <c r="AP117" s="56">
        <f t="shared" si="17"/>
        <v>1</v>
      </c>
      <c r="AQ117" s="56">
        <f t="shared" si="18"/>
        <v>0</v>
      </c>
    </row>
    <row r="118" spans="1:43" x14ac:dyDescent="0.2">
      <c r="A118" s="156" t="s">
        <v>281</v>
      </c>
      <c r="B118" s="156" t="s">
        <v>282</v>
      </c>
      <c r="D118" s="68">
        <f>VLOOKUP(A118,'2018-19 disagg'!A118:AZ326,43,FALSE)</f>
        <v>881908</v>
      </c>
      <c r="E118" s="73">
        <v>1587.9418165143777</v>
      </c>
      <c r="F118" s="55"/>
      <c r="G118" s="88">
        <v>892072.21698429063</v>
      </c>
      <c r="H118" s="81">
        <v>1595.4547624920272</v>
      </c>
      <c r="I118" s="90"/>
      <c r="J118" s="103">
        <f t="shared" si="19"/>
        <v>-1.1393939628174365E-2</v>
      </c>
      <c r="K118" s="126">
        <f t="shared" si="19"/>
        <v>-4.7089683482561817E-3</v>
      </c>
      <c r="L118" s="56">
        <v>903762</v>
      </c>
      <c r="M118" s="103">
        <v>2.0419801609959265E-2</v>
      </c>
      <c r="N118" s="97">
        <f>INDEX('Pace of change parameters'!$E$22:$I$22,1,$B$5)</f>
        <v>1.356605044543624E-2</v>
      </c>
      <c r="O118" s="108">
        <f>MAX(IF(INDEX('Pace of change parameters'!$E$30:$I$30,1,$B$5)=1,(1+M118)*D118,D118),L118)</f>
        <v>903762</v>
      </c>
      <c r="P118" s="94">
        <f>IF(K118&lt;INDEX('Pace of change parameters'!$E$18:$I$18,1,$B$5),1,IF(K118&gt;INDEX('Pace of change parameters'!$E$19:$I$19,1,$B$5),0,(K118-INDEX('Pace of change parameters'!$E$19:$I$19,1,$B$5))/(INDEX('Pace of change parameters'!$E$18:$I$18,1,$B$5)-INDEX('Pace of change parameters'!$E$19:$I$19,1,$B$5))))</f>
        <v>0.20385261874697158</v>
      </c>
      <c r="Q118" s="57">
        <v>2.3023464989652798E-2</v>
      </c>
      <c r="R118" s="57">
        <v>1.6152226060885733E-2</v>
      </c>
      <c r="S118" s="9">
        <f>MAX(IF(INDEX('Pace of change parameters'!$E$31:$I$31,1,$B$5)=1,D118*(1+Q118),D118),L118)</f>
        <v>903762</v>
      </c>
      <c r="T118" s="103">
        <f>IF(Q118&lt;INDEX('Pace of change parameters'!$E$24:$I$24,1,$B$5),INDEX('Pace of change parameters'!$E$24:$I$24,1,$B$5),Q118)</f>
        <v>2.3023464989652798E-2</v>
      </c>
      <c r="U118" s="132">
        <v>1.6152226060885733E-2</v>
      </c>
      <c r="V118" s="117">
        <f t="shared" si="20"/>
        <v>903762</v>
      </c>
      <c r="W118" s="131">
        <f>IF(J118&gt;INDEX('Pace of change parameters'!$E$26:$I$26,1,$B$5),0,IF(J118&lt;INDEX('Pace of change parameters'!$E$25:$I$25,1,$B$5),1,(J118-INDEX('Pace of change parameters'!$E$26:$I$26,1,$B$5))/(INDEX('Pace of change parameters'!$E$25:$I$25,1,$B$5)-INDEX('Pace of change parameters'!$E$26:$I$26,1,$B$5))))</f>
        <v>1</v>
      </c>
      <c r="X118" s="132">
        <f>MIN(T118, T118+(INDEX('Pace of change parameters'!$E$27:$I$27,1,$B$5)-T118)*(1-W118))</f>
        <v>2.3023464989652798E-2</v>
      </c>
      <c r="Y118" s="132">
        <v>1.6152226060885733E-2</v>
      </c>
      <c r="Z118" s="108">
        <f t="shared" si="21"/>
        <v>903762</v>
      </c>
      <c r="AA118" s="97">
        <f>MIN(VLOOKUP(A118,'2018-19 disagg'!$A$12:$BB$220,54,FALSE),-2.5%)</f>
        <v>-2.5000000000000001E-2</v>
      </c>
      <c r="AB118" s="99">
        <f t="shared" si="13"/>
        <v>892518.55802769552</v>
      </c>
      <c r="AC118" s="99">
        <f>MAX(IF(INDEX('Pace of change parameters'!$E$29:$I$29,1,$B$5)=1,MAX(AB118,Z118),Z118),L118)</f>
        <v>903762</v>
      </c>
      <c r="AD118" s="97">
        <f t="shared" si="14"/>
        <v>2.478036257750249E-2</v>
      </c>
      <c r="AE118" s="146">
        <v>1.7897323271214516E-2</v>
      </c>
      <c r="AF118" s="56">
        <f t="shared" si="22"/>
        <v>903762</v>
      </c>
      <c r="AG118" s="56">
        <v>1616.3617245404153</v>
      </c>
      <c r="AH118" s="16">
        <f t="shared" si="15"/>
        <v>2.478036257750249E-2</v>
      </c>
      <c r="AI118" s="16">
        <f t="shared" si="16"/>
        <v>1.7897323271214516E-2</v>
      </c>
      <c r="AJ118" s="56"/>
      <c r="AK118" s="56">
        <v>915403.64925917494</v>
      </c>
      <c r="AL118" s="56">
        <v>1637.1826002500097</v>
      </c>
      <c r="AM118" s="16">
        <f t="shared" si="23"/>
        <v>-1.2717503659283369E-2</v>
      </c>
      <c r="AN118" s="58">
        <f t="shared" si="23"/>
        <v>-1.2717503659283369E-2</v>
      </c>
      <c r="AP118" s="56">
        <f t="shared" si="17"/>
        <v>1</v>
      </c>
      <c r="AQ118" s="56">
        <f t="shared" si="18"/>
        <v>0</v>
      </c>
    </row>
    <row r="119" spans="1:43" x14ac:dyDescent="0.2">
      <c r="A119" s="156" t="s">
        <v>283</v>
      </c>
      <c r="B119" s="156" t="s">
        <v>284</v>
      </c>
      <c r="D119" s="68">
        <f>VLOOKUP(A119,'2018-19 disagg'!A119:AZ327,43,FALSE)</f>
        <v>558701</v>
      </c>
      <c r="E119" s="73">
        <v>1445.9971726429765</v>
      </c>
      <c r="F119" s="55"/>
      <c r="G119" s="88">
        <v>568168.64810122969</v>
      </c>
      <c r="H119" s="81">
        <v>1461.0851532509264</v>
      </c>
      <c r="I119" s="90"/>
      <c r="J119" s="103">
        <f t="shared" si="19"/>
        <v>-1.6663446905896273E-2</v>
      </c>
      <c r="K119" s="126">
        <f t="shared" si="19"/>
        <v>-1.0326558020508969E-2</v>
      </c>
      <c r="L119" s="56">
        <v>572628</v>
      </c>
      <c r="M119" s="103">
        <v>2.0097746454766474E-2</v>
      </c>
      <c r="N119" s="97">
        <f>INDEX('Pace of change parameters'!$E$22:$I$22,1,$B$5)</f>
        <v>1.356605044543624E-2</v>
      </c>
      <c r="O119" s="108">
        <f>MAX(IF(INDEX('Pace of change parameters'!$E$30:$I$30,1,$B$5)=1,(1+M119)*D119,D119),L119)</f>
        <v>572628</v>
      </c>
      <c r="P119" s="94">
        <f>IF(K119&lt;INDEX('Pace of change parameters'!$E$18:$I$18,1,$B$5),1,IF(K119&gt;INDEX('Pace of change parameters'!$E$19:$I$19,1,$B$5),0,(K119-INDEX('Pace of change parameters'!$E$19:$I$19,1,$B$5))/(INDEX('Pace of change parameters'!$E$18:$I$18,1,$B$5)-INDEX('Pace of change parameters'!$E$19:$I$19,1,$B$5))))</f>
        <v>0.38069116642281309</v>
      </c>
      <c r="Q119" s="57">
        <v>2.4958507256535256E-2</v>
      </c>
      <c r="R119" s="57">
        <v>1.8395687747480016E-2</v>
      </c>
      <c r="S119" s="9">
        <f>MAX(IF(INDEX('Pace of change parameters'!$E$31:$I$31,1,$B$5)=1,D119*(1+Q119),D119),L119)</f>
        <v>572645.34296273347</v>
      </c>
      <c r="T119" s="103">
        <f>IF(Q119&lt;INDEX('Pace of change parameters'!$E$24:$I$24,1,$B$5),INDEX('Pace of change parameters'!$E$24:$I$24,1,$B$5),Q119)</f>
        <v>2.4958507256535256E-2</v>
      </c>
      <c r="U119" s="132">
        <v>1.8395687747480016E-2</v>
      </c>
      <c r="V119" s="117">
        <f t="shared" si="20"/>
        <v>572645.34296273347</v>
      </c>
      <c r="W119" s="131">
        <f>IF(J119&gt;INDEX('Pace of change parameters'!$E$26:$I$26,1,$B$5),0,IF(J119&lt;INDEX('Pace of change parameters'!$E$25:$I$25,1,$B$5),1,(J119-INDEX('Pace of change parameters'!$E$26:$I$26,1,$B$5))/(INDEX('Pace of change parameters'!$E$25:$I$25,1,$B$5)-INDEX('Pace of change parameters'!$E$26:$I$26,1,$B$5))))</f>
        <v>1</v>
      </c>
      <c r="X119" s="132">
        <f>MIN(T119, T119+(INDEX('Pace of change parameters'!$E$27:$I$27,1,$B$5)-T119)*(1-W119))</f>
        <v>2.4958507256535256E-2</v>
      </c>
      <c r="Y119" s="132">
        <v>1.8395687747480016E-2</v>
      </c>
      <c r="Z119" s="108">
        <f t="shared" si="21"/>
        <v>572645.34296273347</v>
      </c>
      <c r="AA119" s="97">
        <f>MIN(VLOOKUP(A119,'2018-19 disagg'!$A$12:$BB$220,54,FALSE),-2.5%)</f>
        <v>-2.5000000000000001E-2</v>
      </c>
      <c r="AB119" s="99">
        <f t="shared" si="13"/>
        <v>568584.90275737341</v>
      </c>
      <c r="AC119" s="99">
        <f>MAX(IF(INDEX('Pace of change parameters'!$E$29:$I$29,1,$B$5)=1,MAX(AB119,Z119),Z119),L119)</f>
        <v>572645.34296273347</v>
      </c>
      <c r="AD119" s="97">
        <f t="shared" si="14"/>
        <v>2.4958507256535256E-2</v>
      </c>
      <c r="AE119" s="146">
        <v>1.8395687747480016E-2</v>
      </c>
      <c r="AF119" s="56">
        <f t="shared" si="22"/>
        <v>572645.34296273347</v>
      </c>
      <c r="AG119" s="56">
        <v>1472.5972851146555</v>
      </c>
      <c r="AH119" s="16">
        <f t="shared" si="15"/>
        <v>2.4958507256535256E-2</v>
      </c>
      <c r="AI119" s="16">
        <f t="shared" si="16"/>
        <v>1.8395687747480016E-2</v>
      </c>
      <c r="AJ119" s="56"/>
      <c r="AK119" s="56">
        <v>583164.00282807532</v>
      </c>
      <c r="AL119" s="56">
        <v>1499.6467497634142</v>
      </c>
      <c r="AM119" s="16">
        <f t="shared" si="23"/>
        <v>-1.8037224201650326E-2</v>
      </c>
      <c r="AN119" s="58">
        <f t="shared" si="23"/>
        <v>-1.8037224201650215E-2</v>
      </c>
      <c r="AP119" s="56">
        <f t="shared" si="17"/>
        <v>0</v>
      </c>
      <c r="AQ119" s="56">
        <f t="shared" si="18"/>
        <v>0</v>
      </c>
    </row>
    <row r="120" spans="1:43" x14ac:dyDescent="0.2">
      <c r="A120" s="156" t="s">
        <v>285</v>
      </c>
      <c r="B120" s="156" t="s">
        <v>286</v>
      </c>
      <c r="D120" s="68">
        <f>VLOOKUP(A120,'2018-19 disagg'!A120:AZ328,43,FALSE)</f>
        <v>446859</v>
      </c>
      <c r="E120" s="73">
        <v>1601.6322313395297</v>
      </c>
      <c r="F120" s="55"/>
      <c r="G120" s="88">
        <v>458510.46604064567</v>
      </c>
      <c r="H120" s="81">
        <v>1631.6630830279028</v>
      </c>
      <c r="I120" s="90"/>
      <c r="J120" s="103">
        <f t="shared" si="19"/>
        <v>-2.5411559612278922E-2</v>
      </c>
      <c r="K120" s="126">
        <f t="shared" si="19"/>
        <v>-1.8405056779641327E-2</v>
      </c>
      <c r="L120" s="56">
        <v>458168</v>
      </c>
      <c r="M120" s="103">
        <v>2.0852770777031848E-2</v>
      </c>
      <c r="N120" s="97">
        <f>INDEX('Pace of change parameters'!$E$22:$I$22,1,$B$5)</f>
        <v>1.356605044543624E-2</v>
      </c>
      <c r="O120" s="108">
        <f>MAX(IF(INDEX('Pace of change parameters'!$E$30:$I$30,1,$B$5)=1,(1+M120)*D120,D120),L120)</f>
        <v>458168</v>
      </c>
      <c r="P120" s="94">
        <f>IF(K120&lt;INDEX('Pace of change parameters'!$E$18:$I$18,1,$B$5),1,IF(K120&gt;INDEX('Pace of change parameters'!$E$19:$I$19,1,$B$5),0,(K120-INDEX('Pace of change parameters'!$E$19:$I$19,1,$B$5))/(INDEX('Pace of change parameters'!$E$18:$I$18,1,$B$5)-INDEX('Pace of change parameters'!$E$19:$I$19,1,$B$5))))</f>
        <v>0.63499774118428998</v>
      </c>
      <c r="Q120" s="57">
        <v>2.8966583035524573E-2</v>
      </c>
      <c r="R120" s="57">
        <v>2.1621947319415913E-2</v>
      </c>
      <c r="S120" s="9">
        <f>MAX(IF(INDEX('Pace of change parameters'!$E$31:$I$31,1,$B$5)=1,D120*(1+Q120),D120),L120)</f>
        <v>459802.97832867148</v>
      </c>
      <c r="T120" s="103">
        <f>IF(Q120&lt;INDEX('Pace of change parameters'!$E$24:$I$24,1,$B$5),INDEX('Pace of change parameters'!$E$24:$I$24,1,$B$5),Q120)</f>
        <v>2.8966583035524573E-2</v>
      </c>
      <c r="U120" s="132">
        <v>2.1621947319415913E-2</v>
      </c>
      <c r="V120" s="117">
        <f t="shared" si="20"/>
        <v>459802.97832867148</v>
      </c>
      <c r="W120" s="131">
        <f>IF(J120&gt;INDEX('Pace of change parameters'!$E$26:$I$26,1,$B$5),0,IF(J120&lt;INDEX('Pace of change parameters'!$E$25:$I$25,1,$B$5),1,(J120-INDEX('Pace of change parameters'!$E$26:$I$26,1,$B$5))/(INDEX('Pace of change parameters'!$E$25:$I$25,1,$B$5)-INDEX('Pace of change parameters'!$E$26:$I$26,1,$B$5))))</f>
        <v>1</v>
      </c>
      <c r="X120" s="132">
        <f>MIN(T120, T120+(INDEX('Pace of change parameters'!$E$27:$I$27,1,$B$5)-T120)*(1-W120))</f>
        <v>2.8966583035524573E-2</v>
      </c>
      <c r="Y120" s="132">
        <v>2.1621947319415913E-2</v>
      </c>
      <c r="Z120" s="108">
        <f t="shared" si="21"/>
        <v>459802.97832867148</v>
      </c>
      <c r="AA120" s="97">
        <f>MIN(VLOOKUP(A120,'2018-19 disagg'!$A$12:$BB$220,54,FALSE),-2.5%)</f>
        <v>-2.5088114602806577E-2</v>
      </c>
      <c r="AB120" s="99">
        <f t="shared" si="13"/>
        <v>458904.683530287</v>
      </c>
      <c r="AC120" s="99">
        <f>MAX(IF(INDEX('Pace of change parameters'!$E$29:$I$29,1,$B$5)=1,MAX(AB120,Z120),Z120),L120)</f>
        <v>459802.97832867148</v>
      </c>
      <c r="AD120" s="97">
        <f t="shared" si="14"/>
        <v>2.8966583035524573E-2</v>
      </c>
      <c r="AE120" s="146">
        <v>2.1621947319415913E-2</v>
      </c>
      <c r="AF120" s="56">
        <f t="shared" si="22"/>
        <v>459802.97832867148</v>
      </c>
      <c r="AG120" s="56">
        <v>1636.2626390706314</v>
      </c>
      <c r="AH120" s="16">
        <f t="shared" si="15"/>
        <v>2.8966583035524573E-2</v>
      </c>
      <c r="AI120" s="16">
        <f t="shared" si="16"/>
        <v>2.1621947319415913E-2</v>
      </c>
      <c r="AJ120" s="56"/>
      <c r="AK120" s="56">
        <v>470714.01057268115</v>
      </c>
      <c r="AL120" s="56">
        <v>1675.0908225666642</v>
      </c>
      <c r="AM120" s="16">
        <f t="shared" si="23"/>
        <v>-2.3179748210033213E-2</v>
      </c>
      <c r="AN120" s="58">
        <f t="shared" si="23"/>
        <v>-2.3179748210033324E-2</v>
      </c>
      <c r="AP120" s="56">
        <f t="shared" si="17"/>
        <v>0</v>
      </c>
      <c r="AQ120" s="56">
        <f t="shared" si="18"/>
        <v>0</v>
      </c>
    </row>
    <row r="121" spans="1:43" x14ac:dyDescent="0.2">
      <c r="A121" s="156" t="s">
        <v>287</v>
      </c>
      <c r="B121" s="156" t="s">
        <v>288</v>
      </c>
      <c r="D121" s="68">
        <f>VLOOKUP(A121,'2018-19 disagg'!A121:AZ329,43,FALSE)</f>
        <v>734066</v>
      </c>
      <c r="E121" s="73">
        <v>1530.9903783477307</v>
      </c>
      <c r="F121" s="55"/>
      <c r="G121" s="88">
        <v>766042.23337463127</v>
      </c>
      <c r="H121" s="81">
        <v>1579.848412692965</v>
      </c>
      <c r="I121" s="90"/>
      <c r="J121" s="103">
        <f t="shared" si="19"/>
        <v>-4.174212854266135E-2</v>
      </c>
      <c r="K121" s="126">
        <f t="shared" si="19"/>
        <v>-3.0925773607578089E-2</v>
      </c>
      <c r="L121" s="56">
        <v>755569</v>
      </c>
      <c r="M121" s="103">
        <v>2.5006697559657676E-2</v>
      </c>
      <c r="N121" s="97">
        <f>INDEX('Pace of change parameters'!$E$22:$I$22,1,$B$5)</f>
        <v>1.356605044543624E-2</v>
      </c>
      <c r="O121" s="108">
        <f>MAX(IF(INDEX('Pace of change parameters'!$E$30:$I$30,1,$B$5)=1,(1+M121)*D121,D121),L121)</f>
        <v>755569</v>
      </c>
      <c r="P121" s="94">
        <f>IF(K121&lt;INDEX('Pace of change parameters'!$E$18:$I$18,1,$B$5),1,IF(K121&gt;INDEX('Pace of change parameters'!$E$19:$I$19,1,$B$5),0,(K121-INDEX('Pace of change parameters'!$E$19:$I$19,1,$B$5))/(INDEX('Pace of change parameters'!$E$18:$I$18,1,$B$5)-INDEX('Pace of change parameters'!$E$19:$I$19,1,$B$5))))</f>
        <v>1</v>
      </c>
      <c r="Q121" s="57">
        <v>3.7836393546061942E-2</v>
      </c>
      <c r="R121" s="57">
        <v>2.625254734376381E-2</v>
      </c>
      <c r="S121" s="9">
        <f>MAX(IF(INDEX('Pace of change parameters'!$E$31:$I$31,1,$B$5)=1,D121*(1+Q121),D121),L121)</f>
        <v>761840.41006478353</v>
      </c>
      <c r="T121" s="103">
        <f>IF(Q121&lt;INDEX('Pace of change parameters'!$E$24:$I$24,1,$B$5),INDEX('Pace of change parameters'!$E$24:$I$24,1,$B$5),Q121)</f>
        <v>3.7836393546061942E-2</v>
      </c>
      <c r="U121" s="132">
        <v>2.625254734376381E-2</v>
      </c>
      <c r="V121" s="117">
        <f t="shared" si="20"/>
        <v>761840.41006478353</v>
      </c>
      <c r="W121" s="131">
        <f>IF(J121&gt;INDEX('Pace of change parameters'!$E$26:$I$26,1,$B$5),0,IF(J121&lt;INDEX('Pace of change parameters'!$E$25:$I$25,1,$B$5),1,(J121-INDEX('Pace of change parameters'!$E$26:$I$26,1,$B$5))/(INDEX('Pace of change parameters'!$E$25:$I$25,1,$B$5)-INDEX('Pace of change parameters'!$E$26:$I$26,1,$B$5))))</f>
        <v>1</v>
      </c>
      <c r="X121" s="132">
        <f>MIN(T121, T121+(INDEX('Pace of change parameters'!$E$27:$I$27,1,$B$5)-T121)*(1-W121))</f>
        <v>3.7836393546061942E-2</v>
      </c>
      <c r="Y121" s="132">
        <v>2.625254734376381E-2</v>
      </c>
      <c r="Z121" s="108">
        <f t="shared" si="21"/>
        <v>761840.41006478353</v>
      </c>
      <c r="AA121" s="97">
        <f>MIN(VLOOKUP(A121,'2018-19 disagg'!$A$12:$BB$220,54,FALSE),-2.5%)</f>
        <v>-3.7524120593496968E-2</v>
      </c>
      <c r="AB121" s="99">
        <f t="shared" si="13"/>
        <v>756954.99231929006</v>
      </c>
      <c r="AC121" s="99">
        <f>MAX(IF(INDEX('Pace of change parameters'!$E$29:$I$29,1,$B$5)=1,MAX(AB121,Z121),Z121),L121)</f>
        <v>761840.41006478353</v>
      </c>
      <c r="AD121" s="97">
        <f t="shared" si="14"/>
        <v>3.7836393546061942E-2</v>
      </c>
      <c r="AE121" s="146">
        <v>2.625254734376381E-2</v>
      </c>
      <c r="AF121" s="56">
        <f t="shared" si="22"/>
        <v>761840.41006478353</v>
      </c>
      <c r="AG121" s="56">
        <v>1571.1827757381513</v>
      </c>
      <c r="AH121" s="16">
        <f t="shared" si="15"/>
        <v>3.7836393546061942E-2</v>
      </c>
      <c r="AI121" s="16">
        <f t="shared" si="16"/>
        <v>2.625254734376381E-2</v>
      </c>
      <c r="AJ121" s="56"/>
      <c r="AK121" s="56">
        <v>786466.4543968162</v>
      </c>
      <c r="AL121" s="56">
        <v>1621.9703372508882</v>
      </c>
      <c r="AM121" s="16">
        <f t="shared" si="23"/>
        <v>-3.1312262836333815E-2</v>
      </c>
      <c r="AN121" s="58">
        <f t="shared" si="23"/>
        <v>-3.1312262836333815E-2</v>
      </c>
      <c r="AP121" s="56">
        <f t="shared" si="17"/>
        <v>0</v>
      </c>
      <c r="AQ121" s="56">
        <f t="shared" si="18"/>
        <v>0</v>
      </c>
    </row>
    <row r="122" spans="1:43" x14ac:dyDescent="0.2">
      <c r="A122" s="156" t="s">
        <v>289</v>
      </c>
      <c r="B122" s="156" t="s">
        <v>290</v>
      </c>
      <c r="D122" s="68">
        <f>VLOOKUP(A122,'2018-19 disagg'!A122:AZ330,43,FALSE)</f>
        <v>1366588</v>
      </c>
      <c r="E122" s="73">
        <v>1440.0880130998803</v>
      </c>
      <c r="F122" s="55"/>
      <c r="G122" s="88">
        <v>1399763.9019966654</v>
      </c>
      <c r="H122" s="81">
        <v>1462.2311696254355</v>
      </c>
      <c r="I122" s="90"/>
      <c r="J122" s="103">
        <f t="shared" si="19"/>
        <v>-2.3701069837093414E-2</v>
      </c>
      <c r="K122" s="126">
        <f t="shared" si="19"/>
        <v>-1.5143403440939784E-2</v>
      </c>
      <c r="L122" s="56">
        <v>1402894</v>
      </c>
      <c r="M122" s="103">
        <v>2.2450378659062187E-2</v>
      </c>
      <c r="N122" s="97">
        <f>INDEX('Pace of change parameters'!$E$22:$I$22,1,$B$5)</f>
        <v>1.356605044543624E-2</v>
      </c>
      <c r="O122" s="108">
        <f>MAX(IF(INDEX('Pace of change parameters'!$E$30:$I$30,1,$B$5)=1,(1+M122)*D122,D122),L122)</f>
        <v>1402894</v>
      </c>
      <c r="P122" s="94">
        <f>IF(K122&lt;INDEX('Pace of change parameters'!$E$18:$I$18,1,$B$5),1,IF(K122&gt;INDEX('Pace of change parameters'!$E$19:$I$19,1,$B$5),0,(K122-INDEX('Pace of change parameters'!$E$19:$I$19,1,$B$5))/(INDEX('Pace of change parameters'!$E$18:$I$18,1,$B$5)-INDEX('Pace of change parameters'!$E$19:$I$19,1,$B$5))))</f>
        <v>0.53232273765261773</v>
      </c>
      <c r="Q122" s="57">
        <v>2.9262884998310756E-2</v>
      </c>
      <c r="R122" s="57">
        <v>2.0319361205575426E-2</v>
      </c>
      <c r="S122" s="9">
        <f>MAX(IF(INDEX('Pace of change parameters'!$E$31:$I$31,1,$B$5)=1,D122*(1+Q122),D122),L122)</f>
        <v>1406578.3074840715</v>
      </c>
      <c r="T122" s="103">
        <f>IF(Q122&lt;INDEX('Pace of change parameters'!$E$24:$I$24,1,$B$5),INDEX('Pace of change parameters'!$E$24:$I$24,1,$B$5),Q122)</f>
        <v>2.9262884998310756E-2</v>
      </c>
      <c r="U122" s="132">
        <v>2.0319361205575426E-2</v>
      </c>
      <c r="V122" s="117">
        <f t="shared" si="20"/>
        <v>1406578.3074840715</v>
      </c>
      <c r="W122" s="131">
        <f>IF(J122&gt;INDEX('Pace of change parameters'!$E$26:$I$26,1,$B$5),0,IF(J122&lt;INDEX('Pace of change parameters'!$E$25:$I$25,1,$B$5),1,(J122-INDEX('Pace of change parameters'!$E$26:$I$26,1,$B$5))/(INDEX('Pace of change parameters'!$E$25:$I$25,1,$B$5)-INDEX('Pace of change parameters'!$E$26:$I$26,1,$B$5))))</f>
        <v>1</v>
      </c>
      <c r="X122" s="132">
        <f>MIN(T122, T122+(INDEX('Pace of change parameters'!$E$27:$I$27,1,$B$5)-T122)*(1-W122))</f>
        <v>2.9262884998310756E-2</v>
      </c>
      <c r="Y122" s="132">
        <v>2.0319361205575426E-2</v>
      </c>
      <c r="Z122" s="108">
        <f t="shared" si="21"/>
        <v>1406578.3074840715</v>
      </c>
      <c r="AA122" s="97">
        <f>MIN(VLOOKUP(A122,'2018-19 disagg'!$A$12:$BB$220,54,FALSE),-2.5%)</f>
        <v>-2.5000000000000001E-2</v>
      </c>
      <c r="AB122" s="99">
        <f t="shared" si="13"/>
        <v>1401201.2675915577</v>
      </c>
      <c r="AC122" s="99">
        <f>MAX(IF(INDEX('Pace of change parameters'!$E$29:$I$29,1,$B$5)=1,MAX(AB122,Z122),Z122),L122)</f>
        <v>1406578.3074840715</v>
      </c>
      <c r="AD122" s="97">
        <f t="shared" si="14"/>
        <v>2.9262884998310756E-2</v>
      </c>
      <c r="AE122" s="146">
        <v>2.0319361205575426E-2</v>
      </c>
      <c r="AF122" s="56">
        <f t="shared" si="22"/>
        <v>1406578.3074840715</v>
      </c>
      <c r="AG122" s="56">
        <v>1469.3496816058762</v>
      </c>
      <c r="AH122" s="16">
        <f t="shared" si="15"/>
        <v>2.9262884998310756E-2</v>
      </c>
      <c r="AI122" s="16">
        <f t="shared" si="16"/>
        <v>2.0319361205575426E-2</v>
      </c>
      <c r="AJ122" s="56"/>
      <c r="AK122" s="56">
        <v>1437129.5052221105</v>
      </c>
      <c r="AL122" s="56">
        <v>1501.264287732115</v>
      </c>
      <c r="AM122" s="16">
        <f t="shared" si="23"/>
        <v>-2.1258486188631465E-2</v>
      </c>
      <c r="AN122" s="58">
        <f t="shared" si="23"/>
        <v>-2.1258486188631465E-2</v>
      </c>
      <c r="AP122" s="56">
        <f t="shared" si="17"/>
        <v>0</v>
      </c>
      <c r="AQ122" s="56">
        <f t="shared" si="18"/>
        <v>0</v>
      </c>
    </row>
    <row r="123" spans="1:43" x14ac:dyDescent="0.2">
      <c r="A123" s="156" t="s">
        <v>291</v>
      </c>
      <c r="B123" s="156" t="s">
        <v>292</v>
      </c>
      <c r="D123" s="68">
        <f>VLOOKUP(A123,'2018-19 disagg'!A123:AZ331,43,FALSE)</f>
        <v>297626</v>
      </c>
      <c r="E123" s="73">
        <v>1604.0721253816171</v>
      </c>
      <c r="F123" s="55"/>
      <c r="G123" s="88">
        <v>305062.55255832325</v>
      </c>
      <c r="H123" s="81">
        <v>1636.1060760602595</v>
      </c>
      <c r="I123" s="90"/>
      <c r="J123" s="103">
        <f t="shared" si="19"/>
        <v>-2.4377140019181787E-2</v>
      </c>
      <c r="K123" s="126">
        <f t="shared" si="19"/>
        <v>-1.9579384947814749E-2</v>
      </c>
      <c r="L123" s="56">
        <v>304769</v>
      </c>
      <c r="M123" s="103">
        <v>1.8550396198451669E-2</v>
      </c>
      <c r="N123" s="97">
        <f>INDEX('Pace of change parameters'!$E$22:$I$22,1,$B$5)</f>
        <v>1.356605044543624E-2</v>
      </c>
      <c r="O123" s="108">
        <f>MAX(IF(INDEX('Pace of change parameters'!$E$30:$I$30,1,$B$5)=1,(1+M123)*D123,D123),L123)</f>
        <v>304769</v>
      </c>
      <c r="P123" s="94">
        <f>IF(K123&lt;INDEX('Pace of change parameters'!$E$18:$I$18,1,$B$5),1,IF(K123&gt;INDEX('Pace of change parameters'!$E$19:$I$19,1,$B$5),0,(K123-INDEX('Pace of change parameters'!$E$19:$I$19,1,$B$5))/(INDEX('Pace of change parameters'!$E$18:$I$18,1,$B$5)-INDEX('Pace of change parameters'!$E$19:$I$19,1,$B$5))))</f>
        <v>0.67196492815779851</v>
      </c>
      <c r="Q123" s="57">
        <v>2.7117199410445991E-2</v>
      </c>
      <c r="R123" s="57">
        <v>2.2090931422295235E-2</v>
      </c>
      <c r="S123" s="9">
        <f>MAX(IF(INDEX('Pace of change parameters'!$E$31:$I$31,1,$B$5)=1,D123*(1+Q123),D123),L123)</f>
        <v>305696.78359173337</v>
      </c>
      <c r="T123" s="103">
        <f>IF(Q123&lt;INDEX('Pace of change parameters'!$E$24:$I$24,1,$B$5),INDEX('Pace of change parameters'!$E$24:$I$24,1,$B$5),Q123)</f>
        <v>2.7117199410445991E-2</v>
      </c>
      <c r="U123" s="132">
        <v>2.2090931422295235E-2</v>
      </c>
      <c r="V123" s="117">
        <f t="shared" si="20"/>
        <v>305696.78359173337</v>
      </c>
      <c r="W123" s="131">
        <f>IF(J123&gt;INDEX('Pace of change parameters'!$E$26:$I$26,1,$B$5),0,IF(J123&lt;INDEX('Pace of change parameters'!$E$25:$I$25,1,$B$5),1,(J123-INDEX('Pace of change parameters'!$E$26:$I$26,1,$B$5))/(INDEX('Pace of change parameters'!$E$25:$I$25,1,$B$5)-INDEX('Pace of change parameters'!$E$26:$I$26,1,$B$5))))</f>
        <v>1</v>
      </c>
      <c r="X123" s="132">
        <f>MIN(T123, T123+(INDEX('Pace of change parameters'!$E$27:$I$27,1,$B$5)-T123)*(1-W123))</f>
        <v>2.7117199410445991E-2</v>
      </c>
      <c r="Y123" s="132">
        <v>2.2090931422295235E-2</v>
      </c>
      <c r="Z123" s="108">
        <f t="shared" si="21"/>
        <v>305696.78359173337</v>
      </c>
      <c r="AA123" s="97">
        <f>MIN(VLOOKUP(A123,'2018-19 disagg'!$A$12:$BB$220,54,FALSE),-2.5%)</f>
        <v>-2.6253159227738965E-2</v>
      </c>
      <c r="AB123" s="99">
        <f t="shared" si="13"/>
        <v>304928.17563872924</v>
      </c>
      <c r="AC123" s="99">
        <f>MAX(IF(INDEX('Pace of change parameters'!$E$29:$I$29,1,$B$5)=1,MAX(AB123,Z123),Z123),L123)</f>
        <v>305696.78359173337</v>
      </c>
      <c r="AD123" s="97">
        <f t="shared" si="14"/>
        <v>2.7117199410445991E-2</v>
      </c>
      <c r="AE123" s="146">
        <v>2.2090931422295235E-2</v>
      </c>
      <c r="AF123" s="56">
        <f t="shared" si="22"/>
        <v>305696.78359173337</v>
      </c>
      <c r="AG123" s="56">
        <v>1639.5075726998377</v>
      </c>
      <c r="AH123" s="16">
        <f t="shared" si="15"/>
        <v>2.7117199410445991E-2</v>
      </c>
      <c r="AI123" s="16">
        <f t="shared" si="16"/>
        <v>2.2090931422295235E-2</v>
      </c>
      <c r="AJ123" s="56"/>
      <c r="AK123" s="56">
        <v>313149.33499234379</v>
      </c>
      <c r="AL123" s="56">
        <v>1679.4769643096417</v>
      </c>
      <c r="AM123" s="16">
        <f t="shared" si="23"/>
        <v>-2.3798713801492233E-2</v>
      </c>
      <c r="AN123" s="58">
        <f t="shared" si="23"/>
        <v>-2.3798713801492122E-2</v>
      </c>
      <c r="AP123" s="56">
        <f t="shared" si="17"/>
        <v>0</v>
      </c>
      <c r="AQ123" s="56">
        <f t="shared" si="18"/>
        <v>0</v>
      </c>
    </row>
    <row r="124" spans="1:43" x14ac:dyDescent="0.2">
      <c r="A124" s="156" t="s">
        <v>293</v>
      </c>
      <c r="B124" s="156" t="s">
        <v>294</v>
      </c>
      <c r="D124" s="68">
        <f>VLOOKUP(A124,'2018-19 disagg'!A124:AZ332,43,FALSE)</f>
        <v>941997</v>
      </c>
      <c r="E124" s="73">
        <v>1561.8079056091913</v>
      </c>
      <c r="F124" s="55"/>
      <c r="G124" s="88">
        <v>972213.58267620776</v>
      </c>
      <c r="H124" s="81">
        <v>1596.8110902444382</v>
      </c>
      <c r="I124" s="90"/>
      <c r="J124" s="103">
        <f t="shared" si="19"/>
        <v>-3.1080189800507307E-2</v>
      </c>
      <c r="K124" s="126">
        <f t="shared" si="19"/>
        <v>-2.1920679815599642E-2</v>
      </c>
      <c r="L124" s="56">
        <v>967961</v>
      </c>
      <c r="M124" s="103">
        <v>2.3147615670639832E-2</v>
      </c>
      <c r="N124" s="97">
        <f>INDEX('Pace of change parameters'!$E$22:$I$22,1,$B$5)</f>
        <v>1.356605044543624E-2</v>
      </c>
      <c r="O124" s="108">
        <f>MAX(IF(INDEX('Pace of change parameters'!$E$30:$I$30,1,$B$5)=1,(1+M124)*D124,D124),L124)</f>
        <v>967961</v>
      </c>
      <c r="P124" s="94">
        <f>IF(K124&lt;INDEX('Pace of change parameters'!$E$18:$I$18,1,$B$5),1,IF(K124&gt;INDEX('Pace of change parameters'!$E$19:$I$19,1,$B$5),0,(K124-INDEX('Pace of change parameters'!$E$19:$I$19,1,$B$5))/(INDEX('Pace of change parameters'!$E$18:$I$18,1,$B$5)-INDEX('Pace of change parameters'!$E$19:$I$19,1,$B$5))))</f>
        <v>0.74566756723537742</v>
      </c>
      <c r="Q124" s="57">
        <v>3.2696952508558752E-2</v>
      </c>
      <c r="R124" s="57">
        <v>2.3025959724351397E-2</v>
      </c>
      <c r="S124" s="9">
        <f>MAX(IF(INDEX('Pace of change parameters'!$E$31:$I$31,1,$B$5)=1,D124*(1+Q124),D124),L124)</f>
        <v>972797.43117220479</v>
      </c>
      <c r="T124" s="103">
        <f>IF(Q124&lt;INDEX('Pace of change parameters'!$E$24:$I$24,1,$B$5),INDEX('Pace of change parameters'!$E$24:$I$24,1,$B$5),Q124)</f>
        <v>3.2696952508558752E-2</v>
      </c>
      <c r="U124" s="132">
        <v>2.3025959724351397E-2</v>
      </c>
      <c r="V124" s="117">
        <f t="shared" si="20"/>
        <v>972797.43117220479</v>
      </c>
      <c r="W124" s="131">
        <f>IF(J124&gt;INDEX('Pace of change parameters'!$E$26:$I$26,1,$B$5),0,IF(J124&lt;INDEX('Pace of change parameters'!$E$25:$I$25,1,$B$5),1,(J124-INDEX('Pace of change parameters'!$E$26:$I$26,1,$B$5))/(INDEX('Pace of change parameters'!$E$25:$I$25,1,$B$5)-INDEX('Pace of change parameters'!$E$26:$I$26,1,$B$5))))</f>
        <v>1</v>
      </c>
      <c r="X124" s="132">
        <f>MIN(T124, T124+(INDEX('Pace of change parameters'!$E$27:$I$27,1,$B$5)-T124)*(1-W124))</f>
        <v>3.2696952508558752E-2</v>
      </c>
      <c r="Y124" s="132">
        <v>2.3025959724351397E-2</v>
      </c>
      <c r="Z124" s="108">
        <f t="shared" si="21"/>
        <v>972797.43117220479</v>
      </c>
      <c r="AA124" s="97">
        <f>MIN(VLOOKUP(A124,'2018-19 disagg'!$A$12:$BB$220,54,FALSE),-2.5%)</f>
        <v>-2.8577846728997991E-2</v>
      </c>
      <c r="AB124" s="99">
        <f t="shared" si="13"/>
        <v>969414.52651374647</v>
      </c>
      <c r="AC124" s="99">
        <f>MAX(IF(INDEX('Pace of change parameters'!$E$29:$I$29,1,$B$5)=1,MAX(AB124,Z124),Z124),L124)</f>
        <v>972797.43117220479</v>
      </c>
      <c r="AD124" s="97">
        <f t="shared" si="14"/>
        <v>3.2696952508558752E-2</v>
      </c>
      <c r="AE124" s="146">
        <v>2.3025959724351397E-2</v>
      </c>
      <c r="AF124" s="56">
        <f t="shared" si="22"/>
        <v>972797.43117220479</v>
      </c>
      <c r="AG124" s="56">
        <v>1597.7700315409218</v>
      </c>
      <c r="AH124" s="16">
        <f t="shared" si="15"/>
        <v>3.2696952508558752E-2</v>
      </c>
      <c r="AI124" s="16">
        <f t="shared" si="16"/>
        <v>2.3025959724351175E-2</v>
      </c>
      <c r="AJ124" s="56"/>
      <c r="AK124" s="56">
        <v>997933.31174248457</v>
      </c>
      <c r="AL124" s="56">
        <v>1639.0544299209537</v>
      </c>
      <c r="AM124" s="16">
        <f t="shared" si="23"/>
        <v>-2.5187936182218595E-2</v>
      </c>
      <c r="AN124" s="58">
        <f t="shared" si="23"/>
        <v>-2.5187936182218706E-2</v>
      </c>
      <c r="AP124" s="56">
        <f t="shared" si="17"/>
        <v>0</v>
      </c>
      <c r="AQ124" s="56">
        <f t="shared" si="18"/>
        <v>0</v>
      </c>
    </row>
    <row r="125" spans="1:43" x14ac:dyDescent="0.2">
      <c r="A125" s="156" t="s">
        <v>295</v>
      </c>
      <c r="B125" s="156" t="s">
        <v>296</v>
      </c>
      <c r="D125" s="68">
        <f>VLOOKUP(A125,'2018-19 disagg'!A125:AZ333,43,FALSE)</f>
        <v>416659</v>
      </c>
      <c r="E125" s="73">
        <v>1741.9819423471736</v>
      </c>
      <c r="F125" s="55"/>
      <c r="G125" s="88">
        <v>423897.31601771736</v>
      </c>
      <c r="H125" s="81">
        <v>1765.1096559509465</v>
      </c>
      <c r="I125" s="90"/>
      <c r="J125" s="103">
        <f t="shared" si="19"/>
        <v>-1.7075635405567891E-2</v>
      </c>
      <c r="K125" s="126">
        <f t="shared" si="19"/>
        <v>-1.310270641022182E-2</v>
      </c>
      <c r="L125" s="56">
        <v>426596</v>
      </c>
      <c r="M125" s="103">
        <v>1.7662831536191748E-2</v>
      </c>
      <c r="N125" s="97">
        <f>INDEX('Pace of change parameters'!$E$22:$I$22,1,$B$5)</f>
        <v>1.356605044543624E-2</v>
      </c>
      <c r="O125" s="108">
        <f>MAX(IF(INDEX('Pace of change parameters'!$E$30:$I$30,1,$B$5)=1,(1+M125)*D125,D125),L125)</f>
        <v>426596</v>
      </c>
      <c r="P125" s="94">
        <f>IF(K125&lt;INDEX('Pace of change parameters'!$E$18:$I$18,1,$B$5),1,IF(K125&gt;INDEX('Pace of change parameters'!$E$19:$I$19,1,$B$5),0,(K125-INDEX('Pace of change parameters'!$E$19:$I$19,1,$B$5))/(INDEX('Pace of change parameters'!$E$18:$I$18,1,$B$5)-INDEX('Pace of change parameters'!$E$19:$I$19,1,$B$5))))</f>
        <v>0.46808274858024967</v>
      </c>
      <c r="Q125" s="57">
        <v>2.3625164295596024E-2</v>
      </c>
      <c r="R125" s="57">
        <v>1.9504380783460284E-2</v>
      </c>
      <c r="S125" s="9">
        <f>MAX(IF(INDEX('Pace of change parameters'!$E$31:$I$31,1,$B$5)=1,D125*(1+Q125),D125),L125)</f>
        <v>426596</v>
      </c>
      <c r="T125" s="103">
        <f>IF(Q125&lt;INDEX('Pace of change parameters'!$E$24:$I$24,1,$B$5),INDEX('Pace of change parameters'!$E$24:$I$24,1,$B$5),Q125)</f>
        <v>2.3625164295596024E-2</v>
      </c>
      <c r="U125" s="132">
        <v>1.9504380783460284E-2</v>
      </c>
      <c r="V125" s="117">
        <f t="shared" si="20"/>
        <v>426596</v>
      </c>
      <c r="W125" s="131">
        <f>IF(J125&gt;INDEX('Pace of change parameters'!$E$26:$I$26,1,$B$5),0,IF(J125&lt;INDEX('Pace of change parameters'!$E$25:$I$25,1,$B$5),1,(J125-INDEX('Pace of change parameters'!$E$26:$I$26,1,$B$5))/(INDEX('Pace of change parameters'!$E$25:$I$25,1,$B$5)-INDEX('Pace of change parameters'!$E$26:$I$26,1,$B$5))))</f>
        <v>1</v>
      </c>
      <c r="X125" s="132">
        <f>MIN(T125, T125+(INDEX('Pace of change parameters'!$E$27:$I$27,1,$B$5)-T125)*(1-W125))</f>
        <v>2.3625164295596024E-2</v>
      </c>
      <c r="Y125" s="132">
        <v>1.9504380783460284E-2</v>
      </c>
      <c r="Z125" s="108">
        <f t="shared" si="21"/>
        <v>426596</v>
      </c>
      <c r="AA125" s="97">
        <f>MIN(VLOOKUP(A125,'2018-19 disagg'!$A$12:$BB$220,54,FALSE),-2.5%)</f>
        <v>-2.5000000000000001E-2</v>
      </c>
      <c r="AB125" s="99">
        <f t="shared" si="13"/>
        <v>424163.32173384877</v>
      </c>
      <c r="AC125" s="99">
        <f>MAX(IF(INDEX('Pace of change parameters'!$E$29:$I$29,1,$B$5)=1,MAX(AB125,Z125),Z125),L125)</f>
        <v>426596</v>
      </c>
      <c r="AD125" s="97">
        <f t="shared" si="14"/>
        <v>2.3849238825994323E-2</v>
      </c>
      <c r="AE125" s="146">
        <v>1.9727553262343545E-2</v>
      </c>
      <c r="AF125" s="56">
        <f t="shared" si="22"/>
        <v>426596</v>
      </c>
      <c r="AG125" s="56">
        <v>1776.3469838968686</v>
      </c>
      <c r="AH125" s="16">
        <f t="shared" si="15"/>
        <v>2.3849238825994323E-2</v>
      </c>
      <c r="AI125" s="16">
        <f t="shared" si="16"/>
        <v>1.9727553262343767E-2</v>
      </c>
      <c r="AJ125" s="56"/>
      <c r="AK125" s="56">
        <v>435039.30434240901</v>
      </c>
      <c r="AL125" s="56">
        <v>1811.5049277190365</v>
      </c>
      <c r="AM125" s="16">
        <f t="shared" si="23"/>
        <v>-1.9408141421087488E-2</v>
      </c>
      <c r="AN125" s="58">
        <f t="shared" si="23"/>
        <v>-1.9408141421087488E-2</v>
      </c>
      <c r="AP125" s="56">
        <f t="shared" si="17"/>
        <v>1</v>
      </c>
      <c r="AQ125" s="56">
        <f t="shared" si="18"/>
        <v>0</v>
      </c>
    </row>
    <row r="126" spans="1:43" x14ac:dyDescent="0.2">
      <c r="A126" s="156" t="s">
        <v>297</v>
      </c>
      <c r="B126" s="156" t="s">
        <v>298</v>
      </c>
      <c r="D126" s="68">
        <f>VLOOKUP(A126,'2018-19 disagg'!A126:AZ334,43,FALSE)</f>
        <v>1012773</v>
      </c>
      <c r="E126" s="73">
        <v>1553.053967775993</v>
      </c>
      <c r="F126" s="55"/>
      <c r="G126" s="88">
        <v>1046427.1231099151</v>
      </c>
      <c r="H126" s="81">
        <v>1587.5551357867223</v>
      </c>
      <c r="I126" s="90"/>
      <c r="J126" s="103">
        <f t="shared" si="19"/>
        <v>-3.2160981273017031E-2</v>
      </c>
      <c r="K126" s="126">
        <f t="shared" si="19"/>
        <v>-2.1732264431642556E-2</v>
      </c>
      <c r="L126" s="56">
        <v>1042392</v>
      </c>
      <c r="M126" s="103">
        <v>2.4487487932042917E-2</v>
      </c>
      <c r="N126" s="97">
        <f>INDEX('Pace of change parameters'!$E$22:$I$22,1,$B$5)</f>
        <v>1.356605044543624E-2</v>
      </c>
      <c r="O126" s="108">
        <f>MAX(IF(INDEX('Pace of change parameters'!$E$30:$I$30,1,$B$5)=1,(1+M126)*D126,D126),L126)</f>
        <v>1042392</v>
      </c>
      <c r="P126" s="94">
        <f>IF(K126&lt;INDEX('Pace of change parameters'!$E$18:$I$18,1,$B$5),1,IF(K126&gt;INDEX('Pace of change parameters'!$E$19:$I$19,1,$B$5),0,(K126-INDEX('Pace of change parameters'!$E$19:$I$19,1,$B$5))/(INDEX('Pace of change parameters'!$E$18:$I$18,1,$B$5)-INDEX('Pace of change parameters'!$E$19:$I$19,1,$B$5))))</f>
        <v>0.73973635744564648</v>
      </c>
      <c r="Q126" s="57">
        <v>3.3973273118073521E-2</v>
      </c>
      <c r="R126" s="57">
        <v>2.2950713449750637E-2</v>
      </c>
      <c r="S126" s="9">
        <f>MAX(IF(INDEX('Pace of change parameters'!$E$31:$I$31,1,$B$5)=1,D126*(1+Q126),D126),L126)</f>
        <v>1047180.2137356107</v>
      </c>
      <c r="T126" s="103">
        <f>IF(Q126&lt;INDEX('Pace of change parameters'!$E$24:$I$24,1,$B$5),INDEX('Pace of change parameters'!$E$24:$I$24,1,$B$5),Q126)</f>
        <v>3.3973273118073521E-2</v>
      </c>
      <c r="U126" s="132">
        <v>2.2950713449750637E-2</v>
      </c>
      <c r="V126" s="117">
        <f t="shared" si="20"/>
        <v>1047180.2137356107</v>
      </c>
      <c r="W126" s="131">
        <f>IF(J126&gt;INDEX('Pace of change parameters'!$E$26:$I$26,1,$B$5),0,IF(J126&lt;INDEX('Pace of change parameters'!$E$25:$I$25,1,$B$5),1,(J126-INDEX('Pace of change parameters'!$E$26:$I$26,1,$B$5))/(INDEX('Pace of change parameters'!$E$25:$I$25,1,$B$5)-INDEX('Pace of change parameters'!$E$26:$I$26,1,$B$5))))</f>
        <v>1</v>
      </c>
      <c r="X126" s="132">
        <f>MIN(T126, T126+(INDEX('Pace of change parameters'!$E$27:$I$27,1,$B$5)-T126)*(1-W126))</f>
        <v>3.3973273118073521E-2</v>
      </c>
      <c r="Y126" s="132">
        <v>2.2950713449750637E-2</v>
      </c>
      <c r="Z126" s="108">
        <f t="shared" si="21"/>
        <v>1047180.2137356107</v>
      </c>
      <c r="AA126" s="97">
        <f>MIN(VLOOKUP(A126,'2018-19 disagg'!$A$12:$BB$220,54,FALSE),-2.5%)</f>
        <v>-2.8392746405055957E-2</v>
      </c>
      <c r="AB126" s="99">
        <f t="shared" si="13"/>
        <v>1043781.4708278067</v>
      </c>
      <c r="AC126" s="99">
        <f>MAX(IF(INDEX('Pace of change parameters'!$E$29:$I$29,1,$B$5)=1,MAX(AB126,Z126),Z126),L126)</f>
        <v>1047180.2137356107</v>
      </c>
      <c r="AD126" s="97">
        <f t="shared" si="14"/>
        <v>3.3973273118073521E-2</v>
      </c>
      <c r="AE126" s="146">
        <v>2.2950713449750637E-2</v>
      </c>
      <c r="AF126" s="56">
        <f t="shared" si="22"/>
        <v>1047180.2137356107</v>
      </c>
      <c r="AG126" s="56">
        <v>1588.697664362418</v>
      </c>
      <c r="AH126" s="16">
        <f t="shared" si="15"/>
        <v>3.3973273118073521E-2</v>
      </c>
      <c r="AI126" s="16">
        <f t="shared" si="16"/>
        <v>2.2950713449750637E-2</v>
      </c>
      <c r="AJ126" s="56"/>
      <c r="AK126" s="56">
        <v>1074283.3248370865</v>
      </c>
      <c r="AL126" s="56">
        <v>1629.8163264027046</v>
      </c>
      <c r="AM126" s="16">
        <f t="shared" si="23"/>
        <v>-2.5229015916807485E-2</v>
      </c>
      <c r="AN126" s="58">
        <f t="shared" si="23"/>
        <v>-2.5229015916807485E-2</v>
      </c>
      <c r="AP126" s="56">
        <f t="shared" si="17"/>
        <v>0</v>
      </c>
      <c r="AQ126" s="56">
        <f t="shared" si="18"/>
        <v>0</v>
      </c>
    </row>
    <row r="127" spans="1:43" x14ac:dyDescent="0.2">
      <c r="A127" s="156" t="s">
        <v>299</v>
      </c>
      <c r="B127" s="156" t="s">
        <v>300</v>
      </c>
      <c r="D127" s="68">
        <f>VLOOKUP(A127,'2018-19 disagg'!A127:AZ335,43,FALSE)</f>
        <v>624291</v>
      </c>
      <c r="E127" s="73">
        <v>1537.630303196659</v>
      </c>
      <c r="F127" s="55"/>
      <c r="G127" s="88">
        <v>639844.9836860128</v>
      </c>
      <c r="H127" s="81">
        <v>1567.2851125280249</v>
      </c>
      <c r="I127" s="90"/>
      <c r="J127" s="103">
        <f t="shared" si="19"/>
        <v>-2.4308987461946763E-2</v>
      </c>
      <c r="K127" s="126">
        <f t="shared" si="19"/>
        <v>-1.8921132533143759E-2</v>
      </c>
      <c r="L127" s="56">
        <v>639253</v>
      </c>
      <c r="M127" s="103">
        <v>1.9163054794542944E-2</v>
      </c>
      <c r="N127" s="97">
        <f>INDEX('Pace of change parameters'!$E$22:$I$22,1,$B$5)</f>
        <v>1.356605044543624E-2</v>
      </c>
      <c r="O127" s="108">
        <f>MAX(IF(INDEX('Pace of change parameters'!$E$30:$I$30,1,$B$5)=1,(1+M127)*D127,D127),L127)</f>
        <v>639253</v>
      </c>
      <c r="P127" s="94">
        <f>IF(K127&lt;INDEX('Pace of change parameters'!$E$18:$I$18,1,$B$5),1,IF(K127&gt;INDEX('Pace of change parameters'!$E$19:$I$19,1,$B$5),0,(K127-INDEX('Pace of change parameters'!$E$19:$I$19,1,$B$5))/(INDEX('Pace of change parameters'!$E$18:$I$18,1,$B$5)-INDEX('Pace of change parameters'!$E$19:$I$19,1,$B$5))))</f>
        <v>0.65124351420521043</v>
      </c>
      <c r="Q127" s="57">
        <v>2.7470677130036369E-2</v>
      </c>
      <c r="R127" s="57">
        <v>2.1828049268456606E-2</v>
      </c>
      <c r="S127" s="9">
        <f>MAX(IF(INDEX('Pace of change parameters'!$E$31:$I$31,1,$B$5)=1,D127*(1+Q127),D127),L127)</f>
        <v>641440.69649618759</v>
      </c>
      <c r="T127" s="103">
        <f>IF(Q127&lt;INDEX('Pace of change parameters'!$E$24:$I$24,1,$B$5),INDEX('Pace of change parameters'!$E$24:$I$24,1,$B$5),Q127)</f>
        <v>2.7470677130036369E-2</v>
      </c>
      <c r="U127" s="132">
        <v>2.1828049268456606E-2</v>
      </c>
      <c r="V127" s="117">
        <f t="shared" si="20"/>
        <v>641440.69649618759</v>
      </c>
      <c r="W127" s="131">
        <f>IF(J127&gt;INDEX('Pace of change parameters'!$E$26:$I$26,1,$B$5),0,IF(J127&lt;INDEX('Pace of change parameters'!$E$25:$I$25,1,$B$5),1,(J127-INDEX('Pace of change parameters'!$E$26:$I$26,1,$B$5))/(INDEX('Pace of change parameters'!$E$25:$I$25,1,$B$5)-INDEX('Pace of change parameters'!$E$26:$I$26,1,$B$5))))</f>
        <v>1</v>
      </c>
      <c r="X127" s="132">
        <f>MIN(T127, T127+(INDEX('Pace of change parameters'!$E$27:$I$27,1,$B$5)-T127)*(1-W127))</f>
        <v>2.7470677130036369E-2</v>
      </c>
      <c r="Y127" s="132">
        <v>2.1828049268456606E-2</v>
      </c>
      <c r="Z127" s="108">
        <f t="shared" si="21"/>
        <v>641440.69649618759</v>
      </c>
      <c r="AA127" s="97">
        <f>MIN(VLOOKUP(A127,'2018-19 disagg'!$A$12:$BB$220,54,FALSE),-2.5%)</f>
        <v>-2.5597584062686085E-2</v>
      </c>
      <c r="AB127" s="99">
        <f t="shared" si="13"/>
        <v>639909.31539011979</v>
      </c>
      <c r="AC127" s="99">
        <f>MAX(IF(INDEX('Pace of change parameters'!$E$29:$I$29,1,$B$5)=1,MAX(AB127,Z127),Z127),L127)</f>
        <v>641440.69649618759</v>
      </c>
      <c r="AD127" s="97">
        <f t="shared" si="14"/>
        <v>2.7470677130036369E-2</v>
      </c>
      <c r="AE127" s="146">
        <v>2.1828049268456606E-2</v>
      </c>
      <c r="AF127" s="56">
        <f t="shared" si="22"/>
        <v>641440.69649618759</v>
      </c>
      <c r="AG127" s="56">
        <v>1571.1937732115077</v>
      </c>
      <c r="AH127" s="16">
        <f t="shared" si="15"/>
        <v>2.7470677130036369E-2</v>
      </c>
      <c r="AI127" s="16">
        <f t="shared" si="16"/>
        <v>2.1828049268456606E-2</v>
      </c>
      <c r="AJ127" s="56"/>
      <c r="AK127" s="56">
        <v>656719.75451186381</v>
      </c>
      <c r="AL127" s="56">
        <v>1608.6194634520873</v>
      </c>
      <c r="AM127" s="16">
        <f t="shared" si="23"/>
        <v>-2.326572013511774E-2</v>
      </c>
      <c r="AN127" s="58">
        <f t="shared" si="23"/>
        <v>-2.326572013511774E-2</v>
      </c>
      <c r="AP127" s="56">
        <f t="shared" si="17"/>
        <v>0</v>
      </c>
      <c r="AQ127" s="56">
        <f t="shared" si="18"/>
        <v>0</v>
      </c>
    </row>
    <row r="128" spans="1:43" x14ac:dyDescent="0.2">
      <c r="A128" s="156" t="s">
        <v>301</v>
      </c>
      <c r="B128" s="156" t="s">
        <v>302</v>
      </c>
      <c r="D128" s="68">
        <f>VLOOKUP(A128,'2018-19 disagg'!A128:AZ336,43,FALSE)</f>
        <v>372575</v>
      </c>
      <c r="E128" s="73">
        <v>1583.9205267042435</v>
      </c>
      <c r="F128" s="55"/>
      <c r="G128" s="88">
        <v>385995.17350417381</v>
      </c>
      <c r="H128" s="81">
        <v>1623.2515945656787</v>
      </c>
      <c r="I128" s="90"/>
      <c r="J128" s="103">
        <f t="shared" si="19"/>
        <v>-3.476772360219349E-2</v>
      </c>
      <c r="K128" s="126">
        <f t="shared" si="19"/>
        <v>-2.4229803927566018E-2</v>
      </c>
      <c r="L128" s="56">
        <v>383688</v>
      </c>
      <c r="M128" s="103">
        <v>2.4631653912804419E-2</v>
      </c>
      <c r="N128" s="97">
        <f>INDEX('Pace of change parameters'!$E$22:$I$22,1,$B$5)</f>
        <v>1.356605044543624E-2</v>
      </c>
      <c r="O128" s="108">
        <f>MAX(IF(INDEX('Pace of change parameters'!$E$30:$I$30,1,$B$5)=1,(1+M128)*D128,D128),L128)</f>
        <v>383688</v>
      </c>
      <c r="P128" s="94">
        <f>IF(K128&lt;INDEX('Pace of change parameters'!$E$18:$I$18,1,$B$5),1,IF(K128&gt;INDEX('Pace of change parameters'!$E$19:$I$19,1,$B$5),0,(K128-INDEX('Pace of change parameters'!$E$19:$I$19,1,$B$5))/(INDEX('Pace of change parameters'!$E$18:$I$18,1,$B$5)-INDEX('Pace of change parameters'!$E$19:$I$19,1,$B$5))))</f>
        <v>0.8183574891035309</v>
      </c>
      <c r="Q128" s="57">
        <v>3.5127090085026014E-2</v>
      </c>
      <c r="R128" s="57">
        <v>2.394814019267133E-2</v>
      </c>
      <c r="S128" s="9">
        <f>MAX(IF(INDEX('Pace of change parameters'!$E$31:$I$31,1,$B$5)=1,D128*(1+Q128),D128),L128)</f>
        <v>385662.47558842856</v>
      </c>
      <c r="T128" s="103">
        <f>IF(Q128&lt;INDEX('Pace of change parameters'!$E$24:$I$24,1,$B$5),INDEX('Pace of change parameters'!$E$24:$I$24,1,$B$5),Q128)</f>
        <v>3.5127090085026014E-2</v>
      </c>
      <c r="U128" s="132">
        <v>2.394814019267133E-2</v>
      </c>
      <c r="V128" s="117">
        <f t="shared" si="20"/>
        <v>385662.47558842856</v>
      </c>
      <c r="W128" s="131">
        <f>IF(J128&gt;INDEX('Pace of change parameters'!$E$26:$I$26,1,$B$5),0,IF(J128&lt;INDEX('Pace of change parameters'!$E$25:$I$25,1,$B$5),1,(J128-INDEX('Pace of change parameters'!$E$26:$I$26,1,$B$5))/(INDEX('Pace of change parameters'!$E$25:$I$25,1,$B$5)-INDEX('Pace of change parameters'!$E$26:$I$26,1,$B$5))))</f>
        <v>1</v>
      </c>
      <c r="X128" s="132">
        <f>MIN(T128, T128+(INDEX('Pace of change parameters'!$E$27:$I$27,1,$B$5)-T128)*(1-W128))</f>
        <v>3.5127090085026014E-2</v>
      </c>
      <c r="Y128" s="132">
        <v>2.394814019267133E-2</v>
      </c>
      <c r="Z128" s="108">
        <f t="shared" si="21"/>
        <v>385662.47558842856</v>
      </c>
      <c r="AA128" s="97">
        <f>MIN(VLOOKUP(A128,'2018-19 disagg'!$A$12:$BB$220,54,FALSE),-2.5%)</f>
        <v>-3.0876013736706343E-2</v>
      </c>
      <c r="AB128" s="99">
        <f t="shared" si="13"/>
        <v>384121.6946569818</v>
      </c>
      <c r="AC128" s="99">
        <f>MAX(IF(INDEX('Pace of change parameters'!$E$29:$I$29,1,$B$5)=1,MAX(AB128,Z128),Z128),L128)</f>
        <v>385662.47558842856</v>
      </c>
      <c r="AD128" s="97">
        <f t="shared" si="14"/>
        <v>3.5127090085026014E-2</v>
      </c>
      <c r="AE128" s="146">
        <v>2.394814019267133E-2</v>
      </c>
      <c r="AF128" s="56">
        <f t="shared" si="22"/>
        <v>385662.47558842856</v>
      </c>
      <c r="AG128" s="56">
        <v>1621.8524775318065</v>
      </c>
      <c r="AH128" s="16">
        <f t="shared" si="15"/>
        <v>3.5127090085026014E-2</v>
      </c>
      <c r="AI128" s="16">
        <f t="shared" si="16"/>
        <v>2.394814019267133E-2</v>
      </c>
      <c r="AJ128" s="56"/>
      <c r="AK128" s="56">
        <v>396359.70226891362</v>
      </c>
      <c r="AL128" s="56">
        <v>1666.8382479726386</v>
      </c>
      <c r="AM128" s="16">
        <f t="shared" si="23"/>
        <v>-2.6988683812330216E-2</v>
      </c>
      <c r="AN128" s="58">
        <f t="shared" si="23"/>
        <v>-2.6988683812330216E-2</v>
      </c>
      <c r="AP128" s="56">
        <f t="shared" si="17"/>
        <v>0</v>
      </c>
      <c r="AQ128" s="56">
        <f t="shared" si="18"/>
        <v>0</v>
      </c>
    </row>
    <row r="129" spans="1:43" x14ac:dyDescent="0.2">
      <c r="A129" s="156" t="s">
        <v>303</v>
      </c>
      <c r="B129" s="156" t="s">
        <v>304</v>
      </c>
      <c r="D129" s="68">
        <f>VLOOKUP(A129,'2018-19 disagg'!A129:AZ337,43,FALSE)</f>
        <v>592159</v>
      </c>
      <c r="E129" s="73">
        <v>1513.6422328752669</v>
      </c>
      <c r="F129" s="55"/>
      <c r="G129" s="88">
        <v>606233.33785981371</v>
      </c>
      <c r="H129" s="81">
        <v>1538.4400560830534</v>
      </c>
      <c r="I129" s="90"/>
      <c r="J129" s="103">
        <f t="shared" si="19"/>
        <v>-2.3216040723692877E-2</v>
      </c>
      <c r="K129" s="126">
        <f t="shared" si="19"/>
        <v>-1.6118810160808628E-2</v>
      </c>
      <c r="L129" s="56">
        <v>606869</v>
      </c>
      <c r="M129" s="103">
        <v>2.0930536606790451E-2</v>
      </c>
      <c r="N129" s="97">
        <f>INDEX('Pace of change parameters'!$E$22:$I$22,1,$B$5)</f>
        <v>1.356605044543624E-2</v>
      </c>
      <c r="O129" s="108">
        <f>MAX(IF(INDEX('Pace of change parameters'!$E$30:$I$30,1,$B$5)=1,(1+M129)*D129,D129),L129)</f>
        <v>606869</v>
      </c>
      <c r="P129" s="94">
        <f>IF(K129&lt;INDEX('Pace of change parameters'!$E$18:$I$18,1,$B$5),1,IF(K129&gt;INDEX('Pace of change parameters'!$E$19:$I$19,1,$B$5),0,(K129-INDEX('Pace of change parameters'!$E$19:$I$19,1,$B$5))/(INDEX('Pace of change parameters'!$E$18:$I$18,1,$B$5)-INDEX('Pace of change parameters'!$E$19:$I$19,1,$B$5))))</f>
        <v>0.56302798986903502</v>
      </c>
      <c r="Q129" s="57">
        <v>2.8125288825389783E-2</v>
      </c>
      <c r="R129" s="57">
        <v>2.0708903292581349E-2</v>
      </c>
      <c r="S129" s="9">
        <f>MAX(IF(INDEX('Pace of change parameters'!$E$31:$I$31,1,$B$5)=1,D129*(1+Q129),D129),L129)</f>
        <v>608813.64290555404</v>
      </c>
      <c r="T129" s="103">
        <f>IF(Q129&lt;INDEX('Pace of change parameters'!$E$24:$I$24,1,$B$5),INDEX('Pace of change parameters'!$E$24:$I$24,1,$B$5),Q129)</f>
        <v>2.8125288825389783E-2</v>
      </c>
      <c r="U129" s="132">
        <v>2.0708903292581349E-2</v>
      </c>
      <c r="V129" s="117">
        <f t="shared" si="20"/>
        <v>608813.64290555404</v>
      </c>
      <c r="W129" s="131">
        <f>IF(J129&gt;INDEX('Pace of change parameters'!$E$26:$I$26,1,$B$5),0,IF(J129&lt;INDEX('Pace of change parameters'!$E$25:$I$25,1,$B$5),1,(J129-INDEX('Pace of change parameters'!$E$26:$I$26,1,$B$5))/(INDEX('Pace of change parameters'!$E$25:$I$25,1,$B$5)-INDEX('Pace of change parameters'!$E$26:$I$26,1,$B$5))))</f>
        <v>1</v>
      </c>
      <c r="X129" s="132">
        <f>MIN(T129, T129+(INDEX('Pace of change parameters'!$E$27:$I$27,1,$B$5)-T129)*(1-W129))</f>
        <v>2.8125288825389783E-2</v>
      </c>
      <c r="Y129" s="132">
        <v>2.0708903292581349E-2</v>
      </c>
      <c r="Z129" s="108">
        <f t="shared" si="21"/>
        <v>608813.64290555404</v>
      </c>
      <c r="AA129" s="97">
        <f>MIN(VLOOKUP(A129,'2018-19 disagg'!$A$12:$BB$220,54,FALSE),-2.5%)</f>
        <v>-2.5000000000000001E-2</v>
      </c>
      <c r="AB129" s="99">
        <f t="shared" si="13"/>
        <v>606652.76556089788</v>
      </c>
      <c r="AC129" s="99">
        <f>MAX(IF(INDEX('Pace of change parameters'!$E$29:$I$29,1,$B$5)=1,MAX(AB129,Z129),Z129),L129)</f>
        <v>608813.64290555404</v>
      </c>
      <c r="AD129" s="97">
        <f t="shared" si="14"/>
        <v>2.8125288825389783E-2</v>
      </c>
      <c r="AE129" s="146">
        <v>2.0708903292581349E-2</v>
      </c>
      <c r="AF129" s="56">
        <f t="shared" si="22"/>
        <v>608813.64290555404</v>
      </c>
      <c r="AG129" s="56">
        <v>1544.9881034954478</v>
      </c>
      <c r="AH129" s="16">
        <f t="shared" si="15"/>
        <v>2.8125288825389783E-2</v>
      </c>
      <c r="AI129" s="16">
        <f t="shared" si="16"/>
        <v>2.0708903292581349E-2</v>
      </c>
      <c r="AJ129" s="56"/>
      <c r="AK129" s="56">
        <v>622207.96467784396</v>
      </c>
      <c r="AL129" s="56">
        <v>1578.9789117398486</v>
      </c>
      <c r="AM129" s="16">
        <f t="shared" si="23"/>
        <v>-2.1527081832237616E-2</v>
      </c>
      <c r="AN129" s="58">
        <f t="shared" si="23"/>
        <v>-2.1527081832237394E-2</v>
      </c>
      <c r="AP129" s="56">
        <f t="shared" si="17"/>
        <v>0</v>
      </c>
      <c r="AQ129" s="56">
        <f t="shared" si="18"/>
        <v>0</v>
      </c>
    </row>
    <row r="130" spans="1:43" x14ac:dyDescent="0.2">
      <c r="A130" s="156" t="s">
        <v>305</v>
      </c>
      <c r="B130" s="156" t="s">
        <v>306</v>
      </c>
      <c r="D130" s="68">
        <f>VLOOKUP(A130,'2018-19 disagg'!A130:AZ338,43,FALSE)</f>
        <v>593805</v>
      </c>
      <c r="E130" s="73">
        <v>1708.1467740574242</v>
      </c>
      <c r="F130" s="55"/>
      <c r="G130" s="88">
        <v>608789.96432808181</v>
      </c>
      <c r="H130" s="81">
        <v>1736.4550056636363</v>
      </c>
      <c r="I130" s="90"/>
      <c r="J130" s="103">
        <f t="shared" si="19"/>
        <v>-2.461434190134959E-2</v>
      </c>
      <c r="K130" s="126">
        <f t="shared" si="19"/>
        <v>-1.6302312189997226E-2</v>
      </c>
      <c r="L130" s="56">
        <v>609322</v>
      </c>
      <c r="M130" s="103">
        <v>2.2203445362789287E-2</v>
      </c>
      <c r="N130" s="97">
        <f>INDEX('Pace of change parameters'!$E$22:$I$22,1,$B$5)</f>
        <v>1.356605044543624E-2</v>
      </c>
      <c r="O130" s="108">
        <f>MAX(IF(INDEX('Pace of change parameters'!$E$30:$I$30,1,$B$5)=1,(1+M130)*D130,D130),L130)</f>
        <v>609322</v>
      </c>
      <c r="P130" s="94">
        <f>IF(K130&lt;INDEX('Pace of change parameters'!$E$18:$I$18,1,$B$5),1,IF(K130&gt;INDEX('Pace of change parameters'!$E$19:$I$19,1,$B$5),0,(K130-INDEX('Pace of change parameters'!$E$19:$I$19,1,$B$5))/(INDEX('Pace of change parameters'!$E$18:$I$18,1,$B$5)-INDEX('Pace of change parameters'!$E$19:$I$19,1,$B$5))))</f>
        <v>0.56880453002780884</v>
      </c>
      <c r="Q130" s="57">
        <v>2.9481076657003058E-2</v>
      </c>
      <c r="R130" s="57">
        <v>2.0782187351388703E-2</v>
      </c>
      <c r="S130" s="9">
        <f>MAX(IF(INDEX('Pace of change parameters'!$E$31:$I$31,1,$B$5)=1,D130*(1+Q130),D130),L130)</f>
        <v>611311.01072431169</v>
      </c>
      <c r="T130" s="103">
        <f>IF(Q130&lt;INDEX('Pace of change parameters'!$E$24:$I$24,1,$B$5),INDEX('Pace of change parameters'!$E$24:$I$24,1,$B$5),Q130)</f>
        <v>2.9481076657003058E-2</v>
      </c>
      <c r="U130" s="132">
        <v>2.0782187351388703E-2</v>
      </c>
      <c r="V130" s="117">
        <f t="shared" si="20"/>
        <v>611311.01072431169</v>
      </c>
      <c r="W130" s="131">
        <f>IF(J130&gt;INDEX('Pace of change parameters'!$E$26:$I$26,1,$B$5),0,IF(J130&lt;INDEX('Pace of change parameters'!$E$25:$I$25,1,$B$5),1,(J130-INDEX('Pace of change parameters'!$E$26:$I$26,1,$B$5))/(INDEX('Pace of change parameters'!$E$25:$I$25,1,$B$5)-INDEX('Pace of change parameters'!$E$26:$I$26,1,$B$5))))</f>
        <v>1</v>
      </c>
      <c r="X130" s="132">
        <f>MIN(T130, T130+(INDEX('Pace of change parameters'!$E$27:$I$27,1,$B$5)-T130)*(1-W130))</f>
        <v>2.9481076657003058E-2</v>
      </c>
      <c r="Y130" s="132">
        <v>2.0782187351388703E-2</v>
      </c>
      <c r="Z130" s="108">
        <f t="shared" si="21"/>
        <v>611311.01072431169</v>
      </c>
      <c r="AA130" s="97">
        <f>MIN(VLOOKUP(A130,'2018-19 disagg'!$A$12:$BB$220,54,FALSE),-2.5%)</f>
        <v>-2.5000000000000001E-2</v>
      </c>
      <c r="AB130" s="99">
        <f t="shared" si="13"/>
        <v>609087.14561664138</v>
      </c>
      <c r="AC130" s="99">
        <f>MAX(IF(INDEX('Pace of change parameters'!$E$29:$I$29,1,$B$5)=1,MAX(AB130,Z130),Z130),L130)</f>
        <v>611311.01072431169</v>
      </c>
      <c r="AD130" s="97">
        <f t="shared" si="14"/>
        <v>2.9481076657003058E-2</v>
      </c>
      <c r="AE130" s="146">
        <v>2.0782187351388703E-2</v>
      </c>
      <c r="AF130" s="56">
        <f t="shared" si="22"/>
        <v>611311.01072431169</v>
      </c>
      <c r="AG130" s="56">
        <v>1743.645800339556</v>
      </c>
      <c r="AH130" s="16">
        <f t="shared" si="15"/>
        <v>2.9481076657003058E-2</v>
      </c>
      <c r="AI130" s="16">
        <f t="shared" si="16"/>
        <v>2.0782187351388925E-2</v>
      </c>
      <c r="AJ130" s="56"/>
      <c r="AK130" s="56">
        <v>624704.76473501686</v>
      </c>
      <c r="AL130" s="56">
        <v>1781.8488794954117</v>
      </c>
      <c r="AM130" s="16">
        <f t="shared" si="23"/>
        <v>-2.1440134231065833E-2</v>
      </c>
      <c r="AN130" s="58">
        <f t="shared" si="23"/>
        <v>-2.1440134231065722E-2</v>
      </c>
      <c r="AP130" s="56">
        <f t="shared" si="17"/>
        <v>0</v>
      </c>
      <c r="AQ130" s="56">
        <f t="shared" si="18"/>
        <v>0</v>
      </c>
    </row>
    <row r="131" spans="1:43" x14ac:dyDescent="0.2">
      <c r="A131" s="156" t="s">
        <v>307</v>
      </c>
      <c r="B131" s="156" t="s">
        <v>308</v>
      </c>
      <c r="D131" s="68">
        <f>VLOOKUP(A131,'2018-19 disagg'!A131:AZ339,43,FALSE)</f>
        <v>308602</v>
      </c>
      <c r="E131" s="73">
        <v>1775.8623896217457</v>
      </c>
      <c r="F131" s="55"/>
      <c r="G131" s="88">
        <v>304634.70504829352</v>
      </c>
      <c r="H131" s="81">
        <v>1743.7087148085682</v>
      </c>
      <c r="I131" s="90"/>
      <c r="J131" s="103">
        <f t="shared" si="19"/>
        <v>1.3023122073624327E-2</v>
      </c>
      <c r="K131" s="126">
        <f t="shared" si="19"/>
        <v>1.843981998834443E-2</v>
      </c>
      <c r="L131" s="56">
        <v>315704</v>
      </c>
      <c r="M131" s="103">
        <v>1.8985651432075867E-2</v>
      </c>
      <c r="N131" s="97">
        <f>INDEX('Pace of change parameters'!$E$22:$I$22,1,$B$5)</f>
        <v>1.356605044543624E-2</v>
      </c>
      <c r="O131" s="108">
        <f>MAX(IF(INDEX('Pace of change parameters'!$E$30:$I$30,1,$B$5)=1,(1+M131)*D131,D131),L131)</f>
        <v>315704</v>
      </c>
      <c r="P131" s="94">
        <f>IF(K131&lt;INDEX('Pace of change parameters'!$E$18:$I$18,1,$B$5),1,IF(K131&gt;INDEX('Pace of change parameters'!$E$19:$I$19,1,$B$5),0,(K131-INDEX('Pace of change parameters'!$E$19:$I$19,1,$B$5))/(INDEX('Pace of change parameters'!$E$18:$I$18,1,$B$5)-INDEX('Pace of change parameters'!$E$19:$I$19,1,$B$5))))</f>
        <v>0</v>
      </c>
      <c r="Q131" s="57">
        <v>1.8985651432075867E-2</v>
      </c>
      <c r="R131" s="57">
        <v>1.356605044543624E-2</v>
      </c>
      <c r="S131" s="9">
        <f>MAX(IF(INDEX('Pace of change parameters'!$E$31:$I$31,1,$B$5)=1,D131*(1+Q131),D131),L131)</f>
        <v>315704</v>
      </c>
      <c r="T131" s="103">
        <f>IF(Q131&lt;INDEX('Pace of change parameters'!$E$24:$I$24,1,$B$5),INDEX('Pace of change parameters'!$E$24:$I$24,1,$B$5),Q131)</f>
        <v>2.0738822378003872E-2</v>
      </c>
      <c r="U131" s="132">
        <v>1.5309896935249645E-2</v>
      </c>
      <c r="V131" s="117">
        <f t="shared" si="20"/>
        <v>315704</v>
      </c>
      <c r="W131" s="131">
        <f>IF(J131&gt;INDEX('Pace of change parameters'!$E$26:$I$26,1,$B$5),0,IF(J131&lt;INDEX('Pace of change parameters'!$E$25:$I$25,1,$B$5),1,(J131-INDEX('Pace of change parameters'!$E$26:$I$26,1,$B$5))/(INDEX('Pace of change parameters'!$E$25:$I$25,1,$B$5)-INDEX('Pace of change parameters'!$E$26:$I$26,1,$B$5))))</f>
        <v>1</v>
      </c>
      <c r="X131" s="132">
        <f>MIN(T131, T131+(INDEX('Pace of change parameters'!$E$27:$I$27,1,$B$5)-T131)*(1-W131))</f>
        <v>2.0738822378003872E-2</v>
      </c>
      <c r="Y131" s="132">
        <v>1.5309896935249645E-2</v>
      </c>
      <c r="Z131" s="108">
        <f t="shared" si="21"/>
        <v>315704</v>
      </c>
      <c r="AA131" s="97">
        <f>MIN(VLOOKUP(A131,'2018-19 disagg'!$A$12:$BB$220,54,FALSE),-2.5%)</f>
        <v>-2.5000000000000001E-2</v>
      </c>
      <c r="AB131" s="99">
        <f t="shared" si="13"/>
        <v>304965.67693296529</v>
      </c>
      <c r="AC131" s="99">
        <f>MAX(IF(INDEX('Pace of change parameters'!$E$29:$I$29,1,$B$5)=1,MAX(AB131,Z131),Z131),L131)</f>
        <v>315704</v>
      </c>
      <c r="AD131" s="97">
        <f t="shared" si="14"/>
        <v>2.3013460703430244E-2</v>
      </c>
      <c r="AE131" s="146">
        <v>1.7572437315925393E-2</v>
      </c>
      <c r="AF131" s="56">
        <f t="shared" si="22"/>
        <v>315704</v>
      </c>
      <c r="AG131" s="56">
        <v>1807.0686201450833</v>
      </c>
      <c r="AH131" s="16">
        <f t="shared" si="15"/>
        <v>2.3013460703430244E-2</v>
      </c>
      <c r="AI131" s="16">
        <f t="shared" si="16"/>
        <v>1.7572437315925393E-2</v>
      </c>
      <c r="AJ131" s="56"/>
      <c r="AK131" s="56">
        <v>312785.30967483623</v>
      </c>
      <c r="AL131" s="56">
        <v>1790.3622315705813</v>
      </c>
      <c r="AM131" s="16">
        <f t="shared" si="23"/>
        <v>9.331289657426689E-3</v>
      </c>
      <c r="AN131" s="58">
        <f t="shared" si="23"/>
        <v>9.331289657426689E-3</v>
      </c>
      <c r="AP131" s="56">
        <f t="shared" si="17"/>
        <v>1</v>
      </c>
      <c r="AQ131" s="56">
        <f t="shared" si="18"/>
        <v>0</v>
      </c>
    </row>
    <row r="132" spans="1:43" x14ac:dyDescent="0.2">
      <c r="A132" s="156" t="s">
        <v>309</v>
      </c>
      <c r="B132" s="156" t="s">
        <v>310</v>
      </c>
      <c r="D132" s="68">
        <f>VLOOKUP(A132,'2018-19 disagg'!A132:AZ340,43,FALSE)</f>
        <v>328192</v>
      </c>
      <c r="E132" s="73">
        <v>1488.6509748505753</v>
      </c>
      <c r="F132" s="55"/>
      <c r="G132" s="88">
        <v>334042.10508857796</v>
      </c>
      <c r="H132" s="81">
        <v>1505.7892172825786</v>
      </c>
      <c r="I132" s="90"/>
      <c r="J132" s="103">
        <f t="shared" si="19"/>
        <v>-1.751307694288029E-2</v>
      </c>
      <c r="K132" s="126">
        <f t="shared" si="19"/>
        <v>-1.1381568041064827E-2</v>
      </c>
      <c r="L132" s="56">
        <v>335906</v>
      </c>
      <c r="M132" s="103">
        <v>1.9891518108198003E-2</v>
      </c>
      <c r="N132" s="97">
        <f>INDEX('Pace of change parameters'!$E$22:$I$22,1,$B$5)</f>
        <v>1.356605044543624E-2</v>
      </c>
      <c r="O132" s="108">
        <f>MAX(IF(INDEX('Pace of change parameters'!$E$30:$I$30,1,$B$5)=1,(1+M132)*D132,D132),L132)</f>
        <v>335906</v>
      </c>
      <c r="P132" s="94">
        <f>IF(K132&lt;INDEX('Pace of change parameters'!$E$18:$I$18,1,$B$5),1,IF(K132&gt;INDEX('Pace of change parameters'!$E$19:$I$19,1,$B$5),0,(K132-INDEX('Pace of change parameters'!$E$19:$I$19,1,$B$5))/(INDEX('Pace of change parameters'!$E$18:$I$18,1,$B$5)-INDEX('Pace of change parameters'!$E$19:$I$19,1,$B$5))))</f>
        <v>0.41390228555101743</v>
      </c>
      <c r="Q132" s="57">
        <v>2.5175258448130622E-2</v>
      </c>
      <c r="R132" s="57">
        <v>1.881702050728995E-2</v>
      </c>
      <c r="S132" s="9">
        <f>MAX(IF(INDEX('Pace of change parameters'!$E$31:$I$31,1,$B$5)=1,D132*(1+Q132),D132),L132)</f>
        <v>336454.31842060888</v>
      </c>
      <c r="T132" s="103">
        <f>IF(Q132&lt;INDEX('Pace of change parameters'!$E$24:$I$24,1,$B$5),INDEX('Pace of change parameters'!$E$24:$I$24,1,$B$5),Q132)</f>
        <v>2.5175258448130622E-2</v>
      </c>
      <c r="U132" s="132">
        <v>1.881702050728995E-2</v>
      </c>
      <c r="V132" s="117">
        <f t="shared" si="20"/>
        <v>336454.31842060888</v>
      </c>
      <c r="W132" s="131">
        <f>IF(J132&gt;INDEX('Pace of change parameters'!$E$26:$I$26,1,$B$5),0,IF(J132&lt;INDEX('Pace of change parameters'!$E$25:$I$25,1,$B$5),1,(J132-INDEX('Pace of change parameters'!$E$26:$I$26,1,$B$5))/(INDEX('Pace of change parameters'!$E$25:$I$25,1,$B$5)-INDEX('Pace of change parameters'!$E$26:$I$26,1,$B$5))))</f>
        <v>1</v>
      </c>
      <c r="X132" s="132">
        <f>MIN(T132, T132+(INDEX('Pace of change parameters'!$E$27:$I$27,1,$B$5)-T132)*(1-W132))</f>
        <v>2.5175258448130622E-2</v>
      </c>
      <c r="Y132" s="132">
        <v>1.881702050728995E-2</v>
      </c>
      <c r="Z132" s="108">
        <f t="shared" si="21"/>
        <v>336454.31842060888</v>
      </c>
      <c r="AA132" s="97">
        <f>MIN(VLOOKUP(A132,'2018-19 disagg'!$A$12:$BB$220,54,FALSE),-2.5%)</f>
        <v>-2.5000000000000001E-2</v>
      </c>
      <c r="AB132" s="99">
        <f t="shared" si="13"/>
        <v>334421.18599343952</v>
      </c>
      <c r="AC132" s="99">
        <f>MAX(IF(INDEX('Pace of change parameters'!$E$29:$I$29,1,$B$5)=1,MAX(AB132,Z132),Z132),L132)</f>
        <v>336454.31842060888</v>
      </c>
      <c r="AD132" s="97">
        <f t="shared" si="14"/>
        <v>2.5175258448130622E-2</v>
      </c>
      <c r="AE132" s="146">
        <v>1.881702050728995E-2</v>
      </c>
      <c r="AF132" s="56">
        <f t="shared" si="22"/>
        <v>336454.31842060888</v>
      </c>
      <c r="AG132" s="56">
        <v>1516.6629507725359</v>
      </c>
      <c r="AH132" s="16">
        <f t="shared" si="15"/>
        <v>2.5175258448130622E-2</v>
      </c>
      <c r="AI132" s="16">
        <f t="shared" si="16"/>
        <v>1.881702050728995E-2</v>
      </c>
      <c r="AJ132" s="56"/>
      <c r="AK132" s="56">
        <v>342996.08819839952</v>
      </c>
      <c r="AL132" s="56">
        <v>1546.1518273042238</v>
      </c>
      <c r="AM132" s="16">
        <f t="shared" si="23"/>
        <v>-1.9072432610387935E-2</v>
      </c>
      <c r="AN132" s="58">
        <f t="shared" si="23"/>
        <v>-1.9072432610387935E-2</v>
      </c>
      <c r="AP132" s="56">
        <f t="shared" si="17"/>
        <v>0</v>
      </c>
      <c r="AQ132" s="56">
        <f t="shared" si="18"/>
        <v>0</v>
      </c>
    </row>
    <row r="133" spans="1:43" x14ac:dyDescent="0.2">
      <c r="A133" s="156" t="s">
        <v>311</v>
      </c>
      <c r="B133" s="156" t="s">
        <v>312</v>
      </c>
      <c r="D133" s="68">
        <f>VLOOKUP(A133,'2018-19 disagg'!A133:AZ341,43,FALSE)</f>
        <v>366237</v>
      </c>
      <c r="E133" s="73">
        <v>1523.7601450715824</v>
      </c>
      <c r="F133" s="55"/>
      <c r="G133" s="88">
        <v>374122.83899680886</v>
      </c>
      <c r="H133" s="81">
        <v>1542.22284953128</v>
      </c>
      <c r="I133" s="90"/>
      <c r="J133" s="103">
        <f t="shared" si="19"/>
        <v>-2.1078207943557636E-2</v>
      </c>
      <c r="K133" s="126">
        <f t="shared" si="19"/>
        <v>-1.1971489376719324E-2</v>
      </c>
      <c r="L133" s="56">
        <v>375488</v>
      </c>
      <c r="M133" s="103">
        <v>2.2995057793324891E-2</v>
      </c>
      <c r="N133" s="97">
        <f>INDEX('Pace of change parameters'!$E$22:$I$22,1,$B$5)</f>
        <v>1.356605044543624E-2</v>
      </c>
      <c r="O133" s="108">
        <f>MAX(IF(INDEX('Pace of change parameters'!$E$30:$I$30,1,$B$5)=1,(1+M133)*D133,D133),L133)</f>
        <v>375488</v>
      </c>
      <c r="P133" s="94">
        <f>IF(K133&lt;INDEX('Pace of change parameters'!$E$18:$I$18,1,$B$5),1,IF(K133&gt;INDEX('Pace of change parameters'!$E$19:$I$19,1,$B$5),0,(K133-INDEX('Pace of change parameters'!$E$19:$I$19,1,$B$5))/(INDEX('Pace of change parameters'!$E$18:$I$18,1,$B$5)-INDEX('Pace of change parameters'!$E$19:$I$19,1,$B$5))))</f>
        <v>0.43247267575865583</v>
      </c>
      <c r="Q133" s="57">
        <v>2.8532661481213584E-2</v>
      </c>
      <c r="R133" s="57">
        <v>1.9052613705059951E-2</v>
      </c>
      <c r="S133" s="9">
        <f>MAX(IF(INDEX('Pace of change parameters'!$E$31:$I$31,1,$B$5)=1,D133*(1+Q133),D133),L133)</f>
        <v>376686.71634289523</v>
      </c>
      <c r="T133" s="103">
        <f>IF(Q133&lt;INDEX('Pace of change parameters'!$E$24:$I$24,1,$B$5),INDEX('Pace of change parameters'!$E$24:$I$24,1,$B$5),Q133)</f>
        <v>2.8532661481213584E-2</v>
      </c>
      <c r="U133" s="132">
        <v>1.9052613705059951E-2</v>
      </c>
      <c r="V133" s="117">
        <f t="shared" si="20"/>
        <v>376686.71634289523</v>
      </c>
      <c r="W133" s="131">
        <f>IF(J133&gt;INDEX('Pace of change parameters'!$E$26:$I$26,1,$B$5),0,IF(J133&lt;INDEX('Pace of change parameters'!$E$25:$I$25,1,$B$5),1,(J133-INDEX('Pace of change parameters'!$E$26:$I$26,1,$B$5))/(INDEX('Pace of change parameters'!$E$25:$I$25,1,$B$5)-INDEX('Pace of change parameters'!$E$26:$I$26,1,$B$5))))</f>
        <v>1</v>
      </c>
      <c r="X133" s="132">
        <f>MIN(T133, T133+(INDEX('Pace of change parameters'!$E$27:$I$27,1,$B$5)-T133)*(1-W133))</f>
        <v>2.8532661481213584E-2</v>
      </c>
      <c r="Y133" s="132">
        <v>1.9052613705059951E-2</v>
      </c>
      <c r="Z133" s="108">
        <f t="shared" si="21"/>
        <v>376686.71634289523</v>
      </c>
      <c r="AA133" s="97">
        <f>MIN(VLOOKUP(A133,'2018-19 disagg'!$A$12:$BB$220,54,FALSE),-2.5%)</f>
        <v>-2.5000000000000001E-2</v>
      </c>
      <c r="AB133" s="99">
        <f t="shared" si="13"/>
        <v>374541.51952821232</v>
      </c>
      <c r="AC133" s="99">
        <f>MAX(IF(INDEX('Pace of change parameters'!$E$29:$I$29,1,$B$5)=1,MAX(AB133,Z133),Z133),L133)</f>
        <v>376686.71634289523</v>
      </c>
      <c r="AD133" s="97">
        <f t="shared" si="14"/>
        <v>2.8532661481213584E-2</v>
      </c>
      <c r="AE133" s="146">
        <v>1.9052613705059951E-2</v>
      </c>
      <c r="AF133" s="56">
        <f t="shared" si="22"/>
        <v>376686.71634289523</v>
      </c>
      <c r="AG133" s="56">
        <v>1552.7917584947973</v>
      </c>
      <c r="AH133" s="16">
        <f t="shared" si="15"/>
        <v>2.8532661481213584E-2</v>
      </c>
      <c r="AI133" s="16">
        <f t="shared" si="16"/>
        <v>1.9052613705059951E-2</v>
      </c>
      <c r="AJ133" s="56"/>
      <c r="AK133" s="56">
        <v>384145.14823406393</v>
      </c>
      <c r="AL133" s="56">
        <v>1583.5371792102947</v>
      </c>
      <c r="AM133" s="16">
        <f t="shared" si="23"/>
        <v>-1.9415660787219458E-2</v>
      </c>
      <c r="AN133" s="58">
        <f t="shared" si="23"/>
        <v>-1.9415660787219458E-2</v>
      </c>
      <c r="AP133" s="56">
        <f t="shared" si="17"/>
        <v>0</v>
      </c>
      <c r="AQ133" s="56">
        <f t="shared" si="18"/>
        <v>0</v>
      </c>
    </row>
    <row r="134" spans="1:43" x14ac:dyDescent="0.2">
      <c r="A134" s="156" t="s">
        <v>313</v>
      </c>
      <c r="B134" s="156" t="s">
        <v>314</v>
      </c>
      <c r="D134" s="68">
        <f>VLOOKUP(A134,'2018-19 disagg'!A134:AZ342,43,FALSE)</f>
        <v>318018</v>
      </c>
      <c r="E134" s="73">
        <v>1678.3680255836268</v>
      </c>
      <c r="F134" s="55"/>
      <c r="G134" s="88">
        <v>324792.41742020083</v>
      </c>
      <c r="H134" s="81">
        <v>1701.188278272994</v>
      </c>
      <c r="I134" s="90"/>
      <c r="J134" s="103">
        <f t="shared" si="19"/>
        <v>-2.0857683421335538E-2</v>
      </c>
      <c r="K134" s="126">
        <f t="shared" si="19"/>
        <v>-1.3414301627174274E-2</v>
      </c>
      <c r="L134" s="56">
        <v>326110</v>
      </c>
      <c r="M134" s="103">
        <v>2.1271119421953699E-2</v>
      </c>
      <c r="N134" s="97">
        <f>INDEX('Pace of change parameters'!$E$22:$I$22,1,$B$5)</f>
        <v>1.356605044543624E-2</v>
      </c>
      <c r="O134" s="108">
        <f>MAX(IF(INDEX('Pace of change parameters'!$E$30:$I$30,1,$B$5)=1,(1+M134)*D134,D134),L134)</f>
        <v>326110</v>
      </c>
      <c r="P134" s="94">
        <f>IF(K134&lt;INDEX('Pace of change parameters'!$E$18:$I$18,1,$B$5),1,IF(K134&gt;INDEX('Pace of change parameters'!$E$19:$I$19,1,$B$5),0,(K134-INDEX('Pace of change parameters'!$E$19:$I$19,1,$B$5))/(INDEX('Pace of change parameters'!$E$18:$I$18,1,$B$5)-INDEX('Pace of change parameters'!$E$19:$I$19,1,$B$5))))</f>
        <v>0.47789158988825381</v>
      </c>
      <c r="Q134" s="57">
        <v>2.7379978413933248E-2</v>
      </c>
      <c r="R134" s="57">
        <v>1.962882061829041E-2</v>
      </c>
      <c r="S134" s="9">
        <f>MAX(IF(INDEX('Pace of change parameters'!$E$31:$I$31,1,$B$5)=1,D134*(1+Q134),D134),L134)</f>
        <v>326725.32597524225</v>
      </c>
      <c r="T134" s="103">
        <f>IF(Q134&lt;INDEX('Pace of change parameters'!$E$24:$I$24,1,$B$5),INDEX('Pace of change parameters'!$E$24:$I$24,1,$B$5),Q134)</f>
        <v>2.7379978413933248E-2</v>
      </c>
      <c r="U134" s="132">
        <v>1.962882061829041E-2</v>
      </c>
      <c r="V134" s="117">
        <f t="shared" si="20"/>
        <v>326725.32597524225</v>
      </c>
      <c r="W134" s="131">
        <f>IF(J134&gt;INDEX('Pace of change parameters'!$E$26:$I$26,1,$B$5),0,IF(J134&lt;INDEX('Pace of change parameters'!$E$25:$I$25,1,$B$5),1,(J134-INDEX('Pace of change parameters'!$E$26:$I$26,1,$B$5))/(INDEX('Pace of change parameters'!$E$25:$I$25,1,$B$5)-INDEX('Pace of change parameters'!$E$26:$I$26,1,$B$5))))</f>
        <v>1</v>
      </c>
      <c r="X134" s="132">
        <f>MIN(T134, T134+(INDEX('Pace of change parameters'!$E$27:$I$27,1,$B$5)-T134)*(1-W134))</f>
        <v>2.7379978413933248E-2</v>
      </c>
      <c r="Y134" s="132">
        <v>1.962882061829041E-2</v>
      </c>
      <c r="Z134" s="108">
        <f t="shared" si="21"/>
        <v>326725.32597524225</v>
      </c>
      <c r="AA134" s="97">
        <f>MIN(VLOOKUP(A134,'2018-19 disagg'!$A$12:$BB$220,54,FALSE),-2.5%)</f>
        <v>-2.5000000000000001E-2</v>
      </c>
      <c r="AB134" s="99">
        <f t="shared" si="13"/>
        <v>325012.17714330071</v>
      </c>
      <c r="AC134" s="99">
        <f>MAX(IF(INDEX('Pace of change parameters'!$E$29:$I$29,1,$B$5)=1,MAX(AB134,Z134),Z134),L134)</f>
        <v>326725.32597524225</v>
      </c>
      <c r="AD134" s="97">
        <f t="shared" si="14"/>
        <v>2.7379978413933248E-2</v>
      </c>
      <c r="AE134" s="146">
        <v>1.962882061829041E-2</v>
      </c>
      <c r="AF134" s="56">
        <f t="shared" si="22"/>
        <v>326725.32597524225</v>
      </c>
      <c r="AG134" s="56">
        <v>1711.3124104892825</v>
      </c>
      <c r="AH134" s="16">
        <f t="shared" si="15"/>
        <v>2.7379978413933248E-2</v>
      </c>
      <c r="AI134" s="16">
        <f t="shared" si="16"/>
        <v>1.9628820618290632E-2</v>
      </c>
      <c r="AJ134" s="56"/>
      <c r="AK134" s="56">
        <v>333345.82271107764</v>
      </c>
      <c r="AL134" s="56">
        <v>1745.9890557533761</v>
      </c>
      <c r="AM134" s="16">
        <f t="shared" si="23"/>
        <v>-1.9860746062426604E-2</v>
      </c>
      <c r="AN134" s="58">
        <f t="shared" si="23"/>
        <v>-1.9860746062426493E-2</v>
      </c>
      <c r="AP134" s="56">
        <f t="shared" si="17"/>
        <v>0</v>
      </c>
      <c r="AQ134" s="56">
        <f t="shared" si="18"/>
        <v>0</v>
      </c>
    </row>
    <row r="135" spans="1:43" x14ac:dyDescent="0.2">
      <c r="A135" s="156" t="s">
        <v>315</v>
      </c>
      <c r="B135" s="156" t="s">
        <v>316</v>
      </c>
      <c r="D135" s="68">
        <f>VLOOKUP(A135,'2018-19 disagg'!A135:AZ343,43,FALSE)</f>
        <v>272308</v>
      </c>
      <c r="E135" s="73">
        <v>1547.7732322267841</v>
      </c>
      <c r="F135" s="55"/>
      <c r="G135" s="88">
        <v>279008.33786493685</v>
      </c>
      <c r="H135" s="81">
        <v>1569.5734147510127</v>
      </c>
      <c r="I135" s="90"/>
      <c r="J135" s="103">
        <f t="shared" si="19"/>
        <v>-2.4014830224107442E-2</v>
      </c>
      <c r="K135" s="126">
        <f t="shared" si="19"/>
        <v>-1.3889240426314675E-2</v>
      </c>
      <c r="L135" s="56">
        <v>280085</v>
      </c>
      <c r="M135" s="103">
        <v>2.4081532009706086E-2</v>
      </c>
      <c r="N135" s="97">
        <f>INDEX('Pace of change parameters'!$E$22:$I$22,1,$B$5)</f>
        <v>1.356605044543624E-2</v>
      </c>
      <c r="O135" s="108">
        <f>MAX(IF(INDEX('Pace of change parameters'!$E$30:$I$30,1,$B$5)=1,(1+M135)*D135,D135),L135)</f>
        <v>280085</v>
      </c>
      <c r="P135" s="94">
        <f>IF(K135&lt;INDEX('Pace of change parameters'!$E$18:$I$18,1,$B$5),1,IF(K135&gt;INDEX('Pace of change parameters'!$E$19:$I$19,1,$B$5),0,(K135-INDEX('Pace of change parameters'!$E$19:$I$19,1,$B$5))/(INDEX('Pace of change parameters'!$E$18:$I$18,1,$B$5)-INDEX('Pace of change parameters'!$E$19:$I$19,1,$B$5))))</f>
        <v>0.4928423948375259</v>
      </c>
      <c r="Q135" s="57">
        <v>3.0398842982449548E-2</v>
      </c>
      <c r="R135" s="57">
        <v>1.9818493958907002E-2</v>
      </c>
      <c r="S135" s="9">
        <f>MAX(IF(INDEX('Pace of change parameters'!$E$31:$I$31,1,$B$5)=1,D135*(1+Q135),D135),L135)</f>
        <v>280585.84813486488</v>
      </c>
      <c r="T135" s="103">
        <f>IF(Q135&lt;INDEX('Pace of change parameters'!$E$24:$I$24,1,$B$5),INDEX('Pace of change parameters'!$E$24:$I$24,1,$B$5),Q135)</f>
        <v>3.0398842982449548E-2</v>
      </c>
      <c r="U135" s="132">
        <v>1.9818493958907002E-2</v>
      </c>
      <c r="V135" s="117">
        <f t="shared" si="20"/>
        <v>280585.84813486488</v>
      </c>
      <c r="W135" s="131">
        <f>IF(J135&gt;INDEX('Pace of change parameters'!$E$26:$I$26,1,$B$5),0,IF(J135&lt;INDEX('Pace of change parameters'!$E$25:$I$25,1,$B$5),1,(J135-INDEX('Pace of change parameters'!$E$26:$I$26,1,$B$5))/(INDEX('Pace of change parameters'!$E$25:$I$25,1,$B$5)-INDEX('Pace of change parameters'!$E$26:$I$26,1,$B$5))))</f>
        <v>1</v>
      </c>
      <c r="X135" s="132">
        <f>MIN(T135, T135+(INDEX('Pace of change parameters'!$E$27:$I$27,1,$B$5)-T135)*(1-W135))</f>
        <v>3.0398842982449548E-2</v>
      </c>
      <c r="Y135" s="132">
        <v>1.9818493958907002E-2</v>
      </c>
      <c r="Z135" s="108">
        <f t="shared" si="21"/>
        <v>280585.84813486488</v>
      </c>
      <c r="AA135" s="97">
        <f>MIN(VLOOKUP(A135,'2018-19 disagg'!$A$12:$BB$220,54,FALSE),-2.5%)</f>
        <v>-2.5000000000000001E-2</v>
      </c>
      <c r="AB135" s="99">
        <f t="shared" si="13"/>
        <v>279260.21175174718</v>
      </c>
      <c r="AC135" s="99">
        <f>MAX(IF(INDEX('Pace of change parameters'!$E$29:$I$29,1,$B$5)=1,MAX(AB135,Z135),Z135),L135)</f>
        <v>280585.84813486488</v>
      </c>
      <c r="AD135" s="97">
        <f t="shared" si="14"/>
        <v>3.0398842982449548E-2</v>
      </c>
      <c r="AE135" s="146">
        <v>1.9818493958907002E-2</v>
      </c>
      <c r="AF135" s="56">
        <f t="shared" si="22"/>
        <v>280585.84813486488</v>
      </c>
      <c r="AG135" s="56">
        <v>1578.4477666794282</v>
      </c>
      <c r="AH135" s="16">
        <f t="shared" si="15"/>
        <v>3.0398842982449548E-2</v>
      </c>
      <c r="AI135" s="16">
        <f t="shared" si="16"/>
        <v>1.981849395890678E-2</v>
      </c>
      <c r="AJ135" s="56"/>
      <c r="AK135" s="56">
        <v>286420.73000179196</v>
      </c>
      <c r="AL135" s="56">
        <v>1611.2721457880371</v>
      </c>
      <c r="AM135" s="16">
        <f t="shared" si="23"/>
        <v>-2.0371716345009561E-2</v>
      </c>
      <c r="AN135" s="58">
        <f t="shared" si="23"/>
        <v>-2.0371716345009561E-2</v>
      </c>
      <c r="AP135" s="56">
        <f t="shared" si="17"/>
        <v>0</v>
      </c>
      <c r="AQ135" s="56">
        <f t="shared" si="18"/>
        <v>0</v>
      </c>
    </row>
    <row r="136" spans="1:43" x14ac:dyDescent="0.2">
      <c r="A136" s="156" t="s">
        <v>317</v>
      </c>
      <c r="B136" s="156" t="s">
        <v>318</v>
      </c>
      <c r="D136" s="68">
        <f>VLOOKUP(A136,'2018-19 disagg'!A136:AZ344,43,FALSE)</f>
        <v>506671</v>
      </c>
      <c r="E136" s="73">
        <v>1620.2732554367092</v>
      </c>
      <c r="F136" s="55"/>
      <c r="G136" s="88">
        <v>523196.55218777782</v>
      </c>
      <c r="H136" s="81">
        <v>1655.5718137523793</v>
      </c>
      <c r="I136" s="90"/>
      <c r="J136" s="103">
        <f t="shared" si="19"/>
        <v>-3.1585743672574385E-2</v>
      </c>
      <c r="K136" s="126">
        <f t="shared" si="19"/>
        <v>-2.1321067453827558E-2</v>
      </c>
      <c r="L136" s="56">
        <v>521108</v>
      </c>
      <c r="M136" s="103">
        <v>2.430931167497663E-2</v>
      </c>
      <c r="N136" s="97">
        <f>INDEX('Pace of change parameters'!$E$22:$I$22,1,$B$5)</f>
        <v>1.356605044543624E-2</v>
      </c>
      <c r="O136" s="108">
        <f>MAX(IF(INDEX('Pace of change parameters'!$E$30:$I$30,1,$B$5)=1,(1+M136)*D136,D136),L136)</f>
        <v>521108</v>
      </c>
      <c r="P136" s="94">
        <f>IF(K136&lt;INDEX('Pace of change parameters'!$E$18:$I$18,1,$B$5),1,IF(K136&gt;INDEX('Pace of change parameters'!$E$19:$I$19,1,$B$5),0,(K136-INDEX('Pace of change parameters'!$E$19:$I$19,1,$B$5))/(INDEX('Pace of change parameters'!$E$18:$I$18,1,$B$5)-INDEX('Pace of change parameters'!$E$19:$I$19,1,$B$5))))</f>
        <v>0.72679210900317537</v>
      </c>
      <c r="Q136" s="57">
        <v>3.3627489335003036E-2</v>
      </c>
      <c r="R136" s="57">
        <v>2.2786496282034108E-2</v>
      </c>
      <c r="S136" s="9">
        <f>MAX(IF(INDEX('Pace of change parameters'!$E$31:$I$31,1,$B$5)=1,D136*(1+Q136),D136),L136)</f>
        <v>523709.07364885532</v>
      </c>
      <c r="T136" s="103">
        <f>IF(Q136&lt;INDEX('Pace of change parameters'!$E$24:$I$24,1,$B$5),INDEX('Pace of change parameters'!$E$24:$I$24,1,$B$5),Q136)</f>
        <v>3.3627489335003036E-2</v>
      </c>
      <c r="U136" s="132">
        <v>2.2786496282034108E-2</v>
      </c>
      <c r="V136" s="117">
        <f t="shared" si="20"/>
        <v>523709.07364885532</v>
      </c>
      <c r="W136" s="131">
        <f>IF(J136&gt;INDEX('Pace of change parameters'!$E$26:$I$26,1,$B$5),0,IF(J136&lt;INDEX('Pace of change parameters'!$E$25:$I$25,1,$B$5),1,(J136-INDEX('Pace of change parameters'!$E$26:$I$26,1,$B$5))/(INDEX('Pace of change parameters'!$E$25:$I$25,1,$B$5)-INDEX('Pace of change parameters'!$E$26:$I$26,1,$B$5))))</f>
        <v>1</v>
      </c>
      <c r="X136" s="132">
        <f>MIN(T136, T136+(INDEX('Pace of change parameters'!$E$27:$I$27,1,$B$5)-T136)*(1-W136))</f>
        <v>3.3627489335003036E-2</v>
      </c>
      <c r="Y136" s="132">
        <v>2.2786496282034108E-2</v>
      </c>
      <c r="Z136" s="108">
        <f t="shared" si="21"/>
        <v>523709.07364885532</v>
      </c>
      <c r="AA136" s="97">
        <f>MIN(VLOOKUP(A136,'2018-19 disagg'!$A$12:$BB$220,54,FALSE),-2.5%)</f>
        <v>-2.7985075579179841E-2</v>
      </c>
      <c r="AB136" s="99">
        <f t="shared" si="13"/>
        <v>522122.89792148833</v>
      </c>
      <c r="AC136" s="99">
        <f>MAX(IF(INDEX('Pace of change parameters'!$E$29:$I$29,1,$B$5)=1,MAX(AB136,Z136),Z136),L136)</f>
        <v>523709.07364885532</v>
      </c>
      <c r="AD136" s="97">
        <f t="shared" si="14"/>
        <v>3.3627489335003036E-2</v>
      </c>
      <c r="AE136" s="146">
        <v>2.2786496282034108E-2</v>
      </c>
      <c r="AF136" s="56">
        <f t="shared" si="22"/>
        <v>523709.07364885532</v>
      </c>
      <c r="AG136" s="56">
        <v>1657.1936059475972</v>
      </c>
      <c r="AH136" s="16">
        <f t="shared" si="15"/>
        <v>3.3627489335003036E-2</v>
      </c>
      <c r="AI136" s="16">
        <f t="shared" si="16"/>
        <v>2.278649628203433E-2</v>
      </c>
      <c r="AJ136" s="56"/>
      <c r="AK136" s="56">
        <v>537155.22756257863</v>
      </c>
      <c r="AL136" s="56">
        <v>1699.7418095430733</v>
      </c>
      <c r="AM136" s="16">
        <f t="shared" si="23"/>
        <v>-2.5032156858525223E-2</v>
      </c>
      <c r="AN136" s="58">
        <f t="shared" si="23"/>
        <v>-2.5032156858525445E-2</v>
      </c>
      <c r="AP136" s="56">
        <f t="shared" si="17"/>
        <v>0</v>
      </c>
      <c r="AQ136" s="56">
        <f t="shared" si="18"/>
        <v>0</v>
      </c>
    </row>
    <row r="137" spans="1:43" x14ac:dyDescent="0.2">
      <c r="A137" s="156" t="s">
        <v>319</v>
      </c>
      <c r="B137" s="156" t="s">
        <v>320</v>
      </c>
      <c r="D137" s="68">
        <f>VLOOKUP(A137,'2018-19 disagg'!A137:AZ345,43,FALSE)</f>
        <v>311439</v>
      </c>
      <c r="E137" s="73">
        <v>1778.419286033854</v>
      </c>
      <c r="F137" s="55"/>
      <c r="G137" s="88">
        <v>318194.64966398117</v>
      </c>
      <c r="H137" s="81">
        <v>1805.3317284820512</v>
      </c>
      <c r="I137" s="90"/>
      <c r="J137" s="103">
        <f t="shared" si="19"/>
        <v>-2.1231185600120051E-2</v>
      </c>
      <c r="K137" s="126">
        <f t="shared" si="19"/>
        <v>-1.4907200723063618E-2</v>
      </c>
      <c r="L137" s="56">
        <v>318465</v>
      </c>
      <c r="M137" s="103">
        <v>2.011486593752454E-2</v>
      </c>
      <c r="N137" s="97">
        <f>INDEX('Pace of change parameters'!$E$22:$I$22,1,$B$5)</f>
        <v>1.356605044543624E-2</v>
      </c>
      <c r="O137" s="108">
        <f>MAX(IF(INDEX('Pace of change parameters'!$E$30:$I$30,1,$B$5)=1,(1+M137)*D137,D137),L137)</f>
        <v>318465</v>
      </c>
      <c r="P137" s="94">
        <f>IF(K137&lt;INDEX('Pace of change parameters'!$E$18:$I$18,1,$B$5),1,IF(K137&gt;INDEX('Pace of change parameters'!$E$19:$I$19,1,$B$5),0,(K137-INDEX('Pace of change parameters'!$E$19:$I$19,1,$B$5))/(INDEX('Pace of change parameters'!$E$18:$I$18,1,$B$5)-INDEX('Pace of change parameters'!$E$19:$I$19,1,$B$5))))</f>
        <v>0.52488720960174873</v>
      </c>
      <c r="Q137" s="57">
        <v>2.681687064921201E-2</v>
      </c>
      <c r="R137" s="57">
        <v>2.0225030402020616E-2</v>
      </c>
      <c r="S137" s="9">
        <f>MAX(IF(INDEX('Pace of change parameters'!$E$31:$I$31,1,$B$5)=1,D137*(1+Q137),D137),L137)</f>
        <v>319790.81937811995</v>
      </c>
      <c r="T137" s="103">
        <f>IF(Q137&lt;INDEX('Pace of change parameters'!$E$24:$I$24,1,$B$5),INDEX('Pace of change parameters'!$E$24:$I$24,1,$B$5),Q137)</f>
        <v>2.681687064921201E-2</v>
      </c>
      <c r="U137" s="132">
        <v>2.0225030402020616E-2</v>
      </c>
      <c r="V137" s="117">
        <f t="shared" si="20"/>
        <v>319790.81937811995</v>
      </c>
      <c r="W137" s="131">
        <f>IF(J137&gt;INDEX('Pace of change parameters'!$E$26:$I$26,1,$B$5),0,IF(J137&lt;INDEX('Pace of change parameters'!$E$25:$I$25,1,$B$5),1,(J137-INDEX('Pace of change parameters'!$E$26:$I$26,1,$B$5))/(INDEX('Pace of change parameters'!$E$25:$I$25,1,$B$5)-INDEX('Pace of change parameters'!$E$26:$I$26,1,$B$5))))</f>
        <v>1</v>
      </c>
      <c r="X137" s="132">
        <f>MIN(T137, T137+(INDEX('Pace of change parameters'!$E$27:$I$27,1,$B$5)-T137)*(1-W137))</f>
        <v>2.681687064921201E-2</v>
      </c>
      <c r="Y137" s="132">
        <v>2.0225030402020616E-2</v>
      </c>
      <c r="Z137" s="108">
        <f t="shared" si="21"/>
        <v>319790.81937811995</v>
      </c>
      <c r="AA137" s="97">
        <f>MIN(VLOOKUP(A137,'2018-19 disagg'!$A$12:$BB$220,54,FALSE),-2.5%)</f>
        <v>-2.5000000000000001E-2</v>
      </c>
      <c r="AB137" s="99">
        <f t="shared" si="13"/>
        <v>318410.4774943373</v>
      </c>
      <c r="AC137" s="99">
        <f>MAX(IF(INDEX('Pace of change parameters'!$E$29:$I$29,1,$B$5)=1,MAX(AB137,Z137),Z137),L137)</f>
        <v>319790.81937811995</v>
      </c>
      <c r="AD137" s="97">
        <f t="shared" si="14"/>
        <v>2.681687064921201E-2</v>
      </c>
      <c r="AE137" s="146">
        <v>2.0225030402020616E-2</v>
      </c>
      <c r="AF137" s="56">
        <f t="shared" si="22"/>
        <v>319790.81937811995</v>
      </c>
      <c r="AG137" s="56">
        <v>1814.3878701614285</v>
      </c>
      <c r="AH137" s="16">
        <f t="shared" si="15"/>
        <v>2.681687064921201E-2</v>
      </c>
      <c r="AI137" s="16">
        <f t="shared" si="16"/>
        <v>2.0225030402020616E-2</v>
      </c>
      <c r="AJ137" s="56"/>
      <c r="AK137" s="56">
        <v>326574.84871214081</v>
      </c>
      <c r="AL137" s="56">
        <v>1852.8782200670423</v>
      </c>
      <c r="AM137" s="16">
        <f t="shared" si="23"/>
        <v>-2.0773275592942619E-2</v>
      </c>
      <c r="AN137" s="58">
        <f t="shared" si="23"/>
        <v>-2.077327559294273E-2</v>
      </c>
      <c r="AP137" s="56">
        <f t="shared" si="17"/>
        <v>0</v>
      </c>
      <c r="AQ137" s="56">
        <f t="shared" si="18"/>
        <v>0</v>
      </c>
    </row>
    <row r="138" spans="1:43" x14ac:dyDescent="0.2">
      <c r="A138" s="156" t="s">
        <v>321</v>
      </c>
      <c r="B138" s="156" t="s">
        <v>322</v>
      </c>
      <c r="D138" s="68">
        <f>VLOOKUP(A138,'2018-19 disagg'!A138:AZ346,43,FALSE)</f>
        <v>410285</v>
      </c>
      <c r="E138" s="73">
        <v>1635.9463567582561</v>
      </c>
      <c r="F138" s="55"/>
      <c r="G138" s="88">
        <v>420842.34263209999</v>
      </c>
      <c r="H138" s="81">
        <v>1666.2191806341157</v>
      </c>
      <c r="I138" s="90"/>
      <c r="J138" s="103">
        <f t="shared" si="19"/>
        <v>-2.5086217717710024E-2</v>
      </c>
      <c r="K138" s="126">
        <f t="shared" si="19"/>
        <v>-1.8168572434953401E-2</v>
      </c>
      <c r="L138" s="56">
        <v>420663</v>
      </c>
      <c r="M138" s="103">
        <v>2.0757958627524165E-2</v>
      </c>
      <c r="N138" s="97">
        <f>INDEX('Pace of change parameters'!$E$22:$I$22,1,$B$5)</f>
        <v>1.356605044543624E-2</v>
      </c>
      <c r="O138" s="108">
        <f>MAX(IF(INDEX('Pace of change parameters'!$E$30:$I$30,1,$B$5)=1,(1+M138)*D138,D138),L138)</f>
        <v>420663</v>
      </c>
      <c r="P138" s="94">
        <f>IF(K138&lt;INDEX('Pace of change parameters'!$E$18:$I$18,1,$B$5),1,IF(K138&gt;INDEX('Pace of change parameters'!$E$19:$I$19,1,$B$5),0,(K138-INDEX('Pace of change parameters'!$E$19:$I$19,1,$B$5))/(INDEX('Pace of change parameters'!$E$18:$I$18,1,$B$5)-INDEX('Pace of change parameters'!$E$19:$I$19,1,$B$5))))</f>
        <v>0.62755334768056947</v>
      </c>
      <c r="Q138" s="57">
        <v>2.8775903900783772E-2</v>
      </c>
      <c r="R138" s="57">
        <v>2.1527504044321022E-2</v>
      </c>
      <c r="S138" s="9">
        <f>MAX(IF(INDEX('Pace of change parameters'!$E$31:$I$31,1,$B$5)=1,D138*(1+Q138),D138),L138)</f>
        <v>422091.32173193304</v>
      </c>
      <c r="T138" s="103">
        <f>IF(Q138&lt;INDEX('Pace of change parameters'!$E$24:$I$24,1,$B$5),INDEX('Pace of change parameters'!$E$24:$I$24,1,$B$5),Q138)</f>
        <v>2.8775903900783772E-2</v>
      </c>
      <c r="U138" s="132">
        <v>2.1527504044321022E-2</v>
      </c>
      <c r="V138" s="117">
        <f t="shared" si="20"/>
        <v>422091.32173193304</v>
      </c>
      <c r="W138" s="131">
        <f>IF(J138&gt;INDEX('Pace of change parameters'!$E$26:$I$26,1,$B$5),0,IF(J138&lt;INDEX('Pace of change parameters'!$E$25:$I$25,1,$B$5),1,(J138-INDEX('Pace of change parameters'!$E$26:$I$26,1,$B$5))/(INDEX('Pace of change parameters'!$E$25:$I$25,1,$B$5)-INDEX('Pace of change parameters'!$E$26:$I$26,1,$B$5))))</f>
        <v>1</v>
      </c>
      <c r="X138" s="132">
        <f>MIN(T138, T138+(INDEX('Pace of change parameters'!$E$27:$I$27,1,$B$5)-T138)*(1-W138))</f>
        <v>2.8775903900783772E-2</v>
      </c>
      <c r="Y138" s="132">
        <v>2.1527504044321022E-2</v>
      </c>
      <c r="Z138" s="108">
        <f t="shared" si="21"/>
        <v>422091.32173193304</v>
      </c>
      <c r="AA138" s="97">
        <f>MIN(VLOOKUP(A138,'2018-19 disagg'!$A$12:$BB$220,54,FALSE),-2.5%)</f>
        <v>-2.5000000000000001E-2</v>
      </c>
      <c r="AB138" s="99">
        <f t="shared" si="13"/>
        <v>421447.52984657773</v>
      </c>
      <c r="AC138" s="99">
        <f>MAX(IF(INDEX('Pace of change parameters'!$E$29:$I$29,1,$B$5)=1,MAX(AB138,Z138),Z138),L138)</f>
        <v>422091.32173193304</v>
      </c>
      <c r="AD138" s="97">
        <f t="shared" si="14"/>
        <v>2.8775903900783772E-2</v>
      </c>
      <c r="AE138" s="146">
        <v>2.1527504044321022E-2</v>
      </c>
      <c r="AF138" s="56">
        <f t="shared" si="22"/>
        <v>422091.32173193304</v>
      </c>
      <c r="AG138" s="56">
        <v>1671.1641985696617</v>
      </c>
      <c r="AH138" s="16">
        <f t="shared" si="15"/>
        <v>2.8775903900783772E-2</v>
      </c>
      <c r="AI138" s="16">
        <f t="shared" si="16"/>
        <v>2.1527504044321022E-2</v>
      </c>
      <c r="AJ138" s="56"/>
      <c r="AK138" s="56">
        <v>432253.87676572078</v>
      </c>
      <c r="AL138" s="56">
        <v>1711.4002737127701</v>
      </c>
      <c r="AM138" s="16">
        <f t="shared" si="23"/>
        <v>-2.3510616283716534E-2</v>
      </c>
      <c r="AN138" s="58">
        <f t="shared" si="23"/>
        <v>-2.3510616283716534E-2</v>
      </c>
      <c r="AP138" s="56">
        <f t="shared" si="17"/>
        <v>0</v>
      </c>
      <c r="AQ138" s="56">
        <f t="shared" si="18"/>
        <v>0</v>
      </c>
    </row>
    <row r="139" spans="1:43" x14ac:dyDescent="0.2">
      <c r="A139" s="156" t="s">
        <v>323</v>
      </c>
      <c r="B139" s="156" t="s">
        <v>324</v>
      </c>
      <c r="D139" s="68">
        <f>VLOOKUP(A139,'2018-19 disagg'!A139:AZ347,43,FALSE)</f>
        <v>366969</v>
      </c>
      <c r="E139" s="73">
        <v>1619.7294960137667</v>
      </c>
      <c r="F139" s="55"/>
      <c r="G139" s="88">
        <v>375768.48831392871</v>
      </c>
      <c r="H139" s="81">
        <v>1629.331887515069</v>
      </c>
      <c r="I139" s="90"/>
      <c r="J139" s="103">
        <f t="shared" si="19"/>
        <v>-2.3417313020077768E-2</v>
      </c>
      <c r="K139" s="126">
        <f t="shared" si="19"/>
        <v>-5.8934533687590163E-3</v>
      </c>
      <c r="L139" s="56">
        <v>380358</v>
      </c>
      <c r="M139" s="103">
        <v>3.1753541839815824E-2</v>
      </c>
      <c r="N139" s="97">
        <f>INDEX('Pace of change parameters'!$E$22:$I$22,1,$B$5)</f>
        <v>1.356605044543624E-2</v>
      </c>
      <c r="O139" s="108">
        <f>MAX(IF(INDEX('Pace of change parameters'!$E$30:$I$30,1,$B$5)=1,(1+M139)*D139,D139),L139)</f>
        <v>380358</v>
      </c>
      <c r="P139" s="94">
        <f>IF(K139&lt;INDEX('Pace of change parameters'!$E$18:$I$18,1,$B$5),1,IF(K139&gt;INDEX('Pace of change parameters'!$E$19:$I$19,1,$B$5),0,(K139-INDEX('Pace of change parameters'!$E$19:$I$19,1,$B$5))/(INDEX('Pace of change parameters'!$E$18:$I$18,1,$B$5)-INDEX('Pace of change parameters'!$E$19:$I$19,1,$B$5))))</f>
        <v>0.24113953769089494</v>
      </c>
      <c r="Q139" s="57">
        <v>3.4867652596337173E-2</v>
      </c>
      <c r="R139" s="57">
        <v>1.662526644241602E-2</v>
      </c>
      <c r="S139" s="9">
        <f>MAX(IF(INDEX('Pace of change parameters'!$E$31:$I$31,1,$B$5)=1,D139*(1+Q139),D139),L139)</f>
        <v>380358</v>
      </c>
      <c r="T139" s="103">
        <f>IF(Q139&lt;INDEX('Pace of change parameters'!$E$24:$I$24,1,$B$5),INDEX('Pace of change parameters'!$E$24:$I$24,1,$B$5),Q139)</f>
        <v>3.4867652596337173E-2</v>
      </c>
      <c r="U139" s="132">
        <v>1.662526644241602E-2</v>
      </c>
      <c r="V139" s="117">
        <f t="shared" si="20"/>
        <v>380358</v>
      </c>
      <c r="W139" s="131">
        <f>IF(J139&gt;INDEX('Pace of change parameters'!$E$26:$I$26,1,$B$5),0,IF(J139&lt;INDEX('Pace of change parameters'!$E$25:$I$25,1,$B$5),1,(J139-INDEX('Pace of change parameters'!$E$26:$I$26,1,$B$5))/(INDEX('Pace of change parameters'!$E$25:$I$25,1,$B$5)-INDEX('Pace of change parameters'!$E$26:$I$26,1,$B$5))))</f>
        <v>1</v>
      </c>
      <c r="X139" s="132">
        <f>MIN(T139, T139+(INDEX('Pace of change parameters'!$E$27:$I$27,1,$B$5)-T139)*(1-W139))</f>
        <v>3.4867652596337173E-2</v>
      </c>
      <c r="Y139" s="132">
        <v>1.662526644241602E-2</v>
      </c>
      <c r="Z139" s="108">
        <f t="shared" si="21"/>
        <v>380358</v>
      </c>
      <c r="AA139" s="97">
        <f>MIN(VLOOKUP(A139,'2018-19 disagg'!$A$12:$BB$220,54,FALSE),-2.5%)</f>
        <v>-2.5000000000000001E-2</v>
      </c>
      <c r="AB139" s="99">
        <f t="shared" si="13"/>
        <v>376252.94918203814</v>
      </c>
      <c r="AC139" s="99">
        <f>MAX(IF(INDEX('Pace of change parameters'!$E$29:$I$29,1,$B$5)=1,MAX(AB139,Z139),Z139),L139)</f>
        <v>380358</v>
      </c>
      <c r="AD139" s="97">
        <f t="shared" si="14"/>
        <v>3.6485370698887465E-2</v>
      </c>
      <c r="AE139" s="146">
        <v>1.8214467817981195E-2</v>
      </c>
      <c r="AF139" s="56">
        <f t="shared" si="22"/>
        <v>380358</v>
      </c>
      <c r="AG139" s="56">
        <v>1649.2320067927444</v>
      </c>
      <c r="AH139" s="16">
        <f t="shared" si="15"/>
        <v>3.6485370698887465E-2</v>
      </c>
      <c r="AI139" s="16">
        <f t="shared" si="16"/>
        <v>1.8214467817981195E-2</v>
      </c>
      <c r="AJ139" s="56"/>
      <c r="AK139" s="56">
        <v>385900.4606995263</v>
      </c>
      <c r="AL139" s="56">
        <v>1673.2641122882242</v>
      </c>
      <c r="AM139" s="16">
        <f t="shared" si="23"/>
        <v>-1.4362410165251971E-2</v>
      </c>
      <c r="AN139" s="58">
        <f t="shared" si="23"/>
        <v>-1.4362410165251971E-2</v>
      </c>
      <c r="AP139" s="56">
        <f t="shared" si="17"/>
        <v>1</v>
      </c>
      <c r="AQ139" s="56">
        <f t="shared" si="18"/>
        <v>0</v>
      </c>
    </row>
    <row r="140" spans="1:43" x14ac:dyDescent="0.2">
      <c r="A140" s="156" t="s">
        <v>325</v>
      </c>
      <c r="B140" s="156" t="s">
        <v>326</v>
      </c>
      <c r="D140" s="68">
        <f>VLOOKUP(A140,'2018-19 disagg'!A140:AZ348,43,FALSE)</f>
        <v>665347</v>
      </c>
      <c r="E140" s="73">
        <v>1583.4766879328897</v>
      </c>
      <c r="F140" s="55"/>
      <c r="G140" s="88">
        <v>684652.75330817606</v>
      </c>
      <c r="H140" s="81">
        <v>1606.4131144087758</v>
      </c>
      <c r="I140" s="90"/>
      <c r="J140" s="103">
        <f t="shared" si="19"/>
        <v>-2.8197875806228123E-2</v>
      </c>
      <c r="K140" s="126">
        <f t="shared" si="19"/>
        <v>-1.4278037367945418E-2</v>
      </c>
      <c r="L140" s="56">
        <v>687861</v>
      </c>
      <c r="M140" s="103">
        <v>2.808410439642306E-2</v>
      </c>
      <c r="N140" s="97">
        <f>INDEX('Pace of change parameters'!$E$22:$I$22,1,$B$5)</f>
        <v>1.356605044543624E-2</v>
      </c>
      <c r="O140" s="108">
        <f>MAX(IF(INDEX('Pace of change parameters'!$E$30:$I$30,1,$B$5)=1,(1+M140)*D140,D140),L140)</f>
        <v>687861</v>
      </c>
      <c r="P140" s="94">
        <f>IF(K140&lt;INDEX('Pace of change parameters'!$E$18:$I$18,1,$B$5),1,IF(K140&gt;INDEX('Pace of change parameters'!$E$19:$I$19,1,$B$5),0,(K140-INDEX('Pace of change parameters'!$E$19:$I$19,1,$B$5))/(INDEX('Pace of change parameters'!$E$18:$I$18,1,$B$5)-INDEX('Pace of change parameters'!$E$19:$I$19,1,$B$5))))</f>
        <v>0.50508150280199515</v>
      </c>
      <c r="Q140" s="57">
        <v>3.4583601740996173E-2</v>
      </c>
      <c r="R140" s="57">
        <v>1.9973765364136531E-2</v>
      </c>
      <c r="S140" s="9">
        <f>MAX(IF(INDEX('Pace of change parameters'!$E$31:$I$31,1,$B$5)=1,D140*(1+Q140),D140),L140)</f>
        <v>688357.09566756664</v>
      </c>
      <c r="T140" s="103">
        <f>IF(Q140&lt;INDEX('Pace of change parameters'!$E$24:$I$24,1,$B$5),INDEX('Pace of change parameters'!$E$24:$I$24,1,$B$5),Q140)</f>
        <v>3.4583601740996173E-2</v>
      </c>
      <c r="U140" s="132">
        <v>1.9973765364136531E-2</v>
      </c>
      <c r="V140" s="117">
        <f t="shared" si="20"/>
        <v>688357.09566756664</v>
      </c>
      <c r="W140" s="131">
        <f>IF(J140&gt;INDEX('Pace of change parameters'!$E$26:$I$26,1,$B$5),0,IF(J140&lt;INDEX('Pace of change parameters'!$E$25:$I$25,1,$B$5),1,(J140-INDEX('Pace of change parameters'!$E$26:$I$26,1,$B$5))/(INDEX('Pace of change parameters'!$E$25:$I$25,1,$B$5)-INDEX('Pace of change parameters'!$E$26:$I$26,1,$B$5))))</f>
        <v>1</v>
      </c>
      <c r="X140" s="132">
        <f>MIN(T140, T140+(INDEX('Pace of change parameters'!$E$27:$I$27,1,$B$5)-T140)*(1-W140))</f>
        <v>3.4583601740996173E-2</v>
      </c>
      <c r="Y140" s="132">
        <v>1.9973765364136531E-2</v>
      </c>
      <c r="Z140" s="108">
        <f t="shared" si="21"/>
        <v>688357.09566756664</v>
      </c>
      <c r="AA140" s="97">
        <f>MIN(VLOOKUP(A140,'2018-19 disagg'!$A$12:$BB$220,54,FALSE),-2.5%)</f>
        <v>-2.5000000000000001E-2</v>
      </c>
      <c r="AB140" s="99">
        <f t="shared" ref="AB140:AB203" si="24">(1+AA140)*AK140</f>
        <v>685915.95765724813</v>
      </c>
      <c r="AC140" s="99">
        <f>MAX(IF(INDEX('Pace of change parameters'!$E$29:$I$29,1,$B$5)=1,MAX(AB140,Z140),Z140),L140)</f>
        <v>688357.09566756664</v>
      </c>
      <c r="AD140" s="97">
        <f t="shared" ref="AD140:AD203" si="25">AC140/D140-1</f>
        <v>3.4583601740996173E-2</v>
      </c>
      <c r="AE140" s="146">
        <v>1.9973765364136531E-2</v>
      </c>
      <c r="AF140" s="56">
        <f t="shared" si="22"/>
        <v>688357.09566756664</v>
      </c>
      <c r="AG140" s="56">
        <v>1615.1046797572415</v>
      </c>
      <c r="AH140" s="16">
        <f t="shared" ref="AH140:AH203" si="26">AF140/D140 - 1</f>
        <v>3.4583601740996173E-2</v>
      </c>
      <c r="AI140" s="16">
        <f t="shared" ref="AI140:AI203" si="27">AG140/E140 - 1</f>
        <v>1.9973765364136531E-2</v>
      </c>
      <c r="AJ140" s="56"/>
      <c r="AK140" s="56">
        <v>703503.54631512635</v>
      </c>
      <c r="AL140" s="56">
        <v>1650.6430703346807</v>
      </c>
      <c r="AM140" s="16">
        <f t="shared" si="23"/>
        <v>-2.1530027427573262E-2</v>
      </c>
      <c r="AN140" s="58">
        <f t="shared" si="23"/>
        <v>-2.1530027427573151E-2</v>
      </c>
      <c r="AP140" s="56">
        <f t="shared" ref="AP140:AP203" si="28">IF(AF140=L140,1,0)</f>
        <v>0</v>
      </c>
      <c r="AQ140" s="56">
        <f t="shared" ref="AQ140:AQ203" si="29">IF(AB140=AF140,1,0)</f>
        <v>0</v>
      </c>
    </row>
    <row r="141" spans="1:43" x14ac:dyDescent="0.2">
      <c r="A141" s="156" t="s">
        <v>327</v>
      </c>
      <c r="B141" s="156" t="s">
        <v>328</v>
      </c>
      <c r="D141" s="68">
        <f>VLOOKUP(A141,'2018-19 disagg'!A141:AZ349,43,FALSE)</f>
        <v>411682</v>
      </c>
      <c r="E141" s="73">
        <v>1706.1829532745494</v>
      </c>
      <c r="F141" s="55"/>
      <c r="G141" s="88">
        <v>423650.50831022975</v>
      </c>
      <c r="H141" s="81">
        <v>1738.8713501762911</v>
      </c>
      <c r="I141" s="90"/>
      <c r="J141" s="103">
        <f t="shared" ref="J141:K204" si="30">D141/G141-1</f>
        <v>-2.8250900389491518E-2</v>
      </c>
      <c r="K141" s="126">
        <f t="shared" si="30"/>
        <v>-1.8798628718810995E-2</v>
      </c>
      <c r="L141" s="56">
        <v>423442</v>
      </c>
      <c r="M141" s="103">
        <v>2.3425078530801891E-2</v>
      </c>
      <c r="N141" s="97">
        <f>INDEX('Pace of change parameters'!$E$22:$I$22,1,$B$5)</f>
        <v>1.356605044543624E-2</v>
      </c>
      <c r="O141" s="108">
        <f>MAX(IF(INDEX('Pace of change parameters'!$E$30:$I$30,1,$B$5)=1,(1+M141)*D141,D141),L141)</f>
        <v>423442</v>
      </c>
      <c r="P141" s="94">
        <f>IF(K141&lt;INDEX('Pace of change parameters'!$E$18:$I$18,1,$B$5),1,IF(K141&gt;INDEX('Pace of change parameters'!$E$19:$I$19,1,$B$5),0,(K141-INDEX('Pace of change parameters'!$E$19:$I$19,1,$B$5))/(INDEX('Pace of change parameters'!$E$18:$I$18,1,$B$5)-INDEX('Pace of change parameters'!$E$19:$I$19,1,$B$5))))</f>
        <v>0.64738716337233271</v>
      </c>
      <c r="Q141" s="57">
        <v>3.1718042930039658E-2</v>
      </c>
      <c r="R141" s="57">
        <v>2.1779125685576606E-2</v>
      </c>
      <c r="S141" s="9">
        <f>MAX(IF(INDEX('Pace of change parameters'!$E$31:$I$31,1,$B$5)=1,D141*(1+Q141),D141),L141)</f>
        <v>424739.74734952458</v>
      </c>
      <c r="T141" s="103">
        <f>IF(Q141&lt;INDEX('Pace of change parameters'!$E$24:$I$24,1,$B$5),INDEX('Pace of change parameters'!$E$24:$I$24,1,$B$5),Q141)</f>
        <v>3.1718042930039658E-2</v>
      </c>
      <c r="U141" s="132">
        <v>2.1779125685576606E-2</v>
      </c>
      <c r="V141" s="117">
        <f t="shared" ref="V141:V204" si="31">MAX(D141*(1+T141),L141)</f>
        <v>424739.74734952458</v>
      </c>
      <c r="W141" s="131">
        <f>IF(J141&gt;INDEX('Pace of change parameters'!$E$26:$I$26,1,$B$5),0,IF(J141&lt;INDEX('Pace of change parameters'!$E$25:$I$25,1,$B$5),1,(J141-INDEX('Pace of change parameters'!$E$26:$I$26,1,$B$5))/(INDEX('Pace of change parameters'!$E$25:$I$25,1,$B$5)-INDEX('Pace of change parameters'!$E$26:$I$26,1,$B$5))))</f>
        <v>1</v>
      </c>
      <c r="X141" s="132">
        <f>MIN(T141, T141+(INDEX('Pace of change parameters'!$E$27:$I$27,1,$B$5)-T141)*(1-W141))</f>
        <v>3.1718042930039658E-2</v>
      </c>
      <c r="Y141" s="132">
        <v>2.1779125685576606E-2</v>
      </c>
      <c r="Z141" s="108">
        <f t="shared" ref="Z141:Z204" si="32">MAX(D141*(1+X141),L141)</f>
        <v>424739.74734952458</v>
      </c>
      <c r="AA141" s="97">
        <f>MIN(VLOOKUP(A141,'2018-19 disagg'!$A$12:$BB$220,54,FALSE),-2.5%)</f>
        <v>-2.5482368401385846E-2</v>
      </c>
      <c r="AB141" s="99">
        <f t="shared" si="24"/>
        <v>423948.85815077269</v>
      </c>
      <c r="AC141" s="99">
        <f>MAX(IF(INDEX('Pace of change parameters'!$E$29:$I$29,1,$B$5)=1,MAX(AB141,Z141),Z141),L141)</f>
        <v>424739.74734952458</v>
      </c>
      <c r="AD141" s="97">
        <f t="shared" si="25"/>
        <v>3.1718042930039658E-2</v>
      </c>
      <c r="AE141" s="146">
        <v>2.1779125685576606E-2</v>
      </c>
      <c r="AF141" s="56">
        <f t="shared" ref="AF141:AF204" si="33">AC141</f>
        <v>424739.74734952458</v>
      </c>
      <c r="AG141" s="56">
        <v>1743.3421262565037</v>
      </c>
      <c r="AH141" s="16">
        <f t="shared" si="26"/>
        <v>3.1718042930039658E-2</v>
      </c>
      <c r="AI141" s="16">
        <f t="shared" si="27"/>
        <v>2.1779125685576384E-2</v>
      </c>
      <c r="AJ141" s="56"/>
      <c r="AK141" s="56">
        <v>435034.5693133538</v>
      </c>
      <c r="AL141" s="56">
        <v>1785.5971704897079</v>
      </c>
      <c r="AM141" s="16">
        <f t="shared" ref="AM141:AN163" si="34">AF141/AK141-1</f>
        <v>-2.3664376787523533E-2</v>
      </c>
      <c r="AN141" s="58">
        <f t="shared" si="34"/>
        <v>-2.3664376787523422E-2</v>
      </c>
      <c r="AP141" s="56">
        <f t="shared" si="28"/>
        <v>0</v>
      </c>
      <c r="AQ141" s="56">
        <f t="shared" si="29"/>
        <v>0</v>
      </c>
    </row>
    <row r="142" spans="1:43" x14ac:dyDescent="0.2">
      <c r="A142" s="156" t="s">
        <v>329</v>
      </c>
      <c r="B142" s="156" t="s">
        <v>330</v>
      </c>
      <c r="D142" s="68">
        <f>VLOOKUP(A142,'2018-19 disagg'!A142:AZ350,43,FALSE)</f>
        <v>583178</v>
      </c>
      <c r="E142" s="73">
        <v>1536.0009773253137</v>
      </c>
      <c r="F142" s="55"/>
      <c r="G142" s="88">
        <v>586486.35455536237</v>
      </c>
      <c r="H142" s="81">
        <v>1532.529353610948</v>
      </c>
      <c r="I142" s="90"/>
      <c r="J142" s="103">
        <f t="shared" si="30"/>
        <v>-5.6409744739425172E-3</v>
      </c>
      <c r="K142" s="126">
        <f t="shared" si="30"/>
        <v>2.2652901924429258E-3</v>
      </c>
      <c r="L142" s="56">
        <v>599088</v>
      </c>
      <c r="M142" s="103">
        <v>2.1625032408661093E-2</v>
      </c>
      <c r="N142" s="97">
        <f>INDEX('Pace of change parameters'!$E$22:$I$22,1,$B$5)</f>
        <v>1.356605044543624E-2</v>
      </c>
      <c r="O142" s="108">
        <f>MAX(IF(INDEX('Pace of change parameters'!$E$30:$I$30,1,$B$5)=1,(1+M142)*D142,D142),L142)</f>
        <v>599088</v>
      </c>
      <c r="P142" s="94">
        <f>IF(K142&lt;INDEX('Pace of change parameters'!$E$18:$I$18,1,$B$5),1,IF(K142&gt;INDEX('Pace of change parameters'!$E$19:$I$19,1,$B$5),0,(K142-INDEX('Pace of change parameters'!$E$19:$I$19,1,$B$5))/(INDEX('Pace of change parameters'!$E$18:$I$18,1,$B$5)-INDEX('Pace of change parameters'!$E$19:$I$19,1,$B$5))))</f>
        <v>0</v>
      </c>
      <c r="Q142" s="57">
        <v>2.1625032408661093E-2</v>
      </c>
      <c r="R142" s="57">
        <v>1.356605044543624E-2</v>
      </c>
      <c r="S142" s="9">
        <f>MAX(IF(INDEX('Pace of change parameters'!$E$31:$I$31,1,$B$5)=1,D142*(1+Q142),D142),L142)</f>
        <v>599088</v>
      </c>
      <c r="T142" s="103">
        <f>IF(Q142&lt;INDEX('Pace of change parameters'!$E$24:$I$24,1,$B$5),INDEX('Pace of change parameters'!$E$24:$I$24,1,$B$5),Q142)</f>
        <v>2.1625032408661093E-2</v>
      </c>
      <c r="U142" s="132">
        <v>1.356605044543624E-2</v>
      </c>
      <c r="V142" s="117">
        <f t="shared" si="31"/>
        <v>599088</v>
      </c>
      <c r="W142" s="131">
        <f>IF(J142&gt;INDEX('Pace of change parameters'!$E$26:$I$26,1,$B$5),0,IF(J142&lt;INDEX('Pace of change parameters'!$E$25:$I$25,1,$B$5),1,(J142-INDEX('Pace of change parameters'!$E$26:$I$26,1,$B$5))/(INDEX('Pace of change parameters'!$E$25:$I$25,1,$B$5)-INDEX('Pace of change parameters'!$E$26:$I$26,1,$B$5))))</f>
        <v>1</v>
      </c>
      <c r="X142" s="132">
        <f>MIN(T142, T142+(INDEX('Pace of change parameters'!$E$27:$I$27,1,$B$5)-T142)*(1-W142))</f>
        <v>2.1625032408661093E-2</v>
      </c>
      <c r="Y142" s="132">
        <v>1.356605044543624E-2</v>
      </c>
      <c r="Z142" s="108">
        <f t="shared" si="32"/>
        <v>599088</v>
      </c>
      <c r="AA142" s="97">
        <f>MIN(VLOOKUP(A142,'2018-19 disagg'!$A$12:$BB$220,54,FALSE),-2.5%)</f>
        <v>-2.5000000000000001E-2</v>
      </c>
      <c r="AB142" s="99">
        <f t="shared" si="24"/>
        <v>587591.31890526938</v>
      </c>
      <c r="AC142" s="99">
        <f>MAX(IF(INDEX('Pace of change parameters'!$E$29:$I$29,1,$B$5)=1,MAX(AB142,Z142),Z142),L142)</f>
        <v>599088</v>
      </c>
      <c r="AD142" s="97">
        <f t="shared" si="25"/>
        <v>2.7281550401421217E-2</v>
      </c>
      <c r="AE142" s="146">
        <v>1.9177947589027466E-2</v>
      </c>
      <c r="AF142" s="56">
        <f t="shared" si="33"/>
        <v>599088</v>
      </c>
      <c r="AG142" s="56">
        <v>1565.4583235651533</v>
      </c>
      <c r="AH142" s="16">
        <f t="shared" si="26"/>
        <v>2.7281550401421217E-2</v>
      </c>
      <c r="AI142" s="16">
        <f t="shared" si="27"/>
        <v>1.9177947589027244E-2</v>
      </c>
      <c r="AJ142" s="56"/>
      <c r="AK142" s="56">
        <v>602657.76297976344</v>
      </c>
      <c r="AL142" s="56">
        <v>1574.786360798123</v>
      </c>
      <c r="AM142" s="16">
        <f t="shared" si="34"/>
        <v>-5.9233667913165533E-3</v>
      </c>
      <c r="AN142" s="58">
        <f t="shared" si="34"/>
        <v>-5.9233667913165533E-3</v>
      </c>
      <c r="AP142" s="56">
        <f t="shared" si="28"/>
        <v>1</v>
      </c>
      <c r="AQ142" s="56">
        <f t="shared" si="29"/>
        <v>0</v>
      </c>
    </row>
    <row r="143" spans="1:43" x14ac:dyDescent="0.2">
      <c r="A143" s="156" t="s">
        <v>331</v>
      </c>
      <c r="B143" s="156" t="s">
        <v>332</v>
      </c>
      <c r="D143" s="68">
        <f>VLOOKUP(A143,'2018-19 disagg'!A143:AZ351,43,FALSE)</f>
        <v>588746</v>
      </c>
      <c r="E143" s="73">
        <v>1674.7078099255011</v>
      </c>
      <c r="F143" s="55"/>
      <c r="G143" s="88">
        <v>604388.12363660394</v>
      </c>
      <c r="H143" s="81">
        <v>1700.1401202388099</v>
      </c>
      <c r="I143" s="90"/>
      <c r="J143" s="103">
        <f t="shared" si="30"/>
        <v>-2.5880924897208835E-2</v>
      </c>
      <c r="K143" s="126">
        <f t="shared" si="30"/>
        <v>-1.4958949565719637E-2</v>
      </c>
      <c r="L143" s="56">
        <v>606474</v>
      </c>
      <c r="M143" s="103">
        <v>2.4930311430297891E-2</v>
      </c>
      <c r="N143" s="97">
        <f>INDEX('Pace of change parameters'!$E$22:$I$22,1,$B$5)</f>
        <v>1.356605044543624E-2</v>
      </c>
      <c r="O143" s="108">
        <f>MAX(IF(INDEX('Pace of change parameters'!$E$30:$I$30,1,$B$5)=1,(1+M143)*D143,D143),L143)</f>
        <v>606474</v>
      </c>
      <c r="P143" s="94">
        <f>IF(K143&lt;INDEX('Pace of change parameters'!$E$18:$I$18,1,$B$5),1,IF(K143&gt;INDEX('Pace of change parameters'!$E$19:$I$19,1,$B$5),0,(K143-INDEX('Pace of change parameters'!$E$19:$I$19,1,$B$5))/(INDEX('Pace of change parameters'!$E$18:$I$18,1,$B$5)-INDEX('Pace of change parameters'!$E$19:$I$19,1,$B$5))))</f>
        <v>0.52651623391877866</v>
      </c>
      <c r="Q143" s="57">
        <v>3.1684851240228129E-2</v>
      </c>
      <c r="R143" s="57">
        <v>2.0245697013965946E-2</v>
      </c>
      <c r="S143" s="9">
        <f>MAX(IF(INDEX('Pace of change parameters'!$E$31:$I$31,1,$B$5)=1,D143*(1+Q143),D143),L143)</f>
        <v>607400.32942827931</v>
      </c>
      <c r="T143" s="103">
        <f>IF(Q143&lt;INDEX('Pace of change parameters'!$E$24:$I$24,1,$B$5),INDEX('Pace of change parameters'!$E$24:$I$24,1,$B$5),Q143)</f>
        <v>3.1684851240228129E-2</v>
      </c>
      <c r="U143" s="132">
        <v>2.0245697013965946E-2</v>
      </c>
      <c r="V143" s="117">
        <f t="shared" si="31"/>
        <v>607400.32942827931</v>
      </c>
      <c r="W143" s="131">
        <f>IF(J143&gt;INDEX('Pace of change parameters'!$E$26:$I$26,1,$B$5),0,IF(J143&lt;INDEX('Pace of change parameters'!$E$25:$I$25,1,$B$5),1,(J143-INDEX('Pace of change parameters'!$E$26:$I$26,1,$B$5))/(INDEX('Pace of change parameters'!$E$25:$I$25,1,$B$5)-INDEX('Pace of change parameters'!$E$26:$I$26,1,$B$5))))</f>
        <v>1</v>
      </c>
      <c r="X143" s="132">
        <f>MIN(T143, T143+(INDEX('Pace of change parameters'!$E$27:$I$27,1,$B$5)-T143)*(1-W143))</f>
        <v>3.1684851240228129E-2</v>
      </c>
      <c r="Y143" s="132">
        <v>2.0245697013965946E-2</v>
      </c>
      <c r="Z143" s="108">
        <f t="shared" si="32"/>
        <v>607400.32942827931</v>
      </c>
      <c r="AA143" s="97">
        <f>MIN(VLOOKUP(A143,'2018-19 disagg'!$A$12:$BB$220,54,FALSE),-2.5%)</f>
        <v>-2.5000000000000001E-2</v>
      </c>
      <c r="AB143" s="99">
        <f t="shared" si="24"/>
        <v>605110.79873606598</v>
      </c>
      <c r="AC143" s="99">
        <f>MAX(IF(INDEX('Pace of change parameters'!$E$29:$I$29,1,$B$5)=1,MAX(AB143,Z143),Z143),L143)</f>
        <v>607400.32942827931</v>
      </c>
      <c r="AD143" s="97">
        <f t="shared" si="25"/>
        <v>3.1684851240228129E-2</v>
      </c>
      <c r="AE143" s="146">
        <v>2.0245697013965946E-2</v>
      </c>
      <c r="AF143" s="56">
        <f t="shared" si="33"/>
        <v>607400.32942827931</v>
      </c>
      <c r="AG143" s="56">
        <v>1708.6134368321752</v>
      </c>
      <c r="AH143" s="16">
        <f t="shared" si="26"/>
        <v>3.1684851240228129E-2</v>
      </c>
      <c r="AI143" s="16">
        <f t="shared" si="27"/>
        <v>2.0245697013965946E-2</v>
      </c>
      <c r="AJ143" s="56"/>
      <c r="AK143" s="56">
        <v>620626.46024211892</v>
      </c>
      <c r="AL143" s="56">
        <v>1745.8184624651008</v>
      </c>
      <c r="AM143" s="16">
        <f t="shared" si="34"/>
        <v>-2.1310936063989039E-2</v>
      </c>
      <c r="AN143" s="58">
        <f t="shared" si="34"/>
        <v>-2.131093606398915E-2</v>
      </c>
      <c r="AP143" s="56">
        <f t="shared" si="28"/>
        <v>0</v>
      </c>
      <c r="AQ143" s="56">
        <f t="shared" si="29"/>
        <v>0</v>
      </c>
    </row>
    <row r="144" spans="1:43" x14ac:dyDescent="0.2">
      <c r="A144" s="156" t="s">
        <v>333</v>
      </c>
      <c r="B144" s="156" t="s">
        <v>334</v>
      </c>
      <c r="D144" s="68">
        <f>VLOOKUP(A144,'2018-19 disagg'!A144:AZ352,43,FALSE)</f>
        <v>499843</v>
      </c>
      <c r="E144" s="73">
        <v>1847.9961614777603</v>
      </c>
      <c r="F144" s="55"/>
      <c r="G144" s="88">
        <v>462886.98523178382</v>
      </c>
      <c r="H144" s="81">
        <v>1693.7988624553989</v>
      </c>
      <c r="I144" s="90"/>
      <c r="J144" s="103">
        <f t="shared" si="30"/>
        <v>7.9838094280639593E-2</v>
      </c>
      <c r="K144" s="126">
        <f t="shared" si="30"/>
        <v>9.1036369453472599E-2</v>
      </c>
      <c r="L144" s="56">
        <v>506434</v>
      </c>
      <c r="M144" s="103">
        <v>2.4077062789644055E-2</v>
      </c>
      <c r="N144" s="97">
        <f>INDEX('Pace of change parameters'!$E$22:$I$22,1,$B$5)</f>
        <v>1.356605044543624E-2</v>
      </c>
      <c r="O144" s="108">
        <f>MAX(IF(INDEX('Pace of change parameters'!$E$30:$I$30,1,$B$5)=1,(1+M144)*D144,D144),L144)</f>
        <v>511877.75129596406</v>
      </c>
      <c r="P144" s="94">
        <f>IF(K144&lt;INDEX('Pace of change parameters'!$E$18:$I$18,1,$B$5),1,IF(K144&gt;INDEX('Pace of change parameters'!$E$19:$I$19,1,$B$5),0,(K144-INDEX('Pace of change parameters'!$E$19:$I$19,1,$B$5))/(INDEX('Pace of change parameters'!$E$18:$I$18,1,$B$5)-INDEX('Pace of change parameters'!$E$19:$I$19,1,$B$5))))</f>
        <v>0</v>
      </c>
      <c r="Q144" s="57">
        <v>2.4077062789644055E-2</v>
      </c>
      <c r="R144" s="57">
        <v>1.356605044543624E-2</v>
      </c>
      <c r="S144" s="9">
        <f>MAX(IF(INDEX('Pace of change parameters'!$E$31:$I$31,1,$B$5)=1,D144*(1+Q144),D144),L144)</f>
        <v>511877.75129596406</v>
      </c>
      <c r="T144" s="103">
        <f>IF(Q144&lt;INDEX('Pace of change parameters'!$E$24:$I$24,1,$B$5),INDEX('Pace of change parameters'!$E$24:$I$24,1,$B$5),Q144)</f>
        <v>2.4077062789644055E-2</v>
      </c>
      <c r="U144" s="132">
        <v>1.356605044543624E-2</v>
      </c>
      <c r="V144" s="117">
        <f t="shared" si="31"/>
        <v>511877.75129596406</v>
      </c>
      <c r="W144" s="131">
        <f>IF(J144&gt;INDEX('Pace of change parameters'!$E$26:$I$26,1,$B$5),0,IF(J144&lt;INDEX('Pace of change parameters'!$E$25:$I$25,1,$B$5),1,(J144-INDEX('Pace of change parameters'!$E$26:$I$26,1,$B$5))/(INDEX('Pace of change parameters'!$E$25:$I$25,1,$B$5)-INDEX('Pace of change parameters'!$E$26:$I$26,1,$B$5))))</f>
        <v>0.40323811438720825</v>
      </c>
      <c r="X144" s="132">
        <f>MIN(T144, T144+(INDEX('Pace of change parameters'!$E$27:$I$27,1,$B$5)-T144)*(1-W144))</f>
        <v>9.791633303341327E-3</v>
      </c>
      <c r="Y144" s="132">
        <v>-5.7275499163333965E-4</v>
      </c>
      <c r="Z144" s="108">
        <f t="shared" si="32"/>
        <v>506434</v>
      </c>
      <c r="AA144" s="97">
        <f>MIN(VLOOKUP(A144,'2018-19 disagg'!$A$12:$BB$220,54,FALSE),-2.5%)</f>
        <v>-2.5000000000000001E-2</v>
      </c>
      <c r="AB144" s="99">
        <f t="shared" si="24"/>
        <v>464122.75288054784</v>
      </c>
      <c r="AC144" s="99">
        <f>MAX(IF(INDEX('Pace of change parameters'!$E$29:$I$29,1,$B$5)=1,MAX(AB144,Z144),Z144),L144)</f>
        <v>506434</v>
      </c>
      <c r="AD144" s="97">
        <f t="shared" si="25"/>
        <v>1.3186140448100625E-2</v>
      </c>
      <c r="AE144" s="146">
        <v>2.7869113117502398E-3</v>
      </c>
      <c r="AF144" s="56">
        <f t="shared" si="33"/>
        <v>506434</v>
      </c>
      <c r="AG144" s="56">
        <v>1853.1463628842539</v>
      </c>
      <c r="AH144" s="16">
        <f t="shared" si="26"/>
        <v>1.3186140448100625E-2</v>
      </c>
      <c r="AI144" s="16">
        <f t="shared" si="27"/>
        <v>2.7869113117502398E-3</v>
      </c>
      <c r="AJ144" s="56"/>
      <c r="AK144" s="56">
        <v>476023.33628774137</v>
      </c>
      <c r="AL144" s="56">
        <v>1741.867477874029</v>
      </c>
      <c r="AM144" s="16">
        <f t="shared" si="34"/>
        <v>6.3884816970141811E-2</v>
      </c>
      <c r="AN144" s="58">
        <f t="shared" si="34"/>
        <v>6.3884816970141811E-2</v>
      </c>
      <c r="AP144" s="56">
        <f t="shared" si="28"/>
        <v>1</v>
      </c>
      <c r="AQ144" s="56">
        <f t="shared" si="29"/>
        <v>0</v>
      </c>
    </row>
    <row r="145" spans="1:43" x14ac:dyDescent="0.2">
      <c r="A145" s="156" t="s">
        <v>335</v>
      </c>
      <c r="B145" s="156" t="s">
        <v>336</v>
      </c>
      <c r="D145" s="68">
        <f>VLOOKUP(A145,'2018-19 disagg'!A145:AZ353,43,FALSE)</f>
        <v>364315</v>
      </c>
      <c r="E145" s="73">
        <v>1667.8696261398247</v>
      </c>
      <c r="F145" s="55"/>
      <c r="G145" s="88">
        <v>331345.48847562628</v>
      </c>
      <c r="H145" s="81">
        <v>1502.2748516264714</v>
      </c>
      <c r="I145" s="90"/>
      <c r="J145" s="103">
        <f t="shared" si="30"/>
        <v>9.9501917699413411E-2</v>
      </c>
      <c r="K145" s="126">
        <f t="shared" si="30"/>
        <v>0.11022934607077284</v>
      </c>
      <c r="L145" s="56">
        <v>368629</v>
      </c>
      <c r="M145" s="103">
        <v>2.3455034748933956E-2</v>
      </c>
      <c r="N145" s="97">
        <f>INDEX('Pace of change parameters'!$E$22:$I$22,1,$B$5)</f>
        <v>1.356605044543624E-2</v>
      </c>
      <c r="O145" s="108">
        <f>MAX(IF(INDEX('Pace of change parameters'!$E$30:$I$30,1,$B$5)=1,(1+M145)*D145,D145),L145)</f>
        <v>372860.02098455786</v>
      </c>
      <c r="P145" s="94">
        <f>IF(K145&lt;INDEX('Pace of change parameters'!$E$18:$I$18,1,$B$5),1,IF(K145&gt;INDEX('Pace of change parameters'!$E$19:$I$19,1,$B$5),0,(K145-INDEX('Pace of change parameters'!$E$19:$I$19,1,$B$5))/(INDEX('Pace of change parameters'!$E$18:$I$18,1,$B$5)-INDEX('Pace of change parameters'!$E$19:$I$19,1,$B$5))))</f>
        <v>0</v>
      </c>
      <c r="Q145" s="57">
        <v>2.3455034748933956E-2</v>
      </c>
      <c r="R145" s="57">
        <v>1.356605044543624E-2</v>
      </c>
      <c r="S145" s="9">
        <f>MAX(IF(INDEX('Pace of change parameters'!$E$31:$I$31,1,$B$5)=1,D145*(1+Q145),D145),L145)</f>
        <v>372860.02098455786</v>
      </c>
      <c r="T145" s="103">
        <f>IF(Q145&lt;INDEX('Pace of change parameters'!$E$24:$I$24,1,$B$5),INDEX('Pace of change parameters'!$E$24:$I$24,1,$B$5),Q145)</f>
        <v>2.3455034748933956E-2</v>
      </c>
      <c r="U145" s="132">
        <v>1.356605044543624E-2</v>
      </c>
      <c r="V145" s="117">
        <f t="shared" si="31"/>
        <v>372860.02098455786</v>
      </c>
      <c r="W145" s="131">
        <f>IF(J145&gt;INDEX('Pace of change parameters'!$E$26:$I$26,1,$B$5),0,IF(J145&lt;INDEX('Pace of change parameters'!$E$25:$I$25,1,$B$5),1,(J145-INDEX('Pace of change parameters'!$E$26:$I$26,1,$B$5))/(INDEX('Pace of change parameters'!$E$25:$I$25,1,$B$5)-INDEX('Pace of change parameters'!$E$26:$I$26,1,$B$5))))</f>
        <v>9.9616460117318839E-3</v>
      </c>
      <c r="X145" s="132">
        <f>MIN(T145, T145+(INDEX('Pace of change parameters'!$E$27:$I$27,1,$B$5)-T145)*(1-W145))</f>
        <v>3.7109023197744173E-4</v>
      </c>
      <c r="Y145" s="132">
        <v>-9.2948488401810581E-3</v>
      </c>
      <c r="Z145" s="108">
        <f t="shared" si="32"/>
        <v>368629</v>
      </c>
      <c r="AA145" s="97">
        <f>MIN(VLOOKUP(A145,'2018-19 disagg'!$A$12:$BB$220,54,FALSE),-2.5%)</f>
        <v>-2.5000000000000001E-2</v>
      </c>
      <c r="AB145" s="99">
        <f t="shared" si="24"/>
        <v>332005.77701559407</v>
      </c>
      <c r="AC145" s="99">
        <f>MAX(IF(INDEX('Pace of change parameters'!$E$29:$I$29,1,$B$5)=1,MAX(AB145,Z145),Z145),L145)</f>
        <v>368629</v>
      </c>
      <c r="AD145" s="97">
        <f t="shared" si="25"/>
        <v>1.1841400985410866E-2</v>
      </c>
      <c r="AE145" s="146">
        <v>2.0646317163743877E-3</v>
      </c>
      <c r="AF145" s="56">
        <f t="shared" si="33"/>
        <v>368629</v>
      </c>
      <c r="AG145" s="56">
        <v>1671.3131626687309</v>
      </c>
      <c r="AH145" s="16">
        <f t="shared" si="26"/>
        <v>1.1841400985410866E-2</v>
      </c>
      <c r="AI145" s="16">
        <f t="shared" si="27"/>
        <v>2.0646317163746097E-3</v>
      </c>
      <c r="AJ145" s="56"/>
      <c r="AK145" s="56">
        <v>340518.74565701955</v>
      </c>
      <c r="AL145" s="56">
        <v>1543.8651374471963</v>
      </c>
      <c r="AM145" s="16">
        <f t="shared" si="34"/>
        <v>8.2551268326630955E-2</v>
      </c>
      <c r="AN145" s="58">
        <f t="shared" si="34"/>
        <v>8.2551268326630955E-2</v>
      </c>
      <c r="AP145" s="56">
        <f t="shared" si="28"/>
        <v>1</v>
      </c>
      <c r="AQ145" s="56">
        <f t="shared" si="29"/>
        <v>0</v>
      </c>
    </row>
    <row r="146" spans="1:43" x14ac:dyDescent="0.2">
      <c r="A146" s="156" t="s">
        <v>337</v>
      </c>
      <c r="B146" s="156" t="s">
        <v>338</v>
      </c>
      <c r="D146" s="68">
        <f>VLOOKUP(A146,'2018-19 disagg'!A146:AZ354,43,FALSE)</f>
        <v>541745</v>
      </c>
      <c r="E146" s="73">
        <v>1746.5160596015824</v>
      </c>
      <c r="F146" s="55"/>
      <c r="G146" s="88">
        <v>530911.6950824426</v>
      </c>
      <c r="H146" s="81">
        <v>1690.557853489599</v>
      </c>
      <c r="I146" s="90"/>
      <c r="J146" s="103">
        <f t="shared" si="30"/>
        <v>2.0405097529213601E-2</v>
      </c>
      <c r="K146" s="126">
        <f t="shared" si="30"/>
        <v>3.3100438412371425E-2</v>
      </c>
      <c r="L146" s="56">
        <v>559113</v>
      </c>
      <c r="M146" s="103">
        <v>2.6176303519590771E-2</v>
      </c>
      <c r="N146" s="97">
        <f>INDEX('Pace of change parameters'!$E$22:$I$22,1,$B$5)</f>
        <v>1.356605044543624E-2</v>
      </c>
      <c r="O146" s="108">
        <f>MAX(IF(INDEX('Pace of change parameters'!$E$30:$I$30,1,$B$5)=1,(1+M146)*D146,D146),L146)</f>
        <v>559113</v>
      </c>
      <c r="P146" s="94">
        <f>IF(K146&lt;INDEX('Pace of change parameters'!$E$18:$I$18,1,$B$5),1,IF(K146&gt;INDEX('Pace of change parameters'!$E$19:$I$19,1,$B$5),0,(K146-INDEX('Pace of change parameters'!$E$19:$I$19,1,$B$5))/(INDEX('Pace of change parameters'!$E$18:$I$18,1,$B$5)-INDEX('Pace of change parameters'!$E$19:$I$19,1,$B$5))))</f>
        <v>0</v>
      </c>
      <c r="Q146" s="57">
        <v>2.6176303519590771E-2</v>
      </c>
      <c r="R146" s="57">
        <v>1.356605044543624E-2</v>
      </c>
      <c r="S146" s="9">
        <f>MAX(IF(INDEX('Pace of change parameters'!$E$31:$I$31,1,$B$5)=1,D146*(1+Q146),D146),L146)</f>
        <v>559113</v>
      </c>
      <c r="T146" s="103">
        <f>IF(Q146&lt;INDEX('Pace of change parameters'!$E$24:$I$24,1,$B$5),INDEX('Pace of change parameters'!$E$24:$I$24,1,$B$5),Q146)</f>
        <v>2.6176303519590771E-2</v>
      </c>
      <c r="U146" s="132">
        <v>1.356605044543624E-2</v>
      </c>
      <c r="V146" s="117">
        <f t="shared" si="31"/>
        <v>559113</v>
      </c>
      <c r="W146" s="131">
        <f>IF(J146&gt;INDEX('Pace of change parameters'!$E$26:$I$26,1,$B$5),0,IF(J146&lt;INDEX('Pace of change parameters'!$E$25:$I$25,1,$B$5),1,(J146-INDEX('Pace of change parameters'!$E$26:$I$26,1,$B$5))/(INDEX('Pace of change parameters'!$E$25:$I$25,1,$B$5)-INDEX('Pace of change parameters'!$E$26:$I$26,1,$B$5))))</f>
        <v>1</v>
      </c>
      <c r="X146" s="132">
        <f>MIN(T146, T146+(INDEX('Pace of change parameters'!$E$27:$I$27,1,$B$5)-T146)*(1-W146))</f>
        <v>2.6176303519590771E-2</v>
      </c>
      <c r="Y146" s="132">
        <v>1.356605044543624E-2</v>
      </c>
      <c r="Z146" s="108">
        <f t="shared" si="32"/>
        <v>559113</v>
      </c>
      <c r="AA146" s="97">
        <f>MIN(VLOOKUP(A146,'2018-19 disagg'!$A$12:$BB$220,54,FALSE),-2.5%)</f>
        <v>-2.5000000000000001E-2</v>
      </c>
      <c r="AB146" s="99">
        <f t="shared" si="24"/>
        <v>532032.96824526228</v>
      </c>
      <c r="AC146" s="99">
        <f>MAX(IF(INDEX('Pace of change parameters'!$E$29:$I$29,1,$B$5)=1,MAX(AB146,Z146),Z146),L146)</f>
        <v>559113</v>
      </c>
      <c r="AD146" s="97">
        <f t="shared" si="25"/>
        <v>3.2059363722784617E-2</v>
      </c>
      <c r="AE146" s="146">
        <v>1.9376816172760547E-2</v>
      </c>
      <c r="AF146" s="56">
        <f t="shared" si="33"/>
        <v>559113</v>
      </c>
      <c r="AG146" s="56">
        <v>1780.3579802312563</v>
      </c>
      <c r="AH146" s="16">
        <f t="shared" si="26"/>
        <v>3.2059363722784617E-2</v>
      </c>
      <c r="AI146" s="16">
        <f t="shared" si="27"/>
        <v>1.9376816172760547E-2</v>
      </c>
      <c r="AJ146" s="56"/>
      <c r="AK146" s="56">
        <v>545674.83922591002</v>
      </c>
      <c r="AL146" s="56">
        <v>1737.567458862979</v>
      </c>
      <c r="AM146" s="16">
        <f t="shared" si="34"/>
        <v>2.4626682060608251E-2</v>
      </c>
      <c r="AN146" s="58">
        <f t="shared" si="34"/>
        <v>2.4626682060608029E-2</v>
      </c>
      <c r="AP146" s="56">
        <f t="shared" si="28"/>
        <v>1</v>
      </c>
      <c r="AQ146" s="56">
        <f t="shared" si="29"/>
        <v>0</v>
      </c>
    </row>
    <row r="147" spans="1:43" x14ac:dyDescent="0.2">
      <c r="A147" s="156" t="s">
        <v>339</v>
      </c>
      <c r="B147" s="156" t="s">
        <v>340</v>
      </c>
      <c r="D147" s="68">
        <f>VLOOKUP(A147,'2018-19 disagg'!A147:AZ355,43,FALSE)</f>
        <v>675139</v>
      </c>
      <c r="E147" s="73">
        <v>1632.2237840315379</v>
      </c>
      <c r="F147" s="55"/>
      <c r="G147" s="88">
        <v>696667.39170558273</v>
      </c>
      <c r="H147" s="81">
        <v>1666.2439372554493</v>
      </c>
      <c r="I147" s="90"/>
      <c r="J147" s="103">
        <f t="shared" si="30"/>
        <v>-3.0901965503045692E-2</v>
      </c>
      <c r="K147" s="126">
        <f t="shared" si="30"/>
        <v>-2.041727052279485E-2</v>
      </c>
      <c r="L147" s="56">
        <v>695509</v>
      </c>
      <c r="M147" s="103">
        <v>2.4531845961443199E-2</v>
      </c>
      <c r="N147" s="97">
        <f>INDEX('Pace of change parameters'!$E$22:$I$22,1,$B$5)</f>
        <v>1.356605044543624E-2</v>
      </c>
      <c r="O147" s="108">
        <f>MAX(IF(INDEX('Pace of change parameters'!$E$30:$I$30,1,$B$5)=1,(1+M147)*D147,D147),L147)</f>
        <v>695509</v>
      </c>
      <c r="P147" s="94">
        <f>IF(K147&lt;INDEX('Pace of change parameters'!$E$18:$I$18,1,$B$5),1,IF(K147&gt;INDEX('Pace of change parameters'!$E$19:$I$19,1,$B$5),0,(K147-INDEX('Pace of change parameters'!$E$19:$I$19,1,$B$5))/(INDEX('Pace of change parameters'!$E$18:$I$18,1,$B$5)-INDEX('Pace of change parameters'!$E$19:$I$19,1,$B$5))))</f>
        <v>0.69834109246361875</v>
      </c>
      <c r="Q147" s="57">
        <v>3.3487199231636122E-2</v>
      </c>
      <c r="R147" s="57">
        <v>2.2425552548950733E-2</v>
      </c>
      <c r="S147" s="9">
        <f>MAX(IF(INDEX('Pace of change parameters'!$E$31:$I$31,1,$B$5)=1,D147*(1+Q147),D147),L147)</f>
        <v>697747.51420204761</v>
      </c>
      <c r="T147" s="103">
        <f>IF(Q147&lt;INDEX('Pace of change parameters'!$E$24:$I$24,1,$B$5),INDEX('Pace of change parameters'!$E$24:$I$24,1,$B$5),Q147)</f>
        <v>3.3487199231636122E-2</v>
      </c>
      <c r="U147" s="132">
        <v>2.2425552548950733E-2</v>
      </c>
      <c r="V147" s="117">
        <f t="shared" si="31"/>
        <v>697747.51420204761</v>
      </c>
      <c r="W147" s="131">
        <f>IF(J147&gt;INDEX('Pace of change parameters'!$E$26:$I$26,1,$B$5),0,IF(J147&lt;INDEX('Pace of change parameters'!$E$25:$I$25,1,$B$5),1,(J147-INDEX('Pace of change parameters'!$E$26:$I$26,1,$B$5))/(INDEX('Pace of change parameters'!$E$25:$I$25,1,$B$5)-INDEX('Pace of change parameters'!$E$26:$I$26,1,$B$5))))</f>
        <v>1</v>
      </c>
      <c r="X147" s="132">
        <f>MIN(T147, T147+(INDEX('Pace of change parameters'!$E$27:$I$27,1,$B$5)-T147)*(1-W147))</f>
        <v>3.3487199231636122E-2</v>
      </c>
      <c r="Y147" s="132">
        <v>2.2425552548950733E-2</v>
      </c>
      <c r="Z147" s="108">
        <f t="shared" si="32"/>
        <v>697747.51420204761</v>
      </c>
      <c r="AA147" s="97">
        <f>MIN(VLOOKUP(A147,'2018-19 disagg'!$A$12:$BB$220,54,FALSE),-2.5%)</f>
        <v>-2.7093360934076882E-2</v>
      </c>
      <c r="AB147" s="99">
        <f t="shared" si="24"/>
        <v>696202.60794016474</v>
      </c>
      <c r="AC147" s="99">
        <f>MAX(IF(INDEX('Pace of change parameters'!$E$29:$I$29,1,$B$5)=1,MAX(AB147,Z147),Z147),L147)</f>
        <v>697747.51420204761</v>
      </c>
      <c r="AD147" s="97">
        <f t="shared" si="25"/>
        <v>3.3487199231636122E-2</v>
      </c>
      <c r="AE147" s="146">
        <v>2.2425552548950733E-2</v>
      </c>
      <c r="AF147" s="56">
        <f t="shared" si="33"/>
        <v>697747.51420204761</v>
      </c>
      <c r="AG147" s="56">
        <v>1668.8273042719843</v>
      </c>
      <c r="AH147" s="16">
        <f t="shared" si="26"/>
        <v>3.3487199231636122E-2</v>
      </c>
      <c r="AI147" s="16">
        <f t="shared" si="27"/>
        <v>2.2425552548950733E-2</v>
      </c>
      <c r="AJ147" s="56"/>
      <c r="AK147" s="56">
        <v>715590.35572887154</v>
      </c>
      <c r="AL147" s="56">
        <v>1711.5026567736909</v>
      </c>
      <c r="AM147" s="16">
        <f t="shared" si="34"/>
        <v>-2.4934435440580938E-2</v>
      </c>
      <c r="AN147" s="58">
        <f t="shared" si="34"/>
        <v>-2.4934435440581049E-2</v>
      </c>
      <c r="AP147" s="56">
        <f t="shared" si="28"/>
        <v>0</v>
      </c>
      <c r="AQ147" s="56">
        <f t="shared" si="29"/>
        <v>0</v>
      </c>
    </row>
    <row r="148" spans="1:43" x14ac:dyDescent="0.2">
      <c r="A148" s="156" t="s">
        <v>341</v>
      </c>
      <c r="B148" s="156" t="s">
        <v>342</v>
      </c>
      <c r="D148" s="68">
        <f>VLOOKUP(A148,'2018-19 disagg'!A148:AZ356,43,FALSE)</f>
        <v>682617</v>
      </c>
      <c r="E148" s="73">
        <v>1552.8967839292188</v>
      </c>
      <c r="F148" s="55"/>
      <c r="G148" s="88">
        <v>695582.37277986878</v>
      </c>
      <c r="H148" s="81">
        <v>1567.6138917686762</v>
      </c>
      <c r="I148" s="90"/>
      <c r="J148" s="103">
        <f t="shared" si="30"/>
        <v>-1.8639593651652131E-2</v>
      </c>
      <c r="K148" s="126">
        <f t="shared" si="30"/>
        <v>-9.3882223911990748E-3</v>
      </c>
      <c r="L148" s="56">
        <v>702262</v>
      </c>
      <c r="M148" s="103">
        <v>2.312102715837816E-2</v>
      </c>
      <c r="N148" s="97">
        <f>INDEX('Pace of change parameters'!$E$22:$I$22,1,$B$5)</f>
        <v>1.356605044543624E-2</v>
      </c>
      <c r="O148" s="108">
        <f>MAX(IF(INDEX('Pace of change parameters'!$E$30:$I$30,1,$B$5)=1,(1+M148)*D148,D148),L148)</f>
        <v>702262</v>
      </c>
      <c r="P148" s="94">
        <f>IF(K148&lt;INDEX('Pace of change parameters'!$E$18:$I$18,1,$B$5),1,IF(K148&gt;INDEX('Pace of change parameters'!$E$19:$I$19,1,$B$5),0,(K148-INDEX('Pace of change parameters'!$E$19:$I$19,1,$B$5))/(INDEX('Pace of change parameters'!$E$18:$I$18,1,$B$5)-INDEX('Pace of change parameters'!$E$19:$I$19,1,$B$5))))</f>
        <v>0.35115289118365434</v>
      </c>
      <c r="Q148" s="57">
        <v>2.7617923959750046E-2</v>
      </c>
      <c r="R148" s="57">
        <v>1.8020950510276412E-2</v>
      </c>
      <c r="S148" s="9">
        <f>MAX(IF(INDEX('Pace of change parameters'!$E$31:$I$31,1,$B$5)=1,D148*(1+Q148),D148),L148)</f>
        <v>702262</v>
      </c>
      <c r="T148" s="103">
        <f>IF(Q148&lt;INDEX('Pace of change parameters'!$E$24:$I$24,1,$B$5),INDEX('Pace of change parameters'!$E$24:$I$24,1,$B$5),Q148)</f>
        <v>2.7617923959750046E-2</v>
      </c>
      <c r="U148" s="132">
        <v>1.8020950510276412E-2</v>
      </c>
      <c r="V148" s="117">
        <f t="shared" si="31"/>
        <v>702262</v>
      </c>
      <c r="W148" s="131">
        <f>IF(J148&gt;INDEX('Pace of change parameters'!$E$26:$I$26,1,$B$5),0,IF(J148&lt;INDEX('Pace of change parameters'!$E$25:$I$25,1,$B$5),1,(J148-INDEX('Pace of change parameters'!$E$26:$I$26,1,$B$5))/(INDEX('Pace of change parameters'!$E$25:$I$25,1,$B$5)-INDEX('Pace of change parameters'!$E$26:$I$26,1,$B$5))))</f>
        <v>1</v>
      </c>
      <c r="X148" s="132">
        <f>MIN(T148, T148+(INDEX('Pace of change parameters'!$E$27:$I$27,1,$B$5)-T148)*(1-W148))</f>
        <v>2.7617923959750046E-2</v>
      </c>
      <c r="Y148" s="132">
        <v>1.8020950510276412E-2</v>
      </c>
      <c r="Z148" s="108">
        <f t="shared" si="32"/>
        <v>702262</v>
      </c>
      <c r="AA148" s="97">
        <f>MIN(VLOOKUP(A148,'2018-19 disagg'!$A$12:$BB$220,54,FALSE),-2.5%)</f>
        <v>-2.5000000000000001E-2</v>
      </c>
      <c r="AB148" s="99">
        <f t="shared" si="24"/>
        <v>696590.52288106887</v>
      </c>
      <c r="AC148" s="99">
        <f>MAX(IF(INDEX('Pace of change parameters'!$E$29:$I$29,1,$B$5)=1,MAX(AB148,Z148),Z148),L148)</f>
        <v>702262</v>
      </c>
      <c r="AD148" s="97">
        <f t="shared" si="25"/>
        <v>2.8778949249725683E-2</v>
      </c>
      <c r="AE148" s="146">
        <v>1.9171132928964552E-2</v>
      </c>
      <c r="AF148" s="56">
        <f t="shared" si="33"/>
        <v>702262</v>
      </c>
      <c r="AG148" s="56">
        <v>1582.6675745988875</v>
      </c>
      <c r="AH148" s="16">
        <f t="shared" si="26"/>
        <v>2.8778949249725683E-2</v>
      </c>
      <c r="AI148" s="16">
        <f t="shared" si="27"/>
        <v>1.9171132928964552E-2</v>
      </c>
      <c r="AJ148" s="56"/>
      <c r="AK148" s="56">
        <v>714451.81833955785</v>
      </c>
      <c r="AL148" s="56">
        <v>1610.1394159149052</v>
      </c>
      <c r="AM148" s="16">
        <f t="shared" si="34"/>
        <v>-1.706177803268516E-2</v>
      </c>
      <c r="AN148" s="58">
        <f t="shared" si="34"/>
        <v>-1.7061778032685271E-2</v>
      </c>
      <c r="AP148" s="56">
        <f t="shared" si="28"/>
        <v>1</v>
      </c>
      <c r="AQ148" s="56">
        <f t="shared" si="29"/>
        <v>0</v>
      </c>
    </row>
    <row r="149" spans="1:43" x14ac:dyDescent="0.2">
      <c r="A149" s="156" t="s">
        <v>343</v>
      </c>
      <c r="B149" s="156" t="s">
        <v>344</v>
      </c>
      <c r="D149" s="68">
        <f>VLOOKUP(A149,'2018-19 disagg'!A149:AZ357,43,FALSE)</f>
        <v>566404</v>
      </c>
      <c r="E149" s="73">
        <v>1673.8098314897697</v>
      </c>
      <c r="F149" s="55"/>
      <c r="G149" s="88">
        <v>584988.84374944237</v>
      </c>
      <c r="H149" s="81">
        <v>1705.7285200175056</v>
      </c>
      <c r="I149" s="90"/>
      <c r="J149" s="103">
        <f t="shared" si="30"/>
        <v>-3.1769569536273856E-2</v>
      </c>
      <c r="K149" s="126">
        <f t="shared" si="30"/>
        <v>-1.8712642811065994E-2</v>
      </c>
      <c r="L149" s="56">
        <v>585162</v>
      </c>
      <c r="M149" s="103">
        <v>2.7234343896496149E-2</v>
      </c>
      <c r="N149" s="97">
        <f>INDEX('Pace of change parameters'!$E$22:$I$22,1,$B$5)</f>
        <v>1.356605044543624E-2</v>
      </c>
      <c r="O149" s="108">
        <f>MAX(IF(INDEX('Pace of change parameters'!$E$30:$I$30,1,$B$5)=1,(1+M149)*D149,D149),L149)</f>
        <v>585162</v>
      </c>
      <c r="P149" s="94">
        <f>IF(K149&lt;INDEX('Pace of change parameters'!$E$18:$I$18,1,$B$5),1,IF(K149&gt;INDEX('Pace of change parameters'!$E$19:$I$19,1,$B$5),0,(K149-INDEX('Pace of change parameters'!$E$19:$I$19,1,$B$5))/(INDEX('Pace of change parameters'!$E$18:$I$18,1,$B$5)-INDEX('Pace of change parameters'!$E$19:$I$19,1,$B$5))))</f>
        <v>0.64468037559797453</v>
      </c>
      <c r="Q149" s="57">
        <v>3.5523372597996428E-2</v>
      </c>
      <c r="R149" s="57">
        <v>2.1744786030872598E-2</v>
      </c>
      <c r="S149" s="9">
        <f>MAX(IF(INDEX('Pace of change parameters'!$E$31:$I$31,1,$B$5)=1,D149*(1+Q149),D149),L149)</f>
        <v>586524.58033299563</v>
      </c>
      <c r="T149" s="103">
        <f>IF(Q149&lt;INDEX('Pace of change parameters'!$E$24:$I$24,1,$B$5),INDEX('Pace of change parameters'!$E$24:$I$24,1,$B$5),Q149)</f>
        <v>3.5523372597996428E-2</v>
      </c>
      <c r="U149" s="132">
        <v>2.1744786030872598E-2</v>
      </c>
      <c r="V149" s="117">
        <f t="shared" si="31"/>
        <v>586524.58033299563</v>
      </c>
      <c r="W149" s="131">
        <f>IF(J149&gt;INDEX('Pace of change parameters'!$E$26:$I$26,1,$B$5),0,IF(J149&lt;INDEX('Pace of change parameters'!$E$25:$I$25,1,$B$5),1,(J149-INDEX('Pace of change parameters'!$E$26:$I$26,1,$B$5))/(INDEX('Pace of change parameters'!$E$25:$I$25,1,$B$5)-INDEX('Pace of change parameters'!$E$26:$I$26,1,$B$5))))</f>
        <v>1</v>
      </c>
      <c r="X149" s="132">
        <f>MIN(T149, T149+(INDEX('Pace of change parameters'!$E$27:$I$27,1,$B$5)-T149)*(1-W149))</f>
        <v>3.5523372597996428E-2</v>
      </c>
      <c r="Y149" s="132">
        <v>2.1744786030872598E-2</v>
      </c>
      <c r="Z149" s="108">
        <f t="shared" si="32"/>
        <v>586524.58033299563</v>
      </c>
      <c r="AA149" s="97">
        <f>MIN(VLOOKUP(A149,'2018-19 disagg'!$A$12:$BB$220,54,FALSE),-2.5%)</f>
        <v>-2.5405463256512939E-2</v>
      </c>
      <c r="AB149" s="99">
        <f t="shared" si="24"/>
        <v>585845.04589373281</v>
      </c>
      <c r="AC149" s="99">
        <f>MAX(IF(INDEX('Pace of change parameters'!$E$29:$I$29,1,$B$5)=1,MAX(AB149,Z149),Z149),L149)</f>
        <v>586524.58033299563</v>
      </c>
      <c r="AD149" s="97">
        <f t="shared" si="25"/>
        <v>3.5523372597996428E-2</v>
      </c>
      <c r="AE149" s="146">
        <v>2.1744786030872598E-2</v>
      </c>
      <c r="AF149" s="56">
        <f t="shared" si="33"/>
        <v>586524.58033299563</v>
      </c>
      <c r="AG149" s="56">
        <v>1710.2064681318857</v>
      </c>
      <c r="AH149" s="16">
        <f t="shared" si="26"/>
        <v>3.5523372597996428E-2</v>
      </c>
      <c r="AI149" s="16">
        <f t="shared" si="27"/>
        <v>2.1744786030872598E-2</v>
      </c>
      <c r="AJ149" s="56"/>
      <c r="AK149" s="56">
        <v>601116.69397540134</v>
      </c>
      <c r="AL149" s="56">
        <v>1752.7546033196547</v>
      </c>
      <c r="AM149" s="16">
        <f t="shared" si="34"/>
        <v>-2.4275009808665926E-2</v>
      </c>
      <c r="AN149" s="58">
        <f t="shared" si="34"/>
        <v>-2.4275009808665926E-2</v>
      </c>
      <c r="AP149" s="56">
        <f t="shared" si="28"/>
        <v>0</v>
      </c>
      <c r="AQ149" s="56">
        <f t="shared" si="29"/>
        <v>0</v>
      </c>
    </row>
    <row r="150" spans="1:43" x14ac:dyDescent="0.2">
      <c r="A150" s="156" t="s">
        <v>345</v>
      </c>
      <c r="B150" s="156" t="s">
        <v>346</v>
      </c>
      <c r="D150" s="68">
        <f>VLOOKUP(A150,'2018-19 disagg'!A150:AZ358,43,FALSE)</f>
        <v>520319</v>
      </c>
      <c r="E150" s="73">
        <v>1758.5638219321418</v>
      </c>
      <c r="F150" s="55"/>
      <c r="G150" s="88">
        <v>534326.77753809956</v>
      </c>
      <c r="H150" s="81">
        <v>1786.5360613268017</v>
      </c>
      <c r="I150" s="90"/>
      <c r="J150" s="103">
        <f t="shared" si="30"/>
        <v>-2.6215750598613363E-2</v>
      </c>
      <c r="K150" s="126">
        <f t="shared" si="30"/>
        <v>-1.565724868373819E-2</v>
      </c>
      <c r="L150" s="56">
        <v>536114</v>
      </c>
      <c r="M150" s="103">
        <v>2.4555896595709337E-2</v>
      </c>
      <c r="N150" s="97">
        <f>INDEX('Pace of change parameters'!$E$22:$I$22,1,$B$5)</f>
        <v>1.356605044543624E-2</v>
      </c>
      <c r="O150" s="108">
        <f>MAX(IF(INDEX('Pace of change parameters'!$E$30:$I$30,1,$B$5)=1,(1+M150)*D150,D150),L150)</f>
        <v>536114</v>
      </c>
      <c r="P150" s="94">
        <f>IF(K150&lt;INDEX('Pace of change parameters'!$E$18:$I$18,1,$B$5),1,IF(K150&gt;INDEX('Pace of change parameters'!$E$19:$I$19,1,$B$5),0,(K150-INDEX('Pace of change parameters'!$E$19:$I$19,1,$B$5))/(INDEX('Pace of change parameters'!$E$18:$I$18,1,$B$5)-INDEX('Pace of change parameters'!$E$19:$I$19,1,$B$5))))</f>
        <v>0.54849829545731765</v>
      </c>
      <c r="Q150" s="57">
        <v>3.1589868052971815E-2</v>
      </c>
      <c r="R150" s="57">
        <v>2.0524572369493566E-2</v>
      </c>
      <c r="S150" s="9">
        <f>MAX(IF(INDEX('Pace of change parameters'!$E$31:$I$31,1,$B$5)=1,D150*(1+Q150),D150),L150)</f>
        <v>536755.80855545425</v>
      </c>
      <c r="T150" s="103">
        <f>IF(Q150&lt;INDEX('Pace of change parameters'!$E$24:$I$24,1,$B$5),INDEX('Pace of change parameters'!$E$24:$I$24,1,$B$5),Q150)</f>
        <v>3.1589868052971815E-2</v>
      </c>
      <c r="U150" s="132">
        <v>2.0524572369493566E-2</v>
      </c>
      <c r="V150" s="117">
        <f t="shared" si="31"/>
        <v>536755.80855545425</v>
      </c>
      <c r="W150" s="131">
        <f>IF(J150&gt;INDEX('Pace of change parameters'!$E$26:$I$26,1,$B$5),0,IF(J150&lt;INDEX('Pace of change parameters'!$E$25:$I$25,1,$B$5),1,(J150-INDEX('Pace of change parameters'!$E$26:$I$26,1,$B$5))/(INDEX('Pace of change parameters'!$E$25:$I$25,1,$B$5)-INDEX('Pace of change parameters'!$E$26:$I$26,1,$B$5))))</f>
        <v>1</v>
      </c>
      <c r="X150" s="132">
        <f>MIN(T150, T150+(INDEX('Pace of change parameters'!$E$27:$I$27,1,$B$5)-T150)*(1-W150))</f>
        <v>3.1589868052971815E-2</v>
      </c>
      <c r="Y150" s="132">
        <v>2.0524572369493566E-2</v>
      </c>
      <c r="Z150" s="108">
        <f t="shared" si="32"/>
        <v>536755.80855545425</v>
      </c>
      <c r="AA150" s="97">
        <f>MIN(VLOOKUP(A150,'2018-19 disagg'!$A$12:$BB$220,54,FALSE),-2.5%)</f>
        <v>-2.5000000000000001E-2</v>
      </c>
      <c r="AB150" s="99">
        <f t="shared" si="24"/>
        <v>535260.3203721653</v>
      </c>
      <c r="AC150" s="99">
        <f>MAX(IF(INDEX('Pace of change parameters'!$E$29:$I$29,1,$B$5)=1,MAX(AB150,Z150),Z150),L150)</f>
        <v>536755.80855545425</v>
      </c>
      <c r="AD150" s="97">
        <f t="shared" si="25"/>
        <v>3.1589868052971815E-2</v>
      </c>
      <c r="AE150" s="146">
        <v>2.0524572369493566E-2</v>
      </c>
      <c r="AF150" s="56">
        <f t="shared" si="33"/>
        <v>536755.80855545425</v>
      </c>
      <c r="AG150" s="56">
        <v>1794.6575923617611</v>
      </c>
      <c r="AH150" s="16">
        <f t="shared" si="26"/>
        <v>3.1589868052971815E-2</v>
      </c>
      <c r="AI150" s="16">
        <f t="shared" si="27"/>
        <v>2.0524572369493566E-2</v>
      </c>
      <c r="AJ150" s="56"/>
      <c r="AK150" s="56">
        <v>548984.9439714516</v>
      </c>
      <c r="AL150" s="56">
        <v>1835.5460380432432</v>
      </c>
      <c r="AM150" s="16">
        <f t="shared" si="34"/>
        <v>-2.227590310133043E-2</v>
      </c>
      <c r="AN150" s="58">
        <f t="shared" si="34"/>
        <v>-2.2275903101330319E-2</v>
      </c>
      <c r="AP150" s="56">
        <f t="shared" si="28"/>
        <v>0</v>
      </c>
      <c r="AQ150" s="56">
        <f t="shared" si="29"/>
        <v>0</v>
      </c>
    </row>
    <row r="151" spans="1:43" x14ac:dyDescent="0.2">
      <c r="A151" s="156" t="s">
        <v>347</v>
      </c>
      <c r="B151" s="156" t="s">
        <v>348</v>
      </c>
      <c r="D151" s="68">
        <f>VLOOKUP(A151,'2018-19 disagg'!A151:AZ359,43,FALSE)</f>
        <v>357669</v>
      </c>
      <c r="E151" s="73">
        <v>1687.3170792384167</v>
      </c>
      <c r="F151" s="55"/>
      <c r="G151" s="88">
        <v>341498.86203244334</v>
      </c>
      <c r="H151" s="81">
        <v>1605.8940914787916</v>
      </c>
      <c r="I151" s="90"/>
      <c r="J151" s="103">
        <f t="shared" si="30"/>
        <v>4.7350488582361461E-2</v>
      </c>
      <c r="K151" s="126">
        <f t="shared" si="30"/>
        <v>5.0702588789430347E-2</v>
      </c>
      <c r="L151" s="56">
        <v>364736</v>
      </c>
      <c r="M151" s="103">
        <v>1.6810021785130802E-2</v>
      </c>
      <c r="N151" s="97">
        <f>INDEX('Pace of change parameters'!$E$22:$I$22,1,$B$5)</f>
        <v>1.356605044543624E-2</v>
      </c>
      <c r="O151" s="108">
        <f>MAX(IF(INDEX('Pace of change parameters'!$E$30:$I$30,1,$B$5)=1,(1+M151)*D151,D151),L151)</f>
        <v>364736</v>
      </c>
      <c r="P151" s="94">
        <f>IF(K151&lt;INDEX('Pace of change parameters'!$E$18:$I$18,1,$B$5),1,IF(K151&gt;INDEX('Pace of change parameters'!$E$19:$I$19,1,$B$5),0,(K151-INDEX('Pace of change parameters'!$E$19:$I$19,1,$B$5))/(INDEX('Pace of change parameters'!$E$18:$I$18,1,$B$5)-INDEX('Pace of change parameters'!$E$19:$I$19,1,$B$5))))</f>
        <v>0</v>
      </c>
      <c r="Q151" s="57">
        <v>1.6810021785130802E-2</v>
      </c>
      <c r="R151" s="57">
        <v>1.356605044543624E-2</v>
      </c>
      <c r="S151" s="9">
        <f>MAX(IF(INDEX('Pace of change parameters'!$E$31:$I$31,1,$B$5)=1,D151*(1+Q151),D151),L151)</f>
        <v>364736</v>
      </c>
      <c r="T151" s="103">
        <f>IF(Q151&lt;INDEX('Pace of change parameters'!$E$24:$I$24,1,$B$5),INDEX('Pace of change parameters'!$E$24:$I$24,1,$B$5),Q151)</f>
        <v>2.0738822378003872E-2</v>
      </c>
      <c r="U151" s="132">
        <v>1.7482316822232002E-2</v>
      </c>
      <c r="V151" s="117">
        <f t="shared" si="31"/>
        <v>365086.63386111823</v>
      </c>
      <c r="W151" s="131">
        <f>IF(J151&gt;INDEX('Pace of change parameters'!$E$26:$I$26,1,$B$5),0,IF(J151&lt;INDEX('Pace of change parameters'!$E$25:$I$25,1,$B$5),1,(J151-INDEX('Pace of change parameters'!$E$26:$I$26,1,$B$5))/(INDEX('Pace of change parameters'!$E$25:$I$25,1,$B$5)-INDEX('Pace of change parameters'!$E$26:$I$26,1,$B$5))))</f>
        <v>1</v>
      </c>
      <c r="X151" s="132">
        <f>MIN(T151, T151+(INDEX('Pace of change parameters'!$E$27:$I$27,1,$B$5)-T151)*(1-W151))</f>
        <v>2.0738822378003872E-2</v>
      </c>
      <c r="Y151" s="132">
        <v>1.7482316822232002E-2</v>
      </c>
      <c r="Z151" s="108">
        <f t="shared" si="32"/>
        <v>365086.63386111823</v>
      </c>
      <c r="AA151" s="97">
        <f>MIN(VLOOKUP(A151,'2018-19 disagg'!$A$12:$BB$220,54,FALSE),-2.5%)</f>
        <v>-2.5000000000000001E-2</v>
      </c>
      <c r="AB151" s="99">
        <f t="shared" si="24"/>
        <v>342061.31555970979</v>
      </c>
      <c r="AC151" s="99">
        <f>MAX(IF(INDEX('Pace of change parameters'!$E$29:$I$29,1,$B$5)=1,MAX(AB151,Z151),Z151),L151)</f>
        <v>365086.63386111823</v>
      </c>
      <c r="AD151" s="97">
        <f t="shared" si="25"/>
        <v>2.0738822378003841E-2</v>
      </c>
      <c r="AE151" s="146">
        <v>1.7482316822232002E-2</v>
      </c>
      <c r="AF151" s="56">
        <f t="shared" si="33"/>
        <v>365086.63386111823</v>
      </c>
      <c r="AG151" s="56">
        <v>1716.8152909972259</v>
      </c>
      <c r="AH151" s="16">
        <f t="shared" si="26"/>
        <v>2.0738822378003841E-2</v>
      </c>
      <c r="AI151" s="16">
        <f t="shared" si="27"/>
        <v>1.7482316822232002E-2</v>
      </c>
      <c r="AJ151" s="56"/>
      <c r="AK151" s="56">
        <v>350832.11852277926</v>
      </c>
      <c r="AL151" s="56">
        <v>1649.7836124068663</v>
      </c>
      <c r="AM151" s="16">
        <f t="shared" si="34"/>
        <v>4.0630588209424223E-2</v>
      </c>
      <c r="AN151" s="58">
        <f t="shared" si="34"/>
        <v>4.0630588209424223E-2</v>
      </c>
      <c r="AP151" s="56">
        <f t="shared" si="28"/>
        <v>0</v>
      </c>
      <c r="AQ151" s="56">
        <f t="shared" si="29"/>
        <v>0</v>
      </c>
    </row>
    <row r="152" spans="1:43" x14ac:dyDescent="0.2">
      <c r="A152" s="156" t="s">
        <v>349</v>
      </c>
      <c r="B152" s="156" t="s">
        <v>350</v>
      </c>
      <c r="D152" s="68">
        <f>VLOOKUP(A152,'2018-19 disagg'!A152:AZ360,43,FALSE)</f>
        <v>515425</v>
      </c>
      <c r="E152" s="73">
        <v>1643.2539123709848</v>
      </c>
      <c r="F152" s="55"/>
      <c r="G152" s="88">
        <v>529110.45726020681</v>
      </c>
      <c r="H152" s="81">
        <v>1667.5706098879564</v>
      </c>
      <c r="I152" s="90"/>
      <c r="J152" s="103">
        <f t="shared" si="30"/>
        <v>-2.5865028884652252E-2</v>
      </c>
      <c r="K152" s="126">
        <f t="shared" si="30"/>
        <v>-1.458210967066953E-2</v>
      </c>
      <c r="L152" s="56">
        <v>531711</v>
      </c>
      <c r="M152" s="103">
        <v>2.5305680172636791E-2</v>
      </c>
      <c r="N152" s="97">
        <f>INDEX('Pace of change parameters'!$E$22:$I$22,1,$B$5)</f>
        <v>1.356605044543624E-2</v>
      </c>
      <c r="O152" s="108">
        <f>MAX(IF(INDEX('Pace of change parameters'!$E$30:$I$30,1,$B$5)=1,(1+M152)*D152,D152),L152)</f>
        <v>531711</v>
      </c>
      <c r="P152" s="94">
        <f>IF(K152&lt;INDEX('Pace of change parameters'!$E$18:$I$18,1,$B$5),1,IF(K152&gt;INDEX('Pace of change parameters'!$E$19:$I$19,1,$B$5),0,(K152-INDEX('Pace of change parameters'!$E$19:$I$19,1,$B$5))/(INDEX('Pace of change parameters'!$E$18:$I$18,1,$B$5)-INDEX('Pace of change parameters'!$E$19:$I$19,1,$B$5))))</f>
        <v>0.51465352702223643</v>
      </c>
      <c r="Q152" s="57">
        <v>3.191045443723417E-2</v>
      </c>
      <c r="R152" s="57">
        <v>2.0095200819717274E-2</v>
      </c>
      <c r="S152" s="9">
        <f>MAX(IF(INDEX('Pace of change parameters'!$E$31:$I$31,1,$B$5)=1,D152*(1+Q152),D152),L152)</f>
        <v>531872.44597831147</v>
      </c>
      <c r="T152" s="103">
        <f>IF(Q152&lt;INDEX('Pace of change parameters'!$E$24:$I$24,1,$B$5),INDEX('Pace of change parameters'!$E$24:$I$24,1,$B$5),Q152)</f>
        <v>3.191045443723417E-2</v>
      </c>
      <c r="U152" s="132">
        <v>2.0095200819717274E-2</v>
      </c>
      <c r="V152" s="117">
        <f t="shared" si="31"/>
        <v>531872.44597831147</v>
      </c>
      <c r="W152" s="131">
        <f>IF(J152&gt;INDEX('Pace of change parameters'!$E$26:$I$26,1,$B$5),0,IF(J152&lt;INDEX('Pace of change parameters'!$E$25:$I$25,1,$B$5),1,(J152-INDEX('Pace of change parameters'!$E$26:$I$26,1,$B$5))/(INDEX('Pace of change parameters'!$E$25:$I$25,1,$B$5)-INDEX('Pace of change parameters'!$E$26:$I$26,1,$B$5))))</f>
        <v>1</v>
      </c>
      <c r="X152" s="132">
        <f>MIN(T152, T152+(INDEX('Pace of change parameters'!$E$27:$I$27,1,$B$5)-T152)*(1-W152))</f>
        <v>3.191045443723417E-2</v>
      </c>
      <c r="Y152" s="132">
        <v>2.0095200819717274E-2</v>
      </c>
      <c r="Z152" s="108">
        <f t="shared" si="32"/>
        <v>531872.44597831147</v>
      </c>
      <c r="AA152" s="97">
        <f>MIN(VLOOKUP(A152,'2018-19 disagg'!$A$12:$BB$220,54,FALSE),-2.5%)</f>
        <v>-2.5000000000000001E-2</v>
      </c>
      <c r="AB152" s="99">
        <f t="shared" si="24"/>
        <v>530278.75853931659</v>
      </c>
      <c r="AC152" s="99">
        <f>MAX(IF(INDEX('Pace of change parameters'!$E$29:$I$29,1,$B$5)=1,MAX(AB152,Z152),Z152),L152)</f>
        <v>531872.44597831147</v>
      </c>
      <c r="AD152" s="97">
        <f t="shared" si="25"/>
        <v>3.191045443723417E-2</v>
      </c>
      <c r="AE152" s="146">
        <v>2.0095200819717274E-2</v>
      </c>
      <c r="AF152" s="56">
        <f t="shared" si="33"/>
        <v>531872.44597831147</v>
      </c>
      <c r="AG152" s="56">
        <v>1676.275429737866</v>
      </c>
      <c r="AH152" s="16">
        <f t="shared" si="26"/>
        <v>3.191045443723417E-2</v>
      </c>
      <c r="AI152" s="16">
        <f t="shared" si="27"/>
        <v>2.0095200819717274E-2</v>
      </c>
      <c r="AJ152" s="56"/>
      <c r="AK152" s="56">
        <v>543875.64978391444</v>
      </c>
      <c r="AL152" s="56">
        <v>1714.1053187828963</v>
      </c>
      <c r="AM152" s="16">
        <f t="shared" si="34"/>
        <v>-2.2069757692538605E-2</v>
      </c>
      <c r="AN152" s="58">
        <f t="shared" si="34"/>
        <v>-2.2069757692538716E-2</v>
      </c>
      <c r="AP152" s="56">
        <f t="shared" si="28"/>
        <v>0</v>
      </c>
      <c r="AQ152" s="56">
        <f t="shared" si="29"/>
        <v>0</v>
      </c>
    </row>
    <row r="153" spans="1:43" x14ac:dyDescent="0.2">
      <c r="A153" s="156" t="s">
        <v>351</v>
      </c>
      <c r="B153" s="156" t="s">
        <v>352</v>
      </c>
      <c r="D153" s="68">
        <f>VLOOKUP(A153,'2018-19 disagg'!A153:AZ361,43,FALSE)</f>
        <v>407904</v>
      </c>
      <c r="E153" s="73">
        <v>1518.6927410341352</v>
      </c>
      <c r="F153" s="55"/>
      <c r="G153" s="88">
        <v>421572.46832591499</v>
      </c>
      <c r="H153" s="81">
        <v>1552.2772341587854</v>
      </c>
      <c r="I153" s="90"/>
      <c r="J153" s="103">
        <f t="shared" si="30"/>
        <v>-3.2422582955175305E-2</v>
      </c>
      <c r="K153" s="126">
        <f t="shared" si="30"/>
        <v>-2.1635628214859648E-2</v>
      </c>
      <c r="L153" s="56">
        <v>420350</v>
      </c>
      <c r="M153" s="103">
        <v>2.486570556333656E-2</v>
      </c>
      <c r="N153" s="97">
        <f>INDEX('Pace of change parameters'!$E$22:$I$22,1,$B$5)</f>
        <v>1.356605044543624E-2</v>
      </c>
      <c r="O153" s="108">
        <f>MAX(IF(INDEX('Pace of change parameters'!$E$30:$I$30,1,$B$5)=1,(1+M153)*D153,D153),L153)</f>
        <v>420350</v>
      </c>
      <c r="P153" s="94">
        <f>IF(K153&lt;INDEX('Pace of change parameters'!$E$18:$I$18,1,$B$5),1,IF(K153&gt;INDEX('Pace of change parameters'!$E$19:$I$19,1,$B$5),0,(K153-INDEX('Pace of change parameters'!$E$19:$I$19,1,$B$5))/(INDEX('Pace of change parameters'!$E$18:$I$18,1,$B$5)-INDEX('Pace of change parameters'!$E$19:$I$19,1,$B$5))))</f>
        <v>0.73669430396260449</v>
      </c>
      <c r="Q153" s="57">
        <v>3.4315969434031146E-2</v>
      </c>
      <c r="R153" s="57">
        <v>2.2912120447673434E-2</v>
      </c>
      <c r="S153" s="9">
        <f>MAX(IF(INDEX('Pace of change parameters'!$E$31:$I$31,1,$B$5)=1,D153*(1+Q153),D153),L153)</f>
        <v>421901.62119601906</v>
      </c>
      <c r="T153" s="103">
        <f>IF(Q153&lt;INDEX('Pace of change parameters'!$E$24:$I$24,1,$B$5),INDEX('Pace of change parameters'!$E$24:$I$24,1,$B$5),Q153)</f>
        <v>3.4315969434031146E-2</v>
      </c>
      <c r="U153" s="132">
        <v>2.2912120447673434E-2</v>
      </c>
      <c r="V153" s="117">
        <f t="shared" si="31"/>
        <v>421901.62119601906</v>
      </c>
      <c r="W153" s="131">
        <f>IF(J153&gt;INDEX('Pace of change parameters'!$E$26:$I$26,1,$B$5),0,IF(J153&lt;INDEX('Pace of change parameters'!$E$25:$I$25,1,$B$5),1,(J153-INDEX('Pace of change parameters'!$E$26:$I$26,1,$B$5))/(INDEX('Pace of change parameters'!$E$25:$I$25,1,$B$5)-INDEX('Pace of change parameters'!$E$26:$I$26,1,$B$5))))</f>
        <v>1</v>
      </c>
      <c r="X153" s="132">
        <f>MIN(T153, T153+(INDEX('Pace of change parameters'!$E$27:$I$27,1,$B$5)-T153)*(1-W153))</f>
        <v>3.4315969434031146E-2</v>
      </c>
      <c r="Y153" s="132">
        <v>2.2912120447673434E-2</v>
      </c>
      <c r="Z153" s="108">
        <f t="shared" si="32"/>
        <v>421901.62119601906</v>
      </c>
      <c r="AA153" s="97">
        <f>MIN(VLOOKUP(A153,'2018-19 disagg'!$A$12:$BB$220,54,FALSE),-2.5%)</f>
        <v>-2.8306480824744518E-2</v>
      </c>
      <c r="AB153" s="99">
        <f t="shared" si="24"/>
        <v>420868.26540445263</v>
      </c>
      <c r="AC153" s="99">
        <f>MAX(IF(INDEX('Pace of change parameters'!$E$29:$I$29,1,$B$5)=1,MAX(AB153,Z153),Z153),L153)</f>
        <v>421901.62119601906</v>
      </c>
      <c r="AD153" s="97">
        <f t="shared" si="25"/>
        <v>3.4315969434031146E-2</v>
      </c>
      <c r="AE153" s="146">
        <v>2.2912120447673434E-2</v>
      </c>
      <c r="AF153" s="56">
        <f t="shared" si="33"/>
        <v>421901.62119601906</v>
      </c>
      <c r="AG153" s="56">
        <v>1553.4892120397167</v>
      </c>
      <c r="AH153" s="16">
        <f t="shared" si="26"/>
        <v>3.4315969434031146E-2</v>
      </c>
      <c r="AI153" s="16">
        <f t="shared" si="27"/>
        <v>2.2912120447673434E-2</v>
      </c>
      <c r="AJ153" s="56"/>
      <c r="AK153" s="56">
        <v>433128.61215918482</v>
      </c>
      <c r="AL153" s="56">
        <v>1594.828255240127</v>
      </c>
      <c r="AM153" s="16">
        <f t="shared" si="34"/>
        <v>-2.5920686484317446E-2</v>
      </c>
      <c r="AN153" s="58">
        <f t="shared" si="34"/>
        <v>-2.5920686484317446E-2</v>
      </c>
      <c r="AP153" s="56">
        <f t="shared" si="28"/>
        <v>0</v>
      </c>
      <c r="AQ153" s="56">
        <f t="shared" si="29"/>
        <v>0</v>
      </c>
    </row>
    <row r="154" spans="1:43" x14ac:dyDescent="0.2">
      <c r="A154" s="156" t="s">
        <v>353</v>
      </c>
      <c r="B154" s="156" t="s">
        <v>354</v>
      </c>
      <c r="D154" s="68">
        <f>VLOOKUP(A154,'2018-19 disagg'!A154:AZ362,43,FALSE)</f>
        <v>473084</v>
      </c>
      <c r="E154" s="73">
        <v>1716.7829497884541</v>
      </c>
      <c r="F154" s="55"/>
      <c r="G154" s="88">
        <v>489663.05066308111</v>
      </c>
      <c r="H154" s="81">
        <v>1756.9703994513388</v>
      </c>
      <c r="I154" s="90"/>
      <c r="J154" s="103">
        <f t="shared" si="30"/>
        <v>-3.3858079838024246E-2</v>
      </c>
      <c r="K154" s="126">
        <f t="shared" si="30"/>
        <v>-2.2873151235464406E-2</v>
      </c>
      <c r="L154" s="56">
        <v>487182</v>
      </c>
      <c r="M154" s="103">
        <v>2.5090186253822422E-2</v>
      </c>
      <c r="N154" s="97">
        <f>INDEX('Pace of change parameters'!$E$22:$I$22,1,$B$5)</f>
        <v>1.356605044543624E-2</v>
      </c>
      <c r="O154" s="108">
        <f>MAX(IF(INDEX('Pace of change parameters'!$E$30:$I$30,1,$B$5)=1,(1+M154)*D154,D154),L154)</f>
        <v>487182</v>
      </c>
      <c r="P154" s="94">
        <f>IF(K154&lt;INDEX('Pace of change parameters'!$E$18:$I$18,1,$B$5),1,IF(K154&gt;INDEX('Pace of change parameters'!$E$19:$I$19,1,$B$5),0,(K154-INDEX('Pace of change parameters'!$E$19:$I$19,1,$B$5))/(INDEX('Pace of change parameters'!$E$18:$I$18,1,$B$5)-INDEX('Pace of change parameters'!$E$19:$I$19,1,$B$5))))</f>
        <v>0.7756508291712898</v>
      </c>
      <c r="Q154" s="57">
        <v>3.5042361140750655E-2</v>
      </c>
      <c r="R154" s="57">
        <v>2.3406342283903037E-2</v>
      </c>
      <c r="S154" s="9">
        <f>MAX(IF(INDEX('Pace of change parameters'!$E$31:$I$31,1,$B$5)=1,D154*(1+Q154),D154),L154)</f>
        <v>489661.98037791089</v>
      </c>
      <c r="T154" s="103">
        <f>IF(Q154&lt;INDEX('Pace of change parameters'!$E$24:$I$24,1,$B$5),INDEX('Pace of change parameters'!$E$24:$I$24,1,$B$5),Q154)</f>
        <v>3.5042361140750655E-2</v>
      </c>
      <c r="U154" s="132">
        <v>2.3406342283903037E-2</v>
      </c>
      <c r="V154" s="117">
        <f t="shared" si="31"/>
        <v>489661.98037791089</v>
      </c>
      <c r="W154" s="131">
        <f>IF(J154&gt;INDEX('Pace of change parameters'!$E$26:$I$26,1,$B$5),0,IF(J154&lt;INDEX('Pace of change parameters'!$E$25:$I$25,1,$B$5),1,(J154-INDEX('Pace of change parameters'!$E$26:$I$26,1,$B$5))/(INDEX('Pace of change parameters'!$E$25:$I$25,1,$B$5)-INDEX('Pace of change parameters'!$E$26:$I$26,1,$B$5))))</f>
        <v>1</v>
      </c>
      <c r="X154" s="132">
        <f>MIN(T154, T154+(INDEX('Pace of change parameters'!$E$27:$I$27,1,$B$5)-T154)*(1-W154))</f>
        <v>3.5042361140750655E-2</v>
      </c>
      <c r="Y154" s="132">
        <v>2.3406342283903037E-2</v>
      </c>
      <c r="Z154" s="108">
        <f t="shared" si="32"/>
        <v>489661.98037791089</v>
      </c>
      <c r="AA154" s="97">
        <f>MIN(VLOOKUP(A154,'2018-19 disagg'!$A$12:$BB$220,54,FALSE),-2.5%)</f>
        <v>-2.9528100849336214E-2</v>
      </c>
      <c r="AB154" s="99">
        <f t="shared" si="24"/>
        <v>487935.90928161482</v>
      </c>
      <c r="AC154" s="99">
        <f>MAX(IF(INDEX('Pace of change parameters'!$E$29:$I$29,1,$B$5)=1,MAX(AB154,Z154),Z154),L154)</f>
        <v>489661.98037791089</v>
      </c>
      <c r="AD154" s="97">
        <f t="shared" si="25"/>
        <v>3.5042361140750655E-2</v>
      </c>
      <c r="AE154" s="146">
        <v>2.3406342283903037E-2</v>
      </c>
      <c r="AF154" s="56">
        <f t="shared" si="33"/>
        <v>489661.98037791089</v>
      </c>
      <c r="AG154" s="56">
        <v>1756.9665591383716</v>
      </c>
      <c r="AH154" s="16">
        <f t="shared" si="26"/>
        <v>3.5042361140750655E-2</v>
      </c>
      <c r="AI154" s="16">
        <f t="shared" si="27"/>
        <v>2.3406342283903259E-2</v>
      </c>
      <c r="AJ154" s="56"/>
      <c r="AK154" s="56">
        <v>502782.1101349208</v>
      </c>
      <c r="AL154" s="56">
        <v>1804.0431755765762</v>
      </c>
      <c r="AM154" s="16">
        <f t="shared" si="34"/>
        <v>-2.6095060847509344E-2</v>
      </c>
      <c r="AN154" s="58">
        <f t="shared" si="34"/>
        <v>-2.6095060847509233E-2</v>
      </c>
      <c r="AP154" s="56">
        <f t="shared" si="28"/>
        <v>0</v>
      </c>
      <c r="AQ154" s="56">
        <f t="shared" si="29"/>
        <v>0</v>
      </c>
    </row>
    <row r="155" spans="1:43" x14ac:dyDescent="0.2">
      <c r="A155" s="156" t="s">
        <v>355</v>
      </c>
      <c r="B155" s="156" t="s">
        <v>356</v>
      </c>
      <c r="D155" s="68">
        <f>VLOOKUP(A155,'2018-19 disagg'!A155:AZ363,43,FALSE)</f>
        <v>494669</v>
      </c>
      <c r="E155" s="73">
        <v>1553.0201815243286</v>
      </c>
      <c r="F155" s="55"/>
      <c r="G155" s="88">
        <v>510981.97406745097</v>
      </c>
      <c r="H155" s="81">
        <v>1582.6020765996468</v>
      </c>
      <c r="I155" s="90"/>
      <c r="J155" s="103">
        <f t="shared" si="30"/>
        <v>-3.1924754483213191E-2</v>
      </c>
      <c r="K155" s="126">
        <f t="shared" si="30"/>
        <v>-1.8691934954917722E-2</v>
      </c>
      <c r="L155" s="56">
        <v>510962</v>
      </c>
      <c r="M155" s="103">
        <v>2.7420693137381047E-2</v>
      </c>
      <c r="N155" s="97">
        <f>INDEX('Pace of change parameters'!$E$22:$I$22,1,$B$5)</f>
        <v>1.356605044543624E-2</v>
      </c>
      <c r="O155" s="108">
        <f>MAX(IF(INDEX('Pace of change parameters'!$E$30:$I$30,1,$B$5)=1,(1+M155)*D155,D155),L155)</f>
        <v>510962</v>
      </c>
      <c r="P155" s="94">
        <f>IF(K155&lt;INDEX('Pace of change parameters'!$E$18:$I$18,1,$B$5),1,IF(K155&gt;INDEX('Pace of change parameters'!$E$19:$I$19,1,$B$5),0,(K155-INDEX('Pace of change parameters'!$E$19:$I$19,1,$B$5))/(INDEX('Pace of change parameters'!$E$18:$I$18,1,$B$5)-INDEX('Pace of change parameters'!$E$19:$I$19,1,$B$5))))</f>
        <v>0.64402850399104172</v>
      </c>
      <c r="Q155" s="57">
        <v>3.5702842529753864E-2</v>
      </c>
      <c r="R155" s="57">
        <v>2.1736516063753264E-2</v>
      </c>
      <c r="S155" s="9">
        <f>MAX(IF(INDEX('Pace of change parameters'!$E$31:$I$31,1,$B$5)=1,D155*(1+Q155),D155),L155)</f>
        <v>512330.08941135084</v>
      </c>
      <c r="T155" s="103">
        <f>IF(Q155&lt;INDEX('Pace of change parameters'!$E$24:$I$24,1,$B$5),INDEX('Pace of change parameters'!$E$24:$I$24,1,$B$5),Q155)</f>
        <v>3.5702842529753864E-2</v>
      </c>
      <c r="U155" s="132">
        <v>2.1736516063753264E-2</v>
      </c>
      <c r="V155" s="117">
        <f t="shared" si="31"/>
        <v>512330.08941135084</v>
      </c>
      <c r="W155" s="131">
        <f>IF(J155&gt;INDEX('Pace of change parameters'!$E$26:$I$26,1,$B$5),0,IF(J155&lt;INDEX('Pace of change parameters'!$E$25:$I$25,1,$B$5),1,(J155-INDEX('Pace of change parameters'!$E$26:$I$26,1,$B$5))/(INDEX('Pace of change parameters'!$E$25:$I$25,1,$B$5)-INDEX('Pace of change parameters'!$E$26:$I$26,1,$B$5))))</f>
        <v>1</v>
      </c>
      <c r="X155" s="132">
        <f>MIN(T155, T155+(INDEX('Pace of change parameters'!$E$27:$I$27,1,$B$5)-T155)*(1-W155))</f>
        <v>3.5702842529753864E-2</v>
      </c>
      <c r="Y155" s="132">
        <v>2.1736516063753264E-2</v>
      </c>
      <c r="Z155" s="108">
        <f t="shared" si="32"/>
        <v>512330.08941135084</v>
      </c>
      <c r="AA155" s="97">
        <f>MIN(VLOOKUP(A155,'2018-19 disagg'!$A$12:$BB$220,54,FALSE),-2.5%)</f>
        <v>-2.5377641477699053E-2</v>
      </c>
      <c r="AB155" s="99">
        <f t="shared" si="24"/>
        <v>511461.18984194257</v>
      </c>
      <c r="AC155" s="99">
        <f>MAX(IF(INDEX('Pace of change parameters'!$E$29:$I$29,1,$B$5)=1,MAX(AB155,Z155),Z155),L155)</f>
        <v>512330.08941135084</v>
      </c>
      <c r="AD155" s="97">
        <f t="shared" si="25"/>
        <v>3.5702842529753864E-2</v>
      </c>
      <c r="AE155" s="146">
        <v>2.1736516063753264E-2</v>
      </c>
      <c r="AF155" s="56">
        <f t="shared" si="33"/>
        <v>512330.08941135084</v>
      </c>
      <c r="AG155" s="56">
        <v>1586.7774296473656</v>
      </c>
      <c r="AH155" s="16">
        <f t="shared" si="26"/>
        <v>3.5702842529753864E-2</v>
      </c>
      <c r="AI155" s="16">
        <f t="shared" si="27"/>
        <v>2.1736516063753486E-2</v>
      </c>
      <c r="AJ155" s="56"/>
      <c r="AK155" s="56">
        <v>524778.8390750729</v>
      </c>
      <c r="AL155" s="56">
        <v>1625.3334219694646</v>
      </c>
      <c r="AM155" s="16">
        <f t="shared" si="34"/>
        <v>-2.3721897181797735E-2</v>
      </c>
      <c r="AN155" s="58">
        <f t="shared" si="34"/>
        <v>-2.3721897181797624E-2</v>
      </c>
      <c r="AP155" s="56">
        <f t="shared" si="28"/>
        <v>0</v>
      </c>
      <c r="AQ155" s="56">
        <f t="shared" si="29"/>
        <v>0</v>
      </c>
    </row>
    <row r="156" spans="1:43" x14ac:dyDescent="0.2">
      <c r="A156" s="156" t="s">
        <v>357</v>
      </c>
      <c r="B156" s="156" t="s">
        <v>358</v>
      </c>
      <c r="D156" s="68">
        <f>VLOOKUP(A156,'2018-19 disagg'!A156:AZ364,43,FALSE)</f>
        <v>472589</v>
      </c>
      <c r="E156" s="73">
        <v>1477.8058866587287</v>
      </c>
      <c r="F156" s="55"/>
      <c r="G156" s="88">
        <v>486921.89957883337</v>
      </c>
      <c r="H156" s="81">
        <v>1502.6353637162636</v>
      </c>
      <c r="I156" s="90"/>
      <c r="J156" s="103">
        <f t="shared" si="30"/>
        <v>-2.943572591668342E-2</v>
      </c>
      <c r="K156" s="126">
        <f t="shared" si="30"/>
        <v>-1.6523953619810627E-2</v>
      </c>
      <c r="L156" s="56">
        <v>487919</v>
      </c>
      <c r="M156" s="103">
        <v>2.7049891135484616E-2</v>
      </c>
      <c r="N156" s="97">
        <f>INDEX('Pace of change parameters'!$E$22:$I$22,1,$B$5)</f>
        <v>1.356605044543624E-2</v>
      </c>
      <c r="O156" s="108">
        <f>MAX(IF(INDEX('Pace of change parameters'!$E$30:$I$30,1,$B$5)=1,(1+M156)*D156,D156),L156)</f>
        <v>487919</v>
      </c>
      <c r="P156" s="94">
        <f>IF(K156&lt;INDEX('Pace of change parameters'!$E$18:$I$18,1,$B$5),1,IF(K156&gt;INDEX('Pace of change parameters'!$E$19:$I$19,1,$B$5),0,(K156-INDEX('Pace of change parameters'!$E$19:$I$19,1,$B$5))/(INDEX('Pace of change parameters'!$E$18:$I$18,1,$B$5)-INDEX('Pace of change parameters'!$E$19:$I$19,1,$B$5))))</f>
        <v>0.5757816769608779</v>
      </c>
      <c r="Q156" s="57">
        <v>3.4451720063531477E-2</v>
      </c>
      <c r="R156" s="57">
        <v>2.0870702904314253E-2</v>
      </c>
      <c r="S156" s="9">
        <f>MAX(IF(INDEX('Pace of change parameters'!$E$31:$I$31,1,$B$5)=1,D156*(1+Q156),D156),L156)</f>
        <v>488870.50393310428</v>
      </c>
      <c r="T156" s="103">
        <f>IF(Q156&lt;INDEX('Pace of change parameters'!$E$24:$I$24,1,$B$5),INDEX('Pace of change parameters'!$E$24:$I$24,1,$B$5),Q156)</f>
        <v>3.4451720063531477E-2</v>
      </c>
      <c r="U156" s="132">
        <v>2.0870702904314253E-2</v>
      </c>
      <c r="V156" s="117">
        <f t="shared" si="31"/>
        <v>488870.50393310428</v>
      </c>
      <c r="W156" s="131">
        <f>IF(J156&gt;INDEX('Pace of change parameters'!$E$26:$I$26,1,$B$5),0,IF(J156&lt;INDEX('Pace of change parameters'!$E$25:$I$25,1,$B$5),1,(J156-INDEX('Pace of change parameters'!$E$26:$I$26,1,$B$5))/(INDEX('Pace of change parameters'!$E$25:$I$25,1,$B$5)-INDEX('Pace of change parameters'!$E$26:$I$26,1,$B$5))))</f>
        <v>1</v>
      </c>
      <c r="X156" s="132">
        <f>MIN(T156, T156+(INDEX('Pace of change parameters'!$E$27:$I$27,1,$B$5)-T156)*(1-W156))</f>
        <v>3.4451720063531477E-2</v>
      </c>
      <c r="Y156" s="132">
        <v>2.0870702904314253E-2</v>
      </c>
      <c r="Z156" s="108">
        <f t="shared" si="32"/>
        <v>488870.50393310428</v>
      </c>
      <c r="AA156" s="97">
        <f>MIN(VLOOKUP(A156,'2018-19 disagg'!$A$12:$BB$220,54,FALSE),-2.5%)</f>
        <v>-2.5000000000000001E-2</v>
      </c>
      <c r="AB156" s="99">
        <f t="shared" si="24"/>
        <v>487510.484038833</v>
      </c>
      <c r="AC156" s="99">
        <f>MAX(IF(INDEX('Pace of change parameters'!$E$29:$I$29,1,$B$5)=1,MAX(AB156,Z156),Z156),L156)</f>
        <v>488870.50393310428</v>
      </c>
      <c r="AD156" s="97">
        <f t="shared" si="25"/>
        <v>3.4451720063531477E-2</v>
      </c>
      <c r="AE156" s="146">
        <v>2.0870702904314253E-2</v>
      </c>
      <c r="AF156" s="56">
        <f t="shared" si="33"/>
        <v>488870.50393310428</v>
      </c>
      <c r="AG156" s="56">
        <v>1508.6487342694295</v>
      </c>
      <c r="AH156" s="16">
        <f t="shared" si="26"/>
        <v>3.4451720063531477E-2</v>
      </c>
      <c r="AI156" s="16">
        <f t="shared" si="27"/>
        <v>2.0870702904314031E-2</v>
      </c>
      <c r="AJ156" s="56"/>
      <c r="AK156" s="56">
        <v>500010.75286034157</v>
      </c>
      <c r="AL156" s="56">
        <v>1543.0274139163052</v>
      </c>
      <c r="AM156" s="16">
        <f t="shared" si="34"/>
        <v>-2.2280018706615445E-2</v>
      </c>
      <c r="AN156" s="58">
        <f t="shared" si="34"/>
        <v>-2.2280018706615445E-2</v>
      </c>
      <c r="AP156" s="56">
        <f t="shared" si="28"/>
        <v>0</v>
      </c>
      <c r="AQ156" s="56">
        <f t="shared" si="29"/>
        <v>0</v>
      </c>
    </row>
    <row r="157" spans="1:43" x14ac:dyDescent="0.2">
      <c r="A157" s="156" t="s">
        <v>359</v>
      </c>
      <c r="B157" s="156" t="s">
        <v>360</v>
      </c>
      <c r="D157" s="68">
        <f>VLOOKUP(A157,'2018-19 disagg'!A157:AZ365,43,FALSE)</f>
        <v>480565</v>
      </c>
      <c r="E157" s="73">
        <v>1953.5245794833243</v>
      </c>
      <c r="F157" s="55"/>
      <c r="G157" s="88">
        <v>467228.30433632561</v>
      </c>
      <c r="H157" s="81">
        <v>1874.1738384296541</v>
      </c>
      <c r="I157" s="90"/>
      <c r="J157" s="103">
        <f t="shared" si="30"/>
        <v>2.8544280258488319E-2</v>
      </c>
      <c r="K157" s="126">
        <f t="shared" si="30"/>
        <v>4.2339050640124887E-2</v>
      </c>
      <c r="L157" s="56">
        <v>496478</v>
      </c>
      <c r="M157" s="103">
        <v>2.7159933762742838E-2</v>
      </c>
      <c r="N157" s="97">
        <f>INDEX('Pace of change parameters'!$E$22:$I$22,1,$B$5)</f>
        <v>1.356605044543624E-2</v>
      </c>
      <c r="O157" s="108">
        <f>MAX(IF(INDEX('Pace of change parameters'!$E$30:$I$30,1,$B$5)=1,(1+M157)*D157,D157),L157)</f>
        <v>496478</v>
      </c>
      <c r="P157" s="94">
        <f>IF(K157&lt;INDEX('Pace of change parameters'!$E$18:$I$18,1,$B$5),1,IF(K157&gt;INDEX('Pace of change parameters'!$E$19:$I$19,1,$B$5),0,(K157-INDEX('Pace of change parameters'!$E$19:$I$19,1,$B$5))/(INDEX('Pace of change parameters'!$E$18:$I$18,1,$B$5)-INDEX('Pace of change parameters'!$E$19:$I$19,1,$B$5))))</f>
        <v>0</v>
      </c>
      <c r="Q157" s="57">
        <v>2.7159933762742838E-2</v>
      </c>
      <c r="R157" s="57">
        <v>1.356605044543624E-2</v>
      </c>
      <c r="S157" s="9">
        <f>MAX(IF(INDEX('Pace of change parameters'!$E$31:$I$31,1,$B$5)=1,D157*(1+Q157),D157),L157)</f>
        <v>496478</v>
      </c>
      <c r="T157" s="103">
        <f>IF(Q157&lt;INDEX('Pace of change parameters'!$E$24:$I$24,1,$B$5),INDEX('Pace of change parameters'!$E$24:$I$24,1,$B$5),Q157)</f>
        <v>2.7159933762742838E-2</v>
      </c>
      <c r="U157" s="132">
        <v>1.356605044543624E-2</v>
      </c>
      <c r="V157" s="117">
        <f t="shared" si="31"/>
        <v>496478</v>
      </c>
      <c r="W157" s="131">
        <f>IF(J157&gt;INDEX('Pace of change parameters'!$E$26:$I$26,1,$B$5),0,IF(J157&lt;INDEX('Pace of change parameters'!$E$25:$I$25,1,$B$5),1,(J157-INDEX('Pace of change parameters'!$E$26:$I$26,1,$B$5))/(INDEX('Pace of change parameters'!$E$25:$I$25,1,$B$5)-INDEX('Pace of change parameters'!$E$26:$I$26,1,$B$5))))</f>
        <v>1</v>
      </c>
      <c r="X157" s="132">
        <f>MIN(T157, T157+(INDEX('Pace of change parameters'!$E$27:$I$27,1,$B$5)-T157)*(1-W157))</f>
        <v>2.7159933762742838E-2</v>
      </c>
      <c r="Y157" s="132">
        <v>1.356605044543624E-2</v>
      </c>
      <c r="Z157" s="108">
        <f t="shared" si="32"/>
        <v>496478</v>
      </c>
      <c r="AA157" s="97">
        <f>MIN(VLOOKUP(A157,'2018-19 disagg'!$A$12:$BB$220,54,FALSE),-2.5%)</f>
        <v>-2.5000000000000001E-2</v>
      </c>
      <c r="AB157" s="99">
        <f t="shared" si="24"/>
        <v>468206.04737550672</v>
      </c>
      <c r="AC157" s="99">
        <f>MAX(IF(INDEX('Pace of change parameters'!$E$29:$I$29,1,$B$5)=1,MAX(AB157,Z157),Z157),L157)</f>
        <v>496478</v>
      </c>
      <c r="AD157" s="97">
        <f t="shared" si="25"/>
        <v>3.311310644761889E-2</v>
      </c>
      <c r="AE157" s="146">
        <v>1.9440436242130765E-2</v>
      </c>
      <c r="AF157" s="56">
        <f t="shared" si="33"/>
        <v>496478</v>
      </c>
      <c r="AG157" s="56">
        <v>1991.5019495182053</v>
      </c>
      <c r="AH157" s="16">
        <f t="shared" si="26"/>
        <v>3.311310644761889E-2</v>
      </c>
      <c r="AI157" s="16">
        <f t="shared" si="27"/>
        <v>1.9440436242130765E-2</v>
      </c>
      <c r="AJ157" s="56"/>
      <c r="AK157" s="56">
        <v>480211.33064154536</v>
      </c>
      <c r="AL157" s="56">
        <v>1926.2521222559087</v>
      </c>
      <c r="AM157" s="16">
        <f t="shared" si="34"/>
        <v>3.3873980725783737E-2</v>
      </c>
      <c r="AN157" s="58">
        <f t="shared" si="34"/>
        <v>3.3873980725783737E-2</v>
      </c>
      <c r="AP157" s="56">
        <f t="shared" si="28"/>
        <v>1</v>
      </c>
      <c r="AQ157" s="56">
        <f t="shared" si="29"/>
        <v>0</v>
      </c>
    </row>
    <row r="158" spans="1:43" x14ac:dyDescent="0.2">
      <c r="A158" s="156" t="s">
        <v>361</v>
      </c>
      <c r="B158" s="156" t="s">
        <v>362</v>
      </c>
      <c r="D158" s="68">
        <f>VLOOKUP(A158,'2018-19 disagg'!A158:AZ366,43,FALSE)</f>
        <v>309874</v>
      </c>
      <c r="E158" s="73">
        <v>1459.8517499079346</v>
      </c>
      <c r="F158" s="55"/>
      <c r="G158" s="88">
        <v>314513.84313269489</v>
      </c>
      <c r="H158" s="81">
        <v>1461.6287006413149</v>
      </c>
      <c r="I158" s="90"/>
      <c r="J158" s="103">
        <f t="shared" si="30"/>
        <v>-1.4752428975717047E-2</v>
      </c>
      <c r="K158" s="126">
        <f t="shared" si="30"/>
        <v>-1.2157333340544474E-3</v>
      </c>
      <c r="L158" s="56">
        <v>319946</v>
      </c>
      <c r="M158" s="103">
        <v>2.7491824576843626E-2</v>
      </c>
      <c r="N158" s="97">
        <f>INDEX('Pace of change parameters'!$E$22:$I$22,1,$B$5)</f>
        <v>1.356605044543624E-2</v>
      </c>
      <c r="O158" s="108">
        <f>MAX(IF(INDEX('Pace of change parameters'!$E$30:$I$30,1,$B$5)=1,(1+M158)*D158,D158),L158)</f>
        <v>319946</v>
      </c>
      <c r="P158" s="94">
        <f>IF(K158&lt;INDEX('Pace of change parameters'!$E$18:$I$18,1,$B$5),1,IF(K158&gt;INDEX('Pace of change parameters'!$E$19:$I$19,1,$B$5),0,(K158-INDEX('Pace of change parameters'!$E$19:$I$19,1,$B$5))/(INDEX('Pace of change parameters'!$E$18:$I$18,1,$B$5)-INDEX('Pace of change parameters'!$E$19:$I$19,1,$B$5))))</f>
        <v>9.3887554966493592E-2</v>
      </c>
      <c r="Q158" s="57">
        <v>2.8699293790482416E-2</v>
      </c>
      <c r="R158" s="57">
        <v>1.4757154620310242E-2</v>
      </c>
      <c r="S158" s="9">
        <f>MAX(IF(INDEX('Pace of change parameters'!$E$31:$I$31,1,$B$5)=1,D158*(1+Q158),D158),L158)</f>
        <v>319946</v>
      </c>
      <c r="T158" s="103">
        <f>IF(Q158&lt;INDEX('Pace of change parameters'!$E$24:$I$24,1,$B$5),INDEX('Pace of change parameters'!$E$24:$I$24,1,$B$5),Q158)</f>
        <v>2.8699293790482416E-2</v>
      </c>
      <c r="U158" s="132">
        <v>1.4757154620310242E-2</v>
      </c>
      <c r="V158" s="117">
        <f t="shared" si="31"/>
        <v>319946</v>
      </c>
      <c r="W158" s="131">
        <f>IF(J158&gt;INDEX('Pace of change parameters'!$E$26:$I$26,1,$B$5),0,IF(J158&lt;INDEX('Pace of change parameters'!$E$25:$I$25,1,$B$5),1,(J158-INDEX('Pace of change parameters'!$E$26:$I$26,1,$B$5))/(INDEX('Pace of change parameters'!$E$25:$I$25,1,$B$5)-INDEX('Pace of change parameters'!$E$26:$I$26,1,$B$5))))</f>
        <v>1</v>
      </c>
      <c r="X158" s="132">
        <f>MIN(T158, T158+(INDEX('Pace of change parameters'!$E$27:$I$27,1,$B$5)-T158)*(1-W158))</f>
        <v>2.8699293790482416E-2</v>
      </c>
      <c r="Y158" s="132">
        <v>1.4757154620310242E-2</v>
      </c>
      <c r="Z158" s="108">
        <f t="shared" si="32"/>
        <v>319946</v>
      </c>
      <c r="AA158" s="97">
        <f>MIN(VLOOKUP(A158,'2018-19 disagg'!$A$12:$BB$220,54,FALSE),-2.5%)</f>
        <v>-2.5000000000000001E-2</v>
      </c>
      <c r="AB158" s="99">
        <f t="shared" si="24"/>
        <v>314934.73001245357</v>
      </c>
      <c r="AC158" s="99">
        <f>MAX(IF(INDEX('Pace of change parameters'!$E$29:$I$29,1,$B$5)=1,MAX(AB158,Z158),Z158),L158)</f>
        <v>319946</v>
      </c>
      <c r="AD158" s="97">
        <f t="shared" si="25"/>
        <v>3.2503533694340225E-2</v>
      </c>
      <c r="AE158" s="146">
        <v>1.8509835003813979E-2</v>
      </c>
      <c r="AF158" s="56">
        <f t="shared" si="33"/>
        <v>319946</v>
      </c>
      <c r="AG158" s="56">
        <v>1486.8733649287597</v>
      </c>
      <c r="AH158" s="16">
        <f t="shared" si="26"/>
        <v>3.2503533694340225E-2</v>
      </c>
      <c r="AI158" s="16">
        <f t="shared" si="27"/>
        <v>1.8509835003813979E-2</v>
      </c>
      <c r="AJ158" s="56"/>
      <c r="AK158" s="56">
        <v>323009.9794999524</v>
      </c>
      <c r="AL158" s="56">
        <v>1501.1124849964178</v>
      </c>
      <c r="AM158" s="16">
        <f t="shared" si="34"/>
        <v>-9.485711570570432E-3</v>
      </c>
      <c r="AN158" s="58">
        <f t="shared" si="34"/>
        <v>-9.485711570570432E-3</v>
      </c>
      <c r="AP158" s="56">
        <f t="shared" si="28"/>
        <v>1</v>
      </c>
      <c r="AQ158" s="56">
        <f t="shared" si="29"/>
        <v>0</v>
      </c>
    </row>
    <row r="159" spans="1:43" x14ac:dyDescent="0.2">
      <c r="A159" s="156" t="s">
        <v>363</v>
      </c>
      <c r="B159" s="156" t="s">
        <v>364</v>
      </c>
      <c r="D159" s="68">
        <f>VLOOKUP(A159,'2018-19 disagg'!A159:AZ367,43,FALSE)</f>
        <v>698514</v>
      </c>
      <c r="E159" s="73">
        <v>1760.3276563304039</v>
      </c>
      <c r="F159" s="55"/>
      <c r="G159" s="88">
        <v>707400.71390352421</v>
      </c>
      <c r="H159" s="81">
        <v>1765.5083515055408</v>
      </c>
      <c r="I159" s="90"/>
      <c r="J159" s="103">
        <f t="shared" si="30"/>
        <v>-1.2562489306076952E-2</v>
      </c>
      <c r="K159" s="126">
        <f t="shared" si="30"/>
        <v>-2.9343929020324566E-3</v>
      </c>
      <c r="L159" s="56">
        <v>719694</v>
      </c>
      <c r="M159" s="103">
        <v>2.344891547726724E-2</v>
      </c>
      <c r="N159" s="97">
        <f>INDEX('Pace of change parameters'!$E$22:$I$22,1,$B$5)</f>
        <v>1.356605044543624E-2</v>
      </c>
      <c r="O159" s="108">
        <f>MAX(IF(INDEX('Pace of change parameters'!$E$30:$I$30,1,$B$5)=1,(1+M159)*D159,D159),L159)</f>
        <v>719694</v>
      </c>
      <c r="P159" s="94">
        <f>IF(K159&lt;INDEX('Pace of change parameters'!$E$18:$I$18,1,$B$5),1,IF(K159&gt;INDEX('Pace of change parameters'!$E$19:$I$19,1,$B$5),0,(K159-INDEX('Pace of change parameters'!$E$19:$I$19,1,$B$5))/(INDEX('Pace of change parameters'!$E$18:$I$18,1,$B$5)-INDEX('Pace of change parameters'!$E$19:$I$19,1,$B$5))))</f>
        <v>0.14798998673569383</v>
      </c>
      <c r="Q159" s="57">
        <v>2.5344696465495087E-2</v>
      </c>
      <c r="R159" s="57">
        <v>1.5443524953142163E-2</v>
      </c>
      <c r="S159" s="9">
        <f>MAX(IF(INDEX('Pace of change parameters'!$E$31:$I$31,1,$B$5)=1,D159*(1+Q159),D159),L159)</f>
        <v>719694</v>
      </c>
      <c r="T159" s="103">
        <f>IF(Q159&lt;INDEX('Pace of change parameters'!$E$24:$I$24,1,$B$5),INDEX('Pace of change parameters'!$E$24:$I$24,1,$B$5),Q159)</f>
        <v>2.5344696465495087E-2</v>
      </c>
      <c r="U159" s="132">
        <v>1.5443524953142163E-2</v>
      </c>
      <c r="V159" s="117">
        <f t="shared" si="31"/>
        <v>719694</v>
      </c>
      <c r="W159" s="131">
        <f>IF(J159&gt;INDEX('Pace of change parameters'!$E$26:$I$26,1,$B$5),0,IF(J159&lt;INDEX('Pace of change parameters'!$E$25:$I$25,1,$B$5),1,(J159-INDEX('Pace of change parameters'!$E$26:$I$26,1,$B$5))/(INDEX('Pace of change parameters'!$E$25:$I$25,1,$B$5)-INDEX('Pace of change parameters'!$E$26:$I$26,1,$B$5))))</f>
        <v>1</v>
      </c>
      <c r="X159" s="132">
        <f>MIN(T159, T159+(INDEX('Pace of change parameters'!$E$27:$I$27,1,$B$5)-T159)*(1-W159))</f>
        <v>2.5344696465495087E-2</v>
      </c>
      <c r="Y159" s="132">
        <v>1.5443524953142163E-2</v>
      </c>
      <c r="Z159" s="108">
        <f t="shared" si="32"/>
        <v>719694</v>
      </c>
      <c r="AA159" s="97">
        <f>MIN(VLOOKUP(A159,'2018-19 disagg'!$A$12:$BB$220,54,FALSE),-2.5%)</f>
        <v>-2.5000000000000001E-2</v>
      </c>
      <c r="AB159" s="99">
        <f t="shared" si="24"/>
        <v>709252.24249550758</v>
      </c>
      <c r="AC159" s="99">
        <f>MAX(IF(INDEX('Pace of change parameters'!$E$29:$I$29,1,$B$5)=1,MAX(AB159,Z159),Z159),L159)</f>
        <v>719694</v>
      </c>
      <c r="AD159" s="97">
        <f t="shared" si="25"/>
        <v>3.0321511093549969E-2</v>
      </c>
      <c r="AE159" s="146">
        <v>2.0372281308318252E-2</v>
      </c>
      <c r="AF159" s="56">
        <f t="shared" si="33"/>
        <v>719694</v>
      </c>
      <c r="AG159" s="56">
        <v>1796.1895465399791</v>
      </c>
      <c r="AH159" s="16">
        <f t="shared" si="26"/>
        <v>3.0321511093549969E-2</v>
      </c>
      <c r="AI159" s="16">
        <f t="shared" si="27"/>
        <v>2.037228130831803E-2</v>
      </c>
      <c r="AJ159" s="56"/>
      <c r="AK159" s="56">
        <v>727438.19743128982</v>
      </c>
      <c r="AL159" s="56">
        <v>1815.5172698118481</v>
      </c>
      <c r="AM159" s="16">
        <f t="shared" si="34"/>
        <v>-1.0645849308760447E-2</v>
      </c>
      <c r="AN159" s="58">
        <f t="shared" si="34"/>
        <v>-1.0645849308760336E-2</v>
      </c>
      <c r="AP159" s="56">
        <f t="shared" si="28"/>
        <v>1</v>
      </c>
      <c r="AQ159" s="56">
        <f t="shared" si="29"/>
        <v>0</v>
      </c>
    </row>
    <row r="160" spans="1:43" x14ac:dyDescent="0.2">
      <c r="A160" s="156" t="s">
        <v>365</v>
      </c>
      <c r="B160" s="156" t="s">
        <v>366</v>
      </c>
      <c r="D160" s="68">
        <f>VLOOKUP(A160,'2018-19 disagg'!A160:AZ368,43,FALSE)</f>
        <v>592066</v>
      </c>
      <c r="E160" s="73">
        <v>1814.8890202335344</v>
      </c>
      <c r="F160" s="55"/>
      <c r="G160" s="88">
        <v>589659.36605752527</v>
      </c>
      <c r="H160" s="81">
        <v>1784.2348864259179</v>
      </c>
      <c r="I160" s="90"/>
      <c r="J160" s="103">
        <f t="shared" si="30"/>
        <v>4.0813969573070263E-3</v>
      </c>
      <c r="K160" s="126">
        <f t="shared" si="30"/>
        <v>1.7180548391261041E-2</v>
      </c>
      <c r="L160" s="56">
        <v>611429</v>
      </c>
      <c r="M160" s="103">
        <v>2.6788937776416333E-2</v>
      </c>
      <c r="N160" s="97">
        <f>INDEX('Pace of change parameters'!$E$22:$I$22,1,$B$5)</f>
        <v>1.356605044543624E-2</v>
      </c>
      <c r="O160" s="108">
        <f>MAX(IF(INDEX('Pace of change parameters'!$E$30:$I$30,1,$B$5)=1,(1+M160)*D160,D160),L160)</f>
        <v>611429</v>
      </c>
      <c r="P160" s="94">
        <f>IF(K160&lt;INDEX('Pace of change parameters'!$E$18:$I$18,1,$B$5),1,IF(K160&gt;INDEX('Pace of change parameters'!$E$19:$I$19,1,$B$5),0,(K160-INDEX('Pace of change parameters'!$E$19:$I$19,1,$B$5))/(INDEX('Pace of change parameters'!$E$18:$I$18,1,$B$5)-INDEX('Pace of change parameters'!$E$19:$I$19,1,$B$5))))</f>
        <v>0</v>
      </c>
      <c r="Q160" s="57">
        <v>2.6788937776416333E-2</v>
      </c>
      <c r="R160" s="57">
        <v>1.356605044543624E-2</v>
      </c>
      <c r="S160" s="9">
        <f>MAX(IF(INDEX('Pace of change parameters'!$E$31:$I$31,1,$B$5)=1,D160*(1+Q160),D160),L160)</f>
        <v>611429</v>
      </c>
      <c r="T160" s="103">
        <f>IF(Q160&lt;INDEX('Pace of change parameters'!$E$24:$I$24,1,$B$5),INDEX('Pace of change parameters'!$E$24:$I$24,1,$B$5),Q160)</f>
        <v>2.6788937776416333E-2</v>
      </c>
      <c r="U160" s="132">
        <v>1.356605044543624E-2</v>
      </c>
      <c r="V160" s="117">
        <f t="shared" si="31"/>
        <v>611429</v>
      </c>
      <c r="W160" s="131">
        <f>IF(J160&gt;INDEX('Pace of change parameters'!$E$26:$I$26,1,$B$5),0,IF(J160&lt;INDEX('Pace of change parameters'!$E$25:$I$25,1,$B$5),1,(J160-INDEX('Pace of change parameters'!$E$26:$I$26,1,$B$5))/(INDEX('Pace of change parameters'!$E$25:$I$25,1,$B$5)-INDEX('Pace of change parameters'!$E$26:$I$26,1,$B$5))))</f>
        <v>1</v>
      </c>
      <c r="X160" s="132">
        <f>MIN(T160, T160+(INDEX('Pace of change parameters'!$E$27:$I$27,1,$B$5)-T160)*(1-W160))</f>
        <v>2.6788937776416333E-2</v>
      </c>
      <c r="Y160" s="132">
        <v>1.356605044543624E-2</v>
      </c>
      <c r="Z160" s="108">
        <f t="shared" si="32"/>
        <v>611429</v>
      </c>
      <c r="AA160" s="97">
        <f>MIN(VLOOKUP(A160,'2018-19 disagg'!$A$12:$BB$220,54,FALSE),-2.5%)</f>
        <v>-2.5000000000000001E-2</v>
      </c>
      <c r="AB160" s="99">
        <f t="shared" si="24"/>
        <v>590811.96750754712</v>
      </c>
      <c r="AC160" s="99">
        <f>MAX(IF(INDEX('Pace of change parameters'!$E$29:$I$29,1,$B$5)=1,MAX(AB160,Z160),Z160),L160)</f>
        <v>611429</v>
      </c>
      <c r="AD160" s="97">
        <f t="shared" si="25"/>
        <v>3.2704124202369345E-2</v>
      </c>
      <c r="AE160" s="146">
        <v>1.940506168019418E-2</v>
      </c>
      <c r="AF160" s="56">
        <f t="shared" si="33"/>
        <v>611429</v>
      </c>
      <c r="AG160" s="56">
        <v>1850.1070536138734</v>
      </c>
      <c r="AH160" s="16">
        <f t="shared" si="26"/>
        <v>3.2704124202369345E-2</v>
      </c>
      <c r="AI160" s="16">
        <f t="shared" si="27"/>
        <v>1.940506168019418E-2</v>
      </c>
      <c r="AJ160" s="56"/>
      <c r="AK160" s="56">
        <v>605960.99231543299</v>
      </c>
      <c r="AL160" s="56">
        <v>1833.5615518688921</v>
      </c>
      <c r="AM160" s="16">
        <f t="shared" si="34"/>
        <v>9.0236958383629329E-3</v>
      </c>
      <c r="AN160" s="58">
        <f t="shared" si="34"/>
        <v>9.0236958383627108E-3</v>
      </c>
      <c r="AP160" s="56">
        <f t="shared" si="28"/>
        <v>1</v>
      </c>
      <c r="AQ160" s="56">
        <f t="shared" si="29"/>
        <v>0</v>
      </c>
    </row>
    <row r="161" spans="1:43" x14ac:dyDescent="0.2">
      <c r="A161" s="156" t="s">
        <v>367</v>
      </c>
      <c r="B161" s="156" t="s">
        <v>368</v>
      </c>
      <c r="D161" s="68">
        <f>VLOOKUP(A161,'2018-19 disagg'!A161:AZ369,43,FALSE)</f>
        <v>340911</v>
      </c>
      <c r="E161" s="73">
        <v>1485.9433389923745</v>
      </c>
      <c r="F161" s="55"/>
      <c r="G161" s="88">
        <v>343842.64861148846</v>
      </c>
      <c r="H161" s="81">
        <v>1480.8205726504584</v>
      </c>
      <c r="I161" s="90"/>
      <c r="J161" s="103">
        <f t="shared" si="30"/>
        <v>-8.5261343330360617E-3</v>
      </c>
      <c r="K161" s="126">
        <f t="shared" si="30"/>
        <v>3.4594105704157663E-3</v>
      </c>
      <c r="L161" s="56">
        <v>351403</v>
      </c>
      <c r="M161" s="103">
        <v>2.5818659244212894E-2</v>
      </c>
      <c r="N161" s="97">
        <f>INDEX('Pace of change parameters'!$E$22:$I$22,1,$B$5)</f>
        <v>1.356605044543624E-2</v>
      </c>
      <c r="O161" s="108">
        <f>MAX(IF(INDEX('Pace of change parameters'!$E$30:$I$30,1,$B$5)=1,(1+M161)*D161,D161),L161)</f>
        <v>351403</v>
      </c>
      <c r="P161" s="94">
        <f>IF(K161&lt;INDEX('Pace of change parameters'!$E$18:$I$18,1,$B$5),1,IF(K161&gt;INDEX('Pace of change parameters'!$E$19:$I$19,1,$B$5),0,(K161-INDEX('Pace of change parameters'!$E$19:$I$19,1,$B$5))/(INDEX('Pace of change parameters'!$E$18:$I$18,1,$B$5)-INDEX('Pace of change parameters'!$E$19:$I$19,1,$B$5))))</f>
        <v>0</v>
      </c>
      <c r="Q161" s="57">
        <v>2.5818659244212894E-2</v>
      </c>
      <c r="R161" s="57">
        <v>1.356605044543624E-2</v>
      </c>
      <c r="S161" s="9">
        <f>MAX(IF(INDEX('Pace of change parameters'!$E$31:$I$31,1,$B$5)=1,D161*(1+Q161),D161),L161)</f>
        <v>351403</v>
      </c>
      <c r="T161" s="103">
        <f>IF(Q161&lt;INDEX('Pace of change parameters'!$E$24:$I$24,1,$B$5),INDEX('Pace of change parameters'!$E$24:$I$24,1,$B$5),Q161)</f>
        <v>2.5818659244212894E-2</v>
      </c>
      <c r="U161" s="132">
        <v>1.356605044543624E-2</v>
      </c>
      <c r="V161" s="117">
        <f t="shared" si="31"/>
        <v>351403</v>
      </c>
      <c r="W161" s="131">
        <f>IF(J161&gt;INDEX('Pace of change parameters'!$E$26:$I$26,1,$B$5),0,IF(J161&lt;INDEX('Pace of change parameters'!$E$25:$I$25,1,$B$5),1,(J161-INDEX('Pace of change parameters'!$E$26:$I$26,1,$B$5))/(INDEX('Pace of change parameters'!$E$25:$I$25,1,$B$5)-INDEX('Pace of change parameters'!$E$26:$I$26,1,$B$5))))</f>
        <v>1</v>
      </c>
      <c r="X161" s="132">
        <f>MIN(T161, T161+(INDEX('Pace of change parameters'!$E$27:$I$27,1,$B$5)-T161)*(1-W161))</f>
        <v>2.5818659244212894E-2</v>
      </c>
      <c r="Y161" s="132">
        <v>1.356605044543624E-2</v>
      </c>
      <c r="Z161" s="108">
        <f t="shared" si="32"/>
        <v>351403</v>
      </c>
      <c r="AA161" s="97">
        <f>MIN(VLOOKUP(A161,'2018-19 disagg'!$A$12:$BB$220,54,FALSE),-2.5%)</f>
        <v>-2.5000000000000001E-2</v>
      </c>
      <c r="AB161" s="99">
        <f t="shared" si="24"/>
        <v>344359.16787662118</v>
      </c>
      <c r="AC161" s="99">
        <f>MAX(IF(INDEX('Pace of change parameters'!$E$29:$I$29,1,$B$5)=1,MAX(AB161,Z161),Z161),L161)</f>
        <v>351403</v>
      </c>
      <c r="AD161" s="97">
        <f t="shared" si="25"/>
        <v>3.0776360985711904E-2</v>
      </c>
      <c r="AE161" s="146">
        <v>1.8464536282221333E-2</v>
      </c>
      <c r="AF161" s="56">
        <f t="shared" si="33"/>
        <v>351403</v>
      </c>
      <c r="AG161" s="56">
        <v>1513.3805936885242</v>
      </c>
      <c r="AH161" s="16">
        <f t="shared" si="26"/>
        <v>3.0776360985711904E-2</v>
      </c>
      <c r="AI161" s="16">
        <f t="shared" si="27"/>
        <v>1.8464536282221333E-2</v>
      </c>
      <c r="AJ161" s="56"/>
      <c r="AK161" s="56">
        <v>353188.89012986788</v>
      </c>
      <c r="AL161" s="56">
        <v>1521.0718526276967</v>
      </c>
      <c r="AM161" s="16">
        <f t="shared" si="34"/>
        <v>-5.0564731218222247E-3</v>
      </c>
      <c r="AN161" s="58">
        <f t="shared" si="34"/>
        <v>-5.0564731218223358E-3</v>
      </c>
      <c r="AP161" s="56">
        <f t="shared" si="28"/>
        <v>1</v>
      </c>
      <c r="AQ161" s="56">
        <f t="shared" si="29"/>
        <v>0</v>
      </c>
    </row>
    <row r="162" spans="1:43" x14ac:dyDescent="0.2">
      <c r="A162" s="156" t="s">
        <v>369</v>
      </c>
      <c r="B162" s="156" t="s">
        <v>370</v>
      </c>
      <c r="D162" s="68">
        <f>VLOOKUP(A162,'2018-19 disagg'!A162:AZ370,43,FALSE)</f>
        <v>598389</v>
      </c>
      <c r="E162" s="73">
        <v>1537.6274206140765</v>
      </c>
      <c r="F162" s="55"/>
      <c r="G162" s="88">
        <v>588857.46518836089</v>
      </c>
      <c r="H162" s="81">
        <v>1493.1189944991245</v>
      </c>
      <c r="I162" s="90"/>
      <c r="J162" s="103">
        <f t="shared" si="30"/>
        <v>1.618648887908769E-2</v>
      </c>
      <c r="K162" s="126">
        <f t="shared" si="30"/>
        <v>2.9809028134346827E-2</v>
      </c>
      <c r="L162" s="56">
        <v>617812</v>
      </c>
      <c r="M162" s="103">
        <v>2.7153461281041125E-2</v>
      </c>
      <c r="N162" s="97">
        <f>INDEX('Pace of change parameters'!$E$22:$I$22,1,$B$5)</f>
        <v>1.356605044543624E-2</v>
      </c>
      <c r="O162" s="108">
        <f>MAX(IF(INDEX('Pace of change parameters'!$E$30:$I$30,1,$B$5)=1,(1+M162)*D162,D162),L162)</f>
        <v>617812</v>
      </c>
      <c r="P162" s="94">
        <f>IF(K162&lt;INDEX('Pace of change parameters'!$E$18:$I$18,1,$B$5),1,IF(K162&gt;INDEX('Pace of change parameters'!$E$19:$I$19,1,$B$5),0,(K162-INDEX('Pace of change parameters'!$E$19:$I$19,1,$B$5))/(INDEX('Pace of change parameters'!$E$18:$I$18,1,$B$5)-INDEX('Pace of change parameters'!$E$19:$I$19,1,$B$5))))</f>
        <v>0</v>
      </c>
      <c r="Q162" s="57">
        <v>2.7153461281041125E-2</v>
      </c>
      <c r="R162" s="57">
        <v>1.356605044543624E-2</v>
      </c>
      <c r="S162" s="9">
        <f>MAX(IF(INDEX('Pace of change parameters'!$E$31:$I$31,1,$B$5)=1,D162*(1+Q162),D162),L162)</f>
        <v>617812</v>
      </c>
      <c r="T162" s="103">
        <f>IF(Q162&lt;INDEX('Pace of change parameters'!$E$24:$I$24,1,$B$5),INDEX('Pace of change parameters'!$E$24:$I$24,1,$B$5),Q162)</f>
        <v>2.7153461281041125E-2</v>
      </c>
      <c r="U162" s="132">
        <v>1.356605044543624E-2</v>
      </c>
      <c r="V162" s="117">
        <f t="shared" si="31"/>
        <v>617812</v>
      </c>
      <c r="W162" s="131">
        <f>IF(J162&gt;INDEX('Pace of change parameters'!$E$26:$I$26,1,$B$5),0,IF(J162&lt;INDEX('Pace of change parameters'!$E$25:$I$25,1,$B$5),1,(J162-INDEX('Pace of change parameters'!$E$26:$I$26,1,$B$5))/(INDEX('Pace of change parameters'!$E$25:$I$25,1,$B$5)-INDEX('Pace of change parameters'!$E$26:$I$26,1,$B$5))))</f>
        <v>1</v>
      </c>
      <c r="X162" s="132">
        <f>MIN(T162, T162+(INDEX('Pace of change parameters'!$E$27:$I$27,1,$B$5)-T162)*(1-W162))</f>
        <v>2.7153461281041125E-2</v>
      </c>
      <c r="Y162" s="132">
        <v>1.356605044543624E-2</v>
      </c>
      <c r="Z162" s="108">
        <f t="shared" si="32"/>
        <v>617812</v>
      </c>
      <c r="AA162" s="97">
        <f>MIN(VLOOKUP(A162,'2018-19 disagg'!$A$12:$BB$220,54,FALSE),-2.5%)</f>
        <v>-2.5000000000000001E-2</v>
      </c>
      <c r="AB162" s="99">
        <f t="shared" si="24"/>
        <v>589759.92760544736</v>
      </c>
      <c r="AC162" s="99">
        <f>MAX(IF(INDEX('Pace of change parameters'!$E$29:$I$29,1,$B$5)=1,MAX(AB162,Z162),Z162),L162)</f>
        <v>617812</v>
      </c>
      <c r="AD162" s="97">
        <f t="shared" si="25"/>
        <v>3.2458818594593097E-2</v>
      </c>
      <c r="AE162" s="146">
        <v>1.8801227331071368E-2</v>
      </c>
      <c r="AF162" s="56">
        <f t="shared" si="33"/>
        <v>617812</v>
      </c>
      <c r="AG162" s="56">
        <v>1566.5367032995307</v>
      </c>
      <c r="AH162" s="16">
        <f t="shared" si="26"/>
        <v>3.2458818594593097E-2</v>
      </c>
      <c r="AI162" s="16">
        <f t="shared" si="27"/>
        <v>1.8801227331071368E-2</v>
      </c>
      <c r="AJ162" s="56"/>
      <c r="AK162" s="56">
        <v>604881.97703122802</v>
      </c>
      <c r="AL162" s="56">
        <v>1533.7510734394968</v>
      </c>
      <c r="AM162" s="16">
        <f t="shared" si="34"/>
        <v>2.1376108827432461E-2</v>
      </c>
      <c r="AN162" s="58">
        <f t="shared" si="34"/>
        <v>2.1376108827432239E-2</v>
      </c>
      <c r="AP162" s="56">
        <f t="shared" si="28"/>
        <v>1</v>
      </c>
      <c r="AQ162" s="56">
        <f t="shared" si="29"/>
        <v>0</v>
      </c>
    </row>
    <row r="163" spans="1:43" x14ac:dyDescent="0.2">
      <c r="A163" s="156" t="s">
        <v>371</v>
      </c>
      <c r="B163" s="156" t="s">
        <v>372</v>
      </c>
      <c r="D163" s="68">
        <f>VLOOKUP(A163,'2018-19 disagg'!A163:AZ371,43,FALSE)</f>
        <v>476173</v>
      </c>
      <c r="E163" s="73">
        <v>1501.1510341003996</v>
      </c>
      <c r="F163" s="55"/>
      <c r="G163" s="88">
        <v>492125.95237952517</v>
      </c>
      <c r="H163" s="81">
        <v>1525.8824159678147</v>
      </c>
      <c r="I163" s="90"/>
      <c r="J163" s="103">
        <f t="shared" si="30"/>
        <v>-3.2416401334637079E-2</v>
      </c>
      <c r="K163" s="126">
        <f t="shared" si="30"/>
        <v>-1.620792114032521E-2</v>
      </c>
      <c r="L163" s="56">
        <v>493185</v>
      </c>
      <c r="M163" s="103">
        <v>3.0544805849033629E-2</v>
      </c>
      <c r="N163" s="97">
        <f>INDEX('Pace of change parameters'!$E$22:$I$22,1,$B$5)</f>
        <v>1.356605044543624E-2</v>
      </c>
      <c r="O163" s="108">
        <f>MAX(IF(INDEX('Pace of change parameters'!$E$30:$I$30,1,$B$5)=1,(1+M163)*D163,D163),L163)</f>
        <v>493185</v>
      </c>
      <c r="P163" s="94">
        <f>IF(K163&lt;INDEX('Pace of change parameters'!$E$18:$I$18,1,$B$5),1,IF(K163&gt;INDEX('Pace of change parameters'!$E$19:$I$19,1,$B$5),0,(K163-INDEX('Pace of change parameters'!$E$19:$I$19,1,$B$5))/(INDEX('Pace of change parameters'!$E$18:$I$18,1,$B$5)-INDEX('Pace of change parameters'!$E$19:$I$19,1,$B$5))))</f>
        <v>0.56583315313639138</v>
      </c>
      <c r="Q163" s="57">
        <v>3.7843496064285054E-2</v>
      </c>
      <c r="R163" s="57">
        <v>2.0744490987671949E-2</v>
      </c>
      <c r="S163" s="9">
        <f>MAX(IF(INDEX('Pace of change parameters'!$E$31:$I$31,1,$B$5)=1,D163*(1+Q163),D163),L163)</f>
        <v>494193.05105141882</v>
      </c>
      <c r="T163" s="103">
        <f>IF(Q163&lt;INDEX('Pace of change parameters'!$E$24:$I$24,1,$B$5),INDEX('Pace of change parameters'!$E$24:$I$24,1,$B$5),Q163)</f>
        <v>3.7843496064285054E-2</v>
      </c>
      <c r="U163" s="132">
        <v>2.0744490987671949E-2</v>
      </c>
      <c r="V163" s="117">
        <f t="shared" si="31"/>
        <v>494193.05105141882</v>
      </c>
      <c r="W163" s="131">
        <f>IF(J163&gt;INDEX('Pace of change parameters'!$E$26:$I$26,1,$B$5),0,IF(J163&lt;INDEX('Pace of change parameters'!$E$25:$I$25,1,$B$5),1,(J163-INDEX('Pace of change parameters'!$E$26:$I$26,1,$B$5))/(INDEX('Pace of change parameters'!$E$25:$I$25,1,$B$5)-INDEX('Pace of change parameters'!$E$26:$I$26,1,$B$5))))</f>
        <v>1</v>
      </c>
      <c r="X163" s="132">
        <f>MIN(T163, T163+(INDEX('Pace of change parameters'!$E$27:$I$27,1,$B$5)-T163)*(1-W163))</f>
        <v>3.7843496064285054E-2</v>
      </c>
      <c r="Y163" s="132">
        <v>2.0744490987671949E-2</v>
      </c>
      <c r="Z163" s="108">
        <f t="shared" si="32"/>
        <v>494193.05105141882</v>
      </c>
      <c r="AA163" s="97">
        <f>MIN(VLOOKUP(A163,'2018-19 disagg'!$A$12:$BB$220,54,FALSE),-2.5%)</f>
        <v>-2.5000000000000001E-2</v>
      </c>
      <c r="AB163" s="99">
        <f t="shared" si="24"/>
        <v>492757.38102581498</v>
      </c>
      <c r="AC163" s="99">
        <f>MAX(IF(INDEX('Pace of change parameters'!$E$29:$I$29,1,$B$5)=1,MAX(AB163,Z163),Z163),L163)</f>
        <v>494193.05105141882</v>
      </c>
      <c r="AD163" s="97">
        <f t="shared" si="25"/>
        <v>3.7843496064285054E-2</v>
      </c>
      <c r="AE163" s="146">
        <v>2.0744490987671949E-2</v>
      </c>
      <c r="AF163" s="56">
        <f t="shared" si="33"/>
        <v>494193.05105141882</v>
      </c>
      <c r="AG163" s="56">
        <v>1532.2916481984296</v>
      </c>
      <c r="AH163" s="16">
        <f t="shared" si="26"/>
        <v>3.7843496064285054E-2</v>
      </c>
      <c r="AI163" s="16">
        <f t="shared" si="27"/>
        <v>2.0744490987671949E-2</v>
      </c>
      <c r="AJ163" s="56"/>
      <c r="AK163" s="56">
        <v>505392.18566750258</v>
      </c>
      <c r="AL163" s="56">
        <v>1567.0156096195092</v>
      </c>
      <c r="AM163" s="16">
        <f t="shared" si="34"/>
        <v>-2.2159295164590587E-2</v>
      </c>
      <c r="AN163" s="58">
        <f t="shared" si="34"/>
        <v>-2.2159295164590587E-2</v>
      </c>
      <c r="AP163" s="56">
        <f t="shared" si="28"/>
        <v>0</v>
      </c>
      <c r="AQ163" s="56">
        <f t="shared" si="29"/>
        <v>0</v>
      </c>
    </row>
    <row r="164" spans="1:43" x14ac:dyDescent="0.2">
      <c r="A164" s="156" t="s">
        <v>373</v>
      </c>
      <c r="B164" s="156" t="s">
        <v>374</v>
      </c>
      <c r="D164" s="68">
        <f>VLOOKUP(A164,'2018-19 disagg'!A164:AZ372,43,FALSE)</f>
        <v>317163</v>
      </c>
      <c r="E164" s="73">
        <v>1455.3966368671183</v>
      </c>
      <c r="F164" s="55"/>
      <c r="G164" s="88">
        <v>312956.39979987295</v>
      </c>
      <c r="H164" s="81">
        <v>1419.3038436766917</v>
      </c>
      <c r="I164" s="90"/>
      <c r="J164" s="103">
        <f t="shared" si="30"/>
        <v>1.3441489622251002E-2</v>
      </c>
      <c r="K164" s="126">
        <f t="shared" si="30"/>
        <v>2.5429927038687294E-2</v>
      </c>
      <c r="L164" s="56">
        <v>326915</v>
      </c>
      <c r="M164" s="103">
        <v>2.5555961345688161E-2</v>
      </c>
      <c r="N164" s="97">
        <f>INDEX('Pace of change parameters'!$E$22:$I$22,1,$B$5)</f>
        <v>1.356605044543624E-2</v>
      </c>
      <c r="O164" s="108">
        <f>MAX(IF(INDEX('Pace of change parameters'!$E$30:$I$30,1,$B$5)=1,(1+M164)*D164,D164),L164)</f>
        <v>326915</v>
      </c>
      <c r="P164" s="94">
        <f>IF(K164&lt;INDEX('Pace of change parameters'!$E$18:$I$18,1,$B$5),1,IF(K164&gt;INDEX('Pace of change parameters'!$E$19:$I$19,1,$B$5),0,(K164-INDEX('Pace of change parameters'!$E$19:$I$19,1,$B$5))/(INDEX('Pace of change parameters'!$E$18:$I$18,1,$B$5)-INDEX('Pace of change parameters'!$E$19:$I$19,1,$B$5))))</f>
        <v>0</v>
      </c>
      <c r="Q164" s="57">
        <v>2.5555961345688161E-2</v>
      </c>
      <c r="R164" s="57">
        <v>1.356605044543624E-2</v>
      </c>
      <c r="S164" s="9">
        <f>MAX(IF(INDEX('Pace of change parameters'!$E$31:$I$31,1,$B$5)=1,D164*(1+Q164),D164),L164)</f>
        <v>326915</v>
      </c>
      <c r="T164" s="103">
        <f>IF(Q164&lt;INDEX('Pace of change parameters'!$E$24:$I$24,1,$B$5),INDEX('Pace of change parameters'!$E$24:$I$24,1,$B$5),Q164)</f>
        <v>2.5555961345688161E-2</v>
      </c>
      <c r="U164" s="132">
        <v>1.356605044543624E-2</v>
      </c>
      <c r="V164" s="117">
        <f t="shared" si="31"/>
        <v>326915</v>
      </c>
      <c r="W164" s="131">
        <f>IF(J164&gt;INDEX('Pace of change parameters'!$E$26:$I$26,1,$B$5),0,IF(J164&lt;INDEX('Pace of change parameters'!$E$25:$I$25,1,$B$5),1,(J164-INDEX('Pace of change parameters'!$E$26:$I$26,1,$B$5))/(INDEX('Pace of change parameters'!$E$25:$I$25,1,$B$5)-INDEX('Pace of change parameters'!$E$26:$I$26,1,$B$5))))</f>
        <v>1</v>
      </c>
      <c r="X164" s="132">
        <f>MIN(T164, T164+(INDEX('Pace of change parameters'!$E$27:$I$27,1,$B$5)-T164)*(1-W164))</f>
        <v>2.5555961345688161E-2</v>
      </c>
      <c r="Y164" s="132">
        <v>1.356605044543624E-2</v>
      </c>
      <c r="Z164" s="108">
        <f t="shared" si="32"/>
        <v>326915</v>
      </c>
      <c r="AA164" s="97">
        <f>MIN(VLOOKUP(A164,'2018-19 disagg'!$A$12:$BB$220,54,FALSE),-2.5%)</f>
        <v>-2.5000000000000001E-2</v>
      </c>
      <c r="AB164" s="99">
        <f t="shared" si="24"/>
        <v>313347.20808228297</v>
      </c>
      <c r="AC164" s="99">
        <f>MAX(IF(INDEX('Pace of change parameters'!$E$29:$I$29,1,$B$5)=1,MAX(AB164,Z164),Z164),L164)</f>
        <v>326915</v>
      </c>
      <c r="AD164" s="97">
        <f t="shared" si="25"/>
        <v>3.0747596661653498E-2</v>
      </c>
      <c r="AE164" s="146">
        <v>1.8696989663664176E-2</v>
      </c>
      <c r="AF164" s="56">
        <f t="shared" si="33"/>
        <v>326915</v>
      </c>
      <c r="AG164" s="56">
        <v>1482.6081727431545</v>
      </c>
      <c r="AH164" s="16">
        <f t="shared" si="26"/>
        <v>3.0747596661653498E-2</v>
      </c>
      <c r="AI164" s="16">
        <f t="shared" si="27"/>
        <v>1.8696989663664176E-2</v>
      </c>
      <c r="AJ164" s="56"/>
      <c r="AK164" s="56">
        <v>321381.7518792646</v>
      </c>
      <c r="AL164" s="56">
        <v>1457.514069121057</v>
      </c>
      <c r="AM164" s="16">
        <f t="shared" ref="AM164:AN220" si="35">AF164/AK164-1</f>
        <v>1.7217057559677729E-2</v>
      </c>
      <c r="AN164" s="58">
        <f t="shared" si="35"/>
        <v>1.7217057559677729E-2</v>
      </c>
      <c r="AP164" s="56">
        <f t="shared" si="28"/>
        <v>1</v>
      </c>
      <c r="AQ164" s="56">
        <f t="shared" si="29"/>
        <v>0</v>
      </c>
    </row>
    <row r="165" spans="1:43" x14ac:dyDescent="0.2">
      <c r="A165" s="156" t="s">
        <v>375</v>
      </c>
      <c r="B165" s="156" t="s">
        <v>376</v>
      </c>
      <c r="D165" s="68">
        <f>VLOOKUP(A165,'2018-19 disagg'!A165:AZ373,43,FALSE)</f>
        <v>585216</v>
      </c>
      <c r="E165" s="73">
        <v>1799.9639267654968</v>
      </c>
      <c r="F165" s="55"/>
      <c r="G165" s="88">
        <v>579802.93886149104</v>
      </c>
      <c r="H165" s="81">
        <v>1762.494881843211</v>
      </c>
      <c r="I165" s="90"/>
      <c r="J165" s="103">
        <f t="shared" si="30"/>
        <v>9.336036048968932E-3</v>
      </c>
      <c r="K165" s="126">
        <f t="shared" si="30"/>
        <v>2.1259094314702853E-2</v>
      </c>
      <c r="L165" s="56">
        <v>603802</v>
      </c>
      <c r="M165" s="103">
        <v>2.5539076914337988E-2</v>
      </c>
      <c r="N165" s="97">
        <f>INDEX('Pace of change parameters'!$E$22:$I$22,1,$B$5)</f>
        <v>1.356605044543624E-2</v>
      </c>
      <c r="O165" s="108">
        <f>MAX(IF(INDEX('Pace of change parameters'!$E$30:$I$30,1,$B$5)=1,(1+M165)*D165,D165),L165)</f>
        <v>603802</v>
      </c>
      <c r="P165" s="94">
        <f>IF(K165&lt;INDEX('Pace of change parameters'!$E$18:$I$18,1,$B$5),1,IF(K165&gt;INDEX('Pace of change parameters'!$E$19:$I$19,1,$B$5),0,(K165-INDEX('Pace of change parameters'!$E$19:$I$19,1,$B$5))/(INDEX('Pace of change parameters'!$E$18:$I$18,1,$B$5)-INDEX('Pace of change parameters'!$E$19:$I$19,1,$B$5))))</f>
        <v>0</v>
      </c>
      <c r="Q165" s="57">
        <v>2.5539076914337988E-2</v>
      </c>
      <c r="R165" s="57">
        <v>1.356605044543624E-2</v>
      </c>
      <c r="S165" s="9">
        <f>MAX(IF(INDEX('Pace of change parameters'!$E$31:$I$31,1,$B$5)=1,D165*(1+Q165),D165),L165)</f>
        <v>603802</v>
      </c>
      <c r="T165" s="103">
        <f>IF(Q165&lt;INDEX('Pace of change parameters'!$E$24:$I$24,1,$B$5),INDEX('Pace of change parameters'!$E$24:$I$24,1,$B$5),Q165)</f>
        <v>2.5539076914337988E-2</v>
      </c>
      <c r="U165" s="132">
        <v>1.356605044543624E-2</v>
      </c>
      <c r="V165" s="117">
        <f t="shared" si="31"/>
        <v>603802</v>
      </c>
      <c r="W165" s="131">
        <f>IF(J165&gt;INDEX('Pace of change parameters'!$E$26:$I$26,1,$B$5),0,IF(J165&lt;INDEX('Pace of change parameters'!$E$25:$I$25,1,$B$5),1,(J165-INDEX('Pace of change parameters'!$E$26:$I$26,1,$B$5))/(INDEX('Pace of change parameters'!$E$25:$I$25,1,$B$5)-INDEX('Pace of change parameters'!$E$26:$I$26,1,$B$5))))</f>
        <v>1</v>
      </c>
      <c r="X165" s="132">
        <f>MIN(T165, T165+(INDEX('Pace of change parameters'!$E$27:$I$27,1,$B$5)-T165)*(1-W165))</f>
        <v>2.5539076914337988E-2</v>
      </c>
      <c r="Y165" s="132">
        <v>1.356605044543624E-2</v>
      </c>
      <c r="Z165" s="108">
        <f t="shared" si="32"/>
        <v>603802</v>
      </c>
      <c r="AA165" s="97">
        <f>MIN(VLOOKUP(A165,'2018-19 disagg'!$A$12:$BB$220,54,FALSE),-2.5%)</f>
        <v>-2.5000000000000001E-2</v>
      </c>
      <c r="AB165" s="99">
        <f t="shared" si="24"/>
        <v>581083.78918548115</v>
      </c>
      <c r="AC165" s="99">
        <f>MAX(IF(INDEX('Pace of change parameters'!$E$29:$I$29,1,$B$5)=1,MAX(AB165,Z165),Z165),L165)</f>
        <v>603802</v>
      </c>
      <c r="AD165" s="97">
        <f t="shared" si="25"/>
        <v>3.1759213692038601E-2</v>
      </c>
      <c r="AE165" s="146">
        <v>1.9713567989061653E-2</v>
      </c>
      <c r="AF165" s="56">
        <f t="shared" si="33"/>
        <v>603802</v>
      </c>
      <c r="AG165" s="56">
        <v>1835.4476380136464</v>
      </c>
      <c r="AH165" s="16">
        <f t="shared" si="26"/>
        <v>3.1759213692038601E-2</v>
      </c>
      <c r="AI165" s="16">
        <f t="shared" si="27"/>
        <v>1.9713567989061431E-2</v>
      </c>
      <c r="AJ165" s="56"/>
      <c r="AK165" s="56">
        <v>595983.37352357036</v>
      </c>
      <c r="AL165" s="56">
        <v>1811.6804436375535</v>
      </c>
      <c r="AM165" s="16">
        <f t="shared" si="35"/>
        <v>1.3118866773420779E-2</v>
      </c>
      <c r="AN165" s="58">
        <f t="shared" si="35"/>
        <v>1.3118866773420779E-2</v>
      </c>
      <c r="AP165" s="56">
        <f t="shared" si="28"/>
        <v>1</v>
      </c>
      <c r="AQ165" s="56">
        <f t="shared" si="29"/>
        <v>0</v>
      </c>
    </row>
    <row r="166" spans="1:43" x14ac:dyDescent="0.2">
      <c r="A166" s="156" t="s">
        <v>377</v>
      </c>
      <c r="B166" s="156" t="s">
        <v>378</v>
      </c>
      <c r="D166" s="68">
        <f>VLOOKUP(A166,'2018-19 disagg'!A166:AZ374,43,FALSE)</f>
        <v>330710</v>
      </c>
      <c r="E166" s="73">
        <v>1666.8451545382991</v>
      </c>
      <c r="F166" s="55"/>
      <c r="G166" s="88">
        <v>336466.41286670655</v>
      </c>
      <c r="H166" s="81">
        <v>1673.438800644057</v>
      </c>
      <c r="I166" s="90"/>
      <c r="J166" s="103">
        <f t="shared" si="30"/>
        <v>-1.7108432362272663E-2</v>
      </c>
      <c r="K166" s="126">
        <f t="shared" si="30"/>
        <v>-3.9401776170243652E-3</v>
      </c>
      <c r="L166" s="56">
        <v>341293</v>
      </c>
      <c r="M166" s="103">
        <v>2.7145265480801983E-2</v>
      </c>
      <c r="N166" s="97">
        <f>INDEX('Pace of change parameters'!$E$22:$I$22,1,$B$5)</f>
        <v>1.356605044543624E-2</v>
      </c>
      <c r="O166" s="108">
        <f>MAX(IF(INDEX('Pace of change parameters'!$E$30:$I$30,1,$B$5)=1,(1+M166)*D166,D166),L166)</f>
        <v>341293</v>
      </c>
      <c r="P166" s="94">
        <f>IF(K166&lt;INDEX('Pace of change parameters'!$E$18:$I$18,1,$B$5),1,IF(K166&gt;INDEX('Pace of change parameters'!$E$19:$I$19,1,$B$5),0,(K166-INDEX('Pace of change parameters'!$E$19:$I$19,1,$B$5))/(INDEX('Pace of change parameters'!$E$18:$I$18,1,$B$5)-INDEX('Pace of change parameters'!$E$19:$I$19,1,$B$5))))</f>
        <v>0.17965152106815827</v>
      </c>
      <c r="Q166" s="57">
        <v>2.9454948755937016E-2</v>
      </c>
      <c r="R166" s="57">
        <v>1.5845198910247271E-2</v>
      </c>
      <c r="S166" s="9">
        <f>MAX(IF(INDEX('Pace of change parameters'!$E$31:$I$31,1,$B$5)=1,D166*(1+Q166),D166),L166)</f>
        <v>341293</v>
      </c>
      <c r="T166" s="103">
        <f>IF(Q166&lt;INDEX('Pace of change parameters'!$E$24:$I$24,1,$B$5),INDEX('Pace of change parameters'!$E$24:$I$24,1,$B$5),Q166)</f>
        <v>2.9454948755937016E-2</v>
      </c>
      <c r="U166" s="132">
        <v>1.5845198910247271E-2</v>
      </c>
      <c r="V166" s="117">
        <f t="shared" si="31"/>
        <v>341293</v>
      </c>
      <c r="W166" s="131">
        <f>IF(J166&gt;INDEX('Pace of change parameters'!$E$26:$I$26,1,$B$5),0,IF(J166&lt;INDEX('Pace of change parameters'!$E$25:$I$25,1,$B$5),1,(J166-INDEX('Pace of change parameters'!$E$26:$I$26,1,$B$5))/(INDEX('Pace of change parameters'!$E$25:$I$25,1,$B$5)-INDEX('Pace of change parameters'!$E$26:$I$26,1,$B$5))))</f>
        <v>1</v>
      </c>
      <c r="X166" s="132">
        <f>MIN(T166, T166+(INDEX('Pace of change parameters'!$E$27:$I$27,1,$B$5)-T166)*(1-W166))</f>
        <v>2.9454948755937016E-2</v>
      </c>
      <c r="Y166" s="132">
        <v>1.5845198910247271E-2</v>
      </c>
      <c r="Z166" s="108">
        <f t="shared" si="32"/>
        <v>341293</v>
      </c>
      <c r="AA166" s="97">
        <f>MIN(VLOOKUP(A166,'2018-19 disagg'!$A$12:$BB$220,54,FALSE),-2.5%)</f>
        <v>-2.5000000000000001E-2</v>
      </c>
      <c r="AB166" s="99">
        <f t="shared" si="24"/>
        <v>336840.52123690286</v>
      </c>
      <c r="AC166" s="99">
        <f>MAX(IF(INDEX('Pace of change parameters'!$E$29:$I$29,1,$B$5)=1,MAX(AB166,Z166),Z166),L166)</f>
        <v>341293</v>
      </c>
      <c r="AD166" s="97">
        <f t="shared" si="25"/>
        <v>3.2000846663239768E-2</v>
      </c>
      <c r="AE166" s="146">
        <v>1.8357439168234624E-2</v>
      </c>
      <c r="AF166" s="56">
        <f t="shared" si="33"/>
        <v>341293</v>
      </c>
      <c r="AG166" s="56">
        <v>1697.4441630656024</v>
      </c>
      <c r="AH166" s="16">
        <f t="shared" si="26"/>
        <v>3.2000846663239768E-2</v>
      </c>
      <c r="AI166" s="16">
        <f t="shared" si="27"/>
        <v>1.8357439168234624E-2</v>
      </c>
      <c r="AJ166" s="56"/>
      <c r="AK166" s="56">
        <v>345477.45767887472</v>
      </c>
      <c r="AL166" s="56">
        <v>1718.2558505675463</v>
      </c>
      <c r="AM166" s="16">
        <f t="shared" si="35"/>
        <v>-1.2112100473901877E-2</v>
      </c>
      <c r="AN166" s="58">
        <f t="shared" si="35"/>
        <v>-1.2112100473901877E-2</v>
      </c>
      <c r="AP166" s="56">
        <f t="shared" si="28"/>
        <v>1</v>
      </c>
      <c r="AQ166" s="56">
        <f t="shared" si="29"/>
        <v>0</v>
      </c>
    </row>
    <row r="167" spans="1:43" x14ac:dyDescent="0.2">
      <c r="A167" s="156" t="s">
        <v>379</v>
      </c>
      <c r="B167" s="156" t="s">
        <v>380</v>
      </c>
      <c r="D167" s="68">
        <f>VLOOKUP(A167,'2018-19 disagg'!A167:AZ375,43,FALSE)</f>
        <v>559294</v>
      </c>
      <c r="E167" s="73">
        <v>1782.2203677568514</v>
      </c>
      <c r="F167" s="55"/>
      <c r="G167" s="88">
        <v>525154.49058950902</v>
      </c>
      <c r="H167" s="81">
        <v>1644.0146144058367</v>
      </c>
      <c r="I167" s="90"/>
      <c r="J167" s="103">
        <f t="shared" si="30"/>
        <v>6.5008507062689125E-2</v>
      </c>
      <c r="K167" s="126">
        <f t="shared" si="30"/>
        <v>8.4066012637584508E-2</v>
      </c>
      <c r="L167" s="56">
        <v>580936</v>
      </c>
      <c r="M167" s="103">
        <v>3.1703032947259402E-2</v>
      </c>
      <c r="N167" s="97">
        <f>INDEX('Pace of change parameters'!$E$22:$I$22,1,$B$5)</f>
        <v>1.356605044543624E-2</v>
      </c>
      <c r="O167" s="108">
        <f>MAX(IF(INDEX('Pace of change parameters'!$E$30:$I$30,1,$B$5)=1,(1+M167)*D167,D167),L167)</f>
        <v>580936</v>
      </c>
      <c r="P167" s="94">
        <f>IF(K167&lt;INDEX('Pace of change parameters'!$E$18:$I$18,1,$B$5),1,IF(K167&gt;INDEX('Pace of change parameters'!$E$19:$I$19,1,$B$5),0,(K167-INDEX('Pace of change parameters'!$E$19:$I$19,1,$B$5))/(INDEX('Pace of change parameters'!$E$18:$I$18,1,$B$5)-INDEX('Pace of change parameters'!$E$19:$I$19,1,$B$5))))</f>
        <v>0</v>
      </c>
      <c r="Q167" s="57">
        <v>3.1703032947259402E-2</v>
      </c>
      <c r="R167" s="57">
        <v>1.356605044543624E-2</v>
      </c>
      <c r="S167" s="9">
        <f>MAX(IF(INDEX('Pace of change parameters'!$E$31:$I$31,1,$B$5)=1,D167*(1+Q167),D167),L167)</f>
        <v>580936</v>
      </c>
      <c r="T167" s="103">
        <f>IF(Q167&lt;INDEX('Pace of change parameters'!$E$24:$I$24,1,$B$5),INDEX('Pace of change parameters'!$E$24:$I$24,1,$B$5),Q167)</f>
        <v>3.1703032947259402E-2</v>
      </c>
      <c r="U167" s="132">
        <v>1.356605044543624E-2</v>
      </c>
      <c r="V167" s="117">
        <f t="shared" si="31"/>
        <v>580936</v>
      </c>
      <c r="W167" s="131">
        <f>IF(J167&gt;INDEX('Pace of change parameters'!$E$26:$I$26,1,$B$5),0,IF(J167&lt;INDEX('Pace of change parameters'!$E$25:$I$25,1,$B$5),1,(J167-INDEX('Pace of change parameters'!$E$26:$I$26,1,$B$5))/(INDEX('Pace of change parameters'!$E$25:$I$25,1,$B$5)-INDEX('Pace of change parameters'!$E$26:$I$26,1,$B$5))))</f>
        <v>0.69982985874621761</v>
      </c>
      <c r="X167" s="132">
        <f>MIN(T167, T167+(INDEX('Pace of change parameters'!$E$27:$I$27,1,$B$5)-T167)*(1-W167))</f>
        <v>2.2228399402121839E-2</v>
      </c>
      <c r="Y167" s="132">
        <v>4.2579776811935144E-3</v>
      </c>
      <c r="Z167" s="108">
        <f t="shared" si="32"/>
        <v>580936</v>
      </c>
      <c r="AA167" s="97">
        <f>MIN(VLOOKUP(A167,'2018-19 disagg'!$A$12:$BB$220,54,FALSE),-2.5%)</f>
        <v>-2.5000000000000001E-2</v>
      </c>
      <c r="AB167" s="99">
        <f t="shared" si="24"/>
        <v>526341.33652864781</v>
      </c>
      <c r="AC167" s="99">
        <f>MAX(IF(INDEX('Pace of change parameters'!$E$29:$I$29,1,$B$5)=1,MAX(AB167,Z167),Z167),L167)</f>
        <v>580936</v>
      </c>
      <c r="AD167" s="97">
        <f t="shared" si="25"/>
        <v>3.8695212178210481E-2</v>
      </c>
      <c r="AE167" s="146">
        <v>2.0435309583772154E-2</v>
      </c>
      <c r="AF167" s="56">
        <f t="shared" si="33"/>
        <v>580936</v>
      </c>
      <c r="AG167" s="56">
        <v>1818.6405927184667</v>
      </c>
      <c r="AH167" s="16">
        <f t="shared" si="26"/>
        <v>3.8695212178210481E-2</v>
      </c>
      <c r="AI167" s="16">
        <f t="shared" si="27"/>
        <v>2.0435309583771932E-2</v>
      </c>
      <c r="AJ167" s="56"/>
      <c r="AK167" s="56">
        <v>539837.26823451056</v>
      </c>
      <c r="AL167" s="56">
        <v>1689.9795665504087</v>
      </c>
      <c r="AM167" s="16">
        <f t="shared" si="35"/>
        <v>7.6131705207939993E-2</v>
      </c>
      <c r="AN167" s="58">
        <f t="shared" si="35"/>
        <v>7.6131705207939993E-2</v>
      </c>
      <c r="AP167" s="56">
        <f t="shared" si="28"/>
        <v>1</v>
      </c>
      <c r="AQ167" s="56">
        <f t="shared" si="29"/>
        <v>0</v>
      </c>
    </row>
    <row r="168" spans="1:43" x14ac:dyDescent="0.2">
      <c r="A168" s="156" t="s">
        <v>381</v>
      </c>
      <c r="B168" s="156" t="s">
        <v>382</v>
      </c>
      <c r="D168" s="68">
        <f>VLOOKUP(A168,'2018-19 disagg'!A168:AZ376,43,FALSE)</f>
        <v>495240</v>
      </c>
      <c r="E168" s="73">
        <v>1602.8917948600513</v>
      </c>
      <c r="F168" s="55"/>
      <c r="G168" s="88">
        <v>508367.60558407928</v>
      </c>
      <c r="H168" s="81">
        <v>1626.5586650047583</v>
      </c>
      <c r="I168" s="90"/>
      <c r="J168" s="103">
        <f t="shared" si="30"/>
        <v>-2.5823056858622184E-2</v>
      </c>
      <c r="K168" s="126">
        <f t="shared" si="30"/>
        <v>-1.4550271474307874E-2</v>
      </c>
      <c r="L168" s="56">
        <v>510690</v>
      </c>
      <c r="M168" s="103">
        <v>2.5294630802362716E-2</v>
      </c>
      <c r="N168" s="97">
        <f>INDEX('Pace of change parameters'!$E$22:$I$22,1,$B$5)</f>
        <v>1.356605044543624E-2</v>
      </c>
      <c r="O168" s="108">
        <f>MAX(IF(INDEX('Pace of change parameters'!$E$30:$I$30,1,$B$5)=1,(1+M168)*D168,D168),L168)</f>
        <v>510690</v>
      </c>
      <c r="P168" s="94">
        <f>IF(K168&lt;INDEX('Pace of change parameters'!$E$18:$I$18,1,$B$5),1,IF(K168&gt;INDEX('Pace of change parameters'!$E$19:$I$19,1,$B$5),0,(K168-INDEX('Pace of change parameters'!$E$19:$I$19,1,$B$5))/(INDEX('Pace of change parameters'!$E$18:$I$18,1,$B$5)-INDEX('Pace of change parameters'!$E$19:$I$19,1,$B$5))))</f>
        <v>0.51365127859654192</v>
      </c>
      <c r="Q168" s="57">
        <v>3.188647173487591E-2</v>
      </c>
      <c r="R168" s="57">
        <v>2.00824857981734E-2</v>
      </c>
      <c r="S168" s="9">
        <f>MAX(IF(INDEX('Pace of change parameters'!$E$31:$I$31,1,$B$5)=1,D168*(1+Q168),D168),L168)</f>
        <v>511031.45626197994</v>
      </c>
      <c r="T168" s="103">
        <f>IF(Q168&lt;INDEX('Pace of change parameters'!$E$24:$I$24,1,$B$5),INDEX('Pace of change parameters'!$E$24:$I$24,1,$B$5),Q168)</f>
        <v>3.188647173487591E-2</v>
      </c>
      <c r="U168" s="132">
        <v>2.00824857981734E-2</v>
      </c>
      <c r="V168" s="117">
        <f t="shared" si="31"/>
        <v>511031.45626197994</v>
      </c>
      <c r="W168" s="131">
        <f>IF(J168&gt;INDEX('Pace of change parameters'!$E$26:$I$26,1,$B$5),0,IF(J168&lt;INDEX('Pace of change parameters'!$E$25:$I$25,1,$B$5),1,(J168-INDEX('Pace of change parameters'!$E$26:$I$26,1,$B$5))/(INDEX('Pace of change parameters'!$E$25:$I$25,1,$B$5)-INDEX('Pace of change parameters'!$E$26:$I$26,1,$B$5))))</f>
        <v>1</v>
      </c>
      <c r="X168" s="132">
        <f>MIN(T168, T168+(INDEX('Pace of change parameters'!$E$27:$I$27,1,$B$5)-T168)*(1-W168))</f>
        <v>3.188647173487591E-2</v>
      </c>
      <c r="Y168" s="132">
        <v>2.00824857981734E-2</v>
      </c>
      <c r="Z168" s="108">
        <f t="shared" si="32"/>
        <v>511031.45626197994</v>
      </c>
      <c r="AA168" s="97">
        <f>MIN(VLOOKUP(A168,'2018-19 disagg'!$A$12:$BB$220,54,FALSE),-2.5%)</f>
        <v>-2.5000000000000001E-2</v>
      </c>
      <c r="AB168" s="99">
        <f t="shared" si="24"/>
        <v>509264.2338395167</v>
      </c>
      <c r="AC168" s="99">
        <f>MAX(IF(INDEX('Pace of change parameters'!$E$29:$I$29,1,$B$5)=1,MAX(AB168,Z168),Z168),L168)</f>
        <v>511031.45626197994</v>
      </c>
      <c r="AD168" s="97">
        <f t="shared" si="25"/>
        <v>3.188647173487591E-2</v>
      </c>
      <c r="AE168" s="146">
        <v>2.00824857981734E-2</v>
      </c>
      <c r="AF168" s="56">
        <f t="shared" si="33"/>
        <v>511031.45626197994</v>
      </c>
      <c r="AG168" s="56">
        <v>1635.0818465663369</v>
      </c>
      <c r="AH168" s="16">
        <f t="shared" si="26"/>
        <v>3.188647173487591E-2</v>
      </c>
      <c r="AI168" s="16">
        <f t="shared" si="27"/>
        <v>2.00824857981734E-2</v>
      </c>
      <c r="AJ168" s="56"/>
      <c r="AK168" s="56">
        <v>522322.29111745302</v>
      </c>
      <c r="AL168" s="56">
        <v>1671.207683593673</v>
      </c>
      <c r="AM168" s="16">
        <f t="shared" si="35"/>
        <v>-2.1616605393803057E-2</v>
      </c>
      <c r="AN168" s="58">
        <f t="shared" si="35"/>
        <v>-2.1616605393803057E-2</v>
      </c>
      <c r="AP168" s="56">
        <f t="shared" si="28"/>
        <v>0</v>
      </c>
      <c r="AQ168" s="56">
        <f t="shared" si="29"/>
        <v>0</v>
      </c>
    </row>
    <row r="169" spans="1:43" x14ac:dyDescent="0.2">
      <c r="A169" s="156" t="s">
        <v>383</v>
      </c>
      <c r="B169" s="156" t="s">
        <v>384</v>
      </c>
      <c r="D169" s="68">
        <f>VLOOKUP(A169,'2018-19 disagg'!A169:AZ377,43,FALSE)</f>
        <v>591239</v>
      </c>
      <c r="E169" s="73">
        <v>1498.6611830385759</v>
      </c>
      <c r="F169" s="55"/>
      <c r="G169" s="88">
        <v>575719.3484585858</v>
      </c>
      <c r="H169" s="81">
        <v>1446.5081716835757</v>
      </c>
      <c r="I169" s="90"/>
      <c r="J169" s="103">
        <f t="shared" si="30"/>
        <v>2.6956974058568672E-2</v>
      </c>
      <c r="K169" s="126">
        <f t="shared" si="30"/>
        <v>3.6054418755408602E-2</v>
      </c>
      <c r="L169" s="56">
        <v>607976</v>
      </c>
      <c r="M169" s="103">
        <v>2.2544869737232354E-2</v>
      </c>
      <c r="N169" s="97">
        <f>INDEX('Pace of change parameters'!$E$22:$I$22,1,$B$5)</f>
        <v>1.356605044543624E-2</v>
      </c>
      <c r="O169" s="108">
        <f>MAX(IF(INDEX('Pace of change parameters'!$E$30:$I$30,1,$B$5)=1,(1+M169)*D169,D169),L169)</f>
        <v>607976</v>
      </c>
      <c r="P169" s="94">
        <f>IF(K169&lt;INDEX('Pace of change parameters'!$E$18:$I$18,1,$B$5),1,IF(K169&gt;INDEX('Pace of change parameters'!$E$19:$I$19,1,$B$5),0,(K169-INDEX('Pace of change parameters'!$E$19:$I$19,1,$B$5))/(INDEX('Pace of change parameters'!$E$18:$I$18,1,$B$5)-INDEX('Pace of change parameters'!$E$19:$I$19,1,$B$5))))</f>
        <v>0</v>
      </c>
      <c r="Q169" s="57">
        <v>2.2544869737232354E-2</v>
      </c>
      <c r="R169" s="57">
        <v>1.356605044543624E-2</v>
      </c>
      <c r="S169" s="9">
        <f>MAX(IF(INDEX('Pace of change parameters'!$E$31:$I$31,1,$B$5)=1,D169*(1+Q169),D169),L169)</f>
        <v>607976</v>
      </c>
      <c r="T169" s="103">
        <f>IF(Q169&lt;INDEX('Pace of change parameters'!$E$24:$I$24,1,$B$5),INDEX('Pace of change parameters'!$E$24:$I$24,1,$B$5),Q169)</f>
        <v>2.2544869737232354E-2</v>
      </c>
      <c r="U169" s="132">
        <v>1.356605044543624E-2</v>
      </c>
      <c r="V169" s="117">
        <f t="shared" si="31"/>
        <v>607976</v>
      </c>
      <c r="W169" s="131">
        <f>IF(J169&gt;INDEX('Pace of change parameters'!$E$26:$I$26,1,$B$5),0,IF(J169&lt;INDEX('Pace of change parameters'!$E$25:$I$25,1,$B$5),1,(J169-INDEX('Pace of change parameters'!$E$26:$I$26,1,$B$5))/(INDEX('Pace of change parameters'!$E$25:$I$25,1,$B$5)-INDEX('Pace of change parameters'!$E$26:$I$26,1,$B$5))))</f>
        <v>1</v>
      </c>
      <c r="X169" s="132">
        <f>MIN(T169, T169+(INDEX('Pace of change parameters'!$E$27:$I$27,1,$B$5)-T169)*(1-W169))</f>
        <v>2.2544869737232354E-2</v>
      </c>
      <c r="Y169" s="132">
        <v>1.356605044543624E-2</v>
      </c>
      <c r="Z169" s="108">
        <f t="shared" si="32"/>
        <v>607976</v>
      </c>
      <c r="AA169" s="97">
        <f>MIN(VLOOKUP(A169,'2018-19 disagg'!$A$12:$BB$220,54,FALSE),-2.5%)</f>
        <v>-2.5000000000000001E-2</v>
      </c>
      <c r="AB169" s="99">
        <f t="shared" si="24"/>
        <v>576826.98250345187</v>
      </c>
      <c r="AC169" s="99">
        <f>MAX(IF(INDEX('Pace of change parameters'!$E$29:$I$29,1,$B$5)=1,MAX(AB169,Z169),Z169),L169)</f>
        <v>607976</v>
      </c>
      <c r="AD169" s="97">
        <f t="shared" si="25"/>
        <v>2.8308349077107664E-2</v>
      </c>
      <c r="AE169" s="146">
        <v>1.9278921502960067E-2</v>
      </c>
      <c r="AF169" s="56">
        <f t="shared" si="33"/>
        <v>607976</v>
      </c>
      <c r="AG169" s="56">
        <v>1527.5537543459097</v>
      </c>
      <c r="AH169" s="16">
        <f t="shared" si="26"/>
        <v>2.8308349077107664E-2</v>
      </c>
      <c r="AI169" s="16">
        <f t="shared" si="27"/>
        <v>1.9278921502960067E-2</v>
      </c>
      <c r="AJ169" s="56"/>
      <c r="AK169" s="56">
        <v>591617.41795225837</v>
      </c>
      <c r="AL169" s="56">
        <v>1486.4524387959482</v>
      </c>
      <c r="AM169" s="16">
        <f t="shared" si="35"/>
        <v>2.7650609247379609E-2</v>
      </c>
      <c r="AN169" s="58">
        <f t="shared" si="35"/>
        <v>2.7650609247379832E-2</v>
      </c>
      <c r="AP169" s="56">
        <f t="shared" si="28"/>
        <v>1</v>
      </c>
      <c r="AQ169" s="56">
        <f t="shared" si="29"/>
        <v>0</v>
      </c>
    </row>
    <row r="170" spans="1:43" x14ac:dyDescent="0.2">
      <c r="A170" s="156" t="s">
        <v>385</v>
      </c>
      <c r="B170" s="156" t="s">
        <v>386</v>
      </c>
      <c r="D170" s="68">
        <f>VLOOKUP(A170,'2018-19 disagg'!A170:AZ378,43,FALSE)</f>
        <v>473499</v>
      </c>
      <c r="E170" s="73">
        <v>1912.4328977142927</v>
      </c>
      <c r="F170" s="55"/>
      <c r="G170" s="88">
        <v>395237.51963270758</v>
      </c>
      <c r="H170" s="81">
        <v>1590.3327990920725</v>
      </c>
      <c r="I170" s="90"/>
      <c r="J170" s="103">
        <f t="shared" si="30"/>
        <v>0.19801126279716685</v>
      </c>
      <c r="K170" s="126">
        <f t="shared" si="30"/>
        <v>0.20253628599379225</v>
      </c>
      <c r="L170" s="56">
        <v>477745</v>
      </c>
      <c r="M170" s="103">
        <v>1.7394403343278908E-2</v>
      </c>
      <c r="N170" s="97">
        <f>INDEX('Pace of change parameters'!$E$22:$I$22,1,$B$5)</f>
        <v>1.356605044543624E-2</v>
      </c>
      <c r="O170" s="108">
        <f>MAX(IF(INDEX('Pace of change parameters'!$E$30:$I$30,1,$B$5)=1,(1+M170)*D170,D170),L170)</f>
        <v>481735.23258863919</v>
      </c>
      <c r="P170" s="94">
        <f>IF(K170&lt;INDEX('Pace of change parameters'!$E$18:$I$18,1,$B$5),1,IF(K170&gt;INDEX('Pace of change parameters'!$E$19:$I$19,1,$B$5),0,(K170-INDEX('Pace of change parameters'!$E$19:$I$19,1,$B$5))/(INDEX('Pace of change parameters'!$E$18:$I$18,1,$B$5)-INDEX('Pace of change parameters'!$E$19:$I$19,1,$B$5))))</f>
        <v>0</v>
      </c>
      <c r="Q170" s="57">
        <v>1.7394403343278908E-2</v>
      </c>
      <c r="R170" s="57">
        <v>1.356605044543624E-2</v>
      </c>
      <c r="S170" s="9">
        <f>MAX(IF(INDEX('Pace of change parameters'!$E$31:$I$31,1,$B$5)=1,D170*(1+Q170),D170),L170)</f>
        <v>481735.23258863919</v>
      </c>
      <c r="T170" s="103">
        <f>IF(Q170&lt;INDEX('Pace of change parameters'!$E$24:$I$24,1,$B$5),INDEX('Pace of change parameters'!$E$24:$I$24,1,$B$5),Q170)</f>
        <v>2.0738822378003872E-2</v>
      </c>
      <c r="U170" s="132">
        <v>1.6897884767427263E-2</v>
      </c>
      <c r="V170" s="117">
        <f t="shared" si="31"/>
        <v>483318.81165716244</v>
      </c>
      <c r="W170" s="131">
        <f>IF(J170&gt;INDEX('Pace of change parameters'!$E$26:$I$26,1,$B$5),0,IF(J170&lt;INDEX('Pace of change parameters'!$E$25:$I$25,1,$B$5),1,(J170-INDEX('Pace of change parameters'!$E$26:$I$26,1,$B$5))/(INDEX('Pace of change parameters'!$E$25:$I$25,1,$B$5)-INDEX('Pace of change parameters'!$E$26:$I$26,1,$B$5))))</f>
        <v>0</v>
      </c>
      <c r="X170" s="132">
        <f>MIN(T170, T170+(INDEX('Pace of change parameters'!$E$27:$I$27,1,$B$5)-T170)*(1-W170))</f>
        <v>1.3882237800387151E-4</v>
      </c>
      <c r="Y170" s="132">
        <v>-3.6245995027472944E-3</v>
      </c>
      <c r="Z170" s="108">
        <f t="shared" si="32"/>
        <v>477745</v>
      </c>
      <c r="AA170" s="97">
        <f>MIN(VLOOKUP(A170,'2018-19 disagg'!$A$12:$BB$220,54,FALSE),-2.5%)</f>
        <v>-2.5000000000000001E-2</v>
      </c>
      <c r="AB170" s="99">
        <f t="shared" si="24"/>
        <v>396008.49585397838</v>
      </c>
      <c r="AC170" s="99">
        <f>MAX(IF(INDEX('Pace of change parameters'!$E$29:$I$29,1,$B$5)=1,MAX(AB170,Z170),Z170),L170)</f>
        <v>477745</v>
      </c>
      <c r="AD170" s="97">
        <f t="shared" si="25"/>
        <v>8.9672839858161435E-3</v>
      </c>
      <c r="AE170" s="146">
        <v>5.1706414912413567E-3</v>
      </c>
      <c r="AF170" s="56">
        <f t="shared" si="33"/>
        <v>477745</v>
      </c>
      <c r="AG170" s="56">
        <v>1922.3214026044295</v>
      </c>
      <c r="AH170" s="16">
        <f t="shared" si="26"/>
        <v>8.9672839858161435E-3</v>
      </c>
      <c r="AI170" s="16">
        <f t="shared" si="27"/>
        <v>5.1706414912415788E-3</v>
      </c>
      <c r="AJ170" s="56"/>
      <c r="AK170" s="56">
        <v>406162.55985023425</v>
      </c>
      <c r="AL170" s="56">
        <v>1634.2923143867708</v>
      </c>
      <c r="AM170" s="16">
        <f t="shared" si="35"/>
        <v>0.17624086320551213</v>
      </c>
      <c r="AN170" s="58">
        <f t="shared" si="35"/>
        <v>0.17624086320551213</v>
      </c>
      <c r="AP170" s="56">
        <f t="shared" si="28"/>
        <v>1</v>
      </c>
      <c r="AQ170" s="56">
        <f t="shared" si="29"/>
        <v>0</v>
      </c>
    </row>
    <row r="171" spans="1:43" x14ac:dyDescent="0.2">
      <c r="A171" s="156" t="s">
        <v>387</v>
      </c>
      <c r="B171" s="156" t="s">
        <v>388</v>
      </c>
      <c r="D171" s="68">
        <f>VLOOKUP(A171,'2018-19 disagg'!A171:AZ379,43,FALSE)</f>
        <v>198802</v>
      </c>
      <c r="E171" s="73">
        <v>1507.651530849728</v>
      </c>
      <c r="F171" s="55"/>
      <c r="G171" s="88">
        <v>198826.25593133408</v>
      </c>
      <c r="H171" s="81">
        <v>1492.4575216922888</v>
      </c>
      <c r="I171" s="90"/>
      <c r="J171" s="103">
        <f t="shared" si="30"/>
        <v>-1.2199561481684995E-4</v>
      </c>
      <c r="K171" s="126">
        <f t="shared" si="30"/>
        <v>1.018053039138489E-2</v>
      </c>
      <c r="L171" s="56">
        <v>204487</v>
      </c>
      <c r="M171" s="103">
        <v>2.4009615108245397E-2</v>
      </c>
      <c r="N171" s="97">
        <f>INDEX('Pace of change parameters'!$E$22:$I$22,1,$B$5)</f>
        <v>1.356605044543624E-2</v>
      </c>
      <c r="O171" s="108">
        <f>MAX(IF(INDEX('Pace of change parameters'!$E$30:$I$30,1,$B$5)=1,(1+M171)*D171,D171),L171)</f>
        <v>204487</v>
      </c>
      <c r="P171" s="94">
        <f>IF(K171&lt;INDEX('Pace of change parameters'!$E$18:$I$18,1,$B$5),1,IF(K171&gt;INDEX('Pace of change parameters'!$E$19:$I$19,1,$B$5),0,(K171-INDEX('Pace of change parameters'!$E$19:$I$19,1,$B$5))/(INDEX('Pace of change parameters'!$E$18:$I$18,1,$B$5)-INDEX('Pace of change parameters'!$E$19:$I$19,1,$B$5))))</f>
        <v>0</v>
      </c>
      <c r="Q171" s="57">
        <v>2.4009615108245397E-2</v>
      </c>
      <c r="R171" s="57">
        <v>1.356605044543624E-2</v>
      </c>
      <c r="S171" s="9">
        <f>MAX(IF(INDEX('Pace of change parameters'!$E$31:$I$31,1,$B$5)=1,D171*(1+Q171),D171),L171)</f>
        <v>204487</v>
      </c>
      <c r="T171" s="103">
        <f>IF(Q171&lt;INDEX('Pace of change parameters'!$E$24:$I$24,1,$B$5),INDEX('Pace of change parameters'!$E$24:$I$24,1,$B$5),Q171)</f>
        <v>2.4009615108245397E-2</v>
      </c>
      <c r="U171" s="132">
        <v>1.356605044543624E-2</v>
      </c>
      <c r="V171" s="117">
        <f t="shared" si="31"/>
        <v>204487</v>
      </c>
      <c r="W171" s="131">
        <f>IF(J171&gt;INDEX('Pace of change parameters'!$E$26:$I$26,1,$B$5),0,IF(J171&lt;INDEX('Pace of change parameters'!$E$25:$I$25,1,$B$5),1,(J171-INDEX('Pace of change parameters'!$E$26:$I$26,1,$B$5))/(INDEX('Pace of change parameters'!$E$25:$I$25,1,$B$5)-INDEX('Pace of change parameters'!$E$26:$I$26,1,$B$5))))</f>
        <v>1</v>
      </c>
      <c r="X171" s="132">
        <f>MIN(T171, T171+(INDEX('Pace of change parameters'!$E$27:$I$27,1,$B$5)-T171)*(1-W171))</f>
        <v>2.4009615108245397E-2</v>
      </c>
      <c r="Y171" s="132">
        <v>1.356605044543624E-2</v>
      </c>
      <c r="Z171" s="108">
        <f t="shared" si="32"/>
        <v>204487</v>
      </c>
      <c r="AA171" s="97">
        <f>MIN(VLOOKUP(A171,'2018-19 disagg'!$A$12:$BB$220,54,FALSE),-2.5%)</f>
        <v>-2.5000000000000001E-2</v>
      </c>
      <c r="AB171" s="99">
        <f t="shared" si="24"/>
        <v>199102.09894562626</v>
      </c>
      <c r="AC171" s="99">
        <f>MAX(IF(INDEX('Pace of change parameters'!$E$29:$I$29,1,$B$5)=1,MAX(AB171,Z171),Z171),L171)</f>
        <v>204487</v>
      </c>
      <c r="AD171" s="97">
        <f t="shared" si="25"/>
        <v>2.859629178780887E-2</v>
      </c>
      <c r="AE171" s="146">
        <v>1.8105948995396526E-2</v>
      </c>
      <c r="AF171" s="56">
        <f t="shared" si="33"/>
        <v>204487</v>
      </c>
      <c r="AG171" s="56">
        <v>1534.948992570125</v>
      </c>
      <c r="AH171" s="16">
        <f t="shared" si="26"/>
        <v>2.859629178780887E-2</v>
      </c>
      <c r="AI171" s="16">
        <f t="shared" si="27"/>
        <v>1.8105948995396748E-2</v>
      </c>
      <c r="AJ171" s="56"/>
      <c r="AK171" s="56">
        <v>204207.2809698731</v>
      </c>
      <c r="AL171" s="56">
        <v>1532.8493263639798</v>
      </c>
      <c r="AM171" s="16">
        <f t="shared" si="35"/>
        <v>1.3697799059777527E-3</v>
      </c>
      <c r="AN171" s="58">
        <f t="shared" si="35"/>
        <v>1.3697799059779747E-3</v>
      </c>
      <c r="AP171" s="56">
        <f t="shared" si="28"/>
        <v>1</v>
      </c>
      <c r="AQ171" s="56">
        <f t="shared" si="29"/>
        <v>0</v>
      </c>
    </row>
    <row r="172" spans="1:43" x14ac:dyDescent="0.2">
      <c r="A172" s="156" t="s">
        <v>389</v>
      </c>
      <c r="B172" s="156" t="s">
        <v>390</v>
      </c>
      <c r="D172" s="68">
        <f>VLOOKUP(A172,'2018-19 disagg'!A172:AZ380,43,FALSE)</f>
        <v>319210</v>
      </c>
      <c r="E172" s="73">
        <v>1491.3911560564511</v>
      </c>
      <c r="F172" s="55"/>
      <c r="G172" s="88">
        <v>325095.88457778259</v>
      </c>
      <c r="H172" s="81">
        <v>1504.0227015231433</v>
      </c>
      <c r="I172" s="90"/>
      <c r="J172" s="103">
        <f t="shared" si="30"/>
        <v>-1.8105072555522739E-2</v>
      </c>
      <c r="K172" s="126">
        <f t="shared" si="30"/>
        <v>-8.3985071860285254E-3</v>
      </c>
      <c r="L172" s="56">
        <v>328350</v>
      </c>
      <c r="M172" s="103">
        <v>2.3585702090398231E-2</v>
      </c>
      <c r="N172" s="97">
        <f>INDEX('Pace of change parameters'!$E$22:$I$22,1,$B$5)</f>
        <v>1.356605044543624E-2</v>
      </c>
      <c r="O172" s="108">
        <f>MAX(IF(INDEX('Pace of change parameters'!$E$30:$I$30,1,$B$5)=1,(1+M172)*D172,D172),L172)</f>
        <v>328350</v>
      </c>
      <c r="P172" s="94">
        <f>IF(K172&lt;INDEX('Pace of change parameters'!$E$18:$I$18,1,$B$5),1,IF(K172&gt;INDEX('Pace of change parameters'!$E$19:$I$19,1,$B$5),0,(K172-INDEX('Pace of change parameters'!$E$19:$I$19,1,$B$5))/(INDEX('Pace of change parameters'!$E$18:$I$18,1,$B$5)-INDEX('Pace of change parameters'!$E$19:$I$19,1,$B$5))))</f>
        <v>0.31999721593746455</v>
      </c>
      <c r="Q172" s="57">
        <v>2.7685477563583749E-2</v>
      </c>
      <c r="R172" s="57">
        <v>1.7625694132900271E-2</v>
      </c>
      <c r="S172" s="9">
        <f>MAX(IF(INDEX('Pace of change parameters'!$E$31:$I$31,1,$B$5)=1,D172*(1+Q172),D172),L172)</f>
        <v>328350</v>
      </c>
      <c r="T172" s="103">
        <f>IF(Q172&lt;INDEX('Pace of change parameters'!$E$24:$I$24,1,$B$5),INDEX('Pace of change parameters'!$E$24:$I$24,1,$B$5),Q172)</f>
        <v>2.7685477563583749E-2</v>
      </c>
      <c r="U172" s="132">
        <v>1.7625694132900271E-2</v>
      </c>
      <c r="V172" s="117">
        <f t="shared" si="31"/>
        <v>328350</v>
      </c>
      <c r="W172" s="131">
        <f>IF(J172&gt;INDEX('Pace of change parameters'!$E$26:$I$26,1,$B$5),0,IF(J172&lt;INDEX('Pace of change parameters'!$E$25:$I$25,1,$B$5),1,(J172-INDEX('Pace of change parameters'!$E$26:$I$26,1,$B$5))/(INDEX('Pace of change parameters'!$E$25:$I$25,1,$B$5)-INDEX('Pace of change parameters'!$E$26:$I$26,1,$B$5))))</f>
        <v>1</v>
      </c>
      <c r="X172" s="132">
        <f>MIN(T172, T172+(INDEX('Pace of change parameters'!$E$27:$I$27,1,$B$5)-T172)*(1-W172))</f>
        <v>2.7685477563583749E-2</v>
      </c>
      <c r="Y172" s="132">
        <v>1.7625694132900271E-2</v>
      </c>
      <c r="Z172" s="108">
        <f t="shared" si="32"/>
        <v>328350</v>
      </c>
      <c r="AA172" s="97">
        <f>MIN(VLOOKUP(A172,'2018-19 disagg'!$A$12:$BB$220,54,FALSE),-2.5%)</f>
        <v>-2.5000000000000001E-2</v>
      </c>
      <c r="AB172" s="99">
        <f t="shared" si="24"/>
        <v>325360.67623833049</v>
      </c>
      <c r="AC172" s="99">
        <f>MAX(IF(INDEX('Pace of change parameters'!$E$29:$I$29,1,$B$5)=1,MAX(AB172,Z172),Z172),L172)</f>
        <v>328350</v>
      </c>
      <c r="AD172" s="97">
        <f t="shared" si="25"/>
        <v>2.8633188183327496E-2</v>
      </c>
      <c r="AE172" s="146">
        <v>1.8564127825220655E-2</v>
      </c>
      <c r="AF172" s="56">
        <f t="shared" si="33"/>
        <v>328350</v>
      </c>
      <c r="AG172" s="56">
        <v>1519.0775321148869</v>
      </c>
      <c r="AH172" s="16">
        <f t="shared" si="26"/>
        <v>2.8633188183327496E-2</v>
      </c>
      <c r="AI172" s="16">
        <f t="shared" si="27"/>
        <v>1.8564127825220877E-2</v>
      </c>
      <c r="AJ172" s="56"/>
      <c r="AK172" s="56">
        <v>333703.25768033898</v>
      </c>
      <c r="AL172" s="56">
        <v>1543.8438286454927</v>
      </c>
      <c r="AM172" s="16">
        <f t="shared" si="35"/>
        <v>-1.6041970095080571E-2</v>
      </c>
      <c r="AN172" s="58">
        <f t="shared" si="35"/>
        <v>-1.6041970095080682E-2</v>
      </c>
      <c r="AP172" s="56">
        <f t="shared" si="28"/>
        <v>1</v>
      </c>
      <c r="AQ172" s="56">
        <f t="shared" si="29"/>
        <v>0</v>
      </c>
    </row>
    <row r="173" spans="1:43" x14ac:dyDescent="0.2">
      <c r="A173" s="156" t="s">
        <v>391</v>
      </c>
      <c r="B173" s="156" t="s">
        <v>392</v>
      </c>
      <c r="D173" s="68">
        <f>VLOOKUP(A173,'2018-19 disagg'!A173:AZ381,43,FALSE)</f>
        <v>210257</v>
      </c>
      <c r="E173" s="73">
        <v>1458.9962074058089</v>
      </c>
      <c r="F173" s="55"/>
      <c r="G173" s="88">
        <v>215442.83011771212</v>
      </c>
      <c r="H173" s="81">
        <v>1481.0959668752612</v>
      </c>
      <c r="I173" s="90"/>
      <c r="J173" s="103">
        <f t="shared" si="30"/>
        <v>-2.4070562547283236E-2</v>
      </c>
      <c r="K173" s="126">
        <f t="shared" si="30"/>
        <v>-1.4921220477074892E-2</v>
      </c>
      <c r="L173" s="56">
        <v>216094</v>
      </c>
      <c r="M173" s="103">
        <v>2.3068235901056999E-2</v>
      </c>
      <c r="N173" s="97">
        <f>INDEX('Pace of change parameters'!$E$22:$I$22,1,$B$5)</f>
        <v>1.356605044543624E-2</v>
      </c>
      <c r="O173" s="108">
        <f>MAX(IF(INDEX('Pace of change parameters'!$E$30:$I$30,1,$B$5)=1,(1+M173)*D173,D173),L173)</f>
        <v>216094</v>
      </c>
      <c r="P173" s="94">
        <f>IF(K173&lt;INDEX('Pace of change parameters'!$E$18:$I$18,1,$B$5),1,IF(K173&gt;INDEX('Pace of change parameters'!$E$19:$I$19,1,$B$5),0,(K173-INDEX('Pace of change parameters'!$E$19:$I$19,1,$B$5))/(INDEX('Pace of change parameters'!$E$18:$I$18,1,$B$5)-INDEX('Pace of change parameters'!$E$19:$I$19,1,$B$5))))</f>
        <v>0.52532854353369685</v>
      </c>
      <c r="Q173" s="57">
        <v>2.9795295291289214E-2</v>
      </c>
      <c r="R173" s="57">
        <v>2.0230629383579446E-2</v>
      </c>
      <c r="S173" s="9">
        <f>MAX(IF(INDEX('Pace of change parameters'!$E$31:$I$31,1,$B$5)=1,D173*(1+Q173),D173),L173)</f>
        <v>216521.66940206059</v>
      </c>
      <c r="T173" s="103">
        <f>IF(Q173&lt;INDEX('Pace of change parameters'!$E$24:$I$24,1,$B$5),INDEX('Pace of change parameters'!$E$24:$I$24,1,$B$5),Q173)</f>
        <v>2.9795295291289214E-2</v>
      </c>
      <c r="U173" s="132">
        <v>2.0230629383579446E-2</v>
      </c>
      <c r="V173" s="117">
        <f t="shared" si="31"/>
        <v>216521.66940206059</v>
      </c>
      <c r="W173" s="131">
        <f>IF(J173&gt;INDEX('Pace of change parameters'!$E$26:$I$26,1,$B$5),0,IF(J173&lt;INDEX('Pace of change parameters'!$E$25:$I$25,1,$B$5),1,(J173-INDEX('Pace of change parameters'!$E$26:$I$26,1,$B$5))/(INDEX('Pace of change parameters'!$E$25:$I$25,1,$B$5)-INDEX('Pace of change parameters'!$E$26:$I$26,1,$B$5))))</f>
        <v>1</v>
      </c>
      <c r="X173" s="132">
        <f>MIN(T173, T173+(INDEX('Pace of change parameters'!$E$27:$I$27,1,$B$5)-T173)*(1-W173))</f>
        <v>2.9795295291289214E-2</v>
      </c>
      <c r="Y173" s="132">
        <v>2.0230629383579446E-2</v>
      </c>
      <c r="Z173" s="108">
        <f t="shared" si="32"/>
        <v>216521.66940206059</v>
      </c>
      <c r="AA173" s="97">
        <f>MIN(VLOOKUP(A173,'2018-19 disagg'!$A$12:$BB$220,54,FALSE),-2.5%)</f>
        <v>-2.5000000000000001E-2</v>
      </c>
      <c r="AB173" s="99">
        <f t="shared" si="24"/>
        <v>215633.55795555984</v>
      </c>
      <c r="AC173" s="99">
        <f>MAX(IF(INDEX('Pace of change parameters'!$E$29:$I$29,1,$B$5)=1,MAX(AB173,Z173),Z173),L173)</f>
        <v>216521.66940206059</v>
      </c>
      <c r="AD173" s="97">
        <f t="shared" si="25"/>
        <v>2.9795295291289214E-2</v>
      </c>
      <c r="AE173" s="146">
        <v>2.0230629383579446E-2</v>
      </c>
      <c r="AF173" s="56">
        <f t="shared" si="33"/>
        <v>216521.66940206059</v>
      </c>
      <c r="AG173" s="56">
        <v>1488.512618949884</v>
      </c>
      <c r="AH173" s="16">
        <f t="shared" si="26"/>
        <v>2.9795295291289214E-2</v>
      </c>
      <c r="AI173" s="16">
        <f t="shared" si="27"/>
        <v>2.0230629383579446E-2</v>
      </c>
      <c r="AJ173" s="56"/>
      <c r="AK173" s="56">
        <v>221162.62354416394</v>
      </c>
      <c r="AL173" s="56">
        <v>1520.4175955906323</v>
      </c>
      <c r="AM173" s="16">
        <f t="shared" si="35"/>
        <v>-2.0984351097537934E-2</v>
      </c>
      <c r="AN173" s="58">
        <f t="shared" si="35"/>
        <v>-2.0984351097538045E-2</v>
      </c>
      <c r="AP173" s="56">
        <f t="shared" si="28"/>
        <v>0</v>
      </c>
      <c r="AQ173" s="56">
        <f t="shared" si="29"/>
        <v>0</v>
      </c>
    </row>
    <row r="174" spans="1:43" x14ac:dyDescent="0.2">
      <c r="A174" s="156" t="s">
        <v>393</v>
      </c>
      <c r="B174" s="156" t="s">
        <v>394</v>
      </c>
      <c r="D174" s="68">
        <f>VLOOKUP(A174,'2018-19 disagg'!A174:AZ382,43,FALSE)</f>
        <v>514891</v>
      </c>
      <c r="E174" s="73">
        <v>1623.4363897917187</v>
      </c>
      <c r="F174" s="55"/>
      <c r="G174" s="88">
        <v>499938.74142317445</v>
      </c>
      <c r="H174" s="81">
        <v>1566.2720344464676</v>
      </c>
      <c r="I174" s="90"/>
      <c r="J174" s="103">
        <f t="shared" si="30"/>
        <v>2.9908181418909496E-2</v>
      </c>
      <c r="K174" s="126">
        <f t="shared" si="30"/>
        <v>3.6497079746082184E-2</v>
      </c>
      <c r="L174" s="56">
        <v>528403</v>
      </c>
      <c r="M174" s="103">
        <v>2.0050399025965282E-2</v>
      </c>
      <c r="N174" s="97">
        <f>INDEX('Pace of change parameters'!$E$22:$I$22,1,$B$5)</f>
        <v>1.356605044543624E-2</v>
      </c>
      <c r="O174" s="108">
        <f>MAX(IF(INDEX('Pace of change parameters'!$E$30:$I$30,1,$B$5)=1,(1+M174)*D174,D174),L174)</f>
        <v>528403</v>
      </c>
      <c r="P174" s="94">
        <f>IF(K174&lt;INDEX('Pace of change parameters'!$E$18:$I$18,1,$B$5),1,IF(K174&gt;INDEX('Pace of change parameters'!$E$19:$I$19,1,$B$5),0,(K174-INDEX('Pace of change parameters'!$E$19:$I$19,1,$B$5))/(INDEX('Pace of change parameters'!$E$18:$I$18,1,$B$5)-INDEX('Pace of change parameters'!$E$19:$I$19,1,$B$5))))</f>
        <v>0</v>
      </c>
      <c r="Q174" s="57">
        <v>2.0050399025965282E-2</v>
      </c>
      <c r="R174" s="57">
        <v>1.356605044543624E-2</v>
      </c>
      <c r="S174" s="9">
        <f>MAX(IF(INDEX('Pace of change parameters'!$E$31:$I$31,1,$B$5)=1,D174*(1+Q174),D174),L174)</f>
        <v>528403</v>
      </c>
      <c r="T174" s="103">
        <f>IF(Q174&lt;INDEX('Pace of change parameters'!$E$24:$I$24,1,$B$5),INDEX('Pace of change parameters'!$E$24:$I$24,1,$B$5),Q174)</f>
        <v>2.0738822378003872E-2</v>
      </c>
      <c r="U174" s="132">
        <v>1.425009756568274E-2</v>
      </c>
      <c r="V174" s="117">
        <f t="shared" si="31"/>
        <v>528403</v>
      </c>
      <c r="W174" s="131">
        <f>IF(J174&gt;INDEX('Pace of change parameters'!$E$26:$I$26,1,$B$5),0,IF(J174&lt;INDEX('Pace of change parameters'!$E$25:$I$25,1,$B$5),1,(J174-INDEX('Pace of change parameters'!$E$26:$I$26,1,$B$5))/(INDEX('Pace of change parameters'!$E$25:$I$25,1,$B$5)-INDEX('Pace of change parameters'!$E$26:$I$26,1,$B$5))))</f>
        <v>1</v>
      </c>
      <c r="X174" s="132">
        <f>MIN(T174, T174+(INDEX('Pace of change parameters'!$E$27:$I$27,1,$B$5)-T174)*(1-W174))</f>
        <v>2.0738822378003872E-2</v>
      </c>
      <c r="Y174" s="132">
        <v>1.425009756568274E-2</v>
      </c>
      <c r="Z174" s="108">
        <f t="shared" si="32"/>
        <v>528403</v>
      </c>
      <c r="AA174" s="97">
        <f>MIN(VLOOKUP(A174,'2018-19 disagg'!$A$12:$BB$220,54,FALSE),-2.5%)</f>
        <v>-2.5000000000000001E-2</v>
      </c>
      <c r="AB174" s="99">
        <f t="shared" si="24"/>
        <v>500858.80884463334</v>
      </c>
      <c r="AC174" s="99">
        <f>MAX(IF(INDEX('Pace of change parameters'!$E$29:$I$29,1,$B$5)=1,MAX(AB174,Z174),Z174),L174)</f>
        <v>528403</v>
      </c>
      <c r="AD174" s="97">
        <f t="shared" si="25"/>
        <v>2.6242447430621318E-2</v>
      </c>
      <c r="AE174" s="146">
        <v>1.9718736677084348E-2</v>
      </c>
      <c r="AF174" s="56">
        <f t="shared" si="33"/>
        <v>528403</v>
      </c>
      <c r="AG174" s="56">
        <v>1655.4485044740179</v>
      </c>
      <c r="AH174" s="16">
        <f t="shared" si="26"/>
        <v>2.6242447430621318E-2</v>
      </c>
      <c r="AI174" s="16">
        <f t="shared" si="27"/>
        <v>1.9718736677084125E-2</v>
      </c>
      <c r="AJ174" s="56"/>
      <c r="AK174" s="56">
        <v>513701.34240475215</v>
      </c>
      <c r="AL174" s="56">
        <v>1609.3892711249603</v>
      </c>
      <c r="AM174" s="16">
        <f t="shared" si="35"/>
        <v>2.8619075680094808E-2</v>
      </c>
      <c r="AN174" s="58">
        <f t="shared" si="35"/>
        <v>2.8619075680094586E-2</v>
      </c>
      <c r="AP174" s="56">
        <f t="shared" si="28"/>
        <v>1</v>
      </c>
      <c r="AQ174" s="56">
        <f t="shared" si="29"/>
        <v>0</v>
      </c>
    </row>
    <row r="175" spans="1:43" x14ac:dyDescent="0.2">
      <c r="A175" s="156" t="s">
        <v>395</v>
      </c>
      <c r="B175" s="156" t="s">
        <v>396</v>
      </c>
      <c r="D175" s="68">
        <f>VLOOKUP(A175,'2018-19 disagg'!A175:AZ383,43,FALSE)</f>
        <v>347778</v>
      </c>
      <c r="E175" s="73">
        <v>1572.5411049565992</v>
      </c>
      <c r="F175" s="55"/>
      <c r="G175" s="88">
        <v>347479.05258863897</v>
      </c>
      <c r="H175" s="81">
        <v>1563.0259429252947</v>
      </c>
      <c r="I175" s="90"/>
      <c r="J175" s="103">
        <f t="shared" si="30"/>
        <v>8.6033218156300606E-4</v>
      </c>
      <c r="K175" s="126">
        <f t="shared" si="30"/>
        <v>6.0876545743675514E-3</v>
      </c>
      <c r="L175" s="56">
        <v>356485</v>
      </c>
      <c r="M175" s="103">
        <v>1.885973263237184E-2</v>
      </c>
      <c r="N175" s="97">
        <f>INDEX('Pace of change parameters'!$E$22:$I$22,1,$B$5)</f>
        <v>1.356605044543624E-2</v>
      </c>
      <c r="O175" s="108">
        <f>MAX(IF(INDEX('Pace of change parameters'!$E$30:$I$30,1,$B$5)=1,(1+M175)*D175,D175),L175)</f>
        <v>356485</v>
      </c>
      <c r="P175" s="94">
        <f>IF(K175&lt;INDEX('Pace of change parameters'!$E$18:$I$18,1,$B$5),1,IF(K175&gt;INDEX('Pace of change parameters'!$E$19:$I$19,1,$B$5),0,(K175-INDEX('Pace of change parameters'!$E$19:$I$19,1,$B$5))/(INDEX('Pace of change parameters'!$E$18:$I$18,1,$B$5)-INDEX('Pace of change parameters'!$E$19:$I$19,1,$B$5))))</f>
        <v>0</v>
      </c>
      <c r="Q175" s="57">
        <v>1.885973263237184E-2</v>
      </c>
      <c r="R175" s="57">
        <v>1.356605044543624E-2</v>
      </c>
      <c r="S175" s="9">
        <f>MAX(IF(INDEX('Pace of change parameters'!$E$31:$I$31,1,$B$5)=1,D175*(1+Q175),D175),L175)</f>
        <v>356485</v>
      </c>
      <c r="T175" s="103">
        <f>IF(Q175&lt;INDEX('Pace of change parameters'!$E$24:$I$24,1,$B$5),INDEX('Pace of change parameters'!$E$24:$I$24,1,$B$5),Q175)</f>
        <v>2.0738822378003872E-2</v>
      </c>
      <c r="U175" s="132">
        <v>1.5435377017988028E-2</v>
      </c>
      <c r="V175" s="117">
        <f t="shared" si="31"/>
        <v>356485</v>
      </c>
      <c r="W175" s="131">
        <f>IF(J175&gt;INDEX('Pace of change parameters'!$E$26:$I$26,1,$B$5),0,IF(J175&lt;INDEX('Pace of change parameters'!$E$25:$I$25,1,$B$5),1,(J175-INDEX('Pace of change parameters'!$E$26:$I$26,1,$B$5))/(INDEX('Pace of change parameters'!$E$25:$I$25,1,$B$5)-INDEX('Pace of change parameters'!$E$26:$I$26,1,$B$5))))</f>
        <v>1</v>
      </c>
      <c r="X175" s="132">
        <f>MIN(T175, T175+(INDEX('Pace of change parameters'!$E$27:$I$27,1,$B$5)-T175)*(1-W175))</f>
        <v>2.0738822378003872E-2</v>
      </c>
      <c r="Y175" s="132">
        <v>1.5435377017988028E-2</v>
      </c>
      <c r="Z175" s="108">
        <f t="shared" si="32"/>
        <v>356485</v>
      </c>
      <c r="AA175" s="97">
        <f>MIN(VLOOKUP(A175,'2018-19 disagg'!$A$12:$BB$220,54,FALSE),-2.5%)</f>
        <v>-2.5000000000000001E-2</v>
      </c>
      <c r="AB175" s="99">
        <f t="shared" si="24"/>
        <v>347844.88415584114</v>
      </c>
      <c r="AC175" s="99">
        <f>MAX(IF(INDEX('Pace of change parameters'!$E$29:$I$29,1,$B$5)=1,MAX(AB175,Z175),Z175),L175)</f>
        <v>356485</v>
      </c>
      <c r="AD175" s="97">
        <f t="shared" si="25"/>
        <v>2.5036086238922506E-2</v>
      </c>
      <c r="AE175" s="146">
        <v>1.9710313615963093E-2</v>
      </c>
      <c r="AF175" s="56">
        <f t="shared" si="33"/>
        <v>356485</v>
      </c>
      <c r="AG175" s="56">
        <v>1603.5363833092872</v>
      </c>
      <c r="AH175" s="16">
        <f t="shared" si="26"/>
        <v>2.5036086238922506E-2</v>
      </c>
      <c r="AI175" s="16">
        <f t="shared" si="27"/>
        <v>1.9710313615963315E-2</v>
      </c>
      <c r="AJ175" s="56"/>
      <c r="AK175" s="56">
        <v>356763.98374958069</v>
      </c>
      <c r="AL175" s="56">
        <v>1604.791304534036</v>
      </c>
      <c r="AM175" s="16">
        <f t="shared" si="35"/>
        <v>-7.8198406310125979E-4</v>
      </c>
      <c r="AN175" s="58">
        <f t="shared" si="35"/>
        <v>-7.8198406310114876E-4</v>
      </c>
      <c r="AP175" s="56">
        <f t="shared" si="28"/>
        <v>1</v>
      </c>
      <c r="AQ175" s="56">
        <f t="shared" si="29"/>
        <v>0</v>
      </c>
    </row>
    <row r="176" spans="1:43" x14ac:dyDescent="0.2">
      <c r="A176" s="156" t="s">
        <v>397</v>
      </c>
      <c r="B176" s="156" t="s">
        <v>398</v>
      </c>
      <c r="D176" s="68">
        <f>VLOOKUP(A176,'2018-19 disagg'!A176:AZ384,43,FALSE)</f>
        <v>496600</v>
      </c>
      <c r="E176" s="73">
        <v>1444.7193703707039</v>
      </c>
      <c r="F176" s="55"/>
      <c r="G176" s="88">
        <v>508255.80929746001</v>
      </c>
      <c r="H176" s="81">
        <v>1469.8345506335102</v>
      </c>
      <c r="I176" s="90"/>
      <c r="J176" s="103">
        <f t="shared" si="30"/>
        <v>-2.293295833366138E-2</v>
      </c>
      <c r="K176" s="126">
        <f t="shared" si="30"/>
        <v>-1.7087079802268534E-2</v>
      </c>
      <c r="L176" s="56">
        <v>509352</v>
      </c>
      <c r="M176" s="103">
        <v>1.9630305774674062E-2</v>
      </c>
      <c r="N176" s="97">
        <f>INDEX('Pace of change parameters'!$E$22:$I$22,1,$B$5)</f>
        <v>1.356605044543624E-2</v>
      </c>
      <c r="O176" s="108">
        <f>MAX(IF(INDEX('Pace of change parameters'!$E$30:$I$30,1,$B$5)=1,(1+M176)*D176,D176),L176)</f>
        <v>509352</v>
      </c>
      <c r="P176" s="94">
        <f>IF(K176&lt;INDEX('Pace of change parameters'!$E$18:$I$18,1,$B$5),1,IF(K176&gt;INDEX('Pace of change parameters'!$E$19:$I$19,1,$B$5),0,(K176-INDEX('Pace of change parameters'!$E$19:$I$19,1,$B$5))/(INDEX('Pace of change parameters'!$E$18:$I$18,1,$B$5)-INDEX('Pace of change parameters'!$E$19:$I$19,1,$B$5))))</f>
        <v>0.5935085708911999</v>
      </c>
      <c r="Q176" s="57">
        <v>2.7204900350004113E-2</v>
      </c>
      <c r="R176" s="57">
        <v>2.1095595089178243E-2</v>
      </c>
      <c r="S176" s="9">
        <f>MAX(IF(INDEX('Pace of change parameters'!$E$31:$I$31,1,$B$5)=1,D176*(1+Q176),D176),L176)</f>
        <v>510109.95351381204</v>
      </c>
      <c r="T176" s="103">
        <f>IF(Q176&lt;INDEX('Pace of change parameters'!$E$24:$I$24,1,$B$5),INDEX('Pace of change parameters'!$E$24:$I$24,1,$B$5),Q176)</f>
        <v>2.7204900350004113E-2</v>
      </c>
      <c r="U176" s="132">
        <v>2.1095595089178243E-2</v>
      </c>
      <c r="V176" s="117">
        <f t="shared" si="31"/>
        <v>510109.95351381204</v>
      </c>
      <c r="W176" s="131">
        <f>IF(J176&gt;INDEX('Pace of change parameters'!$E$26:$I$26,1,$B$5),0,IF(J176&lt;INDEX('Pace of change parameters'!$E$25:$I$25,1,$B$5),1,(J176-INDEX('Pace of change parameters'!$E$26:$I$26,1,$B$5))/(INDEX('Pace of change parameters'!$E$25:$I$25,1,$B$5)-INDEX('Pace of change parameters'!$E$26:$I$26,1,$B$5))))</f>
        <v>1</v>
      </c>
      <c r="X176" s="132">
        <f>MIN(T176, T176+(INDEX('Pace of change parameters'!$E$27:$I$27,1,$B$5)-T176)*(1-W176))</f>
        <v>2.7204900350004113E-2</v>
      </c>
      <c r="Y176" s="132">
        <v>2.1095595089178243E-2</v>
      </c>
      <c r="Z176" s="108">
        <f t="shared" si="32"/>
        <v>510109.95351381204</v>
      </c>
      <c r="AA176" s="97">
        <f>MIN(VLOOKUP(A176,'2018-19 disagg'!$A$12:$BB$220,54,FALSE),-2.5%)</f>
        <v>-2.5000000000000001E-2</v>
      </c>
      <c r="AB176" s="99">
        <f t="shared" si="24"/>
        <v>508710.59224592056</v>
      </c>
      <c r="AC176" s="99">
        <f>MAX(IF(INDEX('Pace of change parameters'!$E$29:$I$29,1,$B$5)=1,MAX(AB176,Z176),Z176),L176)</f>
        <v>510109.95351381204</v>
      </c>
      <c r="AD176" s="97">
        <f t="shared" si="25"/>
        <v>2.7204900350004113E-2</v>
      </c>
      <c r="AE176" s="146">
        <v>2.1095595089178243E-2</v>
      </c>
      <c r="AF176" s="56">
        <f t="shared" si="33"/>
        <v>510109.95351381204</v>
      </c>
      <c r="AG176" s="56">
        <v>1475.1965852255369</v>
      </c>
      <c r="AH176" s="16">
        <f t="shared" si="26"/>
        <v>2.7204900350004113E-2</v>
      </c>
      <c r="AI176" s="16">
        <f t="shared" si="27"/>
        <v>2.1095595089178243E-2</v>
      </c>
      <c r="AJ176" s="56"/>
      <c r="AK176" s="56">
        <v>521754.45358555956</v>
      </c>
      <c r="AL176" s="56">
        <v>1508.8715343696831</v>
      </c>
      <c r="AM176" s="16">
        <f t="shared" si="35"/>
        <v>-2.2317969672755233E-2</v>
      </c>
      <c r="AN176" s="58">
        <f t="shared" si="35"/>
        <v>-2.2317969672755233E-2</v>
      </c>
      <c r="AP176" s="56">
        <f t="shared" si="28"/>
        <v>0</v>
      </c>
      <c r="AQ176" s="56">
        <f t="shared" si="29"/>
        <v>0</v>
      </c>
    </row>
    <row r="177" spans="1:43" x14ac:dyDescent="0.2">
      <c r="A177" s="156" t="s">
        <v>399</v>
      </c>
      <c r="B177" s="156" t="s">
        <v>400</v>
      </c>
      <c r="D177" s="68">
        <f>VLOOKUP(A177,'2018-19 disagg'!A177:AZ385,43,FALSE)</f>
        <v>906115</v>
      </c>
      <c r="E177" s="73">
        <v>1755.2425967952729</v>
      </c>
      <c r="F177" s="55"/>
      <c r="G177" s="88">
        <v>925862.98477155401</v>
      </c>
      <c r="H177" s="81">
        <v>1779.1927276617191</v>
      </c>
      <c r="I177" s="90"/>
      <c r="J177" s="103">
        <f t="shared" si="30"/>
        <v>-2.1329273441498042E-2</v>
      </c>
      <c r="K177" s="126">
        <f t="shared" si="30"/>
        <v>-1.3461234690365642E-2</v>
      </c>
      <c r="L177" s="56">
        <v>929886</v>
      </c>
      <c r="M177" s="103">
        <v>2.1714630703660864E-2</v>
      </c>
      <c r="N177" s="97">
        <f>INDEX('Pace of change parameters'!$E$22:$I$22,1,$B$5)</f>
        <v>1.356605044543624E-2</v>
      </c>
      <c r="O177" s="108">
        <f>MAX(IF(INDEX('Pace of change parameters'!$E$30:$I$30,1,$B$5)=1,(1+M177)*D177,D177),L177)</f>
        <v>929886</v>
      </c>
      <c r="P177" s="94">
        <f>IF(K177&lt;INDEX('Pace of change parameters'!$E$18:$I$18,1,$B$5),1,IF(K177&gt;INDEX('Pace of change parameters'!$E$19:$I$19,1,$B$5),0,(K177-INDEX('Pace of change parameters'!$E$19:$I$19,1,$B$5))/(INDEX('Pace of change parameters'!$E$18:$I$18,1,$B$5)-INDEX('Pace of change parameters'!$E$19:$I$19,1,$B$5))))</f>
        <v>0.47936901618973937</v>
      </c>
      <c r="Q177" s="57">
        <v>2.7845036664763345E-2</v>
      </c>
      <c r="R177" s="57">
        <v>1.9647563982481797E-2</v>
      </c>
      <c r="S177" s="9">
        <f>MAX(IF(INDEX('Pace of change parameters'!$E$31:$I$31,1,$B$5)=1,D177*(1+Q177),D177),L177)</f>
        <v>931345.80539749202</v>
      </c>
      <c r="T177" s="103">
        <f>IF(Q177&lt;INDEX('Pace of change parameters'!$E$24:$I$24,1,$B$5),INDEX('Pace of change parameters'!$E$24:$I$24,1,$B$5),Q177)</f>
        <v>2.7845036664763345E-2</v>
      </c>
      <c r="U177" s="132">
        <v>1.9647563982481797E-2</v>
      </c>
      <c r="V177" s="117">
        <f t="shared" si="31"/>
        <v>931345.80539749202</v>
      </c>
      <c r="W177" s="131">
        <f>IF(J177&gt;INDEX('Pace of change parameters'!$E$26:$I$26,1,$B$5),0,IF(J177&lt;INDEX('Pace of change parameters'!$E$25:$I$25,1,$B$5),1,(J177-INDEX('Pace of change parameters'!$E$26:$I$26,1,$B$5))/(INDEX('Pace of change parameters'!$E$25:$I$25,1,$B$5)-INDEX('Pace of change parameters'!$E$26:$I$26,1,$B$5))))</f>
        <v>1</v>
      </c>
      <c r="X177" s="132">
        <f>MIN(T177, T177+(INDEX('Pace of change parameters'!$E$27:$I$27,1,$B$5)-T177)*(1-W177))</f>
        <v>2.7845036664763345E-2</v>
      </c>
      <c r="Y177" s="132">
        <v>1.9647563982481797E-2</v>
      </c>
      <c r="Z177" s="108">
        <f t="shared" si="32"/>
        <v>931345.80539749202</v>
      </c>
      <c r="AA177" s="97">
        <f>MIN(VLOOKUP(A177,'2018-19 disagg'!$A$12:$BB$220,54,FALSE),-2.5%)</f>
        <v>-2.5000000000000001E-2</v>
      </c>
      <c r="AB177" s="99">
        <f t="shared" si="24"/>
        <v>926375.89514108491</v>
      </c>
      <c r="AC177" s="99">
        <f>MAX(IF(INDEX('Pace of change parameters'!$E$29:$I$29,1,$B$5)=1,MAX(AB177,Z177),Z177),L177)</f>
        <v>931345.80539749202</v>
      </c>
      <c r="AD177" s="97">
        <f t="shared" si="25"/>
        <v>2.7845036664763345E-2</v>
      </c>
      <c r="AE177" s="146">
        <v>1.9647563982481797E-2</v>
      </c>
      <c r="AF177" s="56">
        <f t="shared" si="33"/>
        <v>931345.80539749202</v>
      </c>
      <c r="AG177" s="56">
        <v>1789.7288380205855</v>
      </c>
      <c r="AH177" s="16">
        <f t="shared" si="26"/>
        <v>2.7845036664763345E-2</v>
      </c>
      <c r="AI177" s="16">
        <f t="shared" si="27"/>
        <v>1.9647563982481797E-2</v>
      </c>
      <c r="AJ177" s="56"/>
      <c r="AK177" s="56">
        <v>950129.12322162557</v>
      </c>
      <c r="AL177" s="56">
        <v>1825.8239655110781</v>
      </c>
      <c r="AM177" s="16">
        <f t="shared" si="35"/>
        <v>-1.9769226482022284E-2</v>
      </c>
      <c r="AN177" s="58">
        <f t="shared" si="35"/>
        <v>-1.9769226482022284E-2</v>
      </c>
      <c r="AP177" s="56">
        <f t="shared" si="28"/>
        <v>0</v>
      </c>
      <c r="AQ177" s="56">
        <f t="shared" si="29"/>
        <v>0</v>
      </c>
    </row>
    <row r="178" spans="1:43" x14ac:dyDescent="0.2">
      <c r="A178" s="156" t="s">
        <v>401</v>
      </c>
      <c r="B178" s="156" t="s">
        <v>402</v>
      </c>
      <c r="D178" s="68">
        <f>VLOOKUP(A178,'2018-19 disagg'!A178:AZ386,43,FALSE)</f>
        <v>211939</v>
      </c>
      <c r="E178" s="73">
        <v>1589.6199168030214</v>
      </c>
      <c r="F178" s="55"/>
      <c r="G178" s="88">
        <v>215127.29422897153</v>
      </c>
      <c r="H178" s="81">
        <v>1597.3999006836316</v>
      </c>
      <c r="I178" s="90"/>
      <c r="J178" s="103">
        <f t="shared" si="30"/>
        <v>-1.4820500766295375E-2</v>
      </c>
      <c r="K178" s="126">
        <f t="shared" si="30"/>
        <v>-4.8704046352329167E-3</v>
      </c>
      <c r="L178" s="56">
        <v>217987</v>
      </c>
      <c r="M178" s="103">
        <v>2.380284449663006E-2</v>
      </c>
      <c r="N178" s="97">
        <f>INDEX('Pace of change parameters'!$E$22:$I$22,1,$B$5)</f>
        <v>1.356605044543624E-2</v>
      </c>
      <c r="O178" s="108">
        <f>MAX(IF(INDEX('Pace of change parameters'!$E$30:$I$30,1,$B$5)=1,(1+M178)*D178,D178),L178)</f>
        <v>217987</v>
      </c>
      <c r="P178" s="94">
        <f>IF(K178&lt;INDEX('Pace of change parameters'!$E$18:$I$18,1,$B$5),1,IF(K178&gt;INDEX('Pace of change parameters'!$E$19:$I$19,1,$B$5),0,(K178-INDEX('Pace of change parameters'!$E$19:$I$19,1,$B$5))/(INDEX('Pace of change parameters'!$E$18:$I$18,1,$B$5)-INDEX('Pace of change parameters'!$E$19:$I$19,1,$B$5))))</f>
        <v>0.20893454181304305</v>
      </c>
      <c r="Q178" s="57">
        <v>2.6480262868867621E-2</v>
      </c>
      <c r="R178" s="57">
        <v>1.6216697862101004E-2</v>
      </c>
      <c r="S178" s="9">
        <f>MAX(IF(INDEX('Pace of change parameters'!$E$31:$I$31,1,$B$5)=1,D178*(1+Q178),D178),L178)</f>
        <v>217987</v>
      </c>
      <c r="T178" s="103">
        <f>IF(Q178&lt;INDEX('Pace of change parameters'!$E$24:$I$24,1,$B$5),INDEX('Pace of change parameters'!$E$24:$I$24,1,$B$5),Q178)</f>
        <v>2.6480262868867621E-2</v>
      </c>
      <c r="U178" s="132">
        <v>1.6216697862101004E-2</v>
      </c>
      <c r="V178" s="117">
        <f t="shared" si="31"/>
        <v>217987</v>
      </c>
      <c r="W178" s="131">
        <f>IF(J178&gt;INDEX('Pace of change parameters'!$E$26:$I$26,1,$B$5),0,IF(J178&lt;INDEX('Pace of change parameters'!$E$25:$I$25,1,$B$5),1,(J178-INDEX('Pace of change parameters'!$E$26:$I$26,1,$B$5))/(INDEX('Pace of change parameters'!$E$25:$I$25,1,$B$5)-INDEX('Pace of change parameters'!$E$26:$I$26,1,$B$5))))</f>
        <v>1</v>
      </c>
      <c r="X178" s="132">
        <f>MIN(T178, T178+(INDEX('Pace of change parameters'!$E$27:$I$27,1,$B$5)-T178)*(1-W178))</f>
        <v>2.6480262868867621E-2</v>
      </c>
      <c r="Y178" s="132">
        <v>1.6216697862101004E-2</v>
      </c>
      <c r="Z178" s="108">
        <f t="shared" si="32"/>
        <v>217987</v>
      </c>
      <c r="AA178" s="97">
        <f>MIN(VLOOKUP(A178,'2018-19 disagg'!$A$12:$BB$220,54,FALSE),-2.5%)</f>
        <v>-2.5000000000000001E-2</v>
      </c>
      <c r="AB178" s="99">
        <f t="shared" si="24"/>
        <v>215358.04461371838</v>
      </c>
      <c r="AC178" s="99">
        <f>MAX(IF(INDEX('Pace of change parameters'!$E$29:$I$29,1,$B$5)=1,MAX(AB178,Z178),Z178),L178)</f>
        <v>217987</v>
      </c>
      <c r="AD178" s="97">
        <f t="shared" si="25"/>
        <v>2.8536512864550723E-2</v>
      </c>
      <c r="AE178" s="146">
        <v>1.8252387837037087E-2</v>
      </c>
      <c r="AF178" s="56">
        <f t="shared" si="33"/>
        <v>217987</v>
      </c>
      <c r="AG178" s="56">
        <v>1618.6342760379889</v>
      </c>
      <c r="AH178" s="16">
        <f t="shared" si="26"/>
        <v>2.8536512864550723E-2</v>
      </c>
      <c r="AI178" s="16">
        <f t="shared" si="27"/>
        <v>1.8252387837037087E-2</v>
      </c>
      <c r="AJ178" s="56"/>
      <c r="AK178" s="56">
        <v>220880.04575765989</v>
      </c>
      <c r="AL178" s="56">
        <v>1640.1162131511865</v>
      </c>
      <c r="AM178" s="16">
        <f t="shared" si="35"/>
        <v>-1.309781400912069E-2</v>
      </c>
      <c r="AN178" s="58">
        <f t="shared" si="35"/>
        <v>-1.309781400912069E-2</v>
      </c>
      <c r="AP178" s="56">
        <f t="shared" si="28"/>
        <v>1</v>
      </c>
      <c r="AQ178" s="56">
        <f t="shared" si="29"/>
        <v>0</v>
      </c>
    </row>
    <row r="179" spans="1:43" x14ac:dyDescent="0.2">
      <c r="A179" s="156" t="s">
        <v>403</v>
      </c>
      <c r="B179" s="156" t="s">
        <v>404</v>
      </c>
      <c r="D179" s="68">
        <f>VLOOKUP(A179,'2018-19 disagg'!A179:AZ387,43,FALSE)</f>
        <v>430729</v>
      </c>
      <c r="E179" s="73">
        <v>1614.7716062655359</v>
      </c>
      <c r="F179" s="55"/>
      <c r="G179" s="88">
        <v>441608.81901447033</v>
      </c>
      <c r="H179" s="81">
        <v>1639.5287827705158</v>
      </c>
      <c r="I179" s="90"/>
      <c r="J179" s="103">
        <f t="shared" si="30"/>
        <v>-2.4636779307873891E-2</v>
      </c>
      <c r="K179" s="126">
        <f t="shared" si="30"/>
        <v>-1.5100178029899936E-2</v>
      </c>
      <c r="L179" s="56">
        <v>443010</v>
      </c>
      <c r="M179" s="103">
        <v>2.3476179397325492E-2</v>
      </c>
      <c r="N179" s="97">
        <f>INDEX('Pace of change parameters'!$E$22:$I$22,1,$B$5)</f>
        <v>1.356605044543624E-2</v>
      </c>
      <c r="O179" s="108">
        <f>MAX(IF(INDEX('Pace of change parameters'!$E$30:$I$30,1,$B$5)=1,(1+M179)*D179,D179),L179)</f>
        <v>443010</v>
      </c>
      <c r="P179" s="94">
        <f>IF(K179&lt;INDEX('Pace of change parameters'!$E$18:$I$18,1,$B$5),1,IF(K179&gt;INDEX('Pace of change parameters'!$E$19:$I$19,1,$B$5),0,(K179-INDEX('Pace of change parameters'!$E$19:$I$19,1,$B$5))/(INDEX('Pace of change parameters'!$E$18:$I$18,1,$B$5)-INDEX('Pace of change parameters'!$E$19:$I$19,1,$B$5))))</f>
        <v>0.53096202614520127</v>
      </c>
      <c r="Q179" s="57">
        <v>3.027808911831964E-2</v>
      </c>
      <c r="R179" s="57">
        <v>2.0302098543257152E-2</v>
      </c>
      <c r="S179" s="9">
        <f>MAX(IF(INDEX('Pace of change parameters'!$E$31:$I$31,1,$B$5)=1,D179*(1+Q179),D179),L179)</f>
        <v>443770.65104784467</v>
      </c>
      <c r="T179" s="103">
        <f>IF(Q179&lt;INDEX('Pace of change parameters'!$E$24:$I$24,1,$B$5),INDEX('Pace of change parameters'!$E$24:$I$24,1,$B$5),Q179)</f>
        <v>3.027808911831964E-2</v>
      </c>
      <c r="U179" s="132">
        <v>2.0302098543257152E-2</v>
      </c>
      <c r="V179" s="117">
        <f t="shared" si="31"/>
        <v>443770.65104784467</v>
      </c>
      <c r="W179" s="131">
        <f>IF(J179&gt;INDEX('Pace of change parameters'!$E$26:$I$26,1,$B$5),0,IF(J179&lt;INDEX('Pace of change parameters'!$E$25:$I$25,1,$B$5),1,(J179-INDEX('Pace of change parameters'!$E$26:$I$26,1,$B$5))/(INDEX('Pace of change parameters'!$E$25:$I$25,1,$B$5)-INDEX('Pace of change parameters'!$E$26:$I$26,1,$B$5))))</f>
        <v>1</v>
      </c>
      <c r="X179" s="132">
        <f>MIN(T179, T179+(INDEX('Pace of change parameters'!$E$27:$I$27,1,$B$5)-T179)*(1-W179))</f>
        <v>3.027808911831964E-2</v>
      </c>
      <c r="Y179" s="132">
        <v>2.0302098543257152E-2</v>
      </c>
      <c r="Z179" s="108">
        <f t="shared" si="32"/>
        <v>443770.65104784467</v>
      </c>
      <c r="AA179" s="97">
        <f>MIN(VLOOKUP(A179,'2018-19 disagg'!$A$12:$BB$220,54,FALSE),-2.5%)</f>
        <v>-2.5000000000000001E-2</v>
      </c>
      <c r="AB179" s="99">
        <f t="shared" si="24"/>
        <v>442078.90770705929</v>
      </c>
      <c r="AC179" s="99">
        <f>MAX(IF(INDEX('Pace of change parameters'!$E$29:$I$29,1,$B$5)=1,MAX(AB179,Z179),Z179),L179)</f>
        <v>443770.65104784467</v>
      </c>
      <c r="AD179" s="97">
        <f t="shared" si="25"/>
        <v>3.027808911831964E-2</v>
      </c>
      <c r="AE179" s="146">
        <v>2.0302098543257152E-2</v>
      </c>
      <c r="AF179" s="56">
        <f t="shared" si="33"/>
        <v>443770.65104784467</v>
      </c>
      <c r="AG179" s="56">
        <v>1647.5548585407923</v>
      </c>
      <c r="AH179" s="16">
        <f t="shared" si="26"/>
        <v>3.027808911831964E-2</v>
      </c>
      <c r="AI179" s="16">
        <f t="shared" si="27"/>
        <v>2.0302098543257152E-2</v>
      </c>
      <c r="AJ179" s="56"/>
      <c r="AK179" s="56">
        <v>453414.26431493263</v>
      </c>
      <c r="AL179" s="56">
        <v>1683.3579966134953</v>
      </c>
      <c r="AM179" s="16">
        <f t="shared" si="35"/>
        <v>-2.1268879314281341E-2</v>
      </c>
      <c r="AN179" s="58">
        <f t="shared" si="35"/>
        <v>-2.1268879314281453E-2</v>
      </c>
      <c r="AP179" s="56">
        <f t="shared" si="28"/>
        <v>0</v>
      </c>
      <c r="AQ179" s="56">
        <f t="shared" si="29"/>
        <v>0</v>
      </c>
    </row>
    <row r="180" spans="1:43" x14ac:dyDescent="0.2">
      <c r="A180" s="156" t="s">
        <v>405</v>
      </c>
      <c r="B180" s="156" t="s">
        <v>406</v>
      </c>
      <c r="D180" s="68">
        <f>VLOOKUP(A180,'2018-19 disagg'!A180:AZ388,43,FALSE)</f>
        <v>291891</v>
      </c>
      <c r="E180" s="73">
        <v>1576.6733974011602</v>
      </c>
      <c r="F180" s="55"/>
      <c r="G180" s="88">
        <v>301343.84950020246</v>
      </c>
      <c r="H180" s="81">
        <v>1610.2459283284345</v>
      </c>
      <c r="I180" s="90"/>
      <c r="J180" s="103">
        <f t="shared" si="30"/>
        <v>-3.1368981035719168E-2</v>
      </c>
      <c r="K180" s="126">
        <f t="shared" si="30"/>
        <v>-2.0849318937340988E-2</v>
      </c>
      <c r="L180" s="56">
        <v>300489</v>
      </c>
      <c r="M180" s="103">
        <v>2.457372225887311E-2</v>
      </c>
      <c r="N180" s="97">
        <f>INDEX('Pace of change parameters'!$E$22:$I$22,1,$B$5)</f>
        <v>1.356605044543624E-2</v>
      </c>
      <c r="O180" s="108">
        <f>MAX(IF(INDEX('Pace of change parameters'!$E$30:$I$30,1,$B$5)=1,(1+M180)*D180,D180),L180)</f>
        <v>300489</v>
      </c>
      <c r="P180" s="94">
        <f>IF(K180&lt;INDEX('Pace of change parameters'!$E$18:$I$18,1,$B$5),1,IF(K180&gt;INDEX('Pace of change parameters'!$E$19:$I$19,1,$B$5),0,(K180-INDEX('Pace of change parameters'!$E$19:$I$19,1,$B$5))/(INDEX('Pace of change parameters'!$E$18:$I$18,1,$B$5)-INDEX('Pace of change parameters'!$E$19:$I$19,1,$B$5))))</f>
        <v>0.7119417323486158</v>
      </c>
      <c r="Q180" s="57">
        <v>3.3703859933898128E-2</v>
      </c>
      <c r="R180" s="57">
        <v>2.2598097024667085E-2</v>
      </c>
      <c r="S180" s="9">
        <f>MAX(IF(INDEX('Pace of change parameters'!$E$31:$I$31,1,$B$5)=1,D180*(1+Q180),D180),L180)</f>
        <v>301728.85337996547</v>
      </c>
      <c r="T180" s="103">
        <f>IF(Q180&lt;INDEX('Pace of change parameters'!$E$24:$I$24,1,$B$5),INDEX('Pace of change parameters'!$E$24:$I$24,1,$B$5),Q180)</f>
        <v>3.3703859933898128E-2</v>
      </c>
      <c r="U180" s="132">
        <v>2.2598097024667085E-2</v>
      </c>
      <c r="V180" s="117">
        <f t="shared" si="31"/>
        <v>301728.85337996547</v>
      </c>
      <c r="W180" s="131">
        <f>IF(J180&gt;INDEX('Pace of change parameters'!$E$26:$I$26,1,$B$5),0,IF(J180&lt;INDEX('Pace of change parameters'!$E$25:$I$25,1,$B$5),1,(J180-INDEX('Pace of change parameters'!$E$26:$I$26,1,$B$5))/(INDEX('Pace of change parameters'!$E$25:$I$25,1,$B$5)-INDEX('Pace of change parameters'!$E$26:$I$26,1,$B$5))))</f>
        <v>1</v>
      </c>
      <c r="X180" s="132">
        <f>MIN(T180, T180+(INDEX('Pace of change parameters'!$E$27:$I$27,1,$B$5)-T180)*(1-W180))</f>
        <v>3.3703859933898128E-2</v>
      </c>
      <c r="Y180" s="132">
        <v>2.2598097024667085E-2</v>
      </c>
      <c r="Z180" s="108">
        <f t="shared" si="32"/>
        <v>301728.85337996547</v>
      </c>
      <c r="AA180" s="97">
        <f>MIN(VLOOKUP(A180,'2018-19 disagg'!$A$12:$BB$220,54,FALSE),-2.5%)</f>
        <v>-2.7516353878437205E-2</v>
      </c>
      <c r="AB180" s="99">
        <f t="shared" si="24"/>
        <v>300864.58278769039</v>
      </c>
      <c r="AC180" s="99">
        <f>MAX(IF(INDEX('Pace of change parameters'!$E$29:$I$29,1,$B$5)=1,MAX(AB180,Z180),Z180),L180)</f>
        <v>301728.85337996547</v>
      </c>
      <c r="AD180" s="97">
        <f t="shared" si="25"/>
        <v>3.3703859933898128E-2</v>
      </c>
      <c r="AE180" s="146">
        <v>2.2598097024667085E-2</v>
      </c>
      <c r="AF180" s="56">
        <f t="shared" si="33"/>
        <v>301728.85337996547</v>
      </c>
      <c r="AG180" s="56">
        <v>1612.3032158118433</v>
      </c>
      <c r="AH180" s="16">
        <f t="shared" si="26"/>
        <v>3.3703859933898128E-2</v>
      </c>
      <c r="AI180" s="16">
        <f t="shared" si="27"/>
        <v>2.2598097024667307E-2</v>
      </c>
      <c r="AJ180" s="56"/>
      <c r="AK180" s="56">
        <v>309377.52422633709</v>
      </c>
      <c r="AL180" s="56">
        <v>1653.1742709467715</v>
      </c>
      <c r="AM180" s="16">
        <f t="shared" si="35"/>
        <v>-2.4722774757147348E-2</v>
      </c>
      <c r="AN180" s="58">
        <f t="shared" si="35"/>
        <v>-2.4722774757147237E-2</v>
      </c>
      <c r="AP180" s="56">
        <f t="shared" si="28"/>
        <v>0</v>
      </c>
      <c r="AQ180" s="56">
        <f t="shared" si="29"/>
        <v>0</v>
      </c>
    </row>
    <row r="181" spans="1:43" x14ac:dyDescent="0.2">
      <c r="A181" s="156" t="s">
        <v>407</v>
      </c>
      <c r="B181" s="156" t="s">
        <v>408</v>
      </c>
      <c r="D181" s="68">
        <f>VLOOKUP(A181,'2018-19 disagg'!A181:AZ389,43,FALSE)</f>
        <v>349848</v>
      </c>
      <c r="E181" s="73">
        <v>1779.674361245354</v>
      </c>
      <c r="F181" s="55"/>
      <c r="G181" s="88">
        <v>355296.43788867269</v>
      </c>
      <c r="H181" s="81">
        <v>1794.0595992242861</v>
      </c>
      <c r="I181" s="90"/>
      <c r="J181" s="103">
        <f t="shared" si="30"/>
        <v>-1.533490715823016E-2</v>
      </c>
      <c r="K181" s="126">
        <f t="shared" si="30"/>
        <v>-8.0182609235233127E-3</v>
      </c>
      <c r="L181" s="56">
        <v>358864</v>
      </c>
      <c r="M181" s="103">
        <v>2.1097447953614346E-2</v>
      </c>
      <c r="N181" s="97">
        <f>INDEX('Pace of change parameters'!$E$22:$I$22,1,$B$5)</f>
        <v>1.356605044543624E-2</v>
      </c>
      <c r="O181" s="108">
        <f>MAX(IF(INDEX('Pace of change parameters'!$E$30:$I$30,1,$B$5)=1,(1+M181)*D181,D181),L181)</f>
        <v>358864</v>
      </c>
      <c r="P181" s="94">
        <f>IF(K181&lt;INDEX('Pace of change parameters'!$E$18:$I$18,1,$B$5),1,IF(K181&gt;INDEX('Pace of change parameters'!$E$19:$I$19,1,$B$5),0,(K181-INDEX('Pace of change parameters'!$E$19:$I$19,1,$B$5))/(INDEX('Pace of change parameters'!$E$18:$I$18,1,$B$5)-INDEX('Pace of change parameters'!$E$19:$I$19,1,$B$5))))</f>
        <v>0.30802727851880241</v>
      </c>
      <c r="Q181" s="57">
        <v>2.5034272245447076E-2</v>
      </c>
      <c r="R181" s="57">
        <v>1.7473837558965366E-2</v>
      </c>
      <c r="S181" s="9">
        <f>MAX(IF(INDEX('Pace of change parameters'!$E$31:$I$31,1,$B$5)=1,D181*(1+Q181),D181),L181)</f>
        <v>358864</v>
      </c>
      <c r="T181" s="103">
        <f>IF(Q181&lt;INDEX('Pace of change parameters'!$E$24:$I$24,1,$B$5),INDEX('Pace of change parameters'!$E$24:$I$24,1,$B$5),Q181)</f>
        <v>2.5034272245447076E-2</v>
      </c>
      <c r="U181" s="132">
        <v>1.7473837558965366E-2</v>
      </c>
      <c r="V181" s="117">
        <f t="shared" si="31"/>
        <v>358864</v>
      </c>
      <c r="W181" s="131">
        <f>IF(J181&gt;INDEX('Pace of change parameters'!$E$26:$I$26,1,$B$5),0,IF(J181&lt;INDEX('Pace of change parameters'!$E$25:$I$25,1,$B$5),1,(J181-INDEX('Pace of change parameters'!$E$26:$I$26,1,$B$5))/(INDEX('Pace of change parameters'!$E$25:$I$25,1,$B$5)-INDEX('Pace of change parameters'!$E$26:$I$26,1,$B$5))))</f>
        <v>1</v>
      </c>
      <c r="X181" s="132">
        <f>MIN(T181, T181+(INDEX('Pace of change parameters'!$E$27:$I$27,1,$B$5)-T181)*(1-W181))</f>
        <v>2.5034272245447076E-2</v>
      </c>
      <c r="Y181" s="132">
        <v>1.7473837558965366E-2</v>
      </c>
      <c r="Z181" s="108">
        <f t="shared" si="32"/>
        <v>358864</v>
      </c>
      <c r="AA181" s="97">
        <f>MIN(VLOOKUP(A181,'2018-19 disagg'!$A$12:$BB$220,54,FALSE),-2.5%)</f>
        <v>-2.5000000000000001E-2</v>
      </c>
      <c r="AB181" s="99">
        <f t="shared" si="24"/>
        <v>355548.58115833596</v>
      </c>
      <c r="AC181" s="99">
        <f>MAX(IF(INDEX('Pace of change parameters'!$E$29:$I$29,1,$B$5)=1,MAX(AB181,Z181),Z181),L181)</f>
        <v>358864</v>
      </c>
      <c r="AD181" s="97">
        <f t="shared" si="25"/>
        <v>2.5771192060552117E-2</v>
      </c>
      <c r="AE181" s="146">
        <v>1.8205322010315106E-2</v>
      </c>
      <c r="AF181" s="56">
        <f t="shared" si="33"/>
        <v>358864</v>
      </c>
      <c r="AG181" s="56">
        <v>1812.0739060653275</v>
      </c>
      <c r="AH181" s="16">
        <f t="shared" si="26"/>
        <v>2.5771192060552117E-2</v>
      </c>
      <c r="AI181" s="16">
        <f t="shared" si="27"/>
        <v>1.8205322010315106E-2</v>
      </c>
      <c r="AJ181" s="56"/>
      <c r="AK181" s="56">
        <v>364665.21144444717</v>
      </c>
      <c r="AL181" s="56">
        <v>1841.3669638310835</v>
      </c>
      <c r="AM181" s="16">
        <f t="shared" si="35"/>
        <v>-1.5908321557377092E-2</v>
      </c>
      <c r="AN181" s="58">
        <f t="shared" si="35"/>
        <v>-1.5908321557377092E-2</v>
      </c>
      <c r="AP181" s="56">
        <f t="shared" si="28"/>
        <v>1</v>
      </c>
      <c r="AQ181" s="56">
        <f t="shared" si="29"/>
        <v>0</v>
      </c>
    </row>
    <row r="182" spans="1:43" x14ac:dyDescent="0.2">
      <c r="A182" s="156" t="s">
        <v>409</v>
      </c>
      <c r="B182" s="156" t="s">
        <v>410</v>
      </c>
      <c r="D182" s="68">
        <f>VLOOKUP(A182,'2018-19 disagg'!A182:AZ390,43,FALSE)</f>
        <v>316223</v>
      </c>
      <c r="E182" s="73">
        <v>1532.5910187049858</v>
      </c>
      <c r="F182" s="55"/>
      <c r="G182" s="88">
        <v>323011.65636583231</v>
      </c>
      <c r="H182" s="81">
        <v>1556.8572954092188</v>
      </c>
      <c r="I182" s="90"/>
      <c r="J182" s="103">
        <f t="shared" si="30"/>
        <v>-2.1016753519704889E-2</v>
      </c>
      <c r="K182" s="126">
        <f t="shared" si="30"/>
        <v>-1.5586705843745663E-2</v>
      </c>
      <c r="L182" s="56">
        <v>324087</v>
      </c>
      <c r="M182" s="103">
        <v>1.9187915780149112E-2</v>
      </c>
      <c r="N182" s="97">
        <f>INDEX('Pace of change parameters'!$E$22:$I$22,1,$B$5)</f>
        <v>1.356605044543624E-2</v>
      </c>
      <c r="O182" s="108">
        <f>MAX(IF(INDEX('Pace of change parameters'!$E$30:$I$30,1,$B$5)=1,(1+M182)*D182,D182),L182)</f>
        <v>324087</v>
      </c>
      <c r="P182" s="94">
        <f>IF(K182&lt;INDEX('Pace of change parameters'!$E$18:$I$18,1,$B$5),1,IF(K182&gt;INDEX('Pace of change parameters'!$E$19:$I$19,1,$B$5),0,(K182-INDEX('Pace of change parameters'!$E$19:$I$19,1,$B$5))/(INDEX('Pace of change parameters'!$E$18:$I$18,1,$B$5)-INDEX('Pace of change parameters'!$E$19:$I$19,1,$B$5))))</f>
        <v>0.54627764672698687</v>
      </c>
      <c r="Q182" s="57">
        <v>2.6156705464387642E-2</v>
      </c>
      <c r="R182" s="57">
        <v>2.0496400116263969E-2</v>
      </c>
      <c r="S182" s="9">
        <f>MAX(IF(INDEX('Pace of change parameters'!$E$31:$I$31,1,$B$5)=1,D182*(1+Q182),D182),L182)</f>
        <v>324494.35187206505</v>
      </c>
      <c r="T182" s="103">
        <f>IF(Q182&lt;INDEX('Pace of change parameters'!$E$24:$I$24,1,$B$5),INDEX('Pace of change parameters'!$E$24:$I$24,1,$B$5),Q182)</f>
        <v>2.6156705464387642E-2</v>
      </c>
      <c r="U182" s="132">
        <v>2.0496400116263969E-2</v>
      </c>
      <c r="V182" s="117">
        <f t="shared" si="31"/>
        <v>324494.35187206505</v>
      </c>
      <c r="W182" s="131">
        <f>IF(J182&gt;INDEX('Pace of change parameters'!$E$26:$I$26,1,$B$5),0,IF(J182&lt;INDEX('Pace of change parameters'!$E$25:$I$25,1,$B$5),1,(J182-INDEX('Pace of change parameters'!$E$26:$I$26,1,$B$5))/(INDEX('Pace of change parameters'!$E$25:$I$25,1,$B$5)-INDEX('Pace of change parameters'!$E$26:$I$26,1,$B$5))))</f>
        <v>1</v>
      </c>
      <c r="X182" s="132">
        <f>MIN(T182, T182+(INDEX('Pace of change parameters'!$E$27:$I$27,1,$B$5)-T182)*(1-W182))</f>
        <v>2.6156705464387642E-2</v>
      </c>
      <c r="Y182" s="132">
        <v>2.0496400116263969E-2</v>
      </c>
      <c r="Z182" s="108">
        <f t="shared" si="32"/>
        <v>324494.35187206505</v>
      </c>
      <c r="AA182" s="97">
        <f>MIN(VLOOKUP(A182,'2018-19 disagg'!$A$12:$BB$220,54,FALSE),-2.5%)</f>
        <v>-2.5000000000000001E-2</v>
      </c>
      <c r="AB182" s="99">
        <f t="shared" si="24"/>
        <v>323136.17746833054</v>
      </c>
      <c r="AC182" s="99">
        <f>MAX(IF(INDEX('Pace of change parameters'!$E$29:$I$29,1,$B$5)=1,MAX(AB182,Z182),Z182),L182)</f>
        <v>324494.35187206505</v>
      </c>
      <c r="AD182" s="97">
        <f t="shared" si="25"/>
        <v>2.6156705464387642E-2</v>
      </c>
      <c r="AE182" s="146">
        <v>2.0496400116263969E-2</v>
      </c>
      <c r="AF182" s="56">
        <f t="shared" si="33"/>
        <v>324494.35187206505</v>
      </c>
      <c r="AG182" s="56">
        <v>1564.0036174389554</v>
      </c>
      <c r="AH182" s="16">
        <f t="shared" si="26"/>
        <v>2.6156705464387642E-2</v>
      </c>
      <c r="AI182" s="16">
        <f t="shared" si="27"/>
        <v>2.0496400116263747E-2</v>
      </c>
      <c r="AJ182" s="56"/>
      <c r="AK182" s="56">
        <v>331421.72048033902</v>
      </c>
      <c r="AL182" s="56">
        <v>1597.3922712018568</v>
      </c>
      <c r="AM182" s="16">
        <f t="shared" si="35"/>
        <v>-2.0901975278608598E-2</v>
      </c>
      <c r="AN182" s="58">
        <f t="shared" si="35"/>
        <v>-2.0901975278608487E-2</v>
      </c>
      <c r="AP182" s="56">
        <f t="shared" si="28"/>
        <v>0</v>
      </c>
      <c r="AQ182" s="56">
        <f t="shared" si="29"/>
        <v>0</v>
      </c>
    </row>
    <row r="183" spans="1:43" x14ac:dyDescent="0.2">
      <c r="A183" s="156" t="s">
        <v>411</v>
      </c>
      <c r="B183" s="156" t="s">
        <v>412</v>
      </c>
      <c r="D183" s="68">
        <f>VLOOKUP(A183,'2018-19 disagg'!A183:AZ391,43,FALSE)</f>
        <v>333096</v>
      </c>
      <c r="E183" s="73">
        <v>1472.7505779435533</v>
      </c>
      <c r="F183" s="55"/>
      <c r="G183" s="88">
        <v>334216.16530204233</v>
      </c>
      <c r="H183" s="81">
        <v>1466.8114805576513</v>
      </c>
      <c r="I183" s="90"/>
      <c r="J183" s="103">
        <f t="shared" si="30"/>
        <v>-3.3516191565120534E-3</v>
      </c>
      <c r="K183" s="126">
        <f t="shared" si="30"/>
        <v>4.0489847977218663E-3</v>
      </c>
      <c r="L183" s="56">
        <v>341785</v>
      </c>
      <c r="M183" s="103">
        <v>2.1092276409356847E-2</v>
      </c>
      <c r="N183" s="97">
        <f>INDEX('Pace of change parameters'!$E$22:$I$22,1,$B$5)</f>
        <v>1.356605044543624E-2</v>
      </c>
      <c r="O183" s="108">
        <f>MAX(IF(INDEX('Pace of change parameters'!$E$30:$I$30,1,$B$5)=1,(1+M183)*D183,D183),L183)</f>
        <v>341785</v>
      </c>
      <c r="P183" s="94">
        <f>IF(K183&lt;INDEX('Pace of change parameters'!$E$18:$I$18,1,$B$5),1,IF(K183&gt;INDEX('Pace of change parameters'!$E$19:$I$19,1,$B$5),0,(K183-INDEX('Pace of change parameters'!$E$19:$I$19,1,$B$5))/(INDEX('Pace of change parameters'!$E$18:$I$18,1,$B$5)-INDEX('Pace of change parameters'!$E$19:$I$19,1,$B$5))))</f>
        <v>0</v>
      </c>
      <c r="Q183" s="57">
        <v>2.1092276409356847E-2</v>
      </c>
      <c r="R183" s="57">
        <v>1.356605044543624E-2</v>
      </c>
      <c r="S183" s="9">
        <f>MAX(IF(INDEX('Pace of change parameters'!$E$31:$I$31,1,$B$5)=1,D183*(1+Q183),D183),L183)</f>
        <v>341785</v>
      </c>
      <c r="T183" s="103">
        <f>IF(Q183&lt;INDEX('Pace of change parameters'!$E$24:$I$24,1,$B$5),INDEX('Pace of change parameters'!$E$24:$I$24,1,$B$5),Q183)</f>
        <v>2.1092276409356847E-2</v>
      </c>
      <c r="U183" s="132">
        <v>1.356605044543624E-2</v>
      </c>
      <c r="V183" s="117">
        <f t="shared" si="31"/>
        <v>341785</v>
      </c>
      <c r="W183" s="131">
        <f>IF(J183&gt;INDEX('Pace of change parameters'!$E$26:$I$26,1,$B$5),0,IF(J183&lt;INDEX('Pace of change parameters'!$E$25:$I$25,1,$B$5),1,(J183-INDEX('Pace of change parameters'!$E$26:$I$26,1,$B$5))/(INDEX('Pace of change parameters'!$E$25:$I$25,1,$B$5)-INDEX('Pace of change parameters'!$E$26:$I$26,1,$B$5))))</f>
        <v>1</v>
      </c>
      <c r="X183" s="132">
        <f>MIN(T183, T183+(INDEX('Pace of change parameters'!$E$27:$I$27,1,$B$5)-T183)*(1-W183))</f>
        <v>2.1092276409356847E-2</v>
      </c>
      <c r="Y183" s="132">
        <v>1.356605044543624E-2</v>
      </c>
      <c r="Z183" s="108">
        <f t="shared" si="32"/>
        <v>341785</v>
      </c>
      <c r="AA183" s="97">
        <f>MIN(VLOOKUP(A183,'2018-19 disagg'!$A$12:$BB$220,54,FALSE),-2.5%)</f>
        <v>-2.5000000000000001E-2</v>
      </c>
      <c r="AB183" s="99">
        <f t="shared" si="24"/>
        <v>334439.87119735254</v>
      </c>
      <c r="AC183" s="99">
        <f>MAX(IF(INDEX('Pace of change parameters'!$E$29:$I$29,1,$B$5)=1,MAX(AB183,Z183),Z183),L183)</f>
        <v>341785</v>
      </c>
      <c r="AD183" s="97">
        <f t="shared" si="25"/>
        <v>2.6085572927924572E-2</v>
      </c>
      <c r="AE183" s="146">
        <v>1.8522542574457734E-2</v>
      </c>
      <c r="AF183" s="56">
        <f t="shared" si="33"/>
        <v>341785</v>
      </c>
      <c r="AG183" s="56">
        <v>1500.02966322507</v>
      </c>
      <c r="AH183" s="16">
        <f t="shared" si="26"/>
        <v>2.6085572927924572E-2</v>
      </c>
      <c r="AI183" s="16">
        <f t="shared" si="27"/>
        <v>1.8522542574457734E-2</v>
      </c>
      <c r="AJ183" s="56"/>
      <c r="AK183" s="56">
        <v>343015.25251010514</v>
      </c>
      <c r="AL183" s="56">
        <v>1505.4290085983744</v>
      </c>
      <c r="AM183" s="16">
        <f t="shared" si="35"/>
        <v>-3.5865825239619342E-3</v>
      </c>
      <c r="AN183" s="58">
        <f t="shared" si="35"/>
        <v>-3.5865825239620452E-3</v>
      </c>
      <c r="AP183" s="56">
        <f t="shared" si="28"/>
        <v>1</v>
      </c>
      <c r="AQ183" s="56">
        <f t="shared" si="29"/>
        <v>0</v>
      </c>
    </row>
    <row r="184" spans="1:43" x14ac:dyDescent="0.2">
      <c r="A184" s="156" t="s">
        <v>413</v>
      </c>
      <c r="B184" s="156" t="s">
        <v>414</v>
      </c>
      <c r="D184" s="68">
        <f>VLOOKUP(A184,'2018-19 disagg'!A184:AZ392,43,FALSE)</f>
        <v>352807</v>
      </c>
      <c r="E184" s="73">
        <v>1860.0389635337083</v>
      </c>
      <c r="F184" s="55"/>
      <c r="G184" s="88">
        <v>342512.47878580762</v>
      </c>
      <c r="H184" s="81">
        <v>1793.4313392072777</v>
      </c>
      <c r="I184" s="90"/>
      <c r="J184" s="103">
        <f t="shared" si="30"/>
        <v>3.005590117675716E-2</v>
      </c>
      <c r="K184" s="126">
        <f t="shared" si="30"/>
        <v>3.7139768258913186E-2</v>
      </c>
      <c r="L184" s="56">
        <v>361243</v>
      </c>
      <c r="M184" s="103">
        <v>2.0536514060215616E-2</v>
      </c>
      <c r="N184" s="97">
        <f>INDEX('Pace of change parameters'!$E$22:$I$22,1,$B$5)</f>
        <v>1.356605044543624E-2</v>
      </c>
      <c r="O184" s="108">
        <f>MAX(IF(INDEX('Pace of change parameters'!$E$30:$I$30,1,$B$5)=1,(1+M184)*D184,D184),L184)</f>
        <v>361243</v>
      </c>
      <c r="P184" s="94">
        <f>IF(K184&lt;INDEX('Pace of change parameters'!$E$18:$I$18,1,$B$5),1,IF(K184&gt;INDEX('Pace of change parameters'!$E$19:$I$19,1,$B$5),0,(K184-INDEX('Pace of change parameters'!$E$19:$I$19,1,$B$5))/(INDEX('Pace of change parameters'!$E$18:$I$18,1,$B$5)-INDEX('Pace of change parameters'!$E$19:$I$19,1,$B$5))))</f>
        <v>0</v>
      </c>
      <c r="Q184" s="57">
        <v>2.0536514060215616E-2</v>
      </c>
      <c r="R184" s="57">
        <v>1.356605044543624E-2</v>
      </c>
      <c r="S184" s="9">
        <f>MAX(IF(INDEX('Pace of change parameters'!$E$31:$I$31,1,$B$5)=1,D184*(1+Q184),D184),L184)</f>
        <v>361243</v>
      </c>
      <c r="T184" s="103">
        <f>IF(Q184&lt;INDEX('Pace of change parameters'!$E$24:$I$24,1,$B$5),INDEX('Pace of change parameters'!$E$24:$I$24,1,$B$5),Q184)</f>
        <v>2.0738822378003872E-2</v>
      </c>
      <c r="U184" s="132">
        <v>1.3766976957920507E-2</v>
      </c>
      <c r="V184" s="117">
        <f t="shared" si="31"/>
        <v>361243</v>
      </c>
      <c r="W184" s="131">
        <f>IF(J184&gt;INDEX('Pace of change parameters'!$E$26:$I$26,1,$B$5),0,IF(J184&lt;INDEX('Pace of change parameters'!$E$25:$I$25,1,$B$5),1,(J184-INDEX('Pace of change parameters'!$E$26:$I$26,1,$B$5))/(INDEX('Pace of change parameters'!$E$25:$I$25,1,$B$5)-INDEX('Pace of change parameters'!$E$26:$I$26,1,$B$5))))</f>
        <v>1</v>
      </c>
      <c r="X184" s="132">
        <f>MIN(T184, T184+(INDEX('Pace of change parameters'!$E$27:$I$27,1,$B$5)-T184)*(1-W184))</f>
        <v>2.0738822378003872E-2</v>
      </c>
      <c r="Y184" s="132">
        <v>1.3766976957920507E-2</v>
      </c>
      <c r="Z184" s="108">
        <f t="shared" si="32"/>
        <v>361243</v>
      </c>
      <c r="AA184" s="97">
        <f>MIN(VLOOKUP(A184,'2018-19 disagg'!$A$12:$BB$220,54,FALSE),-2.5%)</f>
        <v>-2.5000000000000001E-2</v>
      </c>
      <c r="AB184" s="99">
        <f t="shared" si="24"/>
        <v>342728.50541127403</v>
      </c>
      <c r="AC184" s="99">
        <f>MAX(IF(INDEX('Pace of change parameters'!$E$29:$I$29,1,$B$5)=1,MAX(AB184,Z184),Z184),L184)</f>
        <v>361243</v>
      </c>
      <c r="AD184" s="97">
        <f t="shared" si="25"/>
        <v>2.3911090199457474E-2</v>
      </c>
      <c r="AE184" s="146">
        <v>1.6917577570880304E-2</v>
      </c>
      <c r="AF184" s="56">
        <f t="shared" si="33"/>
        <v>361243</v>
      </c>
      <c r="AG184" s="56">
        <v>1891.5063169841496</v>
      </c>
      <c r="AH184" s="16">
        <f t="shared" si="26"/>
        <v>2.3911090199457474E-2</v>
      </c>
      <c r="AI184" s="16">
        <f t="shared" si="27"/>
        <v>1.6917577570880304E-2</v>
      </c>
      <c r="AJ184" s="56"/>
      <c r="AK184" s="56">
        <v>351516.41580643493</v>
      </c>
      <c r="AL184" s="56">
        <v>1840.5768998195083</v>
      </c>
      <c r="AM184" s="16">
        <f t="shared" si="35"/>
        <v>2.7670355511707045E-2</v>
      </c>
      <c r="AN184" s="58">
        <f t="shared" si="35"/>
        <v>2.7670355511707045E-2</v>
      </c>
      <c r="AP184" s="56">
        <f t="shared" si="28"/>
        <v>1</v>
      </c>
      <c r="AQ184" s="56">
        <f t="shared" si="29"/>
        <v>0</v>
      </c>
    </row>
    <row r="185" spans="1:43" x14ac:dyDescent="0.2">
      <c r="A185" s="156" t="s">
        <v>415</v>
      </c>
      <c r="B185" s="156" t="s">
        <v>416</v>
      </c>
      <c r="D185" s="68">
        <f>VLOOKUP(A185,'2018-19 disagg'!A185:AZ393,43,FALSE)</f>
        <v>270937</v>
      </c>
      <c r="E185" s="73">
        <v>1571.5819803891397</v>
      </c>
      <c r="F185" s="55"/>
      <c r="G185" s="88">
        <v>274796.1135639617</v>
      </c>
      <c r="H185" s="81">
        <v>1582.5503475500213</v>
      </c>
      <c r="I185" s="90"/>
      <c r="J185" s="103">
        <f t="shared" si="30"/>
        <v>-1.4043552195520559E-2</v>
      </c>
      <c r="K185" s="126">
        <f t="shared" si="30"/>
        <v>-6.9308171950812625E-3</v>
      </c>
      <c r="L185" s="56">
        <v>277768</v>
      </c>
      <c r="M185" s="103">
        <v>2.0877962384663995E-2</v>
      </c>
      <c r="N185" s="97">
        <f>INDEX('Pace of change parameters'!$E$22:$I$22,1,$B$5)</f>
        <v>1.356605044543624E-2</v>
      </c>
      <c r="O185" s="108">
        <f>MAX(IF(INDEX('Pace of change parameters'!$E$30:$I$30,1,$B$5)=1,(1+M185)*D185,D185),L185)</f>
        <v>277768</v>
      </c>
      <c r="P185" s="94">
        <f>IF(K185&lt;INDEX('Pace of change parameters'!$E$18:$I$18,1,$B$5),1,IF(K185&gt;INDEX('Pace of change parameters'!$E$19:$I$19,1,$B$5),0,(K185-INDEX('Pace of change parameters'!$E$19:$I$19,1,$B$5))/(INDEX('Pace of change parameters'!$E$18:$I$18,1,$B$5)-INDEX('Pace of change parameters'!$E$19:$I$19,1,$B$5))))</f>
        <v>0.27379516459870962</v>
      </c>
      <c r="Q185" s="57">
        <v>2.437652189017947E-2</v>
      </c>
      <c r="R185" s="57">
        <v>1.7039551951894882E-2</v>
      </c>
      <c r="S185" s="9">
        <f>MAX(IF(INDEX('Pace of change parameters'!$E$31:$I$31,1,$B$5)=1,D185*(1+Q185),D185),L185)</f>
        <v>277768</v>
      </c>
      <c r="T185" s="103">
        <f>IF(Q185&lt;INDEX('Pace of change parameters'!$E$24:$I$24,1,$B$5),INDEX('Pace of change parameters'!$E$24:$I$24,1,$B$5),Q185)</f>
        <v>2.437652189017947E-2</v>
      </c>
      <c r="U185" s="132">
        <v>1.7039551951894882E-2</v>
      </c>
      <c r="V185" s="117">
        <f t="shared" si="31"/>
        <v>277768</v>
      </c>
      <c r="W185" s="131">
        <f>IF(J185&gt;INDEX('Pace of change parameters'!$E$26:$I$26,1,$B$5),0,IF(J185&lt;INDEX('Pace of change parameters'!$E$25:$I$25,1,$B$5),1,(J185-INDEX('Pace of change parameters'!$E$26:$I$26,1,$B$5))/(INDEX('Pace of change parameters'!$E$25:$I$25,1,$B$5)-INDEX('Pace of change parameters'!$E$26:$I$26,1,$B$5))))</f>
        <v>1</v>
      </c>
      <c r="X185" s="132">
        <f>MIN(T185, T185+(INDEX('Pace of change parameters'!$E$27:$I$27,1,$B$5)-T185)*(1-W185))</f>
        <v>2.437652189017947E-2</v>
      </c>
      <c r="Y185" s="132">
        <v>1.7039551951894882E-2</v>
      </c>
      <c r="Z185" s="108">
        <f t="shared" si="32"/>
        <v>277768</v>
      </c>
      <c r="AA185" s="97">
        <f>MIN(VLOOKUP(A185,'2018-19 disagg'!$A$12:$BB$220,54,FALSE),-2.5%)</f>
        <v>-2.5000000000000001E-2</v>
      </c>
      <c r="AB185" s="99">
        <f t="shared" si="24"/>
        <v>275029.89949181321</v>
      </c>
      <c r="AC185" s="99">
        <f>MAX(IF(INDEX('Pace of change parameters'!$E$29:$I$29,1,$B$5)=1,MAX(AB185,Z185),Z185),L185)</f>
        <v>277768</v>
      </c>
      <c r="AD185" s="97">
        <f t="shared" si="25"/>
        <v>2.5212503275669151E-2</v>
      </c>
      <c r="AE185" s="146">
        <v>1.7869545724272351E-2</v>
      </c>
      <c r="AF185" s="56">
        <f t="shared" si="33"/>
        <v>277768</v>
      </c>
      <c r="AG185" s="56">
        <v>1599.6654364471462</v>
      </c>
      <c r="AH185" s="16">
        <f t="shared" si="26"/>
        <v>2.5212503275669151E-2</v>
      </c>
      <c r="AI185" s="16">
        <f t="shared" si="27"/>
        <v>1.7869545724272573E-2</v>
      </c>
      <c r="AJ185" s="56"/>
      <c r="AK185" s="56">
        <v>282081.94819673151</v>
      </c>
      <c r="AL185" s="56">
        <v>1624.5094567264257</v>
      </c>
      <c r="AM185" s="16">
        <f t="shared" si="35"/>
        <v>-1.5293244478455037E-2</v>
      </c>
      <c r="AN185" s="58">
        <f t="shared" si="35"/>
        <v>-1.5293244478455037E-2</v>
      </c>
      <c r="AP185" s="56">
        <f t="shared" si="28"/>
        <v>1</v>
      </c>
      <c r="AQ185" s="56">
        <f t="shared" si="29"/>
        <v>0</v>
      </c>
    </row>
    <row r="186" spans="1:43" x14ac:dyDescent="0.2">
      <c r="A186" s="156" t="s">
        <v>417</v>
      </c>
      <c r="B186" s="156" t="s">
        <v>418</v>
      </c>
      <c r="D186" s="68">
        <f>VLOOKUP(A186,'2018-19 disagg'!A186:AZ394,43,FALSE)</f>
        <v>359363</v>
      </c>
      <c r="E186" s="73">
        <v>1504.6107879805656</v>
      </c>
      <c r="F186" s="55"/>
      <c r="G186" s="88">
        <v>366429.82920256612</v>
      </c>
      <c r="H186" s="81">
        <v>1524.1484776024613</v>
      </c>
      <c r="I186" s="90"/>
      <c r="J186" s="103">
        <f t="shared" si="30"/>
        <v>-1.9285627531866467E-2</v>
      </c>
      <c r="K186" s="126">
        <f t="shared" si="30"/>
        <v>-1.2818757430135053E-2</v>
      </c>
      <c r="L186" s="56">
        <v>368524</v>
      </c>
      <c r="M186" s="103">
        <v>2.0249545835903326E-2</v>
      </c>
      <c r="N186" s="97">
        <f>INDEX('Pace of change parameters'!$E$22:$I$22,1,$B$5)</f>
        <v>1.356605044543624E-2</v>
      </c>
      <c r="O186" s="108">
        <f>MAX(IF(INDEX('Pace of change parameters'!$E$30:$I$30,1,$B$5)=1,(1+M186)*D186,D186),L186)</f>
        <v>368524</v>
      </c>
      <c r="P186" s="94">
        <f>IF(K186&lt;INDEX('Pace of change parameters'!$E$18:$I$18,1,$B$5),1,IF(K186&gt;INDEX('Pace of change parameters'!$E$19:$I$19,1,$B$5),0,(K186-INDEX('Pace of change parameters'!$E$19:$I$19,1,$B$5))/(INDEX('Pace of change parameters'!$E$18:$I$18,1,$B$5)-INDEX('Pace of change parameters'!$E$19:$I$19,1,$B$5))))</f>
        <v>0.45914419518241067</v>
      </c>
      <c r="Q186" s="57">
        <v>2.6112887076460423E-2</v>
      </c>
      <c r="R186" s="57">
        <v>1.9390981853502964E-2</v>
      </c>
      <c r="S186" s="9">
        <f>MAX(IF(INDEX('Pace of change parameters'!$E$31:$I$31,1,$B$5)=1,D186*(1+Q186),D186),L186)</f>
        <v>368747.00543845806</v>
      </c>
      <c r="T186" s="103">
        <f>IF(Q186&lt;INDEX('Pace of change parameters'!$E$24:$I$24,1,$B$5),INDEX('Pace of change parameters'!$E$24:$I$24,1,$B$5),Q186)</f>
        <v>2.6112887076460423E-2</v>
      </c>
      <c r="U186" s="132">
        <v>1.9390981853502964E-2</v>
      </c>
      <c r="V186" s="117">
        <f t="shared" si="31"/>
        <v>368747.00543845806</v>
      </c>
      <c r="W186" s="131">
        <f>IF(J186&gt;INDEX('Pace of change parameters'!$E$26:$I$26,1,$B$5),0,IF(J186&lt;INDEX('Pace of change parameters'!$E$25:$I$25,1,$B$5),1,(J186-INDEX('Pace of change parameters'!$E$26:$I$26,1,$B$5))/(INDEX('Pace of change parameters'!$E$25:$I$25,1,$B$5)-INDEX('Pace of change parameters'!$E$26:$I$26,1,$B$5))))</f>
        <v>1</v>
      </c>
      <c r="X186" s="132">
        <f>MIN(T186, T186+(INDEX('Pace of change parameters'!$E$27:$I$27,1,$B$5)-T186)*(1-W186))</f>
        <v>2.6112887076460423E-2</v>
      </c>
      <c r="Y186" s="132">
        <v>1.9390981853502964E-2</v>
      </c>
      <c r="Z186" s="108">
        <f t="shared" si="32"/>
        <v>368747.00543845806</v>
      </c>
      <c r="AA186" s="97">
        <f>MIN(VLOOKUP(A186,'2018-19 disagg'!$A$12:$BB$220,54,FALSE),-2.5%)</f>
        <v>-2.5000000000000001E-2</v>
      </c>
      <c r="AB186" s="99">
        <f t="shared" si="24"/>
        <v>366823.47274985327</v>
      </c>
      <c r="AC186" s="99">
        <f>MAX(IF(INDEX('Pace of change parameters'!$E$29:$I$29,1,$B$5)=1,MAX(AB186,Z186),Z186),L186)</f>
        <v>368747.00543845806</v>
      </c>
      <c r="AD186" s="97">
        <f t="shared" si="25"/>
        <v>2.6112887076460423E-2</v>
      </c>
      <c r="AE186" s="146">
        <v>1.9390981853502964E-2</v>
      </c>
      <c r="AF186" s="56">
        <f t="shared" si="33"/>
        <v>368747.00543845806</v>
      </c>
      <c r="AG186" s="56">
        <v>1533.7866684668818</v>
      </c>
      <c r="AH186" s="16">
        <f t="shared" si="26"/>
        <v>2.6112887076460423E-2</v>
      </c>
      <c r="AI186" s="16">
        <f t="shared" si="27"/>
        <v>1.9390981853503186E-2</v>
      </c>
      <c r="AJ186" s="56"/>
      <c r="AK186" s="56">
        <v>376229.20282036235</v>
      </c>
      <c r="AL186" s="56">
        <v>1564.908533664287</v>
      </c>
      <c r="AM186" s="16">
        <f t="shared" si="35"/>
        <v>-1.9887338159331525E-2</v>
      </c>
      <c r="AN186" s="58">
        <f t="shared" si="35"/>
        <v>-1.9887338159331414E-2</v>
      </c>
      <c r="AP186" s="56">
        <f t="shared" si="28"/>
        <v>0</v>
      </c>
      <c r="AQ186" s="56">
        <f t="shared" si="29"/>
        <v>0</v>
      </c>
    </row>
    <row r="187" spans="1:43" x14ac:dyDescent="0.2">
      <c r="A187" s="156" t="s">
        <v>419</v>
      </c>
      <c r="B187" s="156" t="s">
        <v>420</v>
      </c>
      <c r="D187" s="68">
        <f>VLOOKUP(A187,'2018-19 disagg'!A187:AZ395,43,FALSE)</f>
        <v>265273</v>
      </c>
      <c r="E187" s="73">
        <v>1838.2164046869882</v>
      </c>
      <c r="F187" s="55"/>
      <c r="G187" s="88">
        <v>246447.02413725064</v>
      </c>
      <c r="H187" s="81">
        <v>1700.2231061811731</v>
      </c>
      <c r="I187" s="90"/>
      <c r="J187" s="103">
        <f t="shared" si="30"/>
        <v>7.6389544278955723E-2</v>
      </c>
      <c r="K187" s="126">
        <f t="shared" si="30"/>
        <v>8.1161876934938482E-2</v>
      </c>
      <c r="L187" s="56">
        <v>268803</v>
      </c>
      <c r="M187" s="103">
        <v>1.8059845825784793E-2</v>
      </c>
      <c r="N187" s="97">
        <f>INDEX('Pace of change parameters'!$E$22:$I$22,1,$B$5)</f>
        <v>1.356605044543624E-2</v>
      </c>
      <c r="O187" s="108">
        <f>MAX(IF(INDEX('Pace of change parameters'!$E$30:$I$30,1,$B$5)=1,(1+M187)*D187,D187),L187)</f>
        <v>270063.78948174341</v>
      </c>
      <c r="P187" s="94">
        <f>IF(K187&lt;INDEX('Pace of change parameters'!$E$18:$I$18,1,$B$5),1,IF(K187&gt;INDEX('Pace of change parameters'!$E$19:$I$19,1,$B$5),0,(K187-INDEX('Pace of change parameters'!$E$19:$I$19,1,$B$5))/(INDEX('Pace of change parameters'!$E$18:$I$18,1,$B$5)-INDEX('Pace of change parameters'!$E$19:$I$19,1,$B$5))))</f>
        <v>0</v>
      </c>
      <c r="Q187" s="57">
        <v>1.8059845825784793E-2</v>
      </c>
      <c r="R187" s="57">
        <v>1.356605044543624E-2</v>
      </c>
      <c r="S187" s="9">
        <f>MAX(IF(INDEX('Pace of change parameters'!$E$31:$I$31,1,$B$5)=1,D187*(1+Q187),D187),L187)</f>
        <v>270063.78948174341</v>
      </c>
      <c r="T187" s="103">
        <f>IF(Q187&lt;INDEX('Pace of change parameters'!$E$24:$I$24,1,$B$5),INDEX('Pace of change parameters'!$E$24:$I$24,1,$B$5),Q187)</f>
        <v>2.0738822378003872E-2</v>
      </c>
      <c r="U187" s="132">
        <v>1.6233201786687967E-2</v>
      </c>
      <c r="V187" s="117">
        <f t="shared" si="31"/>
        <v>270774.44962868019</v>
      </c>
      <c r="W187" s="131">
        <f>IF(J187&gt;INDEX('Pace of change parameters'!$E$26:$I$26,1,$B$5),0,IF(J187&lt;INDEX('Pace of change parameters'!$E$25:$I$25,1,$B$5),1,(J187-INDEX('Pace of change parameters'!$E$26:$I$26,1,$B$5))/(INDEX('Pace of change parameters'!$E$25:$I$25,1,$B$5)-INDEX('Pace of change parameters'!$E$26:$I$26,1,$B$5))))</f>
        <v>0.47220911442088565</v>
      </c>
      <c r="X187" s="132">
        <f>MIN(T187, T187+(INDEX('Pace of change parameters'!$E$27:$I$27,1,$B$5)-T187)*(1-W187))</f>
        <v>9.8663301350741164E-3</v>
      </c>
      <c r="Y187" s="132">
        <v>5.4087015705672759E-3</v>
      </c>
      <c r="Z187" s="108">
        <f t="shared" si="32"/>
        <v>268803</v>
      </c>
      <c r="AA187" s="97">
        <f>MIN(VLOOKUP(A187,'2018-19 disagg'!$A$12:$BB$220,54,FALSE),-2.5%)</f>
        <v>-2.5000000000000001E-2</v>
      </c>
      <c r="AB187" s="99">
        <f t="shared" si="24"/>
        <v>246578.64979328448</v>
      </c>
      <c r="AC187" s="99">
        <f>MAX(IF(INDEX('Pace of change parameters'!$E$29:$I$29,1,$B$5)=1,MAX(AB187,Z187),Z187),L187)</f>
        <v>268803</v>
      </c>
      <c r="AD187" s="97">
        <f t="shared" si="25"/>
        <v>1.3307045948890428E-2</v>
      </c>
      <c r="AE187" s="146">
        <v>8.8342297970402939E-3</v>
      </c>
      <c r="AF187" s="56">
        <f t="shared" si="33"/>
        <v>268803</v>
      </c>
      <c r="AG187" s="56">
        <v>1854.455630822682</v>
      </c>
      <c r="AH187" s="16">
        <f t="shared" si="26"/>
        <v>1.3307045948890428E-2</v>
      </c>
      <c r="AI187" s="16">
        <f t="shared" si="27"/>
        <v>8.8342297970400718E-3</v>
      </c>
      <c r="AJ187" s="56"/>
      <c r="AK187" s="56">
        <v>252901.17927516357</v>
      </c>
      <c r="AL187" s="56">
        <v>1744.7499319149103</v>
      </c>
      <c r="AM187" s="16">
        <f t="shared" si="35"/>
        <v>6.2877606068949099E-2</v>
      </c>
      <c r="AN187" s="58">
        <f t="shared" si="35"/>
        <v>6.2877606068949099E-2</v>
      </c>
      <c r="AP187" s="56">
        <f t="shared" si="28"/>
        <v>1</v>
      </c>
      <c r="AQ187" s="56">
        <f t="shared" si="29"/>
        <v>0</v>
      </c>
    </row>
    <row r="188" spans="1:43" x14ac:dyDescent="0.2">
      <c r="A188" s="156" t="s">
        <v>421</v>
      </c>
      <c r="B188" s="156" t="s">
        <v>422</v>
      </c>
      <c r="D188" s="68">
        <f>VLOOKUP(A188,'2018-19 disagg'!A188:AZ396,43,FALSE)</f>
        <v>484310</v>
      </c>
      <c r="E188" s="73">
        <v>1602.4349737979433</v>
      </c>
      <c r="F188" s="55"/>
      <c r="G188" s="88">
        <v>497911.38292267965</v>
      </c>
      <c r="H188" s="81">
        <v>1632.7877351379977</v>
      </c>
      <c r="I188" s="90"/>
      <c r="J188" s="103">
        <f t="shared" si="30"/>
        <v>-2.731687482788836E-2</v>
      </c>
      <c r="K188" s="126">
        <f t="shared" si="30"/>
        <v>-1.8589532911630569E-2</v>
      </c>
      <c r="L188" s="56">
        <v>497524</v>
      </c>
      <c r="M188" s="103">
        <v>2.2660211995101376E-2</v>
      </c>
      <c r="N188" s="97">
        <f>INDEX('Pace of change parameters'!$E$22:$I$22,1,$B$5)</f>
        <v>1.356605044543624E-2</v>
      </c>
      <c r="O188" s="108">
        <f>MAX(IF(INDEX('Pace of change parameters'!$E$30:$I$30,1,$B$5)=1,(1+M188)*D188,D188),L188)</f>
        <v>497524</v>
      </c>
      <c r="P188" s="94">
        <f>IF(K188&lt;INDEX('Pace of change parameters'!$E$18:$I$18,1,$B$5),1,IF(K188&gt;INDEX('Pace of change parameters'!$E$19:$I$19,1,$B$5),0,(K188-INDEX('Pace of change parameters'!$E$19:$I$19,1,$B$5))/(INDEX('Pace of change parameters'!$E$18:$I$18,1,$B$5)-INDEX('Pace of change parameters'!$E$19:$I$19,1,$B$5))))</f>
        <v>0.64080494554864009</v>
      </c>
      <c r="Q188" s="57">
        <v>3.0862724035705114E-2</v>
      </c>
      <c r="R188" s="57">
        <v>2.169562039957218E-2</v>
      </c>
      <c r="S188" s="9">
        <f>MAX(IF(INDEX('Pace of change parameters'!$E$31:$I$31,1,$B$5)=1,D188*(1+Q188),D188),L188)</f>
        <v>499257.12587773235</v>
      </c>
      <c r="T188" s="103">
        <f>IF(Q188&lt;INDEX('Pace of change parameters'!$E$24:$I$24,1,$B$5),INDEX('Pace of change parameters'!$E$24:$I$24,1,$B$5),Q188)</f>
        <v>3.0862724035705114E-2</v>
      </c>
      <c r="U188" s="132">
        <v>2.169562039957218E-2</v>
      </c>
      <c r="V188" s="117">
        <f t="shared" si="31"/>
        <v>499257.12587773235</v>
      </c>
      <c r="W188" s="131">
        <f>IF(J188&gt;INDEX('Pace of change parameters'!$E$26:$I$26,1,$B$5),0,IF(J188&lt;INDEX('Pace of change parameters'!$E$25:$I$25,1,$B$5),1,(J188-INDEX('Pace of change parameters'!$E$26:$I$26,1,$B$5))/(INDEX('Pace of change parameters'!$E$25:$I$25,1,$B$5)-INDEX('Pace of change parameters'!$E$26:$I$26,1,$B$5))))</f>
        <v>1</v>
      </c>
      <c r="X188" s="132">
        <f>MIN(T188, T188+(INDEX('Pace of change parameters'!$E$27:$I$27,1,$B$5)-T188)*(1-W188))</f>
        <v>3.0862724035705114E-2</v>
      </c>
      <c r="Y188" s="132">
        <v>2.169562039957218E-2</v>
      </c>
      <c r="Z188" s="108">
        <f t="shared" si="32"/>
        <v>499257.12587773235</v>
      </c>
      <c r="AA188" s="97">
        <f>MIN(VLOOKUP(A188,'2018-19 disagg'!$A$12:$BB$220,54,FALSE),-2.5%)</f>
        <v>-2.5274417207088562E-2</v>
      </c>
      <c r="AB188" s="99">
        <f t="shared" si="24"/>
        <v>498366.75819493929</v>
      </c>
      <c r="AC188" s="99">
        <f>MAX(IF(INDEX('Pace of change parameters'!$E$29:$I$29,1,$B$5)=1,MAX(AB188,Z188),Z188),L188)</f>
        <v>499257.12587773235</v>
      </c>
      <c r="AD188" s="97">
        <f t="shared" si="25"/>
        <v>3.0862724035705114E-2</v>
      </c>
      <c r="AE188" s="146">
        <v>2.169562039957218E-2</v>
      </c>
      <c r="AF188" s="56">
        <f t="shared" si="33"/>
        <v>499257.12587773235</v>
      </c>
      <c r="AG188" s="56">
        <v>1637.2007947044619</v>
      </c>
      <c r="AH188" s="16">
        <f t="shared" si="26"/>
        <v>3.0862724035705114E-2</v>
      </c>
      <c r="AI188" s="16">
        <f t="shared" si="27"/>
        <v>2.169562039957218E-2</v>
      </c>
      <c r="AJ188" s="56"/>
      <c r="AK188" s="56">
        <v>511289.29720604396</v>
      </c>
      <c r="AL188" s="56">
        <v>1676.6575784731453</v>
      </c>
      <c r="AM188" s="16">
        <f t="shared" si="35"/>
        <v>-2.3533000581200891E-2</v>
      </c>
      <c r="AN188" s="58">
        <f t="shared" si="35"/>
        <v>-2.3533000581200891E-2</v>
      </c>
      <c r="AP188" s="56">
        <f t="shared" si="28"/>
        <v>0</v>
      </c>
      <c r="AQ188" s="56">
        <f t="shared" si="29"/>
        <v>0</v>
      </c>
    </row>
    <row r="189" spans="1:43" x14ac:dyDescent="0.2">
      <c r="A189" s="156" t="s">
        <v>423</v>
      </c>
      <c r="B189" s="156" t="s">
        <v>424</v>
      </c>
      <c r="D189" s="68">
        <f>VLOOKUP(A189,'2018-19 disagg'!A189:AZ397,43,FALSE)</f>
        <v>175152</v>
      </c>
      <c r="E189" s="73">
        <v>1465.834487118176</v>
      </c>
      <c r="F189" s="55"/>
      <c r="G189" s="88">
        <v>177499.6165356398</v>
      </c>
      <c r="H189" s="81">
        <v>1476.3419603358036</v>
      </c>
      <c r="I189" s="90"/>
      <c r="J189" s="103">
        <f t="shared" si="30"/>
        <v>-1.3226037224527865E-2</v>
      </c>
      <c r="K189" s="126">
        <f t="shared" si="30"/>
        <v>-7.1172353695330148E-3</v>
      </c>
      <c r="L189" s="56">
        <v>179552</v>
      </c>
      <c r="M189" s="103">
        <v>1.9840713542246924E-2</v>
      </c>
      <c r="N189" s="97">
        <f>INDEX('Pace of change parameters'!$E$22:$I$22,1,$B$5)</f>
        <v>1.356605044543624E-2</v>
      </c>
      <c r="O189" s="108">
        <f>MAX(IF(INDEX('Pace of change parameters'!$E$30:$I$30,1,$B$5)=1,(1+M189)*D189,D189),L189)</f>
        <v>179552</v>
      </c>
      <c r="P189" s="94">
        <f>IF(K189&lt;INDEX('Pace of change parameters'!$E$18:$I$18,1,$B$5),1,IF(K189&gt;INDEX('Pace of change parameters'!$E$19:$I$19,1,$B$5),0,(K189-INDEX('Pace of change parameters'!$E$19:$I$19,1,$B$5))/(INDEX('Pace of change parameters'!$E$18:$I$18,1,$B$5)-INDEX('Pace of change parameters'!$E$19:$I$19,1,$B$5))))</f>
        <v>0.27966350336208701</v>
      </c>
      <c r="Q189" s="57">
        <v>2.3410627934440154E-2</v>
      </c>
      <c r="R189" s="57">
        <v>1.7114000613414726E-2</v>
      </c>
      <c r="S189" s="9">
        <f>MAX(IF(INDEX('Pace of change parameters'!$E$31:$I$31,1,$B$5)=1,D189*(1+Q189),D189),L189)</f>
        <v>179552</v>
      </c>
      <c r="T189" s="103">
        <f>IF(Q189&lt;INDEX('Pace of change parameters'!$E$24:$I$24,1,$B$5),INDEX('Pace of change parameters'!$E$24:$I$24,1,$B$5),Q189)</f>
        <v>2.3410627934440154E-2</v>
      </c>
      <c r="U189" s="132">
        <v>1.7114000613414726E-2</v>
      </c>
      <c r="V189" s="117">
        <f t="shared" si="31"/>
        <v>179552</v>
      </c>
      <c r="W189" s="131">
        <f>IF(J189&gt;INDEX('Pace of change parameters'!$E$26:$I$26,1,$B$5),0,IF(J189&lt;INDEX('Pace of change parameters'!$E$25:$I$25,1,$B$5),1,(J189-INDEX('Pace of change parameters'!$E$26:$I$26,1,$B$5))/(INDEX('Pace of change parameters'!$E$25:$I$25,1,$B$5)-INDEX('Pace of change parameters'!$E$26:$I$26,1,$B$5))))</f>
        <v>1</v>
      </c>
      <c r="X189" s="132">
        <f>MIN(T189, T189+(INDEX('Pace of change parameters'!$E$27:$I$27,1,$B$5)-T189)*(1-W189))</f>
        <v>2.3410627934440154E-2</v>
      </c>
      <c r="Y189" s="132">
        <v>1.7114000613414726E-2</v>
      </c>
      <c r="Z189" s="108">
        <f t="shared" si="32"/>
        <v>179552</v>
      </c>
      <c r="AA189" s="97">
        <f>MIN(VLOOKUP(A189,'2018-19 disagg'!$A$12:$BB$220,54,FALSE),-2.5%)</f>
        <v>-2.5000000000000001E-2</v>
      </c>
      <c r="AB189" s="99">
        <f t="shared" si="24"/>
        <v>177625.40363259849</v>
      </c>
      <c r="AC189" s="99">
        <f>MAX(IF(INDEX('Pace of change parameters'!$E$29:$I$29,1,$B$5)=1,MAX(AB189,Z189),Z189),L189)</f>
        <v>179552</v>
      </c>
      <c r="AD189" s="97">
        <f t="shared" si="25"/>
        <v>2.5121037727231288E-2</v>
      </c>
      <c r="AE189" s="146">
        <v>1.881388695380326E-2</v>
      </c>
      <c r="AF189" s="56">
        <f t="shared" si="33"/>
        <v>179552</v>
      </c>
      <c r="AG189" s="56">
        <v>1493.4125314518035</v>
      </c>
      <c r="AH189" s="16">
        <f t="shared" si="26"/>
        <v>2.5121037727231288E-2</v>
      </c>
      <c r="AI189" s="16">
        <f t="shared" si="27"/>
        <v>1.881388695380326E-2</v>
      </c>
      <c r="AJ189" s="56"/>
      <c r="AK189" s="56">
        <v>182179.90116163949</v>
      </c>
      <c r="AL189" s="56">
        <v>1515.2699350240787</v>
      </c>
      <c r="AM189" s="16">
        <f t="shared" si="35"/>
        <v>-1.4424758960143835E-2</v>
      </c>
      <c r="AN189" s="58">
        <f t="shared" si="35"/>
        <v>-1.4424758960143835E-2</v>
      </c>
      <c r="AP189" s="56">
        <f t="shared" si="28"/>
        <v>1</v>
      </c>
      <c r="AQ189" s="56">
        <f t="shared" si="29"/>
        <v>0</v>
      </c>
    </row>
    <row r="190" spans="1:43" x14ac:dyDescent="0.2">
      <c r="A190" s="156" t="s">
        <v>425</v>
      </c>
      <c r="B190" s="156" t="s">
        <v>426</v>
      </c>
      <c r="D190" s="68">
        <f>VLOOKUP(A190,'2018-19 disagg'!A190:AZ398,43,FALSE)</f>
        <v>165203</v>
      </c>
      <c r="E190" s="73">
        <v>1477.3761527075433</v>
      </c>
      <c r="F190" s="55"/>
      <c r="G190" s="88">
        <v>168772.11698077933</v>
      </c>
      <c r="H190" s="81">
        <v>1499.1068129126259</v>
      </c>
      <c r="I190" s="90"/>
      <c r="J190" s="103">
        <f t="shared" si="30"/>
        <v>-2.1147551175090151E-2</v>
      </c>
      <c r="K190" s="126">
        <f t="shared" si="30"/>
        <v>-1.4495738407633518E-2</v>
      </c>
      <c r="L190" s="56">
        <v>169275</v>
      </c>
      <c r="M190" s="103">
        <v>2.0453760235719098E-2</v>
      </c>
      <c r="N190" s="97">
        <f>INDEX('Pace of change parameters'!$E$22:$I$22,1,$B$5)</f>
        <v>1.356605044543624E-2</v>
      </c>
      <c r="O190" s="108">
        <f>MAX(IF(INDEX('Pace of change parameters'!$E$30:$I$30,1,$B$5)=1,(1+M190)*D190,D190),L190)</f>
        <v>169275</v>
      </c>
      <c r="P190" s="94">
        <f>IF(K190&lt;INDEX('Pace of change parameters'!$E$18:$I$18,1,$B$5),1,IF(K190&gt;INDEX('Pace of change parameters'!$E$19:$I$19,1,$B$5),0,(K190-INDEX('Pace of change parameters'!$E$19:$I$19,1,$B$5))/(INDEX('Pace of change parameters'!$E$18:$I$18,1,$B$5)-INDEX('Pace of change parameters'!$E$19:$I$19,1,$B$5))))</f>
        <v>0.51193460848112993</v>
      </c>
      <c r="Q190" s="57">
        <v>2.6992551637812223E-2</v>
      </c>
      <c r="R190" s="57">
        <v>2.0060707268078737E-2</v>
      </c>
      <c r="S190" s="9">
        <f>MAX(IF(INDEX('Pace of change parameters'!$E$31:$I$31,1,$B$5)=1,D190*(1+Q190),D190),L190)</f>
        <v>169662.25050822151</v>
      </c>
      <c r="T190" s="103">
        <f>IF(Q190&lt;INDEX('Pace of change parameters'!$E$24:$I$24,1,$B$5),INDEX('Pace of change parameters'!$E$24:$I$24,1,$B$5),Q190)</f>
        <v>2.6992551637812223E-2</v>
      </c>
      <c r="U190" s="132">
        <v>2.0060707268078737E-2</v>
      </c>
      <c r="V190" s="117">
        <f t="shared" si="31"/>
        <v>169662.25050822151</v>
      </c>
      <c r="W190" s="131">
        <f>IF(J190&gt;INDEX('Pace of change parameters'!$E$26:$I$26,1,$B$5),0,IF(J190&lt;INDEX('Pace of change parameters'!$E$25:$I$25,1,$B$5),1,(J190-INDEX('Pace of change parameters'!$E$26:$I$26,1,$B$5))/(INDEX('Pace of change parameters'!$E$25:$I$25,1,$B$5)-INDEX('Pace of change parameters'!$E$26:$I$26,1,$B$5))))</f>
        <v>1</v>
      </c>
      <c r="X190" s="132">
        <f>MIN(T190, T190+(INDEX('Pace of change parameters'!$E$27:$I$27,1,$B$5)-T190)*(1-W190))</f>
        <v>2.6992551637812223E-2</v>
      </c>
      <c r="Y190" s="132">
        <v>2.0060707268078737E-2</v>
      </c>
      <c r="Z190" s="108">
        <f t="shared" si="32"/>
        <v>169662.25050822151</v>
      </c>
      <c r="AA190" s="97">
        <f>MIN(VLOOKUP(A190,'2018-19 disagg'!$A$12:$BB$220,54,FALSE),-2.5%)</f>
        <v>-2.5000000000000001E-2</v>
      </c>
      <c r="AB190" s="99">
        <f t="shared" si="24"/>
        <v>168844.0043567534</v>
      </c>
      <c r="AC190" s="99">
        <f>MAX(IF(INDEX('Pace of change parameters'!$E$29:$I$29,1,$B$5)=1,MAX(AB190,Z190),Z190),L190)</f>
        <v>169662.25050822151</v>
      </c>
      <c r="AD190" s="97">
        <f t="shared" si="25"/>
        <v>2.6992551637812223E-2</v>
      </c>
      <c r="AE190" s="146">
        <v>2.0060707268078737E-2</v>
      </c>
      <c r="AF190" s="56">
        <f t="shared" si="33"/>
        <v>169662.25050822151</v>
      </c>
      <c r="AG190" s="56">
        <v>1507.01336323185</v>
      </c>
      <c r="AH190" s="16">
        <f t="shared" si="26"/>
        <v>2.6992551637812223E-2</v>
      </c>
      <c r="AI190" s="16">
        <f t="shared" si="27"/>
        <v>2.0060707268078959E-2</v>
      </c>
      <c r="AJ190" s="56"/>
      <c r="AK190" s="56">
        <v>173173.33780179836</v>
      </c>
      <c r="AL190" s="56">
        <v>1538.2003565379271</v>
      </c>
      <c r="AM190" s="16">
        <f t="shared" si="35"/>
        <v>-2.0274987698137403E-2</v>
      </c>
      <c r="AN190" s="58">
        <f t="shared" si="35"/>
        <v>-2.0274987698137403E-2</v>
      </c>
      <c r="AP190" s="56">
        <f t="shared" si="28"/>
        <v>0</v>
      </c>
      <c r="AQ190" s="56">
        <f t="shared" si="29"/>
        <v>0</v>
      </c>
    </row>
    <row r="191" spans="1:43" x14ac:dyDescent="0.2">
      <c r="A191" s="156" t="s">
        <v>427</v>
      </c>
      <c r="B191" s="156" t="s">
        <v>428</v>
      </c>
      <c r="D191" s="68">
        <f>VLOOKUP(A191,'2018-19 disagg'!A191:AZ399,43,FALSE)</f>
        <v>350186</v>
      </c>
      <c r="E191" s="73">
        <v>1540.3557136215486</v>
      </c>
      <c r="F191" s="55"/>
      <c r="G191" s="88">
        <v>360343.17328750552</v>
      </c>
      <c r="H191" s="81">
        <v>1576.8629875271708</v>
      </c>
      <c r="I191" s="90"/>
      <c r="J191" s="103">
        <f t="shared" si="30"/>
        <v>-2.8187500251049435E-2</v>
      </c>
      <c r="K191" s="126">
        <f t="shared" si="30"/>
        <v>-2.3151836395673642E-2</v>
      </c>
      <c r="L191" s="56">
        <v>358918</v>
      </c>
      <c r="M191" s="103">
        <v>1.881806966373456E-2</v>
      </c>
      <c r="N191" s="97">
        <f>INDEX('Pace of change parameters'!$E$22:$I$22,1,$B$5)</f>
        <v>1.356605044543624E-2</v>
      </c>
      <c r="O191" s="108">
        <f>MAX(IF(INDEX('Pace of change parameters'!$E$30:$I$30,1,$B$5)=1,(1+M191)*D191,D191),L191)</f>
        <v>358918</v>
      </c>
      <c r="P191" s="94">
        <f>IF(K191&lt;INDEX('Pace of change parameters'!$E$18:$I$18,1,$B$5),1,IF(K191&gt;INDEX('Pace of change parameters'!$E$19:$I$19,1,$B$5),0,(K191-INDEX('Pace of change parameters'!$E$19:$I$19,1,$B$5))/(INDEX('Pace of change parameters'!$E$18:$I$18,1,$B$5)-INDEX('Pace of change parameters'!$E$19:$I$19,1,$B$5))))</f>
        <v>0.78442368049463096</v>
      </c>
      <c r="Q191" s="57">
        <v>2.8821224635684928E-2</v>
      </c>
      <c r="R191" s="57">
        <v>2.3517639035006255E-2</v>
      </c>
      <c r="S191" s="9">
        <f>MAX(IF(INDEX('Pace of change parameters'!$E$31:$I$31,1,$B$5)=1,D191*(1+Q191),D191),L191)</f>
        <v>360278.78937027196</v>
      </c>
      <c r="T191" s="103">
        <f>IF(Q191&lt;INDEX('Pace of change parameters'!$E$24:$I$24,1,$B$5),INDEX('Pace of change parameters'!$E$24:$I$24,1,$B$5),Q191)</f>
        <v>2.8821224635684928E-2</v>
      </c>
      <c r="U191" s="132">
        <v>2.3517639035006255E-2</v>
      </c>
      <c r="V191" s="117">
        <f t="shared" si="31"/>
        <v>360278.78937027196</v>
      </c>
      <c r="W191" s="131">
        <f>IF(J191&gt;INDEX('Pace of change parameters'!$E$26:$I$26,1,$B$5),0,IF(J191&lt;INDEX('Pace of change parameters'!$E$25:$I$25,1,$B$5),1,(J191-INDEX('Pace of change parameters'!$E$26:$I$26,1,$B$5))/(INDEX('Pace of change parameters'!$E$25:$I$25,1,$B$5)-INDEX('Pace of change parameters'!$E$26:$I$26,1,$B$5))))</f>
        <v>1</v>
      </c>
      <c r="X191" s="132">
        <f>MIN(T191, T191+(INDEX('Pace of change parameters'!$E$27:$I$27,1,$B$5)-T191)*(1-W191))</f>
        <v>2.8821224635684928E-2</v>
      </c>
      <c r="Y191" s="132">
        <v>2.3517639035006255E-2</v>
      </c>
      <c r="Z191" s="108">
        <f t="shared" si="32"/>
        <v>360278.78937027196</v>
      </c>
      <c r="AA191" s="97">
        <f>MIN(VLOOKUP(A191,'2018-19 disagg'!$A$12:$BB$220,54,FALSE),-2.5%)</f>
        <v>-2.9802730719594828E-2</v>
      </c>
      <c r="AB191" s="99">
        <f t="shared" si="24"/>
        <v>358915.05442993593</v>
      </c>
      <c r="AC191" s="99">
        <f>MAX(IF(INDEX('Pace of change parameters'!$E$29:$I$29,1,$B$5)=1,MAX(AB191,Z191),Z191),L191)</f>
        <v>360278.78937027196</v>
      </c>
      <c r="AD191" s="97">
        <f t="shared" si="25"/>
        <v>2.8821224635684928E-2</v>
      </c>
      <c r="AE191" s="146">
        <v>2.3517639035006255E-2</v>
      </c>
      <c r="AF191" s="56">
        <f t="shared" si="33"/>
        <v>360278.78937027196</v>
      </c>
      <c r="AG191" s="56">
        <v>1576.5812432800096</v>
      </c>
      <c r="AH191" s="16">
        <f t="shared" si="26"/>
        <v>2.8821224635684928E-2</v>
      </c>
      <c r="AI191" s="16">
        <f t="shared" si="27"/>
        <v>2.3517639035006255E-2</v>
      </c>
      <c r="AJ191" s="56"/>
      <c r="AK191" s="56">
        <v>369940.28512999532</v>
      </c>
      <c r="AL191" s="56">
        <v>1618.8599825403289</v>
      </c>
      <c r="AM191" s="16">
        <f t="shared" si="35"/>
        <v>-2.6116365662442909E-2</v>
      </c>
      <c r="AN191" s="58">
        <f t="shared" si="35"/>
        <v>-2.611636566244302E-2</v>
      </c>
      <c r="AP191" s="56">
        <f t="shared" si="28"/>
        <v>0</v>
      </c>
      <c r="AQ191" s="56">
        <f t="shared" si="29"/>
        <v>0</v>
      </c>
    </row>
    <row r="192" spans="1:43" x14ac:dyDescent="0.2">
      <c r="A192" s="156" t="s">
        <v>429</v>
      </c>
      <c r="B192" s="156" t="s">
        <v>430</v>
      </c>
      <c r="D192" s="68">
        <f>VLOOKUP(A192,'2018-19 disagg'!A192:AZ400,43,FALSE)</f>
        <v>337490</v>
      </c>
      <c r="E192" s="73">
        <v>1479.2772288690064</v>
      </c>
      <c r="F192" s="55"/>
      <c r="G192" s="88">
        <v>344652.31159986771</v>
      </c>
      <c r="H192" s="81">
        <v>1496.6212642052894</v>
      </c>
      <c r="I192" s="90"/>
      <c r="J192" s="103">
        <f t="shared" si="30"/>
        <v>-2.0781266681834887E-2</v>
      </c>
      <c r="K192" s="126">
        <f t="shared" si="30"/>
        <v>-1.158879387263867E-2</v>
      </c>
      <c r="L192" s="56">
        <v>346756</v>
      </c>
      <c r="M192" s="103">
        <v>2.3080960691763019E-2</v>
      </c>
      <c r="N192" s="97">
        <f>INDEX('Pace of change parameters'!$E$22:$I$22,1,$B$5)</f>
        <v>1.356605044543624E-2</v>
      </c>
      <c r="O192" s="108">
        <f>MAX(IF(INDEX('Pace of change parameters'!$E$30:$I$30,1,$B$5)=1,(1+M192)*D192,D192),L192)</f>
        <v>346756</v>
      </c>
      <c r="P192" s="94">
        <f>IF(K192&lt;INDEX('Pace of change parameters'!$E$18:$I$18,1,$B$5),1,IF(K192&gt;INDEX('Pace of change parameters'!$E$19:$I$19,1,$B$5),0,(K192-INDEX('Pace of change parameters'!$E$19:$I$19,1,$B$5))/(INDEX('Pace of change parameters'!$E$18:$I$18,1,$B$5)-INDEX('Pace of change parameters'!$E$19:$I$19,1,$B$5))))</f>
        <v>0.42042563759957335</v>
      </c>
      <c r="Q192" s="57">
        <v>2.8464759926089211E-2</v>
      </c>
      <c r="R192" s="57">
        <v>1.8899778992820693E-2</v>
      </c>
      <c r="S192" s="9">
        <f>MAX(IF(INDEX('Pace of change parameters'!$E$31:$I$31,1,$B$5)=1,D192*(1+Q192),D192),L192)</f>
        <v>347096.57182745583</v>
      </c>
      <c r="T192" s="103">
        <f>IF(Q192&lt;INDEX('Pace of change parameters'!$E$24:$I$24,1,$B$5),INDEX('Pace of change parameters'!$E$24:$I$24,1,$B$5),Q192)</f>
        <v>2.8464759926089211E-2</v>
      </c>
      <c r="U192" s="132">
        <v>1.8899778992820693E-2</v>
      </c>
      <c r="V192" s="117">
        <f t="shared" si="31"/>
        <v>347096.57182745583</v>
      </c>
      <c r="W192" s="131">
        <f>IF(J192&gt;INDEX('Pace of change parameters'!$E$26:$I$26,1,$B$5),0,IF(J192&lt;INDEX('Pace of change parameters'!$E$25:$I$25,1,$B$5),1,(J192-INDEX('Pace of change parameters'!$E$26:$I$26,1,$B$5))/(INDEX('Pace of change parameters'!$E$25:$I$25,1,$B$5)-INDEX('Pace of change parameters'!$E$26:$I$26,1,$B$5))))</f>
        <v>1</v>
      </c>
      <c r="X192" s="132">
        <f>MIN(T192, T192+(INDEX('Pace of change parameters'!$E$27:$I$27,1,$B$5)-T192)*(1-W192))</f>
        <v>2.8464759926089211E-2</v>
      </c>
      <c r="Y192" s="132">
        <v>1.8899778992820693E-2</v>
      </c>
      <c r="Z192" s="108">
        <f t="shared" si="32"/>
        <v>347096.57182745583</v>
      </c>
      <c r="AA192" s="97">
        <f>MIN(VLOOKUP(A192,'2018-19 disagg'!$A$12:$BB$220,54,FALSE),-2.5%)</f>
        <v>-2.5000000000000001E-2</v>
      </c>
      <c r="AB192" s="99">
        <f t="shared" si="24"/>
        <v>344816.50339264929</v>
      </c>
      <c r="AC192" s="99">
        <f>MAX(IF(INDEX('Pace of change parameters'!$E$29:$I$29,1,$B$5)=1,MAX(AB192,Z192),Z192),L192)</f>
        <v>347096.57182745583</v>
      </c>
      <c r="AD192" s="97">
        <f t="shared" si="25"/>
        <v>2.8464759926089211E-2</v>
      </c>
      <c r="AE192" s="146">
        <v>1.8899778992820693E-2</v>
      </c>
      <c r="AF192" s="56">
        <f t="shared" si="33"/>
        <v>347096.57182745583</v>
      </c>
      <c r="AG192" s="56">
        <v>1507.2352415637429</v>
      </c>
      <c r="AH192" s="16">
        <f t="shared" si="26"/>
        <v>2.8464759926089211E-2</v>
      </c>
      <c r="AI192" s="16">
        <f t="shared" si="27"/>
        <v>1.8899778992820693E-2</v>
      </c>
      <c r="AJ192" s="56"/>
      <c r="AK192" s="56">
        <v>353657.95219758904</v>
      </c>
      <c r="AL192" s="56">
        <v>1535.7274380585141</v>
      </c>
      <c r="AM192" s="16">
        <f t="shared" si="35"/>
        <v>-1.8552899289727698E-2</v>
      </c>
      <c r="AN192" s="58">
        <f t="shared" si="35"/>
        <v>-1.8552899289727698E-2</v>
      </c>
      <c r="AP192" s="56">
        <f t="shared" si="28"/>
        <v>0</v>
      </c>
      <c r="AQ192" s="56">
        <f t="shared" si="29"/>
        <v>0</v>
      </c>
    </row>
    <row r="193" spans="1:43" x14ac:dyDescent="0.2">
      <c r="A193" s="156" t="s">
        <v>431</v>
      </c>
      <c r="B193" s="156" t="s">
        <v>432</v>
      </c>
      <c r="D193" s="68">
        <f>VLOOKUP(A193,'2018-19 disagg'!A193:AZ401,43,FALSE)</f>
        <v>575302</v>
      </c>
      <c r="E193" s="73">
        <v>1537.5897895732055</v>
      </c>
      <c r="F193" s="55"/>
      <c r="G193" s="88">
        <v>587460.47163038491</v>
      </c>
      <c r="H193" s="81">
        <v>1557.6639647962593</v>
      </c>
      <c r="I193" s="90"/>
      <c r="J193" s="103">
        <f t="shared" si="30"/>
        <v>-2.0696663379991098E-2</v>
      </c>
      <c r="K193" s="126">
        <f t="shared" si="30"/>
        <v>-1.2887359325719161E-2</v>
      </c>
      <c r="L193" s="56">
        <v>590628</v>
      </c>
      <c r="M193" s="103">
        <v>2.164857724896474E-2</v>
      </c>
      <c r="N193" s="97">
        <f>INDEX('Pace of change parameters'!$E$22:$I$22,1,$B$5)</f>
        <v>1.356605044543624E-2</v>
      </c>
      <c r="O193" s="108">
        <f>MAX(IF(INDEX('Pace of change parameters'!$E$30:$I$30,1,$B$5)=1,(1+M193)*D193,D193),L193)</f>
        <v>590628</v>
      </c>
      <c r="P193" s="94">
        <f>IF(K193&lt;INDEX('Pace of change parameters'!$E$18:$I$18,1,$B$5),1,IF(K193&gt;INDEX('Pace of change parameters'!$E$19:$I$19,1,$B$5),0,(K193-INDEX('Pace of change parameters'!$E$19:$I$19,1,$B$5))/(INDEX('Pace of change parameters'!$E$18:$I$18,1,$B$5)-INDEX('Pace of change parameters'!$E$19:$I$19,1,$B$5))))</f>
        <v>0.46130374407983638</v>
      </c>
      <c r="Q193" s="57">
        <v>2.7547574262376973E-2</v>
      </c>
      <c r="R193" s="57">
        <v>1.941837896389198E-2</v>
      </c>
      <c r="S193" s="9">
        <f>MAX(IF(INDEX('Pace of change parameters'!$E$31:$I$31,1,$B$5)=1,D193*(1+Q193),D193),L193)</f>
        <v>591150.17456829397</v>
      </c>
      <c r="T193" s="103">
        <f>IF(Q193&lt;INDEX('Pace of change parameters'!$E$24:$I$24,1,$B$5),INDEX('Pace of change parameters'!$E$24:$I$24,1,$B$5),Q193)</f>
        <v>2.7547574262376973E-2</v>
      </c>
      <c r="U193" s="132">
        <v>1.941837896389198E-2</v>
      </c>
      <c r="V193" s="117">
        <f t="shared" si="31"/>
        <v>591150.17456829397</v>
      </c>
      <c r="W193" s="131">
        <f>IF(J193&gt;INDEX('Pace of change parameters'!$E$26:$I$26,1,$B$5),0,IF(J193&lt;INDEX('Pace of change parameters'!$E$25:$I$25,1,$B$5),1,(J193-INDEX('Pace of change parameters'!$E$26:$I$26,1,$B$5))/(INDEX('Pace of change parameters'!$E$25:$I$25,1,$B$5)-INDEX('Pace of change parameters'!$E$26:$I$26,1,$B$5))))</f>
        <v>1</v>
      </c>
      <c r="X193" s="132">
        <f>MIN(T193, T193+(INDEX('Pace of change parameters'!$E$27:$I$27,1,$B$5)-T193)*(1-W193))</f>
        <v>2.7547574262376973E-2</v>
      </c>
      <c r="Y193" s="132">
        <v>1.941837896389198E-2</v>
      </c>
      <c r="Z193" s="108">
        <f t="shared" si="32"/>
        <v>591150.17456829397</v>
      </c>
      <c r="AA193" s="97">
        <f>MIN(VLOOKUP(A193,'2018-19 disagg'!$A$12:$BB$220,54,FALSE),-2.5%)</f>
        <v>-2.5000000000000001E-2</v>
      </c>
      <c r="AB193" s="99">
        <f t="shared" si="24"/>
        <v>587875.99503880274</v>
      </c>
      <c r="AC193" s="99">
        <f>MAX(IF(INDEX('Pace of change parameters'!$E$29:$I$29,1,$B$5)=1,MAX(AB193,Z193),Z193),L193)</f>
        <v>591150.17456829397</v>
      </c>
      <c r="AD193" s="97">
        <f t="shared" si="25"/>
        <v>2.7547574262376973E-2</v>
      </c>
      <c r="AE193" s="146">
        <v>1.941837896389198E-2</v>
      </c>
      <c r="AF193" s="56">
        <f t="shared" si="33"/>
        <v>591150.17456829397</v>
      </c>
      <c r="AG193" s="56">
        <v>1567.4472907981487</v>
      </c>
      <c r="AH193" s="16">
        <f t="shared" si="26"/>
        <v>2.7547574262376973E-2</v>
      </c>
      <c r="AI193" s="16">
        <f t="shared" si="27"/>
        <v>1.9418378963891758E-2</v>
      </c>
      <c r="AJ193" s="56"/>
      <c r="AK193" s="56">
        <v>602949.73850133619</v>
      </c>
      <c r="AL193" s="56">
        <v>1598.7340861255009</v>
      </c>
      <c r="AM193" s="16">
        <f t="shared" si="35"/>
        <v>-1.9569730575504818E-2</v>
      </c>
      <c r="AN193" s="58">
        <f t="shared" si="35"/>
        <v>-1.9569730575504929E-2</v>
      </c>
      <c r="AP193" s="56">
        <f t="shared" si="28"/>
        <v>0</v>
      </c>
      <c r="AQ193" s="56">
        <f t="shared" si="29"/>
        <v>0</v>
      </c>
    </row>
    <row r="194" spans="1:43" x14ac:dyDescent="0.2">
      <c r="A194" s="156" t="s">
        <v>433</v>
      </c>
      <c r="B194" s="156" t="s">
        <v>434</v>
      </c>
      <c r="D194" s="68">
        <f>VLOOKUP(A194,'2018-19 disagg'!A194:AZ402,43,FALSE)</f>
        <v>1081518</v>
      </c>
      <c r="E194" s="73">
        <v>1482.3625141453383</v>
      </c>
      <c r="F194" s="55"/>
      <c r="G194" s="88">
        <v>1080759.5628517959</v>
      </c>
      <c r="H194" s="81">
        <v>1472.9905221999929</v>
      </c>
      <c r="I194" s="90"/>
      <c r="J194" s="103">
        <f t="shared" si="30"/>
        <v>7.0176306948677158E-4</v>
      </c>
      <c r="K194" s="126">
        <f t="shared" si="30"/>
        <v>6.3625609290056673E-3</v>
      </c>
      <c r="L194" s="56">
        <v>1109641</v>
      </c>
      <c r="M194" s="103">
        <v>1.9299619367352916E-2</v>
      </c>
      <c r="N194" s="97">
        <f>INDEX('Pace of change parameters'!$E$22:$I$22,1,$B$5)</f>
        <v>1.356605044543624E-2</v>
      </c>
      <c r="O194" s="108">
        <f>MAX(IF(INDEX('Pace of change parameters'!$E$30:$I$30,1,$B$5)=1,(1+M194)*D194,D194),L194)</f>
        <v>1109641</v>
      </c>
      <c r="P194" s="94">
        <f>IF(K194&lt;INDEX('Pace of change parameters'!$E$18:$I$18,1,$B$5),1,IF(K194&gt;INDEX('Pace of change parameters'!$E$19:$I$19,1,$B$5),0,(K194-INDEX('Pace of change parameters'!$E$19:$I$19,1,$B$5))/(INDEX('Pace of change parameters'!$E$18:$I$18,1,$B$5)-INDEX('Pace of change parameters'!$E$19:$I$19,1,$B$5))))</f>
        <v>0</v>
      </c>
      <c r="Q194" s="57">
        <v>1.9299619367352916E-2</v>
      </c>
      <c r="R194" s="57">
        <v>1.356605044543624E-2</v>
      </c>
      <c r="S194" s="9">
        <f>MAX(IF(INDEX('Pace of change parameters'!$E$31:$I$31,1,$B$5)=1,D194*(1+Q194),D194),L194)</f>
        <v>1109641</v>
      </c>
      <c r="T194" s="103">
        <f>IF(Q194&lt;INDEX('Pace of change parameters'!$E$24:$I$24,1,$B$5),INDEX('Pace of change parameters'!$E$24:$I$24,1,$B$5),Q194)</f>
        <v>2.0738822378003872E-2</v>
      </c>
      <c r="U194" s="132">
        <v>1.4997157927061577E-2</v>
      </c>
      <c r="V194" s="117">
        <f t="shared" si="31"/>
        <v>1109641</v>
      </c>
      <c r="W194" s="131">
        <f>IF(J194&gt;INDEX('Pace of change parameters'!$E$26:$I$26,1,$B$5),0,IF(J194&lt;INDEX('Pace of change parameters'!$E$25:$I$25,1,$B$5),1,(J194-INDEX('Pace of change parameters'!$E$26:$I$26,1,$B$5))/(INDEX('Pace of change parameters'!$E$25:$I$25,1,$B$5)-INDEX('Pace of change parameters'!$E$26:$I$26,1,$B$5))))</f>
        <v>1</v>
      </c>
      <c r="X194" s="132">
        <f>MIN(T194, T194+(INDEX('Pace of change parameters'!$E$27:$I$27,1,$B$5)-T194)*(1-W194))</f>
        <v>2.0738822378003872E-2</v>
      </c>
      <c r="Y194" s="132">
        <v>1.4997157927061577E-2</v>
      </c>
      <c r="Z194" s="108">
        <f t="shared" si="32"/>
        <v>1109641</v>
      </c>
      <c r="AA194" s="97">
        <f>MIN(VLOOKUP(A194,'2018-19 disagg'!$A$12:$BB$220,54,FALSE),-2.5%)</f>
        <v>-2.5000000000000001E-2</v>
      </c>
      <c r="AB194" s="99">
        <f t="shared" si="24"/>
        <v>1082257.4131161915</v>
      </c>
      <c r="AC194" s="99">
        <f>MAX(IF(INDEX('Pace of change parameters'!$E$29:$I$29,1,$B$5)=1,MAX(AB194,Z194),Z194),L194)</f>
        <v>1109641</v>
      </c>
      <c r="AD194" s="97">
        <f t="shared" si="25"/>
        <v>2.600326578013501E-2</v>
      </c>
      <c r="AE194" s="146">
        <v>2.0231988790830213E-2</v>
      </c>
      <c r="AF194" s="56">
        <f t="shared" si="33"/>
        <v>1109641</v>
      </c>
      <c r="AG194" s="56">
        <v>1512.3536559154734</v>
      </c>
      <c r="AH194" s="16">
        <f t="shared" si="26"/>
        <v>2.600326578013501E-2</v>
      </c>
      <c r="AI194" s="16">
        <f t="shared" si="27"/>
        <v>2.0231988790829991E-2</v>
      </c>
      <c r="AJ194" s="56"/>
      <c r="AK194" s="56">
        <v>1110007.6031960938</v>
      </c>
      <c r="AL194" s="56">
        <v>1512.8533073197409</v>
      </c>
      <c r="AM194" s="16">
        <f t="shared" si="35"/>
        <v>-3.3027088736892196E-4</v>
      </c>
      <c r="AN194" s="58">
        <f t="shared" si="35"/>
        <v>-3.3027088736892196E-4</v>
      </c>
      <c r="AP194" s="56">
        <f t="shared" si="28"/>
        <v>1</v>
      </c>
      <c r="AQ194" s="56">
        <f t="shared" si="29"/>
        <v>0</v>
      </c>
    </row>
    <row r="195" spans="1:43" x14ac:dyDescent="0.2">
      <c r="A195" s="156" t="s">
        <v>435</v>
      </c>
      <c r="B195" s="156" t="s">
        <v>436</v>
      </c>
      <c r="D195" s="68">
        <f>VLOOKUP(A195,'2018-19 disagg'!A195:AZ403,43,FALSE)</f>
        <v>360000</v>
      </c>
      <c r="E195" s="73">
        <v>1593.0012613102767</v>
      </c>
      <c r="F195" s="55"/>
      <c r="G195" s="88">
        <v>354817.21847183409</v>
      </c>
      <c r="H195" s="81">
        <v>1561.0121079051603</v>
      </c>
      <c r="I195" s="90"/>
      <c r="J195" s="103">
        <f t="shared" si="30"/>
        <v>1.4606905353938826E-2</v>
      </c>
      <c r="K195" s="126">
        <f t="shared" si="30"/>
        <v>2.0492572250477403E-2</v>
      </c>
      <c r="L195" s="56">
        <v>369026</v>
      </c>
      <c r="M195" s="103">
        <v>1.9445679412164907E-2</v>
      </c>
      <c r="N195" s="97">
        <f>INDEX('Pace of change parameters'!$E$22:$I$22,1,$B$5)</f>
        <v>1.356605044543624E-2</v>
      </c>
      <c r="O195" s="108">
        <f>MAX(IF(INDEX('Pace of change parameters'!$E$30:$I$30,1,$B$5)=1,(1+M195)*D195,D195),L195)</f>
        <v>369026</v>
      </c>
      <c r="P195" s="94">
        <f>IF(K195&lt;INDEX('Pace of change parameters'!$E$18:$I$18,1,$B$5),1,IF(K195&gt;INDEX('Pace of change parameters'!$E$19:$I$19,1,$B$5),0,(K195-INDEX('Pace of change parameters'!$E$19:$I$19,1,$B$5))/(INDEX('Pace of change parameters'!$E$18:$I$18,1,$B$5)-INDEX('Pace of change parameters'!$E$19:$I$19,1,$B$5))))</f>
        <v>0</v>
      </c>
      <c r="Q195" s="57">
        <v>1.9445679412164907E-2</v>
      </c>
      <c r="R195" s="57">
        <v>1.356605044543624E-2</v>
      </c>
      <c r="S195" s="9">
        <f>MAX(IF(INDEX('Pace of change parameters'!$E$31:$I$31,1,$B$5)=1,D195*(1+Q195),D195),L195)</f>
        <v>369026</v>
      </c>
      <c r="T195" s="103">
        <f>IF(Q195&lt;INDEX('Pace of change parameters'!$E$24:$I$24,1,$B$5),INDEX('Pace of change parameters'!$E$24:$I$24,1,$B$5),Q195)</f>
        <v>2.0738822378003872E-2</v>
      </c>
      <c r="U195" s="132">
        <v>1.4851735239649555E-2</v>
      </c>
      <c r="V195" s="117">
        <f t="shared" si="31"/>
        <v>369026</v>
      </c>
      <c r="W195" s="131">
        <f>IF(J195&gt;INDEX('Pace of change parameters'!$E$26:$I$26,1,$B$5),0,IF(J195&lt;INDEX('Pace of change parameters'!$E$25:$I$25,1,$B$5),1,(J195-INDEX('Pace of change parameters'!$E$26:$I$26,1,$B$5))/(INDEX('Pace of change parameters'!$E$25:$I$25,1,$B$5)-INDEX('Pace of change parameters'!$E$26:$I$26,1,$B$5))))</f>
        <v>1</v>
      </c>
      <c r="X195" s="132">
        <f>MIN(T195, T195+(INDEX('Pace of change parameters'!$E$27:$I$27,1,$B$5)-T195)*(1-W195))</f>
        <v>2.0738822378003872E-2</v>
      </c>
      <c r="Y195" s="132">
        <v>1.4851735239649555E-2</v>
      </c>
      <c r="Z195" s="108">
        <f t="shared" si="32"/>
        <v>369026</v>
      </c>
      <c r="AA195" s="97">
        <f>MIN(VLOOKUP(A195,'2018-19 disagg'!$A$12:$BB$220,54,FALSE),-2.5%)</f>
        <v>-2.5000000000000001E-2</v>
      </c>
      <c r="AB195" s="99">
        <f t="shared" si="24"/>
        <v>355070.5707826438</v>
      </c>
      <c r="AC195" s="99">
        <f>MAX(IF(INDEX('Pace of change parameters'!$E$29:$I$29,1,$B$5)=1,MAX(AB195,Z195),Z195),L195)</f>
        <v>369026</v>
      </c>
      <c r="AD195" s="97">
        <f t="shared" si="25"/>
        <v>2.5072222222222162E-2</v>
      </c>
      <c r="AE195" s="146">
        <v>1.9160142302238503E-2</v>
      </c>
      <c r="AF195" s="56">
        <f t="shared" si="33"/>
        <v>369026</v>
      </c>
      <c r="AG195" s="56">
        <v>1623.5233921646272</v>
      </c>
      <c r="AH195" s="16">
        <f t="shared" si="26"/>
        <v>2.5072222222222162E-2</v>
      </c>
      <c r="AI195" s="16">
        <f t="shared" si="27"/>
        <v>1.9160142302238725E-2</v>
      </c>
      <c r="AJ195" s="56"/>
      <c r="AK195" s="56">
        <v>364174.94439245522</v>
      </c>
      <c r="AL195" s="56">
        <v>1602.1812583975204</v>
      </c>
      <c r="AM195" s="16">
        <f t="shared" si="35"/>
        <v>1.3320673709822817E-2</v>
      </c>
      <c r="AN195" s="58">
        <f t="shared" si="35"/>
        <v>1.3320673709822817E-2</v>
      </c>
      <c r="AP195" s="56">
        <f t="shared" si="28"/>
        <v>1</v>
      </c>
      <c r="AQ195" s="56">
        <f t="shared" si="29"/>
        <v>0</v>
      </c>
    </row>
    <row r="196" spans="1:43" x14ac:dyDescent="0.2">
      <c r="A196" s="156" t="s">
        <v>437</v>
      </c>
      <c r="B196" s="156" t="s">
        <v>438</v>
      </c>
      <c r="D196" s="68">
        <f>VLOOKUP(A196,'2018-19 disagg'!A196:AZ404,43,FALSE)</f>
        <v>242875</v>
      </c>
      <c r="E196" s="73">
        <v>1541.2720841872176</v>
      </c>
      <c r="F196" s="55"/>
      <c r="G196" s="88">
        <v>243260.08093093586</v>
      </c>
      <c r="H196" s="81">
        <v>1526.0715547198315</v>
      </c>
      <c r="I196" s="90"/>
      <c r="J196" s="103">
        <f t="shared" si="30"/>
        <v>-1.5830009159834013E-3</v>
      </c>
      <c r="K196" s="126">
        <f t="shared" si="30"/>
        <v>9.9605614300155576E-3</v>
      </c>
      <c r="L196" s="56">
        <v>250205</v>
      </c>
      <c r="M196" s="103">
        <v>2.5284764074950505E-2</v>
      </c>
      <c r="N196" s="97">
        <f>INDEX('Pace of change parameters'!$E$22:$I$22,1,$B$5)</f>
        <v>1.356605044543624E-2</v>
      </c>
      <c r="O196" s="108">
        <f>MAX(IF(INDEX('Pace of change parameters'!$E$30:$I$30,1,$B$5)=1,(1+M196)*D196,D196),L196)</f>
        <v>250205</v>
      </c>
      <c r="P196" s="94">
        <f>IF(K196&lt;INDEX('Pace of change parameters'!$E$18:$I$18,1,$B$5),1,IF(K196&gt;INDEX('Pace of change parameters'!$E$19:$I$19,1,$B$5),0,(K196-INDEX('Pace of change parameters'!$E$19:$I$19,1,$B$5))/(INDEX('Pace of change parameters'!$E$18:$I$18,1,$B$5)-INDEX('Pace of change parameters'!$E$19:$I$19,1,$B$5))))</f>
        <v>0</v>
      </c>
      <c r="Q196" s="57">
        <v>2.5284764074950505E-2</v>
      </c>
      <c r="R196" s="57">
        <v>1.356605044543624E-2</v>
      </c>
      <c r="S196" s="9">
        <f>MAX(IF(INDEX('Pace of change parameters'!$E$31:$I$31,1,$B$5)=1,D196*(1+Q196),D196),L196)</f>
        <v>250205</v>
      </c>
      <c r="T196" s="103">
        <f>IF(Q196&lt;INDEX('Pace of change parameters'!$E$24:$I$24,1,$B$5),INDEX('Pace of change parameters'!$E$24:$I$24,1,$B$5),Q196)</f>
        <v>2.5284764074950505E-2</v>
      </c>
      <c r="U196" s="132">
        <v>1.356605044543624E-2</v>
      </c>
      <c r="V196" s="117">
        <f t="shared" si="31"/>
        <v>250205</v>
      </c>
      <c r="W196" s="131">
        <f>IF(J196&gt;INDEX('Pace of change parameters'!$E$26:$I$26,1,$B$5),0,IF(J196&lt;INDEX('Pace of change parameters'!$E$25:$I$25,1,$B$5),1,(J196-INDEX('Pace of change parameters'!$E$26:$I$26,1,$B$5))/(INDEX('Pace of change parameters'!$E$25:$I$25,1,$B$5)-INDEX('Pace of change parameters'!$E$26:$I$26,1,$B$5))))</f>
        <v>1</v>
      </c>
      <c r="X196" s="132">
        <f>MIN(T196, T196+(INDEX('Pace of change parameters'!$E$27:$I$27,1,$B$5)-T196)*(1-W196))</f>
        <v>2.5284764074950505E-2</v>
      </c>
      <c r="Y196" s="132">
        <v>1.356605044543624E-2</v>
      </c>
      <c r="Z196" s="108">
        <f t="shared" si="32"/>
        <v>250205</v>
      </c>
      <c r="AA196" s="97">
        <f>MIN(VLOOKUP(A196,'2018-19 disagg'!$A$12:$BB$220,54,FALSE),-2.5%)</f>
        <v>-2.5000000000000001E-2</v>
      </c>
      <c r="AB196" s="99">
        <f t="shared" si="24"/>
        <v>243547.0064808492</v>
      </c>
      <c r="AC196" s="99">
        <f>MAX(IF(INDEX('Pace of change parameters'!$E$29:$I$29,1,$B$5)=1,MAX(AB196,Z196),Z196),L196)</f>
        <v>250205</v>
      </c>
      <c r="AD196" s="97">
        <f t="shared" si="25"/>
        <v>3.0180133813690224E-2</v>
      </c>
      <c r="AE196" s="146">
        <v>1.8405467498552319E-2</v>
      </c>
      <c r="AF196" s="56">
        <f t="shared" si="33"/>
        <v>250205</v>
      </c>
      <c r="AG196" s="56">
        <v>1569.6399174391513</v>
      </c>
      <c r="AH196" s="16">
        <f t="shared" si="26"/>
        <v>3.0180133813690224E-2</v>
      </c>
      <c r="AI196" s="16">
        <f t="shared" si="27"/>
        <v>1.8405467498552319E-2</v>
      </c>
      <c r="AJ196" s="56"/>
      <c r="AK196" s="56">
        <v>249791.8015188197</v>
      </c>
      <c r="AL196" s="56">
        <v>1567.0477516955177</v>
      </c>
      <c r="AM196" s="16">
        <f t="shared" si="35"/>
        <v>1.654171508704172E-3</v>
      </c>
      <c r="AN196" s="58">
        <f t="shared" si="35"/>
        <v>1.654171508704172E-3</v>
      </c>
      <c r="AP196" s="56">
        <f t="shared" si="28"/>
        <v>1</v>
      </c>
      <c r="AQ196" s="56">
        <f t="shared" si="29"/>
        <v>0</v>
      </c>
    </row>
    <row r="197" spans="1:43" x14ac:dyDescent="0.2">
      <c r="A197" s="156" t="s">
        <v>439</v>
      </c>
      <c r="B197" s="156" t="s">
        <v>440</v>
      </c>
      <c r="D197" s="68">
        <f>VLOOKUP(A197,'2018-19 disagg'!A197:AZ405,43,FALSE)</f>
        <v>344831</v>
      </c>
      <c r="E197" s="73">
        <v>1602.7829194207452</v>
      </c>
      <c r="F197" s="55"/>
      <c r="G197" s="88">
        <v>353480.22439981304</v>
      </c>
      <c r="H197" s="81">
        <v>1634.7409652133263</v>
      </c>
      <c r="I197" s="90"/>
      <c r="J197" s="103">
        <f t="shared" si="30"/>
        <v>-2.4468764594961057E-2</v>
      </c>
      <c r="K197" s="126">
        <f t="shared" si="30"/>
        <v>-1.9549302594500495E-2</v>
      </c>
      <c r="L197" s="56">
        <v>353407</v>
      </c>
      <c r="M197" s="103">
        <v>1.8677316480965267E-2</v>
      </c>
      <c r="N197" s="97">
        <f>INDEX('Pace of change parameters'!$E$22:$I$22,1,$B$5)</f>
        <v>1.356605044543624E-2</v>
      </c>
      <c r="O197" s="108">
        <f>MAX(IF(INDEX('Pace of change parameters'!$E$30:$I$30,1,$B$5)=1,(1+M197)*D197,D197),L197)</f>
        <v>353407</v>
      </c>
      <c r="P197" s="94">
        <f>IF(K197&lt;INDEX('Pace of change parameters'!$E$18:$I$18,1,$B$5),1,IF(K197&gt;INDEX('Pace of change parameters'!$E$19:$I$19,1,$B$5),0,(K197-INDEX('Pace of change parameters'!$E$19:$I$19,1,$B$5))/(INDEX('Pace of change parameters'!$E$18:$I$18,1,$B$5)-INDEX('Pace of change parameters'!$E$19:$I$19,1,$B$5))))</f>
        <v>0.67101795267878828</v>
      </c>
      <c r="Q197" s="57">
        <v>2.7233112806192894E-2</v>
      </c>
      <c r="R197" s="57">
        <v>2.2078917620817817E-2</v>
      </c>
      <c r="S197" s="9">
        <f>MAX(IF(INDEX('Pace of change parameters'!$E$31:$I$31,1,$B$5)=1,D197*(1+Q197),D197),L197)</f>
        <v>354221.82152207231</v>
      </c>
      <c r="T197" s="103">
        <f>IF(Q197&lt;INDEX('Pace of change parameters'!$E$24:$I$24,1,$B$5),INDEX('Pace of change parameters'!$E$24:$I$24,1,$B$5),Q197)</f>
        <v>2.7233112806192894E-2</v>
      </c>
      <c r="U197" s="132">
        <v>2.2078917620817817E-2</v>
      </c>
      <c r="V197" s="117">
        <f t="shared" si="31"/>
        <v>354221.82152207231</v>
      </c>
      <c r="W197" s="131">
        <f>IF(J197&gt;INDEX('Pace of change parameters'!$E$26:$I$26,1,$B$5),0,IF(J197&lt;INDEX('Pace of change parameters'!$E$25:$I$25,1,$B$5),1,(J197-INDEX('Pace of change parameters'!$E$26:$I$26,1,$B$5))/(INDEX('Pace of change parameters'!$E$25:$I$25,1,$B$5)-INDEX('Pace of change parameters'!$E$26:$I$26,1,$B$5))))</f>
        <v>1</v>
      </c>
      <c r="X197" s="132">
        <f>MIN(T197, T197+(INDEX('Pace of change parameters'!$E$27:$I$27,1,$B$5)-T197)*(1-W197))</f>
        <v>2.7233112806192894E-2</v>
      </c>
      <c r="Y197" s="132">
        <v>2.2078917620817817E-2</v>
      </c>
      <c r="Z197" s="108">
        <f t="shared" si="32"/>
        <v>354221.82152207231</v>
      </c>
      <c r="AA197" s="97">
        <f>MIN(VLOOKUP(A197,'2018-19 disagg'!$A$12:$BB$220,54,FALSE),-2.5%)</f>
        <v>-2.621857256839577E-2</v>
      </c>
      <c r="AB197" s="99">
        <f t="shared" si="24"/>
        <v>353210.67809874262</v>
      </c>
      <c r="AC197" s="99">
        <f>MAX(IF(INDEX('Pace of change parameters'!$E$29:$I$29,1,$B$5)=1,MAX(AB197,Z197),Z197),L197)</f>
        <v>354221.82152207231</v>
      </c>
      <c r="AD197" s="97">
        <f t="shared" si="25"/>
        <v>2.7233112806192894E-2</v>
      </c>
      <c r="AE197" s="146">
        <v>2.2078917620817817E-2</v>
      </c>
      <c r="AF197" s="56">
        <f t="shared" si="33"/>
        <v>354221.82152207231</v>
      </c>
      <c r="AG197" s="56">
        <v>1638.1706314626899</v>
      </c>
      <c r="AH197" s="16">
        <f t="shared" si="26"/>
        <v>2.7233112806192894E-2</v>
      </c>
      <c r="AI197" s="16">
        <f t="shared" si="27"/>
        <v>2.2078917620818039E-2</v>
      </c>
      <c r="AJ197" s="56"/>
      <c r="AK197" s="56">
        <v>362720.69701550266</v>
      </c>
      <c r="AL197" s="56">
        <v>1677.4754043136986</v>
      </c>
      <c r="AM197" s="16">
        <f t="shared" si="35"/>
        <v>-2.3430908584373134E-2</v>
      </c>
      <c r="AN197" s="58">
        <f t="shared" si="35"/>
        <v>-2.3430908584373134E-2</v>
      </c>
      <c r="AP197" s="56">
        <f t="shared" si="28"/>
        <v>0</v>
      </c>
      <c r="AQ197" s="56">
        <f t="shared" si="29"/>
        <v>0</v>
      </c>
    </row>
    <row r="198" spans="1:43" x14ac:dyDescent="0.2">
      <c r="A198" s="156" t="s">
        <v>441</v>
      </c>
      <c r="B198" s="156" t="s">
        <v>442</v>
      </c>
      <c r="D198" s="68">
        <f>VLOOKUP(A198,'2018-19 disagg'!A198:AZ406,43,FALSE)</f>
        <v>370131</v>
      </c>
      <c r="E198" s="73">
        <v>1822.0066646822136</v>
      </c>
      <c r="F198" s="55"/>
      <c r="G198" s="88">
        <v>359661.76538976131</v>
      </c>
      <c r="H198" s="81">
        <v>1761.752401562833</v>
      </c>
      <c r="I198" s="90"/>
      <c r="J198" s="103">
        <f t="shared" si="30"/>
        <v>2.9108555920291712E-2</v>
      </c>
      <c r="K198" s="126">
        <f t="shared" si="30"/>
        <v>3.4201323106430648E-2</v>
      </c>
      <c r="L198" s="56">
        <v>379205</v>
      </c>
      <c r="M198" s="103">
        <v>1.858190216778155E-2</v>
      </c>
      <c r="N198" s="97">
        <f>INDEX('Pace of change parameters'!$E$22:$I$22,1,$B$5)</f>
        <v>1.356605044543624E-2</v>
      </c>
      <c r="O198" s="108">
        <f>MAX(IF(INDEX('Pace of change parameters'!$E$30:$I$30,1,$B$5)=1,(1+M198)*D198,D198),L198)</f>
        <v>379205</v>
      </c>
      <c r="P198" s="94">
        <f>IF(K198&lt;INDEX('Pace of change parameters'!$E$18:$I$18,1,$B$5),1,IF(K198&gt;INDEX('Pace of change parameters'!$E$19:$I$19,1,$B$5),0,(K198-INDEX('Pace of change parameters'!$E$19:$I$19,1,$B$5))/(INDEX('Pace of change parameters'!$E$18:$I$18,1,$B$5)-INDEX('Pace of change parameters'!$E$19:$I$19,1,$B$5))))</f>
        <v>0</v>
      </c>
      <c r="Q198" s="57">
        <v>1.858190216778155E-2</v>
      </c>
      <c r="R198" s="57">
        <v>1.356605044543624E-2</v>
      </c>
      <c r="S198" s="9">
        <f>MAX(IF(INDEX('Pace of change parameters'!$E$31:$I$31,1,$B$5)=1,D198*(1+Q198),D198),L198)</f>
        <v>379205</v>
      </c>
      <c r="T198" s="103">
        <f>IF(Q198&lt;INDEX('Pace of change parameters'!$E$24:$I$24,1,$B$5),INDEX('Pace of change parameters'!$E$24:$I$24,1,$B$5),Q198)</f>
        <v>2.0738822378003872E-2</v>
      </c>
      <c r="U198" s="132">
        <v>1.5712349229999534E-2</v>
      </c>
      <c r="V198" s="117">
        <f t="shared" si="31"/>
        <v>379205</v>
      </c>
      <c r="W198" s="131">
        <f>IF(J198&gt;INDEX('Pace of change parameters'!$E$26:$I$26,1,$B$5),0,IF(J198&lt;INDEX('Pace of change parameters'!$E$25:$I$25,1,$B$5),1,(J198-INDEX('Pace of change parameters'!$E$26:$I$26,1,$B$5))/(INDEX('Pace of change parameters'!$E$25:$I$25,1,$B$5)-INDEX('Pace of change parameters'!$E$26:$I$26,1,$B$5))))</f>
        <v>1</v>
      </c>
      <c r="X198" s="132">
        <f>MIN(T198, T198+(INDEX('Pace of change parameters'!$E$27:$I$27,1,$B$5)-T198)*(1-W198))</f>
        <v>2.0738822378003872E-2</v>
      </c>
      <c r="Y198" s="132">
        <v>1.5712349229999534E-2</v>
      </c>
      <c r="Z198" s="108">
        <f t="shared" si="32"/>
        <v>379205</v>
      </c>
      <c r="AA198" s="97">
        <f>MIN(VLOOKUP(A198,'2018-19 disagg'!$A$12:$BB$220,54,FALSE),-2.5%)</f>
        <v>-2.5000000000000001E-2</v>
      </c>
      <c r="AB198" s="99">
        <f t="shared" si="24"/>
        <v>360053.2683793513</v>
      </c>
      <c r="AC198" s="99">
        <f>MAX(IF(INDEX('Pace of change parameters'!$E$29:$I$29,1,$B$5)=1,MAX(AB198,Z198),Z198),L198)</f>
        <v>379205</v>
      </c>
      <c r="AD198" s="97">
        <f t="shared" si="25"/>
        <v>2.4515644461015063E-2</v>
      </c>
      <c r="AE198" s="146">
        <v>1.9470572926852725E-2</v>
      </c>
      <c r="AF198" s="56">
        <f t="shared" si="33"/>
        <v>379205</v>
      </c>
      <c r="AG198" s="56">
        <v>1857.482178320121</v>
      </c>
      <c r="AH198" s="16">
        <f t="shared" si="26"/>
        <v>2.4515644461015063E-2</v>
      </c>
      <c r="AI198" s="16">
        <f t="shared" si="27"/>
        <v>1.9470572926853169E-2</v>
      </c>
      <c r="AJ198" s="56"/>
      <c r="AK198" s="56">
        <v>369285.40346600133</v>
      </c>
      <c r="AL198" s="56">
        <v>1808.8924345719411</v>
      </c>
      <c r="AM198" s="16">
        <f t="shared" si="35"/>
        <v>2.6861599296631677E-2</v>
      </c>
      <c r="AN198" s="58">
        <f t="shared" si="35"/>
        <v>2.6861599296631677E-2</v>
      </c>
      <c r="AP198" s="56">
        <f t="shared" si="28"/>
        <v>1</v>
      </c>
      <c r="AQ198" s="56">
        <f t="shared" si="29"/>
        <v>0</v>
      </c>
    </row>
    <row r="199" spans="1:43" x14ac:dyDescent="0.2">
      <c r="A199" s="156" t="s">
        <v>443</v>
      </c>
      <c r="B199" s="156" t="s">
        <v>444</v>
      </c>
      <c r="D199" s="68">
        <f>VLOOKUP(A199,'2018-19 disagg'!A199:AZ407,43,FALSE)</f>
        <v>184687</v>
      </c>
      <c r="E199" s="73">
        <v>1321.7296802046828</v>
      </c>
      <c r="F199" s="55"/>
      <c r="G199" s="88">
        <v>188993.33414564576</v>
      </c>
      <c r="H199" s="81">
        <v>1347.920258181796</v>
      </c>
      <c r="I199" s="90"/>
      <c r="J199" s="103">
        <f t="shared" si="30"/>
        <v>-2.2785640377808947E-2</v>
      </c>
      <c r="K199" s="126">
        <f t="shared" si="30"/>
        <v>-1.9430361564890752E-2</v>
      </c>
      <c r="L199" s="56">
        <v>189146</v>
      </c>
      <c r="M199" s="103">
        <v>1.7046143283887316E-2</v>
      </c>
      <c r="N199" s="97">
        <f>INDEX('Pace of change parameters'!$E$22:$I$22,1,$B$5)</f>
        <v>1.356605044543624E-2</v>
      </c>
      <c r="O199" s="108">
        <f>MAX(IF(INDEX('Pace of change parameters'!$E$30:$I$30,1,$B$5)=1,(1+M199)*D199,D199),L199)</f>
        <v>189146</v>
      </c>
      <c r="P199" s="94">
        <f>IF(K199&lt;INDEX('Pace of change parameters'!$E$18:$I$18,1,$B$5),1,IF(K199&gt;INDEX('Pace of change parameters'!$E$19:$I$19,1,$B$5),0,(K199-INDEX('Pace of change parameters'!$E$19:$I$19,1,$B$5))/(INDEX('Pace of change parameters'!$E$18:$I$18,1,$B$5)-INDEX('Pace of change parameters'!$E$19:$I$19,1,$B$5))))</f>
        <v>0.66727375629521346</v>
      </c>
      <c r="Q199" s="57">
        <v>2.5540575674426247E-2</v>
      </c>
      <c r="R199" s="57">
        <v>2.2031416885010868E-2</v>
      </c>
      <c r="S199" s="9">
        <f>MAX(IF(INDEX('Pace of change parameters'!$E$31:$I$31,1,$B$5)=1,D199*(1+Q199),D199),L199)</f>
        <v>189404.01229958277</v>
      </c>
      <c r="T199" s="103">
        <f>IF(Q199&lt;INDEX('Pace of change parameters'!$E$24:$I$24,1,$B$5),INDEX('Pace of change parameters'!$E$24:$I$24,1,$B$5),Q199)</f>
        <v>2.5540575674426247E-2</v>
      </c>
      <c r="U199" s="132">
        <v>2.2031416885010868E-2</v>
      </c>
      <c r="V199" s="117">
        <f t="shared" si="31"/>
        <v>189404.01229958277</v>
      </c>
      <c r="W199" s="131">
        <f>IF(J199&gt;INDEX('Pace of change parameters'!$E$26:$I$26,1,$B$5),0,IF(J199&lt;INDEX('Pace of change parameters'!$E$25:$I$25,1,$B$5),1,(J199-INDEX('Pace of change parameters'!$E$26:$I$26,1,$B$5))/(INDEX('Pace of change parameters'!$E$25:$I$25,1,$B$5)-INDEX('Pace of change parameters'!$E$26:$I$26,1,$B$5))))</f>
        <v>1</v>
      </c>
      <c r="X199" s="132">
        <f>MIN(T199, T199+(INDEX('Pace of change parameters'!$E$27:$I$27,1,$B$5)-T199)*(1-W199))</f>
        <v>2.5540575674426247E-2</v>
      </c>
      <c r="Y199" s="132">
        <v>2.2031416885010868E-2</v>
      </c>
      <c r="Z199" s="108">
        <f t="shared" si="32"/>
        <v>189404.01229958277</v>
      </c>
      <c r="AA199" s="97">
        <f>MIN(VLOOKUP(A199,'2018-19 disagg'!$A$12:$BB$220,54,FALSE),-2.5%)</f>
        <v>-2.6103442389561526E-2</v>
      </c>
      <c r="AB199" s="99">
        <f t="shared" si="24"/>
        <v>188923.51068233926</v>
      </c>
      <c r="AC199" s="99">
        <f>MAX(IF(INDEX('Pace of change parameters'!$E$29:$I$29,1,$B$5)=1,MAX(AB199,Z199),Z199),L199)</f>
        <v>189404.01229958277</v>
      </c>
      <c r="AD199" s="97">
        <f t="shared" si="25"/>
        <v>2.5540575674426247E-2</v>
      </c>
      <c r="AE199" s="146">
        <v>2.2031416885010868E-2</v>
      </c>
      <c r="AF199" s="56">
        <f t="shared" si="33"/>
        <v>189404.01229958277</v>
      </c>
      <c r="AG199" s="56">
        <v>1350.8492577985644</v>
      </c>
      <c r="AH199" s="16">
        <f t="shared" si="26"/>
        <v>2.5540575674426247E-2</v>
      </c>
      <c r="AI199" s="16">
        <f t="shared" si="27"/>
        <v>2.2031416885010868E-2</v>
      </c>
      <c r="AJ199" s="56"/>
      <c r="AK199" s="56">
        <v>193987.24557142262</v>
      </c>
      <c r="AL199" s="56">
        <v>1383.537357635593</v>
      </c>
      <c r="AM199" s="16">
        <f t="shared" si="35"/>
        <v>-2.3626467082096814E-2</v>
      </c>
      <c r="AN199" s="58">
        <f t="shared" si="35"/>
        <v>-2.3626467082096925E-2</v>
      </c>
      <c r="AP199" s="56">
        <f t="shared" si="28"/>
        <v>0</v>
      </c>
      <c r="AQ199" s="56">
        <f t="shared" si="29"/>
        <v>0</v>
      </c>
    </row>
    <row r="200" spans="1:43" x14ac:dyDescent="0.2">
      <c r="A200" s="156" t="s">
        <v>445</v>
      </c>
      <c r="B200" s="156" t="s">
        <v>446</v>
      </c>
      <c r="D200" s="68">
        <f>VLOOKUP(A200,'2018-19 disagg'!A200:AZ408,43,FALSE)</f>
        <v>446487</v>
      </c>
      <c r="E200" s="73">
        <v>1595.6664212512178</v>
      </c>
      <c r="F200" s="55"/>
      <c r="G200" s="88">
        <v>451547.0213703778</v>
      </c>
      <c r="H200" s="81">
        <v>1605.6949481306287</v>
      </c>
      <c r="I200" s="90"/>
      <c r="J200" s="103">
        <f t="shared" si="30"/>
        <v>-1.1205967775009151E-2</v>
      </c>
      <c r="K200" s="126">
        <f t="shared" si="30"/>
        <v>-6.2455990729037847E-3</v>
      </c>
      <c r="L200" s="56">
        <v>457956</v>
      </c>
      <c r="M200" s="103">
        <v>1.8650690067332665E-2</v>
      </c>
      <c r="N200" s="97">
        <f>INDEX('Pace of change parameters'!$E$22:$I$22,1,$B$5)</f>
        <v>1.356605044543624E-2</v>
      </c>
      <c r="O200" s="108">
        <f>MAX(IF(INDEX('Pace of change parameters'!$E$30:$I$30,1,$B$5)=1,(1+M200)*D200,D200),L200)</f>
        <v>457956</v>
      </c>
      <c r="P200" s="94">
        <f>IF(K200&lt;INDEX('Pace of change parameters'!$E$18:$I$18,1,$B$5),1,IF(K200&gt;INDEX('Pace of change parameters'!$E$19:$I$19,1,$B$5),0,(K200-INDEX('Pace of change parameters'!$E$19:$I$19,1,$B$5))/(INDEX('Pace of change parameters'!$E$18:$I$18,1,$B$5)-INDEX('Pace of change parameters'!$E$19:$I$19,1,$B$5))))</f>
        <v>0.25222488541553117</v>
      </c>
      <c r="Q200" s="57">
        <v>2.1866592612518776E-2</v>
      </c>
      <c r="R200" s="57">
        <v>1.6765900671941392E-2</v>
      </c>
      <c r="S200" s="9">
        <f>MAX(IF(INDEX('Pace of change parameters'!$E$31:$I$31,1,$B$5)=1,D200*(1+Q200),D200),L200)</f>
        <v>457956</v>
      </c>
      <c r="T200" s="103">
        <f>IF(Q200&lt;INDEX('Pace of change parameters'!$E$24:$I$24,1,$B$5),INDEX('Pace of change parameters'!$E$24:$I$24,1,$B$5),Q200)</f>
        <v>2.1866592612518776E-2</v>
      </c>
      <c r="U200" s="132">
        <v>1.6765900671941392E-2</v>
      </c>
      <c r="V200" s="117">
        <f t="shared" si="31"/>
        <v>457956</v>
      </c>
      <c r="W200" s="131">
        <f>IF(J200&gt;INDEX('Pace of change parameters'!$E$26:$I$26,1,$B$5),0,IF(J200&lt;INDEX('Pace of change parameters'!$E$25:$I$25,1,$B$5),1,(J200-INDEX('Pace of change parameters'!$E$26:$I$26,1,$B$5))/(INDEX('Pace of change parameters'!$E$25:$I$25,1,$B$5)-INDEX('Pace of change parameters'!$E$26:$I$26,1,$B$5))))</f>
        <v>1</v>
      </c>
      <c r="X200" s="132">
        <f>MIN(T200, T200+(INDEX('Pace of change parameters'!$E$27:$I$27,1,$B$5)-T200)*(1-W200))</f>
        <v>2.1866592612518776E-2</v>
      </c>
      <c r="Y200" s="132">
        <v>1.6765900671941392E-2</v>
      </c>
      <c r="Z200" s="108">
        <f t="shared" si="32"/>
        <v>457956</v>
      </c>
      <c r="AA200" s="97">
        <f>MIN(VLOOKUP(A200,'2018-19 disagg'!$A$12:$BB$220,54,FALSE),-2.5%)</f>
        <v>-2.5000000000000001E-2</v>
      </c>
      <c r="AB200" s="99">
        <f t="shared" si="24"/>
        <v>451933.81235732604</v>
      </c>
      <c r="AC200" s="99">
        <f>MAX(IF(INDEX('Pace of change parameters'!$E$29:$I$29,1,$B$5)=1,MAX(AB200,Z200),Z200),L200)</f>
        <v>457956</v>
      </c>
      <c r="AD200" s="97">
        <f t="shared" si="25"/>
        <v>2.5687198059517913E-2</v>
      </c>
      <c r="AE200" s="146">
        <v>2.0567435399188705E-2</v>
      </c>
      <c r="AF200" s="56">
        <f t="shared" si="33"/>
        <v>457956</v>
      </c>
      <c r="AG200" s="56">
        <v>1628.4851872889567</v>
      </c>
      <c r="AH200" s="16">
        <f t="shared" si="26"/>
        <v>2.5687198059517913E-2</v>
      </c>
      <c r="AI200" s="16">
        <f t="shared" si="27"/>
        <v>2.0567435399188705E-2</v>
      </c>
      <c r="AJ200" s="56"/>
      <c r="AK200" s="56">
        <v>463521.85882802674</v>
      </c>
      <c r="AL200" s="56">
        <v>1648.2773041211044</v>
      </c>
      <c r="AM200" s="16">
        <f t="shared" si="35"/>
        <v>-1.2007759120787775E-2</v>
      </c>
      <c r="AN200" s="58">
        <f t="shared" si="35"/>
        <v>-1.2007759120787775E-2</v>
      </c>
      <c r="AP200" s="56">
        <f t="shared" si="28"/>
        <v>1</v>
      </c>
      <c r="AQ200" s="56">
        <f t="shared" si="29"/>
        <v>0</v>
      </c>
    </row>
    <row r="201" spans="1:43" x14ac:dyDescent="0.2">
      <c r="A201" s="156" t="s">
        <v>447</v>
      </c>
      <c r="B201" s="156" t="s">
        <v>448</v>
      </c>
      <c r="D201" s="68">
        <f>VLOOKUP(A201,'2018-19 disagg'!A201:AZ409,43,FALSE)</f>
        <v>487921</v>
      </c>
      <c r="E201" s="73">
        <v>1569.1045973931843</v>
      </c>
      <c r="F201" s="55"/>
      <c r="G201" s="88">
        <v>500847.91827196366</v>
      </c>
      <c r="H201" s="81">
        <v>1596.5703075683259</v>
      </c>
      <c r="I201" s="90"/>
      <c r="J201" s="103">
        <f t="shared" si="30"/>
        <v>-2.5810066889295213E-2</v>
      </c>
      <c r="K201" s="126">
        <f t="shared" si="30"/>
        <v>-1.7202944364519412E-2</v>
      </c>
      <c r="L201" s="56">
        <v>501475</v>
      </c>
      <c r="M201" s="103">
        <v>2.2521067210268475E-2</v>
      </c>
      <c r="N201" s="97">
        <f>INDEX('Pace of change parameters'!$E$22:$I$22,1,$B$5)</f>
        <v>1.356605044543624E-2</v>
      </c>
      <c r="O201" s="108">
        <f>MAX(IF(INDEX('Pace of change parameters'!$E$30:$I$30,1,$B$5)=1,(1+M201)*D201,D201),L201)</f>
        <v>501475</v>
      </c>
      <c r="P201" s="94">
        <f>IF(K201&lt;INDEX('Pace of change parameters'!$E$18:$I$18,1,$B$5),1,IF(K201&gt;INDEX('Pace of change parameters'!$E$19:$I$19,1,$B$5),0,(K201-INDEX('Pace of change parameters'!$E$19:$I$19,1,$B$5))/(INDEX('Pace of change parameters'!$E$18:$I$18,1,$B$5)-INDEX('Pace of change parameters'!$E$19:$I$19,1,$B$5))))</f>
        <v>0.59715592182121635</v>
      </c>
      <c r="Q201" s="57">
        <v>3.0163817502464996E-2</v>
      </c>
      <c r="R201" s="57">
        <v>2.114186719543909E-2</v>
      </c>
      <c r="S201" s="9">
        <f>MAX(IF(INDEX('Pace of change parameters'!$E$31:$I$31,1,$B$5)=1,D201*(1+Q201),D201),L201)</f>
        <v>502638.55999962025</v>
      </c>
      <c r="T201" s="103">
        <f>IF(Q201&lt;INDEX('Pace of change parameters'!$E$24:$I$24,1,$B$5),INDEX('Pace of change parameters'!$E$24:$I$24,1,$B$5),Q201)</f>
        <v>3.0163817502464996E-2</v>
      </c>
      <c r="U201" s="132">
        <v>2.114186719543909E-2</v>
      </c>
      <c r="V201" s="117">
        <f t="shared" si="31"/>
        <v>502638.55999962025</v>
      </c>
      <c r="W201" s="131">
        <f>IF(J201&gt;INDEX('Pace of change parameters'!$E$26:$I$26,1,$B$5),0,IF(J201&lt;INDEX('Pace of change parameters'!$E$25:$I$25,1,$B$5),1,(J201-INDEX('Pace of change parameters'!$E$26:$I$26,1,$B$5))/(INDEX('Pace of change parameters'!$E$25:$I$25,1,$B$5)-INDEX('Pace of change parameters'!$E$26:$I$26,1,$B$5))))</f>
        <v>1</v>
      </c>
      <c r="X201" s="132">
        <f>MIN(T201, T201+(INDEX('Pace of change parameters'!$E$27:$I$27,1,$B$5)-T201)*(1-W201))</f>
        <v>3.0163817502464996E-2</v>
      </c>
      <c r="Y201" s="132">
        <v>2.114186719543909E-2</v>
      </c>
      <c r="Z201" s="108">
        <f t="shared" si="32"/>
        <v>502638.55999962025</v>
      </c>
      <c r="AA201" s="97">
        <f>MIN(VLOOKUP(A201,'2018-19 disagg'!$A$12:$BB$220,54,FALSE),-2.5%)</f>
        <v>-2.5000000000000001E-2</v>
      </c>
      <c r="AB201" s="99">
        <f t="shared" si="24"/>
        <v>501471.26166141429</v>
      </c>
      <c r="AC201" s="99">
        <f>MAX(IF(INDEX('Pace of change parameters'!$E$29:$I$29,1,$B$5)=1,MAX(AB201,Z201),Z201),L201)</f>
        <v>502638.55999962025</v>
      </c>
      <c r="AD201" s="97">
        <f t="shared" si="25"/>
        <v>3.0163817502464996E-2</v>
      </c>
      <c r="AE201" s="146">
        <v>2.114186719543909E-2</v>
      </c>
      <c r="AF201" s="56">
        <f t="shared" si="33"/>
        <v>502638.55999962025</v>
      </c>
      <c r="AG201" s="56">
        <v>1602.2783984070243</v>
      </c>
      <c r="AH201" s="16">
        <f t="shared" si="26"/>
        <v>3.0163817502464996E-2</v>
      </c>
      <c r="AI201" s="16">
        <f t="shared" si="27"/>
        <v>2.1141867195439312E-2</v>
      </c>
      <c r="AJ201" s="56"/>
      <c r="AK201" s="56">
        <v>514329.49913991208</v>
      </c>
      <c r="AL201" s="56">
        <v>1639.5460112252588</v>
      </c>
      <c r="AM201" s="16">
        <f t="shared" si="35"/>
        <v>-2.2730446454737652E-2</v>
      </c>
      <c r="AN201" s="58">
        <f t="shared" si="35"/>
        <v>-2.2730446454737652E-2</v>
      </c>
      <c r="AP201" s="56">
        <f t="shared" si="28"/>
        <v>0</v>
      </c>
      <c r="AQ201" s="56">
        <f t="shared" si="29"/>
        <v>0</v>
      </c>
    </row>
    <row r="202" spans="1:43" x14ac:dyDescent="0.2">
      <c r="A202" s="156" t="s">
        <v>449</v>
      </c>
      <c r="B202" s="156" t="s">
        <v>450</v>
      </c>
      <c r="D202" s="68">
        <f>VLOOKUP(A202,'2018-19 disagg'!A202:AZ410,43,FALSE)</f>
        <v>154846</v>
      </c>
      <c r="E202" s="73">
        <v>1609.2911846944032</v>
      </c>
      <c r="F202" s="55"/>
      <c r="G202" s="88">
        <v>156308.78701154227</v>
      </c>
      <c r="H202" s="81">
        <v>1616.1617975389108</v>
      </c>
      <c r="I202" s="90"/>
      <c r="J202" s="103">
        <f t="shared" si="30"/>
        <v>-9.3583159303401997E-3</v>
      </c>
      <c r="K202" s="126">
        <f t="shared" si="30"/>
        <v>-4.2511912204398206E-3</v>
      </c>
      <c r="L202" s="56">
        <v>158754</v>
      </c>
      <c r="M202" s="103">
        <v>1.8791358752755505E-2</v>
      </c>
      <c r="N202" s="97">
        <f>INDEX('Pace of change parameters'!$E$22:$I$22,1,$B$5)</f>
        <v>1.356605044543624E-2</v>
      </c>
      <c r="O202" s="108">
        <f>MAX(IF(INDEX('Pace of change parameters'!$E$30:$I$30,1,$B$5)=1,(1+M202)*D202,D202),L202)</f>
        <v>158754</v>
      </c>
      <c r="P202" s="94">
        <f>IF(K202&lt;INDEX('Pace of change parameters'!$E$18:$I$18,1,$B$5),1,IF(K202&gt;INDEX('Pace of change parameters'!$E$19:$I$19,1,$B$5),0,(K202-INDEX('Pace of change parameters'!$E$19:$I$19,1,$B$5))/(INDEX('Pace of change parameters'!$E$18:$I$18,1,$B$5)-INDEX('Pace of change parameters'!$E$19:$I$19,1,$B$5))))</f>
        <v>0.18944205351076071</v>
      </c>
      <c r="Q202" s="57">
        <v>2.1207104967285728E-2</v>
      </c>
      <c r="R202" s="57">
        <v>1.5969406469713343E-2</v>
      </c>
      <c r="S202" s="9">
        <f>MAX(IF(INDEX('Pace of change parameters'!$E$31:$I$31,1,$B$5)=1,D202*(1+Q202),D202),L202)</f>
        <v>158754</v>
      </c>
      <c r="T202" s="103">
        <f>IF(Q202&lt;INDEX('Pace of change parameters'!$E$24:$I$24,1,$B$5),INDEX('Pace of change parameters'!$E$24:$I$24,1,$B$5),Q202)</f>
        <v>2.1207104967285728E-2</v>
      </c>
      <c r="U202" s="132">
        <v>1.5969406469713343E-2</v>
      </c>
      <c r="V202" s="117">
        <f t="shared" si="31"/>
        <v>158754</v>
      </c>
      <c r="W202" s="131">
        <f>IF(J202&gt;INDEX('Pace of change parameters'!$E$26:$I$26,1,$B$5),0,IF(J202&lt;INDEX('Pace of change parameters'!$E$25:$I$25,1,$B$5),1,(J202-INDEX('Pace of change parameters'!$E$26:$I$26,1,$B$5))/(INDEX('Pace of change parameters'!$E$25:$I$25,1,$B$5)-INDEX('Pace of change parameters'!$E$26:$I$26,1,$B$5))))</f>
        <v>1</v>
      </c>
      <c r="X202" s="132">
        <f>MIN(T202, T202+(INDEX('Pace of change parameters'!$E$27:$I$27,1,$B$5)-T202)*(1-W202))</f>
        <v>2.1207104967285728E-2</v>
      </c>
      <c r="Y202" s="132">
        <v>1.5969406469713343E-2</v>
      </c>
      <c r="Z202" s="108">
        <f t="shared" si="32"/>
        <v>158754</v>
      </c>
      <c r="AA202" s="97">
        <f>MIN(VLOOKUP(A202,'2018-19 disagg'!$A$12:$BB$220,54,FALSE),-2.5%)</f>
        <v>-2.5000000000000001E-2</v>
      </c>
      <c r="AB202" s="99">
        <f t="shared" si="24"/>
        <v>156473.81570256699</v>
      </c>
      <c r="AC202" s="99">
        <f>MAX(IF(INDEX('Pace of change parameters'!$E$29:$I$29,1,$B$5)=1,MAX(AB202,Z202),Z202),L202)</f>
        <v>158754</v>
      </c>
      <c r="AD202" s="97">
        <f t="shared" si="25"/>
        <v>2.5237978378517933E-2</v>
      </c>
      <c r="AE202" s="146">
        <v>1.9979605818351232E-2</v>
      </c>
      <c r="AF202" s="56">
        <f t="shared" si="33"/>
        <v>158754</v>
      </c>
      <c r="AG202" s="56">
        <v>1641.4441882115448</v>
      </c>
      <c r="AH202" s="16">
        <f t="shared" si="26"/>
        <v>2.5237978378517933E-2</v>
      </c>
      <c r="AI202" s="16">
        <f t="shared" si="27"/>
        <v>1.9979605818351232E-2</v>
      </c>
      <c r="AJ202" s="56"/>
      <c r="AK202" s="56">
        <v>160485.96482314565</v>
      </c>
      <c r="AL202" s="56">
        <v>1659.351917107442</v>
      </c>
      <c r="AM202" s="16">
        <f t="shared" si="35"/>
        <v>-1.0792001811836149E-2</v>
      </c>
      <c r="AN202" s="58">
        <f t="shared" si="35"/>
        <v>-1.0792001811836038E-2</v>
      </c>
      <c r="AP202" s="56">
        <f t="shared" si="28"/>
        <v>1</v>
      </c>
      <c r="AQ202" s="56">
        <f t="shared" si="29"/>
        <v>0</v>
      </c>
    </row>
    <row r="203" spans="1:43" x14ac:dyDescent="0.2">
      <c r="A203" s="156" t="s">
        <v>451</v>
      </c>
      <c r="B203" s="156" t="s">
        <v>452</v>
      </c>
      <c r="D203" s="68">
        <f>VLOOKUP(A203,'2018-19 disagg'!A203:AZ411,43,FALSE)</f>
        <v>188719</v>
      </c>
      <c r="E203" s="73">
        <v>1669.7896685113171</v>
      </c>
      <c r="F203" s="55"/>
      <c r="G203" s="88">
        <v>193812.55877098697</v>
      </c>
      <c r="H203" s="81">
        <v>1695.7676023465604</v>
      </c>
      <c r="I203" s="90"/>
      <c r="J203" s="103">
        <f t="shared" si="30"/>
        <v>-2.6280849926787364E-2</v>
      </c>
      <c r="K203" s="126">
        <f t="shared" si="30"/>
        <v>-1.5319277122228026E-2</v>
      </c>
      <c r="L203" s="56">
        <v>194254</v>
      </c>
      <c r="M203" s="103">
        <v>2.4976196844787246E-2</v>
      </c>
      <c r="N203" s="97">
        <f>INDEX('Pace of change parameters'!$E$22:$I$22,1,$B$5)</f>
        <v>1.356605044543624E-2</v>
      </c>
      <c r="O203" s="108">
        <f>MAX(IF(INDEX('Pace of change parameters'!$E$30:$I$30,1,$B$5)=1,(1+M203)*D203,D203),L203)</f>
        <v>194254</v>
      </c>
      <c r="P203" s="94">
        <f>IF(K203&lt;INDEX('Pace of change parameters'!$E$18:$I$18,1,$B$5),1,IF(K203&gt;INDEX('Pace of change parameters'!$E$19:$I$19,1,$B$5),0,(K203-INDEX('Pace of change parameters'!$E$19:$I$19,1,$B$5))/(INDEX('Pace of change parameters'!$E$18:$I$18,1,$B$5)-INDEX('Pace of change parameters'!$E$19:$I$19,1,$B$5))))</f>
        <v>0.53785914173122751</v>
      </c>
      <c r="Q203" s="57">
        <v>3.1876560779223961E-2</v>
      </c>
      <c r="R203" s="57">
        <v>2.0389598778746576E-2</v>
      </c>
      <c r="S203" s="9">
        <f>MAX(IF(INDEX('Pace of change parameters'!$E$31:$I$31,1,$B$5)=1,D203*(1+Q203),D203),L203)</f>
        <v>194734.71267369436</v>
      </c>
      <c r="T203" s="103">
        <f>IF(Q203&lt;INDEX('Pace of change parameters'!$E$24:$I$24,1,$B$5),INDEX('Pace of change parameters'!$E$24:$I$24,1,$B$5),Q203)</f>
        <v>3.1876560779223961E-2</v>
      </c>
      <c r="U203" s="132">
        <v>2.0389598778746576E-2</v>
      </c>
      <c r="V203" s="117">
        <f t="shared" si="31"/>
        <v>194734.71267369436</v>
      </c>
      <c r="W203" s="131">
        <f>IF(J203&gt;INDEX('Pace of change parameters'!$E$26:$I$26,1,$B$5),0,IF(J203&lt;INDEX('Pace of change parameters'!$E$25:$I$25,1,$B$5),1,(J203-INDEX('Pace of change parameters'!$E$26:$I$26,1,$B$5))/(INDEX('Pace of change parameters'!$E$25:$I$25,1,$B$5)-INDEX('Pace of change parameters'!$E$26:$I$26,1,$B$5))))</f>
        <v>1</v>
      </c>
      <c r="X203" s="132">
        <f>MIN(T203, T203+(INDEX('Pace of change parameters'!$E$27:$I$27,1,$B$5)-T203)*(1-W203))</f>
        <v>3.1876560779223961E-2</v>
      </c>
      <c r="Y203" s="132">
        <v>2.0389598778746576E-2</v>
      </c>
      <c r="Z203" s="108">
        <f t="shared" si="32"/>
        <v>194734.71267369436</v>
      </c>
      <c r="AA203" s="97">
        <f>MIN(VLOOKUP(A203,'2018-19 disagg'!$A$12:$BB$220,54,FALSE),-2.5%)</f>
        <v>-2.5000000000000001E-2</v>
      </c>
      <c r="AB203" s="99">
        <f t="shared" si="24"/>
        <v>193980.83443418553</v>
      </c>
      <c r="AC203" s="99">
        <f>MAX(IF(INDEX('Pace of change parameters'!$E$29:$I$29,1,$B$5)=1,MAX(AB203,Z203),Z203),L203)</f>
        <v>194734.71267369436</v>
      </c>
      <c r="AD203" s="97">
        <f t="shared" si="25"/>
        <v>3.1876560779223961E-2</v>
      </c>
      <c r="AE203" s="146">
        <v>2.0389598778746576E-2</v>
      </c>
      <c r="AF203" s="56">
        <f t="shared" si="33"/>
        <v>194734.71267369436</v>
      </c>
      <c r="AG203" s="56">
        <v>1703.8360098971589</v>
      </c>
      <c r="AH203" s="16">
        <f t="shared" si="26"/>
        <v>3.1876560779223961E-2</v>
      </c>
      <c r="AI203" s="16">
        <f t="shared" si="27"/>
        <v>2.0389598778746354E-2</v>
      </c>
      <c r="AJ203" s="56"/>
      <c r="AK203" s="56">
        <v>198954.70198378002</v>
      </c>
      <c r="AL203" s="56">
        <v>1740.7589069460953</v>
      </c>
      <c r="AM203" s="16">
        <f t="shared" si="35"/>
        <v>-2.1210804610336309E-2</v>
      </c>
      <c r="AN203" s="58">
        <f t="shared" si="35"/>
        <v>-2.121080461033642E-2</v>
      </c>
      <c r="AP203" s="56">
        <f t="shared" si="28"/>
        <v>0</v>
      </c>
      <c r="AQ203" s="56">
        <f t="shared" si="29"/>
        <v>0</v>
      </c>
    </row>
    <row r="204" spans="1:43" x14ac:dyDescent="0.2">
      <c r="A204" s="156" t="s">
        <v>453</v>
      </c>
      <c r="B204" s="156" t="s">
        <v>454</v>
      </c>
      <c r="D204" s="68">
        <f>VLOOKUP(A204,'2018-19 disagg'!A204:AZ412,43,FALSE)</f>
        <v>280702</v>
      </c>
      <c r="E204" s="73">
        <v>1904.0884644029697</v>
      </c>
      <c r="F204" s="55"/>
      <c r="G204" s="88">
        <v>281564.4193002088</v>
      </c>
      <c r="H204" s="81">
        <v>1893.3863973219443</v>
      </c>
      <c r="I204" s="90"/>
      <c r="J204" s="103">
        <f t="shared" si="30"/>
        <v>-3.0629555479780857E-3</v>
      </c>
      <c r="K204" s="126">
        <f t="shared" si="30"/>
        <v>5.6523418020550942E-3</v>
      </c>
      <c r="L204" s="56">
        <v>288363</v>
      </c>
      <c r="M204" s="103">
        <v>2.2426719795310968E-2</v>
      </c>
      <c r="N204" s="97">
        <f>INDEX('Pace of change parameters'!$E$22:$I$22,1,$B$5)</f>
        <v>1.356605044543624E-2</v>
      </c>
      <c r="O204" s="108">
        <f>MAX(IF(INDEX('Pace of change parameters'!$E$30:$I$30,1,$B$5)=1,(1+M204)*D204,D204),L204)</f>
        <v>288363</v>
      </c>
      <c r="P204" s="94">
        <f>IF(K204&lt;INDEX('Pace of change parameters'!$E$18:$I$18,1,$B$5),1,IF(K204&gt;INDEX('Pace of change parameters'!$E$19:$I$19,1,$B$5),0,(K204-INDEX('Pace of change parameters'!$E$19:$I$19,1,$B$5))/(INDEX('Pace of change parameters'!$E$18:$I$18,1,$B$5)-INDEX('Pace of change parameters'!$E$19:$I$19,1,$B$5))))</f>
        <v>0</v>
      </c>
      <c r="Q204" s="57">
        <v>2.2426719795310968E-2</v>
      </c>
      <c r="R204" s="57">
        <v>1.356605044543624E-2</v>
      </c>
      <c r="S204" s="9">
        <f>MAX(IF(INDEX('Pace of change parameters'!$E$31:$I$31,1,$B$5)=1,D204*(1+Q204),D204),L204)</f>
        <v>288363</v>
      </c>
      <c r="T204" s="103">
        <f>IF(Q204&lt;INDEX('Pace of change parameters'!$E$24:$I$24,1,$B$5),INDEX('Pace of change parameters'!$E$24:$I$24,1,$B$5),Q204)</f>
        <v>2.2426719795310968E-2</v>
      </c>
      <c r="U204" s="132">
        <v>1.356605044543624E-2</v>
      </c>
      <c r="V204" s="117">
        <f t="shared" si="31"/>
        <v>288363</v>
      </c>
      <c r="W204" s="131">
        <f>IF(J204&gt;INDEX('Pace of change parameters'!$E$26:$I$26,1,$B$5),0,IF(J204&lt;INDEX('Pace of change parameters'!$E$25:$I$25,1,$B$5),1,(J204-INDEX('Pace of change parameters'!$E$26:$I$26,1,$B$5))/(INDEX('Pace of change parameters'!$E$25:$I$25,1,$B$5)-INDEX('Pace of change parameters'!$E$26:$I$26,1,$B$5))))</f>
        <v>1</v>
      </c>
      <c r="X204" s="132">
        <f>MIN(T204, T204+(INDEX('Pace of change parameters'!$E$27:$I$27,1,$B$5)-T204)*(1-W204))</f>
        <v>2.2426719795310968E-2</v>
      </c>
      <c r="Y204" s="132">
        <v>1.356605044543624E-2</v>
      </c>
      <c r="Z204" s="108">
        <f t="shared" si="32"/>
        <v>288363</v>
      </c>
      <c r="AA204" s="97">
        <f>MIN(VLOOKUP(A204,'2018-19 disagg'!$A$12:$BB$220,54,FALSE),-2.5%)</f>
        <v>-2.5000000000000001E-2</v>
      </c>
      <c r="AB204" s="99">
        <f t="shared" ref="AB204:AB220" si="36">(1+AA204)*AK204</f>
        <v>281840.25709456683</v>
      </c>
      <c r="AC204" s="99">
        <f>MAX(IF(INDEX('Pace of change parameters'!$E$29:$I$29,1,$B$5)=1,MAX(AB204,Z204),Z204),L204)</f>
        <v>288363</v>
      </c>
      <c r="AD204" s="97">
        <f t="shared" ref="AD204:AD220" si="37">AC204/D204-1</f>
        <v>2.7292288619247485E-2</v>
      </c>
      <c r="AE204" s="146">
        <v>1.8389452729988154E-2</v>
      </c>
      <c r="AF204" s="56">
        <f t="shared" si="33"/>
        <v>288363</v>
      </c>
      <c r="AG204" s="56">
        <v>1939.1036092128238</v>
      </c>
      <c r="AH204" s="16">
        <f t="shared" ref="AH204:AH220" si="38">AF204/D204 - 1</f>
        <v>2.7292288619247485E-2</v>
      </c>
      <c r="AI204" s="16">
        <f t="shared" ref="AI204:AI220" si="39">AG204/E204 - 1</f>
        <v>1.8389452729988154E-2</v>
      </c>
      <c r="AJ204" s="56"/>
      <c r="AK204" s="56">
        <v>289066.93035340187</v>
      </c>
      <c r="AL204" s="56">
        <v>1943.8372050240616</v>
      </c>
      <c r="AM204" s="16">
        <f t="shared" si="35"/>
        <v>-2.4351811967604498E-3</v>
      </c>
      <c r="AN204" s="58">
        <f t="shared" si="35"/>
        <v>-2.4351811967603387E-3</v>
      </c>
      <c r="AP204" s="56">
        <f t="shared" ref="AP204:AP220" si="40">IF(AF204=L204,1,0)</f>
        <v>1</v>
      </c>
      <c r="AQ204" s="56">
        <f t="shared" ref="AQ204:AQ220" si="41">IF(AB204=AF204,1,0)</f>
        <v>0</v>
      </c>
    </row>
    <row r="205" spans="1:43" x14ac:dyDescent="0.2">
      <c r="A205" s="156" t="s">
        <v>455</v>
      </c>
      <c r="B205" s="156" t="s">
        <v>456</v>
      </c>
      <c r="D205" s="68">
        <f>VLOOKUP(A205,'2018-19 disagg'!A205:AZ413,43,FALSE)</f>
        <v>895189</v>
      </c>
      <c r="E205" s="73">
        <v>1589.446090029754</v>
      </c>
      <c r="F205" s="55"/>
      <c r="G205" s="88">
        <v>905763.5429226486</v>
      </c>
      <c r="H205" s="81">
        <v>1597.461090678896</v>
      </c>
      <c r="I205" s="90"/>
      <c r="J205" s="103">
        <f t="shared" ref="J205:K220" si="42">D205/G205-1</f>
        <v>-1.1674727919085193E-2</v>
      </c>
      <c r="K205" s="126">
        <f t="shared" si="42"/>
        <v>-5.017337008024203E-3</v>
      </c>
      <c r="L205" s="56">
        <v>918031</v>
      </c>
      <c r="M205" s="103">
        <v>2.0393464053699129E-2</v>
      </c>
      <c r="N205" s="97">
        <f>INDEX('Pace of change parameters'!$E$22:$I$22,1,$B$5)</f>
        <v>1.356605044543624E-2</v>
      </c>
      <c r="O205" s="108">
        <f>MAX(IF(INDEX('Pace of change parameters'!$E$30:$I$30,1,$B$5)=1,(1+M205)*D205,D205),L205)</f>
        <v>918031</v>
      </c>
      <c r="P205" s="94">
        <f>IF(K205&lt;INDEX('Pace of change parameters'!$E$18:$I$18,1,$B$5),1,IF(K205&gt;INDEX('Pace of change parameters'!$E$19:$I$19,1,$B$5),0,(K205-INDEX('Pace of change parameters'!$E$19:$I$19,1,$B$5))/(INDEX('Pace of change parameters'!$E$18:$I$18,1,$B$5)-INDEX('Pace of change parameters'!$E$19:$I$19,1,$B$5))))</f>
        <v>0.21355988985854321</v>
      </c>
      <c r="Q205" s="57">
        <v>2.3121041047251545E-2</v>
      </c>
      <c r="R205" s="57">
        <v>1.6275377325733809E-2</v>
      </c>
      <c r="S205" s="9">
        <f>MAX(IF(INDEX('Pace of change parameters'!$E$31:$I$31,1,$B$5)=1,D205*(1+Q205),D205),L205)</f>
        <v>918031</v>
      </c>
      <c r="T205" s="103">
        <f>IF(Q205&lt;INDEX('Pace of change parameters'!$E$24:$I$24,1,$B$5),INDEX('Pace of change parameters'!$E$24:$I$24,1,$B$5),Q205)</f>
        <v>2.3121041047251545E-2</v>
      </c>
      <c r="U205" s="132">
        <v>1.6275377325733809E-2</v>
      </c>
      <c r="V205" s="117">
        <f t="shared" ref="V205:V220" si="43">MAX(D205*(1+T205),L205)</f>
        <v>918031</v>
      </c>
      <c r="W205" s="131">
        <f>IF(J205&gt;INDEX('Pace of change parameters'!$E$26:$I$26,1,$B$5),0,IF(J205&lt;INDEX('Pace of change parameters'!$E$25:$I$25,1,$B$5),1,(J205-INDEX('Pace of change parameters'!$E$26:$I$26,1,$B$5))/(INDEX('Pace of change parameters'!$E$25:$I$25,1,$B$5)-INDEX('Pace of change parameters'!$E$26:$I$26,1,$B$5))))</f>
        <v>1</v>
      </c>
      <c r="X205" s="132">
        <f>MIN(T205, T205+(INDEX('Pace of change parameters'!$E$27:$I$27,1,$B$5)-T205)*(1-W205))</f>
        <v>2.3121041047251545E-2</v>
      </c>
      <c r="Y205" s="132">
        <v>1.6275377325733809E-2</v>
      </c>
      <c r="Z205" s="108">
        <f t="shared" ref="Z205:Z220" si="44">MAX(D205*(1+X205),L205)</f>
        <v>918031</v>
      </c>
      <c r="AA205" s="97">
        <f>MIN(VLOOKUP(A205,'2018-19 disagg'!$A$12:$BB$220,54,FALSE),-2.5%)</f>
        <v>-2.5000000000000001E-2</v>
      </c>
      <c r="AB205" s="99">
        <f t="shared" si="36"/>
        <v>906290.68258999148</v>
      </c>
      <c r="AC205" s="99">
        <f>MAX(IF(INDEX('Pace of change parameters'!$E$29:$I$29,1,$B$5)=1,MAX(AB205,Z205),Z205),L205)</f>
        <v>918031</v>
      </c>
      <c r="AD205" s="97">
        <f t="shared" si="37"/>
        <v>2.5516399330197226E-2</v>
      </c>
      <c r="AE205" s="146">
        <v>1.8654708358100347E-2</v>
      </c>
      <c r="AF205" s="56">
        <f t="shared" ref="AF205:AF220" si="45">AC205</f>
        <v>918031</v>
      </c>
      <c r="AG205" s="56">
        <v>1619.0967432901825</v>
      </c>
      <c r="AH205" s="16">
        <f t="shared" si="38"/>
        <v>2.5516399330197226E-2</v>
      </c>
      <c r="AI205" s="16">
        <f t="shared" si="39"/>
        <v>1.8654708358100791E-2</v>
      </c>
      <c r="AJ205" s="56"/>
      <c r="AK205" s="56">
        <v>929528.90522050415</v>
      </c>
      <c r="AL205" s="56">
        <v>1639.3751662379668</v>
      </c>
      <c r="AM205" s="16">
        <f t="shared" si="35"/>
        <v>-1.2369604813716517E-2</v>
      </c>
      <c r="AN205" s="58">
        <f t="shared" si="35"/>
        <v>-1.2369604813716406E-2</v>
      </c>
      <c r="AP205" s="56">
        <f t="shared" si="40"/>
        <v>1</v>
      </c>
      <c r="AQ205" s="56">
        <f t="shared" si="41"/>
        <v>0</v>
      </c>
    </row>
    <row r="206" spans="1:43" x14ac:dyDescent="0.2">
      <c r="A206" s="156" t="s">
        <v>457</v>
      </c>
      <c r="B206" s="156" t="s">
        <v>458</v>
      </c>
      <c r="D206" s="68">
        <f>VLOOKUP(A206,'2018-19 disagg'!A206:AZ414,43,FALSE)</f>
        <v>760509</v>
      </c>
      <c r="E206" s="73">
        <v>1550.4219034841803</v>
      </c>
      <c r="F206" s="55"/>
      <c r="G206" s="88">
        <v>781287.79147840827</v>
      </c>
      <c r="H206" s="81">
        <v>1577.5652365976443</v>
      </c>
      <c r="I206" s="90"/>
      <c r="J206" s="103">
        <f t="shared" si="42"/>
        <v>-2.6595566582563901E-2</v>
      </c>
      <c r="K206" s="126">
        <f t="shared" si="42"/>
        <v>-1.7205838772160309E-2</v>
      </c>
      <c r="L206" s="56">
        <v>781942</v>
      </c>
      <c r="M206" s="103">
        <v>2.3343188297721973E-2</v>
      </c>
      <c r="N206" s="97">
        <f>INDEX('Pace of change parameters'!$E$22:$I$22,1,$B$5)</f>
        <v>1.356605044543624E-2</v>
      </c>
      <c r="O206" s="108">
        <f>MAX(IF(INDEX('Pace of change parameters'!$E$30:$I$30,1,$B$5)=1,(1+M206)*D206,D206),L206)</f>
        <v>781942</v>
      </c>
      <c r="P206" s="94">
        <f>IF(K206&lt;INDEX('Pace of change parameters'!$E$18:$I$18,1,$B$5),1,IF(K206&gt;INDEX('Pace of change parameters'!$E$19:$I$19,1,$B$5),0,(K206-INDEX('Pace of change parameters'!$E$19:$I$19,1,$B$5))/(INDEX('Pace of change parameters'!$E$18:$I$18,1,$B$5)-INDEX('Pace of change parameters'!$E$19:$I$19,1,$B$5))))</f>
        <v>0.59724703613775787</v>
      </c>
      <c r="Q206" s="57">
        <v>3.0993250538744022E-2</v>
      </c>
      <c r="R206" s="57">
        <v>2.114302311693339E-2</v>
      </c>
      <c r="S206" s="9">
        <f>MAX(IF(INDEX('Pace of change parameters'!$E$31:$I$31,1,$B$5)=1,D206*(1+Q206),D206),L206)</f>
        <v>784079.64597396972</v>
      </c>
      <c r="T206" s="103">
        <f>IF(Q206&lt;INDEX('Pace of change parameters'!$E$24:$I$24,1,$B$5),INDEX('Pace of change parameters'!$E$24:$I$24,1,$B$5),Q206)</f>
        <v>3.0993250538744022E-2</v>
      </c>
      <c r="U206" s="132">
        <v>2.114302311693339E-2</v>
      </c>
      <c r="V206" s="117">
        <f t="shared" si="43"/>
        <v>784079.64597396972</v>
      </c>
      <c r="W206" s="131">
        <f>IF(J206&gt;INDEX('Pace of change parameters'!$E$26:$I$26,1,$B$5),0,IF(J206&lt;INDEX('Pace of change parameters'!$E$25:$I$25,1,$B$5),1,(J206-INDEX('Pace of change parameters'!$E$26:$I$26,1,$B$5))/(INDEX('Pace of change parameters'!$E$25:$I$25,1,$B$5)-INDEX('Pace of change parameters'!$E$26:$I$26,1,$B$5))))</f>
        <v>1</v>
      </c>
      <c r="X206" s="132">
        <f>MIN(T206, T206+(INDEX('Pace of change parameters'!$E$27:$I$27,1,$B$5)-T206)*(1-W206))</f>
        <v>3.0993250538744022E-2</v>
      </c>
      <c r="Y206" s="132">
        <v>2.114302311693339E-2</v>
      </c>
      <c r="Z206" s="108">
        <f t="shared" si="44"/>
        <v>784079.64597396972</v>
      </c>
      <c r="AA206" s="97">
        <f>MIN(VLOOKUP(A206,'2018-19 disagg'!$A$12:$BB$220,54,FALSE),-2.5%)</f>
        <v>-2.5000000000000001E-2</v>
      </c>
      <c r="AB206" s="99">
        <f t="shared" si="36"/>
        <v>782224.18863216613</v>
      </c>
      <c r="AC206" s="99">
        <f>MAX(IF(INDEX('Pace of change parameters'!$E$29:$I$29,1,$B$5)=1,MAX(AB206,Z206),Z206),L206)</f>
        <v>784079.64597396972</v>
      </c>
      <c r="AD206" s="97">
        <f t="shared" si="37"/>
        <v>3.0993250538744022E-2</v>
      </c>
      <c r="AE206" s="146">
        <v>2.114302311693339E-2</v>
      </c>
      <c r="AF206" s="56">
        <f t="shared" si="45"/>
        <v>784079.64597396972</v>
      </c>
      <c r="AG206" s="56">
        <v>1583.2025096305463</v>
      </c>
      <c r="AH206" s="16">
        <f t="shared" si="38"/>
        <v>3.0993250538744022E-2</v>
      </c>
      <c r="AI206" s="16">
        <f t="shared" si="39"/>
        <v>2.114302311693339E-2</v>
      </c>
      <c r="AJ206" s="56"/>
      <c r="AK206" s="56">
        <v>802281.21910991403</v>
      </c>
      <c r="AL206" s="56">
        <v>1619.9548681645513</v>
      </c>
      <c r="AM206" s="16">
        <f t="shared" si="35"/>
        <v>-2.2687273118692675E-2</v>
      </c>
      <c r="AN206" s="58">
        <f t="shared" si="35"/>
        <v>-2.2687273118692675E-2</v>
      </c>
      <c r="AP206" s="56">
        <f t="shared" si="40"/>
        <v>0</v>
      </c>
      <c r="AQ206" s="56">
        <f t="shared" si="41"/>
        <v>0</v>
      </c>
    </row>
    <row r="207" spans="1:43" x14ac:dyDescent="0.2">
      <c r="A207" s="156" t="s">
        <v>459</v>
      </c>
      <c r="B207" s="156" t="s">
        <v>460</v>
      </c>
      <c r="D207" s="68">
        <f>VLOOKUP(A207,'2018-19 disagg'!A207:AZ415,43,FALSE)</f>
        <v>227709</v>
      </c>
      <c r="E207" s="73">
        <v>1460.5601110023347</v>
      </c>
      <c r="F207" s="55"/>
      <c r="G207" s="88">
        <v>234092.04498044995</v>
      </c>
      <c r="H207" s="81">
        <v>1489.2865648257282</v>
      </c>
      <c r="I207" s="90"/>
      <c r="J207" s="103">
        <f t="shared" si="42"/>
        <v>-2.7267244305474114E-2</v>
      </c>
      <c r="K207" s="126">
        <f t="shared" si="42"/>
        <v>-1.9288734956630083E-2</v>
      </c>
      <c r="L207" s="56">
        <v>233788</v>
      </c>
      <c r="M207" s="103">
        <v>2.1879480996436662E-2</v>
      </c>
      <c r="N207" s="97">
        <f>INDEX('Pace of change parameters'!$E$22:$I$22,1,$B$5)</f>
        <v>1.356605044543624E-2</v>
      </c>
      <c r="O207" s="108">
        <f>MAX(IF(INDEX('Pace of change parameters'!$E$30:$I$30,1,$B$5)=1,(1+M207)*D207,D207),L207)</f>
        <v>233788</v>
      </c>
      <c r="P207" s="94">
        <f>IF(K207&lt;INDEX('Pace of change parameters'!$E$18:$I$18,1,$B$5),1,IF(K207&gt;INDEX('Pace of change parameters'!$E$19:$I$19,1,$B$5),0,(K207-INDEX('Pace of change parameters'!$E$19:$I$19,1,$B$5))/(INDEX('Pace of change parameters'!$E$18:$I$18,1,$B$5)-INDEX('Pace of change parameters'!$E$19:$I$19,1,$B$5))))</f>
        <v>0.66281543071818205</v>
      </c>
      <c r="Q207" s="57">
        <v>3.03572572708255E-2</v>
      </c>
      <c r="R207" s="57">
        <v>2.1974856351406169E-2</v>
      </c>
      <c r="S207" s="9">
        <f>MAX(IF(INDEX('Pace of change parameters'!$E$31:$I$31,1,$B$5)=1,D207*(1+Q207),D207),L207)</f>
        <v>234621.62069588239</v>
      </c>
      <c r="T207" s="103">
        <f>IF(Q207&lt;INDEX('Pace of change parameters'!$E$24:$I$24,1,$B$5),INDEX('Pace of change parameters'!$E$24:$I$24,1,$B$5),Q207)</f>
        <v>3.03572572708255E-2</v>
      </c>
      <c r="U207" s="132">
        <v>2.1974856351406169E-2</v>
      </c>
      <c r="V207" s="117">
        <f t="shared" si="43"/>
        <v>234621.62069588239</v>
      </c>
      <c r="W207" s="131">
        <f>IF(J207&gt;INDEX('Pace of change parameters'!$E$26:$I$26,1,$B$5),0,IF(J207&lt;INDEX('Pace of change parameters'!$E$25:$I$25,1,$B$5),1,(J207-INDEX('Pace of change parameters'!$E$26:$I$26,1,$B$5))/(INDEX('Pace of change parameters'!$E$25:$I$25,1,$B$5)-INDEX('Pace of change parameters'!$E$26:$I$26,1,$B$5))))</f>
        <v>1</v>
      </c>
      <c r="X207" s="132">
        <f>MIN(T207, T207+(INDEX('Pace of change parameters'!$E$27:$I$27,1,$B$5)-T207)*(1-W207))</f>
        <v>3.03572572708255E-2</v>
      </c>
      <c r="Y207" s="132">
        <v>2.1974856351406169E-2</v>
      </c>
      <c r="Z207" s="108">
        <f t="shared" si="44"/>
        <v>234621.62069588239</v>
      </c>
      <c r="AA207" s="97">
        <f>MIN(VLOOKUP(A207,'2018-19 disagg'!$A$12:$BB$220,54,FALSE),-2.5%)</f>
        <v>-2.5963266210404234E-2</v>
      </c>
      <c r="AB207" s="99">
        <f t="shared" si="36"/>
        <v>234041.48481907122</v>
      </c>
      <c r="AC207" s="99">
        <f>MAX(IF(INDEX('Pace of change parameters'!$E$29:$I$29,1,$B$5)=1,MAX(AB207,Z207),Z207),L207)</f>
        <v>234621.62069588239</v>
      </c>
      <c r="AD207" s="97">
        <f t="shared" si="37"/>
        <v>3.03572572708255E-2</v>
      </c>
      <c r="AE207" s="146">
        <v>2.1974856351406169E-2</v>
      </c>
      <c r="AF207" s="56">
        <f t="shared" si="45"/>
        <v>234621.62069588239</v>
      </c>
      <c r="AG207" s="56">
        <v>1492.6557096342046</v>
      </c>
      <c r="AH207" s="16">
        <f t="shared" si="38"/>
        <v>3.03572572708255E-2</v>
      </c>
      <c r="AI207" s="16">
        <f t="shared" si="39"/>
        <v>2.1974856351405947E-2</v>
      </c>
      <c r="AJ207" s="56"/>
      <c r="AK207" s="56">
        <v>240279.93678278167</v>
      </c>
      <c r="AL207" s="56">
        <v>1528.6537467672483</v>
      </c>
      <c r="AM207" s="16">
        <f t="shared" si="35"/>
        <v>-2.3548849573797437E-2</v>
      </c>
      <c r="AN207" s="58">
        <f t="shared" si="35"/>
        <v>-2.3548849573797326E-2</v>
      </c>
      <c r="AP207" s="56">
        <f t="shared" si="40"/>
        <v>0</v>
      </c>
      <c r="AQ207" s="56">
        <f t="shared" si="41"/>
        <v>0</v>
      </c>
    </row>
    <row r="208" spans="1:43" x14ac:dyDescent="0.2">
      <c r="A208" s="156" t="s">
        <v>461</v>
      </c>
      <c r="B208" s="156" t="s">
        <v>462</v>
      </c>
      <c r="D208" s="68">
        <f>VLOOKUP(A208,'2018-19 disagg'!A208:AZ416,43,FALSE)</f>
        <v>226209</v>
      </c>
      <c r="E208" s="73">
        <v>1377.0263934986774</v>
      </c>
      <c r="F208" s="55"/>
      <c r="G208" s="88">
        <v>229347.30240195387</v>
      </c>
      <c r="H208" s="81">
        <v>1384.0313073759874</v>
      </c>
      <c r="I208" s="90"/>
      <c r="J208" s="103">
        <f t="shared" si="42"/>
        <v>-1.3683624656084636E-2</v>
      </c>
      <c r="K208" s="126">
        <f t="shared" si="42"/>
        <v>-5.0612394676177175E-3</v>
      </c>
      <c r="L208" s="56">
        <v>232271</v>
      </c>
      <c r="M208" s="103">
        <v>2.2426652499058619E-2</v>
      </c>
      <c r="N208" s="97">
        <f>INDEX('Pace of change parameters'!$E$22:$I$22,1,$B$5)</f>
        <v>1.356605044543624E-2</v>
      </c>
      <c r="O208" s="108">
        <f>MAX(IF(INDEX('Pace of change parameters'!$E$30:$I$30,1,$B$5)=1,(1+M208)*D208,D208),L208)</f>
        <v>232271</v>
      </c>
      <c r="P208" s="94">
        <f>IF(K208&lt;INDEX('Pace of change parameters'!$E$18:$I$18,1,$B$5),1,IF(K208&gt;INDEX('Pace of change parameters'!$E$19:$I$19,1,$B$5),0,(K208-INDEX('Pace of change parameters'!$E$19:$I$19,1,$B$5))/(INDEX('Pace of change parameters'!$E$18:$I$18,1,$B$5)-INDEX('Pace of change parameters'!$E$19:$I$19,1,$B$5))))</f>
        <v>0.21494191447174374</v>
      </c>
      <c r="Q208" s="57">
        <v>2.5177350660400277E-2</v>
      </c>
      <c r="R208" s="57">
        <v>1.6292910376702663E-2</v>
      </c>
      <c r="S208" s="9">
        <f>MAX(IF(INDEX('Pace of change parameters'!$E$31:$I$31,1,$B$5)=1,D208*(1+Q208),D208),L208)</f>
        <v>232271</v>
      </c>
      <c r="T208" s="103">
        <f>IF(Q208&lt;INDEX('Pace of change parameters'!$E$24:$I$24,1,$B$5),INDEX('Pace of change parameters'!$E$24:$I$24,1,$B$5),Q208)</f>
        <v>2.5177350660400277E-2</v>
      </c>
      <c r="U208" s="132">
        <v>1.6292910376702663E-2</v>
      </c>
      <c r="V208" s="117">
        <f t="shared" si="43"/>
        <v>232271</v>
      </c>
      <c r="W208" s="131">
        <f>IF(J208&gt;INDEX('Pace of change parameters'!$E$26:$I$26,1,$B$5),0,IF(J208&lt;INDEX('Pace of change parameters'!$E$25:$I$25,1,$B$5),1,(J208-INDEX('Pace of change parameters'!$E$26:$I$26,1,$B$5))/(INDEX('Pace of change parameters'!$E$25:$I$25,1,$B$5)-INDEX('Pace of change parameters'!$E$26:$I$26,1,$B$5))))</f>
        <v>1</v>
      </c>
      <c r="X208" s="132">
        <f>MIN(T208, T208+(INDEX('Pace of change parameters'!$E$27:$I$27,1,$B$5)-T208)*(1-W208))</f>
        <v>2.5177350660400277E-2</v>
      </c>
      <c r="Y208" s="132">
        <v>1.6292910376702663E-2</v>
      </c>
      <c r="Z208" s="108">
        <f t="shared" si="44"/>
        <v>232271</v>
      </c>
      <c r="AA208" s="97">
        <f>MIN(VLOOKUP(A208,'2018-19 disagg'!$A$12:$BB$220,54,FALSE),-2.5%)</f>
        <v>-2.5000000000000001E-2</v>
      </c>
      <c r="AB208" s="99">
        <f t="shared" si="36"/>
        <v>229489.57488854096</v>
      </c>
      <c r="AC208" s="99">
        <f>MAX(IF(INDEX('Pace of change parameters'!$E$29:$I$29,1,$B$5)=1,MAX(AB208,Z208),Z208),L208)</f>
        <v>232271</v>
      </c>
      <c r="AD208" s="97">
        <f t="shared" si="37"/>
        <v>2.6798226418931259E-2</v>
      </c>
      <c r="AE208" s="146">
        <v>1.7899739225326172E-2</v>
      </c>
      <c r="AF208" s="56">
        <f t="shared" si="45"/>
        <v>232271</v>
      </c>
      <c r="AG208" s="56">
        <v>1401.674806848695</v>
      </c>
      <c r="AH208" s="16">
        <f t="shared" si="38"/>
        <v>2.6798226418931259E-2</v>
      </c>
      <c r="AI208" s="16">
        <f t="shared" si="39"/>
        <v>1.7899739225326172E-2</v>
      </c>
      <c r="AJ208" s="56"/>
      <c r="AK208" s="56">
        <v>235373.92296260613</v>
      </c>
      <c r="AL208" s="56">
        <v>1420.3998691435029</v>
      </c>
      <c r="AM208" s="16">
        <f t="shared" si="35"/>
        <v>-1.3182951295327205E-2</v>
      </c>
      <c r="AN208" s="58">
        <f t="shared" si="35"/>
        <v>-1.3182951295327205E-2</v>
      </c>
      <c r="AP208" s="56">
        <f t="shared" si="40"/>
        <v>1</v>
      </c>
      <c r="AQ208" s="56">
        <f t="shared" si="41"/>
        <v>0</v>
      </c>
    </row>
    <row r="209" spans="1:43" x14ac:dyDescent="0.2">
      <c r="A209" s="156" t="s">
        <v>463</v>
      </c>
      <c r="B209" s="156" t="s">
        <v>464</v>
      </c>
      <c r="D209" s="68">
        <f>VLOOKUP(A209,'2018-19 disagg'!A209:AZ417,43,FALSE)</f>
        <v>303993</v>
      </c>
      <c r="E209" s="73">
        <v>1473.8085687379812</v>
      </c>
      <c r="F209" s="55"/>
      <c r="G209" s="88">
        <v>308167.38103431044</v>
      </c>
      <c r="H209" s="81">
        <v>1488.2550468539444</v>
      </c>
      <c r="I209" s="90"/>
      <c r="J209" s="103">
        <f t="shared" si="42"/>
        <v>-1.3545823767265208E-2</v>
      </c>
      <c r="K209" s="126">
        <f t="shared" si="42"/>
        <v>-9.7069908457572129E-3</v>
      </c>
      <c r="L209" s="56">
        <v>311385</v>
      </c>
      <c r="M209" s="103">
        <v>1.7510390503311157E-2</v>
      </c>
      <c r="N209" s="97">
        <f>INDEX('Pace of change parameters'!$E$22:$I$22,1,$B$5)</f>
        <v>1.356605044543624E-2</v>
      </c>
      <c r="O209" s="108">
        <f>MAX(IF(INDEX('Pace of change parameters'!$E$30:$I$30,1,$B$5)=1,(1+M209)*D209,D209),L209)</f>
        <v>311385</v>
      </c>
      <c r="P209" s="94">
        <f>IF(K209&lt;INDEX('Pace of change parameters'!$E$18:$I$18,1,$B$5),1,IF(K209&gt;INDEX('Pace of change parameters'!$E$19:$I$19,1,$B$5),0,(K209-INDEX('Pace of change parameters'!$E$19:$I$19,1,$B$5))/(INDEX('Pace of change parameters'!$E$18:$I$18,1,$B$5)-INDEX('Pace of change parameters'!$E$19:$I$19,1,$B$5))))</f>
        <v>0.36118754195698638</v>
      </c>
      <c r="Q209" s="57">
        <v>2.2110426999357502E-2</v>
      </c>
      <c r="R209" s="57">
        <v>1.8148255076188224E-2</v>
      </c>
      <c r="S209" s="9">
        <f>MAX(IF(INDEX('Pace of change parameters'!$E$31:$I$31,1,$B$5)=1,D209*(1+Q209),D209),L209)</f>
        <v>311385</v>
      </c>
      <c r="T209" s="103">
        <f>IF(Q209&lt;INDEX('Pace of change parameters'!$E$24:$I$24,1,$B$5),INDEX('Pace of change parameters'!$E$24:$I$24,1,$B$5),Q209)</f>
        <v>2.2110426999357502E-2</v>
      </c>
      <c r="U209" s="132">
        <v>1.8148255076188224E-2</v>
      </c>
      <c r="V209" s="117">
        <f t="shared" si="43"/>
        <v>311385</v>
      </c>
      <c r="W209" s="131">
        <f>IF(J209&gt;INDEX('Pace of change parameters'!$E$26:$I$26,1,$B$5),0,IF(J209&lt;INDEX('Pace of change parameters'!$E$25:$I$25,1,$B$5),1,(J209-INDEX('Pace of change parameters'!$E$26:$I$26,1,$B$5))/(INDEX('Pace of change parameters'!$E$25:$I$25,1,$B$5)-INDEX('Pace of change parameters'!$E$26:$I$26,1,$B$5))))</f>
        <v>1</v>
      </c>
      <c r="X209" s="132">
        <f>MIN(T209, T209+(INDEX('Pace of change parameters'!$E$27:$I$27,1,$B$5)-T209)*(1-W209))</f>
        <v>2.2110426999357502E-2</v>
      </c>
      <c r="Y209" s="132">
        <v>1.8148255076188224E-2</v>
      </c>
      <c r="Z209" s="108">
        <f t="shared" si="44"/>
        <v>311385</v>
      </c>
      <c r="AA209" s="97">
        <f>MIN(VLOOKUP(A209,'2018-19 disagg'!$A$12:$BB$220,54,FALSE),-2.5%)</f>
        <v>-2.5000000000000001E-2</v>
      </c>
      <c r="AB209" s="99">
        <f t="shared" si="36"/>
        <v>308357.15274804755</v>
      </c>
      <c r="AC209" s="99">
        <f>MAX(IF(INDEX('Pace of change parameters'!$E$29:$I$29,1,$B$5)=1,MAX(AB209,Z209),Z209),L209)</f>
        <v>311385</v>
      </c>
      <c r="AD209" s="97">
        <f t="shared" si="37"/>
        <v>2.4316349389624126E-2</v>
      </c>
      <c r="AE209" s="146">
        <v>2.0345626292796348E-2</v>
      </c>
      <c r="AF209" s="56">
        <f t="shared" si="45"/>
        <v>311385</v>
      </c>
      <c r="AG209" s="56">
        <v>1503.7941271046452</v>
      </c>
      <c r="AH209" s="16">
        <f t="shared" si="38"/>
        <v>2.4316349389624126E-2</v>
      </c>
      <c r="AI209" s="16">
        <f t="shared" si="39"/>
        <v>2.0345626292796348E-2</v>
      </c>
      <c r="AJ209" s="56"/>
      <c r="AK209" s="56">
        <v>316263.74640825391</v>
      </c>
      <c r="AL209" s="56">
        <v>1527.355410391782</v>
      </c>
      <c r="AM209" s="16">
        <f t="shared" si="35"/>
        <v>-1.5426195584099966E-2</v>
      </c>
      <c r="AN209" s="58">
        <f t="shared" si="35"/>
        <v>-1.5426195584099855E-2</v>
      </c>
      <c r="AP209" s="56">
        <f t="shared" si="40"/>
        <v>1</v>
      </c>
      <c r="AQ209" s="56">
        <f t="shared" si="41"/>
        <v>0</v>
      </c>
    </row>
    <row r="210" spans="1:43" x14ac:dyDescent="0.2">
      <c r="A210" s="156" t="s">
        <v>465</v>
      </c>
      <c r="B210" s="156" t="s">
        <v>466</v>
      </c>
      <c r="D210" s="68">
        <f>VLOOKUP(A210,'2018-19 disagg'!A210:AZ418,43,FALSE)</f>
        <v>805370</v>
      </c>
      <c r="E210" s="73">
        <v>1600.3482293422126</v>
      </c>
      <c r="F210" s="55"/>
      <c r="G210" s="88">
        <v>796507.8943672051</v>
      </c>
      <c r="H210" s="81">
        <v>1568.9516206125238</v>
      </c>
      <c r="I210" s="90"/>
      <c r="J210" s="103">
        <f t="shared" si="42"/>
        <v>1.1126199370359746E-2</v>
      </c>
      <c r="K210" s="126">
        <f t="shared" si="42"/>
        <v>2.0011202587260968E-2</v>
      </c>
      <c r="L210" s="56">
        <v>827951</v>
      </c>
      <c r="M210" s="103">
        <v>2.2472493206347588E-2</v>
      </c>
      <c r="N210" s="97">
        <f>INDEX('Pace of change parameters'!$E$22:$I$22,1,$B$5)</f>
        <v>1.356605044543624E-2</v>
      </c>
      <c r="O210" s="108">
        <f>MAX(IF(INDEX('Pace of change parameters'!$E$30:$I$30,1,$B$5)=1,(1+M210)*D210,D210),L210)</f>
        <v>827951</v>
      </c>
      <c r="P210" s="94">
        <f>IF(K210&lt;INDEX('Pace of change parameters'!$E$18:$I$18,1,$B$5),1,IF(K210&gt;INDEX('Pace of change parameters'!$E$19:$I$19,1,$B$5),0,(K210-INDEX('Pace of change parameters'!$E$19:$I$19,1,$B$5))/(INDEX('Pace of change parameters'!$E$18:$I$18,1,$B$5)-INDEX('Pace of change parameters'!$E$19:$I$19,1,$B$5))))</f>
        <v>0</v>
      </c>
      <c r="Q210" s="57">
        <v>2.2472493206347588E-2</v>
      </c>
      <c r="R210" s="57">
        <v>1.356605044543624E-2</v>
      </c>
      <c r="S210" s="9">
        <f>MAX(IF(INDEX('Pace of change parameters'!$E$31:$I$31,1,$B$5)=1,D210*(1+Q210),D210),L210)</f>
        <v>827951</v>
      </c>
      <c r="T210" s="103">
        <f>IF(Q210&lt;INDEX('Pace of change parameters'!$E$24:$I$24,1,$B$5),INDEX('Pace of change parameters'!$E$24:$I$24,1,$B$5),Q210)</f>
        <v>2.2472493206347588E-2</v>
      </c>
      <c r="U210" s="132">
        <v>1.356605044543624E-2</v>
      </c>
      <c r="V210" s="117">
        <f t="shared" si="43"/>
        <v>827951</v>
      </c>
      <c r="W210" s="131">
        <f>IF(J210&gt;INDEX('Pace of change parameters'!$E$26:$I$26,1,$B$5),0,IF(J210&lt;INDEX('Pace of change parameters'!$E$25:$I$25,1,$B$5),1,(J210-INDEX('Pace of change parameters'!$E$26:$I$26,1,$B$5))/(INDEX('Pace of change parameters'!$E$25:$I$25,1,$B$5)-INDEX('Pace of change parameters'!$E$26:$I$26,1,$B$5))))</f>
        <v>1</v>
      </c>
      <c r="X210" s="132">
        <f>MIN(T210, T210+(INDEX('Pace of change parameters'!$E$27:$I$27,1,$B$5)-T210)*(1-W210))</f>
        <v>2.2472493206347588E-2</v>
      </c>
      <c r="Y210" s="132">
        <v>1.356605044543624E-2</v>
      </c>
      <c r="Z210" s="108">
        <f t="shared" si="44"/>
        <v>827951</v>
      </c>
      <c r="AA210" s="97">
        <f>MIN(VLOOKUP(A210,'2018-19 disagg'!$A$12:$BB$220,54,FALSE),-2.5%)</f>
        <v>-2.5000000000000001E-2</v>
      </c>
      <c r="AB210" s="99">
        <f t="shared" si="36"/>
        <v>797725.46903717611</v>
      </c>
      <c r="AC210" s="99">
        <f>MAX(IF(INDEX('Pace of change parameters'!$E$29:$I$29,1,$B$5)=1,MAX(AB210,Z210),Z210),L210)</f>
        <v>827951</v>
      </c>
      <c r="AD210" s="97">
        <f t="shared" si="37"/>
        <v>2.8038044625451564E-2</v>
      </c>
      <c r="AE210" s="146">
        <v>1.9083122061438917E-2</v>
      </c>
      <c r="AF210" s="56">
        <f t="shared" si="45"/>
        <v>827951</v>
      </c>
      <c r="AG210" s="56">
        <v>1630.8878699435579</v>
      </c>
      <c r="AH210" s="16">
        <f t="shared" si="38"/>
        <v>2.8038044625451564E-2</v>
      </c>
      <c r="AI210" s="16">
        <f t="shared" si="39"/>
        <v>1.9083122061439139E-2</v>
      </c>
      <c r="AJ210" s="56"/>
      <c r="AK210" s="56">
        <v>818179.96824325761</v>
      </c>
      <c r="AL210" s="56">
        <v>1611.6410097200612</v>
      </c>
      <c r="AM210" s="16">
        <f t="shared" si="35"/>
        <v>1.1942399149324157E-2</v>
      </c>
      <c r="AN210" s="58">
        <f t="shared" si="35"/>
        <v>1.1942399149324157E-2</v>
      </c>
      <c r="AP210" s="56">
        <f t="shared" si="40"/>
        <v>1</v>
      </c>
      <c r="AQ210" s="56">
        <f t="shared" si="41"/>
        <v>0</v>
      </c>
    </row>
    <row r="211" spans="1:43" x14ac:dyDescent="0.2">
      <c r="A211" s="156" t="s">
        <v>467</v>
      </c>
      <c r="B211" s="156" t="s">
        <v>468</v>
      </c>
      <c r="D211" s="68">
        <f>VLOOKUP(A211,'2018-19 disagg'!A211:AZ419,43,FALSE)</f>
        <v>1352459</v>
      </c>
      <c r="E211" s="73">
        <v>1688.7294425050238</v>
      </c>
      <c r="F211" s="55"/>
      <c r="G211" s="88">
        <v>1348334.4627689763</v>
      </c>
      <c r="H211" s="81">
        <v>1673.6821288178342</v>
      </c>
      <c r="I211" s="90"/>
      <c r="J211" s="103">
        <f t="shared" si="42"/>
        <v>3.0589867313437491E-3</v>
      </c>
      <c r="K211" s="126">
        <f t="shared" si="42"/>
        <v>8.9905445174454091E-3</v>
      </c>
      <c r="L211" s="56">
        <v>1385966</v>
      </c>
      <c r="M211" s="103">
        <v>1.955974142251371E-2</v>
      </c>
      <c r="N211" s="97">
        <f>INDEX('Pace of change parameters'!$E$22:$I$22,1,$B$5)</f>
        <v>1.356605044543624E-2</v>
      </c>
      <c r="O211" s="108">
        <f>MAX(IF(INDEX('Pace of change parameters'!$E$30:$I$30,1,$B$5)=1,(1+M211)*D211,D211),L211)</f>
        <v>1385966</v>
      </c>
      <c r="P211" s="94">
        <f>IF(K211&lt;INDEX('Pace of change parameters'!$E$18:$I$18,1,$B$5),1,IF(K211&gt;INDEX('Pace of change parameters'!$E$19:$I$19,1,$B$5),0,(K211-INDEX('Pace of change parameters'!$E$19:$I$19,1,$B$5))/(INDEX('Pace of change parameters'!$E$18:$I$18,1,$B$5)-INDEX('Pace of change parameters'!$E$19:$I$19,1,$B$5))))</f>
        <v>0</v>
      </c>
      <c r="Q211" s="57">
        <v>1.955974142251371E-2</v>
      </c>
      <c r="R211" s="57">
        <v>1.356605044543624E-2</v>
      </c>
      <c r="S211" s="9">
        <f>MAX(IF(INDEX('Pace of change parameters'!$E$31:$I$31,1,$B$5)=1,D211*(1+Q211),D211),L211)</f>
        <v>1385966</v>
      </c>
      <c r="T211" s="103">
        <f>IF(Q211&lt;INDEX('Pace of change parameters'!$E$24:$I$24,1,$B$5),INDEX('Pace of change parameters'!$E$24:$I$24,1,$B$5),Q211)</f>
        <v>2.0738822378003872E-2</v>
      </c>
      <c r="U211" s="132">
        <v>1.4738199931786156E-2</v>
      </c>
      <c r="V211" s="117">
        <f t="shared" si="43"/>
        <v>1385966</v>
      </c>
      <c r="W211" s="131">
        <f>IF(J211&gt;INDEX('Pace of change parameters'!$E$26:$I$26,1,$B$5),0,IF(J211&lt;INDEX('Pace of change parameters'!$E$25:$I$25,1,$B$5),1,(J211-INDEX('Pace of change parameters'!$E$26:$I$26,1,$B$5))/(INDEX('Pace of change parameters'!$E$25:$I$25,1,$B$5)-INDEX('Pace of change parameters'!$E$26:$I$26,1,$B$5))))</f>
        <v>1</v>
      </c>
      <c r="X211" s="132">
        <f>MIN(T211, T211+(INDEX('Pace of change parameters'!$E$27:$I$27,1,$B$5)-T211)*(1-W211))</f>
        <v>2.0738822378003872E-2</v>
      </c>
      <c r="Y211" s="132">
        <v>1.4738199931786156E-2</v>
      </c>
      <c r="Z211" s="108">
        <f t="shared" si="44"/>
        <v>1385966</v>
      </c>
      <c r="AA211" s="97">
        <f>MIN(VLOOKUP(A211,'2018-19 disagg'!$A$12:$BB$220,54,FALSE),-2.5%)</f>
        <v>-2.5000000000000001E-2</v>
      </c>
      <c r="AB211" s="99">
        <f t="shared" si="36"/>
        <v>1348939.6933553966</v>
      </c>
      <c r="AC211" s="99">
        <f>MAX(IF(INDEX('Pace of change parameters'!$E$29:$I$29,1,$B$5)=1,MAX(AB211,Z211),Z211),L211)</f>
        <v>1385966</v>
      </c>
      <c r="AD211" s="97">
        <f t="shared" si="37"/>
        <v>2.4774873027574307E-2</v>
      </c>
      <c r="AE211" s="146">
        <v>1.8750523830114441E-2</v>
      </c>
      <c r="AF211" s="56">
        <f t="shared" si="45"/>
        <v>1385966</v>
      </c>
      <c r="AG211" s="56">
        <v>1720.3940041593301</v>
      </c>
      <c r="AH211" s="16">
        <f t="shared" si="38"/>
        <v>2.4774873027574307E-2</v>
      </c>
      <c r="AI211" s="16">
        <f t="shared" si="39"/>
        <v>1.8750523830114441E-2</v>
      </c>
      <c r="AJ211" s="56"/>
      <c r="AK211" s="56">
        <v>1383527.8906209196</v>
      </c>
      <c r="AL211" s="56">
        <v>1717.3675888235609</v>
      </c>
      <c r="AM211" s="16">
        <f t="shared" si="35"/>
        <v>1.7622408594786254E-3</v>
      </c>
      <c r="AN211" s="58">
        <f t="shared" si="35"/>
        <v>1.7622408594786254E-3</v>
      </c>
      <c r="AP211" s="56">
        <f t="shared" si="40"/>
        <v>1</v>
      </c>
      <c r="AQ211" s="56">
        <f t="shared" si="41"/>
        <v>0</v>
      </c>
    </row>
    <row r="212" spans="1:43" x14ac:dyDescent="0.2">
      <c r="A212" s="156" t="s">
        <v>469</v>
      </c>
      <c r="B212" s="156" t="s">
        <v>470</v>
      </c>
      <c r="D212" s="68">
        <f>VLOOKUP(A212,'2018-19 disagg'!A212:AZ420,43,FALSE)</f>
        <v>996765</v>
      </c>
      <c r="E212" s="73">
        <v>1536.90599955058</v>
      </c>
      <c r="F212" s="55"/>
      <c r="G212" s="88">
        <v>1007010.9479588429</v>
      </c>
      <c r="H212" s="81">
        <v>1542.3716015262066</v>
      </c>
      <c r="I212" s="90"/>
      <c r="J212" s="103">
        <f t="shared" si="42"/>
        <v>-1.0174614267710602E-2</v>
      </c>
      <c r="K212" s="126">
        <f t="shared" si="42"/>
        <v>-3.5436349905679787E-3</v>
      </c>
      <c r="L212" s="56">
        <v>1022030</v>
      </c>
      <c r="M212" s="103">
        <v>2.0356071769800144E-2</v>
      </c>
      <c r="N212" s="97">
        <f>INDEX('Pace of change parameters'!$E$22:$I$22,1,$B$5)</f>
        <v>1.356605044543624E-2</v>
      </c>
      <c r="O212" s="108">
        <f>MAX(IF(INDEX('Pace of change parameters'!$E$30:$I$30,1,$B$5)=1,(1+M212)*D212,D212),L212)</f>
        <v>1022030</v>
      </c>
      <c r="P212" s="94">
        <f>IF(K212&lt;INDEX('Pace of change parameters'!$E$18:$I$18,1,$B$5),1,IF(K212&gt;INDEX('Pace of change parameters'!$E$19:$I$19,1,$B$5),0,(K212-INDEX('Pace of change parameters'!$E$19:$I$19,1,$B$5))/(INDEX('Pace of change parameters'!$E$18:$I$18,1,$B$5)-INDEX('Pace of change parameters'!$E$19:$I$19,1,$B$5))))</f>
        <v>0.1671685833234387</v>
      </c>
      <c r="Q212" s="57">
        <v>2.2491062911587756E-2</v>
      </c>
      <c r="R212" s="57">
        <v>1.568683415926686E-2</v>
      </c>
      <c r="S212" s="9">
        <f>MAX(IF(INDEX('Pace of change parameters'!$E$31:$I$31,1,$B$5)=1,D212*(1+Q212),D212),L212)</f>
        <v>1022030</v>
      </c>
      <c r="T212" s="103">
        <f>IF(Q212&lt;INDEX('Pace of change parameters'!$E$24:$I$24,1,$B$5),INDEX('Pace of change parameters'!$E$24:$I$24,1,$B$5),Q212)</f>
        <v>2.2491062911587756E-2</v>
      </c>
      <c r="U212" s="132">
        <v>1.568683415926686E-2</v>
      </c>
      <c r="V212" s="117">
        <f t="shared" si="43"/>
        <v>1022030</v>
      </c>
      <c r="W212" s="131">
        <f>IF(J212&gt;INDEX('Pace of change parameters'!$E$26:$I$26,1,$B$5),0,IF(J212&lt;INDEX('Pace of change parameters'!$E$25:$I$25,1,$B$5),1,(J212-INDEX('Pace of change parameters'!$E$26:$I$26,1,$B$5))/(INDEX('Pace of change parameters'!$E$25:$I$25,1,$B$5)-INDEX('Pace of change parameters'!$E$26:$I$26,1,$B$5))))</f>
        <v>1</v>
      </c>
      <c r="X212" s="132">
        <f>MIN(T212, T212+(INDEX('Pace of change parameters'!$E$27:$I$27,1,$B$5)-T212)*(1-W212))</f>
        <v>2.2491062911587756E-2</v>
      </c>
      <c r="Y212" s="132">
        <v>1.568683415926686E-2</v>
      </c>
      <c r="Z212" s="108">
        <f t="shared" si="44"/>
        <v>1022030</v>
      </c>
      <c r="AA212" s="97">
        <f>MIN(VLOOKUP(A212,'2018-19 disagg'!$A$12:$BB$220,54,FALSE),-2.5%)</f>
        <v>-2.5000000000000001E-2</v>
      </c>
      <c r="AB212" s="99">
        <f t="shared" si="36"/>
        <v>1007743.6996373739</v>
      </c>
      <c r="AC212" s="99">
        <f>MAX(IF(INDEX('Pace of change parameters'!$E$29:$I$29,1,$B$5)=1,MAX(AB212,Z212),Z212),L212)</f>
        <v>1022030</v>
      </c>
      <c r="AD212" s="97">
        <f t="shared" si="37"/>
        <v>2.5346997537032401E-2</v>
      </c>
      <c r="AE212" s="146">
        <v>1.8523763794645598E-2</v>
      </c>
      <c r="AF212" s="56">
        <f t="shared" si="45"/>
        <v>1022030</v>
      </c>
      <c r="AG212" s="56">
        <v>1565.3752832608284</v>
      </c>
      <c r="AH212" s="16">
        <f t="shared" si="38"/>
        <v>2.5346997537032401E-2</v>
      </c>
      <c r="AI212" s="16">
        <f t="shared" si="39"/>
        <v>1.8523763794645376E-2</v>
      </c>
      <c r="AJ212" s="56"/>
      <c r="AK212" s="56">
        <v>1033583.2816793579</v>
      </c>
      <c r="AL212" s="56">
        <v>1583.0706753544234</v>
      </c>
      <c r="AM212" s="16">
        <f t="shared" si="35"/>
        <v>-1.1177891403764018E-2</v>
      </c>
      <c r="AN212" s="58">
        <f t="shared" si="35"/>
        <v>-1.1177891403764018E-2</v>
      </c>
      <c r="AP212" s="56">
        <f t="shared" si="40"/>
        <v>1</v>
      </c>
      <c r="AQ212" s="56">
        <f t="shared" si="41"/>
        <v>0</v>
      </c>
    </row>
    <row r="213" spans="1:43" x14ac:dyDescent="0.2">
      <c r="A213" s="156" t="s">
        <v>471</v>
      </c>
      <c r="B213" s="156" t="s">
        <v>472</v>
      </c>
      <c r="D213" s="68">
        <f>VLOOKUP(A213,'2018-19 disagg'!A213:AZ421,43,FALSE)</f>
        <v>990373</v>
      </c>
      <c r="E213" s="73">
        <v>1724.1197537377604</v>
      </c>
      <c r="F213" s="55"/>
      <c r="G213" s="88">
        <v>975228.34295469511</v>
      </c>
      <c r="H213" s="81">
        <v>1684.3649497084475</v>
      </c>
      <c r="I213" s="90"/>
      <c r="J213" s="103">
        <f t="shared" si="42"/>
        <v>1.5529344644988896E-2</v>
      </c>
      <c r="K213" s="126">
        <f t="shared" si="42"/>
        <v>2.3602250828238969E-2</v>
      </c>
      <c r="L213" s="56">
        <v>1015064</v>
      </c>
      <c r="M213" s="103">
        <v>2.1623349507172041E-2</v>
      </c>
      <c r="N213" s="97">
        <f>INDEX('Pace of change parameters'!$E$22:$I$22,1,$B$5)</f>
        <v>1.356605044543624E-2</v>
      </c>
      <c r="O213" s="108">
        <f>MAX(IF(INDEX('Pace of change parameters'!$E$30:$I$30,1,$B$5)=1,(1+M213)*D213,D213),L213)</f>
        <v>1015064</v>
      </c>
      <c r="P213" s="94">
        <f>IF(K213&lt;INDEX('Pace of change parameters'!$E$18:$I$18,1,$B$5),1,IF(K213&gt;INDEX('Pace of change parameters'!$E$19:$I$19,1,$B$5),0,(K213-INDEX('Pace of change parameters'!$E$19:$I$19,1,$B$5))/(INDEX('Pace of change parameters'!$E$18:$I$18,1,$B$5)-INDEX('Pace of change parameters'!$E$19:$I$19,1,$B$5))))</f>
        <v>0</v>
      </c>
      <c r="Q213" s="57">
        <v>2.1623349507172041E-2</v>
      </c>
      <c r="R213" s="57">
        <v>1.356605044543624E-2</v>
      </c>
      <c r="S213" s="9">
        <f>MAX(IF(INDEX('Pace of change parameters'!$E$31:$I$31,1,$B$5)=1,D213*(1+Q213),D213),L213)</f>
        <v>1015064</v>
      </c>
      <c r="T213" s="103">
        <f>IF(Q213&lt;INDEX('Pace of change parameters'!$E$24:$I$24,1,$B$5),INDEX('Pace of change parameters'!$E$24:$I$24,1,$B$5),Q213)</f>
        <v>2.1623349507172041E-2</v>
      </c>
      <c r="U213" s="132">
        <v>1.356605044543624E-2</v>
      </c>
      <c r="V213" s="117">
        <f t="shared" si="43"/>
        <v>1015064</v>
      </c>
      <c r="W213" s="131">
        <f>IF(J213&gt;INDEX('Pace of change parameters'!$E$26:$I$26,1,$B$5),0,IF(J213&lt;INDEX('Pace of change parameters'!$E$25:$I$25,1,$B$5),1,(J213-INDEX('Pace of change parameters'!$E$26:$I$26,1,$B$5))/(INDEX('Pace of change parameters'!$E$25:$I$25,1,$B$5)-INDEX('Pace of change parameters'!$E$26:$I$26,1,$B$5))))</f>
        <v>1</v>
      </c>
      <c r="X213" s="132">
        <f>MIN(T213, T213+(INDEX('Pace of change parameters'!$E$27:$I$27,1,$B$5)-T213)*(1-W213))</f>
        <v>2.1623349507172041E-2</v>
      </c>
      <c r="Y213" s="132">
        <v>1.356605044543624E-2</v>
      </c>
      <c r="Z213" s="108">
        <f t="shared" si="44"/>
        <v>1015064</v>
      </c>
      <c r="AA213" s="97">
        <f>MIN(VLOOKUP(A213,'2018-19 disagg'!$A$12:$BB$220,54,FALSE),-2.5%)</f>
        <v>-2.5000000000000001E-2</v>
      </c>
      <c r="AB213" s="99">
        <f t="shared" si="36"/>
        <v>975875.45719717047</v>
      </c>
      <c r="AC213" s="99">
        <f>MAX(IF(INDEX('Pace of change parameters'!$E$29:$I$29,1,$B$5)=1,MAX(AB213,Z213),Z213),L213)</f>
        <v>1015064</v>
      </c>
      <c r="AD213" s="97">
        <f t="shared" si="37"/>
        <v>2.4931010841369838E-2</v>
      </c>
      <c r="AE213" s="146">
        <v>1.6847625045636194E-2</v>
      </c>
      <c r="AF213" s="56">
        <f t="shared" si="45"/>
        <v>1015064</v>
      </c>
      <c r="AG213" s="56">
        <v>1753.1670768825088</v>
      </c>
      <c r="AH213" s="16">
        <f t="shared" si="38"/>
        <v>2.4931010841369838E-2</v>
      </c>
      <c r="AI213" s="16">
        <f t="shared" si="39"/>
        <v>1.6847625045636194E-2</v>
      </c>
      <c r="AJ213" s="56"/>
      <c r="AK213" s="56">
        <v>1000897.9048176107</v>
      </c>
      <c r="AL213" s="56">
        <v>1728.700115506922</v>
      </c>
      <c r="AM213" s="16">
        <f t="shared" si="35"/>
        <v>1.4153386788206657E-2</v>
      </c>
      <c r="AN213" s="58">
        <f t="shared" si="35"/>
        <v>1.4153386788206657E-2</v>
      </c>
      <c r="AP213" s="56">
        <f t="shared" si="40"/>
        <v>1</v>
      </c>
      <c r="AQ213" s="56">
        <f t="shared" si="41"/>
        <v>0</v>
      </c>
    </row>
    <row r="214" spans="1:43" x14ac:dyDescent="0.2">
      <c r="A214" s="156" t="s">
        <v>473</v>
      </c>
      <c r="B214" s="156" t="s">
        <v>474</v>
      </c>
      <c r="D214" s="68">
        <f>VLOOKUP(A214,'2018-19 disagg'!A214:AZ422,43,FALSE)</f>
        <v>371399</v>
      </c>
      <c r="E214" s="73">
        <v>1670.9315233736027</v>
      </c>
      <c r="F214" s="55"/>
      <c r="G214" s="88">
        <v>375581.51142478775</v>
      </c>
      <c r="H214" s="81">
        <v>1672.9750842271687</v>
      </c>
      <c r="I214" s="90"/>
      <c r="J214" s="103">
        <f t="shared" si="42"/>
        <v>-1.1136095088709719E-2</v>
      </c>
      <c r="K214" s="126">
        <f t="shared" si="42"/>
        <v>-1.2215130236145066E-3</v>
      </c>
      <c r="L214" s="56">
        <v>381920</v>
      </c>
      <c r="M214" s="103">
        <v>2.372830203094356E-2</v>
      </c>
      <c r="N214" s="97">
        <f>INDEX('Pace of change parameters'!$E$22:$I$22,1,$B$5)</f>
        <v>1.356605044543624E-2</v>
      </c>
      <c r="O214" s="108">
        <f>MAX(IF(INDEX('Pace of change parameters'!$E$30:$I$30,1,$B$5)=1,(1+M214)*D214,D214),L214)</f>
        <v>381920</v>
      </c>
      <c r="P214" s="94">
        <f>IF(K214&lt;INDEX('Pace of change parameters'!$E$18:$I$18,1,$B$5),1,IF(K214&gt;INDEX('Pace of change parameters'!$E$19:$I$19,1,$B$5),0,(K214-INDEX('Pace of change parameters'!$E$19:$I$19,1,$B$5))/(INDEX('Pace of change parameters'!$E$18:$I$18,1,$B$5)-INDEX('Pace of change parameters'!$E$19:$I$19,1,$B$5))))</f>
        <v>9.4069496327014543E-2</v>
      </c>
      <c r="Q214" s="57">
        <v>2.4933679837437772E-2</v>
      </c>
      <c r="R214" s="57">
        <v>1.4759462818816127E-2</v>
      </c>
      <c r="S214" s="9">
        <f>MAX(IF(INDEX('Pace of change parameters'!$E$31:$I$31,1,$B$5)=1,D214*(1+Q214),D214),L214)</f>
        <v>381920</v>
      </c>
      <c r="T214" s="103">
        <f>IF(Q214&lt;INDEX('Pace of change parameters'!$E$24:$I$24,1,$B$5),INDEX('Pace of change parameters'!$E$24:$I$24,1,$B$5),Q214)</f>
        <v>2.4933679837437772E-2</v>
      </c>
      <c r="U214" s="132">
        <v>1.4759462818816127E-2</v>
      </c>
      <c r="V214" s="117">
        <f t="shared" si="43"/>
        <v>381920</v>
      </c>
      <c r="W214" s="131">
        <f>IF(J214&gt;INDEX('Pace of change parameters'!$E$26:$I$26,1,$B$5),0,IF(J214&lt;INDEX('Pace of change parameters'!$E$25:$I$25,1,$B$5),1,(J214-INDEX('Pace of change parameters'!$E$26:$I$26,1,$B$5))/(INDEX('Pace of change parameters'!$E$25:$I$25,1,$B$5)-INDEX('Pace of change parameters'!$E$26:$I$26,1,$B$5))))</f>
        <v>1</v>
      </c>
      <c r="X214" s="132">
        <f>MIN(T214, T214+(INDEX('Pace of change parameters'!$E$27:$I$27,1,$B$5)-T214)*(1-W214))</f>
        <v>2.4933679837437772E-2</v>
      </c>
      <c r="Y214" s="132">
        <v>1.4759462818816127E-2</v>
      </c>
      <c r="Z214" s="108">
        <f t="shared" si="44"/>
        <v>381920</v>
      </c>
      <c r="AA214" s="97">
        <f>MIN(VLOOKUP(A214,'2018-19 disagg'!$A$12:$BB$220,54,FALSE),-2.5%)</f>
        <v>-2.5000000000000001E-2</v>
      </c>
      <c r="AB214" s="99">
        <f t="shared" si="36"/>
        <v>375850.66870569263</v>
      </c>
      <c r="AC214" s="99">
        <f>MAX(IF(INDEX('Pace of change parameters'!$E$29:$I$29,1,$B$5)=1,MAX(AB214,Z214),Z214),L214)</f>
        <v>381920</v>
      </c>
      <c r="AD214" s="97">
        <f t="shared" si="37"/>
        <v>2.8328024577341404E-2</v>
      </c>
      <c r="AE214" s="146">
        <v>1.8120112890763096E-2</v>
      </c>
      <c r="AF214" s="56">
        <f t="shared" si="45"/>
        <v>381920</v>
      </c>
      <c r="AG214" s="56">
        <v>1701.208991209867</v>
      </c>
      <c r="AH214" s="16">
        <f t="shared" si="38"/>
        <v>2.8328024577341404E-2</v>
      </c>
      <c r="AI214" s="16">
        <f t="shared" si="39"/>
        <v>1.8120112890763096E-2</v>
      </c>
      <c r="AJ214" s="56"/>
      <c r="AK214" s="56">
        <v>385487.86533917196</v>
      </c>
      <c r="AL214" s="56">
        <v>1717.1015461806078</v>
      </c>
      <c r="AM214" s="16">
        <f t="shared" si="35"/>
        <v>-9.2554543475259488E-3</v>
      </c>
      <c r="AN214" s="58">
        <f t="shared" si="35"/>
        <v>-9.2554543475259488E-3</v>
      </c>
      <c r="AP214" s="56">
        <f t="shared" si="40"/>
        <v>1</v>
      </c>
      <c r="AQ214" s="56">
        <f t="shared" si="41"/>
        <v>0</v>
      </c>
    </row>
    <row r="215" spans="1:43" x14ac:dyDescent="0.2">
      <c r="A215" s="156" t="s">
        <v>475</v>
      </c>
      <c r="B215" s="156" t="s">
        <v>476</v>
      </c>
      <c r="D215" s="68">
        <f>VLOOKUP(A215,'2018-19 disagg'!A215:AZ423,43,FALSE)</f>
        <v>1542945</v>
      </c>
      <c r="E215" s="73">
        <v>1684.9279191070395</v>
      </c>
      <c r="F215" s="55"/>
      <c r="G215" s="88">
        <v>1536840.8194739139</v>
      </c>
      <c r="H215" s="81">
        <v>1669.9730434638802</v>
      </c>
      <c r="I215" s="90"/>
      <c r="J215" s="103">
        <f t="shared" si="42"/>
        <v>3.9719016105881355E-3</v>
      </c>
      <c r="K215" s="126">
        <f t="shared" si="42"/>
        <v>8.9551599061381548E-3</v>
      </c>
      <c r="L215" s="56">
        <v>1580888</v>
      </c>
      <c r="M215" s="103">
        <v>1.8596929716925281E-2</v>
      </c>
      <c r="N215" s="97">
        <f>INDEX('Pace of change parameters'!$E$22:$I$22,1,$B$5)</f>
        <v>1.356605044543624E-2</v>
      </c>
      <c r="O215" s="108">
        <f>MAX(IF(INDEX('Pace of change parameters'!$E$30:$I$30,1,$B$5)=1,(1+M215)*D215,D215),L215)</f>
        <v>1580888</v>
      </c>
      <c r="P215" s="94">
        <f>IF(K215&lt;INDEX('Pace of change parameters'!$E$18:$I$18,1,$B$5),1,IF(K215&gt;INDEX('Pace of change parameters'!$E$19:$I$19,1,$B$5),0,(K215-INDEX('Pace of change parameters'!$E$19:$I$19,1,$B$5))/(INDEX('Pace of change parameters'!$E$18:$I$18,1,$B$5)-INDEX('Pace of change parameters'!$E$19:$I$19,1,$B$5))))</f>
        <v>0</v>
      </c>
      <c r="Q215" s="57">
        <v>1.8596929716925281E-2</v>
      </c>
      <c r="R215" s="57">
        <v>1.356605044543624E-2</v>
      </c>
      <c r="S215" s="9">
        <f>MAX(IF(INDEX('Pace of change parameters'!$E$31:$I$31,1,$B$5)=1,D215*(1+Q215),D215),L215)</f>
        <v>1580888</v>
      </c>
      <c r="T215" s="103">
        <f>IF(Q215&lt;INDEX('Pace of change parameters'!$E$24:$I$24,1,$B$5),INDEX('Pace of change parameters'!$E$24:$I$24,1,$B$5),Q215)</f>
        <v>2.0738822378003872E-2</v>
      </c>
      <c r="U215" s="132">
        <v>1.5697364237605926E-2</v>
      </c>
      <c r="V215" s="117">
        <f t="shared" si="43"/>
        <v>1580888</v>
      </c>
      <c r="W215" s="131">
        <f>IF(J215&gt;INDEX('Pace of change parameters'!$E$26:$I$26,1,$B$5),0,IF(J215&lt;INDEX('Pace of change parameters'!$E$25:$I$25,1,$B$5),1,(J215-INDEX('Pace of change parameters'!$E$26:$I$26,1,$B$5))/(INDEX('Pace of change parameters'!$E$25:$I$25,1,$B$5)-INDEX('Pace of change parameters'!$E$26:$I$26,1,$B$5))))</f>
        <v>1</v>
      </c>
      <c r="X215" s="132">
        <f>MIN(T215, T215+(INDEX('Pace of change parameters'!$E$27:$I$27,1,$B$5)-T215)*(1-W215))</f>
        <v>2.0738822378003872E-2</v>
      </c>
      <c r="Y215" s="132">
        <v>1.5697364237605926E-2</v>
      </c>
      <c r="Z215" s="108">
        <f t="shared" si="44"/>
        <v>1580888</v>
      </c>
      <c r="AA215" s="97">
        <f>MIN(VLOOKUP(A215,'2018-19 disagg'!$A$12:$BB$220,54,FALSE),-2.5%)</f>
        <v>-2.5000000000000001E-2</v>
      </c>
      <c r="AB215" s="99">
        <f t="shared" si="36"/>
        <v>1538125.384709259</v>
      </c>
      <c r="AC215" s="99">
        <f>MAX(IF(INDEX('Pace of change parameters'!$E$29:$I$29,1,$B$5)=1,MAX(AB215,Z215),Z215),L215)</f>
        <v>1580888</v>
      </c>
      <c r="AD215" s="97">
        <f t="shared" si="37"/>
        <v>2.4591284848131334E-2</v>
      </c>
      <c r="AE215" s="146">
        <v>1.9530799285777167E-2</v>
      </c>
      <c r="AF215" s="56">
        <f t="shared" si="45"/>
        <v>1580888</v>
      </c>
      <c r="AG215" s="56">
        <v>1717.8359081061215</v>
      </c>
      <c r="AH215" s="16">
        <f t="shared" si="38"/>
        <v>2.4591284848131334E-2</v>
      </c>
      <c r="AI215" s="16">
        <f t="shared" si="39"/>
        <v>1.9530799285777167E-2</v>
      </c>
      <c r="AJ215" s="56"/>
      <c r="AK215" s="56">
        <v>1577564.4971377016</v>
      </c>
      <c r="AL215" s="56">
        <v>1714.2244994816333</v>
      </c>
      <c r="AM215" s="16">
        <f t="shared" si="35"/>
        <v>2.1067302594146575E-3</v>
      </c>
      <c r="AN215" s="58">
        <f t="shared" si="35"/>
        <v>2.1067302594148796E-3</v>
      </c>
      <c r="AP215" s="56">
        <f t="shared" si="40"/>
        <v>1</v>
      </c>
      <c r="AQ215" s="56">
        <f t="shared" si="41"/>
        <v>0</v>
      </c>
    </row>
    <row r="216" spans="1:43" x14ac:dyDescent="0.2">
      <c r="A216" s="156" t="s">
        <v>477</v>
      </c>
      <c r="B216" s="156" t="s">
        <v>478</v>
      </c>
      <c r="D216" s="68">
        <f>VLOOKUP(A216,'2018-19 disagg'!A216:AZ424,43,FALSE)</f>
        <v>937872</v>
      </c>
      <c r="E216" s="73">
        <v>1639.357163350013</v>
      </c>
      <c r="F216" s="55"/>
      <c r="G216" s="88">
        <v>951462.21177027398</v>
      </c>
      <c r="H216" s="81">
        <v>1652.4901986220355</v>
      </c>
      <c r="I216" s="90"/>
      <c r="J216" s="103">
        <f t="shared" si="42"/>
        <v>-1.428350133316203E-2</v>
      </c>
      <c r="K216" s="126">
        <f t="shared" si="42"/>
        <v>-7.9474209789405226E-3</v>
      </c>
      <c r="L216" s="56">
        <v>960169</v>
      </c>
      <c r="M216" s="103">
        <v>2.0081144743460788E-2</v>
      </c>
      <c r="N216" s="97">
        <f>INDEX('Pace of change parameters'!$E$22:$I$22,1,$B$5)</f>
        <v>1.356605044543624E-2</v>
      </c>
      <c r="O216" s="108">
        <f>MAX(IF(INDEX('Pace of change parameters'!$E$30:$I$30,1,$B$5)=1,(1+M216)*D216,D216),L216)</f>
        <v>960169</v>
      </c>
      <c r="P216" s="94">
        <f>IF(K216&lt;INDEX('Pace of change parameters'!$E$18:$I$18,1,$B$5),1,IF(K216&gt;INDEX('Pace of change parameters'!$E$19:$I$19,1,$B$5),0,(K216-INDEX('Pace of change parameters'!$E$19:$I$19,1,$B$5))/(INDEX('Pace of change parameters'!$E$18:$I$18,1,$B$5)-INDEX('Pace of change parameters'!$E$19:$I$19,1,$B$5))))</f>
        <v>0.30579727710390131</v>
      </c>
      <c r="Q216" s="57">
        <v>2.3985577938151037E-2</v>
      </c>
      <c r="R216" s="57">
        <v>1.7445546652931965E-2</v>
      </c>
      <c r="S216" s="9">
        <f>MAX(IF(INDEX('Pace of change parameters'!$E$31:$I$31,1,$B$5)=1,D216*(1+Q216),D216),L216)</f>
        <v>960367.40195200953</v>
      </c>
      <c r="T216" s="103">
        <f>IF(Q216&lt;INDEX('Pace of change parameters'!$E$24:$I$24,1,$B$5),INDEX('Pace of change parameters'!$E$24:$I$24,1,$B$5),Q216)</f>
        <v>2.3985577938151037E-2</v>
      </c>
      <c r="U216" s="132">
        <v>1.7445546652931965E-2</v>
      </c>
      <c r="V216" s="117">
        <f t="shared" si="43"/>
        <v>960367.40195200953</v>
      </c>
      <c r="W216" s="131">
        <f>IF(J216&gt;INDEX('Pace of change parameters'!$E$26:$I$26,1,$B$5),0,IF(J216&lt;INDEX('Pace of change parameters'!$E$25:$I$25,1,$B$5),1,(J216-INDEX('Pace of change parameters'!$E$26:$I$26,1,$B$5))/(INDEX('Pace of change parameters'!$E$25:$I$25,1,$B$5)-INDEX('Pace of change parameters'!$E$26:$I$26,1,$B$5))))</f>
        <v>1</v>
      </c>
      <c r="X216" s="132">
        <f>MIN(T216, T216+(INDEX('Pace of change parameters'!$E$27:$I$27,1,$B$5)-T216)*(1-W216))</f>
        <v>2.3985577938151037E-2</v>
      </c>
      <c r="Y216" s="132">
        <v>1.7445546652931965E-2</v>
      </c>
      <c r="Z216" s="108">
        <f t="shared" si="44"/>
        <v>960367.40195200953</v>
      </c>
      <c r="AA216" s="97">
        <f>MIN(VLOOKUP(A216,'2018-19 disagg'!$A$12:$BB$220,54,FALSE),-2.5%)</f>
        <v>-2.5000000000000001E-2</v>
      </c>
      <c r="AB216" s="99">
        <f t="shared" si="36"/>
        <v>951976.73256903084</v>
      </c>
      <c r="AC216" s="99">
        <f>MAX(IF(INDEX('Pace of change parameters'!$E$29:$I$29,1,$B$5)=1,MAX(AB216,Z216),Z216),L216)</f>
        <v>960367.40195200953</v>
      </c>
      <c r="AD216" s="97">
        <f t="shared" si="37"/>
        <v>2.3985577938151037E-2</v>
      </c>
      <c r="AE216" s="146">
        <v>1.7445546652931965E-2</v>
      </c>
      <c r="AF216" s="56">
        <f t="shared" si="45"/>
        <v>960367.40195200953</v>
      </c>
      <c r="AG216" s="56">
        <v>1667.956645224054</v>
      </c>
      <c r="AH216" s="16">
        <f t="shared" si="38"/>
        <v>2.3985577938151037E-2</v>
      </c>
      <c r="AI216" s="16">
        <f t="shared" si="39"/>
        <v>1.7445546652931965E-2</v>
      </c>
      <c r="AJ216" s="56"/>
      <c r="AK216" s="56">
        <v>976386.39237849321</v>
      </c>
      <c r="AL216" s="56">
        <v>1695.7782700286089</v>
      </c>
      <c r="AM216" s="16">
        <f t="shared" si="35"/>
        <v>-1.6406404832682187E-2</v>
      </c>
      <c r="AN216" s="58">
        <f t="shared" si="35"/>
        <v>-1.6406404832682187E-2</v>
      </c>
      <c r="AP216" s="56">
        <f t="shared" si="40"/>
        <v>0</v>
      </c>
      <c r="AQ216" s="56">
        <f t="shared" si="41"/>
        <v>0</v>
      </c>
    </row>
    <row r="217" spans="1:43" x14ac:dyDescent="0.2">
      <c r="A217" s="156" t="s">
        <v>479</v>
      </c>
      <c r="B217" s="156" t="s">
        <v>480</v>
      </c>
      <c r="D217" s="68">
        <f>VLOOKUP(A217,'2018-19 disagg'!A217:AZ425,43,FALSE)</f>
        <v>521978</v>
      </c>
      <c r="E217" s="73">
        <v>1796.0774289102151</v>
      </c>
      <c r="F217" s="55"/>
      <c r="G217" s="88">
        <v>506009.10298384738</v>
      </c>
      <c r="H217" s="81">
        <v>1732.7872346832548</v>
      </c>
      <c r="I217" s="90"/>
      <c r="J217" s="103">
        <f t="shared" si="42"/>
        <v>3.1558517271699005E-2</v>
      </c>
      <c r="K217" s="126">
        <f t="shared" si="42"/>
        <v>3.6525081071785204E-2</v>
      </c>
      <c r="L217" s="56">
        <v>533916</v>
      </c>
      <c r="M217" s="103">
        <v>1.844598732817615E-2</v>
      </c>
      <c r="N217" s="97">
        <f>INDEX('Pace of change parameters'!$E$22:$I$22,1,$B$5)</f>
        <v>1.356605044543624E-2</v>
      </c>
      <c r="O217" s="108">
        <f>MAX(IF(INDEX('Pace of change parameters'!$E$30:$I$30,1,$B$5)=1,(1+M217)*D217,D217),L217)</f>
        <v>533916</v>
      </c>
      <c r="P217" s="94">
        <f>IF(K217&lt;INDEX('Pace of change parameters'!$E$18:$I$18,1,$B$5),1,IF(K217&gt;INDEX('Pace of change parameters'!$E$19:$I$19,1,$B$5),0,(K217-INDEX('Pace of change parameters'!$E$19:$I$19,1,$B$5))/(INDEX('Pace of change parameters'!$E$18:$I$18,1,$B$5)-INDEX('Pace of change parameters'!$E$19:$I$19,1,$B$5))))</f>
        <v>0</v>
      </c>
      <c r="Q217" s="57">
        <v>1.844598732817615E-2</v>
      </c>
      <c r="R217" s="57">
        <v>1.356605044543624E-2</v>
      </c>
      <c r="S217" s="9">
        <f>MAX(IF(INDEX('Pace of change parameters'!$E$31:$I$31,1,$B$5)=1,D217*(1+Q217),D217),L217)</f>
        <v>533916</v>
      </c>
      <c r="T217" s="103">
        <f>IF(Q217&lt;INDEX('Pace of change parameters'!$E$24:$I$24,1,$B$5),INDEX('Pace of change parameters'!$E$24:$I$24,1,$B$5),Q217)</f>
        <v>2.0738822378003872E-2</v>
      </c>
      <c r="U217" s="132">
        <v>1.5847899256950848E-2</v>
      </c>
      <c r="V217" s="117">
        <f t="shared" si="43"/>
        <v>533916</v>
      </c>
      <c r="W217" s="131">
        <f>IF(J217&gt;INDEX('Pace of change parameters'!$E$26:$I$26,1,$B$5),0,IF(J217&lt;INDEX('Pace of change parameters'!$E$25:$I$25,1,$B$5),1,(J217-INDEX('Pace of change parameters'!$E$26:$I$26,1,$B$5))/(INDEX('Pace of change parameters'!$E$25:$I$25,1,$B$5)-INDEX('Pace of change parameters'!$E$26:$I$26,1,$B$5))))</f>
        <v>1</v>
      </c>
      <c r="X217" s="132">
        <f>MIN(T217, T217+(INDEX('Pace of change parameters'!$E$27:$I$27,1,$B$5)-T217)*(1-W217))</f>
        <v>2.0738822378003872E-2</v>
      </c>
      <c r="Y217" s="132">
        <v>1.5847899256950848E-2</v>
      </c>
      <c r="Z217" s="108">
        <f t="shared" si="44"/>
        <v>533916</v>
      </c>
      <c r="AA217" s="97">
        <f>MIN(VLOOKUP(A217,'2018-19 disagg'!$A$12:$BB$220,54,FALSE),-2.5%)</f>
        <v>-2.5000000000000001E-2</v>
      </c>
      <c r="AB217" s="99">
        <f t="shared" si="36"/>
        <v>506424.96645698539</v>
      </c>
      <c r="AC217" s="99">
        <f>MAX(IF(INDEX('Pace of change parameters'!$E$29:$I$29,1,$B$5)=1,MAX(AB217,Z217),Z217),L217)</f>
        <v>533916</v>
      </c>
      <c r="AD217" s="97">
        <f t="shared" si="37"/>
        <v>2.287069569981881E-2</v>
      </c>
      <c r="AE217" s="146">
        <v>1.7969557596938746E-2</v>
      </c>
      <c r="AF217" s="56">
        <f t="shared" si="45"/>
        <v>533916</v>
      </c>
      <c r="AG217" s="56">
        <v>1828.3521457175789</v>
      </c>
      <c r="AH217" s="16">
        <f t="shared" si="38"/>
        <v>2.287069569981881E-2</v>
      </c>
      <c r="AI217" s="16">
        <f t="shared" si="39"/>
        <v>1.7969557596938746E-2</v>
      </c>
      <c r="AJ217" s="56"/>
      <c r="AK217" s="56">
        <v>519410.2220071645</v>
      </c>
      <c r="AL217" s="56">
        <v>1778.6782825658777</v>
      </c>
      <c r="AM217" s="16">
        <f t="shared" si="35"/>
        <v>2.7927401845848632E-2</v>
      </c>
      <c r="AN217" s="58">
        <f t="shared" si="35"/>
        <v>2.7927401845848632E-2</v>
      </c>
      <c r="AP217" s="56">
        <f t="shared" si="40"/>
        <v>1</v>
      </c>
      <c r="AQ217" s="56">
        <f t="shared" si="41"/>
        <v>0</v>
      </c>
    </row>
    <row r="218" spans="1:43" x14ac:dyDescent="0.2">
      <c r="A218" s="156" t="s">
        <v>481</v>
      </c>
      <c r="B218" s="156" t="s">
        <v>482</v>
      </c>
      <c r="D218" s="68">
        <f>VLOOKUP(A218,'2018-19 disagg'!A218:AZ426,43,FALSE)</f>
        <v>394318</v>
      </c>
      <c r="E218" s="73">
        <v>1457.414782236167</v>
      </c>
      <c r="F218" s="55"/>
      <c r="G218" s="88">
        <v>402060.89624041622</v>
      </c>
      <c r="H218" s="81">
        <v>1474.2362297334128</v>
      </c>
      <c r="I218" s="90"/>
      <c r="J218" s="103">
        <f t="shared" si="42"/>
        <v>-1.9258018655428422E-2</v>
      </c>
      <c r="K218" s="126">
        <f t="shared" si="42"/>
        <v>-1.1410279545421065E-2</v>
      </c>
      <c r="L218" s="56">
        <v>404695</v>
      </c>
      <c r="M218" s="103">
        <v>2.1676442460828005E-2</v>
      </c>
      <c r="N218" s="97">
        <f>INDEX('Pace of change parameters'!$E$22:$I$22,1,$B$5)</f>
        <v>1.356605044543624E-2</v>
      </c>
      <c r="O218" s="108">
        <f>MAX(IF(INDEX('Pace of change parameters'!$E$30:$I$30,1,$B$5)=1,(1+M218)*D218,D218),L218)</f>
        <v>404695</v>
      </c>
      <c r="P218" s="94">
        <f>IF(K218&lt;INDEX('Pace of change parameters'!$E$18:$I$18,1,$B$5),1,IF(K218&gt;INDEX('Pace of change parameters'!$E$19:$I$19,1,$B$5),0,(K218-INDEX('Pace of change parameters'!$E$19:$I$19,1,$B$5))/(INDEX('Pace of change parameters'!$E$18:$I$18,1,$B$5)-INDEX('Pace of change parameters'!$E$19:$I$19,1,$B$5))))</f>
        <v>0.41480610747966845</v>
      </c>
      <c r="Q218" s="57">
        <v>2.6980988023818986E-2</v>
      </c>
      <c r="R218" s="57">
        <v>1.8828486841384384E-2</v>
      </c>
      <c r="S218" s="9">
        <f>MAX(IF(INDEX('Pace of change parameters'!$E$31:$I$31,1,$B$5)=1,D218*(1+Q218),D218),L218)</f>
        <v>404957.08923557628</v>
      </c>
      <c r="T218" s="103">
        <f>IF(Q218&lt;INDEX('Pace of change parameters'!$E$24:$I$24,1,$B$5),INDEX('Pace of change parameters'!$E$24:$I$24,1,$B$5),Q218)</f>
        <v>2.6980988023818986E-2</v>
      </c>
      <c r="U218" s="132">
        <v>1.8828486841384384E-2</v>
      </c>
      <c r="V218" s="117">
        <f t="shared" si="43"/>
        <v>404957.08923557628</v>
      </c>
      <c r="W218" s="131">
        <f>IF(J218&gt;INDEX('Pace of change parameters'!$E$26:$I$26,1,$B$5),0,IF(J218&lt;INDEX('Pace of change parameters'!$E$25:$I$25,1,$B$5),1,(J218-INDEX('Pace of change parameters'!$E$26:$I$26,1,$B$5))/(INDEX('Pace of change parameters'!$E$25:$I$25,1,$B$5)-INDEX('Pace of change parameters'!$E$26:$I$26,1,$B$5))))</f>
        <v>1</v>
      </c>
      <c r="X218" s="132">
        <f>MIN(T218, T218+(INDEX('Pace of change parameters'!$E$27:$I$27,1,$B$5)-T218)*(1-W218))</f>
        <v>2.6980988023818986E-2</v>
      </c>
      <c r="Y218" s="132">
        <v>1.8828486841384384E-2</v>
      </c>
      <c r="Z218" s="108">
        <f t="shared" si="44"/>
        <v>404957.08923557628</v>
      </c>
      <c r="AA218" s="97">
        <f>MIN(VLOOKUP(A218,'2018-19 disagg'!$A$12:$BB$220,54,FALSE),-2.5%)</f>
        <v>-2.5000000000000001E-2</v>
      </c>
      <c r="AB218" s="99">
        <f t="shared" si="36"/>
        <v>402471.8343287477</v>
      </c>
      <c r="AC218" s="99">
        <f>MAX(IF(INDEX('Pace of change parameters'!$E$29:$I$29,1,$B$5)=1,MAX(AB218,Z218),Z218),L218)</f>
        <v>404957.08923557628</v>
      </c>
      <c r="AD218" s="97">
        <f t="shared" si="37"/>
        <v>2.6980988023818986E-2</v>
      </c>
      <c r="AE218" s="146">
        <v>1.8828486841384384E-2</v>
      </c>
      <c r="AF218" s="56">
        <f t="shared" si="45"/>
        <v>404957.08923557628</v>
      </c>
      <c r="AG218" s="56">
        <v>1484.8556972859399</v>
      </c>
      <c r="AH218" s="16">
        <f t="shared" si="38"/>
        <v>2.6980988023818986E-2</v>
      </c>
      <c r="AI218" s="16">
        <f t="shared" si="39"/>
        <v>1.8828486841384384E-2</v>
      </c>
      <c r="AJ218" s="56"/>
      <c r="AK218" s="56">
        <v>412791.62495256175</v>
      </c>
      <c r="AL218" s="56">
        <v>1513.5825804648848</v>
      </c>
      <c r="AM218" s="16">
        <f t="shared" si="35"/>
        <v>-1.8979396003700022E-2</v>
      </c>
      <c r="AN218" s="58">
        <f t="shared" si="35"/>
        <v>-1.89793960036998E-2</v>
      </c>
      <c r="AP218" s="56">
        <f t="shared" si="40"/>
        <v>0</v>
      </c>
      <c r="AQ218" s="56">
        <f t="shared" si="41"/>
        <v>0</v>
      </c>
    </row>
    <row r="219" spans="1:43" x14ac:dyDescent="0.2">
      <c r="A219" s="156" t="s">
        <v>483</v>
      </c>
      <c r="B219" s="156" t="s">
        <v>484</v>
      </c>
      <c r="D219" s="68">
        <f>VLOOKUP(A219,'2018-19 disagg'!A219:AZ427,43,FALSE)</f>
        <v>353494</v>
      </c>
      <c r="E219" s="73">
        <v>1477.6319103527135</v>
      </c>
      <c r="F219" s="55"/>
      <c r="G219" s="88">
        <v>361927.43769864552</v>
      </c>
      <c r="H219" s="81">
        <v>1496.4310483740428</v>
      </c>
      <c r="I219" s="90"/>
      <c r="J219" s="103">
        <f t="shared" si="42"/>
        <v>-2.3301459961893034E-2</v>
      </c>
      <c r="K219" s="126">
        <f t="shared" si="42"/>
        <v>-1.2562649005282034E-2</v>
      </c>
      <c r="L219" s="56">
        <v>363796</v>
      </c>
      <c r="M219" s="103">
        <v>2.4710220075655709E-2</v>
      </c>
      <c r="N219" s="97">
        <f>INDEX('Pace of change parameters'!$E$22:$I$22,1,$B$5)</f>
        <v>1.356605044543624E-2</v>
      </c>
      <c r="O219" s="108">
        <f>MAX(IF(INDEX('Pace of change parameters'!$E$30:$I$30,1,$B$5)=1,(1+M219)*D219,D219),L219)</f>
        <v>363796</v>
      </c>
      <c r="P219" s="94">
        <f>IF(K219&lt;INDEX('Pace of change parameters'!$E$18:$I$18,1,$B$5),1,IF(K219&gt;INDEX('Pace of change parameters'!$E$19:$I$19,1,$B$5),0,(K219-INDEX('Pace of change parameters'!$E$19:$I$19,1,$B$5))/(INDEX('Pace of change parameters'!$E$18:$I$18,1,$B$5)-INDEX('Pace of change parameters'!$E$19:$I$19,1,$B$5))))</f>
        <v>0.4510820467271297</v>
      </c>
      <c r="Q219" s="57">
        <v>3.0495791671522943E-2</v>
      </c>
      <c r="R219" s="57">
        <v>1.9288701432131239E-2</v>
      </c>
      <c r="S219" s="9">
        <f>MAX(IF(INDEX('Pace of change parameters'!$E$31:$I$31,1,$B$5)=1,D219*(1+Q219),D219),L219)</f>
        <v>364274.07938113331</v>
      </c>
      <c r="T219" s="103">
        <f>IF(Q219&lt;INDEX('Pace of change parameters'!$E$24:$I$24,1,$B$5),INDEX('Pace of change parameters'!$E$24:$I$24,1,$B$5),Q219)</f>
        <v>3.0495791671522943E-2</v>
      </c>
      <c r="U219" s="132">
        <v>1.9288701432131239E-2</v>
      </c>
      <c r="V219" s="117">
        <f t="shared" si="43"/>
        <v>364274.07938113331</v>
      </c>
      <c r="W219" s="131">
        <f>IF(J219&gt;INDEX('Pace of change parameters'!$E$26:$I$26,1,$B$5),0,IF(J219&lt;INDEX('Pace of change parameters'!$E$25:$I$25,1,$B$5),1,(J219-INDEX('Pace of change parameters'!$E$26:$I$26,1,$B$5))/(INDEX('Pace of change parameters'!$E$25:$I$25,1,$B$5)-INDEX('Pace of change parameters'!$E$26:$I$26,1,$B$5))))</f>
        <v>1</v>
      </c>
      <c r="X219" s="132">
        <f>MIN(T219, T219+(INDEX('Pace of change parameters'!$E$27:$I$27,1,$B$5)-T219)*(1-W219))</f>
        <v>3.0495791671522943E-2</v>
      </c>
      <c r="Y219" s="132">
        <v>1.9288701432131239E-2</v>
      </c>
      <c r="Z219" s="108">
        <f t="shared" si="44"/>
        <v>364274.07938113331</v>
      </c>
      <c r="AA219" s="97">
        <f>MIN(VLOOKUP(A219,'2018-19 disagg'!$A$12:$BB$220,54,FALSE),-2.5%)</f>
        <v>-2.5000000000000001E-2</v>
      </c>
      <c r="AB219" s="99">
        <f t="shared" si="36"/>
        <v>362218.36674546538</v>
      </c>
      <c r="AC219" s="99">
        <f>MAX(IF(INDEX('Pace of change parameters'!$E$29:$I$29,1,$B$5)=1,MAX(AB219,Z219),Z219),L219)</f>
        <v>364274.07938113331</v>
      </c>
      <c r="AD219" s="97">
        <f t="shared" si="37"/>
        <v>3.0495791671522943E-2</v>
      </c>
      <c r="AE219" s="146">
        <v>1.9288701432131239E-2</v>
      </c>
      <c r="AF219" s="56">
        <f t="shared" si="45"/>
        <v>364274.07938113331</v>
      </c>
      <c r="AG219" s="56">
        <v>1506.1335110980965</v>
      </c>
      <c r="AH219" s="16">
        <f t="shared" si="38"/>
        <v>3.0495791671522943E-2</v>
      </c>
      <c r="AI219" s="16">
        <f t="shared" si="39"/>
        <v>1.9288701432131017E-2</v>
      </c>
      <c r="AJ219" s="56"/>
      <c r="AK219" s="56">
        <v>371506.01717483631</v>
      </c>
      <c r="AL219" s="56">
        <v>1536.0347982821249</v>
      </c>
      <c r="AM219" s="16">
        <f t="shared" si="35"/>
        <v>-1.9466542826679256E-2</v>
      </c>
      <c r="AN219" s="58">
        <f t="shared" si="35"/>
        <v>-1.9466542826679145E-2</v>
      </c>
      <c r="AP219" s="56">
        <f t="shared" si="40"/>
        <v>0</v>
      </c>
      <c r="AQ219" s="56">
        <f t="shared" si="41"/>
        <v>0</v>
      </c>
    </row>
    <row r="220" spans="1:43" x14ac:dyDescent="0.2">
      <c r="A220" s="156" t="s">
        <v>485</v>
      </c>
      <c r="B220" s="156" t="s">
        <v>486</v>
      </c>
      <c r="D220" s="68">
        <f>VLOOKUP(A220,'2018-19 disagg'!A220:AZ428,43,FALSE)</f>
        <v>772078</v>
      </c>
      <c r="E220" s="73">
        <v>1561.3817018715908</v>
      </c>
      <c r="F220" s="55"/>
      <c r="G220" s="88">
        <v>791797.77625177661</v>
      </c>
      <c r="H220" s="81">
        <v>1591.9571218261417</v>
      </c>
      <c r="I220" s="90"/>
      <c r="J220" s="103">
        <f t="shared" si="42"/>
        <v>-2.4905066474329329E-2</v>
      </c>
      <c r="K220" s="126">
        <f t="shared" si="42"/>
        <v>-1.920618309083455E-2</v>
      </c>
      <c r="L220" s="56">
        <v>791200</v>
      </c>
      <c r="M220" s="103">
        <v>1.9489775945755294E-2</v>
      </c>
      <c r="N220" s="97">
        <f>INDEX('Pace of change parameters'!$E$22:$I$22,1,$B$5)</f>
        <v>1.356605044543624E-2</v>
      </c>
      <c r="O220" s="108">
        <f>MAX(IF(INDEX('Pace of change parameters'!$E$30:$I$30,1,$B$5)=1,(1+M220)*D220,D220),L220)</f>
        <v>791200</v>
      </c>
      <c r="P220" s="94">
        <f>IF(K220&lt;INDEX('Pace of change parameters'!$E$18:$I$18,1,$B$5),1,IF(K220&gt;INDEX('Pace of change parameters'!$E$19:$I$19,1,$B$5),0,(K220-INDEX('Pace of change parameters'!$E$19:$I$19,1,$B$5))/(INDEX('Pace of change parameters'!$E$18:$I$18,1,$B$5)-INDEX('Pace of change parameters'!$E$19:$I$19,1,$B$5))))</f>
        <v>0.66021674464338398</v>
      </c>
      <c r="Q220" s="57">
        <v>2.7914565705822625E-2</v>
      </c>
      <c r="R220" s="57">
        <v>2.1941888128578446E-2</v>
      </c>
      <c r="S220" s="9">
        <f>MAX(IF(INDEX('Pace of change parameters'!$E$31:$I$31,1,$B$5)=1,D220*(1+Q220),D220),L220)</f>
        <v>793630.22206102009</v>
      </c>
      <c r="T220" s="103">
        <f>IF(Q220&lt;INDEX('Pace of change parameters'!$E$24:$I$24,1,$B$5),INDEX('Pace of change parameters'!$E$24:$I$24,1,$B$5),Q220)</f>
        <v>2.7914565705822625E-2</v>
      </c>
      <c r="U220" s="132">
        <v>2.1941888128578446E-2</v>
      </c>
      <c r="V220" s="117">
        <f t="shared" si="43"/>
        <v>793630.22206102009</v>
      </c>
      <c r="W220" s="131">
        <f>IF(J220&gt;INDEX('Pace of change parameters'!$E$26:$I$26,1,$B$5),0,IF(J220&lt;INDEX('Pace of change parameters'!$E$25:$I$25,1,$B$5),1,(J220-INDEX('Pace of change parameters'!$E$26:$I$26,1,$B$5))/(INDEX('Pace of change parameters'!$E$25:$I$25,1,$B$5)-INDEX('Pace of change parameters'!$E$26:$I$26,1,$B$5))))</f>
        <v>1</v>
      </c>
      <c r="X220" s="132">
        <f>MIN(T220, T220+(INDEX('Pace of change parameters'!$E$27:$I$27,1,$B$5)-T220)*(1-W220))</f>
        <v>2.7914565705822625E-2</v>
      </c>
      <c r="Y220" s="132">
        <v>2.1941888128578446E-2</v>
      </c>
      <c r="Z220" s="108">
        <f t="shared" si="44"/>
        <v>793630.22206102009</v>
      </c>
      <c r="AA220" s="97">
        <f>MIN(VLOOKUP(A220,'2018-19 disagg'!$A$12:$BB$220,54,FALSE),-2.5%)</f>
        <v>-2.5879321215239837E-2</v>
      </c>
      <c r="AB220" s="99">
        <f t="shared" si="36"/>
        <v>791558.85702803626</v>
      </c>
      <c r="AC220" s="99">
        <f>MAX(IF(INDEX('Pace of change parameters'!$E$29:$I$29,1,$B$5)=1,MAX(AB220,Z220),Z220),L220)</f>
        <v>793630.22206102009</v>
      </c>
      <c r="AD220" s="97">
        <f t="shared" si="37"/>
        <v>2.7914565705822625E-2</v>
      </c>
      <c r="AE220" s="146">
        <v>2.1941888128578446E-2</v>
      </c>
      <c r="AF220" s="56">
        <f t="shared" si="45"/>
        <v>793630.22206102009</v>
      </c>
      <c r="AG220" s="56">
        <v>1595.6413645000669</v>
      </c>
      <c r="AH220" s="16">
        <f t="shared" si="38"/>
        <v>2.7914565705822625E-2</v>
      </c>
      <c r="AI220" s="16">
        <f t="shared" si="39"/>
        <v>2.1941888128578446E-2</v>
      </c>
      <c r="AJ220" s="56"/>
      <c r="AK220" s="56">
        <v>812588.08509796311</v>
      </c>
      <c r="AL220" s="56">
        <v>1633.7572900323826</v>
      </c>
      <c r="AM220" s="16">
        <f t="shared" si="35"/>
        <v>-2.3330225220638767E-2</v>
      </c>
      <c r="AN220" s="58">
        <f t="shared" si="35"/>
        <v>-2.3330225220638656E-2</v>
      </c>
      <c r="AP220" s="56">
        <f t="shared" si="40"/>
        <v>0</v>
      </c>
      <c r="AQ220" s="56">
        <f t="shared" si="41"/>
        <v>0</v>
      </c>
    </row>
    <row r="221" spans="1:43" x14ac:dyDescent="0.2">
      <c r="A221" s="156"/>
      <c r="B221" s="156"/>
      <c r="D221" s="68"/>
      <c r="E221" s="73"/>
      <c r="F221" s="55"/>
      <c r="G221" s="88"/>
      <c r="H221" s="81"/>
      <c r="I221" s="90"/>
      <c r="J221" s="103"/>
      <c r="K221" s="126"/>
      <c r="L221" s="56"/>
      <c r="M221" s="103"/>
      <c r="N221" s="97"/>
      <c r="O221" s="108"/>
      <c r="P221" s="94"/>
      <c r="Q221" s="57"/>
      <c r="R221" s="57"/>
      <c r="S221" s="9"/>
      <c r="T221" s="103"/>
      <c r="U221" s="132"/>
      <c r="V221" s="117"/>
      <c r="W221" s="131"/>
      <c r="X221" s="132"/>
      <c r="Y221" s="132"/>
      <c r="Z221" s="108"/>
      <c r="AA221" s="97"/>
      <c r="AB221" s="99"/>
      <c r="AC221" s="99"/>
      <c r="AD221" s="97"/>
      <c r="AE221" s="146"/>
      <c r="AF221" s="56"/>
      <c r="AG221" s="56"/>
      <c r="AH221" s="16"/>
      <c r="AI221" s="16"/>
      <c r="AJ221" s="56"/>
      <c r="AK221" s="56"/>
      <c r="AL221" s="56"/>
      <c r="AM221" s="16"/>
      <c r="AN221" s="58"/>
      <c r="AP221" s="16"/>
      <c r="AQ221" s="16"/>
    </row>
    <row r="222" spans="1:43" s="43" customFormat="1" x14ac:dyDescent="0.2">
      <c r="A222" s="2"/>
      <c r="B222" s="59" t="s">
        <v>12</v>
      </c>
      <c r="D222" s="23">
        <f>SUM(D12:D220)</f>
        <v>97246517</v>
      </c>
      <c r="E222" s="74">
        <v>1659.717470013358</v>
      </c>
      <c r="F222" s="60"/>
      <c r="G222" s="89">
        <f>SUM(G12:G220)</f>
        <v>97246569.278791681</v>
      </c>
      <c r="H222" s="82">
        <v>1648.2796250138683</v>
      </c>
      <c r="I222" s="154"/>
      <c r="J222" s="104">
        <f>D222/G222-1</f>
        <v>-5.375900874460271E-7</v>
      </c>
      <c r="K222" s="127">
        <f>E222/H222-1</f>
        <v>6.9392625049244927E-3</v>
      </c>
      <c r="L222" s="24">
        <f>SUM(L12:L220)</f>
        <v>99749711</v>
      </c>
      <c r="M222" s="104">
        <f>O222/D222 - 1</f>
        <v>2.594142707485525E-2</v>
      </c>
      <c r="N222" s="26">
        <f>'Pace of change parameters'!$E$22</f>
        <v>9.0547645222140982E-3</v>
      </c>
      <c r="O222" s="109">
        <f>SUM(O12:O220)</f>
        <v>99769230.42903918</v>
      </c>
      <c r="P222" s="26"/>
      <c r="Q222" s="26">
        <f>S222/D222 - 1</f>
        <v>2.6839647633794872E-2</v>
      </c>
      <c r="R222" s="26"/>
      <c r="S222" s="109">
        <f>SUM(S12:S220)</f>
        <v>99856579.249893844</v>
      </c>
      <c r="T222" s="104">
        <f>V222/D222-1</f>
        <v>2.6925869399606617E-2</v>
      </c>
      <c r="U222" s="26"/>
      <c r="V222" s="118">
        <f>SUM(V12:V220)</f>
        <v>99864964.016308621</v>
      </c>
      <c r="W222" s="104"/>
      <c r="X222" s="26">
        <f>Z222/D222-1</f>
        <v>2.665323895268723E-2</v>
      </c>
      <c r="Y222" s="26"/>
      <c r="Z222" s="109">
        <f>SUM(Z12:Z220)</f>
        <v>99838451.654917568</v>
      </c>
      <c r="AA222" s="29"/>
      <c r="AB222" s="29">
        <f>SUM(AB12:AB220)</f>
        <v>97303935.346355006</v>
      </c>
      <c r="AC222" s="29">
        <f>SUM(AC12:AC220)</f>
        <v>99838451.654917568</v>
      </c>
      <c r="AD222" s="26">
        <f>AC222/D222-1</f>
        <v>2.665323895268723E-2</v>
      </c>
      <c r="AE222" s="127"/>
      <c r="AF222" s="24">
        <f>SUM(AF12:AF220)</f>
        <v>99838451.654917568</v>
      </c>
      <c r="AG222" s="61">
        <v>1692.2107060040184</v>
      </c>
      <c r="AH222" s="25">
        <f>AF222/D222 - 1</f>
        <v>2.665323895268723E-2</v>
      </c>
      <c r="AI222" s="25">
        <f>AG222/E222 - 1</f>
        <v>1.9577570627366425E-2</v>
      </c>
      <c r="AJ222" s="21"/>
      <c r="AK222" s="24">
        <f>SUM(AK12:AK220)</f>
        <v>99838483.828704447</v>
      </c>
      <c r="AL222" s="61">
        <v>1692.2112513332549</v>
      </c>
      <c r="AM222" s="25">
        <f t="shared" ref="AM222:AN222" si="46">AF222/AK222-1</f>
        <v>-3.2225836821275777E-7</v>
      </c>
      <c r="AN222" s="62">
        <f t="shared" si="46"/>
        <v>-3.2225836821275777E-7</v>
      </c>
      <c r="AP222" s="28">
        <f>SUM(AP12:AP220)</f>
        <v>135</v>
      </c>
      <c r="AQ222" s="28">
        <f>SUM(AQ12:AQ220)</f>
        <v>0</v>
      </c>
    </row>
    <row r="223" spans="1:43" x14ac:dyDescent="0.2">
      <c r="D223" s="13"/>
      <c r="E223" s="69"/>
      <c r="G223" s="84"/>
      <c r="H223" s="77"/>
      <c r="J223" s="125"/>
      <c r="K223" s="116"/>
      <c r="L223" s="3"/>
      <c r="M223" s="125"/>
      <c r="N223" s="15"/>
      <c r="O223" s="107"/>
      <c r="P223" s="4"/>
      <c r="Q223" s="4"/>
      <c r="R223" s="4"/>
      <c r="S223" s="4"/>
      <c r="T223" s="125"/>
      <c r="U223" s="15"/>
      <c r="V223" s="116"/>
      <c r="W223" s="125"/>
      <c r="X223" s="15"/>
      <c r="Y223" s="15"/>
      <c r="Z223" s="107"/>
      <c r="AA223" s="15"/>
      <c r="AB223" s="15"/>
      <c r="AC223" s="15"/>
      <c r="AD223" s="15"/>
      <c r="AE223" s="116"/>
      <c r="AF223" s="3"/>
      <c r="AG223" s="3"/>
      <c r="AH223" s="3"/>
      <c r="AI223" s="3"/>
      <c r="AJ223" s="3"/>
      <c r="AK223" s="3"/>
      <c r="AL223" s="3"/>
      <c r="AM223" s="3"/>
      <c r="AN223" s="4"/>
      <c r="AP223" s="3"/>
      <c r="AQ223" s="3"/>
    </row>
    <row r="224" spans="1:43" x14ac:dyDescent="0.2">
      <c r="B224" s="43" t="s">
        <v>513</v>
      </c>
      <c r="D224" s="1"/>
      <c r="AP224" s="1"/>
      <c r="AQ224" s="1"/>
    </row>
    <row r="225" spans="2:43" x14ac:dyDescent="0.2">
      <c r="D225" s="1"/>
      <c r="AP225" s="1"/>
      <c r="AQ225" s="1"/>
    </row>
    <row r="226" spans="2:43" x14ac:dyDescent="0.2">
      <c r="B226" s="1" t="s">
        <v>514</v>
      </c>
      <c r="D226" s="55">
        <v>28922025</v>
      </c>
      <c r="E226" s="166">
        <v>1783.1476593407924</v>
      </c>
      <c r="G226" s="55">
        <v>28317128.119472764</v>
      </c>
      <c r="H226" s="166">
        <v>1738.9656553590535</v>
      </c>
      <c r="J226" s="167">
        <f>D226/G226-1</f>
        <v>2.136151935941788E-2</v>
      </c>
      <c r="K226" s="168">
        <f>E226/H226-1</f>
        <v>2.54070595618614E-2</v>
      </c>
      <c r="L226" s="55">
        <v>29603721</v>
      </c>
      <c r="M226" s="167">
        <f>O226/$D226-1</f>
        <v>2.3728962086446925E-2</v>
      </c>
      <c r="N226" s="169">
        <f>N$222</f>
        <v>9.0547645222140982E-3</v>
      </c>
      <c r="O226" s="55">
        <v>29608314.634688273</v>
      </c>
      <c r="Q226" s="167">
        <f>S226/$D226-1</f>
        <v>2.3857518161363611E-2</v>
      </c>
      <c r="R226" s="170">
        <v>1.9818091367222346E-2</v>
      </c>
      <c r="S226" s="55">
        <v>29612032.736700915</v>
      </c>
      <c r="T226" s="167">
        <f>V226/$D226-1</f>
        <v>2.4050141027950112E-2</v>
      </c>
      <c r="U226" s="170">
        <v>2.0009954278488173E-2</v>
      </c>
      <c r="V226" s="55">
        <v>29617603.780063901</v>
      </c>
      <c r="X226" s="167">
        <f>Z226/$D226-1</f>
        <v>2.3734690161370864E-2</v>
      </c>
      <c r="Y226" s="170">
        <v>1.9695747960745136E-2</v>
      </c>
      <c r="Z226" s="55">
        <v>29608480.302214421</v>
      </c>
      <c r="AB226" s="55">
        <v>28333736.718578272</v>
      </c>
      <c r="AC226" s="55">
        <v>29608480.302214421</v>
      </c>
      <c r="AD226" s="167">
        <f>AC226/$D226-1</f>
        <v>2.3734690161370864E-2</v>
      </c>
      <c r="AE226" s="170">
        <v>1.9695747960745136E-2</v>
      </c>
      <c r="AF226" s="55">
        <v>29608480.302214421</v>
      </c>
      <c r="AG226" s="166">
        <v>1818.2680862159614</v>
      </c>
      <c r="AH226" s="171">
        <f t="shared" ref="AH226:AI229" si="47">AF226/D226 - 1</f>
        <v>2.3734690161370864E-2</v>
      </c>
      <c r="AI226" s="171">
        <f t="shared" si="47"/>
        <v>1.9695747960745136E-2</v>
      </c>
      <c r="AK226" s="55">
        <v>29064326.035454817</v>
      </c>
      <c r="AL226" s="166">
        <v>1784.8513648196513</v>
      </c>
      <c r="AM226" s="171">
        <f>AF226/AK226-1</f>
        <v>1.8722411319491927E-2</v>
      </c>
      <c r="AN226" s="170">
        <f t="shared" ref="AN226:AN229" si="48">AG226/AL226-1</f>
        <v>1.8722411319491927E-2</v>
      </c>
      <c r="AP226" s="55">
        <v>61</v>
      </c>
      <c r="AQ226" s="55">
        <v>0</v>
      </c>
    </row>
    <row r="227" spans="2:43" x14ac:dyDescent="0.2">
      <c r="B227" s="1" t="s">
        <v>515</v>
      </c>
      <c r="D227" s="55">
        <v>28429216</v>
      </c>
      <c r="E227" s="166">
        <v>1606.7750991256148</v>
      </c>
      <c r="G227" s="55">
        <v>28865900.9980211</v>
      </c>
      <c r="H227" s="166">
        <v>1620.2857040983804</v>
      </c>
      <c r="J227" s="167">
        <f t="shared" ref="J227:K229" si="49">D227/G227-1</f>
        <v>-1.5128057081988722E-2</v>
      </c>
      <c r="K227" s="168">
        <f t="shared" si="49"/>
        <v>-8.3384090463747285E-3</v>
      </c>
      <c r="L227" s="55">
        <v>29158666</v>
      </c>
      <c r="M227" s="167">
        <f>O227/$D227-1</f>
        <v>2.5658463462376213E-2</v>
      </c>
      <c r="N227" s="169">
        <f t="shared" ref="N227:N229" si="50">N$222</f>
        <v>9.0547645222140982E-3</v>
      </c>
      <c r="O227" s="55">
        <v>29158666</v>
      </c>
      <c r="Q227" s="167">
        <f>S227/$D227-1</f>
        <v>2.7421724436502704E-2</v>
      </c>
      <c r="R227" s="170">
        <v>2.0387236102272333E-2</v>
      </c>
      <c r="S227" s="55">
        <v>29208794.127097815</v>
      </c>
      <c r="T227" s="167">
        <f>V227/$D227-1</f>
        <v>2.7427663748202047E-2</v>
      </c>
      <c r="U227" s="170">
        <v>2.0393134749054909E-2</v>
      </c>
      <c r="V227" s="55">
        <v>29208962.977073006</v>
      </c>
      <c r="X227" s="167">
        <f>Z227/$D227-1</f>
        <v>2.7421724436502704E-2</v>
      </c>
      <c r="Y227" s="170">
        <v>2.0387236102272333E-2</v>
      </c>
      <c r="Z227" s="55">
        <v>29208794.127097815</v>
      </c>
      <c r="AB227" s="55">
        <v>28868415.228932116</v>
      </c>
      <c r="AC227" s="55">
        <v>29208794.127097815</v>
      </c>
      <c r="AD227" s="167">
        <f>AC227/$D227-1</f>
        <v>2.7421724436502704E-2</v>
      </c>
      <c r="AE227" s="170">
        <v>2.0387236102272333E-2</v>
      </c>
      <c r="AF227" s="55">
        <v>29208794.127097815</v>
      </c>
      <c r="AG227" s="166">
        <v>1639.5328024347411</v>
      </c>
      <c r="AH227" s="171">
        <f t="shared" si="47"/>
        <v>2.7421724436502704E-2</v>
      </c>
      <c r="AI227" s="171">
        <f t="shared" si="47"/>
        <v>2.0387236102272555E-2</v>
      </c>
      <c r="AK227" s="55">
        <v>29633707.032816164</v>
      </c>
      <c r="AL227" s="166">
        <v>1663.3837921083198</v>
      </c>
      <c r="AM227" s="171">
        <f t="shared" ref="AM227:AM229" si="51">AF227/AK227-1</f>
        <v>-1.4338837366779766E-2</v>
      </c>
      <c r="AN227" s="170">
        <f t="shared" si="48"/>
        <v>-1.4338837366779766E-2</v>
      </c>
      <c r="AP227" s="55">
        <v>28</v>
      </c>
      <c r="AQ227" s="55">
        <v>0</v>
      </c>
    </row>
    <row r="228" spans="2:43" x14ac:dyDescent="0.2">
      <c r="B228" s="1" t="s">
        <v>516</v>
      </c>
      <c r="D228" s="55">
        <v>16036497</v>
      </c>
      <c r="E228" s="166">
        <v>1646.9036737149797</v>
      </c>
      <c r="G228" s="55">
        <v>16028737.504017472</v>
      </c>
      <c r="H228" s="166">
        <v>1627.0635552323097</v>
      </c>
      <c r="J228" s="167">
        <f t="shared" si="49"/>
        <v>4.8409901157731028E-4</v>
      </c>
      <c r="K228" s="168">
        <f t="shared" si="49"/>
        <v>1.2193818993037064E-2</v>
      </c>
      <c r="L228" s="55">
        <v>16512610</v>
      </c>
      <c r="M228" s="167">
        <f>O228/$D228-1</f>
        <v>3.0541458329032878E-2</v>
      </c>
      <c r="N228" s="169">
        <f t="shared" si="50"/>
        <v>9.0547645222140982E-3</v>
      </c>
      <c r="O228" s="55">
        <v>16526275.004869161</v>
      </c>
      <c r="Q228" s="167">
        <f>S228/$D228-1</f>
        <v>3.1465926044517367E-2</v>
      </c>
      <c r="R228" s="170">
        <v>1.9533253726468525E-2</v>
      </c>
      <c r="S228" s="55">
        <v>16541100.228615124</v>
      </c>
      <c r="T228" s="167">
        <f>V228/$D228-1</f>
        <v>3.1586539226413635E-2</v>
      </c>
      <c r="U228" s="170">
        <v>1.9652471576206532E-2</v>
      </c>
      <c r="V228" s="55">
        <v>16543034.441544766</v>
      </c>
      <c r="X228" s="167">
        <f>Z228/$D228-1</f>
        <v>3.0635671718523216E-2</v>
      </c>
      <c r="Y228" s="170">
        <v>1.8712604325428872E-2</v>
      </c>
      <c r="Z228" s="55">
        <v>16527785.857607082</v>
      </c>
      <c r="AB228" s="55">
        <v>16050789.83165496</v>
      </c>
      <c r="AC228" s="55">
        <v>16527785.857607082</v>
      </c>
      <c r="AD228" s="167">
        <f>AC228/$D228-1</f>
        <v>3.0635671718523216E-2</v>
      </c>
      <c r="AE228" s="170">
        <v>1.8712604325428872E-2</v>
      </c>
      <c r="AF228" s="55">
        <v>16527785.857607082</v>
      </c>
      <c r="AG228" s="166">
        <v>1677.7215305233035</v>
      </c>
      <c r="AH228" s="171">
        <f t="shared" si="47"/>
        <v>3.0635671718523216E-2</v>
      </c>
      <c r="AI228" s="171">
        <f t="shared" si="47"/>
        <v>1.8712604325428872E-2</v>
      </c>
      <c r="AK228" s="55">
        <v>16468357.288225044</v>
      </c>
      <c r="AL228" s="166">
        <v>1671.6889868275275</v>
      </c>
      <c r="AM228" s="171">
        <f t="shared" si="51"/>
        <v>3.608651934247753E-3</v>
      </c>
      <c r="AN228" s="170">
        <f t="shared" si="48"/>
        <v>3.608651934247753E-3</v>
      </c>
      <c r="AP228" s="55">
        <v>18</v>
      </c>
      <c r="AQ228" s="55">
        <v>0</v>
      </c>
    </row>
    <row r="229" spans="2:43" x14ac:dyDescent="0.2">
      <c r="B229" s="1" t="s">
        <v>517</v>
      </c>
      <c r="D229" s="55">
        <v>23858779</v>
      </c>
      <c r="E229" s="166">
        <v>1596.773906066021</v>
      </c>
      <c r="G229" s="55">
        <v>24034802.657280304</v>
      </c>
      <c r="H229" s="166">
        <v>1597.1778553220026</v>
      </c>
      <c r="J229" s="167">
        <f t="shared" si="49"/>
        <v>-7.3236988790912338E-3</v>
      </c>
      <c r="K229" s="168">
        <f t="shared" si="49"/>
        <v>-2.5291438560559598E-4</v>
      </c>
      <c r="L229" s="55">
        <v>24474714</v>
      </c>
      <c r="M229" s="167">
        <f>O229/$D229-1</f>
        <v>2.5868708096157933E-2</v>
      </c>
      <c r="N229" s="169">
        <f t="shared" si="50"/>
        <v>9.0547645222140982E-3</v>
      </c>
      <c r="O229" s="55">
        <v>24475974.789481744</v>
      </c>
      <c r="Q229" s="167">
        <f>S229/$D229-1</f>
        <v>2.6651538097568928E-2</v>
      </c>
      <c r="R229" s="170">
        <v>1.9390469893171725E-2</v>
      </c>
      <c r="S229" s="55">
        <v>24494652.157479979</v>
      </c>
      <c r="T229" s="167">
        <f>V229/$D229-1</f>
        <v>2.6681324204684387E-2</v>
      </c>
      <c r="U229" s="170">
        <v>1.9420045335862834E-2</v>
      </c>
      <c r="V229" s="55">
        <v>24495362.817626916</v>
      </c>
      <c r="X229" s="167">
        <f>Z229/$D229-1</f>
        <v>2.6598694258337163E-2</v>
      </c>
      <c r="Y229" s="170">
        <v>1.9337999795863592E-2</v>
      </c>
      <c r="Z229" s="55">
        <v>24493391.367998235</v>
      </c>
      <c r="AB229" s="55">
        <v>24050993.567189716</v>
      </c>
      <c r="AC229" s="55">
        <v>24493391.367998235</v>
      </c>
      <c r="AD229" s="167">
        <f>AC229/$D229-1</f>
        <v>2.6598694258337163E-2</v>
      </c>
      <c r="AE229" s="170">
        <v>1.9337999795863592E-2</v>
      </c>
      <c r="AF229" s="55">
        <v>24493391.367998235</v>
      </c>
      <c r="AG229" s="166">
        <v>1627.652319535566</v>
      </c>
      <c r="AH229" s="171">
        <f t="shared" si="47"/>
        <v>2.6598694258337163E-2</v>
      </c>
      <c r="AI229" s="171">
        <f t="shared" si="47"/>
        <v>1.9337999795863592E-2</v>
      </c>
      <c r="AK229" s="55">
        <v>24672093.472208474</v>
      </c>
      <c r="AL229" s="166">
        <v>1639.5275592707915</v>
      </c>
      <c r="AM229" s="171">
        <f t="shared" si="51"/>
        <v>-7.2430863806322021E-3</v>
      </c>
      <c r="AN229" s="170">
        <f t="shared" si="48"/>
        <v>-7.2430863806322021E-3</v>
      </c>
      <c r="AP229" s="55">
        <v>28</v>
      </c>
      <c r="AQ229" s="55">
        <v>0</v>
      </c>
    </row>
    <row r="230" spans="2:43" ht="15" x14ac:dyDescent="0.25">
      <c r="B230"/>
      <c r="D230" s="1"/>
      <c r="G230" s="1"/>
      <c r="L230" s="1"/>
      <c r="O230" s="1"/>
      <c r="Q230" s="53"/>
      <c r="S230" s="1"/>
      <c r="U230" s="52"/>
      <c r="V230" s="1"/>
      <c r="X230" s="53"/>
      <c r="Y230" s="52"/>
      <c r="Z230" s="1"/>
      <c r="AB230" s="1"/>
      <c r="AC230" s="1"/>
      <c r="AD230" s="53"/>
      <c r="AE230" s="52"/>
      <c r="AF230" s="1"/>
      <c r="AG230" s="75"/>
      <c r="AK230" s="1"/>
      <c r="AL230" s="75"/>
      <c r="AP230" s="1"/>
      <c r="AQ230" s="1"/>
    </row>
    <row r="231" spans="2:43" x14ac:dyDescent="0.2">
      <c r="B231" s="1" t="s">
        <v>12</v>
      </c>
      <c r="D231" s="172">
        <f>SUM(D226:D229)</f>
        <v>97246517</v>
      </c>
      <c r="E231" s="173">
        <v>1659.717470013358</v>
      </c>
      <c r="G231" s="172">
        <f>SUM(G226:G229)</f>
        <v>97246569.278791636</v>
      </c>
      <c r="H231" s="173">
        <v>1648.2796250138676</v>
      </c>
      <c r="J231" s="167">
        <f>D231/G231-1</f>
        <v>-5.3759008700193789E-7</v>
      </c>
      <c r="K231" s="168">
        <f>E231/H231-1</f>
        <v>6.9392625049249368E-3</v>
      </c>
      <c r="L231" s="172">
        <f>SUM(L226:L229)</f>
        <v>99749711</v>
      </c>
      <c r="M231" s="167">
        <f>O231/$D231-1</f>
        <v>2.594142707485525E-2</v>
      </c>
      <c r="N231" s="169">
        <f>N$222</f>
        <v>9.0547645222140982E-3</v>
      </c>
      <c r="O231" s="172">
        <f>SUM(O226:O229)</f>
        <v>99769230.42903918</v>
      </c>
      <c r="Q231" s="167">
        <f>S231/$D231-1</f>
        <v>2.6839647633794872E-2</v>
      </c>
      <c r="R231" s="170">
        <v>1.9762694584527729E-2</v>
      </c>
      <c r="S231" s="172">
        <f>SUM(S226:S229)</f>
        <v>99856579.249893844</v>
      </c>
      <c r="T231" s="167">
        <f>V231/$D231-1</f>
        <v>2.6925869399606395E-2</v>
      </c>
      <c r="U231" s="170">
        <v>1.9848322112095751E-2</v>
      </c>
      <c r="V231" s="172">
        <f>SUM(V226:V229)</f>
        <v>99864964.016308606</v>
      </c>
      <c r="X231" s="167">
        <f>Z231/$D231-1</f>
        <v>2.665323895268723E-2</v>
      </c>
      <c r="Y231" s="170">
        <v>1.9577570627366203E-2</v>
      </c>
      <c r="Z231" s="172">
        <f>SUM(Z226:Z229)</f>
        <v>99838451.654917568</v>
      </c>
      <c r="AB231" s="172">
        <f>SUM(AB226:AB229)</f>
        <v>97303935.346355081</v>
      </c>
      <c r="AC231" s="172">
        <f>SUM(AC226:AC229)</f>
        <v>99838451.654917568</v>
      </c>
      <c r="AD231" s="167">
        <f>AC231/$D231-1</f>
        <v>2.665323895268723E-2</v>
      </c>
      <c r="AE231" s="170">
        <v>1.9577570627366203E-2</v>
      </c>
      <c r="AF231" s="172">
        <f>SUM(AF226:AF229)</f>
        <v>99838451.654917568</v>
      </c>
      <c r="AG231" s="166">
        <v>1692.2107060040184</v>
      </c>
      <c r="AH231" s="171">
        <f>AF231/D231 - 1</f>
        <v>2.665323895268723E-2</v>
      </c>
      <c r="AI231" s="171">
        <f>AG231/E231 - 1</f>
        <v>1.9577570627366425E-2</v>
      </c>
      <c r="AK231" s="172">
        <f>SUM(AK226:AK229)</f>
        <v>99838483.828704491</v>
      </c>
      <c r="AL231" s="173">
        <v>1692.2112513332556</v>
      </c>
      <c r="AM231" s="171">
        <f>AF231/AK231-1</f>
        <v>-3.2225836865684698E-7</v>
      </c>
      <c r="AN231" s="170">
        <f t="shared" ref="AN231" si="52">AG231/AL231-1</f>
        <v>-3.2225836865684698E-7</v>
      </c>
      <c r="AP231" s="172">
        <f>SUM(AP226:AP229)</f>
        <v>135</v>
      </c>
      <c r="AQ231" s="172">
        <f>SUM(AQ226:AQ229)</f>
        <v>0</v>
      </c>
    </row>
    <row r="232" spans="2:43" ht="15" x14ac:dyDescent="0.25">
      <c r="B232"/>
      <c r="D232" s="1"/>
      <c r="G232" s="1"/>
      <c r="L232" s="1"/>
      <c r="O232" s="1"/>
      <c r="Q232" s="53"/>
      <c r="S232" s="1"/>
      <c r="U232" s="52"/>
      <c r="V232" s="1"/>
      <c r="X232" s="53"/>
      <c r="Y232" s="52"/>
      <c r="Z232" s="1"/>
      <c r="AB232" s="1"/>
      <c r="AC232" s="1"/>
      <c r="AD232" s="53"/>
      <c r="AE232" s="52"/>
      <c r="AF232" s="1"/>
      <c r="AG232" s="75"/>
      <c r="AK232" s="1"/>
      <c r="AL232" s="75"/>
      <c r="AP232" s="1"/>
      <c r="AQ232" s="1"/>
    </row>
    <row r="233" spans="2:43" x14ac:dyDescent="0.2">
      <c r="B233" s="43" t="s">
        <v>518</v>
      </c>
      <c r="D233" s="1"/>
      <c r="G233" s="1"/>
      <c r="L233" s="1"/>
      <c r="O233" s="1"/>
      <c r="Q233" s="53"/>
      <c r="S233" s="1"/>
      <c r="U233" s="52"/>
      <c r="V233" s="1"/>
      <c r="X233" s="53"/>
      <c r="Y233" s="52"/>
      <c r="Z233" s="1"/>
      <c r="AB233" s="1"/>
      <c r="AC233" s="1"/>
      <c r="AD233" s="53"/>
      <c r="AE233" s="52"/>
      <c r="AF233" s="1"/>
      <c r="AG233" s="75"/>
      <c r="AK233" s="1"/>
      <c r="AL233" s="75"/>
      <c r="AP233" s="1"/>
      <c r="AQ233" s="1"/>
    </row>
    <row r="234" spans="2:43" x14ac:dyDescent="0.2">
      <c r="D234" s="1"/>
      <c r="G234" s="1"/>
      <c r="L234" s="1"/>
      <c r="O234" s="1"/>
      <c r="Q234" s="53"/>
      <c r="S234" s="1"/>
      <c r="U234" s="52"/>
      <c r="V234" s="1"/>
      <c r="X234" s="53"/>
      <c r="Y234" s="52"/>
      <c r="Z234" s="1"/>
      <c r="AB234" s="1"/>
      <c r="AC234" s="1"/>
      <c r="AD234" s="53"/>
      <c r="AE234" s="52"/>
      <c r="AF234" s="1"/>
      <c r="AG234" s="75"/>
      <c r="AK234" s="1"/>
      <c r="AL234" s="75"/>
      <c r="AP234" s="1"/>
      <c r="AQ234" s="1"/>
    </row>
    <row r="235" spans="2:43" x14ac:dyDescent="0.2">
      <c r="B235" s="1" t="s">
        <v>519</v>
      </c>
      <c r="D235" s="55">
        <v>2312259</v>
      </c>
      <c r="E235" s="166">
        <v>1850.8124811178513</v>
      </c>
      <c r="G235" s="55">
        <v>2260229.6705541909</v>
      </c>
      <c r="H235" s="166">
        <v>1803.0975210292097</v>
      </c>
      <c r="J235" s="167">
        <f t="shared" ref="J235:K259" si="53">D235/G235-1</f>
        <v>2.3019487852777409E-2</v>
      </c>
      <c r="K235" s="168">
        <f t="shared" si="53"/>
        <v>2.6462772829616954E-2</v>
      </c>
      <c r="L235" s="55">
        <v>2366489</v>
      </c>
      <c r="M235" s="167">
        <f t="shared" ref="M235:M259" si="54">O235/$D235-1</f>
        <v>2.345325502030704E-2</v>
      </c>
      <c r="N235" s="169">
        <f t="shared" ref="N235:N259" si="55">N$222</f>
        <v>9.0547645222140982E-3</v>
      </c>
      <c r="O235" s="55">
        <v>2366489</v>
      </c>
      <c r="Q235" s="167">
        <f t="shared" ref="Q235:Q259" si="56">S235/$D235-1</f>
        <v>2.345325502030704E-2</v>
      </c>
      <c r="R235" s="170">
        <v>2.002006551671287E-2</v>
      </c>
      <c r="S235" s="55">
        <v>2366489</v>
      </c>
      <c r="T235" s="167">
        <f t="shared" ref="T235:T259" si="57">V235/$D235-1</f>
        <v>2.345325502030704E-2</v>
      </c>
      <c r="U235" s="170">
        <v>2.002006551671287E-2</v>
      </c>
      <c r="V235" s="55">
        <v>2366489</v>
      </c>
      <c r="X235" s="167">
        <f t="shared" ref="X235:X259" si="58">Z235/$D235-1</f>
        <v>2.345325502030704E-2</v>
      </c>
      <c r="Y235" s="170">
        <v>2.002006551671287E-2</v>
      </c>
      <c r="Z235" s="55">
        <v>2366489</v>
      </c>
      <c r="AB235" s="55">
        <v>2261387.7155727856</v>
      </c>
      <c r="AC235" s="55">
        <v>2366489</v>
      </c>
      <c r="AD235" s="167">
        <f t="shared" ref="AD235:AD259" si="59">AC235/$D235-1</f>
        <v>2.345325502030704E-2</v>
      </c>
      <c r="AE235" s="170">
        <v>2.002006551671287E-2</v>
      </c>
      <c r="AF235" s="55">
        <v>2366489</v>
      </c>
      <c r="AG235" s="166">
        <v>1887.8658682489802</v>
      </c>
      <c r="AH235" s="171">
        <f t="shared" ref="AH235:AI259" si="60">AF235/D235 - 1</f>
        <v>2.345325502030704E-2</v>
      </c>
      <c r="AI235" s="171">
        <f t="shared" si="60"/>
        <v>2.0020065516712648E-2</v>
      </c>
      <c r="AK235" s="55">
        <v>2319372.0159720876</v>
      </c>
      <c r="AL235" s="166">
        <v>1850.2783088049566</v>
      </c>
      <c r="AM235" s="171">
        <f t="shared" ref="AM235:AN259" si="61">AF235/AK235-1</f>
        <v>2.0314543636573479E-2</v>
      </c>
      <c r="AN235" s="170">
        <f t="shared" si="61"/>
        <v>2.0314543636573479E-2</v>
      </c>
      <c r="AP235" s="55">
        <v>5</v>
      </c>
      <c r="AQ235" s="55">
        <v>0</v>
      </c>
    </row>
    <row r="236" spans="2:43" x14ac:dyDescent="0.2">
      <c r="B236" s="1" t="s">
        <v>520</v>
      </c>
      <c r="D236" s="55">
        <v>3763132</v>
      </c>
      <c r="E236" s="166">
        <v>1861.099807272994</v>
      </c>
      <c r="G236" s="55">
        <v>3603106.9859900787</v>
      </c>
      <c r="H236" s="166">
        <v>1778.4518472773557</v>
      </c>
      <c r="J236" s="167">
        <f t="shared" si="53"/>
        <v>4.4413062013463511E-2</v>
      </c>
      <c r="K236" s="168">
        <f t="shared" si="53"/>
        <v>4.6471857037998943E-2</v>
      </c>
      <c r="L236" s="55">
        <v>3840723</v>
      </c>
      <c r="M236" s="167">
        <f t="shared" si="54"/>
        <v>2.1839423833198701E-2</v>
      </c>
      <c r="N236" s="169">
        <f t="shared" si="55"/>
        <v>9.0547645222140982E-3</v>
      </c>
      <c r="O236" s="55">
        <v>3845316.6346882726</v>
      </c>
      <c r="Q236" s="167">
        <f t="shared" si="56"/>
        <v>2.1839423833198701E-2</v>
      </c>
      <c r="R236" s="170">
        <v>1.9829089864336513E-2</v>
      </c>
      <c r="S236" s="55">
        <v>3845316.6346882726</v>
      </c>
      <c r="T236" s="167">
        <f t="shared" si="57"/>
        <v>2.3028936298071789E-2</v>
      </c>
      <c r="U236" s="170">
        <v>2.1016262120700624E-2</v>
      </c>
      <c r="V236" s="55">
        <v>3849792.9271092354</v>
      </c>
      <c r="X236" s="167">
        <f t="shared" si="58"/>
        <v>2.0895413767515247E-2</v>
      </c>
      <c r="Y236" s="170">
        <v>1.8886937013649518E-2</v>
      </c>
      <c r="Z236" s="55">
        <v>3841764.2002017773</v>
      </c>
      <c r="AB236" s="55">
        <v>3605146.6054582377</v>
      </c>
      <c r="AC236" s="55">
        <v>3841764.2002017773</v>
      </c>
      <c r="AD236" s="167">
        <f t="shared" si="59"/>
        <v>2.0895413767515247E-2</v>
      </c>
      <c r="AE236" s="170">
        <v>1.8886937013649518E-2</v>
      </c>
      <c r="AF236" s="55">
        <v>3841764.2002017773</v>
      </c>
      <c r="AG236" s="166">
        <v>1896.2502821090748</v>
      </c>
      <c r="AH236" s="171">
        <f t="shared" si="60"/>
        <v>2.0895413767515247E-2</v>
      </c>
      <c r="AI236" s="171">
        <f t="shared" si="60"/>
        <v>1.8886937013649741E-2</v>
      </c>
      <c r="AK236" s="55">
        <v>3697586.2620084495</v>
      </c>
      <c r="AL236" s="166">
        <v>1825.0857228790617</v>
      </c>
      <c r="AM236" s="171">
        <f t="shared" si="61"/>
        <v>3.8992447498713334E-2</v>
      </c>
      <c r="AN236" s="170">
        <f t="shared" si="61"/>
        <v>3.8992447498713334E-2</v>
      </c>
      <c r="AP236" s="55">
        <v>5</v>
      </c>
      <c r="AQ236" s="55">
        <v>0</v>
      </c>
    </row>
    <row r="237" spans="2:43" x14ac:dyDescent="0.2">
      <c r="B237" s="1" t="s">
        <v>55</v>
      </c>
      <c r="D237" s="55">
        <v>2789059</v>
      </c>
      <c r="E237" s="166">
        <v>1811.9714526446132</v>
      </c>
      <c r="G237" s="55">
        <v>2741254.7208324675</v>
      </c>
      <c r="H237" s="166">
        <v>1776.6526857349959</v>
      </c>
      <c r="J237" s="167">
        <f t="shared" si="53"/>
        <v>1.7438831497211371E-2</v>
      </c>
      <c r="K237" s="168">
        <f t="shared" si="53"/>
        <v>1.987938734069794E-2</v>
      </c>
      <c r="L237" s="55">
        <v>2856399</v>
      </c>
      <c r="M237" s="167">
        <f t="shared" si="54"/>
        <v>2.4144344024274789E-2</v>
      </c>
      <c r="N237" s="169">
        <f t="shared" si="55"/>
        <v>9.0547645222140982E-3</v>
      </c>
      <c r="O237" s="55">
        <v>2856399</v>
      </c>
      <c r="Q237" s="167">
        <f t="shared" si="56"/>
        <v>2.4144344024274789E-2</v>
      </c>
      <c r="R237" s="170">
        <v>2.1693582204389772E-2</v>
      </c>
      <c r="S237" s="55">
        <v>2856399</v>
      </c>
      <c r="T237" s="167">
        <f t="shared" si="57"/>
        <v>2.4144344024274789E-2</v>
      </c>
      <c r="U237" s="170">
        <v>2.1693582204389772E-2</v>
      </c>
      <c r="V237" s="55">
        <v>2856399</v>
      </c>
      <c r="X237" s="167">
        <f t="shared" si="58"/>
        <v>2.4144344024274789E-2</v>
      </c>
      <c r="Y237" s="170">
        <v>2.1693582204389772E-2</v>
      </c>
      <c r="Z237" s="55">
        <v>2856399</v>
      </c>
      <c r="AB237" s="55">
        <v>2743446.391535148</v>
      </c>
      <c r="AC237" s="55">
        <v>2856399</v>
      </c>
      <c r="AD237" s="167">
        <f t="shared" si="59"/>
        <v>2.4144344024274789E-2</v>
      </c>
      <c r="AE237" s="170">
        <v>2.1693582204389772E-2</v>
      </c>
      <c r="AF237" s="55">
        <v>2856399</v>
      </c>
      <c r="AG237" s="166">
        <v>1851.2796043045669</v>
      </c>
      <c r="AH237" s="171">
        <f t="shared" si="60"/>
        <v>2.4144344024274789E-2</v>
      </c>
      <c r="AI237" s="171">
        <f t="shared" si="60"/>
        <v>2.1693582204389772E-2</v>
      </c>
      <c r="AK237" s="55">
        <v>2813791.1708052801</v>
      </c>
      <c r="AL237" s="166">
        <v>1823.6647629704685</v>
      </c>
      <c r="AM237" s="171">
        <f t="shared" si="61"/>
        <v>1.5142498717318098E-2</v>
      </c>
      <c r="AN237" s="170">
        <f t="shared" si="61"/>
        <v>1.5142498717318098E-2</v>
      </c>
      <c r="AP237" s="55">
        <v>8</v>
      </c>
      <c r="AQ237" s="55">
        <v>0</v>
      </c>
    </row>
    <row r="238" spans="2:43" x14ac:dyDescent="0.2">
      <c r="B238" s="1" t="s">
        <v>521</v>
      </c>
      <c r="D238" s="55">
        <v>5425321</v>
      </c>
      <c r="E238" s="166">
        <v>1806.7478213382662</v>
      </c>
      <c r="G238" s="55">
        <v>5459724.2804764584</v>
      </c>
      <c r="H238" s="166">
        <v>1807.8099715915735</v>
      </c>
      <c r="J238" s="167">
        <f t="shared" si="53"/>
        <v>-6.3012853230486332E-3</v>
      </c>
      <c r="K238" s="168">
        <f t="shared" si="53"/>
        <v>-5.8753423755708578E-4</v>
      </c>
      <c r="L238" s="55">
        <v>5565028</v>
      </c>
      <c r="M238" s="167">
        <f t="shared" si="54"/>
        <v>2.5750918701400449E-2</v>
      </c>
      <c r="N238" s="169">
        <f t="shared" si="55"/>
        <v>9.0547645222140982E-3</v>
      </c>
      <c r="O238" s="55">
        <v>5565028</v>
      </c>
      <c r="Q238" s="167">
        <f t="shared" si="56"/>
        <v>2.6248964671255592E-2</v>
      </c>
      <c r="R238" s="170">
        <v>2.0381786367249077E-2</v>
      </c>
      <c r="S238" s="55">
        <v>5567730.059259221</v>
      </c>
      <c r="T238" s="167">
        <f t="shared" si="57"/>
        <v>2.6248964671255592E-2</v>
      </c>
      <c r="U238" s="170">
        <v>2.0381786367249077E-2</v>
      </c>
      <c r="V238" s="55">
        <v>5567730.059259221</v>
      </c>
      <c r="X238" s="167">
        <f t="shared" si="58"/>
        <v>2.6248964671255592E-2</v>
      </c>
      <c r="Y238" s="170">
        <v>2.0381786367249077E-2</v>
      </c>
      <c r="Z238" s="55">
        <v>5567730.059259221</v>
      </c>
      <c r="AB238" s="55">
        <v>5462932.4935907591</v>
      </c>
      <c r="AC238" s="55">
        <v>5567730.059259221</v>
      </c>
      <c r="AD238" s="167">
        <f t="shared" si="59"/>
        <v>2.6248964671255592E-2</v>
      </c>
      <c r="AE238" s="170">
        <v>2.0381786367249077E-2</v>
      </c>
      <c r="AF238" s="55">
        <v>5567730.059259221</v>
      </c>
      <c r="AG238" s="166">
        <v>1843.5725694522757</v>
      </c>
      <c r="AH238" s="171">
        <f t="shared" si="60"/>
        <v>2.6248964671255592E-2</v>
      </c>
      <c r="AI238" s="171">
        <f t="shared" si="60"/>
        <v>2.0381786367249299E-2</v>
      </c>
      <c r="AK238" s="55">
        <v>5605847.3777516047</v>
      </c>
      <c r="AL238" s="166">
        <v>1856.1938786834537</v>
      </c>
      <c r="AM238" s="171">
        <f t="shared" si="61"/>
        <v>-6.799564084399301E-3</v>
      </c>
      <c r="AN238" s="170">
        <f t="shared" si="61"/>
        <v>-6.7995640843994121E-3</v>
      </c>
      <c r="AP238" s="55">
        <v>10</v>
      </c>
      <c r="AQ238" s="55">
        <v>0</v>
      </c>
    </row>
    <row r="239" spans="2:43" x14ac:dyDescent="0.2">
      <c r="B239" s="1" t="s">
        <v>522</v>
      </c>
      <c r="D239" s="55">
        <v>2263695</v>
      </c>
      <c r="E239" s="166">
        <v>1724.5986808670243</v>
      </c>
      <c r="G239" s="55">
        <v>2272870.4085846734</v>
      </c>
      <c r="H239" s="166">
        <v>1725.2354834285698</v>
      </c>
      <c r="J239" s="167">
        <f t="shared" si="53"/>
        <v>-4.0369255325855002E-3</v>
      </c>
      <c r="K239" s="168">
        <f t="shared" si="53"/>
        <v>-3.6911051717991583E-4</v>
      </c>
      <c r="L239" s="55">
        <v>2318903</v>
      </c>
      <c r="M239" s="167">
        <f t="shared" si="54"/>
        <v>2.4388444556355804E-2</v>
      </c>
      <c r="N239" s="169">
        <f t="shared" si="55"/>
        <v>9.0547645222140982E-3</v>
      </c>
      <c r="O239" s="55">
        <v>2318903</v>
      </c>
      <c r="Q239" s="167">
        <f t="shared" si="56"/>
        <v>2.4509924238144576E-2</v>
      </c>
      <c r="R239" s="170">
        <v>2.0750823831096499E-2</v>
      </c>
      <c r="S239" s="55">
        <v>2319177.9929482667</v>
      </c>
      <c r="T239" s="167">
        <f t="shared" si="57"/>
        <v>2.4509924238144576E-2</v>
      </c>
      <c r="U239" s="170">
        <v>2.0750823831096499E-2</v>
      </c>
      <c r="V239" s="55">
        <v>2319177.9929482667</v>
      </c>
      <c r="X239" s="167">
        <f t="shared" si="58"/>
        <v>2.4509924238144576E-2</v>
      </c>
      <c r="Y239" s="170">
        <v>2.0750823831096499E-2</v>
      </c>
      <c r="Z239" s="55">
        <v>2319177.9929482667</v>
      </c>
      <c r="AB239" s="55">
        <v>2273902.9286776772</v>
      </c>
      <c r="AC239" s="55">
        <v>2319177.9929482667</v>
      </c>
      <c r="AD239" s="167">
        <f t="shared" si="59"/>
        <v>2.4509924238144576E-2</v>
      </c>
      <c r="AE239" s="170">
        <v>2.0750823831096499E-2</v>
      </c>
      <c r="AF239" s="55">
        <v>2319177.9929482667</v>
      </c>
      <c r="AG239" s="166">
        <v>1760.3855242730374</v>
      </c>
      <c r="AH239" s="171">
        <f t="shared" si="60"/>
        <v>2.4509924238144576E-2</v>
      </c>
      <c r="AI239" s="171">
        <f t="shared" si="60"/>
        <v>2.0750823831096499E-2</v>
      </c>
      <c r="AK239" s="55">
        <v>2332208.131977105</v>
      </c>
      <c r="AL239" s="166">
        <v>1770.2761269759685</v>
      </c>
      <c r="AM239" s="171">
        <f t="shared" si="61"/>
        <v>-5.5870395314127075E-3</v>
      </c>
      <c r="AN239" s="170">
        <f t="shared" si="61"/>
        <v>-5.5870395314128185E-3</v>
      </c>
      <c r="AP239" s="55">
        <v>5</v>
      </c>
      <c r="AQ239" s="55">
        <v>0</v>
      </c>
    </row>
    <row r="240" spans="2:43" x14ac:dyDescent="0.2">
      <c r="B240" s="1" t="s">
        <v>523</v>
      </c>
      <c r="D240" s="55">
        <v>2578625</v>
      </c>
      <c r="E240" s="166">
        <v>2013.7358063247382</v>
      </c>
      <c r="G240" s="55">
        <v>2465837.1083185845</v>
      </c>
      <c r="H240" s="166">
        <v>1921.9123174101551</v>
      </c>
      <c r="J240" s="167">
        <f t="shared" si="53"/>
        <v>4.5740203722671513E-2</v>
      </c>
      <c r="K240" s="168">
        <f t="shared" si="53"/>
        <v>4.777714783488074E-2</v>
      </c>
      <c r="L240" s="55">
        <v>2634371</v>
      </c>
      <c r="M240" s="167">
        <f t="shared" si="54"/>
        <v>2.161849823064621E-2</v>
      </c>
      <c r="N240" s="169">
        <f t="shared" si="55"/>
        <v>9.0547645222140982E-3</v>
      </c>
      <c r="O240" s="55">
        <v>2634371</v>
      </c>
      <c r="Q240" s="167">
        <f t="shared" si="56"/>
        <v>2.161849823064621E-2</v>
      </c>
      <c r="R240" s="170">
        <v>1.9632408164457216E-2</v>
      </c>
      <c r="S240" s="55">
        <v>2634371</v>
      </c>
      <c r="T240" s="167">
        <f t="shared" si="57"/>
        <v>2.1908180208512817E-2</v>
      </c>
      <c r="U240" s="170">
        <v>1.9921526982495052E-2</v>
      </c>
      <c r="V240" s="55">
        <v>2635117.9811901762</v>
      </c>
      <c r="X240" s="167">
        <f t="shared" si="58"/>
        <v>2.161849823064621E-2</v>
      </c>
      <c r="Y240" s="170">
        <v>1.9632408164457216E-2</v>
      </c>
      <c r="Z240" s="55">
        <v>2634371</v>
      </c>
      <c r="AB240" s="55">
        <v>2467606.6457710662</v>
      </c>
      <c r="AC240" s="55">
        <v>2634371</v>
      </c>
      <c r="AD240" s="167">
        <f t="shared" si="59"/>
        <v>2.161849823064621E-2</v>
      </c>
      <c r="AE240" s="170">
        <v>1.9632408164457216E-2</v>
      </c>
      <c r="AF240" s="55">
        <v>2634371</v>
      </c>
      <c r="AG240" s="166">
        <v>2053.2702896098876</v>
      </c>
      <c r="AH240" s="171">
        <f t="shared" si="60"/>
        <v>2.161849823064621E-2</v>
      </c>
      <c r="AI240" s="171">
        <f t="shared" si="60"/>
        <v>1.9632408164457216E-2</v>
      </c>
      <c r="AK240" s="55">
        <v>2530878.6110472474</v>
      </c>
      <c r="AL240" s="166">
        <v>1972.606690049523</v>
      </c>
      <c r="AM240" s="171">
        <f t="shared" si="61"/>
        <v>4.0891881776158545E-2</v>
      </c>
      <c r="AN240" s="170">
        <f t="shared" si="61"/>
        <v>4.0891881776158545E-2</v>
      </c>
      <c r="AP240" s="55">
        <v>6</v>
      </c>
      <c r="AQ240" s="55">
        <v>0</v>
      </c>
    </row>
    <row r="241" spans="2:43" x14ac:dyDescent="0.2">
      <c r="B241" s="1" t="s">
        <v>524</v>
      </c>
      <c r="D241" s="55">
        <v>4166066</v>
      </c>
      <c r="E241" s="166">
        <v>1643.4302107538554</v>
      </c>
      <c r="G241" s="55">
        <v>4089357.9687727792</v>
      </c>
      <c r="H241" s="166">
        <v>1603.7940262185268</v>
      </c>
      <c r="J241" s="167">
        <f t="shared" si="53"/>
        <v>1.8757964407366545E-2</v>
      </c>
      <c r="K241" s="168">
        <f t="shared" si="53"/>
        <v>2.4714011829052529E-2</v>
      </c>
      <c r="L241" s="55">
        <v>4267383</v>
      </c>
      <c r="M241" s="167">
        <f t="shared" si="54"/>
        <v>2.4319585911505071E-2</v>
      </c>
      <c r="N241" s="169">
        <f t="shared" si="55"/>
        <v>9.0547645222140982E-3</v>
      </c>
      <c r="O241" s="55">
        <v>4267383</v>
      </c>
      <c r="Q241" s="167">
        <f t="shared" si="56"/>
        <v>2.4497463507576089E-2</v>
      </c>
      <c r="R241" s="170">
        <v>1.8542674751290233E-2</v>
      </c>
      <c r="S241" s="55">
        <v>4268124.0498051532</v>
      </c>
      <c r="T241" s="167">
        <f t="shared" si="57"/>
        <v>2.4497463507576089E-2</v>
      </c>
      <c r="U241" s="170">
        <v>1.8542674751290233E-2</v>
      </c>
      <c r="V241" s="55">
        <v>4268124.0498051532</v>
      </c>
      <c r="X241" s="167">
        <f t="shared" si="58"/>
        <v>2.4497463507576089E-2</v>
      </c>
      <c r="Y241" s="170">
        <v>1.8542674751290233E-2</v>
      </c>
      <c r="Z241" s="55">
        <v>4268124.0498051532</v>
      </c>
      <c r="AB241" s="55">
        <v>4090493.0905074934</v>
      </c>
      <c r="AC241" s="55">
        <v>4268124.0498051532</v>
      </c>
      <c r="AD241" s="167">
        <f t="shared" si="59"/>
        <v>2.4497463507576089E-2</v>
      </c>
      <c r="AE241" s="170">
        <v>1.8542674751290233E-2</v>
      </c>
      <c r="AF241" s="55">
        <v>4268124.0498051532</v>
      </c>
      <c r="AG241" s="166">
        <v>1673.9038026283085</v>
      </c>
      <c r="AH241" s="171">
        <f t="shared" si="60"/>
        <v>2.4497463507576089E-2</v>
      </c>
      <c r="AI241" s="171">
        <f t="shared" si="60"/>
        <v>1.8542674751290233E-2</v>
      </c>
      <c r="AK241" s="55">
        <v>4196621.0838775616</v>
      </c>
      <c r="AL241" s="166">
        <v>1645.8612515757304</v>
      </c>
      <c r="AM241" s="171">
        <f t="shared" si="61"/>
        <v>1.7038223012863618E-2</v>
      </c>
      <c r="AN241" s="170">
        <f t="shared" si="61"/>
        <v>1.7038223012863618E-2</v>
      </c>
      <c r="AP241" s="55">
        <v>9</v>
      </c>
      <c r="AQ241" s="55">
        <v>0</v>
      </c>
    </row>
    <row r="242" spans="2:43" x14ac:dyDescent="0.2">
      <c r="B242" s="1" t="s">
        <v>525</v>
      </c>
      <c r="D242" s="55">
        <v>2772620</v>
      </c>
      <c r="E242" s="166">
        <v>1789.7221020498746</v>
      </c>
      <c r="G242" s="55">
        <v>2632936.4058672413</v>
      </c>
      <c r="H242" s="166">
        <v>1692.1836256967679</v>
      </c>
      <c r="J242" s="167">
        <f t="shared" si="53"/>
        <v>5.3052399526812621E-2</v>
      </c>
      <c r="K242" s="168">
        <f t="shared" si="53"/>
        <v>5.7640598143091415E-2</v>
      </c>
      <c r="L242" s="55">
        <v>2835461</v>
      </c>
      <c r="M242" s="167">
        <f t="shared" si="54"/>
        <v>2.2664844082492364E-2</v>
      </c>
      <c r="N242" s="169">
        <f t="shared" si="55"/>
        <v>9.0547645222140982E-3</v>
      </c>
      <c r="O242" s="55">
        <v>2835461</v>
      </c>
      <c r="Q242" s="167">
        <f t="shared" si="56"/>
        <v>2.2664844082492364E-2</v>
      </c>
      <c r="R242" s="170">
        <v>1.8228375370177075E-2</v>
      </c>
      <c r="S242" s="55">
        <v>2835461</v>
      </c>
      <c r="T242" s="167">
        <f t="shared" si="57"/>
        <v>2.2664844082492364E-2</v>
      </c>
      <c r="U242" s="170">
        <v>1.8228375370177075E-2</v>
      </c>
      <c r="V242" s="55">
        <v>2835461</v>
      </c>
      <c r="X242" s="167">
        <f t="shared" si="58"/>
        <v>2.2664844082492364E-2</v>
      </c>
      <c r="Y242" s="170">
        <v>1.8228375370177075E-2</v>
      </c>
      <c r="Z242" s="55">
        <v>2835461</v>
      </c>
      <c r="AB242" s="55">
        <v>2635187.9153800346</v>
      </c>
      <c r="AC242" s="55">
        <v>2835461</v>
      </c>
      <c r="AD242" s="167">
        <f t="shared" si="59"/>
        <v>2.2664844082492364E-2</v>
      </c>
      <c r="AE242" s="170">
        <v>1.8228375370177075E-2</v>
      </c>
      <c r="AF242" s="55">
        <v>2835461</v>
      </c>
      <c r="AG242" s="166">
        <v>1822.3458283343421</v>
      </c>
      <c r="AH242" s="171">
        <f t="shared" si="60"/>
        <v>2.2664844082492364E-2</v>
      </c>
      <c r="AI242" s="171">
        <f t="shared" si="60"/>
        <v>1.8228375370177075E-2</v>
      </c>
      <c r="AK242" s="55">
        <v>2702756.8362872149</v>
      </c>
      <c r="AL242" s="166">
        <v>1737.0570942820691</v>
      </c>
      <c r="AM242" s="171">
        <f t="shared" si="61"/>
        <v>4.9099557137771033E-2</v>
      </c>
      <c r="AN242" s="170">
        <f t="shared" si="61"/>
        <v>4.9099557137771033E-2</v>
      </c>
      <c r="AP242" s="55">
        <v>5</v>
      </c>
      <c r="AQ242" s="55">
        <v>0</v>
      </c>
    </row>
    <row r="243" spans="2:43" x14ac:dyDescent="0.2">
      <c r="B243" s="1" t="s">
        <v>526</v>
      </c>
      <c r="D243" s="55">
        <v>2851248</v>
      </c>
      <c r="E243" s="166">
        <v>1649.0743821474189</v>
      </c>
      <c r="G243" s="55">
        <v>2791810.5700763017</v>
      </c>
      <c r="H243" s="166">
        <v>1608.9307142194193</v>
      </c>
      <c r="J243" s="167">
        <f t="shared" si="53"/>
        <v>2.1289922232106795E-2</v>
      </c>
      <c r="K243" s="168">
        <f t="shared" si="53"/>
        <v>2.4950526193090683E-2</v>
      </c>
      <c r="L243" s="55">
        <v>2918964</v>
      </c>
      <c r="M243" s="167">
        <f t="shared" si="54"/>
        <v>2.3749600175081209E-2</v>
      </c>
      <c r="N243" s="169">
        <f t="shared" si="55"/>
        <v>9.0547645222140982E-3</v>
      </c>
      <c r="O243" s="55">
        <v>2918964</v>
      </c>
      <c r="Q243" s="167">
        <f t="shared" si="56"/>
        <v>2.3749600175081209E-2</v>
      </c>
      <c r="R243" s="170">
        <v>2.0093285313352638E-2</v>
      </c>
      <c r="S243" s="55">
        <v>2918964</v>
      </c>
      <c r="T243" s="167">
        <f t="shared" si="57"/>
        <v>2.3871571238926137E-2</v>
      </c>
      <c r="U243" s="170">
        <v>2.0214820758357233E-2</v>
      </c>
      <c r="V243" s="55">
        <v>2919311.7697518459</v>
      </c>
      <c r="X243" s="167">
        <f t="shared" si="58"/>
        <v>2.3749600175081209E-2</v>
      </c>
      <c r="Y243" s="170">
        <v>2.0093285313352638E-2</v>
      </c>
      <c r="Z243" s="55">
        <v>2918964</v>
      </c>
      <c r="AB243" s="55">
        <v>2793632.9320850628</v>
      </c>
      <c r="AC243" s="55">
        <v>2918964</v>
      </c>
      <c r="AD243" s="167">
        <f t="shared" si="59"/>
        <v>2.3749600175081209E-2</v>
      </c>
      <c r="AE243" s="170">
        <v>2.0093285313352638E-2</v>
      </c>
      <c r="AF243" s="55">
        <v>2918964</v>
      </c>
      <c r="AG243" s="166">
        <v>1682.2097042108478</v>
      </c>
      <c r="AH243" s="171">
        <f t="shared" si="60"/>
        <v>2.3749600175081209E-2</v>
      </c>
      <c r="AI243" s="171">
        <f t="shared" si="60"/>
        <v>2.0093285313352638E-2</v>
      </c>
      <c r="AK243" s="55">
        <v>2865264.54572827</v>
      </c>
      <c r="AL243" s="166">
        <v>1651.2625109303788</v>
      </c>
      <c r="AM243" s="171">
        <f t="shared" si="61"/>
        <v>1.8741534477781041E-2</v>
      </c>
      <c r="AN243" s="170">
        <f t="shared" si="61"/>
        <v>1.8741534477781041E-2</v>
      </c>
      <c r="AP243" s="55">
        <v>8</v>
      </c>
      <c r="AQ243" s="55">
        <v>0</v>
      </c>
    </row>
    <row r="244" spans="2:43" x14ac:dyDescent="0.2">
      <c r="B244" s="1" t="s">
        <v>527</v>
      </c>
      <c r="D244" s="55">
        <v>4663613</v>
      </c>
      <c r="E244" s="166">
        <v>1709.1514345978439</v>
      </c>
      <c r="G244" s="55">
        <v>4699485.289050689</v>
      </c>
      <c r="H244" s="166">
        <v>1712.0528180453648</v>
      </c>
      <c r="J244" s="167">
        <f t="shared" si="53"/>
        <v>-7.6332378642119947E-3</v>
      </c>
      <c r="K244" s="168">
        <f t="shared" si="53"/>
        <v>-1.6946810384234068E-3</v>
      </c>
      <c r="L244" s="55">
        <v>4783443</v>
      </c>
      <c r="M244" s="167">
        <f t="shared" si="54"/>
        <v>2.5694670634119898E-2</v>
      </c>
      <c r="N244" s="169">
        <f t="shared" si="55"/>
        <v>9.0547645222140982E-3</v>
      </c>
      <c r="O244" s="55">
        <v>4783443</v>
      </c>
      <c r="Q244" s="167">
        <f t="shared" si="56"/>
        <v>2.601848852973121E-2</v>
      </c>
      <c r="R244" s="170">
        <v>1.9915076093963258E-2</v>
      </c>
      <c r="S244" s="55">
        <v>4784953.1613476053</v>
      </c>
      <c r="T244" s="167">
        <f t="shared" si="57"/>
        <v>2.601848852973121E-2</v>
      </c>
      <c r="U244" s="170">
        <v>1.9915076093963258E-2</v>
      </c>
      <c r="V244" s="55">
        <v>4784953.1613476053</v>
      </c>
      <c r="X244" s="167">
        <f t="shared" si="58"/>
        <v>2.601848852973121E-2</v>
      </c>
      <c r="Y244" s="170">
        <v>1.9915076093963258E-2</v>
      </c>
      <c r="Z244" s="55">
        <v>4784953.1613476053</v>
      </c>
      <c r="AB244" s="55">
        <v>4705327.0888532959</v>
      </c>
      <c r="AC244" s="55">
        <v>4784953.1613476053</v>
      </c>
      <c r="AD244" s="167">
        <f t="shared" si="59"/>
        <v>2.601848852973121E-2</v>
      </c>
      <c r="AE244" s="170">
        <v>1.9915076093963258E-2</v>
      </c>
      <c r="AF244" s="55">
        <v>4784953.1613476053</v>
      </c>
      <c r="AG244" s="166">
        <v>1743.1893154739664</v>
      </c>
      <c r="AH244" s="171">
        <f t="shared" si="60"/>
        <v>2.601848852973121E-2</v>
      </c>
      <c r="AI244" s="171">
        <f t="shared" si="60"/>
        <v>1.9915076093963258E-2</v>
      </c>
      <c r="AK244" s="55">
        <v>4825976.5013879957</v>
      </c>
      <c r="AL244" s="166">
        <v>1758.1343829870877</v>
      </c>
      <c r="AM244" s="171">
        <f t="shared" si="61"/>
        <v>-8.500526272473885E-3</v>
      </c>
      <c r="AN244" s="170">
        <f t="shared" si="61"/>
        <v>-8.500526272473885E-3</v>
      </c>
      <c r="AP244" s="55">
        <v>4</v>
      </c>
      <c r="AQ244" s="55">
        <v>0</v>
      </c>
    </row>
    <row r="245" spans="2:43" x14ac:dyDescent="0.2">
      <c r="B245" s="1" t="s">
        <v>528</v>
      </c>
      <c r="D245" s="55">
        <v>2705438</v>
      </c>
      <c r="E245" s="166">
        <v>1654.0541036297859</v>
      </c>
      <c r="G245" s="55">
        <v>2714151.6222469066</v>
      </c>
      <c r="H245" s="166">
        <v>1653.2002214319546</v>
      </c>
      <c r="J245" s="167">
        <f t="shared" si="53"/>
        <v>-3.2104404836797995E-3</v>
      </c>
      <c r="K245" s="168">
        <f t="shared" si="53"/>
        <v>5.1650259101210239E-4</v>
      </c>
      <c r="L245" s="55">
        <v>2771205</v>
      </c>
      <c r="M245" s="167">
        <f t="shared" si="54"/>
        <v>2.4309187643553498E-2</v>
      </c>
      <c r="N245" s="169">
        <f t="shared" si="55"/>
        <v>9.0547645222140982E-3</v>
      </c>
      <c r="O245" s="55">
        <v>2771205</v>
      </c>
      <c r="Q245" s="167">
        <f t="shared" si="56"/>
        <v>2.4762520560171808E-2</v>
      </c>
      <c r="R245" s="170">
        <v>2.0945260605623295E-2</v>
      </c>
      <c r="S245" s="55">
        <v>2772431.4640992703</v>
      </c>
      <c r="T245" s="167">
        <f t="shared" si="57"/>
        <v>2.4762520560171808E-2</v>
      </c>
      <c r="U245" s="170">
        <v>2.0945260605623295E-2</v>
      </c>
      <c r="V245" s="55">
        <v>2772431.4640992703</v>
      </c>
      <c r="X245" s="167">
        <f t="shared" si="58"/>
        <v>2.4762520560171808E-2</v>
      </c>
      <c r="Y245" s="170">
        <v>2.0945260605623295E-2</v>
      </c>
      <c r="Z245" s="55">
        <v>2772431.4640992703</v>
      </c>
      <c r="AB245" s="55">
        <v>2715684.7862733123</v>
      </c>
      <c r="AC245" s="55">
        <v>2772431.4640992703</v>
      </c>
      <c r="AD245" s="167">
        <f t="shared" si="59"/>
        <v>2.4762520560171808E-2</v>
      </c>
      <c r="AE245" s="170">
        <v>2.0945260605623295E-2</v>
      </c>
      <c r="AF245" s="55">
        <v>2772431.4640992703</v>
      </c>
      <c r="AG245" s="166">
        <v>1688.6986978861125</v>
      </c>
      <c r="AH245" s="171">
        <f t="shared" si="60"/>
        <v>2.4762520560171808E-2</v>
      </c>
      <c r="AI245" s="171">
        <f t="shared" si="60"/>
        <v>2.0945260605623295E-2</v>
      </c>
      <c r="AK245" s="55">
        <v>2786043.2929609818</v>
      </c>
      <c r="AL245" s="166">
        <v>1696.9897153457953</v>
      </c>
      <c r="AM245" s="171">
        <f t="shared" si="61"/>
        <v>-4.885720511272118E-3</v>
      </c>
      <c r="AN245" s="170">
        <f t="shared" si="61"/>
        <v>-4.885720511272118E-3</v>
      </c>
      <c r="AP245" s="55">
        <v>6</v>
      </c>
      <c r="AQ245" s="55">
        <v>0</v>
      </c>
    </row>
    <row r="246" spans="2:43" x14ac:dyDescent="0.2">
      <c r="B246" s="1" t="s">
        <v>529</v>
      </c>
      <c r="D246" s="55">
        <v>2794752</v>
      </c>
      <c r="E246" s="166">
        <v>1588.8643004397402</v>
      </c>
      <c r="G246" s="55">
        <v>2827485.4293505945</v>
      </c>
      <c r="H246" s="166">
        <v>1597.2171636763444</v>
      </c>
      <c r="J246" s="167">
        <f t="shared" si="53"/>
        <v>-1.1576869330892525E-2</v>
      </c>
      <c r="K246" s="168">
        <f t="shared" si="53"/>
        <v>-5.2296352847713834E-3</v>
      </c>
      <c r="L246" s="55">
        <v>2866888</v>
      </c>
      <c r="M246" s="167">
        <f t="shared" si="54"/>
        <v>2.5811234771457414E-2</v>
      </c>
      <c r="N246" s="169">
        <f t="shared" si="55"/>
        <v>9.0547645222140982E-3</v>
      </c>
      <c r="O246" s="55">
        <v>2866888</v>
      </c>
      <c r="Q246" s="167">
        <f t="shared" si="56"/>
        <v>2.5998650735767681E-2</v>
      </c>
      <c r="R246" s="170">
        <v>1.945216141701045E-2</v>
      </c>
      <c r="S246" s="55">
        <v>2867411.7811410883</v>
      </c>
      <c r="T246" s="167">
        <f t="shared" si="57"/>
        <v>2.5998650735767681E-2</v>
      </c>
      <c r="U246" s="170">
        <v>1.945216141701045E-2</v>
      </c>
      <c r="V246" s="55">
        <v>2867411.7811410883</v>
      </c>
      <c r="X246" s="167">
        <f t="shared" si="58"/>
        <v>2.5998650735767681E-2</v>
      </c>
      <c r="Y246" s="170">
        <v>1.945216141701045E-2</v>
      </c>
      <c r="Z246" s="55">
        <v>2867411.7811410883</v>
      </c>
      <c r="AB246" s="55">
        <v>2829894.4471635688</v>
      </c>
      <c r="AC246" s="55">
        <v>2867411.7811410883</v>
      </c>
      <c r="AD246" s="167">
        <f t="shared" si="59"/>
        <v>2.5998650735767681E-2</v>
      </c>
      <c r="AE246" s="170">
        <v>1.945216141701045E-2</v>
      </c>
      <c r="AF246" s="55">
        <v>2867411.7811410883</v>
      </c>
      <c r="AG246" s="166">
        <v>1619.7711452816195</v>
      </c>
      <c r="AH246" s="171">
        <f t="shared" si="60"/>
        <v>2.5998650735767681E-2</v>
      </c>
      <c r="AI246" s="171">
        <f t="shared" si="60"/>
        <v>1.945216141701045E-2</v>
      </c>
      <c r="AK246" s="55">
        <v>2902455.8432446853</v>
      </c>
      <c r="AL246" s="166">
        <v>1639.5671721314059</v>
      </c>
      <c r="AM246" s="171">
        <f t="shared" si="61"/>
        <v>-1.2073934625107308E-2</v>
      </c>
      <c r="AN246" s="170">
        <f t="shared" si="61"/>
        <v>-1.2073934625107086E-2</v>
      </c>
      <c r="AP246" s="55">
        <v>5</v>
      </c>
      <c r="AQ246" s="55">
        <v>0</v>
      </c>
    </row>
    <row r="247" spans="2:43" x14ac:dyDescent="0.2">
      <c r="B247" s="1" t="s">
        <v>530</v>
      </c>
      <c r="D247" s="55">
        <v>4659933</v>
      </c>
      <c r="E247" s="166">
        <v>1543.8271433974051</v>
      </c>
      <c r="G247" s="55">
        <v>4815825.149610593</v>
      </c>
      <c r="H247" s="166">
        <v>1579.394543132458</v>
      </c>
      <c r="J247" s="167">
        <f t="shared" si="53"/>
        <v>-3.2370807653429479E-2</v>
      </c>
      <c r="K247" s="168">
        <f t="shared" si="53"/>
        <v>-2.2519642029730669E-2</v>
      </c>
      <c r="L247" s="55">
        <v>4793022</v>
      </c>
      <c r="M247" s="167">
        <f t="shared" si="54"/>
        <v>2.8560281875297244E-2</v>
      </c>
      <c r="N247" s="169">
        <f t="shared" si="55"/>
        <v>9.0547645222140982E-3</v>
      </c>
      <c r="O247" s="55">
        <v>4793022</v>
      </c>
      <c r="Q247" s="167">
        <f t="shared" si="56"/>
        <v>3.3608437413307435E-2</v>
      </c>
      <c r="R247" s="170">
        <v>2.3191606196202974E-2</v>
      </c>
      <c r="S247" s="55">
        <v>4816546.0665807063</v>
      </c>
      <c r="T247" s="167">
        <f t="shared" si="57"/>
        <v>3.3608437413307435E-2</v>
      </c>
      <c r="U247" s="170">
        <v>2.3191606196202974E-2</v>
      </c>
      <c r="V247" s="55">
        <v>4816546.0665807063</v>
      </c>
      <c r="X247" s="167">
        <f t="shared" si="58"/>
        <v>3.3608437413307435E-2</v>
      </c>
      <c r="Y247" s="170">
        <v>2.3191606196202974E-2</v>
      </c>
      <c r="Z247" s="55">
        <v>4816546.0665807063</v>
      </c>
      <c r="AB247" s="55">
        <v>4799047.2725434769</v>
      </c>
      <c r="AC247" s="55">
        <v>4816546.0665807063</v>
      </c>
      <c r="AD247" s="167">
        <f t="shared" si="59"/>
        <v>3.3608437413307435E-2</v>
      </c>
      <c r="AE247" s="170">
        <v>2.3191606196202974E-2</v>
      </c>
      <c r="AF247" s="55">
        <v>4816546.0665807063</v>
      </c>
      <c r="AG247" s="166">
        <v>1579.630974542087</v>
      </c>
      <c r="AH247" s="171">
        <f t="shared" si="60"/>
        <v>3.3608437413307435E-2</v>
      </c>
      <c r="AI247" s="171">
        <f t="shared" si="60"/>
        <v>2.3191606196203196E-2</v>
      </c>
      <c r="AK247" s="55">
        <v>4943958.1325903684</v>
      </c>
      <c r="AL247" s="166">
        <v>1621.4169438273639</v>
      </c>
      <c r="AM247" s="171">
        <f t="shared" si="61"/>
        <v>-2.5771267189697022E-2</v>
      </c>
      <c r="AN247" s="170">
        <f t="shared" si="61"/>
        <v>-2.5771267189697022E-2</v>
      </c>
      <c r="AP247" s="55">
        <v>0</v>
      </c>
      <c r="AQ247" s="55">
        <v>0</v>
      </c>
    </row>
    <row r="248" spans="2:43" x14ac:dyDescent="0.2">
      <c r="B248" s="1" t="s">
        <v>531</v>
      </c>
      <c r="D248" s="55">
        <v>2948358</v>
      </c>
      <c r="E248" s="166">
        <v>1551.510016301266</v>
      </c>
      <c r="G248" s="55">
        <v>2994015.9889943381</v>
      </c>
      <c r="H248" s="166">
        <v>1565.8256367906238</v>
      </c>
      <c r="J248" s="167">
        <f t="shared" si="53"/>
        <v>-1.5249747884504172E-2</v>
      </c>
      <c r="K248" s="168">
        <f t="shared" si="53"/>
        <v>-9.1425380661793731E-3</v>
      </c>
      <c r="L248" s="55">
        <v>3020986</v>
      </c>
      <c r="M248" s="167">
        <f t="shared" si="54"/>
        <v>2.4633372202425896E-2</v>
      </c>
      <c r="N248" s="169">
        <f t="shared" si="55"/>
        <v>9.0547645222140982E-3</v>
      </c>
      <c r="O248" s="55">
        <v>3020986</v>
      </c>
      <c r="Q248" s="167">
        <f t="shared" si="56"/>
        <v>2.5260182144201337E-2</v>
      </c>
      <c r="R248" s="170">
        <v>1.8940929081800117E-2</v>
      </c>
      <c r="S248" s="55">
        <v>3022834.0601063133</v>
      </c>
      <c r="T248" s="167">
        <f t="shared" si="57"/>
        <v>2.5260182144201337E-2</v>
      </c>
      <c r="U248" s="170">
        <v>1.8940929081800117E-2</v>
      </c>
      <c r="V248" s="55">
        <v>3022834.0601063133</v>
      </c>
      <c r="X248" s="167">
        <f t="shared" si="58"/>
        <v>2.5260182144201337E-2</v>
      </c>
      <c r="Y248" s="170">
        <v>1.8940929081800117E-2</v>
      </c>
      <c r="Z248" s="55">
        <v>3022834.0601063133</v>
      </c>
      <c r="AB248" s="55">
        <v>2996768.2267370196</v>
      </c>
      <c r="AC248" s="55">
        <v>3022834.0601063133</v>
      </c>
      <c r="AD248" s="167">
        <f t="shared" si="59"/>
        <v>2.5260182144201337E-2</v>
      </c>
      <c r="AE248" s="170">
        <v>1.8940929081800117E-2</v>
      </c>
      <c r="AF248" s="55">
        <v>3022834.0601063133</v>
      </c>
      <c r="AG248" s="166">
        <v>1580.8970574897305</v>
      </c>
      <c r="AH248" s="171">
        <f t="shared" si="60"/>
        <v>2.5260182144201337E-2</v>
      </c>
      <c r="AI248" s="171">
        <f t="shared" si="60"/>
        <v>1.8940929081799895E-2</v>
      </c>
      <c r="AK248" s="55">
        <v>3073608.4376789937</v>
      </c>
      <c r="AL248" s="166">
        <v>1607.4512984783014</v>
      </c>
      <c r="AM248" s="171">
        <f t="shared" si="61"/>
        <v>-1.65194684365918E-2</v>
      </c>
      <c r="AN248" s="170">
        <f t="shared" si="61"/>
        <v>-1.65194684365918E-2</v>
      </c>
      <c r="AP248" s="55">
        <v>4</v>
      </c>
      <c r="AQ248" s="55">
        <v>0</v>
      </c>
    </row>
    <row r="249" spans="2:43" x14ac:dyDescent="0.2">
      <c r="B249" s="1" t="s">
        <v>532</v>
      </c>
      <c r="D249" s="55">
        <v>3497383</v>
      </c>
      <c r="E249" s="166">
        <v>1653.4506382718757</v>
      </c>
      <c r="G249" s="55">
        <v>3494001.0473780502</v>
      </c>
      <c r="H249" s="166">
        <v>1642.9659705764716</v>
      </c>
      <c r="J249" s="167">
        <f t="shared" si="53"/>
        <v>9.679311986718897E-4</v>
      </c>
      <c r="K249" s="168">
        <f t="shared" si="53"/>
        <v>6.381548907994361E-3</v>
      </c>
      <c r="L249" s="55">
        <v>3581722</v>
      </c>
      <c r="M249" s="167">
        <f t="shared" si="54"/>
        <v>2.4114888189254557E-2</v>
      </c>
      <c r="N249" s="169">
        <f t="shared" si="55"/>
        <v>9.0547645222140982E-3</v>
      </c>
      <c r="O249" s="55">
        <v>3581722</v>
      </c>
      <c r="Q249" s="167">
        <f t="shared" si="56"/>
        <v>2.4374725518990115E-2</v>
      </c>
      <c r="R249" s="170">
        <v>1.8864317303468603E-2</v>
      </c>
      <c r="S249" s="55">
        <v>3582630.7506597824</v>
      </c>
      <c r="T249" s="167">
        <f t="shared" si="57"/>
        <v>2.4423004467905907E-2</v>
      </c>
      <c r="U249" s="170">
        <v>1.8912336545940933E-2</v>
      </c>
      <c r="V249" s="55">
        <v>3582799.6006349782</v>
      </c>
      <c r="X249" s="167">
        <f t="shared" si="58"/>
        <v>2.4374725518990115E-2</v>
      </c>
      <c r="Y249" s="170">
        <v>1.8864317303468603E-2</v>
      </c>
      <c r="Z249" s="55">
        <v>3582630.7506597824</v>
      </c>
      <c r="AB249" s="55">
        <v>3496665.0556872948</v>
      </c>
      <c r="AC249" s="55">
        <v>3582630.7506597824</v>
      </c>
      <c r="AD249" s="167">
        <f t="shared" si="59"/>
        <v>2.4374725518990115E-2</v>
      </c>
      <c r="AE249" s="170">
        <v>1.8864317303468603E-2</v>
      </c>
      <c r="AF249" s="55">
        <v>3582630.7506597824</v>
      </c>
      <c r="AG249" s="166">
        <v>1684.6418557578593</v>
      </c>
      <c r="AH249" s="171">
        <f t="shared" si="60"/>
        <v>2.4374725518990115E-2</v>
      </c>
      <c r="AI249" s="171">
        <f t="shared" si="60"/>
        <v>1.8864317303468825E-2</v>
      </c>
      <c r="AK249" s="55">
        <v>3586323.1340382509</v>
      </c>
      <c r="AL249" s="166">
        <v>1686.3781060219221</v>
      </c>
      <c r="AM249" s="171">
        <f t="shared" si="61"/>
        <v>-1.0295735326868449E-3</v>
      </c>
      <c r="AN249" s="170">
        <f t="shared" si="61"/>
        <v>-1.029573532686956E-3</v>
      </c>
      <c r="AP249" s="55">
        <v>7</v>
      </c>
      <c r="AQ249" s="55">
        <v>0</v>
      </c>
    </row>
    <row r="250" spans="2:43" x14ac:dyDescent="0.2">
      <c r="B250" s="1" t="s">
        <v>56</v>
      </c>
      <c r="D250" s="55">
        <v>3027446</v>
      </c>
      <c r="E250" s="166">
        <v>1609.0469581554369</v>
      </c>
      <c r="G250" s="55">
        <v>3105593.6282597799</v>
      </c>
      <c r="H250" s="166">
        <v>1637.2645625388366</v>
      </c>
      <c r="J250" s="167">
        <f t="shared" si="53"/>
        <v>-2.516350740440243E-2</v>
      </c>
      <c r="K250" s="168">
        <f t="shared" si="53"/>
        <v>-1.7234602781387887E-2</v>
      </c>
      <c r="L250" s="55">
        <v>3106431</v>
      </c>
      <c r="M250" s="167">
        <f t="shared" si="54"/>
        <v>2.6089647841778252E-2</v>
      </c>
      <c r="N250" s="169">
        <f t="shared" si="55"/>
        <v>9.0547645222140982E-3</v>
      </c>
      <c r="O250" s="55">
        <v>3106431</v>
      </c>
      <c r="Q250" s="167">
        <f t="shared" si="56"/>
        <v>2.9463337515923671E-2</v>
      </c>
      <c r="R250" s="170">
        <v>2.1157676124959668E-2</v>
      </c>
      <c r="S250" s="55">
        <v>3116644.6633092333</v>
      </c>
      <c r="T250" s="167">
        <f t="shared" si="57"/>
        <v>2.9463337515923671E-2</v>
      </c>
      <c r="U250" s="170">
        <v>2.1157676124959668E-2</v>
      </c>
      <c r="V250" s="55">
        <v>3116644.6633092333</v>
      </c>
      <c r="X250" s="167">
        <f t="shared" si="58"/>
        <v>2.9463337515923671E-2</v>
      </c>
      <c r="Y250" s="170">
        <v>2.1157676124959668E-2</v>
      </c>
      <c r="Z250" s="55">
        <v>3116644.6633092333</v>
      </c>
      <c r="AB250" s="55">
        <v>3105968.0571630918</v>
      </c>
      <c r="AC250" s="55">
        <v>3116644.6633092333</v>
      </c>
      <c r="AD250" s="167">
        <f t="shared" si="59"/>
        <v>2.9463337515923671E-2</v>
      </c>
      <c r="AE250" s="170">
        <v>2.1157676124959668E-2</v>
      </c>
      <c r="AF250" s="55">
        <v>3116644.6633092333</v>
      </c>
      <c r="AG250" s="166">
        <v>1643.0906525659414</v>
      </c>
      <c r="AH250" s="171">
        <f t="shared" si="60"/>
        <v>2.9463337515923671E-2</v>
      </c>
      <c r="AI250" s="171">
        <f t="shared" si="60"/>
        <v>2.115767612495989E-2</v>
      </c>
      <c r="AK250" s="55">
        <v>3187697.8552533342</v>
      </c>
      <c r="AL250" s="166">
        <v>1680.5497947301831</v>
      </c>
      <c r="AM250" s="171">
        <f t="shared" si="61"/>
        <v>-2.2289813894063149E-2</v>
      </c>
      <c r="AN250" s="170">
        <f t="shared" si="61"/>
        <v>-2.2289813894063037E-2</v>
      </c>
      <c r="AP250" s="55">
        <v>0</v>
      </c>
      <c r="AQ250" s="55">
        <v>0</v>
      </c>
    </row>
    <row r="251" spans="2:43" x14ac:dyDescent="0.2">
      <c r="B251" s="1" t="s">
        <v>533</v>
      </c>
      <c r="D251" s="55">
        <v>4132293</v>
      </c>
      <c r="E251" s="166">
        <v>1556.6179662296049</v>
      </c>
      <c r="G251" s="55">
        <v>4215342.8431301564</v>
      </c>
      <c r="H251" s="166">
        <v>1576.630761633339</v>
      </c>
      <c r="J251" s="167">
        <f t="shared" si="53"/>
        <v>-1.9701800356643484E-2</v>
      </c>
      <c r="K251" s="168">
        <f t="shared" si="53"/>
        <v>-1.2693393970698352E-2</v>
      </c>
      <c r="L251" s="55">
        <v>4234969</v>
      </c>
      <c r="M251" s="167">
        <f t="shared" si="54"/>
        <v>2.4847221627314342E-2</v>
      </c>
      <c r="N251" s="169">
        <f t="shared" si="55"/>
        <v>9.0547645222140982E-3</v>
      </c>
      <c r="O251" s="55">
        <v>4234969</v>
      </c>
      <c r="Q251" s="167">
        <f t="shared" si="56"/>
        <v>2.7357493733821903E-2</v>
      </c>
      <c r="R251" s="170">
        <v>2.0064785697875509E-2</v>
      </c>
      <c r="S251" s="55">
        <v>4245342.1798538165</v>
      </c>
      <c r="T251" s="167">
        <f t="shared" si="57"/>
        <v>2.7357493733821903E-2</v>
      </c>
      <c r="U251" s="170">
        <v>2.0064785697875509E-2</v>
      </c>
      <c r="V251" s="55">
        <v>4245342.1798538165</v>
      </c>
      <c r="X251" s="167">
        <f t="shared" si="58"/>
        <v>2.7357493733821903E-2</v>
      </c>
      <c r="Y251" s="170">
        <v>2.0064785697875509E-2</v>
      </c>
      <c r="Z251" s="55">
        <v>4245342.1798538165</v>
      </c>
      <c r="AB251" s="55">
        <v>4219060.2945110584</v>
      </c>
      <c r="AC251" s="55">
        <v>4245342.1798538165</v>
      </c>
      <c r="AD251" s="167">
        <f t="shared" si="59"/>
        <v>2.7357493733821903E-2</v>
      </c>
      <c r="AE251" s="170">
        <v>2.0064785697875509E-2</v>
      </c>
      <c r="AF251" s="55">
        <v>4245342.1798538165</v>
      </c>
      <c r="AG251" s="166">
        <v>1587.851172135465</v>
      </c>
      <c r="AH251" s="171">
        <f t="shared" si="60"/>
        <v>2.7357493733821903E-2</v>
      </c>
      <c r="AI251" s="171">
        <f t="shared" si="60"/>
        <v>2.0064785697875731E-2</v>
      </c>
      <c r="AK251" s="55">
        <v>4327643.8356615445</v>
      </c>
      <c r="AL251" s="166">
        <v>1618.6337981539621</v>
      </c>
      <c r="AM251" s="171">
        <f t="shared" si="61"/>
        <v>-1.9017659246708063E-2</v>
      </c>
      <c r="AN251" s="170">
        <f t="shared" si="61"/>
        <v>-1.9017659246708174E-2</v>
      </c>
      <c r="AP251" s="55">
        <v>2</v>
      </c>
      <c r="AQ251" s="55">
        <v>0</v>
      </c>
    </row>
    <row r="252" spans="2:43" x14ac:dyDescent="0.2">
      <c r="B252" s="1" t="s">
        <v>516</v>
      </c>
      <c r="D252" s="55">
        <v>16036497</v>
      </c>
      <c r="E252" s="166">
        <v>1646.9036737149797</v>
      </c>
      <c r="G252" s="55">
        <v>16028737.504017472</v>
      </c>
      <c r="H252" s="166">
        <v>1627.0635552323097</v>
      </c>
      <c r="J252" s="167">
        <f t="shared" si="53"/>
        <v>4.8409901157731028E-4</v>
      </c>
      <c r="K252" s="168">
        <f t="shared" si="53"/>
        <v>1.2193818993037064E-2</v>
      </c>
      <c r="L252" s="55">
        <v>16512610</v>
      </c>
      <c r="M252" s="167">
        <f t="shared" si="54"/>
        <v>3.0541458329032878E-2</v>
      </c>
      <c r="N252" s="169">
        <f t="shared" si="55"/>
        <v>9.0547645222140982E-3</v>
      </c>
      <c r="O252" s="55">
        <v>16526275.004869161</v>
      </c>
      <c r="Q252" s="167">
        <f t="shared" si="56"/>
        <v>3.1465926044517367E-2</v>
      </c>
      <c r="R252" s="170">
        <v>1.9533253726468525E-2</v>
      </c>
      <c r="S252" s="55">
        <v>16541100.228615124</v>
      </c>
      <c r="T252" s="167">
        <f t="shared" si="57"/>
        <v>3.1586539226413635E-2</v>
      </c>
      <c r="U252" s="170">
        <v>1.9652471576206532E-2</v>
      </c>
      <c r="V252" s="55">
        <v>16543034.441544766</v>
      </c>
      <c r="X252" s="167">
        <f t="shared" si="58"/>
        <v>3.0635671718523216E-2</v>
      </c>
      <c r="Y252" s="170">
        <v>1.8712604325428872E-2</v>
      </c>
      <c r="Z252" s="55">
        <v>16527785.857607082</v>
      </c>
      <c r="AB252" s="55">
        <v>16050789.83165496</v>
      </c>
      <c r="AC252" s="55">
        <v>16527785.857607082</v>
      </c>
      <c r="AD252" s="167">
        <f t="shared" si="59"/>
        <v>3.0635671718523216E-2</v>
      </c>
      <c r="AE252" s="170">
        <v>1.8712604325428872E-2</v>
      </c>
      <c r="AF252" s="55">
        <v>16527785.857607082</v>
      </c>
      <c r="AG252" s="166">
        <v>1677.7215305233035</v>
      </c>
      <c r="AH252" s="171">
        <f t="shared" si="60"/>
        <v>3.0635671718523216E-2</v>
      </c>
      <c r="AI252" s="171">
        <f t="shared" si="60"/>
        <v>1.8712604325428872E-2</v>
      </c>
      <c r="AK252" s="55">
        <v>16468357.288225044</v>
      </c>
      <c r="AL252" s="166">
        <v>1671.6889868275275</v>
      </c>
      <c r="AM252" s="171">
        <f t="shared" si="61"/>
        <v>3.608651934247753E-3</v>
      </c>
      <c r="AN252" s="170">
        <f t="shared" si="61"/>
        <v>3.608651934247753E-3</v>
      </c>
      <c r="AP252" s="55">
        <v>18</v>
      </c>
      <c r="AQ252" s="55">
        <v>0</v>
      </c>
    </row>
    <row r="253" spans="2:43" x14ac:dyDescent="0.2">
      <c r="B253" s="1" t="s">
        <v>534</v>
      </c>
      <c r="D253" s="55">
        <v>3061680</v>
      </c>
      <c r="E253" s="166">
        <v>1631.9403693327265</v>
      </c>
      <c r="G253" s="55">
        <v>3102152.0453964891</v>
      </c>
      <c r="H253" s="166">
        <v>1639.4162988348617</v>
      </c>
      <c r="J253" s="167">
        <f t="shared" si="53"/>
        <v>-1.3046441568377865E-2</v>
      </c>
      <c r="K253" s="168">
        <f t="shared" si="53"/>
        <v>-4.5601166143390826E-3</v>
      </c>
      <c r="L253" s="55">
        <v>3145270</v>
      </c>
      <c r="M253" s="167">
        <f t="shared" si="54"/>
        <v>2.7302004128452406E-2</v>
      </c>
      <c r="N253" s="169">
        <f t="shared" si="55"/>
        <v>9.0547645222140982E-3</v>
      </c>
      <c r="O253" s="55">
        <v>3145270</v>
      </c>
      <c r="Q253" s="167">
        <f t="shared" si="56"/>
        <v>2.8971719961995213E-2</v>
      </c>
      <c r="R253" s="170">
        <v>2.0199529365799496E-2</v>
      </c>
      <c r="S253" s="55">
        <v>3150382.1355732414</v>
      </c>
      <c r="T253" s="167">
        <f t="shared" si="57"/>
        <v>2.8971719961995213E-2</v>
      </c>
      <c r="U253" s="170">
        <v>2.0199529365799496E-2</v>
      </c>
      <c r="V253" s="55">
        <v>3150382.1355732414</v>
      </c>
      <c r="X253" s="167">
        <f t="shared" si="58"/>
        <v>2.8971719961995213E-2</v>
      </c>
      <c r="Y253" s="170">
        <v>2.0199529365799496E-2</v>
      </c>
      <c r="Z253" s="55">
        <v>3150382.1355732414</v>
      </c>
      <c r="AB253" s="55">
        <v>3105491.1975437356</v>
      </c>
      <c r="AC253" s="55">
        <v>3150382.1355732414</v>
      </c>
      <c r="AD253" s="167">
        <f t="shared" si="59"/>
        <v>2.8971719961995213E-2</v>
      </c>
      <c r="AE253" s="170">
        <v>2.0199529365799496E-2</v>
      </c>
      <c r="AF253" s="55">
        <v>3150382.1355732414</v>
      </c>
      <c r="AG253" s="166">
        <v>1664.9047967462966</v>
      </c>
      <c r="AH253" s="171">
        <f t="shared" si="60"/>
        <v>2.8971719961995213E-2</v>
      </c>
      <c r="AI253" s="171">
        <f t="shared" si="60"/>
        <v>2.0199529365799496E-2</v>
      </c>
      <c r="AK253" s="55">
        <v>3185263.0811535278</v>
      </c>
      <c r="AL253" s="166">
        <v>1683.338577510832</v>
      </c>
      <c r="AM253" s="171">
        <f t="shared" si="61"/>
        <v>-1.0950726734839877E-2</v>
      </c>
      <c r="AN253" s="170">
        <f t="shared" si="61"/>
        <v>-1.0950726734839988E-2</v>
      </c>
      <c r="AP253" s="55">
        <v>4</v>
      </c>
      <c r="AQ253" s="55">
        <v>0</v>
      </c>
    </row>
    <row r="254" spans="2:43" x14ac:dyDescent="0.2">
      <c r="B254" s="1" t="s">
        <v>535</v>
      </c>
      <c r="D254" s="55">
        <v>3329420</v>
      </c>
      <c r="E254" s="166">
        <v>1460.0967164907527</v>
      </c>
      <c r="G254" s="55">
        <v>3371518.5828201552</v>
      </c>
      <c r="H254" s="166">
        <v>1468.1498257493854</v>
      </c>
      <c r="J254" s="167">
        <f t="shared" si="53"/>
        <v>-1.2486534416470962E-2</v>
      </c>
      <c r="K254" s="168">
        <f t="shared" si="53"/>
        <v>-5.4852094230384285E-3</v>
      </c>
      <c r="L254" s="55">
        <v>3417674</v>
      </c>
      <c r="M254" s="167">
        <f t="shared" si="54"/>
        <v>2.6507319593202405E-2</v>
      </c>
      <c r="N254" s="169">
        <f t="shared" si="55"/>
        <v>9.0547645222140982E-3</v>
      </c>
      <c r="O254" s="55">
        <v>3417674</v>
      </c>
      <c r="Q254" s="167">
        <f t="shared" si="56"/>
        <v>2.7307611061253789E-2</v>
      </c>
      <c r="R254" s="170">
        <v>2.0075426561419585E-2</v>
      </c>
      <c r="S254" s="55">
        <v>3420338.5064195595</v>
      </c>
      <c r="T254" s="167">
        <f t="shared" si="57"/>
        <v>2.7307611061253789E-2</v>
      </c>
      <c r="U254" s="170">
        <v>2.0075426561419585E-2</v>
      </c>
      <c r="V254" s="55">
        <v>3420338.5064195595</v>
      </c>
      <c r="X254" s="167">
        <f t="shared" si="58"/>
        <v>2.7307611061253789E-2</v>
      </c>
      <c r="Y254" s="170">
        <v>2.0075426561419585E-2</v>
      </c>
      <c r="Z254" s="55">
        <v>3420338.5064195595</v>
      </c>
      <c r="AB254" s="55">
        <v>3374433.2244161554</v>
      </c>
      <c r="AC254" s="55">
        <v>3420338.5064195595</v>
      </c>
      <c r="AD254" s="167">
        <f t="shared" si="59"/>
        <v>2.7307611061253789E-2</v>
      </c>
      <c r="AE254" s="170">
        <v>2.0075426561419585E-2</v>
      </c>
      <c r="AF254" s="55">
        <v>3420338.5064195595</v>
      </c>
      <c r="AG254" s="166">
        <v>1489.4087808952324</v>
      </c>
      <c r="AH254" s="171">
        <f t="shared" si="60"/>
        <v>2.7307611061253789E-2</v>
      </c>
      <c r="AI254" s="171">
        <f t="shared" si="60"/>
        <v>2.0075426561419363E-2</v>
      </c>
      <c r="AK254" s="55">
        <v>3461414.0838052244</v>
      </c>
      <c r="AL254" s="166">
        <v>1507.2954098133137</v>
      </c>
      <c r="AM254" s="171">
        <f t="shared" si="61"/>
        <v>-1.1866704298062358E-2</v>
      </c>
      <c r="AN254" s="170">
        <f t="shared" si="61"/>
        <v>-1.1866704298062247E-2</v>
      </c>
      <c r="AP254" s="55">
        <v>5</v>
      </c>
      <c r="AQ254" s="55">
        <v>0</v>
      </c>
    </row>
    <row r="255" spans="2:43" x14ac:dyDescent="0.2">
      <c r="B255" s="1" t="s">
        <v>536</v>
      </c>
      <c r="D255" s="55">
        <v>4808956</v>
      </c>
      <c r="E255" s="166">
        <v>1626.3757102574257</v>
      </c>
      <c r="G255" s="55">
        <v>4860141.071580844</v>
      </c>
      <c r="H255" s="166">
        <v>1630.9849355920949</v>
      </c>
      <c r="J255" s="167">
        <f t="shared" si="53"/>
        <v>-1.0531602031089826E-2</v>
      </c>
      <c r="K255" s="168">
        <f t="shared" si="53"/>
        <v>-2.8260379566263927E-3</v>
      </c>
      <c r="L255" s="55">
        <v>4935806</v>
      </c>
      <c r="M255" s="167">
        <f t="shared" si="54"/>
        <v>2.6377866630511893E-2</v>
      </c>
      <c r="N255" s="169">
        <f t="shared" si="55"/>
        <v>9.0547645222140982E-3</v>
      </c>
      <c r="O255" s="55">
        <v>4935806</v>
      </c>
      <c r="Q255" s="167">
        <f t="shared" si="56"/>
        <v>2.7336161691608352E-2</v>
      </c>
      <c r="R255" s="170">
        <v>1.9397522175082615E-2</v>
      </c>
      <c r="S255" s="55">
        <v>4940414.39878383</v>
      </c>
      <c r="T255" s="167">
        <f t="shared" si="57"/>
        <v>2.7336161691608352E-2</v>
      </c>
      <c r="U255" s="170">
        <v>1.9397522175082615E-2</v>
      </c>
      <c r="V255" s="55">
        <v>4940414.39878383</v>
      </c>
      <c r="X255" s="167">
        <f t="shared" si="58"/>
        <v>2.7336161691608352E-2</v>
      </c>
      <c r="Y255" s="170">
        <v>1.9397522175082615E-2</v>
      </c>
      <c r="Z255" s="55">
        <v>4940414.39878383</v>
      </c>
      <c r="AB255" s="55">
        <v>4863848.7337985402</v>
      </c>
      <c r="AC255" s="55">
        <v>4940414.39878383</v>
      </c>
      <c r="AD255" s="167">
        <f t="shared" si="59"/>
        <v>2.7336161691608352E-2</v>
      </c>
      <c r="AE255" s="170">
        <v>1.9397522175082615E-2</v>
      </c>
      <c r="AF255" s="55">
        <v>4940414.39878383</v>
      </c>
      <c r="AG255" s="166">
        <v>1657.9233691621598</v>
      </c>
      <c r="AH255" s="171">
        <f t="shared" si="60"/>
        <v>2.7336161691608352E-2</v>
      </c>
      <c r="AI255" s="171">
        <f t="shared" si="60"/>
        <v>1.9397522175082615E-2</v>
      </c>
      <c r="AK255" s="55">
        <v>4989361.2688528504</v>
      </c>
      <c r="AL255" s="166">
        <v>1674.3491491037673</v>
      </c>
      <c r="AM255" s="171">
        <f t="shared" si="61"/>
        <v>-9.8102477314243597E-3</v>
      </c>
      <c r="AN255" s="170">
        <f t="shared" si="61"/>
        <v>-9.8102477314243597E-3</v>
      </c>
      <c r="AP255" s="55">
        <v>7</v>
      </c>
      <c r="AQ255" s="55">
        <v>0</v>
      </c>
    </row>
    <row r="256" spans="2:43" x14ac:dyDescent="0.2">
      <c r="B256" s="1" t="s">
        <v>537</v>
      </c>
      <c r="D256" s="55">
        <v>4668138</v>
      </c>
      <c r="E256" s="166">
        <v>1614.6266686683125</v>
      </c>
      <c r="G256" s="55">
        <v>4688396.6353241056</v>
      </c>
      <c r="H256" s="166">
        <v>1611.9141208510346</v>
      </c>
      <c r="J256" s="167">
        <f t="shared" si="53"/>
        <v>-4.3210156690817181E-3</v>
      </c>
      <c r="K256" s="168">
        <f t="shared" si="53"/>
        <v>1.6828116226477174E-3</v>
      </c>
      <c r="L256" s="55">
        <v>4782950</v>
      </c>
      <c r="M256" s="167">
        <f t="shared" si="54"/>
        <v>2.4864901055140942E-2</v>
      </c>
      <c r="N256" s="169">
        <f t="shared" si="55"/>
        <v>9.0547645222140982E-3</v>
      </c>
      <c r="O256" s="55">
        <v>4784210.7894817432</v>
      </c>
      <c r="Q256" s="167">
        <f t="shared" si="56"/>
        <v>2.5491175298075763E-2</v>
      </c>
      <c r="R256" s="170">
        <v>1.9344646841918722E-2</v>
      </c>
      <c r="S256" s="55">
        <v>4787134.324073609</v>
      </c>
      <c r="T256" s="167">
        <f t="shared" si="57"/>
        <v>2.5643411617339851E-2</v>
      </c>
      <c r="U256" s="170">
        <v>1.9495970696121301E-2</v>
      </c>
      <c r="V256" s="55">
        <v>4787844.9842205457</v>
      </c>
      <c r="X256" s="167">
        <f t="shared" si="58"/>
        <v>2.5221091277049856E-2</v>
      </c>
      <c r="Y256" s="170">
        <v>1.9076181634550826E-2</v>
      </c>
      <c r="Z256" s="55">
        <v>4785873.5345918648</v>
      </c>
      <c r="AB256" s="55">
        <v>4688891.8222683007</v>
      </c>
      <c r="AC256" s="55">
        <v>4785873.5345918648</v>
      </c>
      <c r="AD256" s="167">
        <f t="shared" si="59"/>
        <v>2.5221091277049856E-2</v>
      </c>
      <c r="AE256" s="170">
        <v>1.9076181634550826E-2</v>
      </c>
      <c r="AF256" s="55">
        <v>4785873.5345918648</v>
      </c>
      <c r="AG256" s="166">
        <v>1645.4275802718187</v>
      </c>
      <c r="AH256" s="171">
        <f t="shared" si="60"/>
        <v>2.5221091277049856E-2</v>
      </c>
      <c r="AI256" s="171">
        <f t="shared" si="60"/>
        <v>1.9076181634550604E-2</v>
      </c>
      <c r="AK256" s="55">
        <v>4811395.4331604959</v>
      </c>
      <c r="AL256" s="166">
        <v>1654.2022450226095</v>
      </c>
      <c r="AM256" s="171">
        <f t="shared" si="61"/>
        <v>-5.3044691344079631E-3</v>
      </c>
      <c r="AN256" s="170">
        <f t="shared" si="61"/>
        <v>-5.3044691344079631E-3</v>
      </c>
      <c r="AP256" s="55">
        <v>5</v>
      </c>
      <c r="AQ256" s="55">
        <v>0</v>
      </c>
    </row>
    <row r="257" spans="2:43" x14ac:dyDescent="0.2">
      <c r="B257" s="1" t="s">
        <v>538</v>
      </c>
      <c r="D257" s="55">
        <v>2426330</v>
      </c>
      <c r="E257" s="166">
        <v>1527.4053906219699</v>
      </c>
      <c r="G257" s="55">
        <v>2468903.5429435754</v>
      </c>
      <c r="H257" s="166">
        <v>1543.8383528216109</v>
      </c>
      <c r="J257" s="167">
        <f t="shared" si="53"/>
        <v>-1.7243906942114307E-2</v>
      </c>
      <c r="K257" s="168">
        <f t="shared" si="53"/>
        <v>-1.0644224616914832E-2</v>
      </c>
      <c r="L257" s="55">
        <v>2488411</v>
      </c>
      <c r="M257" s="167">
        <f t="shared" si="54"/>
        <v>2.5586379429014094E-2</v>
      </c>
      <c r="N257" s="169">
        <f t="shared" si="55"/>
        <v>9.0547645222140982E-3</v>
      </c>
      <c r="O257" s="55">
        <v>2488411</v>
      </c>
      <c r="Q257" s="167">
        <f t="shared" si="56"/>
        <v>2.6785021593169089E-2</v>
      </c>
      <c r="R257" s="170">
        <v>1.9935660496384511E-2</v>
      </c>
      <c r="S257" s="55">
        <v>2491319.3014421538</v>
      </c>
      <c r="T257" s="167">
        <f t="shared" si="57"/>
        <v>2.6785021593169089E-2</v>
      </c>
      <c r="U257" s="170">
        <v>1.9935660496384511E-2</v>
      </c>
      <c r="V257" s="55">
        <v>2491319.3014421538</v>
      </c>
      <c r="X257" s="167">
        <f t="shared" si="58"/>
        <v>2.6785021593169089E-2</v>
      </c>
      <c r="Y257" s="170">
        <v>1.9935660496384511E-2</v>
      </c>
      <c r="Z257" s="55">
        <v>2491319.3014421538</v>
      </c>
      <c r="AB257" s="55">
        <v>2469878.0761589231</v>
      </c>
      <c r="AC257" s="55">
        <v>2491319.3014421538</v>
      </c>
      <c r="AD257" s="167">
        <f t="shared" si="59"/>
        <v>2.6785021593169089E-2</v>
      </c>
      <c r="AE257" s="170">
        <v>1.9935660496384511E-2</v>
      </c>
      <c r="AF257" s="55">
        <v>2491319.3014421538</v>
      </c>
      <c r="AG257" s="166">
        <v>1557.8552259297571</v>
      </c>
      <c r="AH257" s="171">
        <f t="shared" si="60"/>
        <v>2.6785021593169089E-2</v>
      </c>
      <c r="AI257" s="171">
        <f t="shared" si="60"/>
        <v>1.9935660496384511E-2</v>
      </c>
      <c r="AK257" s="55">
        <v>2533941.130360411</v>
      </c>
      <c r="AL257" s="166">
        <v>1584.5072246842142</v>
      </c>
      <c r="AM257" s="171">
        <f t="shared" si="61"/>
        <v>-1.6820370610660218E-2</v>
      </c>
      <c r="AN257" s="170">
        <f t="shared" si="61"/>
        <v>-1.6820370610660107E-2</v>
      </c>
      <c r="AP257" s="55">
        <v>2</v>
      </c>
      <c r="AQ257" s="55">
        <v>0</v>
      </c>
    </row>
    <row r="258" spans="2:43" x14ac:dyDescent="0.2">
      <c r="B258" s="1" t="s">
        <v>539</v>
      </c>
      <c r="D258" s="55">
        <v>2508959</v>
      </c>
      <c r="E258" s="166">
        <v>1599.9231773105046</v>
      </c>
      <c r="G258" s="55">
        <v>2525612.513802683</v>
      </c>
      <c r="H258" s="166">
        <v>1597.8136926368732</v>
      </c>
      <c r="J258" s="167">
        <f t="shared" si="53"/>
        <v>-6.593851476293433E-3</v>
      </c>
      <c r="K258" s="168">
        <f t="shared" si="53"/>
        <v>1.3202319415288599E-3</v>
      </c>
      <c r="L258" s="55">
        <v>2574735</v>
      </c>
      <c r="M258" s="167">
        <f t="shared" si="54"/>
        <v>2.6216450727174045E-2</v>
      </c>
      <c r="N258" s="169">
        <f t="shared" si="55"/>
        <v>9.0547645222140982E-3</v>
      </c>
      <c r="O258" s="55">
        <v>2574735</v>
      </c>
      <c r="Q258" s="167">
        <f t="shared" si="56"/>
        <v>2.6399989472759788E-2</v>
      </c>
      <c r="R258" s="170">
        <v>1.8287684460217557E-2</v>
      </c>
      <c r="S258" s="55">
        <v>2575195.491187586</v>
      </c>
      <c r="T258" s="167">
        <f t="shared" si="57"/>
        <v>2.6399989472759788E-2</v>
      </c>
      <c r="U258" s="170">
        <v>1.8287684460217557E-2</v>
      </c>
      <c r="V258" s="55">
        <v>2575195.491187586</v>
      </c>
      <c r="X258" s="167">
        <f t="shared" si="58"/>
        <v>2.6399989472759788E-2</v>
      </c>
      <c r="Y258" s="170">
        <v>1.8287684460217557E-2</v>
      </c>
      <c r="Z258" s="55">
        <v>2575195.491187586</v>
      </c>
      <c r="AB258" s="55">
        <v>2528024.7046406474</v>
      </c>
      <c r="AC258" s="55">
        <v>2575195.491187586</v>
      </c>
      <c r="AD258" s="167">
        <f t="shared" si="59"/>
        <v>2.6399989472759788E-2</v>
      </c>
      <c r="AE258" s="170">
        <v>1.8287684460217557E-2</v>
      </c>
      <c r="AF258" s="55">
        <v>2575195.491187586</v>
      </c>
      <c r="AG258" s="166">
        <v>1629.1820675377476</v>
      </c>
      <c r="AH258" s="171">
        <f t="shared" si="60"/>
        <v>2.6399989472759788E-2</v>
      </c>
      <c r="AI258" s="171">
        <f t="shared" si="60"/>
        <v>1.8287684460217335E-2</v>
      </c>
      <c r="AK258" s="55">
        <v>2592845.8509134846</v>
      </c>
      <c r="AL258" s="166">
        <v>1640.3484623413372</v>
      </c>
      <c r="AM258" s="171">
        <f t="shared" si="61"/>
        <v>-6.8073309177559826E-3</v>
      </c>
      <c r="AN258" s="170">
        <f t="shared" si="61"/>
        <v>-6.8073309177559826E-3</v>
      </c>
      <c r="AP258" s="55">
        <v>2</v>
      </c>
      <c r="AQ258" s="55">
        <v>0</v>
      </c>
    </row>
    <row r="259" spans="2:43" x14ac:dyDescent="0.2">
      <c r="B259" s="1" t="s">
        <v>540</v>
      </c>
      <c r="D259" s="55">
        <v>3055296</v>
      </c>
      <c r="E259" s="166">
        <v>1715.7094596819172</v>
      </c>
      <c r="G259" s="55">
        <v>3018078.2654124564</v>
      </c>
      <c r="H259" s="166">
        <v>1684.8649950930287</v>
      </c>
      <c r="J259" s="167">
        <f t="shared" si="53"/>
        <v>1.2331600215297112E-2</v>
      </c>
      <c r="K259" s="168">
        <f t="shared" si="53"/>
        <v>1.8306786999978897E-2</v>
      </c>
      <c r="L259" s="55">
        <v>3129868</v>
      </c>
      <c r="M259" s="167">
        <f t="shared" si="54"/>
        <v>2.4407455120551313E-2</v>
      </c>
      <c r="N259" s="169">
        <f t="shared" si="55"/>
        <v>9.0547645222140982E-3</v>
      </c>
      <c r="O259" s="55">
        <v>3129868</v>
      </c>
      <c r="Q259" s="167">
        <f t="shared" si="56"/>
        <v>2.4407455120551313E-2</v>
      </c>
      <c r="R259" s="170">
        <v>1.8396471037847695E-2</v>
      </c>
      <c r="S259" s="55">
        <v>3129868</v>
      </c>
      <c r="T259" s="167">
        <f t="shared" si="57"/>
        <v>2.4407455120551313E-2</v>
      </c>
      <c r="U259" s="170">
        <v>1.8396471037847695E-2</v>
      </c>
      <c r="V259" s="55">
        <v>3129868</v>
      </c>
      <c r="X259" s="167">
        <f t="shared" si="58"/>
        <v>2.4407455120551313E-2</v>
      </c>
      <c r="Y259" s="170">
        <v>1.8396471037847695E-2</v>
      </c>
      <c r="Z259" s="55">
        <v>3129868</v>
      </c>
      <c r="AB259" s="55">
        <v>3020425.8083634148</v>
      </c>
      <c r="AC259" s="55">
        <v>3129868</v>
      </c>
      <c r="AD259" s="167">
        <f t="shared" si="59"/>
        <v>2.4407455120551313E-2</v>
      </c>
      <c r="AE259" s="170">
        <v>1.8396471037847695E-2</v>
      </c>
      <c r="AF259" s="55">
        <v>3129868</v>
      </c>
      <c r="AG259" s="166">
        <v>1747.272459066317</v>
      </c>
      <c r="AH259" s="171">
        <f t="shared" si="60"/>
        <v>2.4407455120551313E-2</v>
      </c>
      <c r="AI259" s="171">
        <f t="shared" si="60"/>
        <v>1.8396471037847695E-2</v>
      </c>
      <c r="AK259" s="55">
        <v>3097872.6239624768</v>
      </c>
      <c r="AL259" s="166">
        <v>1729.410798648742</v>
      </c>
      <c r="AM259" s="171">
        <f t="shared" si="61"/>
        <v>1.03281767591199E-2</v>
      </c>
      <c r="AN259" s="170">
        <f t="shared" si="61"/>
        <v>1.03281767591199E-2</v>
      </c>
      <c r="AP259" s="55">
        <v>3</v>
      </c>
      <c r="AQ259" s="55">
        <v>0</v>
      </c>
    </row>
    <row r="260" spans="2:43" ht="15" x14ac:dyDescent="0.25">
      <c r="B260"/>
      <c r="D260" s="1"/>
      <c r="G260" s="1"/>
      <c r="L260" s="1"/>
      <c r="O260" s="1"/>
      <c r="Q260" s="53"/>
      <c r="S260" s="1"/>
      <c r="U260" s="52"/>
      <c r="V260" s="1"/>
      <c r="X260" s="53"/>
      <c r="Y260" s="52"/>
      <c r="Z260" s="1"/>
      <c r="AB260" s="1"/>
      <c r="AC260" s="1"/>
      <c r="AD260" s="53"/>
      <c r="AE260" s="52"/>
      <c r="AF260" s="1"/>
      <c r="AG260" s="75"/>
      <c r="AK260" s="1"/>
      <c r="AL260" s="75"/>
      <c r="AP260" s="1"/>
      <c r="AQ260" s="1"/>
    </row>
    <row r="261" spans="2:43" x14ac:dyDescent="0.2">
      <c r="B261" s="1" t="s">
        <v>12</v>
      </c>
      <c r="D261" s="172">
        <f>SUM(D235:D259)</f>
        <v>97246517</v>
      </c>
      <c r="E261" s="173">
        <v>1659.717470013358</v>
      </c>
      <c r="G261" s="172">
        <f>SUM(G235:G259)</f>
        <v>97246569.278791651</v>
      </c>
      <c r="H261" s="173">
        <v>1648.2796250138679</v>
      </c>
      <c r="J261" s="167">
        <f>D261/G261-1</f>
        <v>-5.3759008711296019E-7</v>
      </c>
      <c r="K261" s="168">
        <f>E261/H261-1</f>
        <v>6.9392625049247147E-3</v>
      </c>
      <c r="L261" s="172">
        <f>SUM(L235:L259)</f>
        <v>99749711</v>
      </c>
      <c r="M261" s="167">
        <f>O261/$D261-1</f>
        <v>2.594142707485525E-2</v>
      </c>
      <c r="N261" s="169">
        <f>N$222</f>
        <v>9.0547645222140982E-3</v>
      </c>
      <c r="O261" s="172">
        <f>SUM(O235:O259)</f>
        <v>99769230.42903918</v>
      </c>
      <c r="Q261" s="167">
        <f>S261/$D261-1</f>
        <v>2.683964763379465E-2</v>
      </c>
      <c r="R261" s="170">
        <v>1.9762694584527507E-2</v>
      </c>
      <c r="S261" s="172">
        <f>SUM(S235:S259)</f>
        <v>99856579.249893829</v>
      </c>
      <c r="T261" s="167">
        <f>V261/$D261-1</f>
        <v>2.6925869399606173E-2</v>
      </c>
      <c r="U261" s="170">
        <v>1.9848322112095529E-2</v>
      </c>
      <c r="V261" s="172">
        <f>SUM(V235:V259)</f>
        <v>99864964.016308591</v>
      </c>
      <c r="X261" s="167">
        <f>Z261/$D261-1</f>
        <v>2.665323895268723E-2</v>
      </c>
      <c r="Y261" s="170">
        <v>1.9577570627366203E-2</v>
      </c>
      <c r="Z261" s="172">
        <f>SUM(Z235:Z259)</f>
        <v>99838451.654917553</v>
      </c>
      <c r="AB261" s="172">
        <f>SUM(AB235:AB259)</f>
        <v>97303935.346355051</v>
      </c>
      <c r="AC261" s="172">
        <f>SUM(AC235:AC259)</f>
        <v>99838451.654917553</v>
      </c>
      <c r="AD261" s="167">
        <f>AC261/$D261-1</f>
        <v>2.665323895268723E-2</v>
      </c>
      <c r="AE261" s="170">
        <v>1.9577570627366203E-2</v>
      </c>
      <c r="AF261" s="172">
        <f>SUM(AF235:AF259)</f>
        <v>99838451.654917553</v>
      </c>
      <c r="AG261" s="166">
        <v>1692.2107060040182</v>
      </c>
      <c r="AH261" s="171">
        <f>AF261/D261 - 1</f>
        <v>2.665323895268723E-2</v>
      </c>
      <c r="AI261" s="171">
        <f>AG261/E261 - 1</f>
        <v>1.9577570627366203E-2</v>
      </c>
      <c r="AK261" s="172">
        <f>SUM(AK235:AK259)</f>
        <v>99838483.828704476</v>
      </c>
      <c r="AL261" s="173">
        <v>1692.2112513332554</v>
      </c>
      <c r="AM261" s="171">
        <f>AF261/AK261-1</f>
        <v>-3.2225836865684698E-7</v>
      </c>
      <c r="AN261" s="170">
        <f t="shared" ref="AN261" si="62">AG261/AL261-1</f>
        <v>-3.2225836865684698E-7</v>
      </c>
      <c r="AP261" s="172">
        <f>SUM(AP235:AP259)</f>
        <v>135</v>
      </c>
      <c r="AQ261" s="172">
        <f>SUM(AQ235:AQ259)</f>
        <v>0</v>
      </c>
    </row>
    <row r="262" spans="2:43" ht="15" x14ac:dyDescent="0.25">
      <c r="B262"/>
      <c r="D262" s="1"/>
      <c r="G262" s="1"/>
      <c r="L262" s="1"/>
      <c r="O262" s="1"/>
      <c r="Q262" s="53"/>
      <c r="S262" s="1"/>
      <c r="U262" s="52"/>
      <c r="V262" s="1"/>
      <c r="X262" s="53"/>
      <c r="Y262" s="52"/>
      <c r="Z262" s="1"/>
      <c r="AB262" s="1"/>
      <c r="AC262" s="1"/>
      <c r="AD262" s="53"/>
      <c r="AE262" s="52"/>
      <c r="AF262" s="1"/>
      <c r="AG262" s="75"/>
      <c r="AK262" s="1"/>
      <c r="AL262" s="75"/>
      <c r="AP262" s="1"/>
      <c r="AQ262" s="1"/>
    </row>
    <row r="263" spans="2:43" ht="15" x14ac:dyDescent="0.25">
      <c r="B263" s="174" t="s">
        <v>541</v>
      </c>
      <c r="D263" s="1"/>
      <c r="G263" s="1"/>
      <c r="L263" s="1"/>
      <c r="O263" s="1"/>
      <c r="Q263" s="53"/>
      <c r="S263" s="1"/>
      <c r="U263" s="52"/>
      <c r="V263" s="1"/>
      <c r="X263" s="53"/>
      <c r="Y263" s="52"/>
      <c r="Z263" s="1"/>
      <c r="AB263" s="1"/>
      <c r="AC263" s="1"/>
      <c r="AD263" s="53"/>
      <c r="AE263" s="52"/>
      <c r="AF263" s="1"/>
      <c r="AG263" s="75"/>
      <c r="AK263" s="1"/>
      <c r="AL263" s="75"/>
      <c r="AP263" s="1"/>
      <c r="AQ263" s="1"/>
    </row>
    <row r="264" spans="2:43" ht="15" x14ac:dyDescent="0.25">
      <c r="B264" t="s">
        <v>542</v>
      </c>
      <c r="D264" s="55">
        <v>7161687</v>
      </c>
      <c r="E264" s="166">
        <v>1506.7044598298151</v>
      </c>
      <c r="G264" s="55">
        <v>7276829.1194595899</v>
      </c>
      <c r="H264" s="166">
        <v>1519.088549101853</v>
      </c>
      <c r="J264" s="167">
        <f t="shared" ref="J264:K273" si="63">D264/G264-1</f>
        <v>-1.5823117125518094E-2</v>
      </c>
      <c r="K264" s="168">
        <f t="shared" si="63"/>
        <v>-8.1523155969808192E-3</v>
      </c>
      <c r="L264" s="55">
        <v>7352431</v>
      </c>
      <c r="M264" s="167">
        <f t="shared" ref="M264:M273" si="64">O264/$D264-1</f>
        <v>2.6633948118648609E-2</v>
      </c>
      <c r="N264" s="169">
        <f t="shared" ref="N264:N273" si="65">N$222</f>
        <v>9.0547645222140982E-3</v>
      </c>
      <c r="O264" s="55">
        <v>7352431</v>
      </c>
      <c r="Q264" s="167">
        <f t="shared" ref="Q264:Q273" si="66">S264/$D264-1</f>
        <v>2.7678719806774277E-2</v>
      </c>
      <c r="R264" s="170">
        <v>1.9730806413717383E-2</v>
      </c>
      <c r="S264" s="55">
        <v>7359913.3278168179</v>
      </c>
      <c r="T264" s="167">
        <f t="shared" ref="T264:T273" si="67">V264/$D264-1</f>
        <v>2.7678719806774277E-2</v>
      </c>
      <c r="U264" s="170">
        <v>1.9730806413717383E-2</v>
      </c>
      <c r="V264" s="55">
        <v>7359913.3278168179</v>
      </c>
      <c r="X264" s="167">
        <f t="shared" ref="X264:X273" si="68">Z264/$D264-1</f>
        <v>2.7678719806774277E-2</v>
      </c>
      <c r="Y264" s="170">
        <v>1.9730806413717383E-2</v>
      </c>
      <c r="Z264" s="55">
        <v>7359913.3278168179</v>
      </c>
      <c r="AB264" s="55">
        <v>7280158.1548767546</v>
      </c>
      <c r="AC264" s="55">
        <v>7359913.3278168179</v>
      </c>
      <c r="AD264" s="167">
        <f t="shared" ref="AD264:AD273" si="69">AC264/$D264-1</f>
        <v>2.7678719806774277E-2</v>
      </c>
      <c r="AE264" s="170">
        <v>1.9730806413717383E-2</v>
      </c>
      <c r="AF264" s="55">
        <v>7359913.3278168179</v>
      </c>
      <c r="AG264" s="166">
        <v>1536.4329538494019</v>
      </c>
      <c r="AH264" s="171">
        <f t="shared" ref="AH264:AI273" si="70">AF264/D264 - 1</f>
        <v>2.7678719806774277E-2</v>
      </c>
      <c r="AI264" s="171">
        <f t="shared" si="70"/>
        <v>1.9730806413717383E-2</v>
      </c>
      <c r="AK264" s="55">
        <v>7469687.0105904546</v>
      </c>
      <c r="AL264" s="166">
        <v>1559.3489714934378</v>
      </c>
      <c r="AM264" s="171">
        <f t="shared" ref="AM264:AN273" si="71">AF264/AK264-1</f>
        <v>-1.4695887875623259E-2</v>
      </c>
      <c r="AN264" s="170">
        <f t="shared" si="71"/>
        <v>-1.4695887875623259E-2</v>
      </c>
      <c r="AP264" s="55">
        <v>10</v>
      </c>
      <c r="AQ264" s="55">
        <v>0</v>
      </c>
    </row>
    <row r="265" spans="2:43" ht="15" x14ac:dyDescent="0.25">
      <c r="B265" t="s">
        <v>543</v>
      </c>
      <c r="D265" s="55">
        <v>10730840</v>
      </c>
      <c r="E265" s="166">
        <v>1538.6844137007849</v>
      </c>
      <c r="G265" s="55">
        <v>10912565.528356861</v>
      </c>
      <c r="H265" s="166">
        <v>1552.8776735138445</v>
      </c>
      <c r="J265" s="167">
        <f t="shared" si="63"/>
        <v>-1.6652869381140301E-2</v>
      </c>
      <c r="K265" s="168">
        <f t="shared" si="63"/>
        <v>-9.1399728743237763E-3</v>
      </c>
      <c r="L265" s="55">
        <v>11015206</v>
      </c>
      <c r="M265" s="167">
        <f t="shared" si="64"/>
        <v>2.6499882581419554E-2</v>
      </c>
      <c r="N265" s="169">
        <f t="shared" si="65"/>
        <v>9.0547645222140982E-3</v>
      </c>
      <c r="O265" s="55">
        <v>11015206</v>
      </c>
      <c r="Q265" s="167">
        <f t="shared" si="66"/>
        <v>2.8883177344109834E-2</v>
      </c>
      <c r="R265" s="170">
        <v>2.108198179945342E-2</v>
      </c>
      <c r="S265" s="55">
        <v>11040780.754771268</v>
      </c>
      <c r="T265" s="167">
        <f t="shared" si="67"/>
        <v>2.891558578108655E-2</v>
      </c>
      <c r="U265" s="170">
        <v>2.1114144509257526E-2</v>
      </c>
      <c r="V265" s="55">
        <v>11041128.524523115</v>
      </c>
      <c r="X265" s="167">
        <f t="shared" si="68"/>
        <v>2.8883177344109834E-2</v>
      </c>
      <c r="Y265" s="170">
        <v>2.108198179945342E-2</v>
      </c>
      <c r="Z265" s="55">
        <v>11040780.754771268</v>
      </c>
      <c r="AB265" s="55">
        <v>10902892.304044444</v>
      </c>
      <c r="AC265" s="55">
        <v>11040780.754771268</v>
      </c>
      <c r="AD265" s="167">
        <f t="shared" si="69"/>
        <v>2.8883177344109834E-2</v>
      </c>
      <c r="AE265" s="170">
        <v>2.108198179945342E-2</v>
      </c>
      <c r="AF265" s="55">
        <v>11040780.754771268</v>
      </c>
      <c r="AG265" s="166">
        <v>1571.1229305055278</v>
      </c>
      <c r="AH265" s="171">
        <f t="shared" si="70"/>
        <v>2.8883177344109834E-2</v>
      </c>
      <c r="AI265" s="171">
        <f t="shared" si="70"/>
        <v>2.1081981799453642E-2</v>
      </c>
      <c r="AK265" s="55">
        <v>11202560.422007808</v>
      </c>
      <c r="AL265" s="166">
        <v>1594.1444677075087</v>
      </c>
      <c r="AM265" s="171">
        <f t="shared" si="71"/>
        <v>-1.4441311730728934E-2</v>
      </c>
      <c r="AN265" s="170">
        <f t="shared" si="71"/>
        <v>-1.4441311730728823E-2</v>
      </c>
      <c r="AP265" s="55">
        <v>10</v>
      </c>
      <c r="AQ265" s="55">
        <v>0</v>
      </c>
    </row>
    <row r="266" spans="2:43" ht="15" x14ac:dyDescent="0.25">
      <c r="B266" t="s">
        <v>544</v>
      </c>
      <c r="D266" s="55">
        <v>11174592</v>
      </c>
      <c r="E266" s="166">
        <v>1604.7993416538554</v>
      </c>
      <c r="G266" s="55">
        <v>11340340.851391606</v>
      </c>
      <c r="H266" s="166">
        <v>1616.5421940503722</v>
      </c>
      <c r="J266" s="167">
        <f t="shared" si="63"/>
        <v>-1.4615861512775163E-2</v>
      </c>
      <c r="K266" s="168">
        <f t="shared" si="63"/>
        <v>-7.2641793327362647E-3</v>
      </c>
      <c r="L266" s="55">
        <v>11465456</v>
      </c>
      <c r="M266" s="167">
        <f t="shared" si="64"/>
        <v>2.6029048756321504E-2</v>
      </c>
      <c r="N266" s="169">
        <f t="shared" si="65"/>
        <v>9.0547645222140982E-3</v>
      </c>
      <c r="O266" s="55">
        <v>11465456</v>
      </c>
      <c r="Q266" s="167">
        <f t="shared" si="66"/>
        <v>2.7415017917477913E-2</v>
      </c>
      <c r="R266" s="170">
        <v>1.9806519743561513E-2</v>
      </c>
      <c r="S266" s="55">
        <v>11480943.639900506</v>
      </c>
      <c r="T266" s="167">
        <f t="shared" si="67"/>
        <v>2.7415017917477913E-2</v>
      </c>
      <c r="U266" s="170">
        <v>1.9806519743561513E-2</v>
      </c>
      <c r="V266" s="55">
        <v>11480943.639900506</v>
      </c>
      <c r="X266" s="167">
        <f t="shared" si="68"/>
        <v>2.7415017917477913E-2</v>
      </c>
      <c r="Y266" s="170">
        <v>1.9806519743561513E-2</v>
      </c>
      <c r="Z266" s="55">
        <v>11480943.639900506</v>
      </c>
      <c r="AB266" s="55">
        <v>11346846.74666445</v>
      </c>
      <c r="AC266" s="55">
        <v>11480943.639900506</v>
      </c>
      <c r="AD266" s="167">
        <f t="shared" si="69"/>
        <v>2.7415017917477913E-2</v>
      </c>
      <c r="AE266" s="170">
        <v>1.9806519743561513E-2</v>
      </c>
      <c r="AF266" s="55">
        <v>11480943.639900506</v>
      </c>
      <c r="AG266" s="166">
        <v>1636.584831498777</v>
      </c>
      <c r="AH266" s="171">
        <f t="shared" si="70"/>
        <v>2.7415017917477913E-2</v>
      </c>
      <c r="AI266" s="171">
        <f t="shared" si="70"/>
        <v>1.9806519743561513E-2</v>
      </c>
      <c r="AK266" s="55">
        <v>11640830.224001274</v>
      </c>
      <c r="AL266" s="166">
        <v>1659.3763342277061</v>
      </c>
      <c r="AM266" s="171">
        <f t="shared" si="71"/>
        <v>-1.3734981184684858E-2</v>
      </c>
      <c r="AN266" s="170">
        <f t="shared" si="71"/>
        <v>-1.3734981184684969E-2</v>
      </c>
      <c r="AP266" s="55">
        <v>10</v>
      </c>
      <c r="AQ266" s="55">
        <v>0</v>
      </c>
    </row>
    <row r="267" spans="2:43" ht="15" x14ac:dyDescent="0.25">
      <c r="B267" t="s">
        <v>545</v>
      </c>
      <c r="D267" s="55">
        <v>8849958</v>
      </c>
      <c r="E267" s="166">
        <v>1613.6742767888038</v>
      </c>
      <c r="G267" s="55">
        <v>8904764.1382508781</v>
      </c>
      <c r="H267" s="166">
        <v>1611.1128852193094</v>
      </c>
      <c r="J267" s="167">
        <f t="shared" si="63"/>
        <v>-6.154698473759157E-3</v>
      </c>
      <c r="K267" s="168">
        <f t="shared" si="63"/>
        <v>1.5898274993597639E-3</v>
      </c>
      <c r="L267" s="55">
        <v>9084798</v>
      </c>
      <c r="M267" s="167">
        <f t="shared" si="64"/>
        <v>2.6535719152565473E-2</v>
      </c>
      <c r="N267" s="169">
        <f t="shared" si="65"/>
        <v>9.0547645222140982E-3</v>
      </c>
      <c r="O267" s="55">
        <v>9084798</v>
      </c>
      <c r="Q267" s="167">
        <f t="shared" si="66"/>
        <v>2.7654116172886045E-2</v>
      </c>
      <c r="R267" s="170">
        <v>1.9708055045295048E-2</v>
      </c>
      <c r="S267" s="55">
        <v>9094695.7666571625</v>
      </c>
      <c r="T267" s="167">
        <f t="shared" si="67"/>
        <v>2.7673195356673785E-2</v>
      </c>
      <c r="U267" s="170">
        <v>1.9726986704387217E-2</v>
      </c>
      <c r="V267" s="55">
        <v>9094864.6166323572</v>
      </c>
      <c r="X267" s="167">
        <f t="shared" si="68"/>
        <v>2.7654116172886045E-2</v>
      </c>
      <c r="Y267" s="170">
        <v>1.9708055045295048E-2</v>
      </c>
      <c r="Z267" s="55">
        <v>9094695.7666571625</v>
      </c>
      <c r="AB267" s="55">
        <v>8910202.4021272119</v>
      </c>
      <c r="AC267" s="55">
        <v>9094695.7666571625</v>
      </c>
      <c r="AD267" s="167">
        <f t="shared" si="69"/>
        <v>2.7654116172886045E-2</v>
      </c>
      <c r="AE267" s="170">
        <v>1.9708055045295048E-2</v>
      </c>
      <c r="AF267" s="55">
        <v>9094695.7666571625</v>
      </c>
      <c r="AG267" s="166">
        <v>1645.4766582609341</v>
      </c>
      <c r="AH267" s="171">
        <f t="shared" si="70"/>
        <v>2.7654116172886045E-2</v>
      </c>
      <c r="AI267" s="171">
        <f t="shared" si="70"/>
        <v>1.9708055045295048E-2</v>
      </c>
      <c r="AK267" s="55">
        <v>9142196.904494416</v>
      </c>
      <c r="AL267" s="166">
        <v>1654.0708999549324</v>
      </c>
      <c r="AM267" s="171">
        <f t="shared" si="71"/>
        <v>-5.1958121590994777E-3</v>
      </c>
      <c r="AN267" s="170">
        <f t="shared" si="71"/>
        <v>-5.1958121590993667E-3</v>
      </c>
      <c r="AP267" s="55">
        <v>11</v>
      </c>
      <c r="AQ267" s="55">
        <v>0</v>
      </c>
    </row>
    <row r="268" spans="2:43" ht="15" x14ac:dyDescent="0.25">
      <c r="B268" t="s">
        <v>546</v>
      </c>
      <c r="D268" s="55">
        <v>9491344</v>
      </c>
      <c r="E268" s="166">
        <v>1669.6904238719701</v>
      </c>
      <c r="G268" s="55">
        <v>9484790.7688377202</v>
      </c>
      <c r="H268" s="166">
        <v>1659.2422095687198</v>
      </c>
      <c r="J268" s="167">
        <f t="shared" si="63"/>
        <v>6.9091994984327165E-4</v>
      </c>
      <c r="K268" s="168">
        <f t="shared" si="63"/>
        <v>6.2969795747698232E-3</v>
      </c>
      <c r="L268" s="55">
        <v>9730955</v>
      </c>
      <c r="M268" s="167">
        <f t="shared" si="64"/>
        <v>2.5245212901355174E-2</v>
      </c>
      <c r="N268" s="169">
        <f t="shared" si="65"/>
        <v>9.0547645222140982E-3</v>
      </c>
      <c r="O268" s="55">
        <v>9730955</v>
      </c>
      <c r="Q268" s="167">
        <f t="shared" si="66"/>
        <v>2.6022612767590658E-2</v>
      </c>
      <c r="R268" s="170">
        <v>2.0306662048819035E-2</v>
      </c>
      <c r="S268" s="55">
        <v>9738333.5695559941</v>
      </c>
      <c r="T268" s="167">
        <f t="shared" si="67"/>
        <v>2.6022612767590658E-2</v>
      </c>
      <c r="U268" s="170">
        <v>2.0306662048819035E-2</v>
      </c>
      <c r="V268" s="55">
        <v>9738333.5695559941</v>
      </c>
      <c r="X268" s="167">
        <f t="shared" si="68"/>
        <v>2.6022612767590658E-2</v>
      </c>
      <c r="Y268" s="170">
        <v>2.0306662048819035E-2</v>
      </c>
      <c r="Z268" s="55">
        <v>9738333.5695559941</v>
      </c>
      <c r="AB268" s="55">
        <v>9491778.9000128824</v>
      </c>
      <c r="AC268" s="55">
        <v>9738333.5695559941</v>
      </c>
      <c r="AD268" s="167">
        <f t="shared" si="69"/>
        <v>2.6022612767590658E-2</v>
      </c>
      <c r="AE268" s="170">
        <v>2.0306662048819035E-2</v>
      </c>
      <c r="AF268" s="55">
        <v>9738333.5695559941</v>
      </c>
      <c r="AG268" s="166">
        <v>1703.5962630356873</v>
      </c>
      <c r="AH268" s="171">
        <f t="shared" si="70"/>
        <v>2.6022612767590658E-2</v>
      </c>
      <c r="AI268" s="171">
        <f t="shared" si="70"/>
        <v>2.0306662048818813E-2</v>
      </c>
      <c r="AK268" s="55">
        <v>9735200.3864522632</v>
      </c>
      <c r="AL268" s="166">
        <v>1703.0481529315509</v>
      </c>
      <c r="AM268" s="171">
        <f t="shared" si="71"/>
        <v>3.2184063803053498E-4</v>
      </c>
      <c r="AN268" s="170">
        <f t="shared" si="71"/>
        <v>3.2184063803075702E-4</v>
      </c>
      <c r="AP268" s="55">
        <v>13</v>
      </c>
      <c r="AQ268" s="55">
        <v>0</v>
      </c>
    </row>
    <row r="269" spans="2:43" ht="15" x14ac:dyDescent="0.25">
      <c r="B269" t="s">
        <v>547</v>
      </c>
      <c r="D269" s="55">
        <v>7793224</v>
      </c>
      <c r="E269" s="166">
        <v>1650.0648958118231</v>
      </c>
      <c r="G269" s="55">
        <v>7799817.7064314559</v>
      </c>
      <c r="H269" s="166">
        <v>1641.0423537291888</v>
      </c>
      <c r="J269" s="167">
        <f t="shared" si="63"/>
        <v>-8.4536673543267327E-4</v>
      </c>
      <c r="K269" s="168">
        <f t="shared" si="63"/>
        <v>5.498055587737305E-3</v>
      </c>
      <c r="L269" s="55">
        <v>7988584</v>
      </c>
      <c r="M269" s="167">
        <f t="shared" si="64"/>
        <v>2.5229711026109714E-2</v>
      </c>
      <c r="N269" s="169">
        <f t="shared" si="65"/>
        <v>9.0547645222140982E-3</v>
      </c>
      <c r="O269" s="55">
        <v>7989844.7894817432</v>
      </c>
      <c r="Q269" s="167">
        <f t="shared" si="66"/>
        <v>2.5997149430319055E-2</v>
      </c>
      <c r="R269" s="170">
        <v>1.9524403724808348E-2</v>
      </c>
      <c r="S269" s="55">
        <v>7995825.608871948</v>
      </c>
      <c r="T269" s="167">
        <f t="shared" si="67"/>
        <v>2.6088338923516696E-2</v>
      </c>
      <c r="U269" s="170">
        <v>1.9615017927518075E-2</v>
      </c>
      <c r="V269" s="55">
        <v>7996536.2690188847</v>
      </c>
      <c r="X269" s="167">
        <f t="shared" si="68"/>
        <v>2.5835369211792747E-2</v>
      </c>
      <c r="Y269" s="170">
        <v>1.9363644135057756E-2</v>
      </c>
      <c r="Z269" s="55">
        <v>7994564.8193902047</v>
      </c>
      <c r="AB269" s="55">
        <v>7805649.8106390126</v>
      </c>
      <c r="AC269" s="55">
        <v>7994564.8193902047</v>
      </c>
      <c r="AD269" s="167">
        <f t="shared" si="69"/>
        <v>2.5835369211792747E-2</v>
      </c>
      <c r="AE269" s="170">
        <v>1.9363644135057756E-2</v>
      </c>
      <c r="AF269" s="55">
        <v>7994564.8193902047</v>
      </c>
      <c r="AG269" s="166">
        <v>1682.0161652540746</v>
      </c>
      <c r="AH269" s="171">
        <f t="shared" si="70"/>
        <v>2.5835369211792747E-2</v>
      </c>
      <c r="AI269" s="171">
        <f t="shared" si="70"/>
        <v>1.9363644135057978E-2</v>
      </c>
      <c r="AK269" s="55">
        <v>8006158.1240715533</v>
      </c>
      <c r="AL269" s="166">
        <v>1684.4553381575763</v>
      </c>
      <c r="AM269" s="171">
        <f t="shared" si="71"/>
        <v>-1.4480484274338457E-3</v>
      </c>
      <c r="AN269" s="170">
        <f t="shared" si="71"/>
        <v>-1.4480484274338457E-3</v>
      </c>
      <c r="AP269" s="55">
        <v>15</v>
      </c>
      <c r="AQ269" s="55">
        <v>0</v>
      </c>
    </row>
    <row r="270" spans="2:43" ht="15" x14ac:dyDescent="0.25">
      <c r="B270" t="s">
        <v>548</v>
      </c>
      <c r="D270" s="55">
        <v>9390352</v>
      </c>
      <c r="E270" s="166">
        <v>1688.2678744541636</v>
      </c>
      <c r="G270" s="55">
        <v>9229587.8090455756</v>
      </c>
      <c r="H270" s="166">
        <v>1647.0161387140565</v>
      </c>
      <c r="J270" s="167">
        <f t="shared" si="63"/>
        <v>1.7418350015248274E-2</v>
      </c>
      <c r="K270" s="168">
        <f t="shared" si="63"/>
        <v>2.5046345794957015E-2</v>
      </c>
      <c r="L270" s="55">
        <v>9615494</v>
      </c>
      <c r="M270" s="167">
        <f t="shared" si="64"/>
        <v>2.5431102568802766E-2</v>
      </c>
      <c r="N270" s="169">
        <f t="shared" si="65"/>
        <v>9.0547645222140982E-3</v>
      </c>
      <c r="O270" s="55">
        <v>9629159.0048691612</v>
      </c>
      <c r="Q270" s="167">
        <f t="shared" si="66"/>
        <v>2.6057238772269509E-2</v>
      </c>
      <c r="R270" s="170">
        <v>1.8421720320638268E-2</v>
      </c>
      <c r="S270" s="55">
        <v>9635038.6442196593</v>
      </c>
      <c r="T270" s="167">
        <f t="shared" si="67"/>
        <v>2.6263217518288862E-2</v>
      </c>
      <c r="U270" s="170">
        <v>1.8626166253032483E-2</v>
      </c>
      <c r="V270" s="55">
        <v>9636972.8571492992</v>
      </c>
      <c r="X270" s="167">
        <f t="shared" si="68"/>
        <v>2.4639361039034302E-2</v>
      </c>
      <c r="Y270" s="170">
        <v>1.7014393881410017E-2</v>
      </c>
      <c r="Z270" s="55">
        <v>9621724.273211617</v>
      </c>
      <c r="AB270" s="55">
        <v>9237276.3026403766</v>
      </c>
      <c r="AC270" s="55">
        <v>9621724.273211617</v>
      </c>
      <c r="AD270" s="167">
        <f t="shared" si="69"/>
        <v>2.4639361039034302E-2</v>
      </c>
      <c r="AE270" s="170">
        <v>1.7014393881410017E-2</v>
      </c>
      <c r="AF270" s="55">
        <v>9621724.273211617</v>
      </c>
      <c r="AG270" s="166">
        <v>1716.9927290474577</v>
      </c>
      <c r="AH270" s="171">
        <f t="shared" si="70"/>
        <v>2.4639361039034302E-2</v>
      </c>
      <c r="AI270" s="171">
        <f t="shared" si="70"/>
        <v>1.7014393881410017E-2</v>
      </c>
      <c r="AK270" s="55">
        <v>9477046.0010584015</v>
      </c>
      <c r="AL270" s="166">
        <v>1691.1749510396387</v>
      </c>
      <c r="AM270" s="171">
        <f t="shared" si="71"/>
        <v>1.5266178104132555E-2</v>
      </c>
      <c r="AN270" s="170">
        <f t="shared" si="71"/>
        <v>1.5266178104132777E-2</v>
      </c>
      <c r="AP270" s="55">
        <v>15</v>
      </c>
      <c r="AQ270" s="55">
        <v>0</v>
      </c>
    </row>
    <row r="271" spans="2:43" ht="15" x14ac:dyDescent="0.25">
      <c r="B271" t="s">
        <v>549</v>
      </c>
      <c r="D271" s="55">
        <v>11410085</v>
      </c>
      <c r="E271" s="166">
        <v>1732.8505507518344</v>
      </c>
      <c r="G271" s="55">
        <v>11307206.351813726</v>
      </c>
      <c r="H271" s="166">
        <v>1706.6062139383484</v>
      </c>
      <c r="J271" s="167">
        <f t="shared" si="63"/>
        <v>9.0985027587977552E-3</v>
      </c>
      <c r="K271" s="168">
        <f t="shared" si="63"/>
        <v>1.5378085816833975E-2</v>
      </c>
      <c r="L271" s="55">
        <v>11703580</v>
      </c>
      <c r="M271" s="167">
        <f t="shared" si="64"/>
        <v>2.572242012219883E-2</v>
      </c>
      <c r="N271" s="169">
        <f t="shared" si="65"/>
        <v>9.0547645222140982E-3</v>
      </c>
      <c r="O271" s="55">
        <v>11703580</v>
      </c>
      <c r="Q271" s="167">
        <f t="shared" si="66"/>
        <v>2.622959934808855E-2</v>
      </c>
      <c r="R271" s="170">
        <v>1.9882905347363478E-2</v>
      </c>
      <c r="S271" s="55">
        <v>11709366.958077634</v>
      </c>
      <c r="T271" s="167">
        <f t="shared" si="67"/>
        <v>2.622959934808855E-2</v>
      </c>
      <c r="U271" s="170">
        <v>1.9882905347363478E-2</v>
      </c>
      <c r="V271" s="55">
        <v>11709366.958077634</v>
      </c>
      <c r="X271" s="167">
        <f t="shared" si="68"/>
        <v>2.622959934808855E-2</v>
      </c>
      <c r="Y271" s="170">
        <v>1.9882905347363478E-2</v>
      </c>
      <c r="Z271" s="55">
        <v>11709366.958077634</v>
      </c>
      <c r="AB271" s="55">
        <v>11315889.70332456</v>
      </c>
      <c r="AC271" s="55">
        <v>11709366.958077634</v>
      </c>
      <c r="AD271" s="167">
        <f t="shared" si="69"/>
        <v>2.622959934808855E-2</v>
      </c>
      <c r="AE271" s="170">
        <v>1.9882905347363478E-2</v>
      </c>
      <c r="AF271" s="55">
        <v>11709366.958077634</v>
      </c>
      <c r="AG271" s="166">
        <v>1767.3046542335594</v>
      </c>
      <c r="AH271" s="171">
        <f t="shared" si="70"/>
        <v>2.622959934808855E-2</v>
      </c>
      <c r="AI271" s="171">
        <f t="shared" si="70"/>
        <v>1.9882905347363256E-2</v>
      </c>
      <c r="AK271" s="55">
        <v>11608679.434986722</v>
      </c>
      <c r="AL271" s="166">
        <v>1752.1078012509086</v>
      </c>
      <c r="AM271" s="171">
        <f t="shared" si="71"/>
        <v>8.6734691620009574E-3</v>
      </c>
      <c r="AN271" s="170">
        <f t="shared" si="71"/>
        <v>8.6734691620007354E-3</v>
      </c>
      <c r="AP271" s="55">
        <v>16</v>
      </c>
      <c r="AQ271" s="55">
        <v>0</v>
      </c>
    </row>
    <row r="272" spans="2:43" ht="15" x14ac:dyDescent="0.25">
      <c r="B272" t="s">
        <v>550</v>
      </c>
      <c r="D272" s="55">
        <v>10055274</v>
      </c>
      <c r="E272" s="166">
        <v>1785.2760044344807</v>
      </c>
      <c r="G272" s="55">
        <v>9878546.6655284762</v>
      </c>
      <c r="H272" s="166">
        <v>1741.6597470576089</v>
      </c>
      <c r="J272" s="167">
        <f t="shared" si="63"/>
        <v>1.7890013628039103E-2</v>
      </c>
      <c r="K272" s="168">
        <f t="shared" si="63"/>
        <v>2.5042926697110612E-2</v>
      </c>
      <c r="L272" s="55">
        <v>10309540</v>
      </c>
      <c r="M272" s="167">
        <f t="shared" si="64"/>
        <v>2.5743667918773028E-2</v>
      </c>
      <c r="N272" s="169">
        <f t="shared" si="65"/>
        <v>9.0547645222140982E-3</v>
      </c>
      <c r="O272" s="55">
        <v>10314133.634688273</v>
      </c>
      <c r="Q272" s="167">
        <f t="shared" si="66"/>
        <v>2.579368169664642E-2</v>
      </c>
      <c r="R272" s="170">
        <v>1.8635529739418955E-2</v>
      </c>
      <c r="S272" s="55">
        <v>10314636.536928564</v>
      </c>
      <c r="T272" s="167">
        <f t="shared" si="67"/>
        <v>2.6266909151380302E-2</v>
      </c>
      <c r="U272" s="170">
        <v>1.9105454937479172E-2</v>
      </c>
      <c r="V272" s="55">
        <v>10319394.968650237</v>
      </c>
      <c r="X272" s="167">
        <f t="shared" si="68"/>
        <v>2.5440391026845033E-2</v>
      </c>
      <c r="Y272" s="170">
        <v>1.8284704388272344E-2</v>
      </c>
      <c r="Z272" s="55">
        <v>10311084.102442069</v>
      </c>
      <c r="AB272" s="55">
        <v>9890270.1575341392</v>
      </c>
      <c r="AC272" s="55">
        <v>10311084.102442069</v>
      </c>
      <c r="AD272" s="167">
        <f t="shared" si="69"/>
        <v>2.5440391026845033E-2</v>
      </c>
      <c r="AE272" s="170">
        <v>1.8284704388272344E-2</v>
      </c>
      <c r="AF272" s="55">
        <v>10311084.102442069</v>
      </c>
      <c r="AG272" s="166">
        <v>1817.9192484270416</v>
      </c>
      <c r="AH272" s="171">
        <f t="shared" si="70"/>
        <v>2.5440391026845033E-2</v>
      </c>
      <c r="AI272" s="171">
        <f t="shared" si="70"/>
        <v>1.8284704388272566E-2</v>
      </c>
      <c r="AK272" s="55">
        <v>10143866.828240139</v>
      </c>
      <c r="AL272" s="166">
        <v>1788.4376247276291</v>
      </c>
      <c r="AM272" s="171">
        <f t="shared" si="71"/>
        <v>1.6484569152308115E-2</v>
      </c>
      <c r="AN272" s="170">
        <f t="shared" si="71"/>
        <v>1.6484569152308115E-2</v>
      </c>
      <c r="AP272" s="55">
        <v>18</v>
      </c>
      <c r="AQ272" s="55">
        <v>0</v>
      </c>
    </row>
    <row r="273" spans="2:43" ht="15" x14ac:dyDescent="0.25">
      <c r="B273" t="s">
        <v>551</v>
      </c>
      <c r="D273" s="55">
        <v>11189161</v>
      </c>
      <c r="E273" s="166">
        <v>1795.7619951383713</v>
      </c>
      <c r="G273" s="55">
        <v>11112120.339675779</v>
      </c>
      <c r="H273" s="166">
        <v>1772.7246962033787</v>
      </c>
      <c r="J273" s="167">
        <f t="shared" si="63"/>
        <v>6.9330296981349182E-3</v>
      </c>
      <c r="K273" s="168">
        <f t="shared" si="63"/>
        <v>1.2995418287075955E-2</v>
      </c>
      <c r="L273" s="55">
        <v>11483667</v>
      </c>
      <c r="M273" s="167">
        <f t="shared" si="64"/>
        <v>2.6320650851301641E-2</v>
      </c>
      <c r="N273" s="169">
        <f t="shared" si="65"/>
        <v>9.0547645222140982E-3</v>
      </c>
      <c r="O273" s="55">
        <v>11483667</v>
      </c>
      <c r="Q273" s="167">
        <f t="shared" si="66"/>
        <v>2.6622500390715231E-2</v>
      </c>
      <c r="R273" s="170">
        <v>2.047855894817352E-2</v>
      </c>
      <c r="S273" s="55">
        <v>11487044.443094276</v>
      </c>
      <c r="T273" s="167">
        <f t="shared" si="67"/>
        <v>2.6664044335740877E-2</v>
      </c>
      <c r="U273" s="170">
        <v>2.0519854268641113E-2</v>
      </c>
      <c r="V273" s="55">
        <v>11487509.284983743</v>
      </c>
      <c r="X273" s="167">
        <f t="shared" si="68"/>
        <v>2.6622500390715231E-2</v>
      </c>
      <c r="Y273" s="170">
        <v>2.047855894817352E-2</v>
      </c>
      <c r="Z273" s="55">
        <v>11487044.443094276</v>
      </c>
      <c r="AB273" s="55">
        <v>11122970.86449123</v>
      </c>
      <c r="AC273" s="55">
        <v>11487044.443094276</v>
      </c>
      <c r="AD273" s="167">
        <f t="shared" si="69"/>
        <v>2.6622500390715231E-2</v>
      </c>
      <c r="AE273" s="170">
        <v>2.047855894817352E-2</v>
      </c>
      <c r="AF273" s="55">
        <v>11487044.443094276</v>
      </c>
      <c r="AG273" s="166">
        <v>1832.5366130127022</v>
      </c>
      <c r="AH273" s="171">
        <f t="shared" si="70"/>
        <v>2.6622500390715231E-2</v>
      </c>
      <c r="AI273" s="171">
        <f t="shared" si="70"/>
        <v>2.047855894817352E-2</v>
      </c>
      <c r="AK273" s="55">
        <v>11412258.492801454</v>
      </c>
      <c r="AL273" s="166">
        <v>1820.6059555899451</v>
      </c>
      <c r="AM273" s="171">
        <f t="shared" si="71"/>
        <v>6.5531244617351714E-3</v>
      </c>
      <c r="AN273" s="170">
        <f t="shared" si="71"/>
        <v>6.5531244617351714E-3</v>
      </c>
      <c r="AP273" s="55">
        <v>17</v>
      </c>
      <c r="AQ273" s="55">
        <v>0</v>
      </c>
    </row>
    <row r="274" spans="2:43" ht="15" x14ac:dyDescent="0.25">
      <c r="B274"/>
      <c r="D274" s="1"/>
      <c r="G274" s="1"/>
      <c r="L274" s="1"/>
      <c r="O274" s="1"/>
      <c r="Q274" s="53"/>
      <c r="S274" s="1"/>
      <c r="U274" s="52"/>
      <c r="V274" s="1"/>
      <c r="X274" s="53"/>
      <c r="Y274" s="52"/>
      <c r="Z274" s="1"/>
      <c r="AB274" s="1"/>
      <c r="AC274" s="1"/>
      <c r="AD274" s="53"/>
      <c r="AE274" s="52"/>
      <c r="AF274" s="1"/>
      <c r="AG274" s="75"/>
      <c r="AK274" s="1"/>
      <c r="AL274" s="75"/>
      <c r="AP274" s="1"/>
      <c r="AQ274" s="1"/>
    </row>
    <row r="275" spans="2:43" ht="15" x14ac:dyDescent="0.25">
      <c r="B275" t="s">
        <v>12</v>
      </c>
      <c r="D275" s="172">
        <f>SUM(D264:D273)</f>
        <v>97246517</v>
      </c>
      <c r="E275" s="173">
        <v>1659.717470013358</v>
      </c>
      <c r="G275" s="172">
        <f>SUM(G264:G273)</f>
        <v>97246569.278791666</v>
      </c>
      <c r="H275" s="173">
        <v>1648.2796250138681</v>
      </c>
      <c r="J275" s="167">
        <f>D275/G275-1</f>
        <v>-5.3759008722398249E-7</v>
      </c>
      <c r="K275" s="168">
        <f>E275/H275-1</f>
        <v>6.9392625049247147E-3</v>
      </c>
      <c r="L275" s="172">
        <f>SUM(L264:L273)</f>
        <v>99749711</v>
      </c>
      <c r="M275" s="167">
        <f>O275/$D275-1</f>
        <v>2.594142707485525E-2</v>
      </c>
      <c r="N275" s="169">
        <f>N$222</f>
        <v>9.0547645222140982E-3</v>
      </c>
      <c r="O275" s="172">
        <f>SUM(O264:O273)</f>
        <v>99769230.42903918</v>
      </c>
      <c r="Q275" s="167">
        <f>S275/$D275-1</f>
        <v>2.6839647633794872E-2</v>
      </c>
      <c r="R275" s="170">
        <v>1.9762694584527729E-2</v>
      </c>
      <c r="S275" s="172">
        <f>SUM(S264:S273)</f>
        <v>99856579.249893844</v>
      </c>
      <c r="T275" s="167">
        <f>V275/$D275-1</f>
        <v>2.6925869399606173E-2</v>
      </c>
      <c r="U275" s="170">
        <v>1.9848322112095529E-2</v>
      </c>
      <c r="V275" s="172">
        <f>SUM(V264:V273)</f>
        <v>99864964.016308591</v>
      </c>
      <c r="X275" s="167">
        <f>Z275/$D275-1</f>
        <v>2.665323895268723E-2</v>
      </c>
      <c r="Y275" s="170">
        <v>1.9577570627366203E-2</v>
      </c>
      <c r="Z275" s="172">
        <f>SUM(Z264:Z273)</f>
        <v>99838451.654917568</v>
      </c>
      <c r="AB275" s="172">
        <f>SUM(AB264:AB273)</f>
        <v>97303935.346355051</v>
      </c>
      <c r="AC275" s="172">
        <f>SUM(AC264:AC273)</f>
        <v>99838451.654917568</v>
      </c>
      <c r="AD275" s="167">
        <f>AC275/$D275-1</f>
        <v>2.665323895268723E-2</v>
      </c>
      <c r="AE275" s="170">
        <v>1.9577570627366203E-2</v>
      </c>
      <c r="AF275" s="172">
        <f>SUM(AF264:AF273)</f>
        <v>99838451.654917568</v>
      </c>
      <c r="AG275" s="166">
        <v>1692.2107060040184</v>
      </c>
      <c r="AH275" s="171">
        <f>AF275/D275 - 1</f>
        <v>2.665323895268723E-2</v>
      </c>
      <c r="AI275" s="171">
        <f>AG275/E275 - 1</f>
        <v>1.9577570627366425E-2</v>
      </c>
      <c r="AK275" s="172">
        <f>SUM(AK264:AK273)</f>
        <v>99838483.828704491</v>
      </c>
      <c r="AL275" s="173">
        <v>1692.2112513332556</v>
      </c>
      <c r="AM275" s="171">
        <f>AF275/AK275-1</f>
        <v>-3.2225836865684698E-7</v>
      </c>
      <c r="AN275" s="170">
        <f t="shared" ref="AN275" si="72">AG275/AL275-1</f>
        <v>-3.2225836865684698E-7</v>
      </c>
      <c r="AP275" s="172">
        <f>SUM(AP264:AP273)</f>
        <v>135</v>
      </c>
      <c r="AQ275" s="172">
        <f>SUM(AQ264:AQ273)</f>
        <v>0</v>
      </c>
    </row>
    <row r="276" spans="2:43" ht="15" x14ac:dyDescent="0.25">
      <c r="B276"/>
      <c r="D276" s="1"/>
      <c r="G276" s="1"/>
      <c r="L276" s="1"/>
      <c r="O276" s="1"/>
      <c r="Q276" s="53"/>
      <c r="S276" s="1"/>
      <c r="U276" s="52"/>
      <c r="V276" s="1"/>
      <c r="X276" s="53"/>
      <c r="Y276" s="52"/>
      <c r="Z276" s="1"/>
      <c r="AB276" s="1"/>
      <c r="AC276" s="1"/>
      <c r="AD276" s="53"/>
      <c r="AE276" s="52"/>
      <c r="AF276" s="1"/>
      <c r="AG276" s="75"/>
      <c r="AK276" s="1"/>
      <c r="AL276" s="75"/>
      <c r="AP276" s="1"/>
      <c r="AQ276" s="1"/>
    </row>
    <row r="277" spans="2:43" ht="15" x14ac:dyDescent="0.25">
      <c r="B277" s="174" t="s">
        <v>552</v>
      </c>
      <c r="D277" s="1"/>
      <c r="G277" s="1"/>
      <c r="L277" s="1"/>
      <c r="O277" s="1"/>
      <c r="Q277" s="53"/>
      <c r="S277" s="1"/>
      <c r="U277" s="52"/>
      <c r="V277" s="1"/>
      <c r="X277" s="53"/>
      <c r="Y277" s="52"/>
      <c r="Z277" s="1"/>
      <c r="AB277" s="1"/>
      <c r="AC277" s="1"/>
      <c r="AD277" s="53"/>
      <c r="AE277" s="52"/>
      <c r="AF277" s="1"/>
      <c r="AG277" s="75"/>
      <c r="AK277" s="1"/>
      <c r="AL277" s="75"/>
      <c r="AP277" s="1"/>
      <c r="AQ277" s="1"/>
    </row>
    <row r="278" spans="2:43" ht="15" x14ac:dyDescent="0.25">
      <c r="B278" t="s">
        <v>553</v>
      </c>
      <c r="D278" s="55">
        <v>10048820</v>
      </c>
      <c r="E278" s="166">
        <v>1669.6872327923813</v>
      </c>
      <c r="G278" s="55">
        <v>9961725.6644904278</v>
      </c>
      <c r="H278" s="166">
        <v>1637.6278936728379</v>
      </c>
      <c r="J278" s="167">
        <f t="shared" ref="J278:K287" si="73">D278/G278-1</f>
        <v>8.7428964059941272E-3</v>
      </c>
      <c r="K278" s="168">
        <f t="shared" si="73"/>
        <v>1.957669336447454E-2</v>
      </c>
      <c r="L278" s="55">
        <v>10340820</v>
      </c>
      <c r="M278" s="167">
        <f t="shared" ref="M278:M287" si="74">O278/$D278-1</f>
        <v>3.0020915120434255E-2</v>
      </c>
      <c r="N278" s="169">
        <f t="shared" ref="N278:N287" si="75">N$222</f>
        <v>9.0547645222140982E-3</v>
      </c>
      <c r="O278" s="55">
        <v>10350494.772280522</v>
      </c>
      <c r="Q278" s="167">
        <f t="shared" ref="Q278:Q287" si="76">S278/$D278-1</f>
        <v>3.023425090518117E-2</v>
      </c>
      <c r="R278" s="170">
        <v>1.9287209092026636E-2</v>
      </c>
      <c r="S278" s="55">
        <v>10352638.545181002</v>
      </c>
      <c r="T278" s="167">
        <f t="shared" ref="T278:T287" si="77">V278/$D278-1</f>
        <v>3.0269143943480126E-2</v>
      </c>
      <c r="U278" s="170">
        <v>1.9321731364600137E-2</v>
      </c>
      <c r="V278" s="55">
        <v>10352989.179042121</v>
      </c>
      <c r="X278" s="167">
        <f t="shared" ref="X278:X287" si="78">Z278/$D278-1</f>
        <v>2.9306366992502664E-2</v>
      </c>
      <c r="Y278" s="170">
        <v>1.8369184669052352E-2</v>
      </c>
      <c r="Z278" s="55">
        <v>10343314.4067616</v>
      </c>
      <c r="AB278" s="55">
        <v>9979684.3145460282</v>
      </c>
      <c r="AC278" s="55">
        <v>10343314.4067616</v>
      </c>
      <c r="AD278" s="167">
        <f t="shared" ref="AD278:AD287" si="79">AC278/$D278-1</f>
        <v>2.9306366992502664E-2</v>
      </c>
      <c r="AE278" s="170">
        <v>1.8369184669052352E-2</v>
      </c>
      <c r="AF278" s="55">
        <v>10343314.4067616</v>
      </c>
      <c r="AG278" s="166">
        <v>1700.3580259111036</v>
      </c>
      <c r="AH278" s="171">
        <f t="shared" ref="AH278:AI287" si="80">AF278/D278 - 1</f>
        <v>2.9306366992502664E-2</v>
      </c>
      <c r="AI278" s="171">
        <f t="shared" si="80"/>
        <v>1.8369184669052352E-2</v>
      </c>
      <c r="AK278" s="55">
        <v>10237036.753404059</v>
      </c>
      <c r="AL278" s="166">
        <v>1682.8868311127167</v>
      </c>
      <c r="AM278" s="171">
        <f t="shared" ref="AM278:AN287" si="81">AF278/AK278-1</f>
        <v>1.038168133197348E-2</v>
      </c>
      <c r="AN278" s="170">
        <f t="shared" si="81"/>
        <v>1.038168133197348E-2</v>
      </c>
      <c r="AP278" s="55">
        <v>15</v>
      </c>
      <c r="AQ278" s="55">
        <v>0</v>
      </c>
    </row>
    <row r="279" spans="2:43" ht="15" x14ac:dyDescent="0.25">
      <c r="B279" t="s">
        <v>554</v>
      </c>
      <c r="D279" s="55">
        <v>10645904</v>
      </c>
      <c r="E279" s="166">
        <v>1614.339696115484</v>
      </c>
      <c r="G279" s="55">
        <v>10739462.000619411</v>
      </c>
      <c r="H279" s="166">
        <v>1612.9540847866235</v>
      </c>
      <c r="J279" s="167">
        <f t="shared" si="73"/>
        <v>-8.7116096331468773E-3</v>
      </c>
      <c r="K279" s="168">
        <f t="shared" si="73"/>
        <v>8.5905193578006411E-4</v>
      </c>
      <c r="L279" s="55">
        <v>10948451</v>
      </c>
      <c r="M279" s="167">
        <f t="shared" si="74"/>
        <v>2.879391290665767E-2</v>
      </c>
      <c r="N279" s="169">
        <f t="shared" si="75"/>
        <v>9.0547645222140982E-3</v>
      </c>
      <c r="O279" s="55">
        <v>10952441.232588639</v>
      </c>
      <c r="Q279" s="167">
        <f t="shared" si="76"/>
        <v>3.0042164149593598E-2</v>
      </c>
      <c r="R279" s="170">
        <v>2.0192440618858498E-2</v>
      </c>
      <c r="S279" s="55">
        <v>10965729.995488815</v>
      </c>
      <c r="T279" s="167">
        <f t="shared" si="77"/>
        <v>3.0190914229297761E-2</v>
      </c>
      <c r="U279" s="170">
        <v>2.0339768283819781E-2</v>
      </c>
      <c r="V279" s="55">
        <v>10967313.574557338</v>
      </c>
      <c r="X279" s="167">
        <f t="shared" si="78"/>
        <v>2.9667350269190429E-2</v>
      </c>
      <c r="Y279" s="170">
        <v>1.9821210876295625E-2</v>
      </c>
      <c r="Z279" s="55">
        <v>10961739.762900176</v>
      </c>
      <c r="AB279" s="55">
        <v>10747669.486049082</v>
      </c>
      <c r="AC279" s="55">
        <v>10961739.762900176</v>
      </c>
      <c r="AD279" s="167">
        <f t="shared" si="79"/>
        <v>2.9667350269190429E-2</v>
      </c>
      <c r="AE279" s="170">
        <v>1.9821210876295625E-2</v>
      </c>
      <c r="AF279" s="55">
        <v>10961739.762900176</v>
      </c>
      <c r="AG279" s="166">
        <v>1646.3378636581638</v>
      </c>
      <c r="AH279" s="171">
        <f t="shared" si="80"/>
        <v>2.9667350269190429E-2</v>
      </c>
      <c r="AI279" s="171">
        <f t="shared" si="80"/>
        <v>1.9821210876295403E-2</v>
      </c>
      <c r="AK279" s="55">
        <v>11031055.80189239</v>
      </c>
      <c r="AL279" s="166">
        <v>1656.7484026802558</v>
      </c>
      <c r="AM279" s="171">
        <f t="shared" si="81"/>
        <v>-6.2837175549709245E-3</v>
      </c>
      <c r="AN279" s="170">
        <f t="shared" si="81"/>
        <v>-6.2837175549709245E-3</v>
      </c>
      <c r="AP279" s="55">
        <v>10</v>
      </c>
      <c r="AQ279" s="55">
        <v>0</v>
      </c>
    </row>
    <row r="280" spans="2:43" ht="15" x14ac:dyDescent="0.25">
      <c r="B280" t="s">
        <v>555</v>
      </c>
      <c r="D280" s="55">
        <v>10050425</v>
      </c>
      <c r="E280" s="166">
        <v>1713.9107814224974</v>
      </c>
      <c r="G280" s="55">
        <v>10000545.893478064</v>
      </c>
      <c r="H280" s="166">
        <v>1693.8680650331969</v>
      </c>
      <c r="J280" s="167">
        <f t="shared" si="73"/>
        <v>4.9876383802673896E-3</v>
      </c>
      <c r="K280" s="168">
        <f t="shared" si="73"/>
        <v>1.1832513288989599E-2</v>
      </c>
      <c r="L280" s="55">
        <v>10311864</v>
      </c>
      <c r="M280" s="167">
        <f t="shared" si="74"/>
        <v>2.6012730804916284E-2</v>
      </c>
      <c r="N280" s="169">
        <f t="shared" si="75"/>
        <v>9.0547645222140982E-3</v>
      </c>
      <c r="O280" s="55">
        <v>10311864</v>
      </c>
      <c r="Q280" s="167">
        <f t="shared" si="76"/>
        <v>2.6412354637113555E-2</v>
      </c>
      <c r="R280" s="170">
        <v>1.9468849580707603E-2</v>
      </c>
      <c r="S280" s="55">
        <v>10315880.389353711</v>
      </c>
      <c r="T280" s="167">
        <f t="shared" si="77"/>
        <v>2.6458605605551799E-2</v>
      </c>
      <c r="U280" s="170">
        <v>1.9514787669208333E-2</v>
      </c>
      <c r="V280" s="55">
        <v>10316345.231243178</v>
      </c>
      <c r="X280" s="167">
        <f t="shared" si="78"/>
        <v>2.6412354637113555E-2</v>
      </c>
      <c r="Y280" s="170">
        <v>1.9468849580707603E-2</v>
      </c>
      <c r="Z280" s="55">
        <v>10315880.389353711</v>
      </c>
      <c r="AB280" s="55">
        <v>10007725.541325912</v>
      </c>
      <c r="AC280" s="55">
        <v>10315880.389353711</v>
      </c>
      <c r="AD280" s="167">
        <f t="shared" si="79"/>
        <v>2.6412354637113555E-2</v>
      </c>
      <c r="AE280" s="170">
        <v>1.9468849580707603E-2</v>
      </c>
      <c r="AF280" s="55">
        <v>10315880.389353711</v>
      </c>
      <c r="AG280" s="166">
        <v>1747.2786526207649</v>
      </c>
      <c r="AH280" s="171">
        <f t="shared" si="80"/>
        <v>2.6412354637113555E-2</v>
      </c>
      <c r="AI280" s="171">
        <f t="shared" si="80"/>
        <v>1.9468849580707603E-2</v>
      </c>
      <c r="AK280" s="55">
        <v>10267182.802331023</v>
      </c>
      <c r="AL280" s="166">
        <v>1739.0303741387168</v>
      </c>
      <c r="AM280" s="171">
        <f t="shared" si="81"/>
        <v>4.7430330169666579E-3</v>
      </c>
      <c r="AN280" s="170">
        <f t="shared" si="81"/>
        <v>4.74303301696688E-3</v>
      </c>
      <c r="AP280" s="55">
        <v>16</v>
      </c>
      <c r="AQ280" s="55">
        <v>0</v>
      </c>
    </row>
    <row r="281" spans="2:43" ht="15" x14ac:dyDescent="0.25">
      <c r="B281" t="s">
        <v>556</v>
      </c>
      <c r="D281" s="55">
        <v>12541476</v>
      </c>
      <c r="E281" s="166">
        <v>1605.6671436596398</v>
      </c>
      <c r="G281" s="55">
        <v>12608167.426286396</v>
      </c>
      <c r="H281" s="166">
        <v>1603.205420046329</v>
      </c>
      <c r="J281" s="167">
        <f t="shared" si="73"/>
        <v>-5.2895416146959695E-3</v>
      </c>
      <c r="K281" s="168">
        <f t="shared" si="73"/>
        <v>1.535501054655608E-3</v>
      </c>
      <c r="L281" s="55">
        <v>12866976</v>
      </c>
      <c r="M281" s="167">
        <f t="shared" si="74"/>
        <v>2.5953882940094042E-2</v>
      </c>
      <c r="N281" s="169">
        <f t="shared" si="75"/>
        <v>9.0547645222140982E-3</v>
      </c>
      <c r="O281" s="55">
        <v>12866976</v>
      </c>
      <c r="Q281" s="167">
        <f t="shared" si="76"/>
        <v>2.775015857073404E-2</v>
      </c>
      <c r="R281" s="170">
        <v>2.0746474050023833E-2</v>
      </c>
      <c r="S281" s="55">
        <v>12889503.947711054</v>
      </c>
      <c r="T281" s="167">
        <f t="shared" si="77"/>
        <v>2.775015857073404E-2</v>
      </c>
      <c r="U281" s="170">
        <v>2.0746474050023833E-2</v>
      </c>
      <c r="V281" s="55">
        <v>12889503.947711054</v>
      </c>
      <c r="X281" s="167">
        <f t="shared" si="78"/>
        <v>2.775015857073404E-2</v>
      </c>
      <c r="Y281" s="170">
        <v>2.0746474050023833E-2</v>
      </c>
      <c r="Z281" s="55">
        <v>12889503.947711054</v>
      </c>
      <c r="AB281" s="55">
        <v>12612585.009923803</v>
      </c>
      <c r="AC281" s="55">
        <v>12889503.947711054</v>
      </c>
      <c r="AD281" s="167">
        <f t="shared" si="79"/>
        <v>2.775015857073404E-2</v>
      </c>
      <c r="AE281" s="170">
        <v>2.0746474050023833E-2</v>
      </c>
      <c r="AF281" s="55">
        <v>12889503.947711054</v>
      </c>
      <c r="AG281" s="166">
        <v>1638.9790753885504</v>
      </c>
      <c r="AH281" s="171">
        <f t="shared" si="80"/>
        <v>2.775015857073404E-2</v>
      </c>
      <c r="AI281" s="171">
        <f t="shared" si="80"/>
        <v>2.0746474050023833E-2</v>
      </c>
      <c r="AK281" s="55">
        <v>12943981.374668892</v>
      </c>
      <c r="AL281" s="166">
        <v>1645.9062126334836</v>
      </c>
      <c r="AM281" s="171">
        <f t="shared" si="81"/>
        <v>-4.208707149752966E-3</v>
      </c>
      <c r="AN281" s="170">
        <f t="shared" si="81"/>
        <v>-4.208707149752855E-3</v>
      </c>
      <c r="AP281" s="55">
        <v>11</v>
      </c>
      <c r="AQ281" s="55">
        <v>0</v>
      </c>
    </row>
    <row r="282" spans="2:43" ht="15" x14ac:dyDescent="0.25">
      <c r="B282" t="s">
        <v>557</v>
      </c>
      <c r="D282" s="55">
        <v>8884373</v>
      </c>
      <c r="E282" s="166">
        <v>1649.1495887942831</v>
      </c>
      <c r="G282" s="55">
        <v>8959395.1256220713</v>
      </c>
      <c r="H282" s="166">
        <v>1651.1008557702669</v>
      </c>
      <c r="J282" s="167">
        <f t="shared" si="73"/>
        <v>-8.3735703772593872E-3</v>
      </c>
      <c r="K282" s="168">
        <f t="shared" si="73"/>
        <v>-1.1817975680676884E-3</v>
      </c>
      <c r="L282" s="55">
        <v>9116744</v>
      </c>
      <c r="M282" s="167">
        <f t="shared" si="74"/>
        <v>2.6155025233632223E-2</v>
      </c>
      <c r="N282" s="169">
        <f t="shared" si="75"/>
        <v>9.0547645222140982E-3</v>
      </c>
      <c r="O282" s="55">
        <v>9116744</v>
      </c>
      <c r="Q282" s="167">
        <f t="shared" si="76"/>
        <v>2.7948379093571285E-2</v>
      </c>
      <c r="R282" s="170">
        <v>2.0546860795228383E-2</v>
      </c>
      <c r="S282" s="55">
        <v>9132676.8246126883</v>
      </c>
      <c r="T282" s="167">
        <f t="shared" si="77"/>
        <v>2.7948379093571285E-2</v>
      </c>
      <c r="U282" s="170">
        <v>2.0546860795228383E-2</v>
      </c>
      <c r="V282" s="55">
        <v>9132676.8246126883</v>
      </c>
      <c r="X282" s="167">
        <f t="shared" si="78"/>
        <v>2.7948379093571285E-2</v>
      </c>
      <c r="Y282" s="170">
        <v>2.0546860795228383E-2</v>
      </c>
      <c r="Z282" s="55">
        <v>9132676.8246126883</v>
      </c>
      <c r="AB282" s="55">
        <v>8953105.9567008317</v>
      </c>
      <c r="AC282" s="55">
        <v>9132676.8246126883</v>
      </c>
      <c r="AD282" s="167">
        <f t="shared" si="79"/>
        <v>2.7948379093571285E-2</v>
      </c>
      <c r="AE282" s="170">
        <v>2.0546860795228383E-2</v>
      </c>
      <c r="AF282" s="55">
        <v>9132676.8246126883</v>
      </c>
      <c r="AG282" s="166">
        <v>1683.0344358257471</v>
      </c>
      <c r="AH282" s="171">
        <f t="shared" si="80"/>
        <v>2.7948379093571285E-2</v>
      </c>
      <c r="AI282" s="171">
        <f t="shared" si="80"/>
        <v>2.0546860795228161E-2</v>
      </c>
      <c r="AK282" s="55">
        <v>9197082.9846700896</v>
      </c>
      <c r="AL282" s="166">
        <v>1694.9036596401472</v>
      </c>
      <c r="AM282" s="171">
        <f t="shared" si="81"/>
        <v>-7.0028899559517743E-3</v>
      </c>
      <c r="AN282" s="170">
        <f t="shared" si="81"/>
        <v>-7.0028899559518853E-3</v>
      </c>
      <c r="AP282" s="55">
        <v>10</v>
      </c>
      <c r="AQ282" s="55">
        <v>0</v>
      </c>
    </row>
    <row r="283" spans="2:43" ht="15" x14ac:dyDescent="0.25">
      <c r="B283" t="s">
        <v>558</v>
      </c>
      <c r="D283" s="55">
        <v>8685325</v>
      </c>
      <c r="E283" s="166">
        <v>1667.4962973360052</v>
      </c>
      <c r="G283" s="55">
        <v>8601111.9277310949</v>
      </c>
      <c r="H283" s="166">
        <v>1641.8305944073459</v>
      </c>
      <c r="J283" s="167">
        <f t="shared" si="73"/>
        <v>9.7909517951266789E-3</v>
      </c>
      <c r="K283" s="168">
        <f t="shared" si="73"/>
        <v>1.5632369756103826E-2</v>
      </c>
      <c r="L283" s="55">
        <v>8888080</v>
      </c>
      <c r="M283" s="167">
        <f t="shared" si="74"/>
        <v>2.387344569008909E-2</v>
      </c>
      <c r="N283" s="169">
        <f t="shared" si="75"/>
        <v>9.0547645222140982E-3</v>
      </c>
      <c r="O283" s="55">
        <v>8892673.6346882731</v>
      </c>
      <c r="Q283" s="167">
        <f t="shared" si="76"/>
        <v>2.4472238115430089E-2</v>
      </c>
      <c r="R283" s="170">
        <v>1.8579977578591533E-2</v>
      </c>
      <c r="S283" s="55">
        <v>8897874.3415098973</v>
      </c>
      <c r="T283" s="167">
        <f t="shared" si="77"/>
        <v>2.49002280317423E-2</v>
      </c>
      <c r="U283" s="170">
        <v>1.9005505907365938E-2</v>
      </c>
      <c r="V283" s="55">
        <v>8901591.5730297919</v>
      </c>
      <c r="X283" s="167">
        <f t="shared" si="78"/>
        <v>2.3943341996024881E-2</v>
      </c>
      <c r="Y283" s="170">
        <v>1.8054123409584122E-2</v>
      </c>
      <c r="Z283" s="55">
        <v>8893280.7068216242</v>
      </c>
      <c r="AB283" s="55">
        <v>8604773.5931191575</v>
      </c>
      <c r="AC283" s="55">
        <v>8893280.7068216242</v>
      </c>
      <c r="AD283" s="167">
        <f t="shared" si="79"/>
        <v>2.3943341996024881E-2</v>
      </c>
      <c r="AE283" s="170">
        <v>1.8054123409584122E-2</v>
      </c>
      <c r="AF283" s="55">
        <v>8893280.7068216242</v>
      </c>
      <c r="AG283" s="166">
        <v>1697.6014812731344</v>
      </c>
      <c r="AH283" s="171">
        <f t="shared" si="80"/>
        <v>2.3943341996024881E-2</v>
      </c>
      <c r="AI283" s="171">
        <f t="shared" si="80"/>
        <v>1.8054123409584344E-2</v>
      </c>
      <c r="AK283" s="55">
        <v>8827743.8371477872</v>
      </c>
      <c r="AL283" s="166">
        <v>1685.0914199466126</v>
      </c>
      <c r="AM283" s="171">
        <f t="shared" si="81"/>
        <v>7.4239659513060108E-3</v>
      </c>
      <c r="AN283" s="170">
        <f t="shared" si="81"/>
        <v>7.4239659513060108E-3</v>
      </c>
      <c r="AP283" s="55">
        <v>14</v>
      </c>
      <c r="AQ283" s="55">
        <v>0</v>
      </c>
    </row>
    <row r="284" spans="2:43" ht="15" x14ac:dyDescent="0.25">
      <c r="B284" t="s">
        <v>559</v>
      </c>
      <c r="D284" s="55">
        <v>7946045</v>
      </c>
      <c r="E284" s="166">
        <v>1650.6011524571247</v>
      </c>
      <c r="G284" s="55">
        <v>7944199.34657514</v>
      </c>
      <c r="H284" s="166">
        <v>1641.0860351781089</v>
      </c>
      <c r="J284" s="167">
        <f t="shared" si="73"/>
        <v>2.3232717915822043E-4</v>
      </c>
      <c r="K284" s="168">
        <f t="shared" si="73"/>
        <v>5.7980612076704574E-3</v>
      </c>
      <c r="L284" s="55">
        <v>8142685</v>
      </c>
      <c r="M284" s="167">
        <f t="shared" si="74"/>
        <v>2.4746902389805259E-2</v>
      </c>
      <c r="N284" s="169">
        <f t="shared" si="75"/>
        <v>9.0547645222140982E-3</v>
      </c>
      <c r="O284" s="55">
        <v>8142685</v>
      </c>
      <c r="Q284" s="167">
        <f t="shared" si="76"/>
        <v>2.5511864821551766E-2</v>
      </c>
      <c r="R284" s="170">
        <v>1.9837041511764353E-2</v>
      </c>
      <c r="S284" s="55">
        <v>8148763.4259059671</v>
      </c>
      <c r="T284" s="167">
        <f t="shared" si="77"/>
        <v>2.5642898587630025E-2</v>
      </c>
      <c r="U284" s="170">
        <v>1.9967350182896748E-2</v>
      </c>
      <c r="V284" s="55">
        <v>8149804.6261077449</v>
      </c>
      <c r="X284" s="167">
        <f t="shared" si="78"/>
        <v>2.5642898587630025E-2</v>
      </c>
      <c r="Y284" s="170">
        <v>1.9967350182896748E-2</v>
      </c>
      <c r="Z284" s="55">
        <v>8149804.6261077449</v>
      </c>
      <c r="AB284" s="55">
        <v>7950202.8279018532</v>
      </c>
      <c r="AC284" s="55">
        <v>8149804.6261077449</v>
      </c>
      <c r="AD284" s="167">
        <f t="shared" si="79"/>
        <v>2.5642898587630025E-2</v>
      </c>
      <c r="AE284" s="170">
        <v>1.9967350182896748E-2</v>
      </c>
      <c r="AF284" s="55">
        <v>8149804.6261077449</v>
      </c>
      <c r="AG284" s="166">
        <v>1683.559283680529</v>
      </c>
      <c r="AH284" s="171">
        <f t="shared" si="80"/>
        <v>2.5642898587630025E-2</v>
      </c>
      <c r="AI284" s="171">
        <f t="shared" si="80"/>
        <v>1.9967350182896748E-2</v>
      </c>
      <c r="AK284" s="55">
        <v>8154054.1824634392</v>
      </c>
      <c r="AL284" s="166">
        <v>1684.4371427682468</v>
      </c>
      <c r="AM284" s="171">
        <f t="shared" si="81"/>
        <v>-5.2115870959423827E-4</v>
      </c>
      <c r="AN284" s="170">
        <f t="shared" si="81"/>
        <v>-5.2115870959423827E-4</v>
      </c>
      <c r="AP284" s="55">
        <v>14</v>
      </c>
      <c r="AQ284" s="55">
        <v>0</v>
      </c>
    </row>
    <row r="285" spans="2:43" ht="15" x14ac:dyDescent="0.25">
      <c r="B285" t="s">
        <v>560</v>
      </c>
      <c r="D285" s="55">
        <v>8510332</v>
      </c>
      <c r="E285" s="166">
        <v>1649.80076755648</v>
      </c>
      <c r="G285" s="55">
        <v>8569505.8114446569</v>
      </c>
      <c r="H285" s="166">
        <v>1653.4250438227223</v>
      </c>
      <c r="J285" s="167">
        <f t="shared" si="73"/>
        <v>-6.9051603145691143E-3</v>
      </c>
      <c r="K285" s="168">
        <f t="shared" si="73"/>
        <v>-2.191980991084419E-3</v>
      </c>
      <c r="L285" s="55">
        <v>8717745</v>
      </c>
      <c r="M285" s="167">
        <f t="shared" si="74"/>
        <v>2.4371904644848064E-2</v>
      </c>
      <c r="N285" s="169">
        <f t="shared" si="75"/>
        <v>9.0547645222140982E-3</v>
      </c>
      <c r="O285" s="55">
        <v>8717745</v>
      </c>
      <c r="Q285" s="167">
        <f t="shared" si="76"/>
        <v>2.509641588995648E-2</v>
      </c>
      <c r="R285" s="170">
        <v>2.0254338917324199E-2</v>
      </c>
      <c r="S285" s="55">
        <v>8723910.8312336057</v>
      </c>
      <c r="T285" s="167">
        <f t="shared" si="77"/>
        <v>2.509641588995648E-2</v>
      </c>
      <c r="U285" s="170">
        <v>2.0254338917324199E-2</v>
      </c>
      <c r="V285" s="55">
        <v>8723910.8312336057</v>
      </c>
      <c r="X285" s="167">
        <f t="shared" si="78"/>
        <v>2.509641588995648E-2</v>
      </c>
      <c r="Y285" s="170">
        <v>2.0254338917324199E-2</v>
      </c>
      <c r="Z285" s="55">
        <v>8723910.8312336057</v>
      </c>
      <c r="AB285" s="55">
        <v>8572915.5982640199</v>
      </c>
      <c r="AC285" s="55">
        <v>8723910.8312336057</v>
      </c>
      <c r="AD285" s="167">
        <f t="shared" si="79"/>
        <v>2.509641588995648E-2</v>
      </c>
      <c r="AE285" s="170">
        <v>2.0254338917324199E-2</v>
      </c>
      <c r="AF285" s="55">
        <v>8723910.8312336057</v>
      </c>
      <c r="AG285" s="166">
        <v>1683.2163914486307</v>
      </c>
      <c r="AH285" s="171">
        <f t="shared" si="80"/>
        <v>2.509641588995648E-2</v>
      </c>
      <c r="AI285" s="171">
        <f t="shared" si="80"/>
        <v>2.0254338917324421E-2</v>
      </c>
      <c r="AK285" s="55">
        <v>8794594.8654657323</v>
      </c>
      <c r="AL285" s="166">
        <v>1696.8543718607261</v>
      </c>
      <c r="AM285" s="171">
        <f t="shared" si="81"/>
        <v>-8.0372132330603918E-3</v>
      </c>
      <c r="AN285" s="170">
        <f t="shared" si="81"/>
        <v>-8.0372132330603918E-3</v>
      </c>
      <c r="AP285" s="55">
        <v>15</v>
      </c>
      <c r="AQ285" s="55">
        <v>0</v>
      </c>
    </row>
    <row r="286" spans="2:43" ht="15" x14ac:dyDescent="0.25">
      <c r="B286" t="s">
        <v>561</v>
      </c>
      <c r="D286" s="55">
        <v>9983605</v>
      </c>
      <c r="E286" s="166">
        <v>1672.0997040216648</v>
      </c>
      <c r="G286" s="55">
        <v>9942408.5153222568</v>
      </c>
      <c r="H286" s="166">
        <v>1656.4786521117308</v>
      </c>
      <c r="J286" s="167">
        <f t="shared" si="73"/>
        <v>4.1435115660612976E-3</v>
      </c>
      <c r="K286" s="168">
        <f t="shared" si="73"/>
        <v>9.4302766232572388E-3</v>
      </c>
      <c r="L286" s="55">
        <v>10228119</v>
      </c>
      <c r="M286" s="167">
        <f t="shared" si="74"/>
        <v>2.4491553902623364E-2</v>
      </c>
      <c r="N286" s="169">
        <f t="shared" si="75"/>
        <v>9.0547645222140982E-3</v>
      </c>
      <c r="O286" s="55">
        <v>10228119</v>
      </c>
      <c r="Q286" s="167">
        <f t="shared" si="76"/>
        <v>2.5211713276393599E-2</v>
      </c>
      <c r="R286" s="170">
        <v>1.9842294914871106E-2</v>
      </c>
      <c r="S286" s="55">
        <v>10235308.786724769</v>
      </c>
      <c r="T286" s="167">
        <f t="shared" si="77"/>
        <v>2.5228626002327337E-2</v>
      </c>
      <c r="U286" s="170">
        <v>1.9859119062514141E-2</v>
      </c>
      <c r="V286" s="55">
        <v>10235477.636699965</v>
      </c>
      <c r="X286" s="167">
        <f t="shared" si="78"/>
        <v>2.5211713276393599E-2</v>
      </c>
      <c r="Y286" s="170">
        <v>1.9842294914871106E-2</v>
      </c>
      <c r="Z286" s="55">
        <v>10235308.786724769</v>
      </c>
      <c r="AB286" s="55">
        <v>9949288.0219524968</v>
      </c>
      <c r="AC286" s="55">
        <v>10235308.786724769</v>
      </c>
      <c r="AD286" s="167">
        <f t="shared" si="79"/>
        <v>2.5211713276393599E-2</v>
      </c>
      <c r="AE286" s="170">
        <v>1.9842294914871106E-2</v>
      </c>
      <c r="AF286" s="55">
        <v>10235308.786724769</v>
      </c>
      <c r="AG286" s="166">
        <v>1705.277999475931</v>
      </c>
      <c r="AH286" s="171">
        <f t="shared" si="80"/>
        <v>2.5211713276393599E-2</v>
      </c>
      <c r="AI286" s="171">
        <f t="shared" si="80"/>
        <v>1.9842294914870884E-2</v>
      </c>
      <c r="AK286" s="55">
        <v>10204851.306096274</v>
      </c>
      <c r="AL286" s="166">
        <v>1700.2035583703928</v>
      </c>
      <c r="AM286" s="171">
        <f t="shared" si="81"/>
        <v>2.9846079785895707E-3</v>
      </c>
      <c r="AN286" s="170">
        <f t="shared" si="81"/>
        <v>2.9846079785893487E-3</v>
      </c>
      <c r="AP286" s="55">
        <v>14</v>
      </c>
      <c r="AQ286" s="55">
        <v>0</v>
      </c>
    </row>
    <row r="287" spans="2:43" ht="15" x14ac:dyDescent="0.25">
      <c r="B287" t="s">
        <v>562</v>
      </c>
      <c r="D287" s="55">
        <v>9950212</v>
      </c>
      <c r="E287" s="166">
        <v>1725.8271149442844</v>
      </c>
      <c r="G287" s="55">
        <v>9920047.5672221519</v>
      </c>
      <c r="H287" s="166">
        <v>1710.8399644492727</v>
      </c>
      <c r="J287" s="167">
        <f t="shared" si="73"/>
        <v>3.0407548525792638E-3</v>
      </c>
      <c r="K287" s="168">
        <f t="shared" si="73"/>
        <v>8.7601124631409011E-3</v>
      </c>
      <c r="L287" s="55">
        <v>10188227</v>
      </c>
      <c r="M287" s="167">
        <f t="shared" si="74"/>
        <v>2.4047305673662533E-2</v>
      </c>
      <c r="N287" s="169">
        <f t="shared" si="75"/>
        <v>9.0547645222140982E-3</v>
      </c>
      <c r="O287" s="55">
        <v>10189487.789481744</v>
      </c>
      <c r="Q287" s="167">
        <f t="shared" si="76"/>
        <v>2.4530146912680628E-2</v>
      </c>
      <c r="R287" s="170">
        <v>1.8721378087863449E-2</v>
      </c>
      <c r="S287" s="55">
        <v>10194292.162172318</v>
      </c>
      <c r="T287" s="167">
        <f t="shared" si="77"/>
        <v>2.4636519510448762E-2</v>
      </c>
      <c r="U287" s="170">
        <v>1.8827147585926296E-2</v>
      </c>
      <c r="V287" s="55">
        <v>10195350.592071101</v>
      </c>
      <c r="X287" s="167">
        <f t="shared" si="78"/>
        <v>2.4403437101699454E-2</v>
      </c>
      <c r="Y287" s="170">
        <v>1.8595386682291881E-2</v>
      </c>
      <c r="Z287" s="55">
        <v>10193031.372690575</v>
      </c>
      <c r="AB287" s="55">
        <v>9925984.9965718687</v>
      </c>
      <c r="AC287" s="55">
        <v>10193031.372690575</v>
      </c>
      <c r="AD287" s="167">
        <f t="shared" si="79"/>
        <v>2.4403437101699454E-2</v>
      </c>
      <c r="AE287" s="170">
        <v>1.8595386682291881E-2</v>
      </c>
      <c r="AF287" s="55">
        <v>10193031.372690575</v>
      </c>
      <c r="AG287" s="166">
        <v>1757.9195374934575</v>
      </c>
      <c r="AH287" s="171">
        <f t="shared" si="80"/>
        <v>2.4403437101699454E-2</v>
      </c>
      <c r="AI287" s="171">
        <f t="shared" si="80"/>
        <v>1.8595386682291881E-2</v>
      </c>
      <c r="AK287" s="55">
        <v>10180899.920564795</v>
      </c>
      <c r="AL287" s="166">
        <v>1755.8273123319404</v>
      </c>
      <c r="AM287" s="171">
        <f t="shared" si="81"/>
        <v>1.1915893703340341E-3</v>
      </c>
      <c r="AN287" s="170">
        <f t="shared" si="81"/>
        <v>1.1915893703340341E-3</v>
      </c>
      <c r="AP287" s="55">
        <v>16</v>
      </c>
      <c r="AQ287" s="55">
        <v>0</v>
      </c>
    </row>
    <row r="288" spans="2:43" ht="15" x14ac:dyDescent="0.25">
      <c r="B288"/>
      <c r="D288" s="1"/>
      <c r="G288" s="1"/>
      <c r="L288" s="1"/>
      <c r="O288" s="1"/>
      <c r="Q288" s="53"/>
      <c r="S288" s="1"/>
      <c r="U288" s="52"/>
      <c r="V288" s="1"/>
      <c r="X288" s="53"/>
      <c r="Y288" s="52"/>
      <c r="Z288" s="1"/>
      <c r="AB288" s="1"/>
      <c r="AC288" s="1"/>
      <c r="AD288" s="53"/>
      <c r="AE288" s="52"/>
      <c r="AF288" s="1"/>
      <c r="AG288" s="75"/>
      <c r="AK288" s="1"/>
      <c r="AL288" s="75"/>
      <c r="AP288" s="1"/>
      <c r="AQ288" s="1"/>
    </row>
    <row r="289" spans="2:43" ht="15" x14ac:dyDescent="0.25">
      <c r="B289" t="s">
        <v>12</v>
      </c>
      <c r="D289" s="172">
        <f>SUM(D278:D287)</f>
        <v>97246517</v>
      </c>
      <c r="E289" s="173">
        <v>1659.717470013358</v>
      </c>
      <c r="G289" s="172">
        <f>SUM(G278:G287)</f>
        <v>97246569.278791651</v>
      </c>
      <c r="H289" s="173">
        <v>1648.2796250138679</v>
      </c>
      <c r="J289" s="167">
        <f>D289/G289-1</f>
        <v>-5.3759008711296019E-7</v>
      </c>
      <c r="K289" s="168">
        <f>E289/H289-1</f>
        <v>6.9392625049247147E-3</v>
      </c>
      <c r="L289" s="172">
        <f>SUM(L278:L287)</f>
        <v>99749711</v>
      </c>
      <c r="M289" s="167">
        <f>O289/$D289-1</f>
        <v>2.594142707485525E-2</v>
      </c>
      <c r="N289" s="169">
        <f>N$222</f>
        <v>9.0547645222140982E-3</v>
      </c>
      <c r="O289" s="172">
        <f>SUM(O278:O287)</f>
        <v>99769230.42903918</v>
      </c>
      <c r="Q289" s="167">
        <f>S289/$D289-1</f>
        <v>2.6839647633794872E-2</v>
      </c>
      <c r="R289" s="170">
        <v>1.9762694584527729E-2</v>
      </c>
      <c r="S289" s="172">
        <f>SUM(S278:S287)</f>
        <v>99856579.249893844</v>
      </c>
      <c r="T289" s="167">
        <f>V289/$D289-1</f>
        <v>2.6925869399606173E-2</v>
      </c>
      <c r="U289" s="170">
        <v>1.9848322112095529E-2</v>
      </c>
      <c r="V289" s="172">
        <f>SUM(V278:V287)</f>
        <v>99864964.016308591</v>
      </c>
      <c r="X289" s="167">
        <f>Z289/$D289-1</f>
        <v>2.6653238952686786E-2</v>
      </c>
      <c r="Y289" s="170">
        <v>1.9577570627365759E-2</v>
      </c>
      <c r="Z289" s="172">
        <f>SUM(Z278:Z287)</f>
        <v>99838451.654917523</v>
      </c>
      <c r="AB289" s="172">
        <f>SUM(AB278:AB287)</f>
        <v>97303935.346355051</v>
      </c>
      <c r="AC289" s="172">
        <f>SUM(AC278:AC287)</f>
        <v>99838451.654917523</v>
      </c>
      <c r="AD289" s="167">
        <f>AC289/$D289-1</f>
        <v>2.6653238952686786E-2</v>
      </c>
      <c r="AE289" s="170">
        <v>1.9577570627365759E-2</v>
      </c>
      <c r="AF289" s="172">
        <f>SUM(AF278:AF287)</f>
        <v>99838451.654917523</v>
      </c>
      <c r="AG289" s="166">
        <v>1692.2107060040175</v>
      </c>
      <c r="AH289" s="171">
        <f>AF289/D289 - 1</f>
        <v>2.6653238952686786E-2</v>
      </c>
      <c r="AI289" s="171">
        <f>AG289/E289 - 1</f>
        <v>1.9577570627365981E-2</v>
      </c>
      <c r="AK289" s="172">
        <f>SUM(AK278:AK287)</f>
        <v>99838483.828704476</v>
      </c>
      <c r="AL289" s="173">
        <v>1692.2112513332554</v>
      </c>
      <c r="AM289" s="171">
        <f>AF289/AK289-1</f>
        <v>-3.2225836887889159E-7</v>
      </c>
      <c r="AN289" s="170">
        <f t="shared" ref="AN289" si="82">AG289/AL289-1</f>
        <v>-3.2225836898991389E-7</v>
      </c>
      <c r="AP289" s="172">
        <f>SUM(AP278:AP287)</f>
        <v>135</v>
      </c>
      <c r="AQ289" s="172">
        <f>SUM(AQ278:AQ287)</f>
        <v>0</v>
      </c>
    </row>
    <row r="290" spans="2:43" ht="15" x14ac:dyDescent="0.25">
      <c r="B290"/>
      <c r="D290" s="1"/>
      <c r="G290" s="1"/>
      <c r="L290" s="1"/>
      <c r="O290" s="1"/>
      <c r="Q290" s="53"/>
      <c r="S290" s="1"/>
      <c r="U290" s="52"/>
      <c r="V290" s="1"/>
      <c r="X290" s="53"/>
      <c r="Y290" s="52"/>
      <c r="Z290" s="1"/>
      <c r="AB290" s="1"/>
      <c r="AC290" s="1"/>
      <c r="AD290" s="53"/>
      <c r="AE290" s="52"/>
      <c r="AF290" s="1"/>
      <c r="AG290" s="75"/>
      <c r="AK290" s="1"/>
      <c r="AL290" s="75"/>
      <c r="AP290" s="1"/>
      <c r="AQ290" s="1"/>
    </row>
    <row r="291" spans="2:43" ht="15" x14ac:dyDescent="0.25">
      <c r="B291" s="174" t="s">
        <v>563</v>
      </c>
      <c r="D291" s="1"/>
      <c r="G291" s="1"/>
      <c r="L291" s="1"/>
      <c r="O291" s="1"/>
      <c r="Q291" s="53"/>
      <c r="S291" s="1"/>
      <c r="U291" s="52"/>
      <c r="V291" s="1"/>
      <c r="X291" s="53"/>
      <c r="Y291" s="52"/>
      <c r="Z291" s="1"/>
      <c r="AB291" s="1"/>
      <c r="AC291" s="1"/>
      <c r="AD291" s="53"/>
      <c r="AE291" s="52"/>
      <c r="AF291" s="1"/>
      <c r="AG291" s="75"/>
      <c r="AK291" s="1"/>
      <c r="AL291" s="75"/>
      <c r="AP291" s="1"/>
      <c r="AQ291" s="1"/>
    </row>
    <row r="292" spans="2:43" ht="15" x14ac:dyDescent="0.25">
      <c r="B292"/>
      <c r="D292" s="1"/>
      <c r="G292" s="1"/>
      <c r="L292" s="1"/>
      <c r="O292" s="1"/>
      <c r="Q292" s="53"/>
      <c r="S292" s="1"/>
      <c r="U292" s="52"/>
      <c r="V292" s="1"/>
      <c r="X292" s="53"/>
      <c r="Y292" s="52"/>
      <c r="Z292" s="1"/>
      <c r="AB292" s="1"/>
      <c r="AC292" s="1"/>
      <c r="AD292" s="53"/>
      <c r="AE292" s="52"/>
      <c r="AF292" s="1"/>
      <c r="AG292" s="75"/>
      <c r="AK292" s="1"/>
      <c r="AL292" s="75"/>
      <c r="AP292" s="1"/>
      <c r="AQ292" s="1"/>
    </row>
    <row r="293" spans="2:43" ht="15" x14ac:dyDescent="0.25">
      <c r="B293" t="s">
        <v>564</v>
      </c>
      <c r="D293" s="55">
        <v>6743648</v>
      </c>
      <c r="E293" s="166">
        <v>1900.0361060028406</v>
      </c>
      <c r="G293" s="55">
        <v>6525950.0177802192</v>
      </c>
      <c r="H293" s="166">
        <v>1833.5303248138694</v>
      </c>
      <c r="J293" s="167">
        <f t="shared" ref="J293:K304" si="83">D293/G293-1</f>
        <v>3.335881850560507E-2</v>
      </c>
      <c r="K293" s="168">
        <f t="shared" si="83"/>
        <v>3.6271983227614601E-2</v>
      </c>
      <c r="L293" s="55">
        <v>6890353</v>
      </c>
      <c r="M293" s="167">
        <f t="shared" ref="M293:M304" si="84">O293/$D293-1</f>
        <v>2.2435725394960304E-2</v>
      </c>
      <c r="N293" s="169">
        <f t="shared" ref="N293:N304" si="85">N$222</f>
        <v>9.0547645222140982E-3</v>
      </c>
      <c r="O293" s="55">
        <v>6894946.6346882731</v>
      </c>
      <c r="Q293" s="167">
        <f t="shared" ref="Q293:Q304" si="86">S293/$D293-1</f>
        <v>2.2435725394960304E-2</v>
      </c>
      <c r="R293" s="170">
        <v>1.9561457119882775E-2</v>
      </c>
      <c r="S293" s="55">
        <v>6894946.6346882731</v>
      </c>
      <c r="T293" s="167">
        <f t="shared" ref="T293:T304" si="87">V293/$D293-1</f>
        <v>2.3210272585314495E-2</v>
      </c>
      <c r="U293" s="170">
        <v>2.0333826905475583E-2</v>
      </c>
      <c r="V293" s="55">
        <v>6900169.9082994116</v>
      </c>
      <c r="X293" s="167">
        <f t="shared" ref="X293:X304" si="88">Z293/$D293-1</f>
        <v>2.1908943082702192E-2</v>
      </c>
      <c r="Y293" s="170">
        <v>1.9036155696496637E-2</v>
      </c>
      <c r="Z293" s="55">
        <v>6891394.2002017777</v>
      </c>
      <c r="AB293" s="55">
        <v>6529672.9728065869</v>
      </c>
      <c r="AC293" s="55">
        <v>6891394.2002017777</v>
      </c>
      <c r="AD293" s="167">
        <f t="shared" ref="AD293:AD304" si="89">AC293/$D293-1</f>
        <v>2.1908943082702192E-2</v>
      </c>
      <c r="AE293" s="170">
        <v>1.9036155696496637E-2</v>
      </c>
      <c r="AF293" s="55">
        <v>6891394.2002017777</v>
      </c>
      <c r="AG293" s="166">
        <v>1936.2054891456758</v>
      </c>
      <c r="AH293" s="171">
        <f t="shared" ref="AH293:AI304" si="90">AF293/D293 - 1</f>
        <v>2.1908943082702192E-2</v>
      </c>
      <c r="AI293" s="171">
        <f t="shared" si="90"/>
        <v>1.9036155696496637E-2</v>
      </c>
      <c r="AK293" s="55">
        <v>6697100.4849298308</v>
      </c>
      <c r="AL293" s="166">
        <v>1881.6167445335861</v>
      </c>
      <c r="AM293" s="171">
        <f>AF293/AK293-1</f>
        <v>2.9011617148220648E-2</v>
      </c>
      <c r="AN293" s="170">
        <f t="shared" ref="AN293:AN304" si="91">AG293/AL293-1</f>
        <v>2.9011617148220648E-2</v>
      </c>
      <c r="AP293" s="55">
        <v>15</v>
      </c>
      <c r="AQ293" s="55">
        <v>0</v>
      </c>
    </row>
    <row r="294" spans="2:43" ht="15" x14ac:dyDescent="0.25">
      <c r="B294" t="s">
        <v>565</v>
      </c>
      <c r="D294" s="55">
        <v>7758945</v>
      </c>
      <c r="E294" s="166">
        <v>1727.4300389558223</v>
      </c>
      <c r="G294" s="55">
        <v>7573913.4992588954</v>
      </c>
      <c r="H294" s="166">
        <v>1677.057942951104</v>
      </c>
      <c r="J294" s="167">
        <f t="shared" si="83"/>
        <v>2.4430104827472654E-2</v>
      </c>
      <c r="K294" s="168">
        <f t="shared" si="83"/>
        <v>3.0035990239000832E-2</v>
      </c>
      <c r="L294" s="55">
        <v>7952295</v>
      </c>
      <c r="M294" s="167">
        <f t="shared" si="84"/>
        <v>2.4919625026340597E-2</v>
      </c>
      <c r="N294" s="169">
        <f t="shared" si="85"/>
        <v>9.0547645222140982E-3</v>
      </c>
      <c r="O294" s="55">
        <v>7952295</v>
      </c>
      <c r="Q294" s="167">
        <f t="shared" si="86"/>
        <v>2.4990294224357612E-2</v>
      </c>
      <c r="R294" s="170">
        <v>1.9411869594731623E-2</v>
      </c>
      <c r="S294" s="55">
        <v>7952843.3184206085</v>
      </c>
      <c r="T294" s="167">
        <f t="shared" si="87"/>
        <v>2.4990294224357612E-2</v>
      </c>
      <c r="U294" s="170">
        <v>1.9411869594731623E-2</v>
      </c>
      <c r="V294" s="55">
        <v>7952843.3184206085</v>
      </c>
      <c r="X294" s="167">
        <f t="shared" si="88"/>
        <v>2.4990294224357612E-2</v>
      </c>
      <c r="Y294" s="170">
        <v>1.9411869594731623E-2</v>
      </c>
      <c r="Z294" s="55">
        <v>7952843.3184206085</v>
      </c>
      <c r="AB294" s="55">
        <v>7581945.4252798697</v>
      </c>
      <c r="AC294" s="55">
        <v>7952843.3184206085</v>
      </c>
      <c r="AD294" s="167">
        <f t="shared" si="89"/>
        <v>2.4990294224357612E-2</v>
      </c>
      <c r="AE294" s="170">
        <v>1.9411869594731623E-2</v>
      </c>
      <c r="AF294" s="55">
        <v>7952843.3184206085</v>
      </c>
      <c r="AG294" s="166">
        <v>1760.9626856060547</v>
      </c>
      <c r="AH294" s="171">
        <f t="shared" si="90"/>
        <v>2.4990294224357612E-2</v>
      </c>
      <c r="AI294" s="171">
        <f t="shared" si="90"/>
        <v>1.9411869594731623E-2</v>
      </c>
      <c r="AK294" s="55">
        <v>7776354.2823383287</v>
      </c>
      <c r="AL294" s="166">
        <v>1721.88350417171</v>
      </c>
      <c r="AM294" s="171">
        <f t="shared" ref="AM294:AN306" si="92">AF294/AK294-1</f>
        <v>2.2695601264351106E-2</v>
      </c>
      <c r="AN294" s="170">
        <f t="shared" si="91"/>
        <v>2.2695601264351106E-2</v>
      </c>
      <c r="AP294" s="55">
        <v>12</v>
      </c>
      <c r="AQ294" s="55">
        <v>0</v>
      </c>
    </row>
    <row r="295" spans="2:43" ht="15" x14ac:dyDescent="0.25">
      <c r="B295" t="s">
        <v>566</v>
      </c>
      <c r="D295" s="55">
        <v>7543908</v>
      </c>
      <c r="E295" s="166">
        <v>1734.6886010846708</v>
      </c>
      <c r="G295" s="55">
        <v>7426197.5894500567</v>
      </c>
      <c r="H295" s="166">
        <v>1700.1496541401623</v>
      </c>
      <c r="J295" s="167">
        <f t="shared" si="83"/>
        <v>1.5850697363233079E-2</v>
      </c>
      <c r="K295" s="168">
        <f t="shared" si="83"/>
        <v>2.0315239226382342E-2</v>
      </c>
      <c r="L295" s="55">
        <v>7720805</v>
      </c>
      <c r="M295" s="167">
        <f t="shared" si="84"/>
        <v>2.3448986917655956E-2</v>
      </c>
      <c r="N295" s="169">
        <f t="shared" si="85"/>
        <v>9.0547645222140982E-3</v>
      </c>
      <c r="O295" s="55">
        <v>7720805</v>
      </c>
      <c r="Q295" s="167">
        <f t="shared" si="86"/>
        <v>2.3651967891753278E-2</v>
      </c>
      <c r="R295" s="170">
        <v>1.9172825673498206E-2</v>
      </c>
      <c r="S295" s="55">
        <v>7722336.2697943412</v>
      </c>
      <c r="T295" s="167">
        <f t="shared" si="87"/>
        <v>2.3674350186870807E-2</v>
      </c>
      <c r="U295" s="170">
        <v>1.919511003153751E-2</v>
      </c>
      <c r="V295" s="55">
        <v>7722505.1197695369</v>
      </c>
      <c r="X295" s="167">
        <f t="shared" si="88"/>
        <v>2.3651967891753278E-2</v>
      </c>
      <c r="Y295" s="170">
        <v>1.9172825673498206E-2</v>
      </c>
      <c r="Z295" s="55">
        <v>7722336.2697943412</v>
      </c>
      <c r="AB295" s="55">
        <v>7429296.9260698799</v>
      </c>
      <c r="AC295" s="55">
        <v>7722336.2697943412</v>
      </c>
      <c r="AD295" s="167">
        <f t="shared" si="89"/>
        <v>2.3651967891753278E-2</v>
      </c>
      <c r="AE295" s="170">
        <v>1.9172825673498206E-2</v>
      </c>
      <c r="AF295" s="55">
        <v>7722336.2697943412</v>
      </c>
      <c r="AG295" s="166">
        <v>1767.9474832310718</v>
      </c>
      <c r="AH295" s="171">
        <f t="shared" si="90"/>
        <v>2.3651967891753278E-2</v>
      </c>
      <c r="AI295" s="171">
        <f t="shared" si="90"/>
        <v>1.9172825673498206E-2</v>
      </c>
      <c r="AK295" s="55">
        <v>7621171.7800676487</v>
      </c>
      <c r="AL295" s="166">
        <v>1744.7869397431846</v>
      </c>
      <c r="AM295" s="171">
        <f t="shared" si="92"/>
        <v>1.3274138498134525E-2</v>
      </c>
      <c r="AN295" s="170">
        <f t="shared" si="91"/>
        <v>1.3274138498134525E-2</v>
      </c>
      <c r="AP295" s="55">
        <v>18</v>
      </c>
      <c r="AQ295" s="55">
        <v>0</v>
      </c>
    </row>
    <row r="296" spans="2:43" ht="15" x14ac:dyDescent="0.25">
      <c r="B296" t="s">
        <v>567</v>
      </c>
      <c r="D296" s="55">
        <v>22210496</v>
      </c>
      <c r="E296" s="166">
        <v>1615.7204305886428</v>
      </c>
      <c r="G296" s="55">
        <v>22406045.226132322</v>
      </c>
      <c r="H296" s="166">
        <v>1620.1637488920721</v>
      </c>
      <c r="J296" s="167">
        <f t="shared" si="83"/>
        <v>-8.7275208167594265E-3</v>
      </c>
      <c r="K296" s="168">
        <f t="shared" si="83"/>
        <v>-2.742511864290198E-3</v>
      </c>
      <c r="L296" s="55">
        <v>22765724</v>
      </c>
      <c r="M296" s="167">
        <f t="shared" si="84"/>
        <v>2.4998451182720149E-2</v>
      </c>
      <c r="N296" s="169">
        <f t="shared" si="85"/>
        <v>9.0547645222140982E-3</v>
      </c>
      <c r="O296" s="55">
        <v>22765724</v>
      </c>
      <c r="Q296" s="167">
        <f t="shared" si="86"/>
        <v>2.6013150520384887E-2</v>
      </c>
      <c r="R296" s="170">
        <v>1.9855565378863238E-2</v>
      </c>
      <c r="S296" s="55">
        <v>22788260.975580405</v>
      </c>
      <c r="T296" s="167">
        <f t="shared" si="87"/>
        <v>2.6028808421579175E-2</v>
      </c>
      <c r="U296" s="170">
        <v>1.9871129309663838E-2</v>
      </c>
      <c r="V296" s="55">
        <v>22788608.745332249</v>
      </c>
      <c r="X296" s="167">
        <f t="shared" si="88"/>
        <v>2.6013150520384887E-2</v>
      </c>
      <c r="Y296" s="170">
        <v>1.9855565378863238E-2</v>
      </c>
      <c r="Z296" s="55">
        <v>22788260.975580405</v>
      </c>
      <c r="AB296" s="55">
        <v>22410887.630225278</v>
      </c>
      <c r="AC296" s="55">
        <v>22788260.975580405</v>
      </c>
      <c r="AD296" s="167">
        <f t="shared" si="89"/>
        <v>2.6013150520384887E-2</v>
      </c>
      <c r="AE296" s="170">
        <v>1.9855565378863238E-2</v>
      </c>
      <c r="AF296" s="55">
        <v>22788260.975580405</v>
      </c>
      <c r="AG296" s="166">
        <v>1647.8014732321608</v>
      </c>
      <c r="AH296" s="171">
        <f t="shared" si="90"/>
        <v>2.6013150520384887E-2</v>
      </c>
      <c r="AI296" s="171">
        <f t="shared" si="90"/>
        <v>1.9855565378863238E-2</v>
      </c>
      <c r="AK296" s="55">
        <v>22997489.033054173</v>
      </c>
      <c r="AL296" s="166">
        <v>1662.9305917601705</v>
      </c>
      <c r="AM296" s="171">
        <f t="shared" si="92"/>
        <v>-9.0978653005571175E-3</v>
      </c>
      <c r="AN296" s="170">
        <f t="shared" si="91"/>
        <v>-9.0978653005571175E-3</v>
      </c>
      <c r="AP296" s="55">
        <v>30</v>
      </c>
      <c r="AQ296" s="55">
        <v>0</v>
      </c>
    </row>
    <row r="297" spans="2:43" ht="15" x14ac:dyDescent="0.25">
      <c r="B297" t="s">
        <v>568</v>
      </c>
      <c r="D297" s="55">
        <v>12764823</v>
      </c>
      <c r="E297" s="166">
        <v>1693.3200326677293</v>
      </c>
      <c r="G297" s="55">
        <v>12806089.420553064</v>
      </c>
      <c r="H297" s="166">
        <v>1688.1805183083686</v>
      </c>
      <c r="J297" s="167">
        <f t="shared" si="83"/>
        <v>-3.2224060911860697E-3</v>
      </c>
      <c r="K297" s="168">
        <f t="shared" si="83"/>
        <v>3.0444104191598154E-3</v>
      </c>
      <c r="L297" s="55">
        <v>13093831</v>
      </c>
      <c r="M297" s="167">
        <f t="shared" si="84"/>
        <v>2.5774583791722039E-2</v>
      </c>
      <c r="N297" s="169">
        <f t="shared" si="85"/>
        <v>9.0547645222140982E-3</v>
      </c>
      <c r="O297" s="55">
        <v>13093831</v>
      </c>
      <c r="Q297" s="167">
        <f t="shared" si="86"/>
        <v>2.6157646080219532E-2</v>
      </c>
      <c r="R297" s="170">
        <v>1.9746422796510732E-2</v>
      </c>
      <c r="S297" s="55">
        <v>13098720.722310646</v>
      </c>
      <c r="T297" s="167">
        <f t="shared" si="87"/>
        <v>2.6157646080219532E-2</v>
      </c>
      <c r="U297" s="170">
        <v>1.9746422796510732E-2</v>
      </c>
      <c r="V297" s="55">
        <v>13098720.722310646</v>
      </c>
      <c r="X297" s="167">
        <f t="shared" si="88"/>
        <v>2.6157646080219532E-2</v>
      </c>
      <c r="Y297" s="170">
        <v>1.9746422796510732E-2</v>
      </c>
      <c r="Z297" s="55">
        <v>13098720.722310646</v>
      </c>
      <c r="AB297" s="55">
        <v>12816504.689965287</v>
      </c>
      <c r="AC297" s="55">
        <v>13098720.722310646</v>
      </c>
      <c r="AD297" s="167">
        <f t="shared" si="89"/>
        <v>2.6157646080219532E-2</v>
      </c>
      <c r="AE297" s="170">
        <v>1.9746422796510732E-2</v>
      </c>
      <c r="AF297" s="55">
        <v>13098720.722310646</v>
      </c>
      <c r="AG297" s="166">
        <v>1726.7570459625877</v>
      </c>
      <c r="AH297" s="171">
        <f t="shared" si="90"/>
        <v>2.6157646080219532E-2</v>
      </c>
      <c r="AI297" s="171">
        <f t="shared" si="90"/>
        <v>1.9746422796510732E-2</v>
      </c>
      <c r="AK297" s="55">
        <v>13149216.262518436</v>
      </c>
      <c r="AL297" s="166">
        <v>1733.4136906603385</v>
      </c>
      <c r="AM297" s="171">
        <f t="shared" si="92"/>
        <v>-3.8401939096345261E-3</v>
      </c>
      <c r="AN297" s="170">
        <f t="shared" si="91"/>
        <v>-3.8401939096344151E-3</v>
      </c>
      <c r="AP297" s="55">
        <v>19</v>
      </c>
      <c r="AQ297" s="55">
        <v>0</v>
      </c>
    </row>
    <row r="298" spans="2:43" ht="15" x14ac:dyDescent="0.25">
      <c r="B298" t="s">
        <v>569</v>
      </c>
      <c r="D298" s="55">
        <v>6835293</v>
      </c>
      <c r="E298" s="166">
        <v>1747.9405056463772</v>
      </c>
      <c r="G298" s="55">
        <v>6735617.2889430653</v>
      </c>
      <c r="H298" s="166">
        <v>1715.1851585410188</v>
      </c>
      <c r="J298" s="167">
        <f t="shared" si="83"/>
        <v>1.4798303819986813E-2</v>
      </c>
      <c r="K298" s="168">
        <f t="shared" si="83"/>
        <v>1.9097265937877417E-2</v>
      </c>
      <c r="L298" s="55">
        <v>6996491</v>
      </c>
      <c r="M298" s="167">
        <f t="shared" si="84"/>
        <v>2.376764090167649E-2</v>
      </c>
      <c r="N298" s="169">
        <f t="shared" si="85"/>
        <v>9.0547645222140982E-3</v>
      </c>
      <c r="O298" s="55">
        <v>6997751.7894817432</v>
      </c>
      <c r="Q298" s="167">
        <f t="shared" si="86"/>
        <v>2.376764090167649E-2</v>
      </c>
      <c r="R298" s="170">
        <v>1.9448977263904599E-2</v>
      </c>
      <c r="S298" s="55">
        <v>6997751.7894817432</v>
      </c>
      <c r="T298" s="167">
        <f t="shared" si="87"/>
        <v>2.3871610131223298E-2</v>
      </c>
      <c r="U298" s="170">
        <v>1.9552507909427863E-2</v>
      </c>
      <c r="V298" s="55">
        <v>6998462.44962868</v>
      </c>
      <c r="X298" s="167">
        <f t="shared" si="88"/>
        <v>2.3583188021347512E-2</v>
      </c>
      <c r="Y298" s="170">
        <v>1.9265302480006241E-2</v>
      </c>
      <c r="Z298" s="55">
        <v>6996491</v>
      </c>
      <c r="AB298" s="55">
        <v>6740042.3815398961</v>
      </c>
      <c r="AC298" s="55">
        <v>6996491</v>
      </c>
      <c r="AD298" s="167">
        <f t="shared" si="89"/>
        <v>2.3583188021347512E-2</v>
      </c>
      <c r="AE298" s="170">
        <v>1.9265302480006241E-2</v>
      </c>
      <c r="AF298" s="55">
        <v>6996491</v>
      </c>
      <c r="AG298" s="166">
        <v>1781.6151082047093</v>
      </c>
      <c r="AH298" s="171">
        <f t="shared" si="90"/>
        <v>2.3583188021347512E-2</v>
      </c>
      <c r="AI298" s="171">
        <f t="shared" si="90"/>
        <v>1.9265302480006019E-2</v>
      </c>
      <c r="AK298" s="55">
        <v>6912863.9810665604</v>
      </c>
      <c r="AL298" s="166">
        <v>1760.3199817783427</v>
      </c>
      <c r="AM298" s="171">
        <f t="shared" si="92"/>
        <v>1.2097304266724063E-2</v>
      </c>
      <c r="AN298" s="170">
        <f t="shared" si="91"/>
        <v>1.2097304266723841E-2</v>
      </c>
      <c r="AP298" s="55">
        <v>14</v>
      </c>
      <c r="AQ298" s="55">
        <v>0</v>
      </c>
    </row>
    <row r="299" spans="2:43" ht="15" x14ac:dyDescent="0.25">
      <c r="B299" t="s">
        <v>570</v>
      </c>
      <c r="D299" s="55">
        <v>4020176</v>
      </c>
      <c r="E299" s="166">
        <v>1595.1329198033195</v>
      </c>
      <c r="G299" s="55">
        <v>4133820.6388322138</v>
      </c>
      <c r="H299" s="166">
        <v>1623.6980009549679</v>
      </c>
      <c r="J299" s="167">
        <f t="shared" si="83"/>
        <v>-2.7491429542119139E-2</v>
      </c>
      <c r="K299" s="168">
        <f t="shared" si="83"/>
        <v>-1.7592607205803135E-2</v>
      </c>
      <c r="L299" s="55">
        <v>4135188</v>
      </c>
      <c r="M299" s="167">
        <f t="shared" si="84"/>
        <v>2.8608697728656596E-2</v>
      </c>
      <c r="N299" s="169">
        <f t="shared" si="85"/>
        <v>9.0547645222140982E-3</v>
      </c>
      <c r="O299" s="55">
        <v>4135188</v>
      </c>
      <c r="Q299" s="167">
        <f t="shared" si="86"/>
        <v>3.1777599679884583E-2</v>
      </c>
      <c r="R299" s="170">
        <v>2.1381318844932329E-2</v>
      </c>
      <c r="S299" s="55">
        <v>4147927.5435706796</v>
      </c>
      <c r="T299" s="167">
        <f t="shared" si="87"/>
        <v>3.1777599679884583E-2</v>
      </c>
      <c r="U299" s="170">
        <v>2.1381318844932329E-2</v>
      </c>
      <c r="V299" s="55">
        <v>4147927.5435706796</v>
      </c>
      <c r="X299" s="167">
        <f t="shared" si="88"/>
        <v>3.1777599679884583E-2</v>
      </c>
      <c r="Y299" s="170">
        <v>2.1381318844932329E-2</v>
      </c>
      <c r="Z299" s="55">
        <v>4147927.5435706796</v>
      </c>
      <c r="AB299" s="55">
        <v>4133461.3934466708</v>
      </c>
      <c r="AC299" s="55">
        <v>4147927.5435706796</v>
      </c>
      <c r="AD299" s="167">
        <f t="shared" si="89"/>
        <v>3.1777599679884583E-2</v>
      </c>
      <c r="AE299" s="170">
        <v>2.1381318844932329E-2</v>
      </c>
      <c r="AF299" s="55">
        <v>4147927.5435706796</v>
      </c>
      <c r="AG299" s="166">
        <v>1629.2389653616819</v>
      </c>
      <c r="AH299" s="171">
        <f t="shared" si="90"/>
        <v>3.1777599679884583E-2</v>
      </c>
      <c r="AI299" s="171">
        <f t="shared" si="90"/>
        <v>2.1381318844932107E-2</v>
      </c>
      <c r="AK299" s="55">
        <v>4244415.8245406337</v>
      </c>
      <c r="AL299" s="166">
        <v>1667.1380041963116</v>
      </c>
      <c r="AM299" s="171">
        <f t="shared" si="92"/>
        <v>-2.2732994352738012E-2</v>
      </c>
      <c r="AN299" s="170">
        <f t="shared" si="91"/>
        <v>-2.2732994352738012E-2</v>
      </c>
      <c r="AP299" s="55">
        <v>1</v>
      </c>
      <c r="AQ299" s="55">
        <v>0</v>
      </c>
    </row>
    <row r="300" spans="2:43" ht="15" x14ac:dyDescent="0.25">
      <c r="B300" t="s">
        <v>571</v>
      </c>
      <c r="D300" s="55">
        <v>13531050</v>
      </c>
      <c r="E300" s="166">
        <v>1537.5915029765315</v>
      </c>
      <c r="G300" s="55">
        <v>13820490.011578329</v>
      </c>
      <c r="H300" s="166">
        <v>1558.2866698669889</v>
      </c>
      <c r="J300" s="167">
        <f t="shared" si="83"/>
        <v>-2.0942818332479241E-2</v>
      </c>
      <c r="K300" s="168">
        <f t="shared" si="83"/>
        <v>-1.3280718683311266E-2</v>
      </c>
      <c r="L300" s="55">
        <v>13889621</v>
      </c>
      <c r="M300" s="167">
        <f t="shared" si="84"/>
        <v>2.6499865125027222E-2</v>
      </c>
      <c r="N300" s="169">
        <f t="shared" si="85"/>
        <v>9.0547645222140982E-3</v>
      </c>
      <c r="O300" s="55">
        <v>13889621</v>
      </c>
      <c r="Q300" s="167">
        <f t="shared" si="86"/>
        <v>2.8777569329289099E-2</v>
      </c>
      <c r="R300" s="170">
        <v>2.0788877507526671E-2</v>
      </c>
      <c r="S300" s="55">
        <v>13920440.729473077</v>
      </c>
      <c r="T300" s="167">
        <f t="shared" si="87"/>
        <v>2.8777569329289099E-2</v>
      </c>
      <c r="U300" s="170">
        <v>2.0788877507526671E-2</v>
      </c>
      <c r="V300" s="55">
        <v>13920440.729473077</v>
      </c>
      <c r="X300" s="167">
        <f t="shared" si="88"/>
        <v>2.8777569329289099E-2</v>
      </c>
      <c r="Y300" s="170">
        <v>2.0788877507526671E-2</v>
      </c>
      <c r="Z300" s="55">
        <v>13920440.729473077</v>
      </c>
      <c r="AB300" s="55">
        <v>13822128.06806859</v>
      </c>
      <c r="AC300" s="55">
        <v>13920440.729473077</v>
      </c>
      <c r="AD300" s="167">
        <f t="shared" si="89"/>
        <v>2.8777569329289099E-2</v>
      </c>
      <c r="AE300" s="170">
        <v>2.0788877507526671E-2</v>
      </c>
      <c r="AF300" s="55">
        <v>13920440.729473077</v>
      </c>
      <c r="AG300" s="166">
        <v>1569.5563043885243</v>
      </c>
      <c r="AH300" s="171">
        <f t="shared" si="90"/>
        <v>2.8777569329289099E-2</v>
      </c>
      <c r="AI300" s="171">
        <f t="shared" si="90"/>
        <v>2.0788877507526449E-2</v>
      </c>
      <c r="AK300" s="55">
        <v>14187637.967996962</v>
      </c>
      <c r="AL300" s="166">
        <v>1599.6833038413818</v>
      </c>
      <c r="AM300" s="171">
        <f t="shared" si="92"/>
        <v>-1.8833102390024448E-2</v>
      </c>
      <c r="AN300" s="170">
        <f t="shared" si="91"/>
        <v>-1.8833102390024559E-2</v>
      </c>
      <c r="AP300" s="55">
        <v>8</v>
      </c>
      <c r="AQ300" s="55">
        <v>0</v>
      </c>
    </row>
    <row r="301" spans="2:43" ht="15" x14ac:dyDescent="0.25">
      <c r="B301" t="s">
        <v>572</v>
      </c>
      <c r="D301" s="55">
        <v>5675218</v>
      </c>
      <c r="E301" s="166">
        <v>1582.2257388253952</v>
      </c>
      <c r="G301" s="55">
        <v>5835043.8870651834</v>
      </c>
      <c r="H301" s="166">
        <v>1607.1201014732851</v>
      </c>
      <c r="J301" s="167">
        <f t="shared" si="83"/>
        <v>-2.7390691511245846E-2</v>
      </c>
      <c r="K301" s="168">
        <f t="shared" si="83"/>
        <v>-1.5490044972412909E-2</v>
      </c>
      <c r="L301" s="55">
        <v>5854143</v>
      </c>
      <c r="M301" s="167">
        <f t="shared" si="84"/>
        <v>3.1527423263740806E-2</v>
      </c>
      <c r="N301" s="169">
        <f t="shared" si="85"/>
        <v>9.0547645222140982E-3</v>
      </c>
      <c r="O301" s="55">
        <v>5854143</v>
      </c>
      <c r="Q301" s="167">
        <f t="shared" si="86"/>
        <v>3.3389220782182427E-2</v>
      </c>
      <c r="R301" s="170">
        <v>2.0897727130171351E-2</v>
      </c>
      <c r="S301" s="55">
        <v>5864709.1067890152</v>
      </c>
      <c r="T301" s="167">
        <f t="shared" si="87"/>
        <v>3.3389220782182427E-2</v>
      </c>
      <c r="U301" s="170">
        <v>2.0897727130171351E-2</v>
      </c>
      <c r="V301" s="55">
        <v>5864709.1067890152</v>
      </c>
      <c r="X301" s="167">
        <f t="shared" si="88"/>
        <v>3.3389220782182427E-2</v>
      </c>
      <c r="Y301" s="170">
        <v>2.0897727130171351E-2</v>
      </c>
      <c r="Z301" s="55">
        <v>5864709.1067890152</v>
      </c>
      <c r="AB301" s="55">
        <v>5838695.6815865999</v>
      </c>
      <c r="AC301" s="55">
        <v>5864709.1067890152</v>
      </c>
      <c r="AD301" s="167">
        <f t="shared" si="89"/>
        <v>3.3389220782182427E-2</v>
      </c>
      <c r="AE301" s="170">
        <v>2.0897727130171351E-2</v>
      </c>
      <c r="AF301" s="55">
        <v>5864709.1067890152</v>
      </c>
      <c r="AG301" s="166">
        <v>1615.2906605737019</v>
      </c>
      <c r="AH301" s="171">
        <f t="shared" si="90"/>
        <v>3.3389220782182427E-2</v>
      </c>
      <c r="AI301" s="171">
        <f t="shared" si="90"/>
        <v>2.0897727130171129E-2</v>
      </c>
      <c r="AK301" s="55">
        <v>5994049.7925336724</v>
      </c>
      <c r="AL301" s="166">
        <v>1650.914388521895</v>
      </c>
      <c r="AM301" s="171">
        <f t="shared" si="92"/>
        <v>-2.1578180065465413E-2</v>
      </c>
      <c r="AN301" s="170">
        <f t="shared" si="91"/>
        <v>-2.1578180065465413E-2</v>
      </c>
      <c r="AP301" s="55">
        <v>2</v>
      </c>
      <c r="AQ301" s="55">
        <v>0</v>
      </c>
    </row>
    <row r="302" spans="2:43" ht="15" x14ac:dyDescent="0.25">
      <c r="B302" t="s">
        <v>573</v>
      </c>
      <c r="D302" s="55">
        <v>4114533</v>
      </c>
      <c r="E302" s="166">
        <v>1685.6990037398446</v>
      </c>
      <c r="G302" s="55">
        <v>4112228.9909089133</v>
      </c>
      <c r="H302" s="166">
        <v>1665.854430785889</v>
      </c>
      <c r="J302" s="167">
        <f t="shared" si="83"/>
        <v>5.602822936612295E-4</v>
      </c>
      <c r="K302" s="168">
        <f t="shared" si="83"/>
        <v>1.1912549252333982E-2</v>
      </c>
      <c r="L302" s="55">
        <v>4242649</v>
      </c>
      <c r="M302" s="167">
        <f t="shared" si="84"/>
        <v>3.1137434066028868E-2</v>
      </c>
      <c r="N302" s="169">
        <f t="shared" si="85"/>
        <v>9.0547645222140982E-3</v>
      </c>
      <c r="O302" s="55">
        <v>4242649</v>
      </c>
      <c r="Q302" s="167">
        <f t="shared" si="86"/>
        <v>3.1176672049613385E-2</v>
      </c>
      <c r="R302" s="170">
        <v>1.9608288130161133E-2</v>
      </c>
      <c r="S302" s="55">
        <v>4242810.4459783118</v>
      </c>
      <c r="T302" s="167">
        <f t="shared" si="87"/>
        <v>3.1176672049613385E-2</v>
      </c>
      <c r="U302" s="170">
        <v>1.9608288130161133E-2</v>
      </c>
      <c r="V302" s="55">
        <v>4242810.4459783118</v>
      </c>
      <c r="X302" s="167">
        <f t="shared" si="88"/>
        <v>3.1176672049613385E-2</v>
      </c>
      <c r="Y302" s="170">
        <v>1.9608288130161133E-2</v>
      </c>
      <c r="Z302" s="55">
        <v>4242810.4459783118</v>
      </c>
      <c r="AB302" s="55">
        <v>4120810.9724838315</v>
      </c>
      <c r="AC302" s="55">
        <v>4242810.4459783118</v>
      </c>
      <c r="AD302" s="167">
        <f t="shared" si="89"/>
        <v>3.1176672049613385E-2</v>
      </c>
      <c r="AE302" s="170">
        <v>1.9608288130161133E-2</v>
      </c>
      <c r="AF302" s="55">
        <v>4242810.4459783118</v>
      </c>
      <c r="AG302" s="166">
        <v>1718.7526755059009</v>
      </c>
      <c r="AH302" s="171">
        <f t="shared" si="90"/>
        <v>3.1176672049613385E-2</v>
      </c>
      <c r="AI302" s="171">
        <f t="shared" si="90"/>
        <v>1.9608288130161133E-2</v>
      </c>
      <c r="AK302" s="55">
        <v>4226472.7922911095</v>
      </c>
      <c r="AL302" s="166">
        <v>1712.1343298729996</v>
      </c>
      <c r="AM302" s="171">
        <f t="shared" si="92"/>
        <v>3.8655527883679763E-3</v>
      </c>
      <c r="AN302" s="170">
        <f t="shared" si="91"/>
        <v>3.8655527883681984E-3</v>
      </c>
      <c r="AP302" s="55">
        <v>6</v>
      </c>
      <c r="AQ302" s="55">
        <v>0</v>
      </c>
    </row>
    <row r="303" spans="2:43" ht="15" x14ac:dyDescent="0.25">
      <c r="B303" t="s">
        <v>574</v>
      </c>
      <c r="D303" s="55">
        <v>2722003</v>
      </c>
      <c r="E303" s="166">
        <v>1549.8863078945146</v>
      </c>
      <c r="G303" s="55">
        <v>2772101.7095324271</v>
      </c>
      <c r="H303" s="166">
        <v>1559.8497138430378</v>
      </c>
      <c r="J303" s="167">
        <f t="shared" si="83"/>
        <v>-1.8072464426594714E-2</v>
      </c>
      <c r="K303" s="168">
        <f t="shared" si="83"/>
        <v>-6.3874140310453686E-3</v>
      </c>
      <c r="L303" s="55">
        <v>2805677</v>
      </c>
      <c r="M303" s="167">
        <f t="shared" si="84"/>
        <v>3.0739863255110356E-2</v>
      </c>
      <c r="N303" s="169">
        <f t="shared" si="85"/>
        <v>9.0547645222140982E-3</v>
      </c>
      <c r="O303" s="55">
        <v>2805677</v>
      </c>
      <c r="Q303" s="167">
        <f t="shared" si="86"/>
        <v>3.2046147244354062E-2</v>
      </c>
      <c r="R303" s="170">
        <v>1.9909111732346663E-2</v>
      </c>
      <c r="S303" s="55">
        <v>2809232.7089375732</v>
      </c>
      <c r="T303" s="167">
        <f t="shared" si="87"/>
        <v>3.2046147244354062E-2</v>
      </c>
      <c r="U303" s="170">
        <v>1.9909111732346663E-2</v>
      </c>
      <c r="V303" s="55">
        <v>2809232.7089375732</v>
      </c>
      <c r="X303" s="167">
        <f t="shared" si="88"/>
        <v>3.2046147244354062E-2</v>
      </c>
      <c r="Y303" s="170">
        <v>1.9909111732346663E-2</v>
      </c>
      <c r="Z303" s="55">
        <v>2809232.7089375732</v>
      </c>
      <c r="AB303" s="55">
        <v>2774916.4971651286</v>
      </c>
      <c r="AC303" s="55">
        <v>2809232.7089375732</v>
      </c>
      <c r="AD303" s="167">
        <f t="shared" si="89"/>
        <v>3.2046147244354062E-2</v>
      </c>
      <c r="AE303" s="170">
        <v>1.9909111732346663E-2</v>
      </c>
      <c r="AF303" s="55">
        <v>2809232.7089375732</v>
      </c>
      <c r="AG303" s="166">
        <v>1580.7431675708206</v>
      </c>
      <c r="AH303" s="171">
        <f t="shared" si="90"/>
        <v>3.2046147244354062E-2</v>
      </c>
      <c r="AI303" s="171">
        <f t="shared" si="90"/>
        <v>1.9909111732346441E-2</v>
      </c>
      <c r="AK303" s="55">
        <v>2846508.850221049</v>
      </c>
      <c r="AL303" s="166">
        <v>1601.7182920095299</v>
      </c>
      <c r="AM303" s="171">
        <f t="shared" si="92"/>
        <v>-1.3095389210042718E-2</v>
      </c>
      <c r="AN303" s="170">
        <f t="shared" si="91"/>
        <v>-1.3095389210042496E-2</v>
      </c>
      <c r="AP303" s="55">
        <v>4</v>
      </c>
      <c r="AQ303" s="55">
        <v>0</v>
      </c>
    </row>
    <row r="304" spans="2:43" ht="15" x14ac:dyDescent="0.25">
      <c r="B304" t="s">
        <v>575</v>
      </c>
      <c r="D304" s="55">
        <v>3326424</v>
      </c>
      <c r="E304" s="166">
        <v>1748.1698937370477</v>
      </c>
      <c r="G304" s="55">
        <v>3099070.9987569815</v>
      </c>
      <c r="H304" s="166">
        <v>1612.6186966812363</v>
      </c>
      <c r="J304" s="167">
        <f t="shared" si="83"/>
        <v>7.3361662683497197E-2</v>
      </c>
      <c r="K304" s="168">
        <f t="shared" si="83"/>
        <v>8.4056570430924182E-2</v>
      </c>
      <c r="L304" s="55">
        <v>3402934</v>
      </c>
      <c r="M304" s="167">
        <f t="shared" si="84"/>
        <v>2.7108692358268405E-2</v>
      </c>
      <c r="N304" s="169">
        <f t="shared" si="85"/>
        <v>9.0547645222140982E-3</v>
      </c>
      <c r="O304" s="55">
        <v>3416599.0048691607</v>
      </c>
      <c r="Q304" s="167">
        <f t="shared" si="86"/>
        <v>2.7108692358268405E-2</v>
      </c>
      <c r="R304" s="170">
        <v>1.6975611658443412E-2</v>
      </c>
      <c r="S304" s="55">
        <v>3416599.0048691607</v>
      </c>
      <c r="T304" s="167">
        <f t="shared" si="87"/>
        <v>2.7690161506411348E-2</v>
      </c>
      <c r="U304" s="170">
        <v>1.7551344243507572E-2</v>
      </c>
      <c r="V304" s="55">
        <v>3418533.2177988025</v>
      </c>
      <c r="X304" s="167">
        <f t="shared" si="88"/>
        <v>2.3106084450183806E-2</v>
      </c>
      <c r="Y304" s="170">
        <v>1.3012492023843691E-2</v>
      </c>
      <c r="Z304" s="55">
        <v>3403284.633861118</v>
      </c>
      <c r="AB304" s="55">
        <v>3105572.7077174364</v>
      </c>
      <c r="AC304" s="55">
        <v>3403284.633861118</v>
      </c>
      <c r="AD304" s="167">
        <f t="shared" si="89"/>
        <v>2.3106084450183806E-2</v>
      </c>
      <c r="AE304" s="170">
        <v>1.3012492023843691E-2</v>
      </c>
      <c r="AF304" s="55">
        <v>3403284.633861118</v>
      </c>
      <c r="AG304" s="166">
        <v>1770.9179405356244</v>
      </c>
      <c r="AH304" s="171">
        <f t="shared" si="90"/>
        <v>2.3106084450183806E-2</v>
      </c>
      <c r="AI304" s="171">
        <f t="shared" si="90"/>
        <v>1.3012492023843469E-2</v>
      </c>
      <c r="AK304" s="55">
        <v>3185202.7771460884</v>
      </c>
      <c r="AL304" s="166">
        <v>1657.4378428913069</v>
      </c>
      <c r="AM304" s="171">
        <f t="shared" si="92"/>
        <v>6.8467181518166553E-2</v>
      </c>
      <c r="AN304" s="170">
        <f t="shared" si="91"/>
        <v>6.8467181518166553E-2</v>
      </c>
      <c r="AP304" s="55">
        <v>6</v>
      </c>
      <c r="AQ304" s="55">
        <v>0</v>
      </c>
    </row>
    <row r="305" spans="2:43" ht="15" x14ac:dyDescent="0.25">
      <c r="B305"/>
      <c r="D305" s="1"/>
      <c r="G305" s="1"/>
      <c r="L305" s="1"/>
      <c r="O305" s="1"/>
      <c r="Q305" s="53"/>
      <c r="S305" s="1"/>
      <c r="U305" s="52"/>
      <c r="V305" s="1"/>
      <c r="X305" s="53"/>
      <c r="Y305" s="52"/>
      <c r="Z305" s="1"/>
      <c r="AB305" s="1"/>
      <c r="AC305" s="1"/>
      <c r="AD305" s="53"/>
      <c r="AE305" s="52"/>
      <c r="AF305" s="1"/>
      <c r="AG305" s="75"/>
      <c r="AK305" s="1"/>
      <c r="AL305" s="75"/>
      <c r="AP305" s="1"/>
      <c r="AQ305" s="1"/>
    </row>
    <row r="306" spans="2:43" ht="15" x14ac:dyDescent="0.25">
      <c r="B306" t="s">
        <v>12</v>
      </c>
      <c r="D306" s="172">
        <f>SUM(D293:D304)</f>
        <v>97246517</v>
      </c>
      <c r="E306" s="173">
        <v>1659.717470013358</v>
      </c>
      <c r="G306" s="172">
        <f>SUM(G293:G304)</f>
        <v>97246569.278791651</v>
      </c>
      <c r="H306" s="173">
        <v>1648.2796250138679</v>
      </c>
      <c r="J306" s="167">
        <f>D306/G306-1</f>
        <v>-5.3759008711296019E-7</v>
      </c>
      <c r="K306" s="168">
        <f>E306/H306-1</f>
        <v>6.9392625049247147E-3</v>
      </c>
      <c r="L306" s="172">
        <f>SUM(L293:L304)</f>
        <v>99749711</v>
      </c>
      <c r="M306" s="167">
        <f>O306/$D306-1</f>
        <v>2.594142707485525E-2</v>
      </c>
      <c r="N306" s="169">
        <f>N$222</f>
        <v>9.0547645222140982E-3</v>
      </c>
      <c r="O306" s="172">
        <f>SUM(O293:O304)</f>
        <v>99769230.42903918</v>
      </c>
      <c r="Q306" s="167">
        <f>S306/$D306-1</f>
        <v>2.6839647633795094E-2</v>
      </c>
      <c r="R306" s="170">
        <v>1.9762694584527951E-2</v>
      </c>
      <c r="S306" s="172">
        <f>SUM(S293:S304)</f>
        <v>99856579.249893859</v>
      </c>
      <c r="T306" s="167">
        <f>V306/$D306-1</f>
        <v>2.6925869399606173E-2</v>
      </c>
      <c r="U306" s="170">
        <v>1.9848322112095529E-2</v>
      </c>
      <c r="V306" s="172">
        <f>SUM(V293:V304)</f>
        <v>99864964.016308591</v>
      </c>
      <c r="X306" s="167">
        <f>Z306/$D306-1</f>
        <v>2.6653238952687452E-2</v>
      </c>
      <c r="Y306" s="170">
        <v>1.9577570627366425E-2</v>
      </c>
      <c r="Z306" s="172">
        <f>SUM(Z293:Z304)</f>
        <v>99838451.654917583</v>
      </c>
      <c r="AB306" s="172">
        <f>SUM(AB293:AB304)</f>
        <v>97303935.346355051</v>
      </c>
      <c r="AC306" s="172">
        <f>SUM(AC293:AC304)</f>
        <v>99838451.654917583</v>
      </c>
      <c r="AD306" s="167">
        <f>AC306/$D306-1</f>
        <v>2.6653238952687452E-2</v>
      </c>
      <c r="AE306" s="170">
        <v>1.9577570627366425E-2</v>
      </c>
      <c r="AF306" s="172">
        <f>SUM(AF293:AF304)</f>
        <v>99838451.654917583</v>
      </c>
      <c r="AG306" s="166">
        <v>1692.2107060040187</v>
      </c>
      <c r="AH306" s="171">
        <f>AF306/D306 - 1</f>
        <v>2.6653238952687452E-2</v>
      </c>
      <c r="AI306" s="171">
        <f>AG306/E306 - 1</f>
        <v>1.9577570627366647E-2</v>
      </c>
      <c r="AK306" s="172">
        <f>SUM(AK293:AK304)</f>
        <v>99838483.828704476</v>
      </c>
      <c r="AL306" s="173">
        <v>1692.2112513332554</v>
      </c>
      <c r="AM306" s="171">
        <f t="shared" si="92"/>
        <v>-3.2225836832378008E-7</v>
      </c>
      <c r="AN306" s="170">
        <f t="shared" si="92"/>
        <v>-3.2225836832378008E-7</v>
      </c>
      <c r="AP306" s="172">
        <f>SUM(AP293:AP304)</f>
        <v>135</v>
      </c>
      <c r="AQ306" s="172">
        <f>SUM(AQ293:AQ304)</f>
        <v>0</v>
      </c>
    </row>
    <row r="307" spans="2:43" ht="15" x14ac:dyDescent="0.25">
      <c r="B307"/>
      <c r="D307" s="1"/>
      <c r="G307" s="1"/>
      <c r="L307" s="1"/>
      <c r="O307" s="1"/>
      <c r="Q307" s="53"/>
      <c r="S307" s="1"/>
      <c r="U307" s="52"/>
      <c r="V307" s="1"/>
      <c r="X307" s="53"/>
      <c r="Y307" s="52"/>
      <c r="Z307" s="1"/>
      <c r="AB307" s="1"/>
      <c r="AC307" s="1"/>
      <c r="AD307" s="53"/>
      <c r="AE307" s="52"/>
      <c r="AF307" s="1"/>
      <c r="AG307" s="75"/>
      <c r="AK307" s="1"/>
      <c r="AL307" s="75"/>
      <c r="AP307" s="1"/>
      <c r="AQ307" s="1"/>
    </row>
    <row r="308" spans="2:43" x14ac:dyDescent="0.2">
      <c r="B308" s="43" t="s">
        <v>576</v>
      </c>
      <c r="D308" s="1"/>
      <c r="G308" s="1"/>
      <c r="L308" s="1"/>
      <c r="O308" s="1"/>
      <c r="Q308" s="53"/>
      <c r="S308" s="1"/>
      <c r="U308" s="52"/>
      <c r="V308" s="1"/>
      <c r="X308" s="53"/>
      <c r="Y308" s="52"/>
      <c r="Z308" s="1"/>
      <c r="AB308" s="1"/>
      <c r="AC308" s="1"/>
      <c r="AD308" s="53"/>
      <c r="AE308" s="52"/>
      <c r="AF308" s="1"/>
      <c r="AG308" s="75"/>
      <c r="AK308" s="1"/>
      <c r="AL308" s="75"/>
      <c r="AP308" s="1"/>
      <c r="AQ308" s="1"/>
    </row>
    <row r="309" spans="2:43" ht="15" x14ac:dyDescent="0.25">
      <c r="B309"/>
      <c r="D309" s="1"/>
      <c r="G309" s="1"/>
      <c r="L309" s="1"/>
      <c r="O309" s="1"/>
      <c r="Q309" s="53"/>
      <c r="S309" s="1"/>
      <c r="U309" s="52"/>
      <c r="V309" s="1"/>
      <c r="X309" s="53"/>
      <c r="Y309" s="52"/>
      <c r="Z309" s="1"/>
      <c r="AB309" s="1"/>
      <c r="AC309" s="1"/>
      <c r="AD309" s="53"/>
      <c r="AE309" s="52"/>
      <c r="AF309" s="1"/>
      <c r="AG309" s="75"/>
      <c r="AK309" s="1"/>
      <c r="AL309" s="75"/>
      <c r="AP309" s="1"/>
      <c r="AQ309" s="1"/>
    </row>
    <row r="310" spans="2:43" ht="15" x14ac:dyDescent="0.25">
      <c r="B310" t="s">
        <v>577</v>
      </c>
      <c r="D310" s="55">
        <v>6075391</v>
      </c>
      <c r="E310" s="166">
        <v>1857.1710586496322</v>
      </c>
      <c r="G310" s="55">
        <v>5863336.6565442691</v>
      </c>
      <c r="H310" s="166">
        <v>1787.872167879636</v>
      </c>
      <c r="J310" s="167">
        <f t="shared" ref="J310:K322" si="93">D310/G310-1</f>
        <v>3.6166155190671123E-2</v>
      </c>
      <c r="K310" s="168">
        <f t="shared" si="93"/>
        <v>3.8760540051463899E-2</v>
      </c>
      <c r="L310" s="55">
        <v>6207212</v>
      </c>
      <c r="M310" s="167">
        <f t="shared" ref="M310:M322" si="94">O310/$D310-1</f>
        <v>2.2453638735066228E-2</v>
      </c>
      <c r="N310" s="169">
        <f t="shared" ref="N310:N322" si="95">N$222</f>
        <v>9.0547645222140982E-3</v>
      </c>
      <c r="O310" s="55">
        <v>6211805.6346882731</v>
      </c>
      <c r="Q310" s="167">
        <f t="shared" ref="Q310:Q322" si="96">S310/$D310-1</f>
        <v>2.2453638735066228E-2</v>
      </c>
      <c r="R310" s="170">
        <v>1.9899981622653051E-2</v>
      </c>
      <c r="S310" s="55">
        <v>6211805.6346882731</v>
      </c>
      <c r="T310" s="167">
        <f t="shared" ref="T310:T322" si="97">V310/$D310-1</f>
        <v>2.3190429572226057E-2</v>
      </c>
      <c r="U310" s="170">
        <v>2.063493226766111E-2</v>
      </c>
      <c r="V310" s="55">
        <v>6216281.9271092359</v>
      </c>
      <c r="X310" s="167">
        <f t="shared" ref="X310:X322" si="98">Z310/$D310-1</f>
        <v>2.186891349079878E-2</v>
      </c>
      <c r="Y310" s="170">
        <v>1.9316716774947729E-2</v>
      </c>
      <c r="Z310" s="55">
        <v>6208253.2002017777</v>
      </c>
      <c r="AB310" s="55">
        <v>5866534.3210310237</v>
      </c>
      <c r="AC310" s="55">
        <v>6208253.2002017777</v>
      </c>
      <c r="AD310" s="167">
        <f t="shared" ref="AD310:AD322" si="99">AC310/$D310-1</f>
        <v>2.186891349079878E-2</v>
      </c>
      <c r="AE310" s="170">
        <v>1.9316716774947729E-2</v>
      </c>
      <c r="AF310" s="55">
        <v>6208253.2002017777</v>
      </c>
      <c r="AG310" s="166">
        <v>1893.0455059921967</v>
      </c>
      <c r="AH310" s="171">
        <f t="shared" ref="AH310:AI322" si="100">AF310/D310 - 1</f>
        <v>2.186891349079878E-2</v>
      </c>
      <c r="AI310" s="171">
        <f t="shared" si="100"/>
        <v>1.9316716774947507E-2</v>
      </c>
      <c r="AK310" s="55">
        <v>6016958.2779805362</v>
      </c>
      <c r="AL310" s="166">
        <v>1834.7150898264583</v>
      </c>
      <c r="AM310" s="171">
        <f>AF310/AK310-1</f>
        <v>3.1792628996830219E-2</v>
      </c>
      <c r="AN310" s="170">
        <f t="shared" ref="AN310:AN322" si="101">AG310/AL310-1</f>
        <v>3.1792628996829997E-2</v>
      </c>
      <c r="AP310" s="1"/>
      <c r="AQ310" s="1"/>
    </row>
    <row r="311" spans="2:43" ht="15" x14ac:dyDescent="0.25">
      <c r="B311" t="s">
        <v>578</v>
      </c>
      <c r="D311" s="55">
        <v>8214380</v>
      </c>
      <c r="E311" s="166">
        <v>1808.5180400293182</v>
      </c>
      <c r="G311" s="55">
        <v>8200979.0013089254</v>
      </c>
      <c r="H311" s="166">
        <v>1797.2744708922428</v>
      </c>
      <c r="J311" s="167">
        <f t="shared" si="93"/>
        <v>1.6340730404182935E-3</v>
      </c>
      <c r="K311" s="168">
        <f t="shared" si="93"/>
        <v>6.2558998745994021E-3</v>
      </c>
      <c r="L311" s="55">
        <v>8421427</v>
      </c>
      <c r="M311" s="167">
        <f t="shared" si="94"/>
        <v>2.5205432424601826E-2</v>
      </c>
      <c r="N311" s="169">
        <f t="shared" si="95"/>
        <v>9.0547645222140982E-3</v>
      </c>
      <c r="O311" s="55">
        <v>8421427</v>
      </c>
      <c r="Q311" s="167">
        <f t="shared" si="96"/>
        <v>2.5534374993513964E-2</v>
      </c>
      <c r="R311" s="170">
        <v>2.0824000332047676E-2</v>
      </c>
      <c r="S311" s="55">
        <v>8424129.059259221</v>
      </c>
      <c r="T311" s="167">
        <f t="shared" si="97"/>
        <v>2.5534374993513964E-2</v>
      </c>
      <c r="U311" s="170">
        <v>2.0824000332047676E-2</v>
      </c>
      <c r="V311" s="55">
        <v>8424129.059259221</v>
      </c>
      <c r="X311" s="167">
        <f t="shared" si="98"/>
        <v>2.5534374993513964E-2</v>
      </c>
      <c r="Y311" s="170">
        <v>2.0824000332047676E-2</v>
      </c>
      <c r="Z311" s="55">
        <v>8424129.059259221</v>
      </c>
      <c r="AB311" s="55">
        <v>8206378.8851259071</v>
      </c>
      <c r="AC311" s="55">
        <v>8424129.059259221</v>
      </c>
      <c r="AD311" s="167">
        <f t="shared" si="99"/>
        <v>2.5534374993513964E-2</v>
      </c>
      <c r="AE311" s="170">
        <v>2.0824000332047676E-2</v>
      </c>
      <c r="AF311" s="55">
        <v>8424129.059259221</v>
      </c>
      <c r="AG311" s="166">
        <v>1846.1786202954029</v>
      </c>
      <c r="AH311" s="171">
        <f t="shared" si="100"/>
        <v>2.5534374993513964E-2</v>
      </c>
      <c r="AI311" s="171">
        <f t="shared" si="100"/>
        <v>2.0824000332047676E-2</v>
      </c>
      <c r="AK311" s="55">
        <v>8419638.5485568848</v>
      </c>
      <c r="AL311" s="166">
        <v>1845.1945084905453</v>
      </c>
      <c r="AM311" s="171">
        <f t="shared" ref="AM311:AM322" si="102">AF311/AK311-1</f>
        <v>5.333377052278987E-4</v>
      </c>
      <c r="AN311" s="170">
        <f t="shared" si="101"/>
        <v>5.333377052278987E-4</v>
      </c>
      <c r="AP311" s="1"/>
      <c r="AQ311" s="1"/>
    </row>
    <row r="312" spans="2:43" ht="15" x14ac:dyDescent="0.25">
      <c r="B312" t="s">
        <v>579</v>
      </c>
      <c r="D312" s="55">
        <v>4842320</v>
      </c>
      <c r="E312" s="166">
        <v>1867.3790682793235</v>
      </c>
      <c r="G312" s="55">
        <v>4738707.5169032579</v>
      </c>
      <c r="H312" s="166">
        <v>1822.2725009838243</v>
      </c>
      <c r="J312" s="167">
        <f t="shared" si="93"/>
        <v>2.1865135741581332E-2</v>
      </c>
      <c r="K312" s="168">
        <f t="shared" si="93"/>
        <v>2.4752921020948726E-2</v>
      </c>
      <c r="L312" s="55">
        <v>4953274</v>
      </c>
      <c r="M312" s="167">
        <f t="shared" si="94"/>
        <v>2.2913396884138182E-2</v>
      </c>
      <c r="N312" s="169">
        <f t="shared" si="95"/>
        <v>9.0547645222140982E-3</v>
      </c>
      <c r="O312" s="55">
        <v>4953274</v>
      </c>
      <c r="Q312" s="167">
        <f t="shared" si="96"/>
        <v>2.2970186387571978E-2</v>
      </c>
      <c r="R312" s="170">
        <v>2.0087424909284834E-2</v>
      </c>
      <c r="S312" s="55">
        <v>4953548.9929482676</v>
      </c>
      <c r="T312" s="167">
        <f t="shared" si="97"/>
        <v>2.3124447400924231E-2</v>
      </c>
      <c r="U312" s="170">
        <v>2.0241251210352251E-2</v>
      </c>
      <c r="V312" s="55">
        <v>4954295.9741384434</v>
      </c>
      <c r="X312" s="167">
        <f t="shared" si="98"/>
        <v>2.2970186387571978E-2</v>
      </c>
      <c r="Y312" s="170">
        <v>2.0087424909284834E-2</v>
      </c>
      <c r="Z312" s="55">
        <v>4953548.9929482676</v>
      </c>
      <c r="AB312" s="55">
        <v>4741509.5744487448</v>
      </c>
      <c r="AC312" s="55">
        <v>4953548.9929482676</v>
      </c>
      <c r="AD312" s="167">
        <f t="shared" si="99"/>
        <v>2.2970186387571978E-2</v>
      </c>
      <c r="AE312" s="170">
        <v>2.0087424909284834E-2</v>
      </c>
      <c r="AF312" s="55">
        <v>4953548.9929482676</v>
      </c>
      <c r="AG312" s="166">
        <v>1904.8899050905543</v>
      </c>
      <c r="AH312" s="171">
        <f t="shared" si="100"/>
        <v>2.2970186387571978E-2</v>
      </c>
      <c r="AI312" s="171">
        <f t="shared" si="100"/>
        <v>2.0087424909284612E-2</v>
      </c>
      <c r="AK312" s="55">
        <v>4863086.7430243529</v>
      </c>
      <c r="AL312" s="166">
        <v>1870.1025986730433</v>
      </c>
      <c r="AM312" s="171">
        <f t="shared" si="102"/>
        <v>1.8601817056558723E-2</v>
      </c>
      <c r="AN312" s="170">
        <f t="shared" si="101"/>
        <v>1.8601817056558723E-2</v>
      </c>
      <c r="AP312" s="1"/>
      <c r="AQ312" s="1"/>
    </row>
    <row r="313" spans="2:43" ht="15" x14ac:dyDescent="0.25">
      <c r="B313" t="s">
        <v>580</v>
      </c>
      <c r="D313" s="55">
        <v>9789934</v>
      </c>
      <c r="E313" s="166">
        <v>1684.09523256894</v>
      </c>
      <c r="G313" s="55">
        <v>9514104.9447163232</v>
      </c>
      <c r="H313" s="166">
        <v>1628.8656953294378</v>
      </c>
      <c r="J313" s="167">
        <f t="shared" si="93"/>
        <v>2.8991592681228306E-2</v>
      </c>
      <c r="K313" s="168">
        <f t="shared" si="93"/>
        <v>3.3906747129530457E-2</v>
      </c>
      <c r="L313" s="55">
        <v>10021808</v>
      </c>
      <c r="M313" s="167">
        <f t="shared" si="94"/>
        <v>2.3684940061904358E-2</v>
      </c>
      <c r="N313" s="169">
        <f t="shared" si="95"/>
        <v>9.0547645222140982E-3</v>
      </c>
      <c r="O313" s="55">
        <v>10021808</v>
      </c>
      <c r="Q313" s="167">
        <f t="shared" si="96"/>
        <v>2.3760635138618147E-2</v>
      </c>
      <c r="R313" s="170">
        <v>1.8893714931579542E-2</v>
      </c>
      <c r="S313" s="55">
        <v>10022549.049805153</v>
      </c>
      <c r="T313" s="167">
        <f t="shared" si="97"/>
        <v>2.3796158335388062E-2</v>
      </c>
      <c r="U313" s="170">
        <v>1.8929069252385355E-2</v>
      </c>
      <c r="V313" s="55">
        <v>10022896.819557</v>
      </c>
      <c r="X313" s="167">
        <f t="shared" si="98"/>
        <v>2.3760635138618147E-2</v>
      </c>
      <c r="Y313" s="170">
        <v>1.8893714931579542E-2</v>
      </c>
      <c r="Z313" s="55">
        <v>10022549.049805153</v>
      </c>
      <c r="AB313" s="55">
        <v>9519313.9379725903</v>
      </c>
      <c r="AC313" s="55">
        <v>10022549.049805153</v>
      </c>
      <c r="AD313" s="167">
        <f t="shared" si="99"/>
        <v>2.3760635138618147E-2</v>
      </c>
      <c r="AE313" s="170">
        <v>1.8893714931579542E-2</v>
      </c>
      <c r="AF313" s="55">
        <v>10022549.049805153</v>
      </c>
      <c r="AG313" s="166">
        <v>1715.9140478107299</v>
      </c>
      <c r="AH313" s="171">
        <f t="shared" si="100"/>
        <v>2.3760635138618147E-2</v>
      </c>
      <c r="AI313" s="171">
        <f t="shared" si="100"/>
        <v>1.8893714931579764E-2</v>
      </c>
      <c r="AK313" s="55">
        <v>9764642.4658930469</v>
      </c>
      <c r="AL313" s="166">
        <v>1671.7590600767201</v>
      </c>
      <c r="AM313" s="171">
        <f t="shared" si="102"/>
        <v>2.6412291572676549E-2</v>
      </c>
      <c r="AN313" s="170">
        <f t="shared" si="101"/>
        <v>2.6412291572676549E-2</v>
      </c>
      <c r="AP313" s="1"/>
      <c r="AQ313" s="1"/>
    </row>
    <row r="314" spans="2:43" ht="15" x14ac:dyDescent="0.25">
      <c r="B314" t="s">
        <v>581</v>
      </c>
      <c r="D314" s="55">
        <v>7458365</v>
      </c>
      <c r="E314" s="166">
        <v>1662.0033654217141</v>
      </c>
      <c r="G314" s="55">
        <v>7526970.718401284</v>
      </c>
      <c r="H314" s="166">
        <v>1667.0296294470847</v>
      </c>
      <c r="J314" s="167">
        <f t="shared" si="93"/>
        <v>-9.1146519586641217E-3</v>
      </c>
      <c r="K314" s="168">
        <f t="shared" si="93"/>
        <v>-3.0151017933842672E-3</v>
      </c>
      <c r="L314" s="55">
        <v>7650331</v>
      </c>
      <c r="M314" s="167">
        <f t="shared" si="94"/>
        <v>2.5738348820418366E-2</v>
      </c>
      <c r="N314" s="169">
        <f t="shared" si="95"/>
        <v>9.0547645222140982E-3</v>
      </c>
      <c r="O314" s="55">
        <v>7650331</v>
      </c>
      <c r="Q314" s="167">
        <f t="shared" si="96"/>
        <v>2.6011055035345398E-2</v>
      </c>
      <c r="R314" s="170">
        <v>1.9733922942795967E-2</v>
      </c>
      <c r="S314" s="55">
        <v>7652364.9424886946</v>
      </c>
      <c r="T314" s="167">
        <f t="shared" si="97"/>
        <v>2.6011055035345398E-2</v>
      </c>
      <c r="U314" s="170">
        <v>1.9733922942795967E-2</v>
      </c>
      <c r="V314" s="55">
        <v>7652364.9424886946</v>
      </c>
      <c r="X314" s="167">
        <f t="shared" si="98"/>
        <v>2.6011055035345398E-2</v>
      </c>
      <c r="Y314" s="170">
        <v>1.9733922942795967E-2</v>
      </c>
      <c r="Z314" s="55">
        <v>7652364.9424886946</v>
      </c>
      <c r="AB314" s="55">
        <v>7535221.5360168638</v>
      </c>
      <c r="AC314" s="55">
        <v>7652364.9424886946</v>
      </c>
      <c r="AD314" s="167">
        <f t="shared" si="99"/>
        <v>2.6011055035345398E-2</v>
      </c>
      <c r="AE314" s="170">
        <v>1.9733922942795967E-2</v>
      </c>
      <c r="AF314" s="55">
        <v>7652364.9424886946</v>
      </c>
      <c r="AG314" s="166">
        <v>1694.801211765614</v>
      </c>
      <c r="AH314" s="171">
        <f t="shared" si="100"/>
        <v>2.6011055035345398E-2</v>
      </c>
      <c r="AI314" s="171">
        <f t="shared" si="100"/>
        <v>1.9733922942796189E-2</v>
      </c>
      <c r="AK314" s="55">
        <v>7728432.3446326805</v>
      </c>
      <c r="AL314" s="166">
        <v>1711.6481768931767</v>
      </c>
      <c r="AM314" s="171">
        <f t="shared" si="102"/>
        <v>-9.8425396965290401E-3</v>
      </c>
      <c r="AN314" s="170">
        <f t="shared" si="101"/>
        <v>-9.8425396965290401E-3</v>
      </c>
      <c r="AP314" s="1"/>
      <c r="AQ314" s="1"/>
    </row>
    <row r="315" spans="2:43" ht="15" x14ac:dyDescent="0.25">
      <c r="B315" t="s">
        <v>582</v>
      </c>
      <c r="D315" s="55">
        <v>6202821</v>
      </c>
      <c r="E315" s="166">
        <v>1653.7137930858914</v>
      </c>
      <c r="G315" s="55">
        <v>6208152.6696249573</v>
      </c>
      <c r="H315" s="166">
        <v>1647.4246667994851</v>
      </c>
      <c r="J315" s="167">
        <f t="shared" si="93"/>
        <v>-8.5881741456583782E-4</v>
      </c>
      <c r="K315" s="168">
        <f t="shared" si="93"/>
        <v>3.817550151549165E-3</v>
      </c>
      <c r="L315" s="55">
        <v>6352927</v>
      </c>
      <c r="M315" s="167">
        <f t="shared" si="94"/>
        <v>2.4199634327671138E-2</v>
      </c>
      <c r="N315" s="169">
        <f t="shared" si="95"/>
        <v>9.0547645222140982E-3</v>
      </c>
      <c r="O315" s="55">
        <v>6352927</v>
      </c>
      <c r="Q315" s="167">
        <f t="shared" si="96"/>
        <v>2.4543867178990375E-2</v>
      </c>
      <c r="R315" s="170">
        <v>1.9770944340756769E-2</v>
      </c>
      <c r="S315" s="55">
        <v>6355062.2147590527</v>
      </c>
      <c r="T315" s="167">
        <f t="shared" si="97"/>
        <v>2.4571088660183538E-2</v>
      </c>
      <c r="U315" s="170">
        <v>1.9798039008415369E-2</v>
      </c>
      <c r="V315" s="55">
        <v>6355231.0647342484</v>
      </c>
      <c r="X315" s="167">
        <f t="shared" si="98"/>
        <v>2.4543867178990375E-2</v>
      </c>
      <c r="Y315" s="170">
        <v>1.9770944340756769E-2</v>
      </c>
      <c r="Z315" s="55">
        <v>6355062.2147590527</v>
      </c>
      <c r="AB315" s="55">
        <v>6212349.841960608</v>
      </c>
      <c r="AC315" s="55">
        <v>6355062.2147590527</v>
      </c>
      <c r="AD315" s="167">
        <f t="shared" si="99"/>
        <v>2.4543867178990375E-2</v>
      </c>
      <c r="AE315" s="170">
        <v>1.9770944340756769E-2</v>
      </c>
      <c r="AF315" s="55">
        <v>6355062.2147590527</v>
      </c>
      <c r="AG315" s="166">
        <v>1686.4092764445345</v>
      </c>
      <c r="AH315" s="171">
        <f t="shared" si="100"/>
        <v>2.4543867178990375E-2</v>
      </c>
      <c r="AI315" s="171">
        <f t="shared" si="100"/>
        <v>1.9770944340756769E-2</v>
      </c>
      <c r="AK315" s="55">
        <v>6372366.4269992337</v>
      </c>
      <c r="AL315" s="166">
        <v>1691.0012038021666</v>
      </c>
      <c r="AM315" s="171">
        <f t="shared" si="102"/>
        <v>-2.7155080358944872E-3</v>
      </c>
      <c r="AN315" s="170">
        <f t="shared" si="101"/>
        <v>-2.7155080358945982E-3</v>
      </c>
      <c r="AP315" s="1"/>
      <c r="AQ315" s="1"/>
    </row>
    <row r="316" spans="2:43" ht="15" x14ac:dyDescent="0.25">
      <c r="B316" t="s">
        <v>583</v>
      </c>
      <c r="D316" s="55">
        <v>7608291</v>
      </c>
      <c r="E316" s="166">
        <v>1546.7953561428612</v>
      </c>
      <c r="G316" s="55">
        <v>7809841.1386049315</v>
      </c>
      <c r="H316" s="166">
        <v>1574.1650016377996</v>
      </c>
      <c r="J316" s="167">
        <f t="shared" si="93"/>
        <v>-2.5807200815986642E-2</v>
      </c>
      <c r="K316" s="168">
        <f t="shared" si="93"/>
        <v>-1.7386770425249165E-2</v>
      </c>
      <c r="L316" s="55">
        <v>7814008</v>
      </c>
      <c r="M316" s="167">
        <f t="shared" si="94"/>
        <v>2.7038529414818546E-2</v>
      </c>
      <c r="N316" s="169">
        <f t="shared" si="95"/>
        <v>9.0547645222140982E-3</v>
      </c>
      <c r="O316" s="55">
        <v>7814008</v>
      </c>
      <c r="Q316" s="167">
        <f t="shared" si="96"/>
        <v>3.0373329133575488E-2</v>
      </c>
      <c r="R316" s="170">
        <v>2.1543622150903774E-2</v>
      </c>
      <c r="S316" s="55">
        <v>7839380.126687021</v>
      </c>
      <c r="T316" s="167">
        <f t="shared" si="97"/>
        <v>3.0373329133575488E-2</v>
      </c>
      <c r="U316" s="170">
        <v>2.1543622150903774E-2</v>
      </c>
      <c r="V316" s="55">
        <v>7839380.126687021</v>
      </c>
      <c r="X316" s="167">
        <f t="shared" si="98"/>
        <v>3.0373329133575488E-2</v>
      </c>
      <c r="Y316" s="170">
        <v>2.1543622150903774E-2</v>
      </c>
      <c r="Z316" s="55">
        <v>7839380.126687021</v>
      </c>
      <c r="AB316" s="55">
        <v>7795815.4992804946</v>
      </c>
      <c r="AC316" s="55">
        <v>7839380.126687021</v>
      </c>
      <c r="AD316" s="167">
        <f t="shared" si="99"/>
        <v>3.0373329133575488E-2</v>
      </c>
      <c r="AE316" s="170">
        <v>2.1543622150903774E-2</v>
      </c>
      <c r="AF316" s="55">
        <v>7839380.126687021</v>
      </c>
      <c r="AG316" s="166">
        <v>1580.1189308403759</v>
      </c>
      <c r="AH316" s="171">
        <f t="shared" si="100"/>
        <v>3.0373329133575488E-2</v>
      </c>
      <c r="AI316" s="171">
        <f t="shared" si="100"/>
        <v>2.1543622150903996E-2</v>
      </c>
      <c r="AK316" s="55">
        <v>8017566.5702693621</v>
      </c>
      <c r="AL316" s="166">
        <v>1616.0344966342959</v>
      </c>
      <c r="AM316" s="171">
        <f t="shared" si="102"/>
        <v>-2.2224504407994505E-2</v>
      </c>
      <c r="AN316" s="170">
        <f t="shared" si="101"/>
        <v>-2.2224504407994394E-2</v>
      </c>
      <c r="AP316" s="1"/>
      <c r="AQ316" s="1"/>
    </row>
    <row r="317" spans="2:43" ht="15" x14ac:dyDescent="0.25">
      <c r="B317" t="s">
        <v>584</v>
      </c>
      <c r="D317" s="55">
        <v>7159739</v>
      </c>
      <c r="E317" s="166">
        <v>1578.3644626349196</v>
      </c>
      <c r="G317" s="55">
        <v>7320936.4713899381</v>
      </c>
      <c r="H317" s="166">
        <v>1601.7948271402317</v>
      </c>
      <c r="J317" s="167">
        <f t="shared" si="93"/>
        <v>-2.2018695561680457E-2</v>
      </c>
      <c r="K317" s="168">
        <f t="shared" si="93"/>
        <v>-1.4627569092068748E-2</v>
      </c>
      <c r="L317" s="55">
        <v>7341400</v>
      </c>
      <c r="M317" s="167">
        <f t="shared" si="94"/>
        <v>2.5372572938762161E-2</v>
      </c>
      <c r="N317" s="169">
        <f t="shared" si="95"/>
        <v>9.0547645222140982E-3</v>
      </c>
      <c r="O317" s="55">
        <v>7341400</v>
      </c>
      <c r="Q317" s="167">
        <f t="shared" si="96"/>
        <v>2.8247935177951211E-2</v>
      </c>
      <c r="R317" s="170">
        <v>2.0535206170488873E-2</v>
      </c>
      <c r="S317" s="55">
        <v>7361986.8431630488</v>
      </c>
      <c r="T317" s="167">
        <f t="shared" si="97"/>
        <v>2.8247935177951211E-2</v>
      </c>
      <c r="U317" s="170">
        <v>2.0535206170488873E-2</v>
      </c>
      <c r="V317" s="55">
        <v>7361986.8431630488</v>
      </c>
      <c r="X317" s="167">
        <f t="shared" si="98"/>
        <v>2.8247935177951211E-2</v>
      </c>
      <c r="Y317" s="170">
        <v>2.0535206170488873E-2</v>
      </c>
      <c r="Z317" s="55">
        <v>7361986.8431630488</v>
      </c>
      <c r="AB317" s="55">
        <v>7325028.3516741507</v>
      </c>
      <c r="AC317" s="55">
        <v>7361986.8431630488</v>
      </c>
      <c r="AD317" s="167">
        <f t="shared" si="99"/>
        <v>2.8247935177951211E-2</v>
      </c>
      <c r="AE317" s="170">
        <v>2.0535206170488873E-2</v>
      </c>
      <c r="AF317" s="55">
        <v>7361986.8431630488</v>
      </c>
      <c r="AG317" s="166">
        <v>1610.7765022873004</v>
      </c>
      <c r="AH317" s="171">
        <f t="shared" si="100"/>
        <v>2.8247935177951211E-2</v>
      </c>
      <c r="AI317" s="171">
        <f t="shared" si="100"/>
        <v>2.0535206170488873E-2</v>
      </c>
      <c r="AK317" s="55">
        <v>7515341.6909148777</v>
      </c>
      <c r="AL317" s="166">
        <v>1644.3299968170952</v>
      </c>
      <c r="AM317" s="171">
        <f t="shared" si="102"/>
        <v>-2.0405572235952518E-2</v>
      </c>
      <c r="AN317" s="170">
        <f t="shared" si="101"/>
        <v>-2.0405572235952518E-2</v>
      </c>
      <c r="AP317" s="1"/>
      <c r="AQ317" s="1"/>
    </row>
    <row r="318" spans="2:43" ht="15" x14ac:dyDescent="0.25">
      <c r="B318" t="s">
        <v>516</v>
      </c>
      <c r="D318" s="55">
        <v>16036497</v>
      </c>
      <c r="E318" s="166">
        <v>1646.9036737149797</v>
      </c>
      <c r="G318" s="55">
        <v>16028737.504017472</v>
      </c>
      <c r="H318" s="166">
        <v>1627.0635552323097</v>
      </c>
      <c r="J318" s="167">
        <f t="shared" si="93"/>
        <v>4.8409901157731028E-4</v>
      </c>
      <c r="K318" s="168">
        <f t="shared" si="93"/>
        <v>1.2193818993037064E-2</v>
      </c>
      <c r="L318" s="55">
        <v>16512610</v>
      </c>
      <c r="M318" s="167">
        <f t="shared" si="94"/>
        <v>3.0541458329032878E-2</v>
      </c>
      <c r="N318" s="169">
        <f t="shared" si="95"/>
        <v>9.0547645222140982E-3</v>
      </c>
      <c r="O318" s="55">
        <v>16526275.004869161</v>
      </c>
      <c r="Q318" s="167">
        <f t="shared" si="96"/>
        <v>3.1465926044517367E-2</v>
      </c>
      <c r="R318" s="170">
        <v>1.9533253726468525E-2</v>
      </c>
      <c r="S318" s="55">
        <v>16541100.228615124</v>
      </c>
      <c r="T318" s="167">
        <f t="shared" si="97"/>
        <v>3.1586539226413635E-2</v>
      </c>
      <c r="U318" s="170">
        <v>1.9652471576206532E-2</v>
      </c>
      <c r="V318" s="55">
        <v>16543034.441544766</v>
      </c>
      <c r="X318" s="167">
        <f t="shared" si="98"/>
        <v>3.0635671718523216E-2</v>
      </c>
      <c r="Y318" s="170">
        <v>1.8712604325428872E-2</v>
      </c>
      <c r="Z318" s="55">
        <v>16527785.857607082</v>
      </c>
      <c r="AB318" s="55">
        <v>16050789.83165496</v>
      </c>
      <c r="AC318" s="55">
        <v>16527785.857607082</v>
      </c>
      <c r="AD318" s="167">
        <f t="shared" si="99"/>
        <v>3.0635671718523216E-2</v>
      </c>
      <c r="AE318" s="170">
        <v>1.8712604325428872E-2</v>
      </c>
      <c r="AF318" s="55">
        <v>16527785.857607082</v>
      </c>
      <c r="AG318" s="166">
        <v>1677.7215305233035</v>
      </c>
      <c r="AH318" s="171">
        <f t="shared" si="100"/>
        <v>3.0635671718523216E-2</v>
      </c>
      <c r="AI318" s="171">
        <f t="shared" si="100"/>
        <v>1.8712604325428872E-2</v>
      </c>
      <c r="AK318" s="55">
        <v>16468357.288225044</v>
      </c>
      <c r="AL318" s="166">
        <v>1671.6889868275275</v>
      </c>
      <c r="AM318" s="171">
        <f t="shared" si="102"/>
        <v>3.608651934247753E-3</v>
      </c>
      <c r="AN318" s="170">
        <f t="shared" si="101"/>
        <v>3.608651934247753E-3</v>
      </c>
      <c r="AP318" s="1"/>
      <c r="AQ318" s="1"/>
    </row>
    <row r="319" spans="2:43" ht="15" x14ac:dyDescent="0.25">
      <c r="B319" t="s">
        <v>585</v>
      </c>
      <c r="D319" s="55">
        <v>7870636</v>
      </c>
      <c r="E319" s="166">
        <v>1628.5358486156497</v>
      </c>
      <c r="G319" s="55">
        <v>7962293.1169773322</v>
      </c>
      <c r="H319" s="166">
        <v>1634.259507189103</v>
      </c>
      <c r="J319" s="167">
        <f t="shared" si="93"/>
        <v>-1.1511396984607236E-2</v>
      </c>
      <c r="K319" s="168">
        <f t="shared" si="93"/>
        <v>-3.5022947997396248E-3</v>
      </c>
      <c r="L319" s="55">
        <v>8081076</v>
      </c>
      <c r="M319" s="167">
        <f t="shared" si="94"/>
        <v>2.6737356422022351E-2</v>
      </c>
      <c r="N319" s="169">
        <f t="shared" si="95"/>
        <v>9.0547645222140982E-3</v>
      </c>
      <c r="O319" s="55">
        <v>8081076</v>
      </c>
      <c r="Q319" s="167">
        <f t="shared" si="96"/>
        <v>2.7972394398250611E-2</v>
      </c>
      <c r="R319" s="170">
        <v>1.9710322235922728E-2</v>
      </c>
      <c r="S319" s="55">
        <v>8090796.5343570691</v>
      </c>
      <c r="T319" s="167">
        <f t="shared" si="97"/>
        <v>2.7972394398250611E-2</v>
      </c>
      <c r="U319" s="170">
        <v>1.9710322235922728E-2</v>
      </c>
      <c r="V319" s="55">
        <v>8090796.5343570691</v>
      </c>
      <c r="X319" s="167">
        <f t="shared" si="98"/>
        <v>2.7972394398250611E-2</v>
      </c>
      <c r="Y319" s="170">
        <v>1.9710322235922728E-2</v>
      </c>
      <c r="Z319" s="55">
        <v>8090796.5343570691</v>
      </c>
      <c r="AB319" s="55">
        <v>7969339.9313422749</v>
      </c>
      <c r="AC319" s="55">
        <v>8090796.5343570691</v>
      </c>
      <c r="AD319" s="167">
        <f t="shared" si="99"/>
        <v>2.7972394398250611E-2</v>
      </c>
      <c r="AE319" s="170">
        <v>1.9710322235922728E-2</v>
      </c>
      <c r="AF319" s="55">
        <v>8090796.5343570691</v>
      </c>
      <c r="AG319" s="166">
        <v>1660.6348149646158</v>
      </c>
      <c r="AH319" s="171">
        <f t="shared" si="100"/>
        <v>2.7972394398250611E-2</v>
      </c>
      <c r="AI319" s="171">
        <f t="shared" si="100"/>
        <v>1.9710322235922506E-2</v>
      </c>
      <c r="AK319" s="55">
        <v>8174624.3500063792</v>
      </c>
      <c r="AL319" s="166">
        <v>1677.8404619659393</v>
      </c>
      <c r="AM319" s="171">
        <f t="shared" si="102"/>
        <v>-1.0254638263499483E-2</v>
      </c>
      <c r="AN319" s="170">
        <f t="shared" si="101"/>
        <v>-1.0254638263499483E-2</v>
      </c>
      <c r="AP319" s="1"/>
      <c r="AQ319" s="1"/>
    </row>
    <row r="320" spans="2:43" ht="15" x14ac:dyDescent="0.25">
      <c r="B320" t="s">
        <v>586</v>
      </c>
      <c r="D320" s="55">
        <v>5755750</v>
      </c>
      <c r="E320" s="166">
        <v>1487.7336496785006</v>
      </c>
      <c r="G320" s="55">
        <v>5840422.1257637311</v>
      </c>
      <c r="H320" s="166">
        <v>1499.2207153485194</v>
      </c>
      <c r="J320" s="167">
        <f t="shared" si="93"/>
        <v>-1.449760375884801E-2</v>
      </c>
      <c r="K320" s="168">
        <f t="shared" si="93"/>
        <v>-7.6620243786775788E-3</v>
      </c>
      <c r="L320" s="55">
        <v>5906085</v>
      </c>
      <c r="M320" s="167">
        <f t="shared" si="94"/>
        <v>2.6119098293011289E-2</v>
      </c>
      <c r="N320" s="169">
        <f t="shared" si="95"/>
        <v>9.0547645222140982E-3</v>
      </c>
      <c r="O320" s="55">
        <v>5906085</v>
      </c>
      <c r="Q320" s="167">
        <f t="shared" si="96"/>
        <v>2.7087314053201306E-2</v>
      </c>
      <c r="R320" s="170">
        <v>2.0012368784497969E-2</v>
      </c>
      <c r="S320" s="55">
        <v>5911657.8078617137</v>
      </c>
      <c r="T320" s="167">
        <f t="shared" si="97"/>
        <v>2.7087314053201306E-2</v>
      </c>
      <c r="U320" s="170">
        <v>2.0012368784497969E-2</v>
      </c>
      <c r="V320" s="55">
        <v>5911657.8078617137</v>
      </c>
      <c r="X320" s="167">
        <f t="shared" si="98"/>
        <v>2.7087314053201306E-2</v>
      </c>
      <c r="Y320" s="170">
        <v>2.0012368784497969E-2</v>
      </c>
      <c r="Z320" s="55">
        <v>5911657.8078617137</v>
      </c>
      <c r="AB320" s="55">
        <v>5844311.3005750785</v>
      </c>
      <c r="AC320" s="55">
        <v>5911657.8078617137</v>
      </c>
      <c r="AD320" s="167">
        <f t="shared" si="99"/>
        <v>2.7087314053201306E-2</v>
      </c>
      <c r="AE320" s="170">
        <v>2.0012368784497969E-2</v>
      </c>
      <c r="AF320" s="55">
        <v>5911657.8078617137</v>
      </c>
      <c r="AG320" s="166">
        <v>1517.5067241289739</v>
      </c>
      <c r="AH320" s="171">
        <f t="shared" si="100"/>
        <v>2.7087314053201306E-2</v>
      </c>
      <c r="AI320" s="171">
        <f t="shared" si="100"/>
        <v>2.0012368784497969E-2</v>
      </c>
      <c r="AK320" s="55">
        <v>5995355.2141656354</v>
      </c>
      <c r="AL320" s="166">
        <v>1538.9916241327339</v>
      </c>
      <c r="AM320" s="171">
        <f t="shared" si="102"/>
        <v>-1.3960374875897963E-2</v>
      </c>
      <c r="AN320" s="170">
        <f t="shared" si="101"/>
        <v>-1.3960374875897963E-2</v>
      </c>
      <c r="AP320" s="1"/>
      <c r="AQ320" s="1"/>
    </row>
    <row r="321" spans="2:43" ht="15" x14ac:dyDescent="0.25">
      <c r="B321" t="s">
        <v>537</v>
      </c>
      <c r="D321" s="55">
        <v>4668138</v>
      </c>
      <c r="E321" s="166">
        <v>1614.6266686683125</v>
      </c>
      <c r="G321" s="55">
        <v>4688396.6353241056</v>
      </c>
      <c r="H321" s="166">
        <v>1611.9141208510346</v>
      </c>
      <c r="J321" s="167">
        <f t="shared" si="93"/>
        <v>-4.3210156690817181E-3</v>
      </c>
      <c r="K321" s="168">
        <f t="shared" si="93"/>
        <v>1.6828116226477174E-3</v>
      </c>
      <c r="L321" s="55">
        <v>4782950</v>
      </c>
      <c r="M321" s="167">
        <f t="shared" si="94"/>
        <v>2.4864901055140942E-2</v>
      </c>
      <c r="N321" s="169">
        <f t="shared" si="95"/>
        <v>9.0547645222140982E-3</v>
      </c>
      <c r="O321" s="55">
        <v>4784210.7894817432</v>
      </c>
      <c r="Q321" s="167">
        <f t="shared" si="96"/>
        <v>2.5491175298075763E-2</v>
      </c>
      <c r="R321" s="170">
        <v>1.9344646841918722E-2</v>
      </c>
      <c r="S321" s="55">
        <v>4787134.324073609</v>
      </c>
      <c r="T321" s="167">
        <f t="shared" si="97"/>
        <v>2.5643411617339851E-2</v>
      </c>
      <c r="U321" s="170">
        <v>1.9495970696121301E-2</v>
      </c>
      <c r="V321" s="55">
        <v>4787844.9842205457</v>
      </c>
      <c r="X321" s="167">
        <f t="shared" si="98"/>
        <v>2.5221091277049856E-2</v>
      </c>
      <c r="Y321" s="170">
        <v>1.9076181634550826E-2</v>
      </c>
      <c r="Z321" s="55">
        <v>4785873.5345918648</v>
      </c>
      <c r="AB321" s="55">
        <v>4688891.8222683007</v>
      </c>
      <c r="AC321" s="55">
        <v>4785873.5345918648</v>
      </c>
      <c r="AD321" s="167">
        <f t="shared" si="99"/>
        <v>2.5221091277049856E-2</v>
      </c>
      <c r="AE321" s="170">
        <v>1.9076181634550826E-2</v>
      </c>
      <c r="AF321" s="55">
        <v>4785873.5345918648</v>
      </c>
      <c r="AG321" s="166">
        <v>1645.4275802718187</v>
      </c>
      <c r="AH321" s="171">
        <f t="shared" si="100"/>
        <v>2.5221091277049856E-2</v>
      </c>
      <c r="AI321" s="171">
        <f t="shared" si="100"/>
        <v>1.9076181634550604E-2</v>
      </c>
      <c r="AK321" s="55">
        <v>4811395.4331604959</v>
      </c>
      <c r="AL321" s="166">
        <v>1654.2022450226095</v>
      </c>
      <c r="AM321" s="171">
        <f t="shared" si="102"/>
        <v>-5.3044691344079631E-3</v>
      </c>
      <c r="AN321" s="170">
        <f t="shared" si="101"/>
        <v>-5.3044691344079631E-3</v>
      </c>
      <c r="AP321" s="1"/>
      <c r="AQ321" s="1"/>
    </row>
    <row r="322" spans="2:43" ht="15" x14ac:dyDescent="0.25">
      <c r="B322" t="s">
        <v>587</v>
      </c>
      <c r="D322" s="55">
        <v>5564255</v>
      </c>
      <c r="E322" s="166">
        <v>1661.4915636766548</v>
      </c>
      <c r="G322" s="55">
        <v>5543690.7792151393</v>
      </c>
      <c r="H322" s="166">
        <v>1644.0580571495555</v>
      </c>
      <c r="J322" s="167">
        <f t="shared" si="93"/>
        <v>3.7094819324992034E-3</v>
      </c>
      <c r="K322" s="168">
        <f t="shared" si="93"/>
        <v>1.0603948231198812E-2</v>
      </c>
      <c r="L322" s="55">
        <v>5704603</v>
      </c>
      <c r="M322" s="167">
        <f t="shared" si="94"/>
        <v>2.5223143080250532E-2</v>
      </c>
      <c r="N322" s="169">
        <f t="shared" si="95"/>
        <v>9.0547645222140982E-3</v>
      </c>
      <c r="O322" s="55">
        <v>5704603</v>
      </c>
      <c r="Q322" s="167">
        <f t="shared" si="96"/>
        <v>2.5305901901977013E-2</v>
      </c>
      <c r="S322" s="55">
        <v>5705063.4911875855</v>
      </c>
      <c r="T322" s="167">
        <f t="shared" si="97"/>
        <v>2.5305901901977013E-2</v>
      </c>
      <c r="U322" s="52"/>
      <c r="V322" s="55">
        <v>5705063.4911875855</v>
      </c>
      <c r="X322" s="167">
        <f t="shared" si="98"/>
        <v>2.5305901901977013E-2</v>
      </c>
      <c r="Y322" s="52"/>
      <c r="Z322" s="55">
        <v>5705063.4911875855</v>
      </c>
      <c r="AB322" s="55">
        <v>5548450.5130040618</v>
      </c>
      <c r="AC322" s="55">
        <v>5705063.4911875855</v>
      </c>
      <c r="AD322" s="167">
        <f t="shared" si="99"/>
        <v>2.5305901901977013E-2</v>
      </c>
      <c r="AE322" s="170">
        <v>1.8311137039942471E-2</v>
      </c>
      <c r="AF322" s="55">
        <v>5705063.4911875855</v>
      </c>
      <c r="AG322" s="166">
        <v>1691.9153633898461</v>
      </c>
      <c r="AH322" s="171">
        <f t="shared" si="100"/>
        <v>2.5305901901977013E-2</v>
      </c>
      <c r="AI322" s="171">
        <f t="shared" si="100"/>
        <v>1.8311137039942249E-2</v>
      </c>
      <c r="AK322" s="55">
        <v>5690718.4748759624</v>
      </c>
      <c r="AL322" s="166">
        <v>1687.6611507026073</v>
      </c>
      <c r="AM322" s="171">
        <f t="shared" si="102"/>
        <v>2.5207742001216449E-3</v>
      </c>
      <c r="AN322" s="170">
        <f t="shared" si="101"/>
        <v>2.5207742001216449E-3</v>
      </c>
      <c r="AP322" s="1"/>
      <c r="AQ322" s="1"/>
    </row>
    <row r="323" spans="2:43" ht="15" x14ac:dyDescent="0.25">
      <c r="B323"/>
      <c r="D323" s="1"/>
      <c r="E323" s="173"/>
      <c r="G323" s="1"/>
      <c r="H323" s="173"/>
      <c r="L323" s="1"/>
      <c r="O323" s="1"/>
      <c r="Q323" s="53"/>
      <c r="S323" s="1"/>
      <c r="U323" s="52"/>
      <c r="V323" s="1"/>
      <c r="X323" s="53"/>
      <c r="Y323" s="52"/>
      <c r="Z323" s="1"/>
      <c r="AB323" s="1"/>
      <c r="AC323" s="1"/>
      <c r="AD323" s="53"/>
      <c r="AE323" s="52"/>
      <c r="AF323" s="1"/>
      <c r="AG323" s="173"/>
      <c r="AK323" s="1"/>
      <c r="AL323" s="173"/>
      <c r="AP323" s="1"/>
      <c r="AQ323" s="1"/>
    </row>
    <row r="324" spans="2:43" ht="15" x14ac:dyDescent="0.25">
      <c r="B324" t="s">
        <v>12</v>
      </c>
      <c r="D324" s="172">
        <f>SUM(D310:D322)</f>
        <v>97246517</v>
      </c>
      <c r="E324" s="173">
        <v>1659.717470013358</v>
      </c>
      <c r="G324" s="172">
        <f>SUM(G310:G322)</f>
        <v>97246569.278791666</v>
      </c>
      <c r="H324" s="173">
        <v>1648.2796250138681</v>
      </c>
      <c r="J324" s="167">
        <f>D324/G324-1</f>
        <v>-5.3759008722398249E-7</v>
      </c>
      <c r="K324" s="168">
        <f>E324/H324-1</f>
        <v>6.9392625049247147E-3</v>
      </c>
      <c r="L324" s="172">
        <f>SUM(L310:L322)</f>
        <v>99749711</v>
      </c>
      <c r="M324" s="167">
        <f>O324/$D324-1</f>
        <v>2.594142707485525E-2</v>
      </c>
      <c r="N324" s="169">
        <f>N$222</f>
        <v>9.0547645222140982E-3</v>
      </c>
      <c r="O324" s="172">
        <f>SUM(O310:O322)</f>
        <v>99769230.42903918</v>
      </c>
      <c r="Q324" s="167">
        <f>S324/$D324-1</f>
        <v>2.6839647633794872E-2</v>
      </c>
      <c r="R324" s="170">
        <v>1.9762694584527729E-2</v>
      </c>
      <c r="S324" s="172">
        <f>SUM(S310:S322)</f>
        <v>99856579.249893844</v>
      </c>
      <c r="T324" s="167">
        <f>V324/$D324-1</f>
        <v>2.6925869399606395E-2</v>
      </c>
      <c r="U324" s="170">
        <v>1.9848322112095751E-2</v>
      </c>
      <c r="V324" s="172">
        <f>SUM(V310:V322)</f>
        <v>99864964.016308606</v>
      </c>
      <c r="X324" s="167">
        <f>Z324/$D324-1</f>
        <v>2.665323895268723E-2</v>
      </c>
      <c r="Y324" s="170">
        <v>1.9577570627366203E-2</v>
      </c>
      <c r="Z324" s="172">
        <f>SUM(Z310:Z322)</f>
        <v>99838451.654917568</v>
      </c>
      <c r="AB324" s="172">
        <f>SUM(AB310:AB322)</f>
        <v>97303935.346355081</v>
      </c>
      <c r="AC324" s="172">
        <f>SUM(AC310:AC322)</f>
        <v>99838451.654917568</v>
      </c>
      <c r="AD324" s="167">
        <f>AC324/$D324-1</f>
        <v>2.665323895268723E-2</v>
      </c>
      <c r="AE324" s="170">
        <v>1.9577570627366203E-2</v>
      </c>
      <c r="AF324" s="172">
        <f>SUM(AF310:AF322)</f>
        <v>99838451.654917568</v>
      </c>
      <c r="AG324" s="166">
        <v>1692.2107060040184</v>
      </c>
      <c r="AH324" s="171">
        <f>AF324/D324 - 1</f>
        <v>2.665323895268723E-2</v>
      </c>
      <c r="AI324" s="171">
        <f>AG324/E324 - 1</f>
        <v>1.9577570627366425E-2</v>
      </c>
      <c r="AK324" s="172">
        <f>SUM(AK310:AK322)</f>
        <v>99838483.828704461</v>
      </c>
      <c r="AL324" s="173">
        <v>1692.2112513332552</v>
      </c>
      <c r="AM324" s="171">
        <f>AF324/AK324-1</f>
        <v>-3.2225836832378008E-7</v>
      </c>
      <c r="AN324" s="170">
        <f t="shared" ref="AN324" si="103">AG324/AL324-1</f>
        <v>-3.2225836832378008E-7</v>
      </c>
      <c r="AP324" s="1"/>
      <c r="AQ324" s="1"/>
    </row>
    <row r="325" spans="2:43" x14ac:dyDescent="0.2">
      <c r="AO325" s="52"/>
      <c r="AP325" s="1"/>
      <c r="AQ325" s="1"/>
    </row>
  </sheetData>
  <mergeCells count="7">
    <mergeCell ref="W9:Z9"/>
    <mergeCell ref="AK9:AN9"/>
    <mergeCell ref="D9:E9"/>
    <mergeCell ref="G9:H9"/>
    <mergeCell ref="M9:O9"/>
    <mergeCell ref="P9:S9"/>
    <mergeCell ref="T9:V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Notes</vt:lpstr>
      <vt:lpstr>Pace of change parameters</vt:lpstr>
      <vt:lpstr>2016-17</vt:lpstr>
      <vt:lpstr>2016-17 disagg</vt:lpstr>
      <vt:lpstr>2017-18</vt:lpstr>
      <vt:lpstr>2017-18 disagg</vt:lpstr>
      <vt:lpstr>2018-19</vt:lpstr>
      <vt:lpstr>2018-19 disagg</vt:lpstr>
      <vt:lpstr>2019-20</vt:lpstr>
      <vt:lpstr>2019-20 disagg</vt:lpstr>
      <vt:lpstr>2020-21</vt:lpstr>
      <vt:lpstr>2020-21 disagg</vt:lpstr>
      <vt:lpstr>DfT summary</vt:lpstr>
      <vt:lpstr>Paper table 5</vt:lpstr>
      <vt:lpstr>Paper tables A2 and A3</vt:lpstr>
      <vt:lpstr>Primary care other</vt:lpstr>
      <vt:lpstr>Notes!Print_Area</vt:lpstr>
      <vt:lpstr>'2016-17 disagg'!Print_Titles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Lorrimer, Stephen</dc:creator>
  <cp:lastModifiedBy>Davies, Christina</cp:lastModifiedBy>
  <cp:lastPrinted>2016-04-01T11:21:56Z</cp:lastPrinted>
  <dcterms:created xsi:type="dcterms:W3CDTF">2014-12-10T16:02:08Z</dcterms:created>
  <dcterms:modified xsi:type="dcterms:W3CDTF">2016-04-06T12:50:25Z</dcterms:modified>
</cp:coreProperties>
</file>